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  <sheet state="visible" name="Chart" sheetId="2" r:id="rId4"/>
    <sheet state="visible" name="Data" sheetId="3" r:id="rId5"/>
    <sheet state="visible" name="Help" sheetId="4" r:id="rId6"/>
  </sheets>
  <definedNames>
    <definedName name="NamedRange1">Data!$B:$D</definedName>
    <definedName hidden="1" localSheetId="2" name="Z_D72C15C6_7A81_4029_B1C7_95D9048E2C92_.wvu.FilterData">Data!$B$1:$E$11751</definedName>
    <definedName hidden="1" localSheetId="2" name="Z_98037E31_CB9B_4E6D_9430_F0F3261B48BA_.wvu.FilterData">Data!$B$1:$E$11751</definedName>
  </definedNames>
  <calcPr/>
  <customWorkbookViews>
    <customWorkbookView activeSheetId="0" maximized="1" windowHeight="0" windowWidth="0" guid="{D72C15C6-7A81-4029-B1C7-95D9048E2C92}" name="Filter 2"/>
    <customWorkbookView activeSheetId="0" maximized="1" windowHeight="0" windowWidth="0" guid="{98037E31-CB9B-4E6D-9430-F0F3261B48BA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Used as final gravity (FG) in calculations.</t>
      </text>
    </comment>
    <comment authorId="0" ref="B9">
      <text>
        <t xml:space="preserve">Used as original gravity (OG) in calculations.</t>
      </text>
    </comment>
    <comment authorId="0" ref="B22">
      <text>
        <t xml:space="preserve">ABV Calculation Options
- Standard Method: (OG-FG) x 1.3125
- Alternate Method: Based on Brewer's Friend alternate ABV formula (https://www.brewersfriend.com/2011/06/16/alcohol-by-volume-calculator-updated/)
- UK HMRC Method ABV: Based on UK's HM Revenue and Customs (https://www.gov.uk/government/publications/excise-notice-226-beer-duty/excise-notice-226-beer-duty--2#calc-of-abv)
- Wine Method ABV: (OG-FG)/7.36 x 1000
</t>
      </text>
    </comment>
  </commentList>
</comments>
</file>

<file path=xl/sharedStrings.xml><?xml version="1.0" encoding="utf-8"?>
<sst xmlns="http://schemas.openxmlformats.org/spreadsheetml/2006/main" count="23537" uniqueCount="34">
  <si>
    <t>Report &amp; Chart Settings:</t>
  </si>
  <si>
    <t>From Date:</t>
  </si>
  <si>
    <t>To Date:</t>
  </si>
  <si>
    <t>Time Frame:</t>
  </si>
  <si>
    <t>all</t>
  </si>
  <si>
    <t>Temp. Units:</t>
  </si>
  <si>
    <t>Fahrenheit</t>
  </si>
  <si>
    <t>Ferm. Units:</t>
  </si>
  <si>
    <t>SG</t>
  </si>
  <si>
    <t>Current:</t>
  </si>
  <si>
    <t>First:</t>
  </si>
  <si>
    <t>Ferm. Rate (per day):</t>
  </si>
  <si>
    <t>Duration (days):</t>
  </si>
  <si>
    <t>High:</t>
  </si>
  <si>
    <t>Low:</t>
  </si>
  <si>
    <t>Average:</t>
  </si>
  <si>
    <t>Calculations</t>
  </si>
  <si>
    <t>Apparent Attenuation:</t>
  </si>
  <si>
    <t>Standard Method ABV:</t>
  </si>
  <si>
    <t>Timestamp</t>
  </si>
  <si>
    <t>Timepoint</t>
  </si>
  <si>
    <t>Temp</t>
  </si>
  <si>
    <t>Color</t>
  </si>
  <si>
    <t>Beer</t>
  </si>
  <si>
    <t>Comment</t>
  </si>
  <si>
    <t>BLACK</t>
  </si>
  <si>
    <t>Uncle Sams Cider (04/04/2023)</t>
  </si>
  <si>
    <t>Tips for using this template:</t>
  </si>
  <si>
    <t>1. Raw data goes to the "Data" sheet. "Timestamp" is the time data is posted, "Timepoint" is the time data is sent from the device.</t>
  </si>
  <si>
    <t>2. Number format in the "Timepoint" column must be a decimal number for the chart to plot properly.</t>
  </si>
  <si>
    <t>3. "Report" sheet formats data newest to oldest and allows unit conversion from Farhenheit to Celsius and SG to Plato.</t>
  </si>
  <si>
    <t>4. "Report" sheet also allows viewing multiple time frames for higher level detail.</t>
  </si>
  <si>
    <t>5. Some cells have warnings on making changes, this is to prevent accidental edits that would make the sheet not work.</t>
  </si>
  <si>
    <t>6. Comments on sheet help explain why some of the calculations are there. Comments may be deleted if desired.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</si>
</sst>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:ss"/>
    <numFmt numFmtId="165" formatCode="0.000"/>
    <numFmt numFmtId="166" formatCode="0.0"/>
    <numFmt numFmtId="167" formatCode="0.0000"/>
  </numFmts>
  <fonts count="10">
    <font>
      <sz val="10.0"/>
      <color rgb="FF000000"/>
      <name val="Arial"/>
    </font>
    <font>
      <b/>
      <name val="Arial"/>
    </font>
    <font>
      <b/>
    </font>
    <font>
      <b/>
      <sz val="10.0"/>
    </font>
    <font/>
    <font>
      <sz val="10.0"/>
    </font>
    <font>
      <name val="Arial"/>
    </font>
    <font>
      <color rgb="FF073763"/>
      <name val="Arial"/>
    </font>
    <font>
      <sz val="11.0"/>
      <color rgb="FF00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bottom style="thin">
        <color rgb="FFB7B7B7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000000"/>
      </lef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1" fillId="2" fontId="2" numFmtId="164" xfId="0" applyAlignment="1" applyBorder="1" applyFont="1" applyNumberFormat="1">
      <alignment horizontal="center"/>
    </xf>
    <xf borderId="1" fillId="2" fontId="2" numFmtId="165" xfId="0" applyAlignment="1" applyBorder="1" applyFont="1" applyNumberFormat="1">
      <alignment horizontal="center"/>
    </xf>
    <xf borderId="1" fillId="2" fontId="2" numFmtId="166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right" readingOrder="0" vertical="bottom"/>
    </xf>
    <xf borderId="3" fillId="2" fontId="4" numFmtId="164" xfId="0" applyAlignment="1" applyBorder="1" applyFont="1" applyNumberFormat="1">
      <alignment horizontal="center"/>
    </xf>
    <xf borderId="0" fillId="0" fontId="4" numFmtId="164" xfId="0" applyFont="1" applyNumberFormat="1"/>
    <xf borderId="0" fillId="0" fontId="4" numFmtId="165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5" numFmtId="0" xfId="0" applyAlignment="1" applyFont="1">
      <alignment horizontal="left" readingOrder="0"/>
    </xf>
    <xf borderId="4" fillId="2" fontId="1" numFmtId="0" xfId="0" applyAlignment="1" applyBorder="1" applyFont="1">
      <alignment horizontal="right" readingOrder="0" vertical="bottom"/>
    </xf>
    <xf borderId="1" fillId="2" fontId="4" numFmtId="164" xfId="0" applyAlignment="1" applyBorder="1" applyFont="1" applyNumberFormat="1">
      <alignment horizontal="center"/>
    </xf>
    <xf borderId="0" fillId="0" fontId="4" numFmtId="165" xfId="0" applyFont="1" applyNumberFormat="1"/>
    <xf borderId="0" fillId="0" fontId="4" numFmtId="166" xfId="0" applyFont="1" applyNumberFormat="1"/>
    <xf borderId="4" fillId="2" fontId="2" numFmtId="0" xfId="0" applyAlignment="1" applyBorder="1" applyFont="1">
      <alignment horizontal="right" readingOrder="0"/>
    </xf>
    <xf borderId="1" fillId="2" fontId="6" numFmtId="0" xfId="0" applyAlignment="1" applyBorder="1" applyFont="1">
      <alignment horizontal="center" readingOrder="0" vertical="bottom"/>
    </xf>
    <xf borderId="0" fillId="0" fontId="5" numFmtId="0" xfId="0" applyAlignment="1" applyFont="1">
      <alignment horizontal="left"/>
    </xf>
    <xf borderId="0" fillId="0" fontId="5" numFmtId="0" xfId="0" applyFont="1"/>
    <xf borderId="4" fillId="2" fontId="1" numFmtId="0" xfId="0" applyAlignment="1" applyBorder="1" applyFont="1">
      <alignment horizontal="right" readingOrder="0" vertical="bottom"/>
    </xf>
    <xf borderId="1" fillId="2" fontId="6" numFmtId="165" xfId="0" applyAlignment="1" applyBorder="1" applyFont="1" applyNumberFormat="1">
      <alignment horizontal="center" readingOrder="0" vertical="bottom"/>
    </xf>
    <xf borderId="5" fillId="3" fontId="7" numFmtId="165" xfId="0" applyAlignment="1" applyBorder="1" applyFill="1" applyFont="1" applyNumberFormat="1">
      <alignment horizontal="center" vertical="bottom"/>
    </xf>
    <xf borderId="6" fillId="3" fontId="8" numFmtId="165" xfId="0" applyBorder="1" applyFont="1" applyNumberFormat="1"/>
    <xf borderId="7" fillId="0" fontId="1" numFmtId="164" xfId="0" applyAlignment="1" applyBorder="1" applyFont="1" applyNumberFormat="1">
      <alignment horizontal="right" vertical="bottom"/>
    </xf>
    <xf borderId="8" fillId="0" fontId="6" numFmtId="167" xfId="0" applyAlignment="1" applyBorder="1" applyFont="1" applyNumberFormat="1">
      <alignment horizontal="center" vertical="bottom"/>
    </xf>
    <xf borderId="7" fillId="0" fontId="1" numFmtId="0" xfId="0" applyAlignment="1" applyBorder="1" applyFont="1">
      <alignment horizontal="right" readingOrder="0" vertical="bottom"/>
    </xf>
    <xf borderId="8" fillId="0" fontId="6" numFmtId="2" xfId="0" applyAlignment="1" applyBorder="1" applyFont="1" applyNumberFormat="1">
      <alignment horizontal="center" vertical="bottom"/>
    </xf>
    <xf borderId="0" fillId="0" fontId="5" numFmtId="0" xfId="0" applyAlignment="1" applyFont="1">
      <alignment readingOrder="0"/>
    </xf>
    <xf borderId="9" fillId="0" fontId="1" numFmtId="164" xfId="0" applyAlignment="1" applyBorder="1" applyFont="1" applyNumberFormat="1">
      <alignment horizontal="right" vertical="bottom"/>
    </xf>
    <xf borderId="10" fillId="0" fontId="6" numFmtId="167" xfId="0" applyAlignment="1" applyBorder="1" applyFont="1" applyNumberFormat="1">
      <alignment horizontal="center" vertical="bottom"/>
    </xf>
    <xf borderId="5" fillId="3" fontId="9" numFmtId="165" xfId="0" applyAlignment="1" applyBorder="1" applyFont="1" applyNumberFormat="1">
      <alignment horizontal="center" vertical="bottom"/>
    </xf>
    <xf borderId="5" fillId="0" fontId="1" numFmtId="164" xfId="0" applyAlignment="1" applyBorder="1" applyFont="1" applyNumberFormat="1">
      <alignment horizontal="right" vertical="bottom"/>
    </xf>
    <xf borderId="6" fillId="0" fontId="6" numFmtId="166" xfId="0" applyAlignment="1" applyBorder="1" applyFont="1" applyNumberFormat="1">
      <alignment horizontal="center" vertical="bottom"/>
    </xf>
    <xf borderId="8" fillId="0" fontId="6" numFmtId="166" xfId="0" applyAlignment="1" applyBorder="1" applyFont="1" applyNumberFormat="1">
      <alignment horizontal="center" vertical="bottom"/>
    </xf>
    <xf borderId="0" fillId="0" fontId="4" numFmtId="164" xfId="0" applyAlignment="1" applyFont="1" applyNumberFormat="1">
      <alignment readingOrder="0"/>
    </xf>
    <xf borderId="10" fillId="0" fontId="6" numFmtId="166" xfId="0" applyAlignment="1" applyBorder="1" applyFont="1" applyNumberFormat="1">
      <alignment horizontal="center" vertical="bottom"/>
    </xf>
    <xf borderId="11" fillId="3" fontId="4" numFmtId="0" xfId="0" applyAlignment="1" applyBorder="1" applyFont="1">
      <alignment horizontal="center" readingOrder="0"/>
    </xf>
    <xf borderId="8" fillId="3" fontId="4" numFmtId="0" xfId="0" applyBorder="1" applyFont="1"/>
    <xf borderId="11" fillId="4" fontId="1" numFmtId="164" xfId="0" applyAlignment="1" applyBorder="1" applyFill="1" applyFont="1" applyNumberFormat="1">
      <alignment horizontal="right" vertical="bottom"/>
    </xf>
    <xf borderId="8" fillId="4" fontId="6" numFmtId="10" xfId="0" applyAlignment="1" applyBorder="1" applyFont="1" applyNumberFormat="1">
      <alignment horizontal="center" vertical="bottom"/>
    </xf>
    <xf borderId="12" fillId="4" fontId="1" numFmtId="0" xfId="0" applyAlignment="1" applyBorder="1" applyFont="1">
      <alignment horizontal="right" readingOrder="0" vertical="bottom"/>
    </xf>
    <xf borderId="10" fillId="4" fontId="6" numFmtId="10" xfId="0" applyAlignment="1" applyBorder="1" applyFont="1" applyNumberFormat="1">
      <alignment horizontal="center" vertical="bottom"/>
    </xf>
    <xf borderId="13" fillId="0" fontId="2" numFmtId="0" xfId="0" applyAlignment="1" applyBorder="1" applyFont="1">
      <alignment horizontal="right" readingOrder="0"/>
    </xf>
    <xf borderId="14" fillId="0" fontId="4" numFmtId="2" xfId="0" applyAlignment="1" applyBorder="1" applyFont="1" applyNumberFormat="1">
      <alignment horizontal="center"/>
    </xf>
    <xf borderId="0" fillId="0" fontId="2" numFmtId="164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6" numFmtId="164" xfId="0" applyAlignment="1" applyFont="1" applyNumberFormat="1">
      <alignment horizontal="right" readingOrder="0" vertical="bottom"/>
    </xf>
    <xf borderId="0" fillId="0" fontId="6" numFmtId="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Report!$D$1</c:f>
            </c:strRef>
          </c:tx>
          <c:spPr>
            <a:ln cmpd="sng">
              <a:solidFill>
                <a:srgbClr val="3366CC"/>
              </a:solidFill>
            </a:ln>
          </c:spPr>
          <c:marker>
            <c:symbol val="none"/>
          </c:marker>
          <c:trendline>
            <c:name>SG Trend</c:name>
            <c:spPr>
              <a:ln w="19050">
                <a:solidFill>
                  <a:srgbClr val="3366CC"/>
                </a:solidFill>
              </a:ln>
            </c:spPr>
            <c:trendlineType val="linear"/>
            <c:dispRSqr val="0"/>
            <c:dispEq val="0"/>
          </c:trendline>
          <c:cat>
            <c:strRef>
              <c:f>Report!$C$2:$C$9978</c:f>
            </c:strRef>
          </c:cat>
          <c:val>
            <c:numRef>
              <c:f>Report!$D$2:$D$9978</c:f>
              <c:numCache/>
            </c:numRef>
          </c:val>
          <c:smooth val="0"/>
        </c:ser>
        <c:axId val="2058102035"/>
        <c:axId val="1033709013"/>
      </c:lineChart>
      <c:catAx>
        <c:axId val="20581020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33709013"/>
      </c:catAx>
      <c:valAx>
        <c:axId val="1033709013"/>
        <c:scaling>
          <c:orientation val="minMax"/>
          <c:min val="0.99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58102035"/>
      </c:valAx>
      <c:lineChart>
        <c:varyColors val="0"/>
        <c:ser>
          <c:idx val="1"/>
          <c:order val="1"/>
          <c:tx>
            <c:strRef>
              <c:f>Report!$E$1</c:f>
            </c:strRef>
          </c:tx>
          <c:spPr>
            <a:ln cmpd="sng">
              <a:solidFill>
                <a:srgbClr val="DC3912"/>
              </a:solidFill>
            </a:ln>
          </c:spPr>
          <c:marker>
            <c:symbol val="none"/>
          </c:marker>
          <c:trendline>
            <c:name>Temp Trend</c:name>
            <c:spPr>
              <a:ln w="19050">
                <a:solidFill>
                  <a:srgbClr val="DC3912"/>
                </a:solidFill>
              </a:ln>
            </c:spPr>
            <c:trendlineType val="linear"/>
            <c:dispRSqr val="0"/>
            <c:dispEq val="0"/>
          </c:trendline>
          <c:cat>
            <c:strRef>
              <c:f>Report!$C$2:$C$9978</c:f>
            </c:strRef>
          </c:cat>
          <c:val>
            <c:numRef>
              <c:f>Report!$E$2:$E$9978</c:f>
              <c:numCache/>
            </c:numRef>
          </c:val>
          <c:smooth val="0"/>
        </c:ser>
        <c:axId val="407910062"/>
        <c:axId val="555699825"/>
      </c:lineChart>
      <c:catAx>
        <c:axId val="40791006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55699825"/>
      </c:catAx>
      <c:valAx>
        <c:axId val="55569982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7910062"/>
        <c:crosses val="max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723900" cy="733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5.13"/>
    <col customWidth="1" min="3" max="3" width="16.0"/>
    <col customWidth="1" min="5" max="5" width="17.5"/>
    <col customWidth="1" min="6" max="7" width="19.38"/>
    <col customWidth="1" min="8" max="8" width="14.75"/>
  </cols>
  <sheetData>
    <row r="1">
      <c r="A1" s="1" t="s">
        <v>0</v>
      </c>
      <c r="B1" s="1"/>
      <c r="C1" s="2" t="str">
        <f>IFERROR(__xludf.DUMMYFUNCTION("IF(B5=""Celsius"",IF(B6=""Plato"",QUERY(Data!B:G, ""select B, -463.37+668.72*C-205.35*C*C, (D-32)*5/9, E, F, G where B &gt;= ""&amp;B2&amp;"" and B &lt;= ""&amp;B3&amp;"" order by B desc label -463.37+668.72*C-205.35*C*C  '% sugar (°P)',(D-32)*5/9 'Temp (°C)'"",1),QUERY(Data!B"&amp;":G, ""select B, C, (D-32)*5/9, E, F, G where B &gt;= ""&amp;B2&amp;"" and B &lt;= ""&amp;B3&amp;"" order by B desc label (D-32)*5/9 'Temp (°C)'"",1)),IF(B6=""Plato"",QUERY(Data!B:G, ""select B, -463.37+668.72*C-205.35*C*C, D, E, F, G where B &gt;= ""&amp;B2&amp;"" and B &lt;= ""&amp;B3&amp;"" order"&amp;" by B desc label -463.37+668.72*C-205.35*C*C  '% sugar (°P)',D 'Temp (°F)'"",1),QUERY(Data!B:G, ""select B, C, D, E, F, G where B &gt;= ""&amp;B2&amp;"" and B &lt;= ""&amp;B3&amp;"" order by B desc label D 'Temp (°F)'"",1)))"),"Timepoint")</f>
        <v>Timepoint</v>
      </c>
      <c r="D1" s="3" t="str">
        <f>IFERROR(__xludf.DUMMYFUNCTION("""COMPUTED_VALUE"""),"SG")</f>
        <v>SG</v>
      </c>
      <c r="E1" s="4" t="str">
        <f>IFERROR(__xludf.DUMMYFUNCTION("""COMPUTED_VALUE"""),"Temp (°F)")</f>
        <v>Temp (°F)</v>
      </c>
      <c r="F1" s="5" t="str">
        <f>IFERROR(__xludf.DUMMYFUNCTION("""COMPUTED_VALUE"""),"Color")</f>
        <v>Color</v>
      </c>
      <c r="G1" s="6" t="str">
        <f>IFERROR(__xludf.DUMMYFUNCTION("""COMPUTED_VALUE"""),"Beer")</f>
        <v>Beer</v>
      </c>
      <c r="H1" s="6" t="str">
        <f>IFERROR(__xludf.DUMMYFUNCTION("""COMPUTED_VALUE"""),"Comment")</f>
        <v>Comment</v>
      </c>
    </row>
    <row r="2">
      <c r="A2" s="7" t="s">
        <v>1</v>
      </c>
      <c r="B2" s="8">
        <f>if(B4="all",min(Data!B:B),max(Data!B:B)-mid(B4,6,2))</f>
        <v>45020.91938</v>
      </c>
      <c r="C2" s="9">
        <f>IFERROR(__xludf.DUMMYFUNCTION("""COMPUTED_VALUE"""),45144.7273156365)</f>
        <v>45144.72732</v>
      </c>
      <c r="D2" s="10">
        <f>IFERROR(__xludf.DUMMYFUNCTION("""COMPUTED_VALUE"""),1.004)</f>
        <v>1.004</v>
      </c>
      <c r="E2" s="11">
        <f>IFERROR(__xludf.DUMMYFUNCTION("""COMPUTED_VALUE"""),999.0)</f>
        <v>999</v>
      </c>
      <c r="F2" s="12" t="str">
        <f>IFERROR(__xludf.DUMMYFUNCTION("""COMPUTED_VALUE"""),"BLACK")</f>
        <v>BLACK</v>
      </c>
      <c r="G2" t="str">
        <f>IFERROR(__xludf.DUMMYFUNCTION("""COMPUTED_VALUE"""),"Uncle Sams Cider (04/04/2023)")</f>
        <v>Uncle Sams Cider (04/04/2023)</v>
      </c>
    </row>
    <row r="3" ht="1.5" customHeight="1">
      <c r="A3" s="13" t="s">
        <v>2</v>
      </c>
      <c r="B3" s="14">
        <f>max(Data!B:B)</f>
        <v>45144.72732</v>
      </c>
      <c r="C3" s="9">
        <f>IFERROR(__xludf.DUMMYFUNCTION("""COMPUTED_VALUE"""),45144.7043405208)</f>
        <v>45144.70434</v>
      </c>
      <c r="D3" s="15">
        <f>IFERROR(__xludf.DUMMYFUNCTION("""COMPUTED_VALUE"""),1.004)</f>
        <v>1.004</v>
      </c>
      <c r="E3" s="16">
        <f>IFERROR(__xludf.DUMMYFUNCTION("""COMPUTED_VALUE"""),999.0)</f>
        <v>999</v>
      </c>
      <c r="F3" s="12" t="str">
        <f>IFERROR(__xludf.DUMMYFUNCTION("""COMPUTED_VALUE"""),"BLACK")</f>
        <v>BLACK</v>
      </c>
      <c r="G3" t="str">
        <f>IFERROR(__xludf.DUMMYFUNCTION("""COMPUTED_VALUE"""),"Uncle Sams Cider (04/04/2023)")</f>
        <v>Uncle Sams Cider (04/04/2023)</v>
      </c>
    </row>
    <row r="4">
      <c r="A4" s="17" t="s">
        <v>3</v>
      </c>
      <c r="B4" s="18" t="s">
        <v>4</v>
      </c>
      <c r="C4" s="9">
        <f>IFERROR(__xludf.DUMMYFUNCTION("""COMPUTED_VALUE"""),45144.5977846296)</f>
        <v>45144.59778</v>
      </c>
      <c r="D4" s="15">
        <f>IFERROR(__xludf.DUMMYFUNCTION("""COMPUTED_VALUE"""),1.003)</f>
        <v>1.003</v>
      </c>
      <c r="E4" s="16">
        <f>IFERROR(__xludf.DUMMYFUNCTION("""COMPUTED_VALUE"""),73.0)</f>
        <v>73</v>
      </c>
      <c r="F4" s="19" t="str">
        <f>IFERROR(__xludf.DUMMYFUNCTION("""COMPUTED_VALUE"""),"BLACK")</f>
        <v>BLACK</v>
      </c>
      <c r="G4" s="20" t="str">
        <f>IFERROR(__xludf.DUMMYFUNCTION("""COMPUTED_VALUE"""),"Uncle Sams Cider (04/04/2023)")</f>
        <v>Uncle Sams Cider (04/04/2023)</v>
      </c>
      <c r="H4" s="19"/>
    </row>
    <row r="5">
      <c r="A5" s="17" t="s">
        <v>5</v>
      </c>
      <c r="B5" s="18" t="s">
        <v>6</v>
      </c>
      <c r="C5" s="9">
        <f>IFERROR(__xludf.DUMMYFUNCTION("""COMPUTED_VALUE"""),45144.5873984953)</f>
        <v>45144.5874</v>
      </c>
      <c r="D5" s="15">
        <f>IFERROR(__xludf.DUMMYFUNCTION("""COMPUTED_VALUE"""),1.003)</f>
        <v>1.003</v>
      </c>
      <c r="E5" s="16">
        <f>IFERROR(__xludf.DUMMYFUNCTION("""COMPUTED_VALUE"""),73.0)</f>
        <v>73</v>
      </c>
      <c r="F5" s="19" t="str">
        <f>IFERROR(__xludf.DUMMYFUNCTION("""COMPUTED_VALUE"""),"BLACK")</f>
        <v>BLACK</v>
      </c>
      <c r="G5" s="20" t="str">
        <f>IFERROR(__xludf.DUMMYFUNCTION("""COMPUTED_VALUE"""),"Uncle Sams Cider (04/04/2023)")</f>
        <v>Uncle Sams Cider (04/04/2023)</v>
      </c>
      <c r="H5" s="19"/>
    </row>
    <row r="6">
      <c r="A6" s="21" t="s">
        <v>7</v>
      </c>
      <c r="B6" s="22" t="s">
        <v>8</v>
      </c>
      <c r="C6" s="9">
        <f>IFERROR(__xludf.DUMMYFUNCTION("""COMPUTED_VALUE"""),45144.58736228)</f>
        <v>45144.58736</v>
      </c>
      <c r="D6" s="15">
        <f>IFERROR(__xludf.DUMMYFUNCTION("""COMPUTED_VALUE"""),1.003)</f>
        <v>1.003</v>
      </c>
      <c r="E6" s="16">
        <f>IFERROR(__xludf.DUMMYFUNCTION("""COMPUTED_VALUE"""),73.0)</f>
        <v>73</v>
      </c>
      <c r="F6" s="19" t="str">
        <f>IFERROR(__xludf.DUMMYFUNCTION("""COMPUTED_VALUE"""),"BLACK")</f>
        <v>BLACK</v>
      </c>
      <c r="G6" s="20" t="str">
        <f>IFERROR(__xludf.DUMMYFUNCTION("""COMPUTED_VALUE"""),"Uncle Sams Cider (04/04/2023)")</f>
        <v>Uncle Sams Cider (04/04/2023)</v>
      </c>
      <c r="H6" s="19"/>
    </row>
    <row r="7">
      <c r="A7" s="23" t="str">
        <f>D1</f>
        <v>SG</v>
      </c>
      <c r="B7" s="24"/>
      <c r="C7" s="9">
        <f>IFERROR(__xludf.DUMMYFUNCTION("""COMPUTED_VALUE"""),45144.5769756944)</f>
        <v>45144.57698</v>
      </c>
      <c r="D7" s="15">
        <f>IFERROR(__xludf.DUMMYFUNCTION("""COMPUTED_VALUE"""),1.003)</f>
        <v>1.003</v>
      </c>
      <c r="E7" s="16">
        <f>IFERROR(__xludf.DUMMYFUNCTION("""COMPUTED_VALUE"""),73.0)</f>
        <v>73</v>
      </c>
      <c r="F7" s="19" t="str">
        <f>IFERROR(__xludf.DUMMYFUNCTION("""COMPUTED_VALUE"""),"BLACK")</f>
        <v>BLACK</v>
      </c>
      <c r="G7" s="20" t="str">
        <f>IFERROR(__xludf.DUMMYFUNCTION("""COMPUTED_VALUE"""),"Uncle Sams Cider (04/04/2023)")</f>
        <v>Uncle Sams Cider (04/04/2023)</v>
      </c>
      <c r="H7" s="19"/>
    </row>
    <row r="8">
      <c r="A8" s="25" t="s">
        <v>9</v>
      </c>
      <c r="B8" s="26">
        <f>D2</f>
        <v>1.004</v>
      </c>
      <c r="C8" s="9">
        <f>IFERROR(__xludf.DUMMYFUNCTION("""COMPUTED_VALUE"""),45144.5665420949)</f>
        <v>45144.56654</v>
      </c>
      <c r="D8" s="15">
        <f>IFERROR(__xludf.DUMMYFUNCTION("""COMPUTED_VALUE"""),1.003)</f>
        <v>1.003</v>
      </c>
      <c r="E8" s="16">
        <f>IFERROR(__xludf.DUMMYFUNCTION("""COMPUTED_VALUE"""),73.0)</f>
        <v>73</v>
      </c>
      <c r="F8" s="19" t="str">
        <f>IFERROR(__xludf.DUMMYFUNCTION("""COMPUTED_VALUE"""),"BLACK")</f>
        <v>BLACK</v>
      </c>
      <c r="G8" s="20" t="str">
        <f>IFERROR(__xludf.DUMMYFUNCTION("""COMPUTED_VALUE"""),"Uncle Sams Cider (04/04/2023)")</f>
        <v>Uncle Sams Cider (04/04/2023)</v>
      </c>
      <c r="H8" s="19"/>
    </row>
    <row r="9">
      <c r="A9" s="27" t="s">
        <v>10</v>
      </c>
      <c r="B9" s="26">
        <f>indirect("D"&amp; counta(D:D))</f>
        <v>1.12</v>
      </c>
      <c r="C9" s="9">
        <f>IFERROR(__xludf.DUMMYFUNCTION("""COMPUTED_VALUE"""),45144.5561213888)</f>
        <v>45144.55612</v>
      </c>
      <c r="D9" s="15">
        <f>IFERROR(__xludf.DUMMYFUNCTION("""COMPUTED_VALUE"""),1.003)</f>
        <v>1.003</v>
      </c>
      <c r="E9" s="16">
        <f>IFERROR(__xludf.DUMMYFUNCTION("""COMPUTED_VALUE"""),73.0)</f>
        <v>73</v>
      </c>
      <c r="F9" s="19" t="str">
        <f>IFERROR(__xludf.DUMMYFUNCTION("""COMPUTED_VALUE"""),"BLACK")</f>
        <v>BLACK</v>
      </c>
      <c r="G9" s="20" t="str">
        <f>IFERROR(__xludf.DUMMYFUNCTION("""COMPUTED_VALUE"""),"Uncle Sams Cider (04/04/2023)")</f>
        <v>Uncle Sams Cider (04/04/2023)</v>
      </c>
      <c r="H9" s="19"/>
    </row>
    <row r="10">
      <c r="A10" s="27" t="s">
        <v>11</v>
      </c>
      <c r="B10" s="26">
        <f>IFERROR(slope(D:D,C:C),"more data needed")</f>
        <v>-0.000493018537</v>
      </c>
      <c r="C10" s="9">
        <f>IFERROR(__xludf.DUMMYFUNCTION("""COMPUTED_VALUE"""),45144.5456987268)</f>
        <v>45144.5457</v>
      </c>
      <c r="D10" s="15">
        <f>IFERROR(__xludf.DUMMYFUNCTION("""COMPUTED_VALUE"""),1.003)</f>
        <v>1.003</v>
      </c>
      <c r="E10" s="16">
        <f>IFERROR(__xludf.DUMMYFUNCTION("""COMPUTED_VALUE"""),73.0)</f>
        <v>73</v>
      </c>
      <c r="F10" s="19" t="str">
        <f>IFERROR(__xludf.DUMMYFUNCTION("""COMPUTED_VALUE"""),"BLACK")</f>
        <v>BLACK</v>
      </c>
      <c r="G10" s="20" t="str">
        <f>IFERROR(__xludf.DUMMYFUNCTION("""COMPUTED_VALUE"""),"Uncle Sams Cider (04/04/2023)")</f>
        <v>Uncle Sams Cider (04/04/2023)</v>
      </c>
      <c r="H10" s="19"/>
    </row>
    <row r="11">
      <c r="A11" s="25" t="s">
        <v>12</v>
      </c>
      <c r="B11" s="28">
        <f>B3-B2</f>
        <v>123.8079344</v>
      </c>
      <c r="C11" s="9">
        <f>IFERROR(__xludf.DUMMYFUNCTION("""COMPUTED_VALUE"""),45144.5352770601)</f>
        <v>45144.53528</v>
      </c>
      <c r="D11" s="15">
        <f>IFERROR(__xludf.DUMMYFUNCTION("""COMPUTED_VALUE"""),1.003)</f>
        <v>1.003</v>
      </c>
      <c r="E11" s="11">
        <f>IFERROR(__xludf.DUMMYFUNCTION("""COMPUTED_VALUE"""),73.0)</f>
        <v>73</v>
      </c>
      <c r="F11" s="12" t="str">
        <f>IFERROR(__xludf.DUMMYFUNCTION("""COMPUTED_VALUE"""),"BLACK")</f>
        <v>BLACK</v>
      </c>
      <c r="G11" s="29" t="str">
        <f>IFERROR(__xludf.DUMMYFUNCTION("""COMPUTED_VALUE"""),"Uncle Sams Cider (04/04/2023)")</f>
        <v>Uncle Sams Cider (04/04/2023)</v>
      </c>
      <c r="H11" s="12"/>
    </row>
    <row r="12">
      <c r="A12" s="25" t="s">
        <v>13</v>
      </c>
      <c r="B12" s="26">
        <f>max(D:D)</f>
        <v>1.12</v>
      </c>
      <c r="C12" s="9">
        <f>IFERROR(__xludf.DUMMYFUNCTION("""COMPUTED_VALUE"""),45144.5248570486)</f>
        <v>45144.52486</v>
      </c>
      <c r="D12" s="15">
        <f>IFERROR(__xludf.DUMMYFUNCTION("""COMPUTED_VALUE"""),1.003)</f>
        <v>1.003</v>
      </c>
      <c r="E12" s="11">
        <f>IFERROR(__xludf.DUMMYFUNCTION("""COMPUTED_VALUE"""),73.0)</f>
        <v>73</v>
      </c>
      <c r="F12" s="19" t="str">
        <f>IFERROR(__xludf.DUMMYFUNCTION("""COMPUTED_VALUE"""),"BLACK")</f>
        <v>BLACK</v>
      </c>
      <c r="G12" s="20" t="str">
        <f>IFERROR(__xludf.DUMMYFUNCTION("""COMPUTED_VALUE"""),"Uncle Sams Cider (04/04/2023)")</f>
        <v>Uncle Sams Cider (04/04/2023)</v>
      </c>
      <c r="H12" s="19"/>
    </row>
    <row r="13">
      <c r="A13" s="30" t="s">
        <v>14</v>
      </c>
      <c r="B13" s="31">
        <f>min(D:D)</f>
        <v>1.003</v>
      </c>
      <c r="C13" s="9">
        <f>IFERROR(__xludf.DUMMYFUNCTION("""COMPUTED_VALUE"""),45144.5144352083)</f>
        <v>45144.51444</v>
      </c>
      <c r="D13" s="15">
        <f>IFERROR(__xludf.DUMMYFUNCTION("""COMPUTED_VALUE"""),1.003)</f>
        <v>1.003</v>
      </c>
      <c r="E13" s="11">
        <f>IFERROR(__xludf.DUMMYFUNCTION("""COMPUTED_VALUE"""),73.0)</f>
        <v>73</v>
      </c>
      <c r="F13" s="19" t="str">
        <f>IFERROR(__xludf.DUMMYFUNCTION("""COMPUTED_VALUE"""),"BLACK")</f>
        <v>BLACK</v>
      </c>
      <c r="G13" s="20" t="str">
        <f>IFERROR(__xludf.DUMMYFUNCTION("""COMPUTED_VALUE"""),"Uncle Sams Cider (04/04/2023)")</f>
        <v>Uncle Sams Cider (04/04/2023)</v>
      </c>
      <c r="H13" s="19"/>
    </row>
    <row r="14">
      <c r="A14" s="32" t="str">
        <f>E1</f>
        <v>Temp (°F)</v>
      </c>
      <c r="B14" s="24"/>
      <c r="C14" s="9">
        <f>IFERROR(__xludf.DUMMYFUNCTION("""COMPUTED_VALUE"""),45144.5040136458)</f>
        <v>45144.50401</v>
      </c>
      <c r="D14" s="15">
        <f>IFERROR(__xludf.DUMMYFUNCTION("""COMPUTED_VALUE"""),1.003)</f>
        <v>1.003</v>
      </c>
      <c r="E14" s="16">
        <f>IFERROR(__xludf.DUMMYFUNCTION("""COMPUTED_VALUE"""),73.0)</f>
        <v>73</v>
      </c>
      <c r="F14" s="19" t="str">
        <f>IFERROR(__xludf.DUMMYFUNCTION("""COMPUTED_VALUE"""),"BLACK")</f>
        <v>BLACK</v>
      </c>
      <c r="G14" s="20" t="str">
        <f>IFERROR(__xludf.DUMMYFUNCTION("""COMPUTED_VALUE"""),"Uncle Sams Cider (04/04/2023)")</f>
        <v>Uncle Sams Cider (04/04/2023)</v>
      </c>
      <c r="H14" s="19"/>
    </row>
    <row r="15">
      <c r="A15" s="33" t="s">
        <v>9</v>
      </c>
      <c r="B15" s="34">
        <f>E2</f>
        <v>999</v>
      </c>
      <c r="C15" s="9">
        <f>IFERROR(__xludf.DUMMYFUNCTION("""COMPUTED_VALUE"""),45144.4935817592)</f>
        <v>45144.49358</v>
      </c>
      <c r="D15" s="15">
        <f>IFERROR(__xludf.DUMMYFUNCTION("""COMPUTED_VALUE"""),1.003)</f>
        <v>1.003</v>
      </c>
      <c r="E15" s="16">
        <f>IFERROR(__xludf.DUMMYFUNCTION("""COMPUTED_VALUE"""),73.0)</f>
        <v>73</v>
      </c>
      <c r="F15" s="19" t="str">
        <f>IFERROR(__xludf.DUMMYFUNCTION("""COMPUTED_VALUE"""),"BLACK")</f>
        <v>BLACK</v>
      </c>
      <c r="G15" s="20" t="str">
        <f>IFERROR(__xludf.DUMMYFUNCTION("""COMPUTED_VALUE"""),"Uncle Sams Cider (04/04/2023)")</f>
        <v>Uncle Sams Cider (04/04/2023)</v>
      </c>
      <c r="H15" s="19"/>
    </row>
    <row r="16">
      <c r="A16" s="25" t="s">
        <v>15</v>
      </c>
      <c r="B16" s="35">
        <f>average(E:E)</f>
        <v>68.71668085</v>
      </c>
      <c r="C16" s="9">
        <f>IFERROR(__xludf.DUMMYFUNCTION("""COMPUTED_VALUE"""),45144.4831622916)</f>
        <v>45144.48316</v>
      </c>
      <c r="D16" s="15">
        <f>IFERROR(__xludf.DUMMYFUNCTION("""COMPUTED_VALUE"""),1.003)</f>
        <v>1.003</v>
      </c>
      <c r="E16" s="16">
        <f>IFERROR(__xludf.DUMMYFUNCTION("""COMPUTED_VALUE"""),73.0)</f>
        <v>73</v>
      </c>
      <c r="F16" s="19" t="str">
        <f>IFERROR(__xludf.DUMMYFUNCTION("""COMPUTED_VALUE"""),"BLACK")</f>
        <v>BLACK</v>
      </c>
      <c r="G16" s="20" t="str">
        <f>IFERROR(__xludf.DUMMYFUNCTION("""COMPUTED_VALUE"""),"Uncle Sams Cider (04/04/2023)")</f>
        <v>Uncle Sams Cider (04/04/2023)</v>
      </c>
      <c r="H16" s="19"/>
    </row>
    <row r="17">
      <c r="A17" s="25" t="s">
        <v>12</v>
      </c>
      <c r="B17" s="28">
        <f>B3-B2</f>
        <v>123.8079344</v>
      </c>
      <c r="C17" s="9">
        <f>IFERROR(__xludf.DUMMYFUNCTION("""COMPUTED_VALUE"""),45144.4727417708)</f>
        <v>45144.47274</v>
      </c>
      <c r="D17" s="15">
        <f>IFERROR(__xludf.DUMMYFUNCTION("""COMPUTED_VALUE"""),1.003)</f>
        <v>1.003</v>
      </c>
      <c r="E17" s="16">
        <f>IFERROR(__xludf.DUMMYFUNCTION("""COMPUTED_VALUE"""),73.0)</f>
        <v>73</v>
      </c>
      <c r="F17" s="19" t="str">
        <f>IFERROR(__xludf.DUMMYFUNCTION("""COMPUTED_VALUE"""),"BLACK")</f>
        <v>BLACK</v>
      </c>
      <c r="G17" s="20" t="str">
        <f>IFERROR(__xludf.DUMMYFUNCTION("""COMPUTED_VALUE"""),"Uncle Sams Cider (04/04/2023)")</f>
        <v>Uncle Sams Cider (04/04/2023)</v>
      </c>
      <c r="H17" s="19"/>
    </row>
    <row r="18">
      <c r="A18" s="25" t="s">
        <v>13</v>
      </c>
      <c r="B18" s="35">
        <f>max(E:E)</f>
        <v>999</v>
      </c>
      <c r="C18" s="36">
        <f>IFERROR(__xludf.DUMMYFUNCTION("""COMPUTED_VALUE"""),45144.4623193287)</f>
        <v>45144.46232</v>
      </c>
      <c r="D18" s="15">
        <f>IFERROR(__xludf.DUMMYFUNCTION("""COMPUTED_VALUE"""),1.003)</f>
        <v>1.003</v>
      </c>
      <c r="E18" s="16">
        <f>IFERROR(__xludf.DUMMYFUNCTION("""COMPUTED_VALUE"""),73.0)</f>
        <v>73</v>
      </c>
      <c r="F18" s="19" t="str">
        <f>IFERROR(__xludf.DUMMYFUNCTION("""COMPUTED_VALUE"""),"BLACK")</f>
        <v>BLACK</v>
      </c>
      <c r="G18" s="20" t="str">
        <f>IFERROR(__xludf.DUMMYFUNCTION("""COMPUTED_VALUE"""),"Uncle Sams Cider (04/04/2023)")</f>
        <v>Uncle Sams Cider (04/04/2023)</v>
      </c>
      <c r="H18" s="19"/>
    </row>
    <row r="19">
      <c r="A19" s="30" t="s">
        <v>14</v>
      </c>
      <c r="B19" s="37">
        <f>min(E:E)</f>
        <v>62</v>
      </c>
      <c r="C19" s="9">
        <f>IFERROR(__xludf.DUMMYFUNCTION("""COMPUTED_VALUE"""),45144.4518989467)</f>
        <v>45144.4519</v>
      </c>
      <c r="D19" s="15">
        <f>IFERROR(__xludf.DUMMYFUNCTION("""COMPUTED_VALUE"""),1.003)</f>
        <v>1.003</v>
      </c>
      <c r="E19" s="16">
        <f>IFERROR(__xludf.DUMMYFUNCTION("""COMPUTED_VALUE"""),73.0)</f>
        <v>73</v>
      </c>
      <c r="F19" s="19" t="str">
        <f>IFERROR(__xludf.DUMMYFUNCTION("""COMPUTED_VALUE"""),"BLACK")</f>
        <v>BLACK</v>
      </c>
      <c r="G19" s="20" t="str">
        <f>IFERROR(__xludf.DUMMYFUNCTION("""COMPUTED_VALUE"""),"Uncle Sams Cider (04/04/2023)")</f>
        <v>Uncle Sams Cider (04/04/2023)</v>
      </c>
      <c r="H19" s="19"/>
    </row>
    <row r="20">
      <c r="A20" s="38" t="s">
        <v>16</v>
      </c>
      <c r="B20" s="39"/>
      <c r="C20" s="9">
        <f>IFERROR(__xludf.DUMMYFUNCTION("""COMPUTED_VALUE"""),45144.4414787847)</f>
        <v>45144.44148</v>
      </c>
      <c r="D20" s="15">
        <f>IFERROR(__xludf.DUMMYFUNCTION("""COMPUTED_VALUE"""),1.003)</f>
        <v>1.003</v>
      </c>
      <c r="E20" s="16">
        <f>IFERROR(__xludf.DUMMYFUNCTION("""COMPUTED_VALUE"""),73.0)</f>
        <v>73</v>
      </c>
      <c r="F20" s="19" t="str">
        <f>IFERROR(__xludf.DUMMYFUNCTION("""COMPUTED_VALUE"""),"BLACK")</f>
        <v>BLACK</v>
      </c>
      <c r="G20" s="20" t="str">
        <f>IFERROR(__xludf.DUMMYFUNCTION("""COMPUTED_VALUE"""),"Uncle Sams Cider (04/04/2023)")</f>
        <v>Uncle Sams Cider (04/04/2023)</v>
      </c>
      <c r="H20" s="19"/>
    </row>
    <row r="21">
      <c r="A21" s="40" t="s">
        <v>17</v>
      </c>
      <c r="B21" s="41">
        <f>IF(D1="SG",(B9-B8)/(B9-1),(B9-B8)/(B9))
</f>
        <v>0.9666666667</v>
      </c>
      <c r="C21" s="9">
        <f>IFERROR(__xludf.DUMMYFUNCTION("""COMPUTED_VALUE"""),45144.4310575578)</f>
        <v>45144.43106</v>
      </c>
      <c r="D21" s="15">
        <f>IFERROR(__xludf.DUMMYFUNCTION("""COMPUTED_VALUE"""),1.003)</f>
        <v>1.003</v>
      </c>
      <c r="E21" s="16">
        <f>IFERROR(__xludf.DUMMYFUNCTION("""COMPUTED_VALUE"""),73.0)</f>
        <v>73</v>
      </c>
      <c r="F21" s="19" t="str">
        <f>IFERROR(__xludf.DUMMYFUNCTION("""COMPUTED_VALUE"""),"BLACK")</f>
        <v>BLACK</v>
      </c>
      <c r="G21" s="20" t="str">
        <f>IFERROR(__xludf.DUMMYFUNCTION("""COMPUTED_VALUE"""),"Uncle Sams Cider (04/04/2023)")</f>
        <v>Uncle Sams Cider (04/04/2023)</v>
      </c>
      <c r="H21" s="19"/>
    </row>
    <row r="22">
      <c r="A22" s="42" t="s">
        <v>18</v>
      </c>
      <c r="B22" s="43">
        <f>IFS(A22="Standard Method ABV:",IF(B6="SG",(B9-B8)*1.3125,((1+(B9/(258.6-((B9/258.2)*227.1))))-(1+(B8/(258.6-((B8/258.2)*227.1)))))*1.3125),A22="Alternate Method ABV:",IF(B6="SG",(76.08*(B9-B8)/(1.775-B9))*(B8/0.794)/100,"Must use SG"),A22="UK HMRC Method ABV:",IF(B6="SG",IFS(B9-B8&lt;=0.0069,(B9-B8)*1.25,B9-B8&lt;=0.0104,(B9-B8)*1.26,B9-B8&lt;=0.0172,(B9-B8)*1.27,B9-B8&lt;=0.0261,(B9-B8)*1.28,B9-B8&lt;=0.036,(B9-B8)*1.29,B9-B8&lt;=0.0465,(B9-B8)*1.3,B9-B8&lt;=0.0571,(B9-B8)*1.31,B9-B8&lt;=0.0679,(B9-B8)*1.32,B9-B8&lt;=0.0788,(B9-B8)*1.33,B9-B8&lt;=0.0897,(B9-B8)*1.34,B9-B8&lt;=0.1007,(B9-B8)*1.35),"Must use SG"),A22="Wine Method ABV:",IF(B6="SG",(B9-B8)/7.36*1000/100,"Must use SG"))</f>
        <v>0.15225</v>
      </c>
      <c r="C22" s="9">
        <f>IFERROR(__xludf.DUMMYFUNCTION("""COMPUTED_VALUE"""),45144.4206361458)</f>
        <v>45144.42064</v>
      </c>
      <c r="D22" s="15">
        <f>IFERROR(__xludf.DUMMYFUNCTION("""COMPUTED_VALUE"""),1.003)</f>
        <v>1.003</v>
      </c>
      <c r="E22" s="16">
        <f>IFERROR(__xludf.DUMMYFUNCTION("""COMPUTED_VALUE"""),73.0)</f>
        <v>73</v>
      </c>
      <c r="F22" s="19" t="str">
        <f>IFERROR(__xludf.DUMMYFUNCTION("""COMPUTED_VALUE"""),"BLACK")</f>
        <v>BLACK</v>
      </c>
      <c r="G22" s="20" t="str">
        <f>IFERROR(__xludf.DUMMYFUNCTION("""COMPUTED_VALUE"""),"Uncle Sams Cider (04/04/2023)")</f>
        <v>Uncle Sams Cider (04/04/2023)</v>
      </c>
      <c r="H22" s="19"/>
    </row>
    <row r="23">
      <c r="A23" s="44" t="str">
        <f>"Days at Current "&amp;A7&amp;":"</f>
        <v>Days at Current SG:</v>
      </c>
      <c r="B23" s="45">
        <f>maxifs(C:C,D:D,B8)-minifs(C:C,D:D,B8)</f>
        <v>42.54777588</v>
      </c>
      <c r="C23" s="9">
        <f>IFERROR(__xludf.DUMMYFUNCTION("""COMPUTED_VALUE"""),45144.4102153472)</f>
        <v>45144.41022</v>
      </c>
      <c r="D23" s="15">
        <f>IFERROR(__xludf.DUMMYFUNCTION("""COMPUTED_VALUE"""),1.003)</f>
        <v>1.003</v>
      </c>
      <c r="E23" s="16">
        <f>IFERROR(__xludf.DUMMYFUNCTION("""COMPUTED_VALUE"""),73.0)</f>
        <v>73</v>
      </c>
      <c r="F23" s="19" t="str">
        <f>IFERROR(__xludf.DUMMYFUNCTION("""COMPUTED_VALUE"""),"BLACK")</f>
        <v>BLACK</v>
      </c>
      <c r="G23" s="20" t="str">
        <f>IFERROR(__xludf.DUMMYFUNCTION("""COMPUTED_VALUE"""),"Uncle Sams Cider (04/04/2023)")</f>
        <v>Uncle Sams Cider (04/04/2023)</v>
      </c>
      <c r="H23" s="19"/>
    </row>
    <row r="24">
      <c r="A24" s="9"/>
      <c r="B24" s="15"/>
      <c r="C24" s="9">
        <f>IFERROR(__xludf.DUMMYFUNCTION("""COMPUTED_VALUE"""),45144.39979353)</f>
        <v>45144.39979</v>
      </c>
      <c r="D24" s="15">
        <f>IFERROR(__xludf.DUMMYFUNCTION("""COMPUTED_VALUE"""),1.003)</f>
        <v>1.003</v>
      </c>
      <c r="E24" s="16">
        <f>IFERROR(__xludf.DUMMYFUNCTION("""COMPUTED_VALUE"""),73.0)</f>
        <v>73</v>
      </c>
      <c r="F24" s="19" t="str">
        <f>IFERROR(__xludf.DUMMYFUNCTION("""COMPUTED_VALUE"""),"BLACK")</f>
        <v>BLACK</v>
      </c>
      <c r="G24" s="20" t="str">
        <f>IFERROR(__xludf.DUMMYFUNCTION("""COMPUTED_VALUE"""),"Uncle Sams Cider (04/04/2023)")</f>
        <v>Uncle Sams Cider (04/04/2023)</v>
      </c>
      <c r="H24" s="19"/>
    </row>
    <row r="25">
      <c r="A25" s="9"/>
      <c r="B25" s="15"/>
      <c r="C25" s="9">
        <f>IFERROR(__xludf.DUMMYFUNCTION("""COMPUTED_VALUE"""),45144.389373125)</f>
        <v>45144.38937</v>
      </c>
      <c r="D25" s="15">
        <f>IFERROR(__xludf.DUMMYFUNCTION("""COMPUTED_VALUE"""),1.003)</f>
        <v>1.003</v>
      </c>
      <c r="E25" s="16">
        <f>IFERROR(__xludf.DUMMYFUNCTION("""COMPUTED_VALUE"""),73.0)</f>
        <v>73</v>
      </c>
      <c r="F25" s="19" t="str">
        <f>IFERROR(__xludf.DUMMYFUNCTION("""COMPUTED_VALUE"""),"BLACK")</f>
        <v>BLACK</v>
      </c>
      <c r="G25" s="20" t="str">
        <f>IFERROR(__xludf.DUMMYFUNCTION("""COMPUTED_VALUE"""),"Uncle Sams Cider (04/04/2023)")</f>
        <v>Uncle Sams Cider (04/04/2023)</v>
      </c>
      <c r="H25" s="19"/>
    </row>
    <row r="26">
      <c r="A26" s="9"/>
      <c r="B26" s="15"/>
      <c r="C26" s="9">
        <f>IFERROR(__xludf.DUMMYFUNCTION("""COMPUTED_VALUE"""),45144.3789508796)</f>
        <v>45144.37895</v>
      </c>
      <c r="D26" s="15">
        <f>IFERROR(__xludf.DUMMYFUNCTION("""COMPUTED_VALUE"""),1.003)</f>
        <v>1.003</v>
      </c>
      <c r="E26" s="16">
        <f>IFERROR(__xludf.DUMMYFUNCTION("""COMPUTED_VALUE"""),73.0)</f>
        <v>73</v>
      </c>
      <c r="F26" s="19" t="str">
        <f>IFERROR(__xludf.DUMMYFUNCTION("""COMPUTED_VALUE"""),"BLACK")</f>
        <v>BLACK</v>
      </c>
      <c r="G26" s="20" t="str">
        <f>IFERROR(__xludf.DUMMYFUNCTION("""COMPUTED_VALUE"""),"Uncle Sams Cider (04/04/2023)")</f>
        <v>Uncle Sams Cider (04/04/2023)</v>
      </c>
      <c r="H26" s="19"/>
    </row>
    <row r="27">
      <c r="A27" s="9"/>
      <c r="B27" s="15"/>
      <c r="C27" s="9">
        <f>IFERROR(__xludf.DUMMYFUNCTION("""COMPUTED_VALUE"""),45144.3685292708)</f>
        <v>45144.36853</v>
      </c>
      <c r="D27" s="15">
        <f>IFERROR(__xludf.DUMMYFUNCTION("""COMPUTED_VALUE"""),1.003)</f>
        <v>1.003</v>
      </c>
      <c r="E27" s="16">
        <f>IFERROR(__xludf.DUMMYFUNCTION("""COMPUTED_VALUE"""),73.0)</f>
        <v>73</v>
      </c>
      <c r="F27" s="19" t="str">
        <f>IFERROR(__xludf.DUMMYFUNCTION("""COMPUTED_VALUE"""),"BLACK")</f>
        <v>BLACK</v>
      </c>
      <c r="G27" s="20" t="str">
        <f>IFERROR(__xludf.DUMMYFUNCTION("""COMPUTED_VALUE"""),"Uncle Sams Cider (04/04/2023)")</f>
        <v>Uncle Sams Cider (04/04/2023)</v>
      </c>
      <c r="H27" s="19"/>
    </row>
    <row r="28">
      <c r="A28" s="9"/>
      <c r="B28" s="15"/>
      <c r="C28" s="9">
        <f>IFERROR(__xludf.DUMMYFUNCTION("""COMPUTED_VALUE"""),45144.3581072453)</f>
        <v>45144.35811</v>
      </c>
      <c r="D28" s="15">
        <f>IFERROR(__xludf.DUMMYFUNCTION("""COMPUTED_VALUE"""),1.003)</f>
        <v>1.003</v>
      </c>
      <c r="E28" s="16">
        <f>IFERROR(__xludf.DUMMYFUNCTION("""COMPUTED_VALUE"""),73.0)</f>
        <v>73</v>
      </c>
      <c r="F28" s="19" t="str">
        <f>IFERROR(__xludf.DUMMYFUNCTION("""COMPUTED_VALUE"""),"BLACK")</f>
        <v>BLACK</v>
      </c>
      <c r="G28" s="20" t="str">
        <f>IFERROR(__xludf.DUMMYFUNCTION("""COMPUTED_VALUE"""),"Uncle Sams Cider (04/04/2023)")</f>
        <v>Uncle Sams Cider (04/04/2023)</v>
      </c>
      <c r="H28" s="19"/>
    </row>
    <row r="29">
      <c r="A29" s="9"/>
      <c r="B29" s="15"/>
      <c r="C29" s="9">
        <f>IFERROR(__xludf.DUMMYFUNCTION("""COMPUTED_VALUE"""),45144.3476865046)</f>
        <v>45144.34769</v>
      </c>
      <c r="D29" s="15">
        <f>IFERROR(__xludf.DUMMYFUNCTION("""COMPUTED_VALUE"""),1.003)</f>
        <v>1.003</v>
      </c>
      <c r="E29" s="16">
        <f>IFERROR(__xludf.DUMMYFUNCTION("""COMPUTED_VALUE"""),73.0)</f>
        <v>73</v>
      </c>
      <c r="F29" s="19" t="str">
        <f>IFERROR(__xludf.DUMMYFUNCTION("""COMPUTED_VALUE"""),"BLACK")</f>
        <v>BLACK</v>
      </c>
      <c r="G29" s="20" t="str">
        <f>IFERROR(__xludf.DUMMYFUNCTION("""COMPUTED_VALUE"""),"Uncle Sams Cider (04/04/2023)")</f>
        <v>Uncle Sams Cider (04/04/2023)</v>
      </c>
      <c r="H29" s="19"/>
    </row>
    <row r="30">
      <c r="A30" s="9"/>
      <c r="B30" s="15"/>
      <c r="C30" s="9">
        <f>IFERROR(__xludf.DUMMYFUNCTION("""COMPUTED_VALUE"""),45144.3372658101)</f>
        <v>45144.33727</v>
      </c>
      <c r="D30" s="15">
        <f>IFERROR(__xludf.DUMMYFUNCTION("""COMPUTED_VALUE"""),1.003)</f>
        <v>1.003</v>
      </c>
      <c r="E30" s="16">
        <f>IFERROR(__xludf.DUMMYFUNCTION("""COMPUTED_VALUE"""),73.0)</f>
        <v>73</v>
      </c>
      <c r="F30" s="19" t="str">
        <f>IFERROR(__xludf.DUMMYFUNCTION("""COMPUTED_VALUE"""),"BLACK")</f>
        <v>BLACK</v>
      </c>
      <c r="G30" s="20" t="str">
        <f>IFERROR(__xludf.DUMMYFUNCTION("""COMPUTED_VALUE"""),"Uncle Sams Cider (04/04/2023)")</f>
        <v>Uncle Sams Cider (04/04/2023)</v>
      </c>
      <c r="H30" s="19"/>
    </row>
    <row r="31">
      <c r="A31" s="9"/>
      <c r="B31" s="15"/>
      <c r="C31" s="9">
        <f>IFERROR(__xludf.DUMMYFUNCTION("""COMPUTED_VALUE"""),45144.3268435764)</f>
        <v>45144.32684</v>
      </c>
      <c r="D31" s="15">
        <f>IFERROR(__xludf.DUMMYFUNCTION("""COMPUTED_VALUE"""),1.003)</f>
        <v>1.003</v>
      </c>
      <c r="E31" s="16">
        <f>IFERROR(__xludf.DUMMYFUNCTION("""COMPUTED_VALUE"""),73.0)</f>
        <v>73</v>
      </c>
      <c r="F31" s="19" t="str">
        <f>IFERROR(__xludf.DUMMYFUNCTION("""COMPUTED_VALUE"""),"BLACK")</f>
        <v>BLACK</v>
      </c>
      <c r="G31" s="20" t="str">
        <f>IFERROR(__xludf.DUMMYFUNCTION("""COMPUTED_VALUE"""),"Uncle Sams Cider (04/04/2023)")</f>
        <v>Uncle Sams Cider (04/04/2023)</v>
      </c>
      <c r="H31" s="19"/>
    </row>
    <row r="32">
      <c r="A32" s="9"/>
      <c r="B32" s="15"/>
      <c r="C32" s="9">
        <f>IFERROR(__xludf.DUMMYFUNCTION("""COMPUTED_VALUE"""),45144.3164239583)</f>
        <v>45144.31642</v>
      </c>
      <c r="D32" s="15">
        <f>IFERROR(__xludf.DUMMYFUNCTION("""COMPUTED_VALUE"""),1.003)</f>
        <v>1.003</v>
      </c>
      <c r="E32" s="16">
        <f>IFERROR(__xludf.DUMMYFUNCTION("""COMPUTED_VALUE"""),73.0)</f>
        <v>73</v>
      </c>
      <c r="F32" s="19" t="str">
        <f>IFERROR(__xludf.DUMMYFUNCTION("""COMPUTED_VALUE"""),"BLACK")</f>
        <v>BLACK</v>
      </c>
      <c r="G32" s="20" t="str">
        <f>IFERROR(__xludf.DUMMYFUNCTION("""COMPUTED_VALUE"""),"Uncle Sams Cider (04/04/2023)")</f>
        <v>Uncle Sams Cider (04/04/2023)</v>
      </c>
      <c r="H32" s="19"/>
    </row>
    <row r="33">
      <c r="A33" s="9"/>
      <c r="B33" s="15"/>
      <c r="C33" s="9">
        <f>IFERROR(__xludf.DUMMYFUNCTION("""COMPUTED_VALUE"""),45144.30600228)</f>
        <v>45144.306</v>
      </c>
      <c r="D33" s="15">
        <f>IFERROR(__xludf.DUMMYFUNCTION("""COMPUTED_VALUE"""),1.003)</f>
        <v>1.003</v>
      </c>
      <c r="E33" s="16">
        <f>IFERROR(__xludf.DUMMYFUNCTION("""COMPUTED_VALUE"""),73.0)</f>
        <v>73</v>
      </c>
      <c r="F33" s="19" t="str">
        <f>IFERROR(__xludf.DUMMYFUNCTION("""COMPUTED_VALUE"""),"BLACK")</f>
        <v>BLACK</v>
      </c>
      <c r="G33" s="20" t="str">
        <f>IFERROR(__xludf.DUMMYFUNCTION("""COMPUTED_VALUE"""),"Uncle Sams Cider (04/04/2023)")</f>
        <v>Uncle Sams Cider (04/04/2023)</v>
      </c>
      <c r="H33" s="19"/>
    </row>
    <row r="34">
      <c r="A34" s="9"/>
      <c r="B34" s="15"/>
      <c r="C34" s="9">
        <f>IFERROR(__xludf.DUMMYFUNCTION("""COMPUTED_VALUE"""),45144.2955809606)</f>
        <v>45144.29558</v>
      </c>
      <c r="D34" s="15">
        <f>IFERROR(__xludf.DUMMYFUNCTION("""COMPUTED_VALUE"""),1.003)</f>
        <v>1.003</v>
      </c>
      <c r="E34" s="16">
        <f>IFERROR(__xludf.DUMMYFUNCTION("""COMPUTED_VALUE"""),73.0)</f>
        <v>73</v>
      </c>
      <c r="F34" s="19" t="str">
        <f>IFERROR(__xludf.DUMMYFUNCTION("""COMPUTED_VALUE"""),"BLACK")</f>
        <v>BLACK</v>
      </c>
      <c r="G34" s="20" t="str">
        <f>IFERROR(__xludf.DUMMYFUNCTION("""COMPUTED_VALUE"""),"Uncle Sams Cider (04/04/2023)")</f>
        <v>Uncle Sams Cider (04/04/2023)</v>
      </c>
      <c r="H34" s="19"/>
    </row>
    <row r="35">
      <c r="A35" s="9"/>
      <c r="B35" s="15"/>
      <c r="C35" s="9">
        <f>IFERROR(__xludf.DUMMYFUNCTION("""COMPUTED_VALUE"""),45144.2851623842)</f>
        <v>45144.28516</v>
      </c>
      <c r="D35" s="15">
        <f>IFERROR(__xludf.DUMMYFUNCTION("""COMPUTED_VALUE"""),1.003)</f>
        <v>1.003</v>
      </c>
      <c r="E35" s="16">
        <f>IFERROR(__xludf.DUMMYFUNCTION("""COMPUTED_VALUE"""),73.0)</f>
        <v>73</v>
      </c>
      <c r="F35" s="19" t="str">
        <f>IFERROR(__xludf.DUMMYFUNCTION("""COMPUTED_VALUE"""),"BLACK")</f>
        <v>BLACK</v>
      </c>
      <c r="G35" s="20" t="str">
        <f>IFERROR(__xludf.DUMMYFUNCTION("""COMPUTED_VALUE"""),"Uncle Sams Cider (04/04/2023)")</f>
        <v>Uncle Sams Cider (04/04/2023)</v>
      </c>
      <c r="H35" s="19"/>
    </row>
    <row r="36">
      <c r="A36" s="9"/>
      <c r="B36" s="15"/>
      <c r="C36" s="9">
        <f>IFERROR(__xludf.DUMMYFUNCTION("""COMPUTED_VALUE"""),45144.2747429745)</f>
        <v>45144.27474</v>
      </c>
      <c r="D36" s="15">
        <f>IFERROR(__xludf.DUMMYFUNCTION("""COMPUTED_VALUE"""),1.003)</f>
        <v>1.003</v>
      </c>
      <c r="E36" s="16">
        <f>IFERROR(__xludf.DUMMYFUNCTION("""COMPUTED_VALUE"""),73.0)</f>
        <v>73</v>
      </c>
      <c r="F36" s="19" t="str">
        <f>IFERROR(__xludf.DUMMYFUNCTION("""COMPUTED_VALUE"""),"BLACK")</f>
        <v>BLACK</v>
      </c>
      <c r="G36" s="20" t="str">
        <f>IFERROR(__xludf.DUMMYFUNCTION("""COMPUTED_VALUE"""),"Uncle Sams Cider (04/04/2023)")</f>
        <v>Uncle Sams Cider (04/04/2023)</v>
      </c>
      <c r="H36" s="19"/>
    </row>
    <row r="37">
      <c r="A37" s="9"/>
      <c r="B37" s="15"/>
      <c r="C37" s="9">
        <f>IFERROR(__xludf.DUMMYFUNCTION("""COMPUTED_VALUE"""),45144.2643232407)</f>
        <v>45144.26432</v>
      </c>
      <c r="D37" s="15">
        <f>IFERROR(__xludf.DUMMYFUNCTION("""COMPUTED_VALUE"""),1.003)</f>
        <v>1.003</v>
      </c>
      <c r="E37" s="16">
        <f>IFERROR(__xludf.DUMMYFUNCTION("""COMPUTED_VALUE"""),73.0)</f>
        <v>73</v>
      </c>
      <c r="F37" s="19" t="str">
        <f>IFERROR(__xludf.DUMMYFUNCTION("""COMPUTED_VALUE"""),"BLACK")</f>
        <v>BLACK</v>
      </c>
      <c r="G37" s="20" t="str">
        <f>IFERROR(__xludf.DUMMYFUNCTION("""COMPUTED_VALUE"""),"Uncle Sams Cider (04/04/2023)")</f>
        <v>Uncle Sams Cider (04/04/2023)</v>
      </c>
      <c r="H37" s="19"/>
    </row>
    <row r="38">
      <c r="A38" s="9"/>
      <c r="B38" s="15"/>
      <c r="C38" s="9">
        <f>IFERROR(__xludf.DUMMYFUNCTION("""COMPUTED_VALUE"""),45144.2539031018)</f>
        <v>45144.2539</v>
      </c>
      <c r="D38" s="15">
        <f>IFERROR(__xludf.DUMMYFUNCTION("""COMPUTED_VALUE"""),1.003)</f>
        <v>1.003</v>
      </c>
      <c r="E38" s="16">
        <f>IFERROR(__xludf.DUMMYFUNCTION("""COMPUTED_VALUE"""),73.0)</f>
        <v>73</v>
      </c>
      <c r="F38" s="19" t="str">
        <f>IFERROR(__xludf.DUMMYFUNCTION("""COMPUTED_VALUE"""),"BLACK")</f>
        <v>BLACK</v>
      </c>
      <c r="G38" s="20" t="str">
        <f>IFERROR(__xludf.DUMMYFUNCTION("""COMPUTED_VALUE"""),"Uncle Sams Cider (04/04/2023)")</f>
        <v>Uncle Sams Cider (04/04/2023)</v>
      </c>
      <c r="H38" s="19"/>
    </row>
    <row r="39">
      <c r="A39" s="9"/>
      <c r="B39" s="15"/>
      <c r="C39" s="9">
        <f>IFERROR(__xludf.DUMMYFUNCTION("""COMPUTED_VALUE"""),45144.2434825578)</f>
        <v>45144.24348</v>
      </c>
      <c r="D39" s="15">
        <f>IFERROR(__xludf.DUMMYFUNCTION("""COMPUTED_VALUE"""),1.003)</f>
        <v>1.003</v>
      </c>
      <c r="E39" s="16">
        <f>IFERROR(__xludf.DUMMYFUNCTION("""COMPUTED_VALUE"""),73.0)</f>
        <v>73</v>
      </c>
      <c r="F39" s="19" t="str">
        <f>IFERROR(__xludf.DUMMYFUNCTION("""COMPUTED_VALUE"""),"BLACK")</f>
        <v>BLACK</v>
      </c>
      <c r="G39" s="20" t="str">
        <f>IFERROR(__xludf.DUMMYFUNCTION("""COMPUTED_VALUE"""),"Uncle Sams Cider (04/04/2023)")</f>
        <v>Uncle Sams Cider (04/04/2023)</v>
      </c>
      <c r="H39" s="19"/>
    </row>
    <row r="40">
      <c r="A40" s="9"/>
      <c r="B40" s="15"/>
      <c r="C40" s="9">
        <f>IFERROR(__xludf.DUMMYFUNCTION("""COMPUTED_VALUE"""),45144.2330606713)</f>
        <v>45144.23306</v>
      </c>
      <c r="D40" s="15">
        <f>IFERROR(__xludf.DUMMYFUNCTION("""COMPUTED_VALUE"""),1.003)</f>
        <v>1.003</v>
      </c>
      <c r="E40" s="16">
        <f>IFERROR(__xludf.DUMMYFUNCTION("""COMPUTED_VALUE"""),73.0)</f>
        <v>73</v>
      </c>
      <c r="F40" s="19" t="str">
        <f>IFERROR(__xludf.DUMMYFUNCTION("""COMPUTED_VALUE"""),"BLACK")</f>
        <v>BLACK</v>
      </c>
      <c r="G40" s="20" t="str">
        <f>IFERROR(__xludf.DUMMYFUNCTION("""COMPUTED_VALUE"""),"Uncle Sams Cider (04/04/2023)")</f>
        <v>Uncle Sams Cider (04/04/2023)</v>
      </c>
      <c r="H40" s="19"/>
    </row>
    <row r="41">
      <c r="A41" s="9"/>
      <c r="B41" s="15"/>
      <c r="C41" s="9">
        <f>IFERROR(__xludf.DUMMYFUNCTION("""COMPUTED_VALUE"""),45144.222628206)</f>
        <v>45144.22263</v>
      </c>
      <c r="D41" s="15">
        <f>IFERROR(__xludf.DUMMYFUNCTION("""COMPUTED_VALUE"""),1.003)</f>
        <v>1.003</v>
      </c>
      <c r="E41" s="16">
        <f>IFERROR(__xludf.DUMMYFUNCTION("""COMPUTED_VALUE"""),73.0)</f>
        <v>73</v>
      </c>
      <c r="F41" s="19" t="str">
        <f>IFERROR(__xludf.DUMMYFUNCTION("""COMPUTED_VALUE"""),"BLACK")</f>
        <v>BLACK</v>
      </c>
      <c r="G41" s="20" t="str">
        <f>IFERROR(__xludf.DUMMYFUNCTION("""COMPUTED_VALUE"""),"Uncle Sams Cider (04/04/2023)")</f>
        <v>Uncle Sams Cider (04/04/2023)</v>
      </c>
      <c r="H41" s="19"/>
    </row>
    <row r="42">
      <c r="A42" s="9"/>
      <c r="B42" s="15"/>
      <c r="C42" s="9">
        <f>IFERROR(__xludf.DUMMYFUNCTION("""COMPUTED_VALUE"""),45144.2122066203)</f>
        <v>45144.21221</v>
      </c>
      <c r="D42" s="15">
        <f>IFERROR(__xludf.DUMMYFUNCTION("""COMPUTED_VALUE"""),1.003)</f>
        <v>1.003</v>
      </c>
      <c r="E42" s="16">
        <f>IFERROR(__xludf.DUMMYFUNCTION("""COMPUTED_VALUE"""),73.0)</f>
        <v>73</v>
      </c>
      <c r="F42" s="19" t="str">
        <f>IFERROR(__xludf.DUMMYFUNCTION("""COMPUTED_VALUE"""),"BLACK")</f>
        <v>BLACK</v>
      </c>
      <c r="G42" s="20" t="str">
        <f>IFERROR(__xludf.DUMMYFUNCTION("""COMPUTED_VALUE"""),"Uncle Sams Cider (04/04/2023)")</f>
        <v>Uncle Sams Cider (04/04/2023)</v>
      </c>
      <c r="H42" s="19"/>
    </row>
    <row r="43">
      <c r="A43" s="9"/>
      <c r="B43" s="15"/>
      <c r="C43" s="9">
        <f>IFERROR(__xludf.DUMMYFUNCTION("""COMPUTED_VALUE"""),45144.2017734606)</f>
        <v>45144.20177</v>
      </c>
      <c r="D43" s="15">
        <f>IFERROR(__xludf.DUMMYFUNCTION("""COMPUTED_VALUE"""),1.003)</f>
        <v>1.003</v>
      </c>
      <c r="E43" s="16">
        <f>IFERROR(__xludf.DUMMYFUNCTION("""COMPUTED_VALUE"""),73.0)</f>
        <v>73</v>
      </c>
      <c r="F43" s="19" t="str">
        <f>IFERROR(__xludf.DUMMYFUNCTION("""COMPUTED_VALUE"""),"BLACK")</f>
        <v>BLACK</v>
      </c>
      <c r="G43" s="20" t="str">
        <f>IFERROR(__xludf.DUMMYFUNCTION("""COMPUTED_VALUE"""),"Uncle Sams Cider (04/04/2023)")</f>
        <v>Uncle Sams Cider (04/04/2023)</v>
      </c>
      <c r="H43" s="19"/>
    </row>
    <row r="44">
      <c r="A44" s="9"/>
      <c r="B44" s="15"/>
      <c r="C44" s="9">
        <f>IFERROR(__xludf.DUMMYFUNCTION("""COMPUTED_VALUE"""),45144.1913512731)</f>
        <v>45144.19135</v>
      </c>
      <c r="D44" s="15">
        <f>IFERROR(__xludf.DUMMYFUNCTION("""COMPUTED_VALUE"""),1.003)</f>
        <v>1.003</v>
      </c>
      <c r="E44" s="16">
        <f>IFERROR(__xludf.DUMMYFUNCTION("""COMPUTED_VALUE"""),73.0)</f>
        <v>73</v>
      </c>
      <c r="F44" s="19" t="str">
        <f>IFERROR(__xludf.DUMMYFUNCTION("""COMPUTED_VALUE"""),"BLACK")</f>
        <v>BLACK</v>
      </c>
      <c r="G44" s="20" t="str">
        <f>IFERROR(__xludf.DUMMYFUNCTION("""COMPUTED_VALUE"""),"Uncle Sams Cider (04/04/2023)")</f>
        <v>Uncle Sams Cider (04/04/2023)</v>
      </c>
      <c r="H44" s="19"/>
    </row>
    <row r="45">
      <c r="A45" s="9"/>
      <c r="B45" s="15"/>
      <c r="C45" s="9">
        <f>IFERROR(__xludf.DUMMYFUNCTION("""COMPUTED_VALUE"""),45144.1809297222)</f>
        <v>45144.18093</v>
      </c>
      <c r="D45" s="15">
        <f>IFERROR(__xludf.DUMMYFUNCTION("""COMPUTED_VALUE"""),1.003)</f>
        <v>1.003</v>
      </c>
      <c r="E45" s="16">
        <f>IFERROR(__xludf.DUMMYFUNCTION("""COMPUTED_VALUE"""),73.0)</f>
        <v>73</v>
      </c>
      <c r="F45" s="19" t="str">
        <f>IFERROR(__xludf.DUMMYFUNCTION("""COMPUTED_VALUE"""),"BLACK")</f>
        <v>BLACK</v>
      </c>
      <c r="G45" s="20" t="str">
        <f>IFERROR(__xludf.DUMMYFUNCTION("""COMPUTED_VALUE"""),"Uncle Sams Cider (04/04/2023)")</f>
        <v>Uncle Sams Cider (04/04/2023)</v>
      </c>
      <c r="H45" s="19"/>
    </row>
    <row r="46">
      <c r="A46" s="9"/>
      <c r="B46" s="15"/>
      <c r="C46" s="9">
        <f>IFERROR(__xludf.DUMMYFUNCTION("""COMPUTED_VALUE"""),45144.170506574)</f>
        <v>45144.17051</v>
      </c>
      <c r="D46" s="15">
        <f>IFERROR(__xludf.DUMMYFUNCTION("""COMPUTED_VALUE"""),1.003)</f>
        <v>1.003</v>
      </c>
      <c r="E46" s="16">
        <f>IFERROR(__xludf.DUMMYFUNCTION("""COMPUTED_VALUE"""),73.0)</f>
        <v>73</v>
      </c>
      <c r="F46" s="19" t="str">
        <f>IFERROR(__xludf.DUMMYFUNCTION("""COMPUTED_VALUE"""),"BLACK")</f>
        <v>BLACK</v>
      </c>
      <c r="G46" s="20" t="str">
        <f>IFERROR(__xludf.DUMMYFUNCTION("""COMPUTED_VALUE"""),"Uncle Sams Cider (04/04/2023)")</f>
        <v>Uncle Sams Cider (04/04/2023)</v>
      </c>
      <c r="H46" s="19"/>
    </row>
    <row r="47">
      <c r="A47" s="9"/>
      <c r="B47" s="15"/>
      <c r="C47" s="9">
        <f>IFERROR(__xludf.DUMMYFUNCTION("""COMPUTED_VALUE"""),45144.1600862847)</f>
        <v>45144.16009</v>
      </c>
      <c r="D47" s="15">
        <f>IFERROR(__xludf.DUMMYFUNCTION("""COMPUTED_VALUE"""),1.003)</f>
        <v>1.003</v>
      </c>
      <c r="E47" s="16">
        <f>IFERROR(__xludf.DUMMYFUNCTION("""COMPUTED_VALUE"""),73.0)</f>
        <v>73</v>
      </c>
      <c r="F47" s="19" t="str">
        <f>IFERROR(__xludf.DUMMYFUNCTION("""COMPUTED_VALUE"""),"BLACK")</f>
        <v>BLACK</v>
      </c>
      <c r="G47" s="20" t="str">
        <f>IFERROR(__xludf.DUMMYFUNCTION("""COMPUTED_VALUE"""),"Uncle Sams Cider (04/04/2023)")</f>
        <v>Uncle Sams Cider (04/04/2023)</v>
      </c>
      <c r="H47" s="19"/>
    </row>
    <row r="48">
      <c r="A48" s="9"/>
      <c r="B48" s="15"/>
      <c r="C48" s="9">
        <f>IFERROR(__xludf.DUMMYFUNCTION("""COMPUTED_VALUE"""),45144.1496647569)</f>
        <v>45144.14966</v>
      </c>
      <c r="D48" s="15">
        <f>IFERROR(__xludf.DUMMYFUNCTION("""COMPUTED_VALUE"""),1.003)</f>
        <v>1.003</v>
      </c>
      <c r="E48" s="16">
        <f>IFERROR(__xludf.DUMMYFUNCTION("""COMPUTED_VALUE"""),73.0)</f>
        <v>73</v>
      </c>
      <c r="F48" s="19" t="str">
        <f>IFERROR(__xludf.DUMMYFUNCTION("""COMPUTED_VALUE"""),"BLACK")</f>
        <v>BLACK</v>
      </c>
      <c r="G48" s="20" t="str">
        <f>IFERROR(__xludf.DUMMYFUNCTION("""COMPUTED_VALUE"""),"Uncle Sams Cider (04/04/2023)")</f>
        <v>Uncle Sams Cider (04/04/2023)</v>
      </c>
      <c r="H48" s="19"/>
    </row>
    <row r="49">
      <c r="A49" s="9"/>
      <c r="B49" s="15"/>
      <c r="C49" s="9">
        <f>IFERROR(__xludf.DUMMYFUNCTION("""COMPUTED_VALUE"""),45144.139243993)</f>
        <v>45144.13924</v>
      </c>
      <c r="D49" s="15">
        <f>IFERROR(__xludf.DUMMYFUNCTION("""COMPUTED_VALUE"""),1.003)</f>
        <v>1.003</v>
      </c>
      <c r="E49" s="16">
        <f>IFERROR(__xludf.DUMMYFUNCTION("""COMPUTED_VALUE"""),73.0)</f>
        <v>73</v>
      </c>
      <c r="F49" s="19" t="str">
        <f>IFERROR(__xludf.DUMMYFUNCTION("""COMPUTED_VALUE"""),"BLACK")</f>
        <v>BLACK</v>
      </c>
      <c r="G49" s="20" t="str">
        <f>IFERROR(__xludf.DUMMYFUNCTION("""COMPUTED_VALUE"""),"Uncle Sams Cider (04/04/2023)")</f>
        <v>Uncle Sams Cider (04/04/2023)</v>
      </c>
      <c r="H49" s="19"/>
    </row>
    <row r="50">
      <c r="A50" s="9"/>
      <c r="B50" s="15"/>
      <c r="C50" s="9">
        <f>IFERROR(__xludf.DUMMYFUNCTION("""COMPUTED_VALUE"""),45144.1288240509)</f>
        <v>45144.12882</v>
      </c>
      <c r="D50" s="15">
        <f>IFERROR(__xludf.DUMMYFUNCTION("""COMPUTED_VALUE"""),1.003)</f>
        <v>1.003</v>
      </c>
      <c r="E50" s="16">
        <f>IFERROR(__xludf.DUMMYFUNCTION("""COMPUTED_VALUE"""),73.0)</f>
        <v>73</v>
      </c>
      <c r="F50" s="19" t="str">
        <f>IFERROR(__xludf.DUMMYFUNCTION("""COMPUTED_VALUE"""),"BLACK")</f>
        <v>BLACK</v>
      </c>
      <c r="G50" s="20" t="str">
        <f>IFERROR(__xludf.DUMMYFUNCTION("""COMPUTED_VALUE"""),"Uncle Sams Cider (04/04/2023)")</f>
        <v>Uncle Sams Cider (04/04/2023)</v>
      </c>
      <c r="H50" s="19"/>
    </row>
    <row r="51">
      <c r="A51" s="9"/>
      <c r="B51" s="15"/>
      <c r="C51" s="9">
        <f>IFERROR(__xludf.DUMMYFUNCTION("""COMPUTED_VALUE"""),45144.1184002199)</f>
        <v>45144.1184</v>
      </c>
      <c r="D51" s="15">
        <f>IFERROR(__xludf.DUMMYFUNCTION("""COMPUTED_VALUE"""),1.003)</f>
        <v>1.003</v>
      </c>
      <c r="E51" s="16">
        <f>IFERROR(__xludf.DUMMYFUNCTION("""COMPUTED_VALUE"""),73.0)</f>
        <v>73</v>
      </c>
      <c r="F51" s="19" t="str">
        <f>IFERROR(__xludf.DUMMYFUNCTION("""COMPUTED_VALUE"""),"BLACK")</f>
        <v>BLACK</v>
      </c>
      <c r="G51" s="20" t="str">
        <f>IFERROR(__xludf.DUMMYFUNCTION("""COMPUTED_VALUE"""),"Uncle Sams Cider (04/04/2023)")</f>
        <v>Uncle Sams Cider (04/04/2023)</v>
      </c>
      <c r="H51" s="19"/>
    </row>
    <row r="52">
      <c r="A52" s="9"/>
      <c r="B52" s="15"/>
      <c r="C52" s="9">
        <f>IFERROR(__xludf.DUMMYFUNCTION("""COMPUTED_VALUE"""),45144.1079804629)</f>
        <v>45144.10798</v>
      </c>
      <c r="D52" s="15">
        <f>IFERROR(__xludf.DUMMYFUNCTION("""COMPUTED_VALUE"""),1.003)</f>
        <v>1.003</v>
      </c>
      <c r="E52" s="16">
        <f>IFERROR(__xludf.DUMMYFUNCTION("""COMPUTED_VALUE"""),73.0)</f>
        <v>73</v>
      </c>
      <c r="F52" s="19" t="str">
        <f>IFERROR(__xludf.DUMMYFUNCTION("""COMPUTED_VALUE"""),"BLACK")</f>
        <v>BLACK</v>
      </c>
      <c r="G52" s="20" t="str">
        <f>IFERROR(__xludf.DUMMYFUNCTION("""COMPUTED_VALUE"""),"Uncle Sams Cider (04/04/2023)")</f>
        <v>Uncle Sams Cider (04/04/2023)</v>
      </c>
      <c r="H52" s="19"/>
    </row>
    <row r="53">
      <c r="A53" s="9"/>
      <c r="B53" s="15"/>
      <c r="C53" s="9">
        <f>IFERROR(__xludf.DUMMYFUNCTION("""COMPUTED_VALUE"""),45144.0975598842)</f>
        <v>45144.09756</v>
      </c>
      <c r="D53" s="15">
        <f>IFERROR(__xludf.DUMMYFUNCTION("""COMPUTED_VALUE"""),1.003)</f>
        <v>1.003</v>
      </c>
      <c r="E53" s="16">
        <f>IFERROR(__xludf.DUMMYFUNCTION("""COMPUTED_VALUE"""),73.0)</f>
        <v>73</v>
      </c>
      <c r="F53" s="19" t="str">
        <f>IFERROR(__xludf.DUMMYFUNCTION("""COMPUTED_VALUE"""),"BLACK")</f>
        <v>BLACK</v>
      </c>
      <c r="G53" s="20" t="str">
        <f>IFERROR(__xludf.DUMMYFUNCTION("""COMPUTED_VALUE"""),"Uncle Sams Cider (04/04/2023)")</f>
        <v>Uncle Sams Cider (04/04/2023)</v>
      </c>
      <c r="H53" s="19"/>
    </row>
    <row r="54">
      <c r="A54" s="9"/>
      <c r="B54" s="15"/>
      <c r="C54" s="9">
        <f>IFERROR(__xludf.DUMMYFUNCTION("""COMPUTED_VALUE"""),45144.087138287)</f>
        <v>45144.08714</v>
      </c>
      <c r="D54" s="15">
        <f>IFERROR(__xludf.DUMMYFUNCTION("""COMPUTED_VALUE"""),1.003)</f>
        <v>1.003</v>
      </c>
      <c r="E54" s="16">
        <f>IFERROR(__xludf.DUMMYFUNCTION("""COMPUTED_VALUE"""),73.0)</f>
        <v>73</v>
      </c>
      <c r="F54" s="19" t="str">
        <f>IFERROR(__xludf.DUMMYFUNCTION("""COMPUTED_VALUE"""),"BLACK")</f>
        <v>BLACK</v>
      </c>
      <c r="G54" s="20" t="str">
        <f>IFERROR(__xludf.DUMMYFUNCTION("""COMPUTED_VALUE"""),"Uncle Sams Cider (04/04/2023)")</f>
        <v>Uncle Sams Cider (04/04/2023)</v>
      </c>
      <c r="H54" s="19"/>
    </row>
    <row r="55">
      <c r="A55" s="9"/>
      <c r="B55" s="15"/>
      <c r="C55" s="9">
        <f>IFERROR(__xludf.DUMMYFUNCTION("""COMPUTED_VALUE"""),45144.0767157639)</f>
        <v>45144.07672</v>
      </c>
      <c r="D55" s="15">
        <f>IFERROR(__xludf.DUMMYFUNCTION("""COMPUTED_VALUE"""),1.003)</f>
        <v>1.003</v>
      </c>
      <c r="E55" s="16">
        <f>IFERROR(__xludf.DUMMYFUNCTION("""COMPUTED_VALUE"""),73.0)</f>
        <v>73</v>
      </c>
      <c r="F55" s="19" t="str">
        <f>IFERROR(__xludf.DUMMYFUNCTION("""COMPUTED_VALUE"""),"BLACK")</f>
        <v>BLACK</v>
      </c>
      <c r="G55" s="20" t="str">
        <f>IFERROR(__xludf.DUMMYFUNCTION("""COMPUTED_VALUE"""),"Uncle Sams Cider (04/04/2023)")</f>
        <v>Uncle Sams Cider (04/04/2023)</v>
      </c>
      <c r="H55" s="19"/>
    </row>
    <row r="56">
      <c r="A56" s="9"/>
      <c r="B56" s="15"/>
      <c r="C56" s="9">
        <f>IFERROR(__xludf.DUMMYFUNCTION("""COMPUTED_VALUE"""),45144.0662965046)</f>
        <v>45144.0663</v>
      </c>
      <c r="D56" s="15">
        <f>IFERROR(__xludf.DUMMYFUNCTION("""COMPUTED_VALUE"""),1.003)</f>
        <v>1.003</v>
      </c>
      <c r="E56" s="16">
        <f>IFERROR(__xludf.DUMMYFUNCTION("""COMPUTED_VALUE"""),73.0)</f>
        <v>73</v>
      </c>
      <c r="F56" s="19" t="str">
        <f>IFERROR(__xludf.DUMMYFUNCTION("""COMPUTED_VALUE"""),"BLACK")</f>
        <v>BLACK</v>
      </c>
      <c r="G56" s="20" t="str">
        <f>IFERROR(__xludf.DUMMYFUNCTION("""COMPUTED_VALUE"""),"Uncle Sams Cider (04/04/2023)")</f>
        <v>Uncle Sams Cider (04/04/2023)</v>
      </c>
      <c r="H56" s="19"/>
    </row>
    <row r="57">
      <c r="A57" s="9"/>
      <c r="B57" s="15"/>
      <c r="C57" s="9">
        <f>IFERROR(__xludf.DUMMYFUNCTION("""COMPUTED_VALUE"""),45144.0558738541)</f>
        <v>45144.05587</v>
      </c>
      <c r="D57" s="15">
        <f>IFERROR(__xludf.DUMMYFUNCTION("""COMPUTED_VALUE"""),1.003)</f>
        <v>1.003</v>
      </c>
      <c r="E57" s="16">
        <f>IFERROR(__xludf.DUMMYFUNCTION("""COMPUTED_VALUE"""),73.0)</f>
        <v>73</v>
      </c>
      <c r="F57" s="19" t="str">
        <f>IFERROR(__xludf.DUMMYFUNCTION("""COMPUTED_VALUE"""),"BLACK")</f>
        <v>BLACK</v>
      </c>
      <c r="G57" s="20" t="str">
        <f>IFERROR(__xludf.DUMMYFUNCTION("""COMPUTED_VALUE"""),"Uncle Sams Cider (04/04/2023)")</f>
        <v>Uncle Sams Cider (04/04/2023)</v>
      </c>
      <c r="H57" s="19"/>
    </row>
    <row r="58">
      <c r="A58" s="9"/>
      <c r="B58" s="15"/>
      <c r="C58" s="9">
        <f>IFERROR(__xludf.DUMMYFUNCTION("""COMPUTED_VALUE"""),45144.0454534838)</f>
        <v>45144.04545</v>
      </c>
      <c r="D58" s="15">
        <f>IFERROR(__xludf.DUMMYFUNCTION("""COMPUTED_VALUE"""),1.003)</f>
        <v>1.003</v>
      </c>
      <c r="E58" s="16">
        <f>IFERROR(__xludf.DUMMYFUNCTION("""COMPUTED_VALUE"""),73.0)</f>
        <v>73</v>
      </c>
      <c r="F58" s="19" t="str">
        <f>IFERROR(__xludf.DUMMYFUNCTION("""COMPUTED_VALUE"""),"BLACK")</f>
        <v>BLACK</v>
      </c>
      <c r="G58" s="20" t="str">
        <f>IFERROR(__xludf.DUMMYFUNCTION("""COMPUTED_VALUE"""),"Uncle Sams Cider (04/04/2023)")</f>
        <v>Uncle Sams Cider (04/04/2023)</v>
      </c>
      <c r="H58" s="19"/>
    </row>
    <row r="59">
      <c r="A59" s="9"/>
      <c r="B59" s="15"/>
      <c r="C59" s="9">
        <f>IFERROR(__xludf.DUMMYFUNCTION("""COMPUTED_VALUE"""),45144.0350314004)</f>
        <v>45144.03503</v>
      </c>
      <c r="D59" s="15">
        <f>IFERROR(__xludf.DUMMYFUNCTION("""COMPUTED_VALUE"""),1.003)</f>
        <v>1.003</v>
      </c>
      <c r="E59" s="16">
        <f>IFERROR(__xludf.DUMMYFUNCTION("""COMPUTED_VALUE"""),73.0)</f>
        <v>73</v>
      </c>
      <c r="F59" s="19" t="str">
        <f>IFERROR(__xludf.DUMMYFUNCTION("""COMPUTED_VALUE"""),"BLACK")</f>
        <v>BLACK</v>
      </c>
      <c r="G59" s="20" t="str">
        <f>IFERROR(__xludf.DUMMYFUNCTION("""COMPUTED_VALUE"""),"Uncle Sams Cider (04/04/2023)")</f>
        <v>Uncle Sams Cider (04/04/2023)</v>
      </c>
      <c r="H59" s="19"/>
    </row>
    <row r="60">
      <c r="A60" s="9"/>
      <c r="B60" s="15"/>
      <c r="C60" s="9">
        <f>IFERROR(__xludf.DUMMYFUNCTION("""COMPUTED_VALUE"""),45144.024608993)</f>
        <v>45144.02461</v>
      </c>
      <c r="D60" s="15">
        <f>IFERROR(__xludf.DUMMYFUNCTION("""COMPUTED_VALUE"""),1.003)</f>
        <v>1.003</v>
      </c>
      <c r="E60" s="16">
        <f>IFERROR(__xludf.DUMMYFUNCTION("""COMPUTED_VALUE"""),73.0)</f>
        <v>73</v>
      </c>
      <c r="F60" s="19" t="str">
        <f>IFERROR(__xludf.DUMMYFUNCTION("""COMPUTED_VALUE"""),"BLACK")</f>
        <v>BLACK</v>
      </c>
      <c r="G60" s="20" t="str">
        <f>IFERROR(__xludf.DUMMYFUNCTION("""COMPUTED_VALUE"""),"Uncle Sams Cider (04/04/2023)")</f>
        <v>Uncle Sams Cider (04/04/2023)</v>
      </c>
      <c r="H60" s="19"/>
    </row>
    <row r="61">
      <c r="A61" s="9"/>
      <c r="B61" s="15"/>
      <c r="C61" s="9">
        <f>IFERROR(__xludf.DUMMYFUNCTION("""COMPUTED_VALUE"""),45144.014176331)</f>
        <v>45144.01418</v>
      </c>
      <c r="D61" s="15">
        <f>IFERROR(__xludf.DUMMYFUNCTION("""COMPUTED_VALUE"""),1.003)</f>
        <v>1.003</v>
      </c>
      <c r="E61" s="16">
        <f>IFERROR(__xludf.DUMMYFUNCTION("""COMPUTED_VALUE"""),73.0)</f>
        <v>73</v>
      </c>
      <c r="F61" s="19" t="str">
        <f>IFERROR(__xludf.DUMMYFUNCTION("""COMPUTED_VALUE"""),"BLACK")</f>
        <v>BLACK</v>
      </c>
      <c r="G61" s="20" t="str">
        <f>IFERROR(__xludf.DUMMYFUNCTION("""COMPUTED_VALUE"""),"Uncle Sams Cider (04/04/2023)")</f>
        <v>Uncle Sams Cider (04/04/2023)</v>
      </c>
      <c r="H61" s="19"/>
    </row>
    <row r="62">
      <c r="A62" s="9"/>
      <c r="B62" s="15"/>
      <c r="C62" s="9">
        <f>IFERROR(__xludf.DUMMYFUNCTION("""COMPUTED_VALUE"""),45144.0037561574)</f>
        <v>45144.00376</v>
      </c>
      <c r="D62" s="15">
        <f>IFERROR(__xludf.DUMMYFUNCTION("""COMPUTED_VALUE"""),1.003)</f>
        <v>1.003</v>
      </c>
      <c r="E62" s="16">
        <f>IFERROR(__xludf.DUMMYFUNCTION("""COMPUTED_VALUE"""),73.0)</f>
        <v>73</v>
      </c>
      <c r="F62" s="19" t="str">
        <f>IFERROR(__xludf.DUMMYFUNCTION("""COMPUTED_VALUE"""),"BLACK")</f>
        <v>BLACK</v>
      </c>
      <c r="G62" s="20" t="str">
        <f>IFERROR(__xludf.DUMMYFUNCTION("""COMPUTED_VALUE"""),"Uncle Sams Cider (04/04/2023)")</f>
        <v>Uncle Sams Cider (04/04/2023)</v>
      </c>
      <c r="H62" s="19"/>
    </row>
    <row r="63">
      <c r="A63" s="9"/>
      <c r="B63" s="15"/>
      <c r="C63" s="9">
        <f>IFERROR(__xludf.DUMMYFUNCTION("""COMPUTED_VALUE"""),45143.9933362152)</f>
        <v>45143.99334</v>
      </c>
      <c r="D63" s="15">
        <f>IFERROR(__xludf.DUMMYFUNCTION("""COMPUTED_VALUE"""),1.003)</f>
        <v>1.003</v>
      </c>
      <c r="E63" s="16">
        <f>IFERROR(__xludf.DUMMYFUNCTION("""COMPUTED_VALUE"""),73.0)</f>
        <v>73</v>
      </c>
      <c r="F63" s="19" t="str">
        <f>IFERROR(__xludf.DUMMYFUNCTION("""COMPUTED_VALUE"""),"BLACK")</f>
        <v>BLACK</v>
      </c>
      <c r="G63" s="20" t="str">
        <f>IFERROR(__xludf.DUMMYFUNCTION("""COMPUTED_VALUE"""),"Uncle Sams Cider (04/04/2023)")</f>
        <v>Uncle Sams Cider (04/04/2023)</v>
      </c>
      <c r="H63" s="19"/>
    </row>
    <row r="64">
      <c r="A64" s="9"/>
      <c r="B64" s="15"/>
      <c r="C64" s="9">
        <f>IFERROR(__xludf.DUMMYFUNCTION("""COMPUTED_VALUE"""),45143.9829162268)</f>
        <v>45143.98292</v>
      </c>
      <c r="D64" s="15">
        <f>IFERROR(__xludf.DUMMYFUNCTION("""COMPUTED_VALUE"""),1.003)</f>
        <v>1.003</v>
      </c>
      <c r="E64" s="16">
        <f>IFERROR(__xludf.DUMMYFUNCTION("""COMPUTED_VALUE"""),73.0)</f>
        <v>73</v>
      </c>
      <c r="F64" s="19" t="str">
        <f>IFERROR(__xludf.DUMMYFUNCTION("""COMPUTED_VALUE"""),"BLACK")</f>
        <v>BLACK</v>
      </c>
      <c r="G64" s="20" t="str">
        <f>IFERROR(__xludf.DUMMYFUNCTION("""COMPUTED_VALUE"""),"Uncle Sams Cider (04/04/2023)")</f>
        <v>Uncle Sams Cider (04/04/2023)</v>
      </c>
      <c r="H64" s="19"/>
    </row>
    <row r="65">
      <c r="A65" s="9"/>
      <c r="B65" s="15"/>
      <c r="C65" s="9">
        <f>IFERROR(__xludf.DUMMYFUNCTION("""COMPUTED_VALUE"""),45143.9724957986)</f>
        <v>45143.9725</v>
      </c>
      <c r="D65" s="15">
        <f>IFERROR(__xludf.DUMMYFUNCTION("""COMPUTED_VALUE"""),1.003)</f>
        <v>1.003</v>
      </c>
      <c r="E65" s="16">
        <f>IFERROR(__xludf.DUMMYFUNCTION("""COMPUTED_VALUE"""),73.0)</f>
        <v>73</v>
      </c>
      <c r="F65" s="19" t="str">
        <f>IFERROR(__xludf.DUMMYFUNCTION("""COMPUTED_VALUE"""),"BLACK")</f>
        <v>BLACK</v>
      </c>
      <c r="G65" s="20" t="str">
        <f>IFERROR(__xludf.DUMMYFUNCTION("""COMPUTED_VALUE"""),"Uncle Sams Cider (04/04/2023)")</f>
        <v>Uncle Sams Cider (04/04/2023)</v>
      </c>
      <c r="H65" s="19"/>
    </row>
    <row r="66">
      <c r="A66" s="9"/>
      <c r="B66" s="15"/>
      <c r="C66" s="9">
        <f>IFERROR(__xludf.DUMMYFUNCTION("""COMPUTED_VALUE"""),45143.9620737152)</f>
        <v>45143.96207</v>
      </c>
      <c r="D66" s="15">
        <f>IFERROR(__xludf.DUMMYFUNCTION("""COMPUTED_VALUE"""),1.003)</f>
        <v>1.003</v>
      </c>
      <c r="E66" s="16">
        <f>IFERROR(__xludf.DUMMYFUNCTION("""COMPUTED_VALUE"""),73.0)</f>
        <v>73</v>
      </c>
      <c r="F66" s="19" t="str">
        <f>IFERROR(__xludf.DUMMYFUNCTION("""COMPUTED_VALUE"""),"BLACK")</f>
        <v>BLACK</v>
      </c>
      <c r="G66" s="20" t="str">
        <f>IFERROR(__xludf.DUMMYFUNCTION("""COMPUTED_VALUE"""),"Uncle Sams Cider (04/04/2023)")</f>
        <v>Uncle Sams Cider (04/04/2023)</v>
      </c>
      <c r="H66" s="19"/>
    </row>
    <row r="67">
      <c r="A67" s="9"/>
      <c r="B67" s="15"/>
      <c r="C67" s="9">
        <f>IFERROR(__xludf.DUMMYFUNCTION("""COMPUTED_VALUE"""),45143.9516524421)</f>
        <v>45143.95165</v>
      </c>
      <c r="D67" s="15">
        <f>IFERROR(__xludf.DUMMYFUNCTION("""COMPUTED_VALUE"""),1.003)</f>
        <v>1.003</v>
      </c>
      <c r="E67" s="16">
        <f>IFERROR(__xludf.DUMMYFUNCTION("""COMPUTED_VALUE"""),73.0)</f>
        <v>73</v>
      </c>
      <c r="F67" s="19" t="str">
        <f>IFERROR(__xludf.DUMMYFUNCTION("""COMPUTED_VALUE"""),"BLACK")</f>
        <v>BLACK</v>
      </c>
      <c r="G67" s="20" t="str">
        <f>IFERROR(__xludf.DUMMYFUNCTION("""COMPUTED_VALUE"""),"Uncle Sams Cider (04/04/2023)")</f>
        <v>Uncle Sams Cider (04/04/2023)</v>
      </c>
      <c r="H67" s="19"/>
    </row>
    <row r="68">
      <c r="A68" s="9"/>
      <c r="B68" s="15"/>
      <c r="C68" s="9">
        <f>IFERROR(__xludf.DUMMYFUNCTION("""COMPUTED_VALUE"""),45143.941231875)</f>
        <v>45143.94123</v>
      </c>
      <c r="D68" s="15">
        <f>IFERROR(__xludf.DUMMYFUNCTION("""COMPUTED_VALUE"""),1.003)</f>
        <v>1.003</v>
      </c>
      <c r="E68" s="16">
        <f>IFERROR(__xludf.DUMMYFUNCTION("""COMPUTED_VALUE"""),73.0)</f>
        <v>73</v>
      </c>
      <c r="F68" s="19" t="str">
        <f>IFERROR(__xludf.DUMMYFUNCTION("""COMPUTED_VALUE"""),"BLACK")</f>
        <v>BLACK</v>
      </c>
      <c r="G68" s="20" t="str">
        <f>IFERROR(__xludf.DUMMYFUNCTION("""COMPUTED_VALUE"""),"Uncle Sams Cider (04/04/2023)")</f>
        <v>Uncle Sams Cider (04/04/2023)</v>
      </c>
      <c r="H68" s="19"/>
    </row>
    <row r="69">
      <c r="A69" s="9"/>
      <c r="B69" s="15"/>
      <c r="C69" s="9">
        <f>IFERROR(__xludf.DUMMYFUNCTION("""COMPUTED_VALUE"""),45143.9308001388)</f>
        <v>45143.9308</v>
      </c>
      <c r="D69" s="15">
        <f>IFERROR(__xludf.DUMMYFUNCTION("""COMPUTED_VALUE"""),1.003)</f>
        <v>1.003</v>
      </c>
      <c r="E69" s="16">
        <f>IFERROR(__xludf.DUMMYFUNCTION("""COMPUTED_VALUE"""),73.0)</f>
        <v>73</v>
      </c>
      <c r="F69" s="19" t="str">
        <f>IFERROR(__xludf.DUMMYFUNCTION("""COMPUTED_VALUE"""),"BLACK")</f>
        <v>BLACK</v>
      </c>
      <c r="G69" s="20" t="str">
        <f>IFERROR(__xludf.DUMMYFUNCTION("""COMPUTED_VALUE"""),"Uncle Sams Cider (04/04/2023)")</f>
        <v>Uncle Sams Cider (04/04/2023)</v>
      </c>
      <c r="H69" s="19"/>
    </row>
    <row r="70">
      <c r="A70" s="9"/>
      <c r="B70" s="15"/>
      <c r="C70" s="9">
        <f>IFERROR(__xludf.DUMMYFUNCTION("""COMPUTED_VALUE"""),45143.9203767939)</f>
        <v>45143.92038</v>
      </c>
      <c r="D70" s="15">
        <f>IFERROR(__xludf.DUMMYFUNCTION("""COMPUTED_VALUE"""),1.003)</f>
        <v>1.003</v>
      </c>
      <c r="E70" s="16">
        <f>IFERROR(__xludf.DUMMYFUNCTION("""COMPUTED_VALUE"""),73.0)</f>
        <v>73</v>
      </c>
      <c r="F70" s="19" t="str">
        <f>IFERROR(__xludf.DUMMYFUNCTION("""COMPUTED_VALUE"""),"BLACK")</f>
        <v>BLACK</v>
      </c>
      <c r="G70" s="20" t="str">
        <f>IFERROR(__xludf.DUMMYFUNCTION("""COMPUTED_VALUE"""),"Uncle Sams Cider (04/04/2023)")</f>
        <v>Uncle Sams Cider (04/04/2023)</v>
      </c>
      <c r="H70" s="19"/>
    </row>
    <row r="71">
      <c r="A71" s="9"/>
      <c r="B71" s="15"/>
      <c r="C71" s="9">
        <f>IFERROR(__xludf.DUMMYFUNCTION("""COMPUTED_VALUE"""),45143.9099462037)</f>
        <v>45143.90995</v>
      </c>
      <c r="D71" s="15">
        <f>IFERROR(__xludf.DUMMYFUNCTION("""COMPUTED_VALUE"""),1.003)</f>
        <v>1.003</v>
      </c>
      <c r="E71" s="16">
        <f>IFERROR(__xludf.DUMMYFUNCTION("""COMPUTED_VALUE"""),73.0)</f>
        <v>73</v>
      </c>
      <c r="F71" s="19" t="str">
        <f>IFERROR(__xludf.DUMMYFUNCTION("""COMPUTED_VALUE"""),"BLACK")</f>
        <v>BLACK</v>
      </c>
      <c r="G71" s="20" t="str">
        <f>IFERROR(__xludf.DUMMYFUNCTION("""COMPUTED_VALUE"""),"Uncle Sams Cider (04/04/2023)")</f>
        <v>Uncle Sams Cider (04/04/2023)</v>
      </c>
      <c r="H71" s="19"/>
    </row>
    <row r="72">
      <c r="A72" s="9"/>
      <c r="B72" s="15"/>
      <c r="C72" s="9">
        <f>IFERROR(__xludf.DUMMYFUNCTION("""COMPUTED_VALUE"""),45143.899525081)</f>
        <v>45143.89953</v>
      </c>
      <c r="D72" s="15">
        <f>IFERROR(__xludf.DUMMYFUNCTION("""COMPUTED_VALUE"""),1.003)</f>
        <v>1.003</v>
      </c>
      <c r="E72" s="16">
        <f>IFERROR(__xludf.DUMMYFUNCTION("""COMPUTED_VALUE"""),73.0)</f>
        <v>73</v>
      </c>
      <c r="F72" s="19" t="str">
        <f>IFERROR(__xludf.DUMMYFUNCTION("""COMPUTED_VALUE"""),"BLACK")</f>
        <v>BLACK</v>
      </c>
      <c r="G72" s="20" t="str">
        <f>IFERROR(__xludf.DUMMYFUNCTION("""COMPUTED_VALUE"""),"Uncle Sams Cider (04/04/2023)")</f>
        <v>Uncle Sams Cider (04/04/2023)</v>
      </c>
      <c r="H72" s="19"/>
    </row>
    <row r="73">
      <c r="A73" s="9"/>
      <c r="B73" s="15"/>
      <c r="C73" s="9">
        <f>IFERROR(__xludf.DUMMYFUNCTION("""COMPUTED_VALUE"""),45143.8890925694)</f>
        <v>45143.88909</v>
      </c>
      <c r="D73" s="15">
        <f>IFERROR(__xludf.DUMMYFUNCTION("""COMPUTED_VALUE"""),1.003)</f>
        <v>1.003</v>
      </c>
      <c r="E73" s="16">
        <f>IFERROR(__xludf.DUMMYFUNCTION("""COMPUTED_VALUE"""),73.0)</f>
        <v>73</v>
      </c>
      <c r="F73" s="19" t="str">
        <f>IFERROR(__xludf.DUMMYFUNCTION("""COMPUTED_VALUE"""),"BLACK")</f>
        <v>BLACK</v>
      </c>
      <c r="G73" s="20" t="str">
        <f>IFERROR(__xludf.DUMMYFUNCTION("""COMPUTED_VALUE"""),"Uncle Sams Cider (04/04/2023)")</f>
        <v>Uncle Sams Cider (04/04/2023)</v>
      </c>
      <c r="H73" s="19"/>
    </row>
    <row r="74">
      <c r="A74" s="9"/>
      <c r="B74" s="15"/>
      <c r="C74" s="9">
        <f>IFERROR(__xludf.DUMMYFUNCTION("""COMPUTED_VALUE"""),45143.8786724305)</f>
        <v>45143.87867</v>
      </c>
      <c r="D74" s="15">
        <f>IFERROR(__xludf.DUMMYFUNCTION("""COMPUTED_VALUE"""),1.003)</f>
        <v>1.003</v>
      </c>
      <c r="E74" s="16">
        <f>IFERROR(__xludf.DUMMYFUNCTION("""COMPUTED_VALUE"""),73.0)</f>
        <v>73</v>
      </c>
      <c r="F74" s="19" t="str">
        <f>IFERROR(__xludf.DUMMYFUNCTION("""COMPUTED_VALUE"""),"BLACK")</f>
        <v>BLACK</v>
      </c>
      <c r="G74" s="20" t="str">
        <f>IFERROR(__xludf.DUMMYFUNCTION("""COMPUTED_VALUE"""),"Uncle Sams Cider (04/04/2023)")</f>
        <v>Uncle Sams Cider (04/04/2023)</v>
      </c>
      <c r="H74" s="19"/>
    </row>
    <row r="75">
      <c r="A75" s="9"/>
      <c r="B75" s="15"/>
      <c r="C75" s="9">
        <f>IFERROR(__xludf.DUMMYFUNCTION("""COMPUTED_VALUE"""),45143.8682385416)</f>
        <v>45143.86824</v>
      </c>
      <c r="D75" s="15">
        <f>IFERROR(__xludf.DUMMYFUNCTION("""COMPUTED_VALUE"""),1.003)</f>
        <v>1.003</v>
      </c>
      <c r="E75" s="16">
        <f>IFERROR(__xludf.DUMMYFUNCTION("""COMPUTED_VALUE"""),74.0)</f>
        <v>74</v>
      </c>
      <c r="F75" s="19" t="str">
        <f>IFERROR(__xludf.DUMMYFUNCTION("""COMPUTED_VALUE"""),"BLACK")</f>
        <v>BLACK</v>
      </c>
      <c r="G75" s="20" t="str">
        <f>IFERROR(__xludf.DUMMYFUNCTION("""COMPUTED_VALUE"""),"Uncle Sams Cider (04/04/2023)")</f>
        <v>Uncle Sams Cider (04/04/2023)</v>
      </c>
      <c r="H75" s="19"/>
    </row>
    <row r="76">
      <c r="A76" s="9"/>
      <c r="B76" s="15"/>
      <c r="C76" s="9">
        <f>IFERROR(__xludf.DUMMYFUNCTION("""COMPUTED_VALUE"""),45143.8577962847)</f>
        <v>45143.8578</v>
      </c>
      <c r="D76" s="15">
        <f>IFERROR(__xludf.DUMMYFUNCTION("""COMPUTED_VALUE"""),1.003)</f>
        <v>1.003</v>
      </c>
      <c r="E76" s="16">
        <f>IFERROR(__xludf.DUMMYFUNCTION("""COMPUTED_VALUE"""),74.0)</f>
        <v>74</v>
      </c>
      <c r="F76" s="19" t="str">
        <f>IFERROR(__xludf.DUMMYFUNCTION("""COMPUTED_VALUE"""),"BLACK")</f>
        <v>BLACK</v>
      </c>
      <c r="G76" s="20" t="str">
        <f>IFERROR(__xludf.DUMMYFUNCTION("""COMPUTED_VALUE"""),"Uncle Sams Cider (04/04/2023)")</f>
        <v>Uncle Sams Cider (04/04/2023)</v>
      </c>
      <c r="H76" s="19"/>
    </row>
    <row r="77">
      <c r="A77" s="9"/>
      <c r="B77" s="15"/>
      <c r="C77" s="9">
        <f>IFERROR(__xludf.DUMMYFUNCTION("""COMPUTED_VALUE"""),45143.847373912)</f>
        <v>45143.84737</v>
      </c>
      <c r="D77" s="15">
        <f>IFERROR(__xludf.DUMMYFUNCTION("""COMPUTED_VALUE"""),1.003)</f>
        <v>1.003</v>
      </c>
      <c r="E77" s="16">
        <f>IFERROR(__xludf.DUMMYFUNCTION("""COMPUTED_VALUE"""),74.0)</f>
        <v>74</v>
      </c>
      <c r="F77" s="19" t="str">
        <f>IFERROR(__xludf.DUMMYFUNCTION("""COMPUTED_VALUE"""),"BLACK")</f>
        <v>BLACK</v>
      </c>
      <c r="G77" s="20" t="str">
        <f>IFERROR(__xludf.DUMMYFUNCTION("""COMPUTED_VALUE"""),"Uncle Sams Cider (04/04/2023)")</f>
        <v>Uncle Sams Cider (04/04/2023)</v>
      </c>
      <c r="H77" s="19"/>
    </row>
    <row r="78">
      <c r="A78" s="9"/>
      <c r="B78" s="15"/>
      <c r="C78" s="9">
        <f>IFERROR(__xludf.DUMMYFUNCTION("""COMPUTED_VALUE"""),45143.8369528356)</f>
        <v>45143.83695</v>
      </c>
      <c r="D78" s="15">
        <f>IFERROR(__xludf.DUMMYFUNCTION("""COMPUTED_VALUE"""),1.003)</f>
        <v>1.003</v>
      </c>
      <c r="E78" s="16">
        <f>IFERROR(__xludf.DUMMYFUNCTION("""COMPUTED_VALUE"""),74.0)</f>
        <v>74</v>
      </c>
      <c r="F78" s="19" t="str">
        <f>IFERROR(__xludf.DUMMYFUNCTION("""COMPUTED_VALUE"""),"BLACK")</f>
        <v>BLACK</v>
      </c>
      <c r="G78" s="20" t="str">
        <f>IFERROR(__xludf.DUMMYFUNCTION("""COMPUTED_VALUE"""),"Uncle Sams Cider (04/04/2023)")</f>
        <v>Uncle Sams Cider (04/04/2023)</v>
      </c>
      <c r="H78" s="19"/>
    </row>
    <row r="79">
      <c r="A79" s="9"/>
      <c r="B79" s="15"/>
      <c r="C79" s="9">
        <f>IFERROR(__xludf.DUMMYFUNCTION("""COMPUTED_VALUE"""),45143.82653353)</f>
        <v>45143.82653</v>
      </c>
      <c r="D79" s="15">
        <f>IFERROR(__xludf.DUMMYFUNCTION("""COMPUTED_VALUE"""),1.003)</f>
        <v>1.003</v>
      </c>
      <c r="E79" s="16">
        <f>IFERROR(__xludf.DUMMYFUNCTION("""COMPUTED_VALUE"""),74.0)</f>
        <v>74</v>
      </c>
      <c r="F79" s="19" t="str">
        <f>IFERROR(__xludf.DUMMYFUNCTION("""COMPUTED_VALUE"""),"BLACK")</f>
        <v>BLACK</v>
      </c>
      <c r="G79" s="20" t="str">
        <f>IFERROR(__xludf.DUMMYFUNCTION("""COMPUTED_VALUE"""),"Uncle Sams Cider (04/04/2023)")</f>
        <v>Uncle Sams Cider (04/04/2023)</v>
      </c>
      <c r="H79" s="19"/>
    </row>
    <row r="80">
      <c r="A80" s="9"/>
      <c r="B80" s="15"/>
      <c r="C80" s="9">
        <f>IFERROR(__xludf.DUMMYFUNCTION("""COMPUTED_VALUE"""),45143.8161128588)</f>
        <v>45143.81611</v>
      </c>
      <c r="D80" s="15">
        <f>IFERROR(__xludf.DUMMYFUNCTION("""COMPUTED_VALUE"""),1.003)</f>
        <v>1.003</v>
      </c>
      <c r="E80" s="16">
        <f>IFERROR(__xludf.DUMMYFUNCTION("""COMPUTED_VALUE"""),74.0)</f>
        <v>74</v>
      </c>
      <c r="F80" s="19" t="str">
        <f>IFERROR(__xludf.DUMMYFUNCTION("""COMPUTED_VALUE"""),"BLACK")</f>
        <v>BLACK</v>
      </c>
      <c r="G80" s="20" t="str">
        <f>IFERROR(__xludf.DUMMYFUNCTION("""COMPUTED_VALUE"""),"Uncle Sams Cider (04/04/2023)")</f>
        <v>Uncle Sams Cider (04/04/2023)</v>
      </c>
      <c r="H80" s="19"/>
    </row>
    <row r="81">
      <c r="A81" s="9"/>
      <c r="B81" s="15"/>
      <c r="C81" s="9">
        <f>IFERROR(__xludf.DUMMYFUNCTION("""COMPUTED_VALUE"""),45143.8056911574)</f>
        <v>45143.80569</v>
      </c>
      <c r="D81" s="15">
        <f>IFERROR(__xludf.DUMMYFUNCTION("""COMPUTED_VALUE"""),1.003)</f>
        <v>1.003</v>
      </c>
      <c r="E81" s="16">
        <f>IFERROR(__xludf.DUMMYFUNCTION("""COMPUTED_VALUE"""),74.0)</f>
        <v>74</v>
      </c>
      <c r="F81" s="19" t="str">
        <f>IFERROR(__xludf.DUMMYFUNCTION("""COMPUTED_VALUE"""),"BLACK")</f>
        <v>BLACK</v>
      </c>
      <c r="G81" s="20" t="str">
        <f>IFERROR(__xludf.DUMMYFUNCTION("""COMPUTED_VALUE"""),"Uncle Sams Cider (04/04/2023)")</f>
        <v>Uncle Sams Cider (04/04/2023)</v>
      </c>
      <c r="H81" s="19"/>
    </row>
    <row r="82">
      <c r="A82" s="9"/>
      <c r="B82" s="15"/>
      <c r="C82" s="9">
        <f>IFERROR(__xludf.DUMMYFUNCTION("""COMPUTED_VALUE"""),45143.7952689583)</f>
        <v>45143.79527</v>
      </c>
      <c r="D82" s="15">
        <f>IFERROR(__xludf.DUMMYFUNCTION("""COMPUTED_VALUE"""),1.003)</f>
        <v>1.003</v>
      </c>
      <c r="E82" s="16">
        <f>IFERROR(__xludf.DUMMYFUNCTION("""COMPUTED_VALUE"""),74.0)</f>
        <v>74</v>
      </c>
      <c r="F82" s="19" t="str">
        <f>IFERROR(__xludf.DUMMYFUNCTION("""COMPUTED_VALUE"""),"BLACK")</f>
        <v>BLACK</v>
      </c>
      <c r="G82" s="20" t="str">
        <f>IFERROR(__xludf.DUMMYFUNCTION("""COMPUTED_VALUE"""),"Uncle Sams Cider (04/04/2023)")</f>
        <v>Uncle Sams Cider (04/04/2023)</v>
      </c>
      <c r="H82" s="19"/>
    </row>
    <row r="83">
      <c r="A83" s="9"/>
      <c r="B83" s="15"/>
      <c r="C83" s="9">
        <f>IFERROR(__xludf.DUMMYFUNCTION("""COMPUTED_VALUE"""),45143.7848485995)</f>
        <v>45143.78485</v>
      </c>
      <c r="D83" s="15">
        <f>IFERROR(__xludf.DUMMYFUNCTION("""COMPUTED_VALUE"""),1.003)</f>
        <v>1.003</v>
      </c>
      <c r="E83" s="16">
        <f>IFERROR(__xludf.DUMMYFUNCTION("""COMPUTED_VALUE"""),74.0)</f>
        <v>74</v>
      </c>
      <c r="F83" s="19" t="str">
        <f>IFERROR(__xludf.DUMMYFUNCTION("""COMPUTED_VALUE"""),"BLACK")</f>
        <v>BLACK</v>
      </c>
      <c r="G83" s="20" t="str">
        <f>IFERROR(__xludf.DUMMYFUNCTION("""COMPUTED_VALUE"""),"Uncle Sams Cider (04/04/2023)")</f>
        <v>Uncle Sams Cider (04/04/2023)</v>
      </c>
      <c r="H83" s="19"/>
    </row>
    <row r="84">
      <c r="A84" s="9"/>
      <c r="B84" s="15"/>
      <c r="C84" s="9">
        <f>IFERROR(__xludf.DUMMYFUNCTION("""COMPUTED_VALUE"""),45143.7744155555)</f>
        <v>45143.77442</v>
      </c>
      <c r="D84" s="15">
        <f>IFERROR(__xludf.DUMMYFUNCTION("""COMPUTED_VALUE"""),1.003)</f>
        <v>1.003</v>
      </c>
      <c r="E84" s="16">
        <f>IFERROR(__xludf.DUMMYFUNCTION("""COMPUTED_VALUE"""),74.0)</f>
        <v>74</v>
      </c>
      <c r="F84" s="19" t="str">
        <f>IFERROR(__xludf.DUMMYFUNCTION("""COMPUTED_VALUE"""),"BLACK")</f>
        <v>BLACK</v>
      </c>
      <c r="G84" s="20" t="str">
        <f>IFERROR(__xludf.DUMMYFUNCTION("""COMPUTED_VALUE"""),"Uncle Sams Cider (04/04/2023)")</f>
        <v>Uncle Sams Cider (04/04/2023)</v>
      </c>
      <c r="H84" s="19"/>
    </row>
    <row r="85">
      <c r="A85" s="9"/>
      <c r="B85" s="15"/>
      <c r="C85" s="9">
        <f>IFERROR(__xludf.DUMMYFUNCTION("""COMPUTED_VALUE"""),45143.7639947569)</f>
        <v>45143.76399</v>
      </c>
      <c r="D85" s="15">
        <f>IFERROR(__xludf.DUMMYFUNCTION("""COMPUTED_VALUE"""),1.003)</f>
        <v>1.003</v>
      </c>
      <c r="E85" s="16">
        <f>IFERROR(__xludf.DUMMYFUNCTION("""COMPUTED_VALUE"""),74.0)</f>
        <v>74</v>
      </c>
      <c r="F85" s="19" t="str">
        <f>IFERROR(__xludf.DUMMYFUNCTION("""COMPUTED_VALUE"""),"BLACK")</f>
        <v>BLACK</v>
      </c>
      <c r="G85" s="20" t="str">
        <f>IFERROR(__xludf.DUMMYFUNCTION("""COMPUTED_VALUE"""),"Uncle Sams Cider (04/04/2023)")</f>
        <v>Uncle Sams Cider (04/04/2023)</v>
      </c>
      <c r="H85" s="19"/>
    </row>
    <row r="86">
      <c r="A86" s="9"/>
      <c r="B86" s="15"/>
      <c r="C86" s="9">
        <f>IFERROR(__xludf.DUMMYFUNCTION("""COMPUTED_VALUE"""),45143.7535759838)</f>
        <v>45143.75358</v>
      </c>
      <c r="D86" s="15">
        <f>IFERROR(__xludf.DUMMYFUNCTION("""COMPUTED_VALUE"""),1.003)</f>
        <v>1.003</v>
      </c>
      <c r="E86" s="16">
        <f>IFERROR(__xludf.DUMMYFUNCTION("""COMPUTED_VALUE"""),74.0)</f>
        <v>74</v>
      </c>
      <c r="F86" s="19" t="str">
        <f>IFERROR(__xludf.DUMMYFUNCTION("""COMPUTED_VALUE"""),"BLACK")</f>
        <v>BLACK</v>
      </c>
      <c r="G86" s="20" t="str">
        <f>IFERROR(__xludf.DUMMYFUNCTION("""COMPUTED_VALUE"""),"Uncle Sams Cider (04/04/2023)")</f>
        <v>Uncle Sams Cider (04/04/2023)</v>
      </c>
      <c r="H86" s="19"/>
    </row>
    <row r="87">
      <c r="A87" s="9"/>
      <c r="B87" s="15"/>
      <c r="C87" s="9">
        <f>IFERROR(__xludf.DUMMYFUNCTION("""COMPUTED_VALUE"""),45143.7431540856)</f>
        <v>45143.74315</v>
      </c>
      <c r="D87" s="15">
        <f>IFERROR(__xludf.DUMMYFUNCTION("""COMPUTED_VALUE"""),1.003)</f>
        <v>1.003</v>
      </c>
      <c r="E87" s="16">
        <f>IFERROR(__xludf.DUMMYFUNCTION("""COMPUTED_VALUE"""),74.0)</f>
        <v>74</v>
      </c>
      <c r="F87" s="19" t="str">
        <f>IFERROR(__xludf.DUMMYFUNCTION("""COMPUTED_VALUE"""),"BLACK")</f>
        <v>BLACK</v>
      </c>
      <c r="G87" s="20" t="str">
        <f>IFERROR(__xludf.DUMMYFUNCTION("""COMPUTED_VALUE"""),"Uncle Sams Cider (04/04/2023)")</f>
        <v>Uncle Sams Cider (04/04/2023)</v>
      </c>
      <c r="H87" s="19"/>
    </row>
    <row r="88">
      <c r="A88" s="9"/>
      <c r="B88" s="15"/>
      <c r="C88" s="9">
        <f>IFERROR(__xludf.DUMMYFUNCTION("""COMPUTED_VALUE"""),45143.7327323263)</f>
        <v>45143.73273</v>
      </c>
      <c r="D88" s="15">
        <f>IFERROR(__xludf.DUMMYFUNCTION("""COMPUTED_VALUE"""),1.003)</f>
        <v>1.003</v>
      </c>
      <c r="E88" s="16">
        <f>IFERROR(__xludf.DUMMYFUNCTION("""COMPUTED_VALUE"""),74.0)</f>
        <v>74</v>
      </c>
      <c r="F88" s="19" t="str">
        <f>IFERROR(__xludf.DUMMYFUNCTION("""COMPUTED_VALUE"""),"BLACK")</f>
        <v>BLACK</v>
      </c>
      <c r="G88" s="20" t="str">
        <f>IFERROR(__xludf.DUMMYFUNCTION("""COMPUTED_VALUE"""),"Uncle Sams Cider (04/04/2023)")</f>
        <v>Uncle Sams Cider (04/04/2023)</v>
      </c>
      <c r="H88" s="19"/>
    </row>
    <row r="89">
      <c r="A89" s="9"/>
      <c r="B89" s="15"/>
      <c r="C89" s="9">
        <f>IFERROR(__xludf.DUMMYFUNCTION("""COMPUTED_VALUE"""),45143.7223107407)</f>
        <v>45143.72231</v>
      </c>
      <c r="D89" s="15">
        <f>IFERROR(__xludf.DUMMYFUNCTION("""COMPUTED_VALUE"""),1.003)</f>
        <v>1.003</v>
      </c>
      <c r="E89" s="16">
        <f>IFERROR(__xludf.DUMMYFUNCTION("""COMPUTED_VALUE"""),74.0)</f>
        <v>74</v>
      </c>
      <c r="F89" s="19" t="str">
        <f>IFERROR(__xludf.DUMMYFUNCTION("""COMPUTED_VALUE"""),"BLACK")</f>
        <v>BLACK</v>
      </c>
      <c r="G89" s="20" t="str">
        <f>IFERROR(__xludf.DUMMYFUNCTION("""COMPUTED_VALUE"""),"Uncle Sams Cider (04/04/2023)")</f>
        <v>Uncle Sams Cider (04/04/2023)</v>
      </c>
      <c r="H89" s="19"/>
    </row>
    <row r="90">
      <c r="A90" s="9"/>
      <c r="B90" s="15"/>
      <c r="C90" s="9">
        <f>IFERROR(__xludf.DUMMYFUNCTION("""COMPUTED_VALUE"""),45143.7118784606)</f>
        <v>45143.71188</v>
      </c>
      <c r="D90" s="15">
        <f>IFERROR(__xludf.DUMMYFUNCTION("""COMPUTED_VALUE"""),1.003)</f>
        <v>1.003</v>
      </c>
      <c r="E90" s="16">
        <f>IFERROR(__xludf.DUMMYFUNCTION("""COMPUTED_VALUE"""),74.0)</f>
        <v>74</v>
      </c>
      <c r="F90" s="19" t="str">
        <f>IFERROR(__xludf.DUMMYFUNCTION("""COMPUTED_VALUE"""),"BLACK")</f>
        <v>BLACK</v>
      </c>
      <c r="G90" s="20" t="str">
        <f>IFERROR(__xludf.DUMMYFUNCTION("""COMPUTED_VALUE"""),"Uncle Sams Cider (04/04/2023)")</f>
        <v>Uncle Sams Cider (04/04/2023)</v>
      </c>
      <c r="H90" s="19"/>
    </row>
    <row r="91">
      <c r="A91" s="9"/>
      <c r="B91" s="15"/>
      <c r="C91" s="9">
        <f>IFERROR(__xludf.DUMMYFUNCTION("""COMPUTED_VALUE"""),45143.7014573842)</f>
        <v>45143.70146</v>
      </c>
      <c r="D91" s="15">
        <f>IFERROR(__xludf.DUMMYFUNCTION("""COMPUTED_VALUE"""),1.003)</f>
        <v>1.003</v>
      </c>
      <c r="E91" s="16">
        <f>IFERROR(__xludf.DUMMYFUNCTION("""COMPUTED_VALUE"""),74.0)</f>
        <v>74</v>
      </c>
      <c r="F91" s="19" t="str">
        <f>IFERROR(__xludf.DUMMYFUNCTION("""COMPUTED_VALUE"""),"BLACK")</f>
        <v>BLACK</v>
      </c>
      <c r="G91" s="20" t="str">
        <f>IFERROR(__xludf.DUMMYFUNCTION("""COMPUTED_VALUE"""),"Uncle Sams Cider (04/04/2023)")</f>
        <v>Uncle Sams Cider (04/04/2023)</v>
      </c>
      <c r="H91" s="19"/>
    </row>
    <row r="92">
      <c r="A92" s="9"/>
      <c r="B92" s="15"/>
      <c r="C92" s="9">
        <f>IFERROR(__xludf.DUMMYFUNCTION("""COMPUTED_VALUE"""),45143.6910137963)</f>
        <v>45143.69101</v>
      </c>
      <c r="D92" s="15">
        <f>IFERROR(__xludf.DUMMYFUNCTION("""COMPUTED_VALUE"""),1.003)</f>
        <v>1.003</v>
      </c>
      <c r="E92" s="16">
        <f>IFERROR(__xludf.DUMMYFUNCTION("""COMPUTED_VALUE"""),74.0)</f>
        <v>74</v>
      </c>
      <c r="F92" s="19" t="str">
        <f>IFERROR(__xludf.DUMMYFUNCTION("""COMPUTED_VALUE"""),"BLACK")</f>
        <v>BLACK</v>
      </c>
      <c r="G92" s="20" t="str">
        <f>IFERROR(__xludf.DUMMYFUNCTION("""COMPUTED_VALUE"""),"Uncle Sams Cider (04/04/2023)")</f>
        <v>Uncle Sams Cider (04/04/2023)</v>
      </c>
      <c r="H92" s="19"/>
    </row>
    <row r="93">
      <c r="A93" s="9"/>
      <c r="B93" s="15"/>
      <c r="C93" s="9">
        <f>IFERROR(__xludf.DUMMYFUNCTION("""COMPUTED_VALUE"""),45143.6805913657)</f>
        <v>45143.68059</v>
      </c>
      <c r="D93" s="15">
        <f>IFERROR(__xludf.DUMMYFUNCTION("""COMPUTED_VALUE"""),1.003)</f>
        <v>1.003</v>
      </c>
      <c r="E93" s="16">
        <f>IFERROR(__xludf.DUMMYFUNCTION("""COMPUTED_VALUE"""),74.0)</f>
        <v>74</v>
      </c>
      <c r="F93" s="19" t="str">
        <f>IFERROR(__xludf.DUMMYFUNCTION("""COMPUTED_VALUE"""),"BLACK")</f>
        <v>BLACK</v>
      </c>
      <c r="G93" s="20" t="str">
        <f>IFERROR(__xludf.DUMMYFUNCTION("""COMPUTED_VALUE"""),"Uncle Sams Cider (04/04/2023)")</f>
        <v>Uncle Sams Cider (04/04/2023)</v>
      </c>
      <c r="H93" s="19"/>
    </row>
    <row r="94">
      <c r="A94" s="9"/>
      <c r="B94" s="15"/>
      <c r="C94" s="9">
        <f>IFERROR(__xludf.DUMMYFUNCTION("""COMPUTED_VALUE"""),45143.6701716782)</f>
        <v>45143.67017</v>
      </c>
      <c r="D94" s="15">
        <f>IFERROR(__xludf.DUMMYFUNCTION("""COMPUTED_VALUE"""),1.003)</f>
        <v>1.003</v>
      </c>
      <c r="E94" s="16">
        <f>IFERROR(__xludf.DUMMYFUNCTION("""COMPUTED_VALUE"""),74.0)</f>
        <v>74</v>
      </c>
      <c r="F94" s="19" t="str">
        <f>IFERROR(__xludf.DUMMYFUNCTION("""COMPUTED_VALUE"""),"BLACK")</f>
        <v>BLACK</v>
      </c>
      <c r="G94" s="20" t="str">
        <f>IFERROR(__xludf.DUMMYFUNCTION("""COMPUTED_VALUE"""),"Uncle Sams Cider (04/04/2023)")</f>
        <v>Uncle Sams Cider (04/04/2023)</v>
      </c>
      <c r="H94" s="19"/>
    </row>
    <row r="95">
      <c r="A95" s="9"/>
      <c r="B95" s="15"/>
      <c r="C95" s="9">
        <f>IFERROR(__xludf.DUMMYFUNCTION("""COMPUTED_VALUE"""),45143.6597383564)</f>
        <v>45143.65974</v>
      </c>
      <c r="D95" s="15">
        <f>IFERROR(__xludf.DUMMYFUNCTION("""COMPUTED_VALUE"""),1.003)</f>
        <v>1.003</v>
      </c>
      <c r="E95" s="16">
        <f>IFERROR(__xludf.DUMMYFUNCTION("""COMPUTED_VALUE"""),74.0)</f>
        <v>74</v>
      </c>
      <c r="F95" s="19" t="str">
        <f>IFERROR(__xludf.DUMMYFUNCTION("""COMPUTED_VALUE"""),"BLACK")</f>
        <v>BLACK</v>
      </c>
      <c r="G95" s="20" t="str">
        <f>IFERROR(__xludf.DUMMYFUNCTION("""COMPUTED_VALUE"""),"Uncle Sams Cider (04/04/2023)")</f>
        <v>Uncle Sams Cider (04/04/2023)</v>
      </c>
      <c r="H95" s="19"/>
    </row>
    <row r="96">
      <c r="A96" s="9"/>
      <c r="B96" s="15"/>
      <c r="C96" s="9">
        <f>IFERROR(__xludf.DUMMYFUNCTION("""COMPUTED_VALUE"""),45143.6493157638)</f>
        <v>45143.64932</v>
      </c>
      <c r="D96" s="15">
        <f>IFERROR(__xludf.DUMMYFUNCTION("""COMPUTED_VALUE"""),1.003)</f>
        <v>1.003</v>
      </c>
      <c r="E96" s="16">
        <f>IFERROR(__xludf.DUMMYFUNCTION("""COMPUTED_VALUE"""),74.0)</f>
        <v>74</v>
      </c>
      <c r="F96" s="19" t="str">
        <f>IFERROR(__xludf.DUMMYFUNCTION("""COMPUTED_VALUE"""),"BLACK")</f>
        <v>BLACK</v>
      </c>
      <c r="G96" s="20" t="str">
        <f>IFERROR(__xludf.DUMMYFUNCTION("""COMPUTED_VALUE"""),"Uncle Sams Cider (04/04/2023)")</f>
        <v>Uncle Sams Cider (04/04/2023)</v>
      </c>
      <c r="H96" s="19"/>
    </row>
    <row r="97">
      <c r="A97" s="9"/>
      <c r="B97" s="15"/>
      <c r="C97" s="9">
        <f>IFERROR(__xludf.DUMMYFUNCTION("""COMPUTED_VALUE"""),45143.6388951157)</f>
        <v>45143.6389</v>
      </c>
      <c r="D97" s="15">
        <f>IFERROR(__xludf.DUMMYFUNCTION("""COMPUTED_VALUE"""),1.003)</f>
        <v>1.003</v>
      </c>
      <c r="E97" s="16">
        <f>IFERROR(__xludf.DUMMYFUNCTION("""COMPUTED_VALUE"""),74.0)</f>
        <v>74</v>
      </c>
      <c r="F97" s="19" t="str">
        <f>IFERROR(__xludf.DUMMYFUNCTION("""COMPUTED_VALUE"""),"BLACK")</f>
        <v>BLACK</v>
      </c>
      <c r="G97" s="20" t="str">
        <f>IFERROR(__xludf.DUMMYFUNCTION("""COMPUTED_VALUE"""),"Uncle Sams Cider (04/04/2023)")</f>
        <v>Uncle Sams Cider (04/04/2023)</v>
      </c>
      <c r="H97" s="19"/>
    </row>
    <row r="98">
      <c r="A98" s="9"/>
      <c r="B98" s="15"/>
      <c r="C98" s="9">
        <f>IFERROR(__xludf.DUMMYFUNCTION("""COMPUTED_VALUE"""),45143.6284739699)</f>
        <v>45143.62847</v>
      </c>
      <c r="D98" s="15">
        <f>IFERROR(__xludf.DUMMYFUNCTION("""COMPUTED_VALUE"""),1.003)</f>
        <v>1.003</v>
      </c>
      <c r="E98" s="16">
        <f>IFERROR(__xludf.DUMMYFUNCTION("""COMPUTED_VALUE"""),74.0)</f>
        <v>74</v>
      </c>
      <c r="F98" s="19" t="str">
        <f>IFERROR(__xludf.DUMMYFUNCTION("""COMPUTED_VALUE"""),"BLACK")</f>
        <v>BLACK</v>
      </c>
      <c r="G98" s="20" t="str">
        <f>IFERROR(__xludf.DUMMYFUNCTION("""COMPUTED_VALUE"""),"Uncle Sams Cider (04/04/2023)")</f>
        <v>Uncle Sams Cider (04/04/2023)</v>
      </c>
      <c r="H98" s="19"/>
    </row>
    <row r="99">
      <c r="A99" s="9"/>
      <c r="B99" s="15"/>
      <c r="C99" s="9">
        <f>IFERROR(__xludf.DUMMYFUNCTION("""COMPUTED_VALUE"""),45143.6180526851)</f>
        <v>45143.61805</v>
      </c>
      <c r="D99" s="15">
        <f>IFERROR(__xludf.DUMMYFUNCTION("""COMPUTED_VALUE"""),1.003)</f>
        <v>1.003</v>
      </c>
      <c r="E99" s="16">
        <f>IFERROR(__xludf.DUMMYFUNCTION("""COMPUTED_VALUE"""),73.0)</f>
        <v>73</v>
      </c>
      <c r="F99" s="19" t="str">
        <f>IFERROR(__xludf.DUMMYFUNCTION("""COMPUTED_VALUE"""),"BLACK")</f>
        <v>BLACK</v>
      </c>
      <c r="G99" s="20" t="str">
        <f>IFERROR(__xludf.DUMMYFUNCTION("""COMPUTED_VALUE"""),"Uncle Sams Cider (04/04/2023)")</f>
        <v>Uncle Sams Cider (04/04/2023)</v>
      </c>
      <c r="H99" s="19"/>
    </row>
    <row r="100">
      <c r="A100" s="9"/>
      <c r="B100" s="15"/>
      <c r="C100" s="9">
        <f>IFERROR(__xludf.DUMMYFUNCTION("""COMPUTED_VALUE"""),45143.6076317592)</f>
        <v>45143.60763</v>
      </c>
      <c r="D100" s="15">
        <f>IFERROR(__xludf.DUMMYFUNCTION("""COMPUTED_VALUE"""),1.003)</f>
        <v>1.003</v>
      </c>
      <c r="E100" s="16">
        <f>IFERROR(__xludf.DUMMYFUNCTION("""COMPUTED_VALUE"""),74.0)</f>
        <v>74</v>
      </c>
      <c r="F100" s="19" t="str">
        <f>IFERROR(__xludf.DUMMYFUNCTION("""COMPUTED_VALUE"""),"BLACK")</f>
        <v>BLACK</v>
      </c>
      <c r="G100" s="20" t="str">
        <f>IFERROR(__xludf.DUMMYFUNCTION("""COMPUTED_VALUE"""),"Uncle Sams Cider (04/04/2023)")</f>
        <v>Uncle Sams Cider (04/04/2023)</v>
      </c>
      <c r="H100" s="19"/>
    </row>
    <row r="101">
      <c r="A101" s="9"/>
      <c r="B101" s="15"/>
      <c r="C101" s="9">
        <f>IFERROR(__xludf.DUMMYFUNCTION("""COMPUTED_VALUE"""),45143.597198449)</f>
        <v>45143.5972</v>
      </c>
      <c r="D101" s="15">
        <f>IFERROR(__xludf.DUMMYFUNCTION("""COMPUTED_VALUE"""),1.003)</f>
        <v>1.003</v>
      </c>
      <c r="E101" s="16">
        <f>IFERROR(__xludf.DUMMYFUNCTION("""COMPUTED_VALUE"""),74.0)</f>
        <v>74</v>
      </c>
      <c r="F101" s="19" t="str">
        <f>IFERROR(__xludf.DUMMYFUNCTION("""COMPUTED_VALUE"""),"BLACK")</f>
        <v>BLACK</v>
      </c>
      <c r="G101" s="20" t="str">
        <f>IFERROR(__xludf.DUMMYFUNCTION("""COMPUTED_VALUE"""),"Uncle Sams Cider (04/04/2023)")</f>
        <v>Uncle Sams Cider (04/04/2023)</v>
      </c>
      <c r="H101" s="19"/>
    </row>
    <row r="102">
      <c r="A102" s="9"/>
      <c r="B102" s="15"/>
      <c r="C102" s="9">
        <f>IFERROR(__xludf.DUMMYFUNCTION("""COMPUTED_VALUE"""),45143.5867786574)</f>
        <v>45143.58678</v>
      </c>
      <c r="D102" s="15">
        <f>IFERROR(__xludf.DUMMYFUNCTION("""COMPUTED_VALUE"""),1.003)</f>
        <v>1.003</v>
      </c>
      <c r="E102" s="16">
        <f>IFERROR(__xludf.DUMMYFUNCTION("""COMPUTED_VALUE"""),74.0)</f>
        <v>74</v>
      </c>
      <c r="F102" s="19" t="str">
        <f>IFERROR(__xludf.DUMMYFUNCTION("""COMPUTED_VALUE"""),"BLACK")</f>
        <v>BLACK</v>
      </c>
      <c r="G102" s="20" t="str">
        <f>IFERROR(__xludf.DUMMYFUNCTION("""COMPUTED_VALUE"""),"Uncle Sams Cider (04/04/2023)")</f>
        <v>Uncle Sams Cider (04/04/2023)</v>
      </c>
      <c r="H102" s="19"/>
    </row>
    <row r="103">
      <c r="A103" s="9"/>
      <c r="B103" s="15"/>
      <c r="C103" s="9">
        <f>IFERROR(__xludf.DUMMYFUNCTION("""COMPUTED_VALUE"""),45143.5763584027)</f>
        <v>45143.57636</v>
      </c>
      <c r="D103" s="15">
        <f>IFERROR(__xludf.DUMMYFUNCTION("""COMPUTED_VALUE"""),1.003)</f>
        <v>1.003</v>
      </c>
      <c r="E103" s="16">
        <f>IFERROR(__xludf.DUMMYFUNCTION("""COMPUTED_VALUE"""),73.0)</f>
        <v>73</v>
      </c>
      <c r="F103" s="19" t="str">
        <f>IFERROR(__xludf.DUMMYFUNCTION("""COMPUTED_VALUE"""),"BLACK")</f>
        <v>BLACK</v>
      </c>
      <c r="G103" s="20" t="str">
        <f>IFERROR(__xludf.DUMMYFUNCTION("""COMPUTED_VALUE"""),"Uncle Sams Cider (04/04/2023)")</f>
        <v>Uncle Sams Cider (04/04/2023)</v>
      </c>
      <c r="H103" s="19"/>
    </row>
    <row r="104">
      <c r="A104" s="9"/>
      <c r="B104" s="15"/>
      <c r="C104" s="9">
        <f>IFERROR(__xludf.DUMMYFUNCTION("""COMPUTED_VALUE"""),45143.565937743)</f>
        <v>45143.56594</v>
      </c>
      <c r="D104" s="15">
        <f>IFERROR(__xludf.DUMMYFUNCTION("""COMPUTED_VALUE"""),1.003)</f>
        <v>1.003</v>
      </c>
      <c r="E104" s="16">
        <f>IFERROR(__xludf.DUMMYFUNCTION("""COMPUTED_VALUE"""),74.0)</f>
        <v>74</v>
      </c>
      <c r="F104" s="19" t="str">
        <f>IFERROR(__xludf.DUMMYFUNCTION("""COMPUTED_VALUE"""),"BLACK")</f>
        <v>BLACK</v>
      </c>
      <c r="G104" s="20" t="str">
        <f>IFERROR(__xludf.DUMMYFUNCTION("""COMPUTED_VALUE"""),"Uncle Sams Cider (04/04/2023)")</f>
        <v>Uncle Sams Cider (04/04/2023)</v>
      </c>
      <c r="H104" s="19"/>
    </row>
    <row r="105">
      <c r="A105" s="9"/>
      <c r="B105" s="15"/>
      <c r="C105" s="9">
        <f>IFERROR(__xludf.DUMMYFUNCTION("""COMPUTED_VALUE"""),45143.5555165162)</f>
        <v>45143.55552</v>
      </c>
      <c r="D105" s="15">
        <f>IFERROR(__xludf.DUMMYFUNCTION("""COMPUTED_VALUE"""),1.003)</f>
        <v>1.003</v>
      </c>
      <c r="E105" s="16">
        <f>IFERROR(__xludf.DUMMYFUNCTION("""COMPUTED_VALUE"""),73.0)</f>
        <v>73</v>
      </c>
      <c r="F105" s="19" t="str">
        <f>IFERROR(__xludf.DUMMYFUNCTION("""COMPUTED_VALUE"""),"BLACK")</f>
        <v>BLACK</v>
      </c>
      <c r="G105" s="20" t="str">
        <f>IFERROR(__xludf.DUMMYFUNCTION("""COMPUTED_VALUE"""),"Uncle Sams Cider (04/04/2023)")</f>
        <v>Uncle Sams Cider (04/04/2023)</v>
      </c>
      <c r="H105" s="19"/>
    </row>
    <row r="106">
      <c r="A106" s="9"/>
      <c r="B106" s="15"/>
      <c r="C106" s="9">
        <f>IFERROR(__xludf.DUMMYFUNCTION("""COMPUTED_VALUE"""),45143.5450961689)</f>
        <v>45143.5451</v>
      </c>
      <c r="D106" s="15">
        <f>IFERROR(__xludf.DUMMYFUNCTION("""COMPUTED_VALUE"""),1.003)</f>
        <v>1.003</v>
      </c>
      <c r="E106" s="16">
        <f>IFERROR(__xludf.DUMMYFUNCTION("""COMPUTED_VALUE"""),74.0)</f>
        <v>74</v>
      </c>
      <c r="F106" s="19" t="str">
        <f>IFERROR(__xludf.DUMMYFUNCTION("""COMPUTED_VALUE"""),"BLACK")</f>
        <v>BLACK</v>
      </c>
      <c r="G106" s="20" t="str">
        <f>IFERROR(__xludf.DUMMYFUNCTION("""COMPUTED_VALUE"""),"Uncle Sams Cider (04/04/2023)")</f>
        <v>Uncle Sams Cider (04/04/2023)</v>
      </c>
      <c r="H106" s="19"/>
    </row>
    <row r="107">
      <c r="A107" s="9"/>
      <c r="B107" s="15"/>
      <c r="C107" s="9">
        <f>IFERROR(__xludf.DUMMYFUNCTION("""COMPUTED_VALUE"""),45143.5346760763)</f>
        <v>45143.53468</v>
      </c>
      <c r="D107" s="15">
        <f>IFERROR(__xludf.DUMMYFUNCTION("""COMPUTED_VALUE"""),1.003)</f>
        <v>1.003</v>
      </c>
      <c r="E107" s="16">
        <f>IFERROR(__xludf.DUMMYFUNCTION("""COMPUTED_VALUE"""),74.0)</f>
        <v>74</v>
      </c>
      <c r="F107" s="19" t="str">
        <f>IFERROR(__xludf.DUMMYFUNCTION("""COMPUTED_VALUE"""),"BLACK")</f>
        <v>BLACK</v>
      </c>
      <c r="G107" s="20" t="str">
        <f>IFERROR(__xludf.DUMMYFUNCTION("""COMPUTED_VALUE"""),"Uncle Sams Cider (04/04/2023)")</f>
        <v>Uncle Sams Cider (04/04/2023)</v>
      </c>
      <c r="H107" s="19"/>
    </row>
    <row r="108">
      <c r="A108" s="9"/>
      <c r="B108" s="15"/>
      <c r="C108" s="9">
        <f>IFERROR(__xludf.DUMMYFUNCTION("""COMPUTED_VALUE"""),45143.5242554282)</f>
        <v>45143.52426</v>
      </c>
      <c r="D108" s="15">
        <f>IFERROR(__xludf.DUMMYFUNCTION("""COMPUTED_VALUE"""),1.003)</f>
        <v>1.003</v>
      </c>
      <c r="E108" s="16">
        <f>IFERROR(__xludf.DUMMYFUNCTION("""COMPUTED_VALUE"""),74.0)</f>
        <v>74</v>
      </c>
      <c r="F108" s="19" t="str">
        <f>IFERROR(__xludf.DUMMYFUNCTION("""COMPUTED_VALUE"""),"BLACK")</f>
        <v>BLACK</v>
      </c>
      <c r="G108" s="20" t="str">
        <f>IFERROR(__xludf.DUMMYFUNCTION("""COMPUTED_VALUE"""),"Uncle Sams Cider (04/04/2023)")</f>
        <v>Uncle Sams Cider (04/04/2023)</v>
      </c>
      <c r="H108" s="19"/>
    </row>
    <row r="109">
      <c r="A109" s="9"/>
      <c r="B109" s="15"/>
      <c r="C109" s="9">
        <f>IFERROR(__xludf.DUMMYFUNCTION("""COMPUTED_VALUE"""),45143.5138344907)</f>
        <v>45143.51383</v>
      </c>
      <c r="D109" s="15">
        <f>IFERROR(__xludf.DUMMYFUNCTION("""COMPUTED_VALUE"""),1.003)</f>
        <v>1.003</v>
      </c>
      <c r="E109" s="16">
        <f>IFERROR(__xludf.DUMMYFUNCTION("""COMPUTED_VALUE"""),73.0)</f>
        <v>73</v>
      </c>
      <c r="F109" s="19" t="str">
        <f>IFERROR(__xludf.DUMMYFUNCTION("""COMPUTED_VALUE"""),"BLACK")</f>
        <v>BLACK</v>
      </c>
      <c r="G109" s="20" t="str">
        <f>IFERROR(__xludf.DUMMYFUNCTION("""COMPUTED_VALUE"""),"Uncle Sams Cider (04/04/2023)")</f>
        <v>Uncle Sams Cider (04/04/2023)</v>
      </c>
      <c r="H109" s="19"/>
    </row>
    <row r="110">
      <c r="A110" s="9"/>
      <c r="B110" s="15"/>
      <c r="C110" s="9">
        <f>IFERROR(__xludf.DUMMYFUNCTION("""COMPUTED_VALUE"""),45143.5034130902)</f>
        <v>45143.50341</v>
      </c>
      <c r="D110" s="15">
        <f>IFERROR(__xludf.DUMMYFUNCTION("""COMPUTED_VALUE"""),1.003)</f>
        <v>1.003</v>
      </c>
      <c r="E110" s="16">
        <f>IFERROR(__xludf.DUMMYFUNCTION("""COMPUTED_VALUE"""),74.0)</f>
        <v>74</v>
      </c>
      <c r="F110" s="19" t="str">
        <f>IFERROR(__xludf.DUMMYFUNCTION("""COMPUTED_VALUE"""),"BLACK")</f>
        <v>BLACK</v>
      </c>
      <c r="G110" s="20" t="str">
        <f>IFERROR(__xludf.DUMMYFUNCTION("""COMPUTED_VALUE"""),"Uncle Sams Cider (04/04/2023)")</f>
        <v>Uncle Sams Cider (04/04/2023)</v>
      </c>
      <c r="H110" s="19"/>
    </row>
    <row r="111">
      <c r="A111" s="9"/>
      <c r="B111" s="15"/>
      <c r="C111" s="9">
        <f>IFERROR(__xludf.DUMMYFUNCTION("""COMPUTED_VALUE"""),45143.4929923842)</f>
        <v>45143.49299</v>
      </c>
      <c r="D111" s="15">
        <f>IFERROR(__xludf.DUMMYFUNCTION("""COMPUTED_VALUE"""),1.003)</f>
        <v>1.003</v>
      </c>
      <c r="E111" s="16">
        <f>IFERROR(__xludf.DUMMYFUNCTION("""COMPUTED_VALUE"""),74.0)</f>
        <v>74</v>
      </c>
      <c r="F111" s="19" t="str">
        <f>IFERROR(__xludf.DUMMYFUNCTION("""COMPUTED_VALUE"""),"BLACK")</f>
        <v>BLACK</v>
      </c>
      <c r="G111" s="20" t="str">
        <f>IFERROR(__xludf.DUMMYFUNCTION("""COMPUTED_VALUE"""),"Uncle Sams Cider (04/04/2023)")</f>
        <v>Uncle Sams Cider (04/04/2023)</v>
      </c>
      <c r="H111" s="19"/>
    </row>
    <row r="112">
      <c r="A112" s="9"/>
      <c r="B112" s="15"/>
      <c r="C112" s="9">
        <f>IFERROR(__xludf.DUMMYFUNCTION("""COMPUTED_VALUE"""),45143.482571956)</f>
        <v>45143.48257</v>
      </c>
      <c r="D112" s="15">
        <f>IFERROR(__xludf.DUMMYFUNCTION("""COMPUTED_VALUE"""),1.003)</f>
        <v>1.003</v>
      </c>
      <c r="E112" s="16">
        <f>IFERROR(__xludf.DUMMYFUNCTION("""COMPUTED_VALUE"""),73.0)</f>
        <v>73</v>
      </c>
      <c r="F112" s="19" t="str">
        <f>IFERROR(__xludf.DUMMYFUNCTION("""COMPUTED_VALUE"""),"BLACK")</f>
        <v>BLACK</v>
      </c>
      <c r="G112" s="20" t="str">
        <f>IFERROR(__xludf.DUMMYFUNCTION("""COMPUTED_VALUE"""),"Uncle Sams Cider (04/04/2023)")</f>
        <v>Uncle Sams Cider (04/04/2023)</v>
      </c>
      <c r="H112" s="19"/>
    </row>
    <row r="113">
      <c r="A113" s="9"/>
      <c r="B113" s="15"/>
      <c r="C113" s="9">
        <f>IFERROR(__xludf.DUMMYFUNCTION("""COMPUTED_VALUE"""),45143.4721515277)</f>
        <v>45143.47215</v>
      </c>
      <c r="D113" s="15">
        <f>IFERROR(__xludf.DUMMYFUNCTION("""COMPUTED_VALUE"""),1.003)</f>
        <v>1.003</v>
      </c>
      <c r="E113" s="16">
        <f>IFERROR(__xludf.DUMMYFUNCTION("""COMPUTED_VALUE"""),74.0)</f>
        <v>74</v>
      </c>
      <c r="F113" s="19" t="str">
        <f>IFERROR(__xludf.DUMMYFUNCTION("""COMPUTED_VALUE"""),"BLACK")</f>
        <v>BLACK</v>
      </c>
      <c r="G113" s="20" t="str">
        <f>IFERROR(__xludf.DUMMYFUNCTION("""COMPUTED_VALUE"""),"Uncle Sams Cider (04/04/2023)")</f>
        <v>Uncle Sams Cider (04/04/2023)</v>
      </c>
      <c r="H113" s="19"/>
    </row>
    <row r="114">
      <c r="A114" s="9"/>
      <c r="B114" s="15"/>
      <c r="C114" s="9">
        <f>IFERROR(__xludf.DUMMYFUNCTION("""COMPUTED_VALUE"""),45143.4617172916)</f>
        <v>45143.46172</v>
      </c>
      <c r="D114" s="15">
        <f>IFERROR(__xludf.DUMMYFUNCTION("""COMPUTED_VALUE"""),1.003)</f>
        <v>1.003</v>
      </c>
      <c r="E114" s="16">
        <f>IFERROR(__xludf.DUMMYFUNCTION("""COMPUTED_VALUE"""),74.0)</f>
        <v>74</v>
      </c>
      <c r="F114" s="19" t="str">
        <f>IFERROR(__xludf.DUMMYFUNCTION("""COMPUTED_VALUE"""),"BLACK")</f>
        <v>BLACK</v>
      </c>
      <c r="G114" s="20" t="str">
        <f>IFERROR(__xludf.DUMMYFUNCTION("""COMPUTED_VALUE"""),"Uncle Sams Cider (04/04/2023)")</f>
        <v>Uncle Sams Cider (04/04/2023)</v>
      </c>
      <c r="H114" s="19"/>
    </row>
    <row r="115">
      <c r="A115" s="9"/>
      <c r="B115" s="15"/>
      <c r="C115" s="9">
        <f>IFERROR(__xludf.DUMMYFUNCTION("""COMPUTED_VALUE"""),45143.4512967476)</f>
        <v>45143.4513</v>
      </c>
      <c r="D115" s="15">
        <f>IFERROR(__xludf.DUMMYFUNCTION("""COMPUTED_VALUE"""),1.003)</f>
        <v>1.003</v>
      </c>
      <c r="E115" s="16">
        <f>IFERROR(__xludf.DUMMYFUNCTION("""COMPUTED_VALUE"""),74.0)</f>
        <v>74</v>
      </c>
      <c r="F115" s="19" t="str">
        <f>IFERROR(__xludf.DUMMYFUNCTION("""COMPUTED_VALUE"""),"BLACK")</f>
        <v>BLACK</v>
      </c>
      <c r="G115" s="20" t="str">
        <f>IFERROR(__xludf.DUMMYFUNCTION("""COMPUTED_VALUE"""),"Uncle Sams Cider (04/04/2023)")</f>
        <v>Uncle Sams Cider (04/04/2023)</v>
      </c>
      <c r="H115" s="19"/>
    </row>
    <row r="116">
      <c r="A116" s="9"/>
      <c r="B116" s="15"/>
      <c r="C116" s="9">
        <f>IFERROR(__xludf.DUMMYFUNCTION("""COMPUTED_VALUE"""),45143.4408753472)</f>
        <v>45143.44088</v>
      </c>
      <c r="D116" s="15">
        <f>IFERROR(__xludf.DUMMYFUNCTION("""COMPUTED_VALUE"""),1.003)</f>
        <v>1.003</v>
      </c>
      <c r="E116" s="16">
        <f>IFERROR(__xludf.DUMMYFUNCTION("""COMPUTED_VALUE"""),74.0)</f>
        <v>74</v>
      </c>
      <c r="F116" s="19" t="str">
        <f>IFERROR(__xludf.DUMMYFUNCTION("""COMPUTED_VALUE"""),"BLACK")</f>
        <v>BLACK</v>
      </c>
      <c r="G116" s="20" t="str">
        <f>IFERROR(__xludf.DUMMYFUNCTION("""COMPUTED_VALUE"""),"Uncle Sams Cider (04/04/2023)")</f>
        <v>Uncle Sams Cider (04/04/2023)</v>
      </c>
      <c r="H116" s="19"/>
    </row>
    <row r="117">
      <c r="A117" s="9"/>
      <c r="B117" s="15"/>
      <c r="C117" s="9">
        <f>IFERROR(__xludf.DUMMYFUNCTION("""COMPUTED_VALUE"""),45143.4304540162)</f>
        <v>45143.43045</v>
      </c>
      <c r="D117" s="15">
        <f>IFERROR(__xludf.DUMMYFUNCTION("""COMPUTED_VALUE"""),1.003)</f>
        <v>1.003</v>
      </c>
      <c r="E117" s="16">
        <f>IFERROR(__xludf.DUMMYFUNCTION("""COMPUTED_VALUE"""),73.0)</f>
        <v>73</v>
      </c>
      <c r="F117" s="19" t="str">
        <f>IFERROR(__xludf.DUMMYFUNCTION("""COMPUTED_VALUE"""),"BLACK")</f>
        <v>BLACK</v>
      </c>
      <c r="G117" s="20" t="str">
        <f>IFERROR(__xludf.DUMMYFUNCTION("""COMPUTED_VALUE"""),"Uncle Sams Cider (04/04/2023)")</f>
        <v>Uncle Sams Cider (04/04/2023)</v>
      </c>
      <c r="H117" s="19"/>
    </row>
    <row r="118">
      <c r="A118" s="9"/>
      <c r="B118" s="15"/>
      <c r="C118" s="9">
        <f>IFERROR(__xludf.DUMMYFUNCTION("""COMPUTED_VALUE"""),45143.4200308449)</f>
        <v>45143.42003</v>
      </c>
      <c r="D118" s="15">
        <f>IFERROR(__xludf.DUMMYFUNCTION("""COMPUTED_VALUE"""),1.003)</f>
        <v>1.003</v>
      </c>
      <c r="E118" s="16">
        <f>IFERROR(__xludf.DUMMYFUNCTION("""COMPUTED_VALUE"""),74.0)</f>
        <v>74</v>
      </c>
      <c r="F118" s="19" t="str">
        <f>IFERROR(__xludf.DUMMYFUNCTION("""COMPUTED_VALUE"""),"BLACK")</f>
        <v>BLACK</v>
      </c>
      <c r="G118" s="20" t="str">
        <f>IFERROR(__xludf.DUMMYFUNCTION("""COMPUTED_VALUE"""),"Uncle Sams Cider (04/04/2023)")</f>
        <v>Uncle Sams Cider (04/04/2023)</v>
      </c>
      <c r="H118" s="19"/>
    </row>
    <row r="119">
      <c r="A119" s="9"/>
      <c r="B119" s="15"/>
      <c r="C119" s="9">
        <f>IFERROR(__xludf.DUMMYFUNCTION("""COMPUTED_VALUE"""),45143.4096105787)</f>
        <v>45143.40961</v>
      </c>
      <c r="D119" s="15">
        <f>IFERROR(__xludf.DUMMYFUNCTION("""COMPUTED_VALUE"""),1.003)</f>
        <v>1.003</v>
      </c>
      <c r="E119" s="16">
        <f>IFERROR(__xludf.DUMMYFUNCTION("""COMPUTED_VALUE"""),74.0)</f>
        <v>74</v>
      </c>
      <c r="F119" s="19" t="str">
        <f>IFERROR(__xludf.DUMMYFUNCTION("""COMPUTED_VALUE"""),"BLACK")</f>
        <v>BLACK</v>
      </c>
      <c r="G119" s="20" t="str">
        <f>IFERROR(__xludf.DUMMYFUNCTION("""COMPUTED_VALUE"""),"Uncle Sams Cider (04/04/2023)")</f>
        <v>Uncle Sams Cider (04/04/2023)</v>
      </c>
      <c r="H119" s="19"/>
    </row>
    <row r="120">
      <c r="A120" s="9"/>
      <c r="B120" s="15"/>
      <c r="C120" s="9">
        <f>IFERROR(__xludf.DUMMYFUNCTION("""COMPUTED_VALUE"""),45143.3991788657)</f>
        <v>45143.39918</v>
      </c>
      <c r="D120" s="15">
        <f>IFERROR(__xludf.DUMMYFUNCTION("""COMPUTED_VALUE"""),1.003)</f>
        <v>1.003</v>
      </c>
      <c r="E120" s="16">
        <f>IFERROR(__xludf.DUMMYFUNCTION("""COMPUTED_VALUE"""),73.0)</f>
        <v>73</v>
      </c>
      <c r="F120" s="19" t="str">
        <f>IFERROR(__xludf.DUMMYFUNCTION("""COMPUTED_VALUE"""),"BLACK")</f>
        <v>BLACK</v>
      </c>
      <c r="G120" s="20" t="str">
        <f>IFERROR(__xludf.DUMMYFUNCTION("""COMPUTED_VALUE"""),"Uncle Sams Cider (04/04/2023)")</f>
        <v>Uncle Sams Cider (04/04/2023)</v>
      </c>
      <c r="H120" s="19"/>
    </row>
    <row r="121">
      <c r="A121" s="9"/>
      <c r="B121" s="15"/>
      <c r="C121" s="9">
        <f>IFERROR(__xludf.DUMMYFUNCTION("""COMPUTED_VALUE"""),45143.3887587268)</f>
        <v>45143.38876</v>
      </c>
      <c r="D121" s="15">
        <f>IFERROR(__xludf.DUMMYFUNCTION("""COMPUTED_VALUE"""),1.003)</f>
        <v>1.003</v>
      </c>
      <c r="E121" s="16">
        <f>IFERROR(__xludf.DUMMYFUNCTION("""COMPUTED_VALUE"""),74.0)</f>
        <v>74</v>
      </c>
      <c r="F121" s="19" t="str">
        <f>IFERROR(__xludf.DUMMYFUNCTION("""COMPUTED_VALUE"""),"BLACK")</f>
        <v>BLACK</v>
      </c>
      <c r="G121" s="20" t="str">
        <f>IFERROR(__xludf.DUMMYFUNCTION("""COMPUTED_VALUE"""),"Uncle Sams Cider (04/04/2023)")</f>
        <v>Uncle Sams Cider (04/04/2023)</v>
      </c>
      <c r="H121" s="19"/>
    </row>
    <row r="122">
      <c r="A122" s="9"/>
      <c r="B122" s="15"/>
      <c r="C122" s="9">
        <f>IFERROR(__xludf.DUMMYFUNCTION("""COMPUTED_VALUE"""),45143.378338993)</f>
        <v>45143.37834</v>
      </c>
      <c r="D122" s="15">
        <f>IFERROR(__xludf.DUMMYFUNCTION("""COMPUTED_VALUE"""),1.003)</f>
        <v>1.003</v>
      </c>
      <c r="E122" s="16">
        <f>IFERROR(__xludf.DUMMYFUNCTION("""COMPUTED_VALUE"""),74.0)</f>
        <v>74</v>
      </c>
      <c r="F122" s="19" t="str">
        <f>IFERROR(__xludf.DUMMYFUNCTION("""COMPUTED_VALUE"""),"BLACK")</f>
        <v>BLACK</v>
      </c>
      <c r="G122" s="20" t="str">
        <f>IFERROR(__xludf.DUMMYFUNCTION("""COMPUTED_VALUE"""),"Uncle Sams Cider (04/04/2023)")</f>
        <v>Uncle Sams Cider (04/04/2023)</v>
      </c>
      <c r="H122" s="19"/>
    </row>
    <row r="123">
      <c r="A123" s="9"/>
      <c r="B123" s="15"/>
      <c r="C123" s="9">
        <f>IFERROR(__xludf.DUMMYFUNCTION("""COMPUTED_VALUE"""),45143.367917905)</f>
        <v>45143.36792</v>
      </c>
      <c r="D123" s="15">
        <f>IFERROR(__xludf.DUMMYFUNCTION("""COMPUTED_VALUE"""),1.003)</f>
        <v>1.003</v>
      </c>
      <c r="E123" s="16">
        <f>IFERROR(__xludf.DUMMYFUNCTION("""COMPUTED_VALUE"""),74.0)</f>
        <v>74</v>
      </c>
      <c r="F123" s="19" t="str">
        <f>IFERROR(__xludf.DUMMYFUNCTION("""COMPUTED_VALUE"""),"BLACK")</f>
        <v>BLACK</v>
      </c>
      <c r="G123" s="20" t="str">
        <f>IFERROR(__xludf.DUMMYFUNCTION("""COMPUTED_VALUE"""),"Uncle Sams Cider (04/04/2023)")</f>
        <v>Uncle Sams Cider (04/04/2023)</v>
      </c>
      <c r="H123" s="19"/>
    </row>
    <row r="124">
      <c r="A124" s="9"/>
      <c r="B124" s="15"/>
      <c r="C124" s="9">
        <f>IFERROR(__xludf.DUMMYFUNCTION("""COMPUTED_VALUE"""),45143.3574848495)</f>
        <v>45143.35748</v>
      </c>
      <c r="D124" s="15">
        <f>IFERROR(__xludf.DUMMYFUNCTION("""COMPUTED_VALUE"""),1.003)</f>
        <v>1.003</v>
      </c>
      <c r="E124" s="16">
        <f>IFERROR(__xludf.DUMMYFUNCTION("""COMPUTED_VALUE"""),74.0)</f>
        <v>74</v>
      </c>
      <c r="F124" s="19" t="str">
        <f>IFERROR(__xludf.DUMMYFUNCTION("""COMPUTED_VALUE"""),"BLACK")</f>
        <v>BLACK</v>
      </c>
      <c r="G124" s="20" t="str">
        <f>IFERROR(__xludf.DUMMYFUNCTION("""COMPUTED_VALUE"""),"Uncle Sams Cider (04/04/2023)")</f>
        <v>Uncle Sams Cider (04/04/2023)</v>
      </c>
      <c r="H124" s="19"/>
    </row>
    <row r="125">
      <c r="A125" s="9"/>
      <c r="B125" s="15"/>
      <c r="C125" s="9">
        <f>IFERROR(__xludf.DUMMYFUNCTION("""COMPUTED_VALUE"""),45143.34706375)</f>
        <v>45143.34706</v>
      </c>
      <c r="D125" s="15">
        <f>IFERROR(__xludf.DUMMYFUNCTION("""COMPUTED_VALUE"""),1.003)</f>
        <v>1.003</v>
      </c>
      <c r="E125" s="16">
        <f>IFERROR(__xludf.DUMMYFUNCTION("""COMPUTED_VALUE"""),74.0)</f>
        <v>74</v>
      </c>
      <c r="F125" s="19" t="str">
        <f>IFERROR(__xludf.DUMMYFUNCTION("""COMPUTED_VALUE"""),"BLACK")</f>
        <v>BLACK</v>
      </c>
      <c r="G125" s="20" t="str">
        <f>IFERROR(__xludf.DUMMYFUNCTION("""COMPUTED_VALUE"""),"Uncle Sams Cider (04/04/2023)")</f>
        <v>Uncle Sams Cider (04/04/2023)</v>
      </c>
      <c r="H125" s="19"/>
    </row>
    <row r="126">
      <c r="A126" s="9"/>
      <c r="B126" s="15"/>
      <c r="C126" s="9">
        <f>IFERROR(__xludf.DUMMYFUNCTION("""COMPUTED_VALUE"""),45143.3366289236)</f>
        <v>45143.33663</v>
      </c>
      <c r="D126" s="15">
        <f>IFERROR(__xludf.DUMMYFUNCTION("""COMPUTED_VALUE"""),1.003)</f>
        <v>1.003</v>
      </c>
      <c r="E126" s="16">
        <f>IFERROR(__xludf.DUMMYFUNCTION("""COMPUTED_VALUE"""),73.0)</f>
        <v>73</v>
      </c>
      <c r="F126" s="19" t="str">
        <f>IFERROR(__xludf.DUMMYFUNCTION("""COMPUTED_VALUE"""),"BLACK")</f>
        <v>BLACK</v>
      </c>
      <c r="G126" s="20" t="str">
        <f>IFERROR(__xludf.DUMMYFUNCTION("""COMPUTED_VALUE"""),"Uncle Sams Cider (04/04/2023)")</f>
        <v>Uncle Sams Cider (04/04/2023)</v>
      </c>
      <c r="H126" s="19"/>
    </row>
    <row r="127">
      <c r="A127" s="9"/>
      <c r="B127" s="15"/>
      <c r="C127" s="9">
        <f>IFERROR(__xludf.DUMMYFUNCTION("""COMPUTED_VALUE"""),45143.3262079051)</f>
        <v>45143.32621</v>
      </c>
      <c r="D127" s="15">
        <f>IFERROR(__xludf.DUMMYFUNCTION("""COMPUTED_VALUE"""),1.003)</f>
        <v>1.003</v>
      </c>
      <c r="E127" s="16">
        <f>IFERROR(__xludf.DUMMYFUNCTION("""COMPUTED_VALUE"""),73.0)</f>
        <v>73</v>
      </c>
      <c r="F127" s="19" t="str">
        <f>IFERROR(__xludf.DUMMYFUNCTION("""COMPUTED_VALUE"""),"BLACK")</f>
        <v>BLACK</v>
      </c>
      <c r="G127" s="20" t="str">
        <f>IFERROR(__xludf.DUMMYFUNCTION("""COMPUTED_VALUE"""),"Uncle Sams Cider (04/04/2023)")</f>
        <v>Uncle Sams Cider (04/04/2023)</v>
      </c>
      <c r="H127" s="19"/>
    </row>
    <row r="128">
      <c r="A128" s="9"/>
      <c r="B128" s="15"/>
      <c r="C128" s="9">
        <f>IFERROR(__xludf.DUMMYFUNCTION("""COMPUTED_VALUE"""),45143.315785625)</f>
        <v>45143.31579</v>
      </c>
      <c r="D128" s="15">
        <f>IFERROR(__xludf.DUMMYFUNCTION("""COMPUTED_VALUE"""),1.003)</f>
        <v>1.003</v>
      </c>
      <c r="E128" s="16">
        <f>IFERROR(__xludf.DUMMYFUNCTION("""COMPUTED_VALUE"""),74.0)</f>
        <v>74</v>
      </c>
      <c r="F128" s="19" t="str">
        <f>IFERROR(__xludf.DUMMYFUNCTION("""COMPUTED_VALUE"""),"BLACK")</f>
        <v>BLACK</v>
      </c>
      <c r="G128" s="20" t="str">
        <f>IFERROR(__xludf.DUMMYFUNCTION("""COMPUTED_VALUE"""),"Uncle Sams Cider (04/04/2023)")</f>
        <v>Uncle Sams Cider (04/04/2023)</v>
      </c>
      <c r="H128" s="19"/>
    </row>
    <row r="129">
      <c r="A129" s="9"/>
      <c r="B129" s="15"/>
      <c r="C129" s="9">
        <f>IFERROR(__xludf.DUMMYFUNCTION("""COMPUTED_VALUE"""),45143.305365081)</f>
        <v>45143.30537</v>
      </c>
      <c r="D129" s="15">
        <f>IFERROR(__xludf.DUMMYFUNCTION("""COMPUTED_VALUE"""),1.003)</f>
        <v>1.003</v>
      </c>
      <c r="E129" s="16">
        <f>IFERROR(__xludf.DUMMYFUNCTION("""COMPUTED_VALUE"""),73.0)</f>
        <v>73</v>
      </c>
      <c r="F129" s="19" t="str">
        <f>IFERROR(__xludf.DUMMYFUNCTION("""COMPUTED_VALUE"""),"BLACK")</f>
        <v>BLACK</v>
      </c>
      <c r="G129" s="20" t="str">
        <f>IFERROR(__xludf.DUMMYFUNCTION("""COMPUTED_VALUE"""),"Uncle Sams Cider (04/04/2023)")</f>
        <v>Uncle Sams Cider (04/04/2023)</v>
      </c>
      <c r="H129" s="19"/>
    </row>
    <row r="130">
      <c r="A130" s="9"/>
      <c r="B130" s="15"/>
      <c r="C130" s="9">
        <f>IFERROR(__xludf.DUMMYFUNCTION("""COMPUTED_VALUE"""),45143.2949325115)</f>
        <v>45143.29493</v>
      </c>
      <c r="D130" s="15">
        <f>IFERROR(__xludf.DUMMYFUNCTION("""COMPUTED_VALUE"""),1.003)</f>
        <v>1.003</v>
      </c>
      <c r="E130" s="16">
        <f>IFERROR(__xludf.DUMMYFUNCTION("""COMPUTED_VALUE"""),73.0)</f>
        <v>73</v>
      </c>
      <c r="F130" s="19" t="str">
        <f>IFERROR(__xludf.DUMMYFUNCTION("""COMPUTED_VALUE"""),"BLACK")</f>
        <v>BLACK</v>
      </c>
      <c r="G130" s="20" t="str">
        <f>IFERROR(__xludf.DUMMYFUNCTION("""COMPUTED_VALUE"""),"Uncle Sams Cider (04/04/2023)")</f>
        <v>Uncle Sams Cider (04/04/2023)</v>
      </c>
      <c r="H130" s="19"/>
    </row>
    <row r="131">
      <c r="A131" s="9"/>
      <c r="B131" s="15"/>
      <c r="C131" s="9">
        <f>IFERROR(__xludf.DUMMYFUNCTION("""COMPUTED_VALUE"""),45143.2844996875)</f>
        <v>45143.2845</v>
      </c>
      <c r="D131" s="15">
        <f>IFERROR(__xludf.DUMMYFUNCTION("""COMPUTED_VALUE"""),1.003)</f>
        <v>1.003</v>
      </c>
      <c r="E131" s="16">
        <f>IFERROR(__xludf.DUMMYFUNCTION("""COMPUTED_VALUE"""),74.0)</f>
        <v>74</v>
      </c>
      <c r="F131" s="19" t="str">
        <f>IFERROR(__xludf.DUMMYFUNCTION("""COMPUTED_VALUE"""),"BLACK")</f>
        <v>BLACK</v>
      </c>
      <c r="G131" s="20" t="str">
        <f>IFERROR(__xludf.DUMMYFUNCTION("""COMPUTED_VALUE"""),"Uncle Sams Cider (04/04/2023)")</f>
        <v>Uncle Sams Cider (04/04/2023)</v>
      </c>
      <c r="H131" s="19"/>
    </row>
    <row r="132">
      <c r="A132" s="9"/>
      <c r="B132" s="15"/>
      <c r="C132" s="9">
        <f>IFERROR(__xludf.DUMMYFUNCTION("""COMPUTED_VALUE"""),45143.2740780671)</f>
        <v>45143.27408</v>
      </c>
      <c r="D132" s="15">
        <f>IFERROR(__xludf.DUMMYFUNCTION("""COMPUTED_VALUE"""),1.003)</f>
        <v>1.003</v>
      </c>
      <c r="E132" s="16">
        <f>IFERROR(__xludf.DUMMYFUNCTION("""COMPUTED_VALUE"""),74.0)</f>
        <v>74</v>
      </c>
      <c r="F132" s="19" t="str">
        <f>IFERROR(__xludf.DUMMYFUNCTION("""COMPUTED_VALUE"""),"BLACK")</f>
        <v>BLACK</v>
      </c>
      <c r="G132" s="20" t="str">
        <f>IFERROR(__xludf.DUMMYFUNCTION("""COMPUTED_VALUE"""),"Uncle Sams Cider (04/04/2023)")</f>
        <v>Uncle Sams Cider (04/04/2023)</v>
      </c>
      <c r="H132" s="19"/>
    </row>
    <row r="133">
      <c r="A133" s="9"/>
      <c r="B133" s="15"/>
      <c r="C133" s="9">
        <f>IFERROR(__xludf.DUMMYFUNCTION("""COMPUTED_VALUE"""),45143.2636566203)</f>
        <v>45143.26366</v>
      </c>
      <c r="D133" s="15">
        <f>IFERROR(__xludf.DUMMYFUNCTION("""COMPUTED_VALUE"""),1.003)</f>
        <v>1.003</v>
      </c>
      <c r="E133" s="16">
        <f>IFERROR(__xludf.DUMMYFUNCTION("""COMPUTED_VALUE"""),73.0)</f>
        <v>73</v>
      </c>
      <c r="F133" s="19" t="str">
        <f>IFERROR(__xludf.DUMMYFUNCTION("""COMPUTED_VALUE"""),"BLACK")</f>
        <v>BLACK</v>
      </c>
      <c r="G133" s="20" t="str">
        <f>IFERROR(__xludf.DUMMYFUNCTION("""COMPUTED_VALUE"""),"Uncle Sams Cider (04/04/2023)")</f>
        <v>Uncle Sams Cider (04/04/2023)</v>
      </c>
      <c r="H133" s="19"/>
    </row>
    <row r="134">
      <c r="A134" s="9"/>
      <c r="B134" s="15"/>
      <c r="C134" s="9">
        <f>IFERROR(__xludf.DUMMYFUNCTION("""COMPUTED_VALUE"""),45143.2532342592)</f>
        <v>45143.25323</v>
      </c>
      <c r="D134" s="15">
        <f>IFERROR(__xludf.DUMMYFUNCTION("""COMPUTED_VALUE"""),1.003)</f>
        <v>1.003</v>
      </c>
      <c r="E134" s="16">
        <f>IFERROR(__xludf.DUMMYFUNCTION("""COMPUTED_VALUE"""),74.0)</f>
        <v>74</v>
      </c>
      <c r="F134" s="19" t="str">
        <f>IFERROR(__xludf.DUMMYFUNCTION("""COMPUTED_VALUE"""),"BLACK")</f>
        <v>BLACK</v>
      </c>
      <c r="G134" s="20" t="str">
        <f>IFERROR(__xludf.DUMMYFUNCTION("""COMPUTED_VALUE"""),"Uncle Sams Cider (04/04/2023)")</f>
        <v>Uncle Sams Cider (04/04/2023)</v>
      </c>
      <c r="H134" s="19"/>
    </row>
    <row r="135">
      <c r="A135" s="9"/>
      <c r="B135" s="15"/>
      <c r="C135" s="9">
        <f>IFERROR(__xludf.DUMMYFUNCTION("""COMPUTED_VALUE"""),45143.2428124537)</f>
        <v>45143.24281</v>
      </c>
      <c r="D135" s="15">
        <f>IFERROR(__xludf.DUMMYFUNCTION("""COMPUTED_VALUE"""),1.003)</f>
        <v>1.003</v>
      </c>
      <c r="E135" s="16">
        <f>IFERROR(__xludf.DUMMYFUNCTION("""COMPUTED_VALUE"""),74.0)</f>
        <v>74</v>
      </c>
      <c r="F135" s="19" t="str">
        <f>IFERROR(__xludf.DUMMYFUNCTION("""COMPUTED_VALUE"""),"BLACK")</f>
        <v>BLACK</v>
      </c>
      <c r="G135" s="20" t="str">
        <f>IFERROR(__xludf.DUMMYFUNCTION("""COMPUTED_VALUE"""),"Uncle Sams Cider (04/04/2023)")</f>
        <v>Uncle Sams Cider (04/04/2023)</v>
      </c>
      <c r="H135" s="19"/>
    </row>
    <row r="136">
      <c r="A136" s="9"/>
      <c r="B136" s="15"/>
      <c r="C136" s="9">
        <f>IFERROR(__xludf.DUMMYFUNCTION("""COMPUTED_VALUE"""),45143.232390625)</f>
        <v>45143.23239</v>
      </c>
      <c r="D136" s="15">
        <f>IFERROR(__xludf.DUMMYFUNCTION("""COMPUTED_VALUE"""),1.003)</f>
        <v>1.003</v>
      </c>
      <c r="E136" s="16">
        <f>IFERROR(__xludf.DUMMYFUNCTION("""COMPUTED_VALUE"""),74.0)</f>
        <v>74</v>
      </c>
      <c r="F136" s="19" t="str">
        <f>IFERROR(__xludf.DUMMYFUNCTION("""COMPUTED_VALUE"""),"BLACK")</f>
        <v>BLACK</v>
      </c>
      <c r="G136" s="20" t="str">
        <f>IFERROR(__xludf.DUMMYFUNCTION("""COMPUTED_VALUE"""),"Uncle Sams Cider (04/04/2023)")</f>
        <v>Uncle Sams Cider (04/04/2023)</v>
      </c>
      <c r="H136" s="19"/>
    </row>
    <row r="137">
      <c r="A137" s="9"/>
      <c r="B137" s="15"/>
      <c r="C137" s="9">
        <f>IFERROR(__xludf.DUMMYFUNCTION("""COMPUTED_VALUE"""),45143.2219688425)</f>
        <v>45143.22197</v>
      </c>
      <c r="D137" s="15">
        <f>IFERROR(__xludf.DUMMYFUNCTION("""COMPUTED_VALUE"""),1.003)</f>
        <v>1.003</v>
      </c>
      <c r="E137" s="16">
        <f>IFERROR(__xludf.DUMMYFUNCTION("""COMPUTED_VALUE"""),74.0)</f>
        <v>74</v>
      </c>
      <c r="F137" s="19" t="str">
        <f>IFERROR(__xludf.DUMMYFUNCTION("""COMPUTED_VALUE"""),"BLACK")</f>
        <v>BLACK</v>
      </c>
      <c r="G137" s="20" t="str">
        <f>IFERROR(__xludf.DUMMYFUNCTION("""COMPUTED_VALUE"""),"Uncle Sams Cider (04/04/2023)")</f>
        <v>Uncle Sams Cider (04/04/2023)</v>
      </c>
      <c r="H137" s="19"/>
    </row>
    <row r="138">
      <c r="A138" s="9"/>
      <c r="B138" s="15"/>
      <c r="C138" s="9">
        <f>IFERROR(__xludf.DUMMYFUNCTION("""COMPUTED_VALUE"""),45143.2115484027)</f>
        <v>45143.21155</v>
      </c>
      <c r="D138" s="15">
        <f>IFERROR(__xludf.DUMMYFUNCTION("""COMPUTED_VALUE"""),1.003)</f>
        <v>1.003</v>
      </c>
      <c r="E138" s="16">
        <f>IFERROR(__xludf.DUMMYFUNCTION("""COMPUTED_VALUE"""),74.0)</f>
        <v>74</v>
      </c>
      <c r="F138" s="19" t="str">
        <f>IFERROR(__xludf.DUMMYFUNCTION("""COMPUTED_VALUE"""),"BLACK")</f>
        <v>BLACK</v>
      </c>
      <c r="G138" s="20" t="str">
        <f>IFERROR(__xludf.DUMMYFUNCTION("""COMPUTED_VALUE"""),"Uncle Sams Cider (04/04/2023)")</f>
        <v>Uncle Sams Cider (04/04/2023)</v>
      </c>
      <c r="H138" s="19"/>
    </row>
    <row r="139">
      <c r="A139" s="9"/>
      <c r="B139" s="15"/>
      <c r="C139" s="9">
        <f>IFERROR(__xludf.DUMMYFUNCTION("""COMPUTED_VALUE"""),45143.2011278009)</f>
        <v>45143.20113</v>
      </c>
      <c r="D139" s="15">
        <f>IFERROR(__xludf.DUMMYFUNCTION("""COMPUTED_VALUE"""),1.003)</f>
        <v>1.003</v>
      </c>
      <c r="E139" s="16">
        <f>IFERROR(__xludf.DUMMYFUNCTION("""COMPUTED_VALUE"""),74.0)</f>
        <v>74</v>
      </c>
      <c r="F139" s="19" t="str">
        <f>IFERROR(__xludf.DUMMYFUNCTION("""COMPUTED_VALUE"""),"BLACK")</f>
        <v>BLACK</v>
      </c>
      <c r="G139" s="20" t="str">
        <f>IFERROR(__xludf.DUMMYFUNCTION("""COMPUTED_VALUE"""),"Uncle Sams Cider (04/04/2023)")</f>
        <v>Uncle Sams Cider (04/04/2023)</v>
      </c>
      <c r="H139" s="19"/>
    </row>
    <row r="140">
      <c r="A140" s="9"/>
      <c r="B140" s="15"/>
      <c r="C140" s="9">
        <f>IFERROR(__xludf.DUMMYFUNCTION("""COMPUTED_VALUE"""),45143.190705162)</f>
        <v>45143.19071</v>
      </c>
      <c r="D140" s="15">
        <f>IFERROR(__xludf.DUMMYFUNCTION("""COMPUTED_VALUE"""),1.003)</f>
        <v>1.003</v>
      </c>
      <c r="E140" s="16">
        <f>IFERROR(__xludf.DUMMYFUNCTION("""COMPUTED_VALUE"""),74.0)</f>
        <v>74</v>
      </c>
      <c r="F140" s="19" t="str">
        <f>IFERROR(__xludf.DUMMYFUNCTION("""COMPUTED_VALUE"""),"BLACK")</f>
        <v>BLACK</v>
      </c>
      <c r="G140" s="20" t="str">
        <f>IFERROR(__xludf.DUMMYFUNCTION("""COMPUTED_VALUE"""),"Uncle Sams Cider (04/04/2023)")</f>
        <v>Uncle Sams Cider (04/04/2023)</v>
      </c>
      <c r="H140" s="19"/>
    </row>
    <row r="141">
      <c r="A141" s="9"/>
      <c r="B141" s="15"/>
      <c r="C141" s="9">
        <f>IFERROR(__xludf.DUMMYFUNCTION("""COMPUTED_VALUE"""),45143.180285324)</f>
        <v>45143.18029</v>
      </c>
      <c r="D141" s="15">
        <f>IFERROR(__xludf.DUMMYFUNCTION("""COMPUTED_VALUE"""),1.003)</f>
        <v>1.003</v>
      </c>
      <c r="E141" s="16">
        <f>IFERROR(__xludf.DUMMYFUNCTION("""COMPUTED_VALUE"""),74.0)</f>
        <v>74</v>
      </c>
      <c r="F141" s="19" t="str">
        <f>IFERROR(__xludf.DUMMYFUNCTION("""COMPUTED_VALUE"""),"BLACK")</f>
        <v>BLACK</v>
      </c>
      <c r="G141" s="20" t="str">
        <f>IFERROR(__xludf.DUMMYFUNCTION("""COMPUTED_VALUE"""),"Uncle Sams Cider (04/04/2023)")</f>
        <v>Uncle Sams Cider (04/04/2023)</v>
      </c>
      <c r="H141" s="19"/>
    </row>
    <row r="142">
      <c r="A142" s="9"/>
      <c r="B142" s="15"/>
      <c r="C142" s="9">
        <f>IFERROR(__xludf.DUMMYFUNCTION("""COMPUTED_VALUE"""),45143.1698644097)</f>
        <v>45143.16986</v>
      </c>
      <c r="D142" s="15">
        <f>IFERROR(__xludf.DUMMYFUNCTION("""COMPUTED_VALUE"""),1.003)</f>
        <v>1.003</v>
      </c>
      <c r="E142" s="16">
        <f>IFERROR(__xludf.DUMMYFUNCTION("""COMPUTED_VALUE"""),74.0)</f>
        <v>74</v>
      </c>
      <c r="F142" s="19" t="str">
        <f>IFERROR(__xludf.DUMMYFUNCTION("""COMPUTED_VALUE"""),"BLACK")</f>
        <v>BLACK</v>
      </c>
      <c r="G142" s="20" t="str">
        <f>IFERROR(__xludf.DUMMYFUNCTION("""COMPUTED_VALUE"""),"Uncle Sams Cider (04/04/2023)")</f>
        <v>Uncle Sams Cider (04/04/2023)</v>
      </c>
      <c r="H142" s="19"/>
    </row>
    <row r="143">
      <c r="A143" s="9"/>
      <c r="B143" s="15"/>
      <c r="C143" s="9">
        <f>IFERROR(__xludf.DUMMYFUNCTION("""COMPUTED_VALUE"""),45143.1594415625)</f>
        <v>45143.15944</v>
      </c>
      <c r="D143" s="15">
        <f>IFERROR(__xludf.DUMMYFUNCTION("""COMPUTED_VALUE"""),1.003)</f>
        <v>1.003</v>
      </c>
      <c r="E143" s="16">
        <f>IFERROR(__xludf.DUMMYFUNCTION("""COMPUTED_VALUE"""),74.0)</f>
        <v>74</v>
      </c>
      <c r="F143" s="19" t="str">
        <f>IFERROR(__xludf.DUMMYFUNCTION("""COMPUTED_VALUE"""),"BLACK")</f>
        <v>BLACK</v>
      </c>
      <c r="G143" s="20" t="str">
        <f>IFERROR(__xludf.DUMMYFUNCTION("""COMPUTED_VALUE"""),"Uncle Sams Cider (04/04/2023)")</f>
        <v>Uncle Sams Cider (04/04/2023)</v>
      </c>
      <c r="H143" s="19"/>
    </row>
    <row r="144">
      <c r="A144" s="9"/>
      <c r="B144" s="15"/>
      <c r="C144" s="9">
        <f>IFERROR(__xludf.DUMMYFUNCTION("""COMPUTED_VALUE"""),45143.1490096527)</f>
        <v>45143.14901</v>
      </c>
      <c r="D144" s="15">
        <f>IFERROR(__xludf.DUMMYFUNCTION("""COMPUTED_VALUE"""),1.003)</f>
        <v>1.003</v>
      </c>
      <c r="E144" s="16">
        <f>IFERROR(__xludf.DUMMYFUNCTION("""COMPUTED_VALUE"""),74.0)</f>
        <v>74</v>
      </c>
      <c r="F144" s="19" t="str">
        <f>IFERROR(__xludf.DUMMYFUNCTION("""COMPUTED_VALUE"""),"BLACK")</f>
        <v>BLACK</v>
      </c>
      <c r="G144" s="20" t="str">
        <f>IFERROR(__xludf.DUMMYFUNCTION("""COMPUTED_VALUE"""),"Uncle Sams Cider (04/04/2023)")</f>
        <v>Uncle Sams Cider (04/04/2023)</v>
      </c>
      <c r="H144" s="19"/>
    </row>
    <row r="145">
      <c r="A145" s="9"/>
      <c r="B145" s="15"/>
      <c r="C145" s="9">
        <f>IFERROR(__xludf.DUMMYFUNCTION("""COMPUTED_VALUE"""),45143.1385887152)</f>
        <v>45143.13859</v>
      </c>
      <c r="D145" s="15">
        <f>IFERROR(__xludf.DUMMYFUNCTION("""COMPUTED_VALUE"""),1.003)</f>
        <v>1.003</v>
      </c>
      <c r="E145" s="16">
        <f>IFERROR(__xludf.DUMMYFUNCTION("""COMPUTED_VALUE"""),74.0)</f>
        <v>74</v>
      </c>
      <c r="F145" s="19" t="str">
        <f>IFERROR(__xludf.DUMMYFUNCTION("""COMPUTED_VALUE"""),"BLACK")</f>
        <v>BLACK</v>
      </c>
      <c r="G145" s="20" t="str">
        <f>IFERROR(__xludf.DUMMYFUNCTION("""COMPUTED_VALUE"""),"Uncle Sams Cider (04/04/2023)")</f>
        <v>Uncle Sams Cider (04/04/2023)</v>
      </c>
      <c r="H145" s="19"/>
    </row>
    <row r="146">
      <c r="A146" s="9"/>
      <c r="B146" s="15"/>
      <c r="C146" s="9">
        <f>IFERROR(__xludf.DUMMYFUNCTION("""COMPUTED_VALUE"""),45143.128144375)</f>
        <v>45143.12814</v>
      </c>
      <c r="D146" s="15">
        <f>IFERROR(__xludf.DUMMYFUNCTION("""COMPUTED_VALUE"""),1.003)</f>
        <v>1.003</v>
      </c>
      <c r="E146" s="16">
        <f>IFERROR(__xludf.DUMMYFUNCTION("""COMPUTED_VALUE"""),74.0)</f>
        <v>74</v>
      </c>
      <c r="F146" s="19" t="str">
        <f>IFERROR(__xludf.DUMMYFUNCTION("""COMPUTED_VALUE"""),"BLACK")</f>
        <v>BLACK</v>
      </c>
      <c r="G146" s="20" t="str">
        <f>IFERROR(__xludf.DUMMYFUNCTION("""COMPUTED_VALUE"""),"Uncle Sams Cider (04/04/2023)")</f>
        <v>Uncle Sams Cider (04/04/2023)</v>
      </c>
      <c r="H146" s="19"/>
    </row>
    <row r="147">
      <c r="A147" s="9"/>
      <c r="B147" s="15"/>
      <c r="C147" s="9">
        <f>IFERROR(__xludf.DUMMYFUNCTION("""COMPUTED_VALUE"""),45143.1177243634)</f>
        <v>45143.11772</v>
      </c>
      <c r="D147" s="15">
        <f>IFERROR(__xludf.DUMMYFUNCTION("""COMPUTED_VALUE"""),1.003)</f>
        <v>1.003</v>
      </c>
      <c r="E147" s="16">
        <f>IFERROR(__xludf.DUMMYFUNCTION("""COMPUTED_VALUE"""),74.0)</f>
        <v>74</v>
      </c>
      <c r="F147" s="19" t="str">
        <f>IFERROR(__xludf.DUMMYFUNCTION("""COMPUTED_VALUE"""),"BLACK")</f>
        <v>BLACK</v>
      </c>
      <c r="G147" s="20" t="str">
        <f>IFERROR(__xludf.DUMMYFUNCTION("""COMPUTED_VALUE"""),"Uncle Sams Cider (04/04/2023)")</f>
        <v>Uncle Sams Cider (04/04/2023)</v>
      </c>
      <c r="H147" s="19"/>
    </row>
    <row r="148">
      <c r="A148" s="9"/>
      <c r="B148" s="15"/>
      <c r="C148" s="9">
        <f>IFERROR(__xludf.DUMMYFUNCTION("""COMPUTED_VALUE"""),45143.1072819097)</f>
        <v>45143.10728</v>
      </c>
      <c r="D148" s="15">
        <f>IFERROR(__xludf.DUMMYFUNCTION("""COMPUTED_VALUE"""),1.003)</f>
        <v>1.003</v>
      </c>
      <c r="E148" s="16">
        <f>IFERROR(__xludf.DUMMYFUNCTION("""COMPUTED_VALUE"""),74.0)</f>
        <v>74</v>
      </c>
      <c r="F148" s="19" t="str">
        <f>IFERROR(__xludf.DUMMYFUNCTION("""COMPUTED_VALUE"""),"BLACK")</f>
        <v>BLACK</v>
      </c>
      <c r="G148" s="20" t="str">
        <f>IFERROR(__xludf.DUMMYFUNCTION("""COMPUTED_VALUE"""),"Uncle Sams Cider (04/04/2023)")</f>
        <v>Uncle Sams Cider (04/04/2023)</v>
      </c>
      <c r="H148" s="19"/>
    </row>
    <row r="149">
      <c r="A149" s="9"/>
      <c r="B149" s="15"/>
      <c r="C149" s="9">
        <f>IFERROR(__xludf.DUMMYFUNCTION("""COMPUTED_VALUE"""),45143.0968481481)</f>
        <v>45143.09685</v>
      </c>
      <c r="D149" s="15">
        <f>IFERROR(__xludf.DUMMYFUNCTION("""COMPUTED_VALUE"""),1.003)</f>
        <v>1.003</v>
      </c>
      <c r="E149" s="16">
        <f>IFERROR(__xludf.DUMMYFUNCTION("""COMPUTED_VALUE"""),74.0)</f>
        <v>74</v>
      </c>
      <c r="F149" s="19" t="str">
        <f>IFERROR(__xludf.DUMMYFUNCTION("""COMPUTED_VALUE"""),"BLACK")</f>
        <v>BLACK</v>
      </c>
      <c r="G149" s="20" t="str">
        <f>IFERROR(__xludf.DUMMYFUNCTION("""COMPUTED_VALUE"""),"Uncle Sams Cider (04/04/2023)")</f>
        <v>Uncle Sams Cider (04/04/2023)</v>
      </c>
      <c r="H149" s="19"/>
    </row>
    <row r="150">
      <c r="A150" s="9"/>
      <c r="B150" s="15"/>
      <c r="C150" s="9">
        <f>IFERROR(__xludf.DUMMYFUNCTION("""COMPUTED_VALUE"""),45143.0864272685)</f>
        <v>45143.08643</v>
      </c>
      <c r="D150" s="15">
        <f>IFERROR(__xludf.DUMMYFUNCTION("""COMPUTED_VALUE"""),1.003)</f>
        <v>1.003</v>
      </c>
      <c r="E150" s="16">
        <f>IFERROR(__xludf.DUMMYFUNCTION("""COMPUTED_VALUE"""),74.0)</f>
        <v>74</v>
      </c>
      <c r="F150" s="19" t="str">
        <f>IFERROR(__xludf.DUMMYFUNCTION("""COMPUTED_VALUE"""),"BLACK")</f>
        <v>BLACK</v>
      </c>
      <c r="G150" s="20" t="str">
        <f>IFERROR(__xludf.DUMMYFUNCTION("""COMPUTED_VALUE"""),"Uncle Sams Cider (04/04/2023)")</f>
        <v>Uncle Sams Cider (04/04/2023)</v>
      </c>
      <c r="H150" s="19"/>
    </row>
    <row r="151">
      <c r="A151" s="9"/>
      <c r="B151" s="15"/>
      <c r="C151" s="9">
        <f>IFERROR(__xludf.DUMMYFUNCTION("""COMPUTED_VALUE"""),45143.0760050578)</f>
        <v>45143.07601</v>
      </c>
      <c r="D151" s="15">
        <f>IFERROR(__xludf.DUMMYFUNCTION("""COMPUTED_VALUE"""),1.003)</f>
        <v>1.003</v>
      </c>
      <c r="E151" s="16">
        <f>IFERROR(__xludf.DUMMYFUNCTION("""COMPUTED_VALUE"""),74.0)</f>
        <v>74</v>
      </c>
      <c r="F151" s="19" t="str">
        <f>IFERROR(__xludf.DUMMYFUNCTION("""COMPUTED_VALUE"""),"BLACK")</f>
        <v>BLACK</v>
      </c>
      <c r="G151" s="20" t="str">
        <f>IFERROR(__xludf.DUMMYFUNCTION("""COMPUTED_VALUE"""),"Uncle Sams Cider (04/04/2023)")</f>
        <v>Uncle Sams Cider (04/04/2023)</v>
      </c>
      <c r="H151" s="19"/>
    </row>
    <row r="152">
      <c r="A152" s="9"/>
      <c r="B152" s="15"/>
      <c r="C152" s="9">
        <f>IFERROR(__xludf.DUMMYFUNCTION("""COMPUTED_VALUE"""),45143.0655721643)</f>
        <v>45143.06557</v>
      </c>
      <c r="D152" s="15">
        <f>IFERROR(__xludf.DUMMYFUNCTION("""COMPUTED_VALUE"""),1.003)</f>
        <v>1.003</v>
      </c>
      <c r="E152" s="16">
        <f>IFERROR(__xludf.DUMMYFUNCTION("""COMPUTED_VALUE"""),74.0)</f>
        <v>74</v>
      </c>
      <c r="F152" s="19" t="str">
        <f>IFERROR(__xludf.DUMMYFUNCTION("""COMPUTED_VALUE"""),"BLACK")</f>
        <v>BLACK</v>
      </c>
      <c r="G152" s="20" t="str">
        <f>IFERROR(__xludf.DUMMYFUNCTION("""COMPUTED_VALUE"""),"Uncle Sams Cider (04/04/2023)")</f>
        <v>Uncle Sams Cider (04/04/2023)</v>
      </c>
      <c r="H152" s="19"/>
    </row>
    <row r="153">
      <c r="A153" s="9"/>
      <c r="B153" s="15"/>
      <c r="C153" s="9">
        <f>IFERROR(__xludf.DUMMYFUNCTION("""COMPUTED_VALUE"""),45143.0551507638)</f>
        <v>45143.05515</v>
      </c>
      <c r="D153" s="15">
        <f>IFERROR(__xludf.DUMMYFUNCTION("""COMPUTED_VALUE"""),1.003)</f>
        <v>1.003</v>
      </c>
      <c r="E153" s="16">
        <f>IFERROR(__xludf.DUMMYFUNCTION("""COMPUTED_VALUE"""),74.0)</f>
        <v>74</v>
      </c>
      <c r="F153" s="19" t="str">
        <f>IFERROR(__xludf.DUMMYFUNCTION("""COMPUTED_VALUE"""),"BLACK")</f>
        <v>BLACK</v>
      </c>
      <c r="G153" s="20" t="str">
        <f>IFERROR(__xludf.DUMMYFUNCTION("""COMPUTED_VALUE"""),"Uncle Sams Cider (04/04/2023)")</f>
        <v>Uncle Sams Cider (04/04/2023)</v>
      </c>
      <c r="H153" s="19"/>
    </row>
    <row r="154">
      <c r="A154" s="9"/>
      <c r="B154" s="15"/>
      <c r="C154" s="9">
        <f>IFERROR(__xludf.DUMMYFUNCTION("""COMPUTED_VALUE"""),45143.0447290972)</f>
        <v>45143.04473</v>
      </c>
      <c r="D154" s="15">
        <f>IFERROR(__xludf.DUMMYFUNCTION("""COMPUTED_VALUE"""),1.003)</f>
        <v>1.003</v>
      </c>
      <c r="E154" s="16">
        <f>IFERROR(__xludf.DUMMYFUNCTION("""COMPUTED_VALUE"""),74.0)</f>
        <v>74</v>
      </c>
      <c r="F154" s="19" t="str">
        <f>IFERROR(__xludf.DUMMYFUNCTION("""COMPUTED_VALUE"""),"BLACK")</f>
        <v>BLACK</v>
      </c>
      <c r="G154" s="20" t="str">
        <f>IFERROR(__xludf.DUMMYFUNCTION("""COMPUTED_VALUE"""),"Uncle Sams Cider (04/04/2023)")</f>
        <v>Uncle Sams Cider (04/04/2023)</v>
      </c>
      <c r="H154" s="19"/>
    </row>
    <row r="155">
      <c r="A155" s="9"/>
      <c r="B155" s="15"/>
      <c r="C155" s="9">
        <f>IFERROR(__xludf.DUMMYFUNCTION("""COMPUTED_VALUE"""),45143.0342959722)</f>
        <v>45143.0343</v>
      </c>
      <c r="D155" s="15">
        <f>IFERROR(__xludf.DUMMYFUNCTION("""COMPUTED_VALUE"""),1.003)</f>
        <v>1.003</v>
      </c>
      <c r="E155" s="16">
        <f>IFERROR(__xludf.DUMMYFUNCTION("""COMPUTED_VALUE"""),74.0)</f>
        <v>74</v>
      </c>
      <c r="F155" s="19" t="str">
        <f>IFERROR(__xludf.DUMMYFUNCTION("""COMPUTED_VALUE"""),"BLACK")</f>
        <v>BLACK</v>
      </c>
      <c r="G155" s="20" t="str">
        <f>IFERROR(__xludf.DUMMYFUNCTION("""COMPUTED_VALUE"""),"Uncle Sams Cider (04/04/2023)")</f>
        <v>Uncle Sams Cider (04/04/2023)</v>
      </c>
      <c r="H155" s="19"/>
    </row>
    <row r="156">
      <c r="A156" s="9"/>
      <c r="B156" s="15"/>
      <c r="C156" s="9">
        <f>IFERROR(__xludf.DUMMYFUNCTION("""COMPUTED_VALUE"""),45143.0238748148)</f>
        <v>45143.02387</v>
      </c>
      <c r="D156" s="15">
        <f>IFERROR(__xludf.DUMMYFUNCTION("""COMPUTED_VALUE"""),1.003)</f>
        <v>1.003</v>
      </c>
      <c r="E156" s="16">
        <f>IFERROR(__xludf.DUMMYFUNCTION("""COMPUTED_VALUE"""),74.0)</f>
        <v>74</v>
      </c>
      <c r="F156" s="19" t="str">
        <f>IFERROR(__xludf.DUMMYFUNCTION("""COMPUTED_VALUE"""),"BLACK")</f>
        <v>BLACK</v>
      </c>
      <c r="G156" s="20" t="str">
        <f>IFERROR(__xludf.DUMMYFUNCTION("""COMPUTED_VALUE"""),"Uncle Sams Cider (04/04/2023)")</f>
        <v>Uncle Sams Cider (04/04/2023)</v>
      </c>
      <c r="H156" s="19"/>
    </row>
    <row r="157">
      <c r="A157" s="9"/>
      <c r="B157" s="15"/>
      <c r="C157" s="9">
        <f>IFERROR(__xludf.DUMMYFUNCTION("""COMPUTED_VALUE"""),45143.0134541782)</f>
        <v>45143.01345</v>
      </c>
      <c r="D157" s="15">
        <f>IFERROR(__xludf.DUMMYFUNCTION("""COMPUTED_VALUE"""),1.003)</f>
        <v>1.003</v>
      </c>
      <c r="E157" s="16">
        <f>IFERROR(__xludf.DUMMYFUNCTION("""COMPUTED_VALUE"""),74.0)</f>
        <v>74</v>
      </c>
      <c r="F157" s="19" t="str">
        <f>IFERROR(__xludf.DUMMYFUNCTION("""COMPUTED_VALUE"""),"BLACK")</f>
        <v>BLACK</v>
      </c>
      <c r="G157" s="20" t="str">
        <f>IFERROR(__xludf.DUMMYFUNCTION("""COMPUTED_VALUE"""),"Uncle Sams Cider (04/04/2023)")</f>
        <v>Uncle Sams Cider (04/04/2023)</v>
      </c>
      <c r="H157" s="19"/>
    </row>
    <row r="158">
      <c r="A158" s="9"/>
      <c r="B158" s="15"/>
      <c r="C158" s="9">
        <f>IFERROR(__xludf.DUMMYFUNCTION("""COMPUTED_VALUE"""),45143.0030214814)</f>
        <v>45143.00302</v>
      </c>
      <c r="D158" s="15">
        <f>IFERROR(__xludf.DUMMYFUNCTION("""COMPUTED_VALUE"""),1.003)</f>
        <v>1.003</v>
      </c>
      <c r="E158" s="16">
        <f>IFERROR(__xludf.DUMMYFUNCTION("""COMPUTED_VALUE"""),74.0)</f>
        <v>74</v>
      </c>
      <c r="F158" s="19" t="str">
        <f>IFERROR(__xludf.DUMMYFUNCTION("""COMPUTED_VALUE"""),"BLACK")</f>
        <v>BLACK</v>
      </c>
      <c r="G158" s="20" t="str">
        <f>IFERROR(__xludf.DUMMYFUNCTION("""COMPUTED_VALUE"""),"Uncle Sams Cider (04/04/2023)")</f>
        <v>Uncle Sams Cider (04/04/2023)</v>
      </c>
      <c r="H158" s="19"/>
    </row>
    <row r="159">
      <c r="A159" s="9"/>
      <c r="B159" s="15"/>
      <c r="C159" s="9">
        <f>IFERROR(__xludf.DUMMYFUNCTION("""COMPUTED_VALUE"""),45142.9926014583)</f>
        <v>45142.9926</v>
      </c>
      <c r="D159" s="15">
        <f>IFERROR(__xludf.DUMMYFUNCTION("""COMPUTED_VALUE"""),1.003)</f>
        <v>1.003</v>
      </c>
      <c r="E159" s="16">
        <f>IFERROR(__xludf.DUMMYFUNCTION("""COMPUTED_VALUE"""),74.0)</f>
        <v>74</v>
      </c>
      <c r="F159" s="19" t="str">
        <f>IFERROR(__xludf.DUMMYFUNCTION("""COMPUTED_VALUE"""),"BLACK")</f>
        <v>BLACK</v>
      </c>
      <c r="G159" s="20" t="str">
        <f>IFERROR(__xludf.DUMMYFUNCTION("""COMPUTED_VALUE"""),"Uncle Sams Cider (04/04/2023)")</f>
        <v>Uncle Sams Cider (04/04/2023)</v>
      </c>
      <c r="H159" s="19"/>
    </row>
    <row r="160">
      <c r="A160" s="9"/>
      <c r="B160" s="15"/>
      <c r="C160" s="9">
        <f>IFERROR(__xludf.DUMMYFUNCTION("""COMPUTED_VALUE"""),45142.9821678935)</f>
        <v>45142.98217</v>
      </c>
      <c r="D160" s="15">
        <f>IFERROR(__xludf.DUMMYFUNCTION("""COMPUTED_VALUE"""),1.003)</f>
        <v>1.003</v>
      </c>
      <c r="E160" s="16">
        <f>IFERROR(__xludf.DUMMYFUNCTION("""COMPUTED_VALUE"""),74.0)</f>
        <v>74</v>
      </c>
      <c r="F160" s="19" t="str">
        <f>IFERROR(__xludf.DUMMYFUNCTION("""COMPUTED_VALUE"""),"BLACK")</f>
        <v>BLACK</v>
      </c>
      <c r="G160" s="20" t="str">
        <f>IFERROR(__xludf.DUMMYFUNCTION("""COMPUTED_VALUE"""),"Uncle Sams Cider (04/04/2023)")</f>
        <v>Uncle Sams Cider (04/04/2023)</v>
      </c>
      <c r="H160" s="19"/>
    </row>
    <row r="161">
      <c r="A161" s="9"/>
      <c r="B161" s="15"/>
      <c r="C161" s="9">
        <f>IFERROR(__xludf.DUMMYFUNCTION("""COMPUTED_VALUE"""),45142.9717339004)</f>
        <v>45142.97173</v>
      </c>
      <c r="D161" s="15">
        <f>IFERROR(__xludf.DUMMYFUNCTION("""COMPUTED_VALUE"""),1.003)</f>
        <v>1.003</v>
      </c>
      <c r="E161" s="16">
        <f>IFERROR(__xludf.DUMMYFUNCTION("""COMPUTED_VALUE"""),74.0)</f>
        <v>74</v>
      </c>
      <c r="F161" s="19" t="str">
        <f>IFERROR(__xludf.DUMMYFUNCTION("""COMPUTED_VALUE"""),"BLACK")</f>
        <v>BLACK</v>
      </c>
      <c r="G161" s="20" t="str">
        <f>IFERROR(__xludf.DUMMYFUNCTION("""COMPUTED_VALUE"""),"Uncle Sams Cider (04/04/2023)")</f>
        <v>Uncle Sams Cider (04/04/2023)</v>
      </c>
      <c r="H161" s="19"/>
    </row>
    <row r="162">
      <c r="A162" s="9"/>
      <c r="B162" s="15"/>
      <c r="C162" s="9">
        <f>IFERROR(__xludf.DUMMYFUNCTION("""COMPUTED_VALUE"""),45142.9613118287)</f>
        <v>45142.96131</v>
      </c>
      <c r="D162" s="15">
        <f>IFERROR(__xludf.DUMMYFUNCTION("""COMPUTED_VALUE"""),1.003)</f>
        <v>1.003</v>
      </c>
      <c r="E162" s="16">
        <f>IFERROR(__xludf.DUMMYFUNCTION("""COMPUTED_VALUE"""),74.0)</f>
        <v>74</v>
      </c>
      <c r="F162" s="19" t="str">
        <f>IFERROR(__xludf.DUMMYFUNCTION("""COMPUTED_VALUE"""),"BLACK")</f>
        <v>BLACK</v>
      </c>
      <c r="G162" s="20" t="str">
        <f>IFERROR(__xludf.DUMMYFUNCTION("""COMPUTED_VALUE"""),"Uncle Sams Cider (04/04/2023)")</f>
        <v>Uncle Sams Cider (04/04/2023)</v>
      </c>
      <c r="H162" s="19"/>
    </row>
    <row r="163">
      <c r="A163" s="9"/>
      <c r="B163" s="15"/>
      <c r="C163" s="9">
        <f>IFERROR(__xludf.DUMMYFUNCTION("""COMPUTED_VALUE"""),45142.9508915277)</f>
        <v>45142.95089</v>
      </c>
      <c r="D163" s="15">
        <f>IFERROR(__xludf.DUMMYFUNCTION("""COMPUTED_VALUE"""),1.003)</f>
        <v>1.003</v>
      </c>
      <c r="E163" s="16">
        <f>IFERROR(__xludf.DUMMYFUNCTION("""COMPUTED_VALUE"""),74.0)</f>
        <v>74</v>
      </c>
      <c r="F163" s="19" t="str">
        <f>IFERROR(__xludf.DUMMYFUNCTION("""COMPUTED_VALUE"""),"BLACK")</f>
        <v>BLACK</v>
      </c>
      <c r="G163" s="20" t="str">
        <f>IFERROR(__xludf.DUMMYFUNCTION("""COMPUTED_VALUE"""),"Uncle Sams Cider (04/04/2023)")</f>
        <v>Uncle Sams Cider (04/04/2023)</v>
      </c>
      <c r="H163" s="19"/>
    </row>
    <row r="164">
      <c r="A164" s="9"/>
      <c r="B164" s="15"/>
      <c r="C164" s="9">
        <f>IFERROR(__xludf.DUMMYFUNCTION("""COMPUTED_VALUE"""),45142.9404595138)</f>
        <v>45142.94046</v>
      </c>
      <c r="D164" s="15">
        <f>IFERROR(__xludf.DUMMYFUNCTION("""COMPUTED_VALUE"""),1.003)</f>
        <v>1.003</v>
      </c>
      <c r="E164" s="16">
        <f>IFERROR(__xludf.DUMMYFUNCTION("""COMPUTED_VALUE"""),74.0)</f>
        <v>74</v>
      </c>
      <c r="F164" s="19" t="str">
        <f>IFERROR(__xludf.DUMMYFUNCTION("""COMPUTED_VALUE"""),"BLACK")</f>
        <v>BLACK</v>
      </c>
      <c r="G164" s="20" t="str">
        <f>IFERROR(__xludf.DUMMYFUNCTION("""COMPUTED_VALUE"""),"Uncle Sams Cider (04/04/2023)")</f>
        <v>Uncle Sams Cider (04/04/2023)</v>
      </c>
      <c r="H164" s="19"/>
    </row>
    <row r="165">
      <c r="A165" s="9"/>
      <c r="B165" s="15"/>
      <c r="C165" s="9">
        <f>IFERROR(__xludf.DUMMYFUNCTION("""COMPUTED_VALUE"""),45142.9300390972)</f>
        <v>45142.93004</v>
      </c>
      <c r="D165" s="15">
        <f>IFERROR(__xludf.DUMMYFUNCTION("""COMPUTED_VALUE"""),1.003)</f>
        <v>1.003</v>
      </c>
      <c r="E165" s="16">
        <f>IFERROR(__xludf.DUMMYFUNCTION("""COMPUTED_VALUE"""),74.0)</f>
        <v>74</v>
      </c>
      <c r="F165" s="19" t="str">
        <f>IFERROR(__xludf.DUMMYFUNCTION("""COMPUTED_VALUE"""),"BLACK")</f>
        <v>BLACK</v>
      </c>
      <c r="G165" s="20" t="str">
        <f>IFERROR(__xludf.DUMMYFUNCTION("""COMPUTED_VALUE"""),"Uncle Sams Cider (04/04/2023)")</f>
        <v>Uncle Sams Cider (04/04/2023)</v>
      </c>
      <c r="H165" s="19"/>
    </row>
    <row r="166">
      <c r="A166" s="9"/>
      <c r="B166" s="15"/>
      <c r="C166" s="9">
        <f>IFERROR(__xludf.DUMMYFUNCTION("""COMPUTED_VALUE"""),45142.9196064351)</f>
        <v>45142.91961</v>
      </c>
      <c r="D166" s="15">
        <f>IFERROR(__xludf.DUMMYFUNCTION("""COMPUTED_VALUE"""),1.003)</f>
        <v>1.003</v>
      </c>
      <c r="E166" s="16">
        <f>IFERROR(__xludf.DUMMYFUNCTION("""COMPUTED_VALUE"""),74.0)</f>
        <v>74</v>
      </c>
      <c r="F166" s="19" t="str">
        <f>IFERROR(__xludf.DUMMYFUNCTION("""COMPUTED_VALUE"""),"BLACK")</f>
        <v>BLACK</v>
      </c>
      <c r="G166" s="20" t="str">
        <f>IFERROR(__xludf.DUMMYFUNCTION("""COMPUTED_VALUE"""),"Uncle Sams Cider (04/04/2023)")</f>
        <v>Uncle Sams Cider (04/04/2023)</v>
      </c>
      <c r="H166" s="19"/>
    </row>
    <row r="167">
      <c r="A167" s="9"/>
      <c r="B167" s="15"/>
      <c r="C167" s="9">
        <f>IFERROR(__xludf.DUMMYFUNCTION("""COMPUTED_VALUE"""),45142.9091858333)</f>
        <v>45142.90919</v>
      </c>
      <c r="D167" s="15">
        <f>IFERROR(__xludf.DUMMYFUNCTION("""COMPUTED_VALUE"""),1.003)</f>
        <v>1.003</v>
      </c>
      <c r="E167" s="16">
        <f>IFERROR(__xludf.DUMMYFUNCTION("""COMPUTED_VALUE"""),73.0)</f>
        <v>73</v>
      </c>
      <c r="F167" s="19" t="str">
        <f>IFERROR(__xludf.DUMMYFUNCTION("""COMPUTED_VALUE"""),"BLACK")</f>
        <v>BLACK</v>
      </c>
      <c r="G167" s="20" t="str">
        <f>IFERROR(__xludf.DUMMYFUNCTION("""COMPUTED_VALUE"""),"Uncle Sams Cider (04/04/2023)")</f>
        <v>Uncle Sams Cider (04/04/2023)</v>
      </c>
      <c r="H167" s="19"/>
    </row>
    <row r="168">
      <c r="A168" s="9"/>
      <c r="B168" s="15"/>
      <c r="C168" s="9">
        <f>IFERROR(__xludf.DUMMYFUNCTION("""COMPUTED_VALUE"""),45142.8987641782)</f>
        <v>45142.89876</v>
      </c>
      <c r="D168" s="15">
        <f>IFERROR(__xludf.DUMMYFUNCTION("""COMPUTED_VALUE"""),1.003)</f>
        <v>1.003</v>
      </c>
      <c r="E168" s="16">
        <f>IFERROR(__xludf.DUMMYFUNCTION("""COMPUTED_VALUE"""),74.0)</f>
        <v>74</v>
      </c>
      <c r="F168" s="19" t="str">
        <f>IFERROR(__xludf.DUMMYFUNCTION("""COMPUTED_VALUE"""),"BLACK")</f>
        <v>BLACK</v>
      </c>
      <c r="G168" s="20" t="str">
        <f>IFERROR(__xludf.DUMMYFUNCTION("""COMPUTED_VALUE"""),"Uncle Sams Cider (04/04/2023)")</f>
        <v>Uncle Sams Cider (04/04/2023)</v>
      </c>
      <c r="H168" s="19"/>
    </row>
    <row r="169">
      <c r="A169" s="9"/>
      <c r="B169" s="15"/>
      <c r="C169" s="9">
        <f>IFERROR(__xludf.DUMMYFUNCTION("""COMPUTED_VALUE"""),45142.8883323726)</f>
        <v>45142.88833</v>
      </c>
      <c r="D169" s="15">
        <f>IFERROR(__xludf.DUMMYFUNCTION("""COMPUTED_VALUE"""),1.003)</f>
        <v>1.003</v>
      </c>
      <c r="E169" s="16">
        <f>IFERROR(__xludf.DUMMYFUNCTION("""COMPUTED_VALUE"""),74.0)</f>
        <v>74</v>
      </c>
      <c r="F169" s="19" t="str">
        <f>IFERROR(__xludf.DUMMYFUNCTION("""COMPUTED_VALUE"""),"BLACK")</f>
        <v>BLACK</v>
      </c>
      <c r="G169" s="20" t="str">
        <f>IFERROR(__xludf.DUMMYFUNCTION("""COMPUTED_VALUE"""),"Uncle Sams Cider (04/04/2023)")</f>
        <v>Uncle Sams Cider (04/04/2023)</v>
      </c>
      <c r="H169" s="19"/>
    </row>
    <row r="170">
      <c r="A170" s="9"/>
      <c r="B170" s="15"/>
      <c r="C170" s="9">
        <f>IFERROR(__xludf.DUMMYFUNCTION("""COMPUTED_VALUE"""),45142.8779103935)</f>
        <v>45142.87791</v>
      </c>
      <c r="D170" s="15">
        <f>IFERROR(__xludf.DUMMYFUNCTION("""COMPUTED_VALUE"""),1.003)</f>
        <v>1.003</v>
      </c>
      <c r="E170" s="16">
        <f>IFERROR(__xludf.DUMMYFUNCTION("""COMPUTED_VALUE"""),73.0)</f>
        <v>73</v>
      </c>
      <c r="F170" s="19" t="str">
        <f>IFERROR(__xludf.DUMMYFUNCTION("""COMPUTED_VALUE"""),"BLACK")</f>
        <v>BLACK</v>
      </c>
      <c r="G170" s="20" t="str">
        <f>IFERROR(__xludf.DUMMYFUNCTION("""COMPUTED_VALUE"""),"Uncle Sams Cider (04/04/2023)")</f>
        <v>Uncle Sams Cider (04/04/2023)</v>
      </c>
      <c r="H170" s="19"/>
    </row>
    <row r="171">
      <c r="A171" s="9"/>
      <c r="B171" s="15"/>
      <c r="C171" s="9">
        <f>IFERROR(__xludf.DUMMYFUNCTION("""COMPUTED_VALUE"""),45142.8674892013)</f>
        <v>45142.86749</v>
      </c>
      <c r="D171" s="15">
        <f>IFERROR(__xludf.DUMMYFUNCTION("""COMPUTED_VALUE"""),1.003)</f>
        <v>1.003</v>
      </c>
      <c r="E171" s="16">
        <f>IFERROR(__xludf.DUMMYFUNCTION("""COMPUTED_VALUE"""),73.0)</f>
        <v>73</v>
      </c>
      <c r="F171" s="19" t="str">
        <f>IFERROR(__xludf.DUMMYFUNCTION("""COMPUTED_VALUE"""),"BLACK")</f>
        <v>BLACK</v>
      </c>
      <c r="G171" s="20" t="str">
        <f>IFERROR(__xludf.DUMMYFUNCTION("""COMPUTED_VALUE"""),"Uncle Sams Cider (04/04/2023)")</f>
        <v>Uncle Sams Cider (04/04/2023)</v>
      </c>
      <c r="H171" s="19"/>
    </row>
    <row r="172">
      <c r="A172" s="9"/>
      <c r="B172" s="15"/>
      <c r="C172" s="9">
        <f>IFERROR(__xludf.DUMMYFUNCTION("""COMPUTED_VALUE"""),45142.8570445833)</f>
        <v>45142.85704</v>
      </c>
      <c r="D172" s="15">
        <f>IFERROR(__xludf.DUMMYFUNCTION("""COMPUTED_VALUE"""),1.003)</f>
        <v>1.003</v>
      </c>
      <c r="E172" s="16">
        <f>IFERROR(__xludf.DUMMYFUNCTION("""COMPUTED_VALUE"""),73.0)</f>
        <v>73</v>
      </c>
      <c r="F172" s="19" t="str">
        <f>IFERROR(__xludf.DUMMYFUNCTION("""COMPUTED_VALUE"""),"BLACK")</f>
        <v>BLACK</v>
      </c>
      <c r="G172" s="20" t="str">
        <f>IFERROR(__xludf.DUMMYFUNCTION("""COMPUTED_VALUE"""),"Uncle Sams Cider (04/04/2023)")</f>
        <v>Uncle Sams Cider (04/04/2023)</v>
      </c>
      <c r="H172" s="19"/>
    </row>
    <row r="173">
      <c r="A173" s="9"/>
      <c r="B173" s="15"/>
      <c r="C173" s="9">
        <f>IFERROR(__xludf.DUMMYFUNCTION("""COMPUTED_VALUE"""),45142.8466235532)</f>
        <v>45142.84662</v>
      </c>
      <c r="D173" s="15">
        <f>IFERROR(__xludf.DUMMYFUNCTION("""COMPUTED_VALUE"""),1.003)</f>
        <v>1.003</v>
      </c>
      <c r="E173" s="16">
        <f>IFERROR(__xludf.DUMMYFUNCTION("""COMPUTED_VALUE"""),73.0)</f>
        <v>73</v>
      </c>
      <c r="F173" s="19" t="str">
        <f>IFERROR(__xludf.DUMMYFUNCTION("""COMPUTED_VALUE"""),"BLACK")</f>
        <v>BLACK</v>
      </c>
      <c r="G173" s="20" t="str">
        <f>IFERROR(__xludf.DUMMYFUNCTION("""COMPUTED_VALUE"""),"Uncle Sams Cider (04/04/2023)")</f>
        <v>Uncle Sams Cider (04/04/2023)</v>
      </c>
      <c r="H173" s="19"/>
    </row>
    <row r="174">
      <c r="A174" s="9"/>
      <c r="B174" s="15"/>
      <c r="C174" s="9">
        <f>IFERROR(__xludf.DUMMYFUNCTION("""COMPUTED_VALUE"""),45142.8362031365)</f>
        <v>45142.8362</v>
      </c>
      <c r="D174" s="15">
        <f>IFERROR(__xludf.DUMMYFUNCTION("""COMPUTED_VALUE"""),1.003)</f>
        <v>1.003</v>
      </c>
      <c r="E174" s="16">
        <f>IFERROR(__xludf.DUMMYFUNCTION("""COMPUTED_VALUE"""),73.0)</f>
        <v>73</v>
      </c>
      <c r="F174" s="19" t="str">
        <f>IFERROR(__xludf.DUMMYFUNCTION("""COMPUTED_VALUE"""),"BLACK")</f>
        <v>BLACK</v>
      </c>
      <c r="G174" s="20" t="str">
        <f>IFERROR(__xludf.DUMMYFUNCTION("""COMPUTED_VALUE"""),"Uncle Sams Cider (04/04/2023)")</f>
        <v>Uncle Sams Cider (04/04/2023)</v>
      </c>
      <c r="H174" s="19"/>
    </row>
    <row r="175">
      <c r="A175" s="9"/>
      <c r="B175" s="15"/>
      <c r="C175" s="9">
        <f>IFERROR(__xludf.DUMMYFUNCTION("""COMPUTED_VALUE"""),45142.8257821412)</f>
        <v>45142.82578</v>
      </c>
      <c r="D175" s="15">
        <f>IFERROR(__xludf.DUMMYFUNCTION("""COMPUTED_VALUE"""),1.003)</f>
        <v>1.003</v>
      </c>
      <c r="E175" s="16">
        <f>IFERROR(__xludf.DUMMYFUNCTION("""COMPUTED_VALUE"""),73.0)</f>
        <v>73</v>
      </c>
      <c r="F175" s="19" t="str">
        <f>IFERROR(__xludf.DUMMYFUNCTION("""COMPUTED_VALUE"""),"BLACK")</f>
        <v>BLACK</v>
      </c>
      <c r="G175" s="20" t="str">
        <f>IFERROR(__xludf.DUMMYFUNCTION("""COMPUTED_VALUE"""),"Uncle Sams Cider (04/04/2023)")</f>
        <v>Uncle Sams Cider (04/04/2023)</v>
      </c>
      <c r="H175" s="19"/>
    </row>
    <row r="176">
      <c r="A176" s="9"/>
      <c r="B176" s="15"/>
      <c r="C176" s="9">
        <f>IFERROR(__xludf.DUMMYFUNCTION("""COMPUTED_VALUE"""),45142.8153604051)</f>
        <v>45142.81536</v>
      </c>
      <c r="D176" s="15">
        <f>IFERROR(__xludf.DUMMYFUNCTION("""COMPUTED_VALUE"""),1.003)</f>
        <v>1.003</v>
      </c>
      <c r="E176" s="16">
        <f>IFERROR(__xludf.DUMMYFUNCTION("""COMPUTED_VALUE"""),73.0)</f>
        <v>73</v>
      </c>
      <c r="F176" s="19" t="str">
        <f>IFERROR(__xludf.DUMMYFUNCTION("""COMPUTED_VALUE"""),"BLACK")</f>
        <v>BLACK</v>
      </c>
      <c r="G176" s="20" t="str">
        <f>IFERROR(__xludf.DUMMYFUNCTION("""COMPUTED_VALUE"""),"Uncle Sams Cider (04/04/2023)")</f>
        <v>Uncle Sams Cider (04/04/2023)</v>
      </c>
      <c r="H176" s="19"/>
    </row>
    <row r="177">
      <c r="A177" s="9"/>
      <c r="B177" s="15"/>
      <c r="C177" s="9">
        <f>IFERROR(__xludf.DUMMYFUNCTION("""COMPUTED_VALUE"""),45142.8049282291)</f>
        <v>45142.80493</v>
      </c>
      <c r="D177" s="15">
        <f>IFERROR(__xludf.DUMMYFUNCTION("""COMPUTED_VALUE"""),1.003)</f>
        <v>1.003</v>
      </c>
      <c r="E177" s="16">
        <f>IFERROR(__xludf.DUMMYFUNCTION("""COMPUTED_VALUE"""),73.0)</f>
        <v>73</v>
      </c>
      <c r="F177" s="19" t="str">
        <f>IFERROR(__xludf.DUMMYFUNCTION("""COMPUTED_VALUE"""),"BLACK")</f>
        <v>BLACK</v>
      </c>
      <c r="G177" s="20" t="str">
        <f>IFERROR(__xludf.DUMMYFUNCTION("""COMPUTED_VALUE"""),"Uncle Sams Cider (04/04/2023)")</f>
        <v>Uncle Sams Cider (04/04/2023)</v>
      </c>
      <c r="H177" s="19"/>
    </row>
    <row r="178">
      <c r="A178" s="9"/>
      <c r="B178" s="15"/>
      <c r="C178" s="9">
        <f>IFERROR(__xludf.DUMMYFUNCTION("""COMPUTED_VALUE"""),45142.7945060416)</f>
        <v>45142.79451</v>
      </c>
      <c r="D178" s="15">
        <f>IFERROR(__xludf.DUMMYFUNCTION("""COMPUTED_VALUE"""),1.003)</f>
        <v>1.003</v>
      </c>
      <c r="E178" s="16">
        <f>IFERROR(__xludf.DUMMYFUNCTION("""COMPUTED_VALUE"""),73.0)</f>
        <v>73</v>
      </c>
      <c r="F178" s="19" t="str">
        <f>IFERROR(__xludf.DUMMYFUNCTION("""COMPUTED_VALUE"""),"BLACK")</f>
        <v>BLACK</v>
      </c>
      <c r="G178" s="20" t="str">
        <f>IFERROR(__xludf.DUMMYFUNCTION("""COMPUTED_VALUE"""),"Uncle Sams Cider (04/04/2023)")</f>
        <v>Uncle Sams Cider (04/04/2023)</v>
      </c>
      <c r="H178" s="19"/>
    </row>
    <row r="179">
      <c r="A179" s="9"/>
      <c r="B179" s="15"/>
      <c r="C179" s="9">
        <f>IFERROR(__xludf.DUMMYFUNCTION("""COMPUTED_VALUE"""),45142.7840841666)</f>
        <v>45142.78408</v>
      </c>
      <c r="D179" s="15">
        <f>IFERROR(__xludf.DUMMYFUNCTION("""COMPUTED_VALUE"""),1.003)</f>
        <v>1.003</v>
      </c>
      <c r="E179" s="16">
        <f>IFERROR(__xludf.DUMMYFUNCTION("""COMPUTED_VALUE"""),73.0)</f>
        <v>73</v>
      </c>
      <c r="F179" s="19" t="str">
        <f>IFERROR(__xludf.DUMMYFUNCTION("""COMPUTED_VALUE"""),"BLACK")</f>
        <v>BLACK</v>
      </c>
      <c r="G179" s="20" t="str">
        <f>IFERROR(__xludf.DUMMYFUNCTION("""COMPUTED_VALUE"""),"Uncle Sams Cider (04/04/2023)")</f>
        <v>Uncle Sams Cider (04/04/2023)</v>
      </c>
      <c r="H179" s="19"/>
    </row>
    <row r="180">
      <c r="A180" s="9"/>
      <c r="B180" s="15"/>
      <c r="C180" s="9">
        <f>IFERROR(__xludf.DUMMYFUNCTION("""COMPUTED_VALUE"""),45142.7736640162)</f>
        <v>45142.77366</v>
      </c>
      <c r="D180" s="15">
        <f>IFERROR(__xludf.DUMMYFUNCTION("""COMPUTED_VALUE"""),1.003)</f>
        <v>1.003</v>
      </c>
      <c r="E180" s="16">
        <f>IFERROR(__xludf.DUMMYFUNCTION("""COMPUTED_VALUE"""),73.0)</f>
        <v>73</v>
      </c>
      <c r="F180" s="19" t="str">
        <f>IFERROR(__xludf.DUMMYFUNCTION("""COMPUTED_VALUE"""),"BLACK")</f>
        <v>BLACK</v>
      </c>
      <c r="G180" s="20" t="str">
        <f>IFERROR(__xludf.DUMMYFUNCTION("""COMPUTED_VALUE"""),"Uncle Sams Cider (04/04/2023)")</f>
        <v>Uncle Sams Cider (04/04/2023)</v>
      </c>
      <c r="H180" s="19"/>
    </row>
    <row r="181">
      <c r="A181" s="9"/>
      <c r="B181" s="15"/>
      <c r="C181" s="9">
        <f>IFERROR(__xludf.DUMMYFUNCTION("""COMPUTED_VALUE"""),45142.7632291435)</f>
        <v>45142.76323</v>
      </c>
      <c r="D181" s="15">
        <f>IFERROR(__xludf.DUMMYFUNCTION("""COMPUTED_VALUE"""),1.003)</f>
        <v>1.003</v>
      </c>
      <c r="E181" s="16">
        <f>IFERROR(__xludf.DUMMYFUNCTION("""COMPUTED_VALUE"""),73.0)</f>
        <v>73</v>
      </c>
      <c r="F181" s="19" t="str">
        <f>IFERROR(__xludf.DUMMYFUNCTION("""COMPUTED_VALUE"""),"BLACK")</f>
        <v>BLACK</v>
      </c>
      <c r="G181" s="20" t="str">
        <f>IFERROR(__xludf.DUMMYFUNCTION("""COMPUTED_VALUE"""),"Uncle Sams Cider (04/04/2023)")</f>
        <v>Uncle Sams Cider (04/04/2023)</v>
      </c>
      <c r="H181" s="19"/>
    </row>
    <row r="182">
      <c r="A182" s="9"/>
      <c r="B182" s="15"/>
      <c r="C182" s="9">
        <f>IFERROR(__xludf.DUMMYFUNCTION("""COMPUTED_VALUE"""),45142.7528080902)</f>
        <v>45142.75281</v>
      </c>
      <c r="D182" s="15">
        <f>IFERROR(__xludf.DUMMYFUNCTION("""COMPUTED_VALUE"""),1.003)</f>
        <v>1.003</v>
      </c>
      <c r="E182" s="16">
        <f>IFERROR(__xludf.DUMMYFUNCTION("""COMPUTED_VALUE"""),73.0)</f>
        <v>73</v>
      </c>
      <c r="F182" s="19" t="str">
        <f>IFERROR(__xludf.DUMMYFUNCTION("""COMPUTED_VALUE"""),"BLACK")</f>
        <v>BLACK</v>
      </c>
      <c r="G182" s="20" t="str">
        <f>IFERROR(__xludf.DUMMYFUNCTION("""COMPUTED_VALUE"""),"Uncle Sams Cider (04/04/2023)")</f>
        <v>Uncle Sams Cider (04/04/2023)</v>
      </c>
      <c r="H182" s="19"/>
    </row>
    <row r="183">
      <c r="A183" s="9"/>
      <c r="B183" s="15"/>
      <c r="C183" s="9">
        <f>IFERROR(__xludf.DUMMYFUNCTION("""COMPUTED_VALUE"""),45142.7423867708)</f>
        <v>45142.74239</v>
      </c>
      <c r="D183" s="15">
        <f>IFERROR(__xludf.DUMMYFUNCTION("""COMPUTED_VALUE"""),1.003)</f>
        <v>1.003</v>
      </c>
      <c r="E183" s="16">
        <f>IFERROR(__xludf.DUMMYFUNCTION("""COMPUTED_VALUE"""),73.0)</f>
        <v>73</v>
      </c>
      <c r="F183" s="19" t="str">
        <f>IFERROR(__xludf.DUMMYFUNCTION("""COMPUTED_VALUE"""),"BLACK")</f>
        <v>BLACK</v>
      </c>
      <c r="G183" s="20" t="str">
        <f>IFERROR(__xludf.DUMMYFUNCTION("""COMPUTED_VALUE"""),"Uncle Sams Cider (04/04/2023)")</f>
        <v>Uncle Sams Cider (04/04/2023)</v>
      </c>
      <c r="H183" s="19"/>
    </row>
    <row r="184">
      <c r="A184" s="9"/>
      <c r="B184" s="15"/>
      <c r="C184" s="9">
        <f>IFERROR(__xludf.DUMMYFUNCTION("""COMPUTED_VALUE"""),45142.7319676504)</f>
        <v>45142.73197</v>
      </c>
      <c r="D184" s="15">
        <f>IFERROR(__xludf.DUMMYFUNCTION("""COMPUTED_VALUE"""),1.003)</f>
        <v>1.003</v>
      </c>
      <c r="E184" s="16">
        <f>IFERROR(__xludf.DUMMYFUNCTION("""COMPUTED_VALUE"""),73.0)</f>
        <v>73</v>
      </c>
      <c r="F184" s="19" t="str">
        <f>IFERROR(__xludf.DUMMYFUNCTION("""COMPUTED_VALUE"""),"BLACK")</f>
        <v>BLACK</v>
      </c>
      <c r="G184" s="20" t="str">
        <f>IFERROR(__xludf.DUMMYFUNCTION("""COMPUTED_VALUE"""),"Uncle Sams Cider (04/04/2023)")</f>
        <v>Uncle Sams Cider (04/04/2023)</v>
      </c>
      <c r="H184" s="19"/>
    </row>
    <row r="185">
      <c r="A185" s="9"/>
      <c r="B185" s="15"/>
      <c r="C185" s="9">
        <f>IFERROR(__xludf.DUMMYFUNCTION("""COMPUTED_VALUE"""),45142.721547743)</f>
        <v>45142.72155</v>
      </c>
      <c r="D185" s="15">
        <f>IFERROR(__xludf.DUMMYFUNCTION("""COMPUTED_VALUE"""),1.003)</f>
        <v>1.003</v>
      </c>
      <c r="E185" s="16">
        <f>IFERROR(__xludf.DUMMYFUNCTION("""COMPUTED_VALUE"""),73.0)</f>
        <v>73</v>
      </c>
      <c r="F185" s="19" t="str">
        <f>IFERROR(__xludf.DUMMYFUNCTION("""COMPUTED_VALUE"""),"BLACK")</f>
        <v>BLACK</v>
      </c>
      <c r="G185" s="20" t="str">
        <f>IFERROR(__xludf.DUMMYFUNCTION("""COMPUTED_VALUE"""),"Uncle Sams Cider (04/04/2023)")</f>
        <v>Uncle Sams Cider (04/04/2023)</v>
      </c>
      <c r="H185" s="19"/>
    </row>
    <row r="186">
      <c r="A186" s="9"/>
      <c r="B186" s="15"/>
      <c r="C186" s="9">
        <f>IFERROR(__xludf.DUMMYFUNCTION("""COMPUTED_VALUE"""),45142.7111263773)</f>
        <v>45142.71113</v>
      </c>
      <c r="D186" s="15">
        <f>IFERROR(__xludf.DUMMYFUNCTION("""COMPUTED_VALUE"""),1.003)</f>
        <v>1.003</v>
      </c>
      <c r="E186" s="16">
        <f>IFERROR(__xludf.DUMMYFUNCTION("""COMPUTED_VALUE"""),73.0)</f>
        <v>73</v>
      </c>
      <c r="F186" s="19" t="str">
        <f>IFERROR(__xludf.DUMMYFUNCTION("""COMPUTED_VALUE"""),"BLACK")</f>
        <v>BLACK</v>
      </c>
      <c r="G186" s="20" t="str">
        <f>IFERROR(__xludf.DUMMYFUNCTION("""COMPUTED_VALUE"""),"Uncle Sams Cider (04/04/2023)")</f>
        <v>Uncle Sams Cider (04/04/2023)</v>
      </c>
      <c r="H186" s="19"/>
    </row>
    <row r="187">
      <c r="A187" s="9"/>
      <c r="B187" s="15"/>
      <c r="C187" s="9">
        <f>IFERROR(__xludf.DUMMYFUNCTION("""COMPUTED_VALUE"""),45142.7007043171)</f>
        <v>45142.7007</v>
      </c>
      <c r="D187" s="15">
        <f>IFERROR(__xludf.DUMMYFUNCTION("""COMPUTED_VALUE"""),1.003)</f>
        <v>1.003</v>
      </c>
      <c r="E187" s="16">
        <f>IFERROR(__xludf.DUMMYFUNCTION("""COMPUTED_VALUE"""),73.0)</f>
        <v>73</v>
      </c>
      <c r="F187" s="19" t="str">
        <f>IFERROR(__xludf.DUMMYFUNCTION("""COMPUTED_VALUE"""),"BLACK")</f>
        <v>BLACK</v>
      </c>
      <c r="G187" s="20" t="str">
        <f>IFERROR(__xludf.DUMMYFUNCTION("""COMPUTED_VALUE"""),"Uncle Sams Cider (04/04/2023)")</f>
        <v>Uncle Sams Cider (04/04/2023)</v>
      </c>
      <c r="H187" s="19"/>
    </row>
    <row r="188">
      <c r="A188" s="9"/>
      <c r="B188" s="15"/>
      <c r="C188" s="9">
        <f>IFERROR(__xludf.DUMMYFUNCTION("""COMPUTED_VALUE"""),45142.6902837731)</f>
        <v>45142.69028</v>
      </c>
      <c r="D188" s="15">
        <f>IFERROR(__xludf.DUMMYFUNCTION("""COMPUTED_VALUE"""),1.003)</f>
        <v>1.003</v>
      </c>
      <c r="E188" s="16">
        <f>IFERROR(__xludf.DUMMYFUNCTION("""COMPUTED_VALUE"""),73.0)</f>
        <v>73</v>
      </c>
      <c r="F188" s="19" t="str">
        <f>IFERROR(__xludf.DUMMYFUNCTION("""COMPUTED_VALUE"""),"BLACK")</f>
        <v>BLACK</v>
      </c>
      <c r="G188" s="20" t="str">
        <f>IFERROR(__xludf.DUMMYFUNCTION("""COMPUTED_VALUE"""),"Uncle Sams Cider (04/04/2023)")</f>
        <v>Uncle Sams Cider (04/04/2023)</v>
      </c>
      <c r="H188" s="19"/>
    </row>
    <row r="189">
      <c r="A189" s="9"/>
      <c r="B189" s="15"/>
      <c r="C189" s="9">
        <f>IFERROR(__xludf.DUMMYFUNCTION("""COMPUTED_VALUE"""),45142.6798645601)</f>
        <v>45142.67986</v>
      </c>
      <c r="D189" s="15">
        <f>IFERROR(__xludf.DUMMYFUNCTION("""COMPUTED_VALUE"""),1.003)</f>
        <v>1.003</v>
      </c>
      <c r="E189" s="16">
        <f>IFERROR(__xludf.DUMMYFUNCTION("""COMPUTED_VALUE"""),73.0)</f>
        <v>73</v>
      </c>
      <c r="F189" s="19" t="str">
        <f>IFERROR(__xludf.DUMMYFUNCTION("""COMPUTED_VALUE"""),"BLACK")</f>
        <v>BLACK</v>
      </c>
      <c r="G189" s="20" t="str">
        <f>IFERROR(__xludf.DUMMYFUNCTION("""COMPUTED_VALUE"""),"Uncle Sams Cider (04/04/2023)")</f>
        <v>Uncle Sams Cider (04/04/2023)</v>
      </c>
      <c r="H189" s="19"/>
    </row>
    <row r="190">
      <c r="A190" s="9"/>
      <c r="B190" s="15"/>
      <c r="C190" s="9">
        <f>IFERROR(__xludf.DUMMYFUNCTION("""COMPUTED_VALUE"""),45142.6694445949)</f>
        <v>45142.66944</v>
      </c>
      <c r="D190" s="15">
        <f>IFERROR(__xludf.DUMMYFUNCTION("""COMPUTED_VALUE"""),1.003)</f>
        <v>1.003</v>
      </c>
      <c r="E190" s="16">
        <f>IFERROR(__xludf.DUMMYFUNCTION("""COMPUTED_VALUE"""),73.0)</f>
        <v>73</v>
      </c>
      <c r="F190" s="19" t="str">
        <f>IFERROR(__xludf.DUMMYFUNCTION("""COMPUTED_VALUE"""),"BLACK")</f>
        <v>BLACK</v>
      </c>
      <c r="G190" s="20" t="str">
        <f>IFERROR(__xludf.DUMMYFUNCTION("""COMPUTED_VALUE"""),"Uncle Sams Cider (04/04/2023)")</f>
        <v>Uncle Sams Cider (04/04/2023)</v>
      </c>
      <c r="H190" s="19"/>
    </row>
    <row r="191">
      <c r="A191" s="9"/>
      <c r="B191" s="15"/>
      <c r="C191" s="9">
        <f>IFERROR(__xludf.DUMMYFUNCTION("""COMPUTED_VALUE"""),45142.6590246064)</f>
        <v>45142.65902</v>
      </c>
      <c r="D191" s="15">
        <f>IFERROR(__xludf.DUMMYFUNCTION("""COMPUTED_VALUE"""),1.003)</f>
        <v>1.003</v>
      </c>
      <c r="E191" s="16">
        <f>IFERROR(__xludf.DUMMYFUNCTION("""COMPUTED_VALUE"""),73.0)</f>
        <v>73</v>
      </c>
      <c r="F191" s="19" t="str">
        <f>IFERROR(__xludf.DUMMYFUNCTION("""COMPUTED_VALUE"""),"BLACK")</f>
        <v>BLACK</v>
      </c>
      <c r="G191" s="20" t="str">
        <f>IFERROR(__xludf.DUMMYFUNCTION("""COMPUTED_VALUE"""),"Uncle Sams Cider (04/04/2023)")</f>
        <v>Uncle Sams Cider (04/04/2023)</v>
      </c>
      <c r="H191" s="19"/>
    </row>
    <row r="192">
      <c r="A192" s="9"/>
      <c r="B192" s="15"/>
      <c r="C192" s="9">
        <f>IFERROR(__xludf.DUMMYFUNCTION("""COMPUTED_VALUE"""),45142.6486063657)</f>
        <v>45142.64861</v>
      </c>
      <c r="D192" s="15">
        <f>IFERROR(__xludf.DUMMYFUNCTION("""COMPUTED_VALUE"""),1.003)</f>
        <v>1.003</v>
      </c>
      <c r="E192" s="16">
        <f>IFERROR(__xludf.DUMMYFUNCTION("""COMPUTED_VALUE"""),73.0)</f>
        <v>73</v>
      </c>
      <c r="F192" s="19" t="str">
        <f>IFERROR(__xludf.DUMMYFUNCTION("""COMPUTED_VALUE"""),"BLACK")</f>
        <v>BLACK</v>
      </c>
      <c r="G192" s="20" t="str">
        <f>IFERROR(__xludf.DUMMYFUNCTION("""COMPUTED_VALUE"""),"Uncle Sams Cider (04/04/2023)")</f>
        <v>Uncle Sams Cider (04/04/2023)</v>
      </c>
      <c r="H192" s="19"/>
    </row>
    <row r="193">
      <c r="A193" s="9"/>
      <c r="B193" s="15"/>
      <c r="C193" s="9">
        <f>IFERROR(__xludf.DUMMYFUNCTION("""COMPUTED_VALUE"""),45142.6381854629)</f>
        <v>45142.63819</v>
      </c>
      <c r="D193" s="15">
        <f>IFERROR(__xludf.DUMMYFUNCTION("""COMPUTED_VALUE"""),1.003)</f>
        <v>1.003</v>
      </c>
      <c r="E193" s="16">
        <f>IFERROR(__xludf.DUMMYFUNCTION("""COMPUTED_VALUE"""),73.0)</f>
        <v>73</v>
      </c>
      <c r="F193" s="19" t="str">
        <f>IFERROR(__xludf.DUMMYFUNCTION("""COMPUTED_VALUE"""),"BLACK")</f>
        <v>BLACK</v>
      </c>
      <c r="G193" s="20" t="str">
        <f>IFERROR(__xludf.DUMMYFUNCTION("""COMPUTED_VALUE"""),"Uncle Sams Cider (04/04/2023)")</f>
        <v>Uncle Sams Cider (04/04/2023)</v>
      </c>
      <c r="H193" s="19"/>
    </row>
    <row r="194">
      <c r="A194" s="9"/>
      <c r="B194" s="15"/>
      <c r="C194" s="9">
        <f>IFERROR(__xludf.DUMMYFUNCTION("""COMPUTED_VALUE"""),45142.6277643287)</f>
        <v>45142.62776</v>
      </c>
      <c r="D194" s="15">
        <f>IFERROR(__xludf.DUMMYFUNCTION("""COMPUTED_VALUE"""),1.003)</f>
        <v>1.003</v>
      </c>
      <c r="E194" s="16">
        <f>IFERROR(__xludf.DUMMYFUNCTION("""COMPUTED_VALUE"""),73.0)</f>
        <v>73</v>
      </c>
      <c r="F194" s="19" t="str">
        <f>IFERROR(__xludf.DUMMYFUNCTION("""COMPUTED_VALUE"""),"BLACK")</f>
        <v>BLACK</v>
      </c>
      <c r="G194" s="20" t="str">
        <f>IFERROR(__xludf.DUMMYFUNCTION("""COMPUTED_VALUE"""),"Uncle Sams Cider (04/04/2023)")</f>
        <v>Uncle Sams Cider (04/04/2023)</v>
      </c>
      <c r="H194" s="19"/>
    </row>
    <row r="195">
      <c r="A195" s="9"/>
      <c r="B195" s="15"/>
      <c r="C195" s="9">
        <f>IFERROR(__xludf.DUMMYFUNCTION("""COMPUTED_VALUE"""),45142.6173416782)</f>
        <v>45142.61734</v>
      </c>
      <c r="D195" s="15">
        <f>IFERROR(__xludf.DUMMYFUNCTION("""COMPUTED_VALUE"""),1.003)</f>
        <v>1.003</v>
      </c>
      <c r="E195" s="16">
        <f>IFERROR(__xludf.DUMMYFUNCTION("""COMPUTED_VALUE"""),73.0)</f>
        <v>73</v>
      </c>
      <c r="F195" s="19" t="str">
        <f>IFERROR(__xludf.DUMMYFUNCTION("""COMPUTED_VALUE"""),"BLACK")</f>
        <v>BLACK</v>
      </c>
      <c r="G195" s="20" t="str">
        <f>IFERROR(__xludf.DUMMYFUNCTION("""COMPUTED_VALUE"""),"Uncle Sams Cider (04/04/2023)")</f>
        <v>Uncle Sams Cider (04/04/2023)</v>
      </c>
      <c r="H195" s="19"/>
    </row>
    <row r="196">
      <c r="A196" s="9"/>
      <c r="B196" s="15"/>
      <c r="C196" s="9">
        <f>IFERROR(__xludf.DUMMYFUNCTION("""COMPUTED_VALUE"""),45142.6069196064)</f>
        <v>45142.60692</v>
      </c>
      <c r="D196" s="15">
        <f>IFERROR(__xludf.DUMMYFUNCTION("""COMPUTED_VALUE"""),1.003)</f>
        <v>1.003</v>
      </c>
      <c r="E196" s="16">
        <f>IFERROR(__xludf.DUMMYFUNCTION("""COMPUTED_VALUE"""),73.0)</f>
        <v>73</v>
      </c>
      <c r="F196" s="19" t="str">
        <f>IFERROR(__xludf.DUMMYFUNCTION("""COMPUTED_VALUE"""),"BLACK")</f>
        <v>BLACK</v>
      </c>
      <c r="G196" s="20" t="str">
        <f>IFERROR(__xludf.DUMMYFUNCTION("""COMPUTED_VALUE"""),"Uncle Sams Cider (04/04/2023)")</f>
        <v>Uncle Sams Cider (04/04/2023)</v>
      </c>
      <c r="H196" s="19"/>
    </row>
    <row r="197">
      <c r="A197" s="9"/>
      <c r="B197" s="15"/>
      <c r="C197" s="9">
        <f>IFERROR(__xludf.DUMMYFUNCTION("""COMPUTED_VALUE"""),45142.5964995601)</f>
        <v>45142.5965</v>
      </c>
      <c r="D197" s="15">
        <f>IFERROR(__xludf.DUMMYFUNCTION("""COMPUTED_VALUE"""),1.003)</f>
        <v>1.003</v>
      </c>
      <c r="E197" s="16">
        <f>IFERROR(__xludf.DUMMYFUNCTION("""COMPUTED_VALUE"""),73.0)</f>
        <v>73</v>
      </c>
      <c r="F197" s="19" t="str">
        <f>IFERROR(__xludf.DUMMYFUNCTION("""COMPUTED_VALUE"""),"BLACK")</f>
        <v>BLACK</v>
      </c>
      <c r="G197" s="20" t="str">
        <f>IFERROR(__xludf.DUMMYFUNCTION("""COMPUTED_VALUE"""),"Uncle Sams Cider (04/04/2023)")</f>
        <v>Uncle Sams Cider (04/04/2023)</v>
      </c>
      <c r="H197" s="19"/>
    </row>
    <row r="198">
      <c r="A198" s="9"/>
      <c r="B198" s="15"/>
      <c r="C198" s="9">
        <f>IFERROR(__xludf.DUMMYFUNCTION("""COMPUTED_VALUE"""),45142.5860564004)</f>
        <v>45142.58606</v>
      </c>
      <c r="D198" s="15">
        <f>IFERROR(__xludf.DUMMYFUNCTION("""COMPUTED_VALUE"""),1.003)</f>
        <v>1.003</v>
      </c>
      <c r="E198" s="16">
        <f>IFERROR(__xludf.DUMMYFUNCTION("""COMPUTED_VALUE"""),73.0)</f>
        <v>73</v>
      </c>
      <c r="F198" s="19" t="str">
        <f>IFERROR(__xludf.DUMMYFUNCTION("""COMPUTED_VALUE"""),"BLACK")</f>
        <v>BLACK</v>
      </c>
      <c r="G198" s="20" t="str">
        <f>IFERROR(__xludf.DUMMYFUNCTION("""COMPUTED_VALUE"""),"Uncle Sams Cider (04/04/2023)")</f>
        <v>Uncle Sams Cider (04/04/2023)</v>
      </c>
      <c r="H198" s="19"/>
    </row>
    <row r="199">
      <c r="A199" s="9"/>
      <c r="B199" s="15"/>
      <c r="C199" s="9">
        <f>IFERROR(__xludf.DUMMYFUNCTION("""COMPUTED_VALUE"""),45142.5756343518)</f>
        <v>45142.57563</v>
      </c>
      <c r="D199" s="15">
        <f>IFERROR(__xludf.DUMMYFUNCTION("""COMPUTED_VALUE"""),1.003)</f>
        <v>1.003</v>
      </c>
      <c r="E199" s="16">
        <f>IFERROR(__xludf.DUMMYFUNCTION("""COMPUTED_VALUE"""),73.0)</f>
        <v>73</v>
      </c>
      <c r="F199" s="19" t="str">
        <f>IFERROR(__xludf.DUMMYFUNCTION("""COMPUTED_VALUE"""),"BLACK")</f>
        <v>BLACK</v>
      </c>
      <c r="G199" s="20" t="str">
        <f>IFERROR(__xludf.DUMMYFUNCTION("""COMPUTED_VALUE"""),"Uncle Sams Cider (04/04/2023)")</f>
        <v>Uncle Sams Cider (04/04/2023)</v>
      </c>
      <c r="H199" s="19"/>
    </row>
    <row r="200">
      <c r="A200" s="9"/>
      <c r="B200" s="15"/>
      <c r="C200" s="9">
        <f>IFERROR(__xludf.DUMMYFUNCTION("""COMPUTED_VALUE"""),45142.5652137037)</f>
        <v>45142.56521</v>
      </c>
      <c r="D200" s="15">
        <f>IFERROR(__xludf.DUMMYFUNCTION("""COMPUTED_VALUE"""),1.003)</f>
        <v>1.003</v>
      </c>
      <c r="E200" s="16">
        <f>IFERROR(__xludf.DUMMYFUNCTION("""COMPUTED_VALUE"""),73.0)</f>
        <v>73</v>
      </c>
      <c r="F200" s="19" t="str">
        <f>IFERROR(__xludf.DUMMYFUNCTION("""COMPUTED_VALUE"""),"BLACK")</f>
        <v>BLACK</v>
      </c>
      <c r="G200" s="20" t="str">
        <f>IFERROR(__xludf.DUMMYFUNCTION("""COMPUTED_VALUE"""),"Uncle Sams Cider (04/04/2023)")</f>
        <v>Uncle Sams Cider (04/04/2023)</v>
      </c>
      <c r="H200" s="19"/>
    </row>
    <row r="201">
      <c r="A201" s="9"/>
      <c r="B201" s="15"/>
      <c r="C201" s="9">
        <f>IFERROR(__xludf.DUMMYFUNCTION("""COMPUTED_VALUE"""),45142.5547570949)</f>
        <v>45142.55476</v>
      </c>
      <c r="D201" s="15">
        <f>IFERROR(__xludf.DUMMYFUNCTION("""COMPUTED_VALUE"""),1.003)</f>
        <v>1.003</v>
      </c>
      <c r="E201" s="16">
        <f>IFERROR(__xludf.DUMMYFUNCTION("""COMPUTED_VALUE"""),73.0)</f>
        <v>73</v>
      </c>
      <c r="F201" s="19" t="str">
        <f>IFERROR(__xludf.DUMMYFUNCTION("""COMPUTED_VALUE"""),"BLACK")</f>
        <v>BLACK</v>
      </c>
      <c r="G201" s="20" t="str">
        <f>IFERROR(__xludf.DUMMYFUNCTION("""COMPUTED_VALUE"""),"Uncle Sams Cider (04/04/2023)")</f>
        <v>Uncle Sams Cider (04/04/2023)</v>
      </c>
      <c r="H201" s="19"/>
    </row>
    <row r="202">
      <c r="A202" s="9"/>
      <c r="B202" s="15"/>
      <c r="C202" s="9">
        <f>IFERROR(__xludf.DUMMYFUNCTION("""COMPUTED_VALUE"""),45142.5443356597)</f>
        <v>45142.54434</v>
      </c>
      <c r="D202" s="15">
        <f>IFERROR(__xludf.DUMMYFUNCTION("""COMPUTED_VALUE"""),1.003)</f>
        <v>1.003</v>
      </c>
      <c r="E202" s="16">
        <f>IFERROR(__xludf.DUMMYFUNCTION("""COMPUTED_VALUE"""),73.0)</f>
        <v>73</v>
      </c>
      <c r="F202" s="19" t="str">
        <f>IFERROR(__xludf.DUMMYFUNCTION("""COMPUTED_VALUE"""),"BLACK")</f>
        <v>BLACK</v>
      </c>
      <c r="G202" s="20" t="str">
        <f>IFERROR(__xludf.DUMMYFUNCTION("""COMPUTED_VALUE"""),"Uncle Sams Cider (04/04/2023)")</f>
        <v>Uncle Sams Cider (04/04/2023)</v>
      </c>
      <c r="H202" s="19"/>
    </row>
    <row r="203">
      <c r="A203" s="9"/>
      <c r="B203" s="15"/>
      <c r="C203" s="9">
        <f>IFERROR(__xludf.DUMMYFUNCTION("""COMPUTED_VALUE"""),45142.5339153009)</f>
        <v>45142.53392</v>
      </c>
      <c r="D203" s="15">
        <f>IFERROR(__xludf.DUMMYFUNCTION("""COMPUTED_VALUE"""),1.003)</f>
        <v>1.003</v>
      </c>
      <c r="E203" s="16">
        <f>IFERROR(__xludf.DUMMYFUNCTION("""COMPUTED_VALUE"""),73.0)</f>
        <v>73</v>
      </c>
      <c r="F203" s="19" t="str">
        <f>IFERROR(__xludf.DUMMYFUNCTION("""COMPUTED_VALUE"""),"BLACK")</f>
        <v>BLACK</v>
      </c>
      <c r="G203" s="20" t="str">
        <f>IFERROR(__xludf.DUMMYFUNCTION("""COMPUTED_VALUE"""),"Uncle Sams Cider (04/04/2023)")</f>
        <v>Uncle Sams Cider (04/04/2023)</v>
      </c>
      <c r="H203" s="19"/>
    </row>
    <row r="204">
      <c r="A204" s="9"/>
      <c r="B204" s="15"/>
      <c r="C204" s="9">
        <f>IFERROR(__xludf.DUMMYFUNCTION("""COMPUTED_VALUE"""),45142.5234945717)</f>
        <v>45142.52349</v>
      </c>
      <c r="D204" s="15">
        <f>IFERROR(__xludf.DUMMYFUNCTION("""COMPUTED_VALUE"""),1.003)</f>
        <v>1.003</v>
      </c>
      <c r="E204" s="16">
        <f>IFERROR(__xludf.DUMMYFUNCTION("""COMPUTED_VALUE"""),73.0)</f>
        <v>73</v>
      </c>
      <c r="F204" s="19" t="str">
        <f>IFERROR(__xludf.DUMMYFUNCTION("""COMPUTED_VALUE"""),"BLACK")</f>
        <v>BLACK</v>
      </c>
      <c r="G204" s="20" t="str">
        <f>IFERROR(__xludf.DUMMYFUNCTION("""COMPUTED_VALUE"""),"Uncle Sams Cider (04/04/2023)")</f>
        <v>Uncle Sams Cider (04/04/2023)</v>
      </c>
      <c r="H204" s="19"/>
    </row>
    <row r="205">
      <c r="A205" s="9"/>
      <c r="B205" s="15"/>
      <c r="C205" s="9">
        <f>IFERROR(__xludf.DUMMYFUNCTION("""COMPUTED_VALUE"""),45142.5130754398)</f>
        <v>45142.51308</v>
      </c>
      <c r="D205" s="15">
        <f>IFERROR(__xludf.DUMMYFUNCTION("""COMPUTED_VALUE"""),1.003)</f>
        <v>1.003</v>
      </c>
      <c r="E205" s="16">
        <f>IFERROR(__xludf.DUMMYFUNCTION("""COMPUTED_VALUE"""),73.0)</f>
        <v>73</v>
      </c>
      <c r="F205" s="19" t="str">
        <f>IFERROR(__xludf.DUMMYFUNCTION("""COMPUTED_VALUE"""),"BLACK")</f>
        <v>BLACK</v>
      </c>
      <c r="G205" s="20" t="str">
        <f>IFERROR(__xludf.DUMMYFUNCTION("""COMPUTED_VALUE"""),"Uncle Sams Cider (04/04/2023)")</f>
        <v>Uncle Sams Cider (04/04/2023)</v>
      </c>
      <c r="H205" s="19"/>
    </row>
    <row r="206">
      <c r="A206" s="9"/>
      <c r="B206" s="15"/>
      <c r="C206" s="9">
        <f>IFERROR(__xludf.DUMMYFUNCTION("""COMPUTED_VALUE"""),45142.5026544791)</f>
        <v>45142.50265</v>
      </c>
      <c r="D206" s="15">
        <f>IFERROR(__xludf.DUMMYFUNCTION("""COMPUTED_VALUE"""),1.003)</f>
        <v>1.003</v>
      </c>
      <c r="E206" s="16">
        <f>IFERROR(__xludf.DUMMYFUNCTION("""COMPUTED_VALUE"""),73.0)</f>
        <v>73</v>
      </c>
      <c r="F206" s="19" t="str">
        <f>IFERROR(__xludf.DUMMYFUNCTION("""COMPUTED_VALUE"""),"BLACK")</f>
        <v>BLACK</v>
      </c>
      <c r="G206" s="20" t="str">
        <f>IFERROR(__xludf.DUMMYFUNCTION("""COMPUTED_VALUE"""),"Uncle Sams Cider (04/04/2023)")</f>
        <v>Uncle Sams Cider (04/04/2023)</v>
      </c>
      <c r="H206" s="19"/>
    </row>
    <row r="207">
      <c r="A207" s="9"/>
      <c r="B207" s="15"/>
      <c r="C207" s="9">
        <f>IFERROR(__xludf.DUMMYFUNCTION("""COMPUTED_VALUE"""),45142.4922342476)</f>
        <v>45142.49223</v>
      </c>
      <c r="D207" s="15">
        <f>IFERROR(__xludf.DUMMYFUNCTION("""COMPUTED_VALUE"""),1.003)</f>
        <v>1.003</v>
      </c>
      <c r="E207" s="16">
        <f>IFERROR(__xludf.DUMMYFUNCTION("""COMPUTED_VALUE"""),73.0)</f>
        <v>73</v>
      </c>
      <c r="F207" s="19" t="str">
        <f>IFERROR(__xludf.DUMMYFUNCTION("""COMPUTED_VALUE"""),"BLACK")</f>
        <v>BLACK</v>
      </c>
      <c r="G207" s="20" t="str">
        <f>IFERROR(__xludf.DUMMYFUNCTION("""COMPUTED_VALUE"""),"Uncle Sams Cider (04/04/2023)")</f>
        <v>Uncle Sams Cider (04/04/2023)</v>
      </c>
      <c r="H207" s="19"/>
    </row>
    <row r="208">
      <c r="A208" s="9"/>
      <c r="B208" s="15"/>
      <c r="C208" s="9">
        <f>IFERROR(__xludf.DUMMYFUNCTION("""COMPUTED_VALUE"""),45142.4817909259)</f>
        <v>45142.48179</v>
      </c>
      <c r="D208" s="15">
        <f>IFERROR(__xludf.DUMMYFUNCTION("""COMPUTED_VALUE"""),1.003)</f>
        <v>1.003</v>
      </c>
      <c r="E208" s="16">
        <f>IFERROR(__xludf.DUMMYFUNCTION("""COMPUTED_VALUE"""),73.0)</f>
        <v>73</v>
      </c>
      <c r="F208" s="19" t="str">
        <f>IFERROR(__xludf.DUMMYFUNCTION("""COMPUTED_VALUE"""),"BLACK")</f>
        <v>BLACK</v>
      </c>
      <c r="G208" s="20" t="str">
        <f>IFERROR(__xludf.DUMMYFUNCTION("""COMPUTED_VALUE"""),"Uncle Sams Cider (04/04/2023)")</f>
        <v>Uncle Sams Cider (04/04/2023)</v>
      </c>
      <c r="H208" s="19"/>
    </row>
    <row r="209">
      <c r="A209" s="9"/>
      <c r="B209" s="15"/>
      <c r="C209" s="9">
        <f>IFERROR(__xludf.DUMMYFUNCTION("""COMPUTED_VALUE"""),45142.4713704398)</f>
        <v>45142.47137</v>
      </c>
      <c r="D209" s="15">
        <f>IFERROR(__xludf.DUMMYFUNCTION("""COMPUTED_VALUE"""),1.003)</f>
        <v>1.003</v>
      </c>
      <c r="E209" s="16">
        <f>IFERROR(__xludf.DUMMYFUNCTION("""COMPUTED_VALUE"""),73.0)</f>
        <v>73</v>
      </c>
      <c r="F209" s="19" t="str">
        <f>IFERROR(__xludf.DUMMYFUNCTION("""COMPUTED_VALUE"""),"BLACK")</f>
        <v>BLACK</v>
      </c>
      <c r="G209" s="20" t="str">
        <f>IFERROR(__xludf.DUMMYFUNCTION("""COMPUTED_VALUE"""),"Uncle Sams Cider (04/04/2023)")</f>
        <v>Uncle Sams Cider (04/04/2023)</v>
      </c>
      <c r="H209" s="19"/>
    </row>
    <row r="210">
      <c r="A210" s="9"/>
      <c r="B210" s="15"/>
      <c r="C210" s="9">
        <f>IFERROR(__xludf.DUMMYFUNCTION("""COMPUTED_VALUE"""),45142.4609497916)</f>
        <v>45142.46095</v>
      </c>
      <c r="D210" s="15">
        <f>IFERROR(__xludf.DUMMYFUNCTION("""COMPUTED_VALUE"""),1.003)</f>
        <v>1.003</v>
      </c>
      <c r="E210" s="16">
        <f>IFERROR(__xludf.DUMMYFUNCTION("""COMPUTED_VALUE"""),73.0)</f>
        <v>73</v>
      </c>
      <c r="F210" s="19" t="str">
        <f>IFERROR(__xludf.DUMMYFUNCTION("""COMPUTED_VALUE"""),"BLACK")</f>
        <v>BLACK</v>
      </c>
      <c r="G210" s="20" t="str">
        <f>IFERROR(__xludf.DUMMYFUNCTION("""COMPUTED_VALUE"""),"Uncle Sams Cider (04/04/2023)")</f>
        <v>Uncle Sams Cider (04/04/2023)</v>
      </c>
      <c r="H210" s="19"/>
    </row>
    <row r="211">
      <c r="A211" s="9"/>
      <c r="B211" s="15"/>
      <c r="C211" s="9">
        <f>IFERROR(__xludf.DUMMYFUNCTION("""COMPUTED_VALUE"""),45142.4505270601)</f>
        <v>45142.45053</v>
      </c>
      <c r="D211" s="15">
        <f>IFERROR(__xludf.DUMMYFUNCTION("""COMPUTED_VALUE"""),1.003)</f>
        <v>1.003</v>
      </c>
      <c r="E211" s="16">
        <f>IFERROR(__xludf.DUMMYFUNCTION("""COMPUTED_VALUE"""),73.0)</f>
        <v>73</v>
      </c>
      <c r="F211" s="19" t="str">
        <f>IFERROR(__xludf.DUMMYFUNCTION("""COMPUTED_VALUE"""),"BLACK")</f>
        <v>BLACK</v>
      </c>
      <c r="G211" s="20" t="str">
        <f>IFERROR(__xludf.DUMMYFUNCTION("""COMPUTED_VALUE"""),"Uncle Sams Cider (04/04/2023)")</f>
        <v>Uncle Sams Cider (04/04/2023)</v>
      </c>
      <c r="H211" s="19"/>
    </row>
    <row r="212">
      <c r="A212" s="9"/>
      <c r="B212" s="15"/>
      <c r="C212" s="9">
        <f>IFERROR(__xludf.DUMMYFUNCTION("""COMPUTED_VALUE"""),45142.4401064814)</f>
        <v>45142.44011</v>
      </c>
      <c r="D212" s="15">
        <f>IFERROR(__xludf.DUMMYFUNCTION("""COMPUTED_VALUE"""),1.003)</f>
        <v>1.003</v>
      </c>
      <c r="E212" s="16">
        <f>IFERROR(__xludf.DUMMYFUNCTION("""COMPUTED_VALUE"""),73.0)</f>
        <v>73</v>
      </c>
      <c r="F212" s="19" t="str">
        <f>IFERROR(__xludf.DUMMYFUNCTION("""COMPUTED_VALUE"""),"BLACK")</f>
        <v>BLACK</v>
      </c>
      <c r="G212" s="20" t="str">
        <f>IFERROR(__xludf.DUMMYFUNCTION("""COMPUTED_VALUE"""),"Uncle Sams Cider (04/04/2023)")</f>
        <v>Uncle Sams Cider (04/04/2023)</v>
      </c>
      <c r="H212" s="19"/>
    </row>
    <row r="213">
      <c r="A213" s="9"/>
      <c r="B213" s="15"/>
      <c r="C213" s="9">
        <f>IFERROR(__xludf.DUMMYFUNCTION("""COMPUTED_VALUE"""),45142.429685706)</f>
        <v>45142.42969</v>
      </c>
      <c r="D213" s="15">
        <f>IFERROR(__xludf.DUMMYFUNCTION("""COMPUTED_VALUE"""),1.003)</f>
        <v>1.003</v>
      </c>
      <c r="E213" s="16">
        <f>IFERROR(__xludf.DUMMYFUNCTION("""COMPUTED_VALUE"""),73.0)</f>
        <v>73</v>
      </c>
      <c r="F213" s="19" t="str">
        <f>IFERROR(__xludf.DUMMYFUNCTION("""COMPUTED_VALUE"""),"BLACK")</f>
        <v>BLACK</v>
      </c>
      <c r="G213" s="20" t="str">
        <f>IFERROR(__xludf.DUMMYFUNCTION("""COMPUTED_VALUE"""),"Uncle Sams Cider (04/04/2023)")</f>
        <v>Uncle Sams Cider (04/04/2023)</v>
      </c>
      <c r="H213" s="19"/>
    </row>
    <row r="214">
      <c r="A214" s="9"/>
      <c r="B214" s="15"/>
      <c r="C214" s="9">
        <f>IFERROR(__xludf.DUMMYFUNCTION("""COMPUTED_VALUE"""),45142.4192643634)</f>
        <v>45142.41926</v>
      </c>
      <c r="D214" s="15">
        <f>IFERROR(__xludf.DUMMYFUNCTION("""COMPUTED_VALUE"""),1.003)</f>
        <v>1.003</v>
      </c>
      <c r="E214" s="16">
        <f>IFERROR(__xludf.DUMMYFUNCTION("""COMPUTED_VALUE"""),73.0)</f>
        <v>73</v>
      </c>
      <c r="F214" s="19" t="str">
        <f>IFERROR(__xludf.DUMMYFUNCTION("""COMPUTED_VALUE"""),"BLACK")</f>
        <v>BLACK</v>
      </c>
      <c r="G214" s="20" t="str">
        <f>IFERROR(__xludf.DUMMYFUNCTION("""COMPUTED_VALUE"""),"Uncle Sams Cider (04/04/2023)")</f>
        <v>Uncle Sams Cider (04/04/2023)</v>
      </c>
      <c r="H214" s="19"/>
    </row>
    <row r="215">
      <c r="A215" s="9"/>
      <c r="B215" s="15"/>
      <c r="C215" s="9">
        <f>IFERROR(__xludf.DUMMYFUNCTION("""COMPUTED_VALUE"""),45142.4088418749)</f>
        <v>45142.40884</v>
      </c>
      <c r="D215" s="15">
        <f>IFERROR(__xludf.DUMMYFUNCTION("""COMPUTED_VALUE"""),1.003)</f>
        <v>1.003</v>
      </c>
      <c r="E215" s="16">
        <f>IFERROR(__xludf.DUMMYFUNCTION("""COMPUTED_VALUE"""),73.0)</f>
        <v>73</v>
      </c>
      <c r="F215" s="19" t="str">
        <f>IFERROR(__xludf.DUMMYFUNCTION("""COMPUTED_VALUE"""),"BLACK")</f>
        <v>BLACK</v>
      </c>
      <c r="G215" s="20" t="str">
        <f>IFERROR(__xludf.DUMMYFUNCTION("""COMPUTED_VALUE"""),"Uncle Sams Cider (04/04/2023)")</f>
        <v>Uncle Sams Cider (04/04/2023)</v>
      </c>
      <c r="H215" s="19"/>
    </row>
    <row r="216">
      <c r="A216" s="9"/>
      <c r="B216" s="15"/>
      <c r="C216" s="9">
        <f>IFERROR(__xludf.DUMMYFUNCTION("""COMPUTED_VALUE"""),45142.3984097338)</f>
        <v>45142.39841</v>
      </c>
      <c r="D216" s="15">
        <f>IFERROR(__xludf.DUMMYFUNCTION("""COMPUTED_VALUE"""),1.003)</f>
        <v>1.003</v>
      </c>
      <c r="E216" s="16">
        <f>IFERROR(__xludf.DUMMYFUNCTION("""COMPUTED_VALUE"""),73.0)</f>
        <v>73</v>
      </c>
      <c r="F216" s="19" t="str">
        <f>IFERROR(__xludf.DUMMYFUNCTION("""COMPUTED_VALUE"""),"BLACK")</f>
        <v>BLACK</v>
      </c>
      <c r="G216" s="20" t="str">
        <f>IFERROR(__xludf.DUMMYFUNCTION("""COMPUTED_VALUE"""),"Uncle Sams Cider (04/04/2023)")</f>
        <v>Uncle Sams Cider (04/04/2023)</v>
      </c>
      <c r="H216" s="19"/>
    </row>
    <row r="217">
      <c r="A217" s="9"/>
      <c r="B217" s="15"/>
      <c r="C217" s="9">
        <f>IFERROR(__xludf.DUMMYFUNCTION("""COMPUTED_VALUE"""),45142.3879651041)</f>
        <v>45142.38797</v>
      </c>
      <c r="D217" s="15">
        <f>IFERROR(__xludf.DUMMYFUNCTION("""COMPUTED_VALUE"""),1.003)</f>
        <v>1.003</v>
      </c>
      <c r="E217" s="16">
        <f>IFERROR(__xludf.DUMMYFUNCTION("""COMPUTED_VALUE"""),73.0)</f>
        <v>73</v>
      </c>
      <c r="F217" s="19" t="str">
        <f>IFERROR(__xludf.DUMMYFUNCTION("""COMPUTED_VALUE"""),"BLACK")</f>
        <v>BLACK</v>
      </c>
      <c r="G217" s="20" t="str">
        <f>IFERROR(__xludf.DUMMYFUNCTION("""COMPUTED_VALUE"""),"Uncle Sams Cider (04/04/2023)")</f>
        <v>Uncle Sams Cider (04/04/2023)</v>
      </c>
      <c r="H217" s="19"/>
    </row>
    <row r="218">
      <c r="A218" s="9"/>
      <c r="B218" s="15"/>
      <c r="C218" s="9">
        <f>IFERROR(__xludf.DUMMYFUNCTION("""COMPUTED_VALUE"""),45142.3775449074)</f>
        <v>45142.37754</v>
      </c>
      <c r="D218" s="15">
        <f>IFERROR(__xludf.DUMMYFUNCTION("""COMPUTED_VALUE"""),1.003)</f>
        <v>1.003</v>
      </c>
      <c r="E218" s="16">
        <f>IFERROR(__xludf.DUMMYFUNCTION("""COMPUTED_VALUE"""),73.0)</f>
        <v>73</v>
      </c>
      <c r="F218" s="19" t="str">
        <f>IFERROR(__xludf.DUMMYFUNCTION("""COMPUTED_VALUE"""),"BLACK")</f>
        <v>BLACK</v>
      </c>
      <c r="G218" s="20" t="str">
        <f>IFERROR(__xludf.DUMMYFUNCTION("""COMPUTED_VALUE"""),"Uncle Sams Cider (04/04/2023)")</f>
        <v>Uncle Sams Cider (04/04/2023)</v>
      </c>
      <c r="H218" s="19"/>
    </row>
    <row r="219">
      <c r="A219" s="9"/>
      <c r="B219" s="15"/>
      <c r="C219" s="9">
        <f>IFERROR(__xludf.DUMMYFUNCTION("""COMPUTED_VALUE"""),45142.3671241782)</f>
        <v>45142.36712</v>
      </c>
      <c r="D219" s="15">
        <f>IFERROR(__xludf.DUMMYFUNCTION("""COMPUTED_VALUE"""),1.003)</f>
        <v>1.003</v>
      </c>
      <c r="E219" s="16">
        <f>IFERROR(__xludf.DUMMYFUNCTION("""COMPUTED_VALUE"""),73.0)</f>
        <v>73</v>
      </c>
      <c r="F219" s="19" t="str">
        <f>IFERROR(__xludf.DUMMYFUNCTION("""COMPUTED_VALUE"""),"BLACK")</f>
        <v>BLACK</v>
      </c>
      <c r="G219" s="20" t="str">
        <f>IFERROR(__xludf.DUMMYFUNCTION("""COMPUTED_VALUE"""),"Uncle Sams Cider (04/04/2023)")</f>
        <v>Uncle Sams Cider (04/04/2023)</v>
      </c>
      <c r="H219" s="19"/>
    </row>
    <row r="220">
      <c r="A220" s="9"/>
      <c r="B220" s="15"/>
      <c r="C220" s="9">
        <f>IFERROR(__xludf.DUMMYFUNCTION("""COMPUTED_VALUE"""),45142.3567037731)</f>
        <v>45142.3567</v>
      </c>
      <c r="D220" s="15">
        <f>IFERROR(__xludf.DUMMYFUNCTION("""COMPUTED_VALUE"""),1.003)</f>
        <v>1.003</v>
      </c>
      <c r="E220" s="16">
        <f>IFERROR(__xludf.DUMMYFUNCTION("""COMPUTED_VALUE"""),73.0)</f>
        <v>73</v>
      </c>
      <c r="F220" s="19" t="str">
        <f>IFERROR(__xludf.DUMMYFUNCTION("""COMPUTED_VALUE"""),"BLACK")</f>
        <v>BLACK</v>
      </c>
      <c r="G220" s="20" t="str">
        <f>IFERROR(__xludf.DUMMYFUNCTION("""COMPUTED_VALUE"""),"Uncle Sams Cider (04/04/2023)")</f>
        <v>Uncle Sams Cider (04/04/2023)</v>
      </c>
      <c r="H220" s="19"/>
    </row>
    <row r="221">
      <c r="A221" s="9"/>
      <c r="B221" s="15"/>
      <c r="C221" s="9">
        <f>IFERROR(__xludf.DUMMYFUNCTION("""COMPUTED_VALUE"""),45142.346270324)</f>
        <v>45142.34627</v>
      </c>
      <c r="D221" s="15">
        <f>IFERROR(__xludf.DUMMYFUNCTION("""COMPUTED_VALUE"""),1.003)</f>
        <v>1.003</v>
      </c>
      <c r="E221" s="16">
        <f>IFERROR(__xludf.DUMMYFUNCTION("""COMPUTED_VALUE"""),73.0)</f>
        <v>73</v>
      </c>
      <c r="F221" s="19" t="str">
        <f>IFERROR(__xludf.DUMMYFUNCTION("""COMPUTED_VALUE"""),"BLACK")</f>
        <v>BLACK</v>
      </c>
      <c r="G221" s="20" t="str">
        <f>IFERROR(__xludf.DUMMYFUNCTION("""COMPUTED_VALUE"""),"Uncle Sams Cider (04/04/2023)")</f>
        <v>Uncle Sams Cider (04/04/2023)</v>
      </c>
      <c r="H221" s="19"/>
    </row>
    <row r="222">
      <c r="A222" s="9"/>
      <c r="B222" s="15"/>
      <c r="C222" s="9">
        <f>IFERROR(__xludf.DUMMYFUNCTION("""COMPUTED_VALUE"""),45142.3358498379)</f>
        <v>45142.33585</v>
      </c>
      <c r="D222" s="15">
        <f>IFERROR(__xludf.DUMMYFUNCTION("""COMPUTED_VALUE"""),1.003)</f>
        <v>1.003</v>
      </c>
      <c r="E222" s="16">
        <f>IFERROR(__xludf.DUMMYFUNCTION("""COMPUTED_VALUE"""),73.0)</f>
        <v>73</v>
      </c>
      <c r="F222" s="19" t="str">
        <f>IFERROR(__xludf.DUMMYFUNCTION("""COMPUTED_VALUE"""),"BLACK")</f>
        <v>BLACK</v>
      </c>
      <c r="G222" s="20" t="str">
        <f>IFERROR(__xludf.DUMMYFUNCTION("""COMPUTED_VALUE"""),"Uncle Sams Cider (04/04/2023)")</f>
        <v>Uncle Sams Cider (04/04/2023)</v>
      </c>
      <c r="H222" s="19"/>
    </row>
    <row r="223">
      <c r="A223" s="9"/>
      <c r="B223" s="15"/>
      <c r="C223" s="9">
        <f>IFERROR(__xludf.DUMMYFUNCTION("""COMPUTED_VALUE"""),45142.3254274768)</f>
        <v>45142.32543</v>
      </c>
      <c r="D223" s="15">
        <f>IFERROR(__xludf.DUMMYFUNCTION("""COMPUTED_VALUE"""),1.003)</f>
        <v>1.003</v>
      </c>
      <c r="E223" s="16">
        <f>IFERROR(__xludf.DUMMYFUNCTION("""COMPUTED_VALUE"""),73.0)</f>
        <v>73</v>
      </c>
      <c r="F223" s="19" t="str">
        <f>IFERROR(__xludf.DUMMYFUNCTION("""COMPUTED_VALUE"""),"BLACK")</f>
        <v>BLACK</v>
      </c>
      <c r="G223" s="20" t="str">
        <f>IFERROR(__xludf.DUMMYFUNCTION("""COMPUTED_VALUE"""),"Uncle Sams Cider (04/04/2023)")</f>
        <v>Uncle Sams Cider (04/04/2023)</v>
      </c>
      <c r="H223" s="19"/>
    </row>
    <row r="224">
      <c r="A224" s="9"/>
      <c r="B224" s="15"/>
      <c r="C224" s="9">
        <f>IFERROR(__xludf.DUMMYFUNCTION("""COMPUTED_VALUE"""),45142.3150070486)</f>
        <v>45142.31501</v>
      </c>
      <c r="D224" s="15">
        <f>IFERROR(__xludf.DUMMYFUNCTION("""COMPUTED_VALUE"""),1.003)</f>
        <v>1.003</v>
      </c>
      <c r="E224" s="16">
        <f>IFERROR(__xludf.DUMMYFUNCTION("""COMPUTED_VALUE"""),73.0)</f>
        <v>73</v>
      </c>
      <c r="F224" s="19" t="str">
        <f>IFERROR(__xludf.DUMMYFUNCTION("""COMPUTED_VALUE"""),"BLACK")</f>
        <v>BLACK</v>
      </c>
      <c r="G224" s="20" t="str">
        <f>IFERROR(__xludf.DUMMYFUNCTION("""COMPUTED_VALUE"""),"Uncle Sams Cider (04/04/2023)")</f>
        <v>Uncle Sams Cider (04/04/2023)</v>
      </c>
      <c r="H224" s="19"/>
    </row>
    <row r="225">
      <c r="A225" s="9"/>
      <c r="B225" s="15"/>
      <c r="C225" s="9">
        <f>IFERROR(__xludf.DUMMYFUNCTION("""COMPUTED_VALUE"""),45142.3045860532)</f>
        <v>45142.30459</v>
      </c>
      <c r="D225" s="15">
        <f>IFERROR(__xludf.DUMMYFUNCTION("""COMPUTED_VALUE"""),1.003)</f>
        <v>1.003</v>
      </c>
      <c r="E225" s="16">
        <f>IFERROR(__xludf.DUMMYFUNCTION("""COMPUTED_VALUE"""),73.0)</f>
        <v>73</v>
      </c>
      <c r="F225" s="19" t="str">
        <f>IFERROR(__xludf.DUMMYFUNCTION("""COMPUTED_VALUE"""),"BLACK")</f>
        <v>BLACK</v>
      </c>
      <c r="G225" s="20" t="str">
        <f>IFERROR(__xludf.DUMMYFUNCTION("""COMPUTED_VALUE"""),"Uncle Sams Cider (04/04/2023)")</f>
        <v>Uncle Sams Cider (04/04/2023)</v>
      </c>
      <c r="H225" s="19"/>
    </row>
    <row r="226">
      <c r="A226" s="9"/>
      <c r="B226" s="15"/>
      <c r="C226" s="9">
        <f>IFERROR(__xludf.DUMMYFUNCTION("""COMPUTED_VALUE"""),45142.2941639814)</f>
        <v>45142.29416</v>
      </c>
      <c r="D226" s="15">
        <f>IFERROR(__xludf.DUMMYFUNCTION("""COMPUTED_VALUE"""),1.003)</f>
        <v>1.003</v>
      </c>
      <c r="E226" s="16">
        <f>IFERROR(__xludf.DUMMYFUNCTION("""COMPUTED_VALUE"""),73.0)</f>
        <v>73</v>
      </c>
      <c r="F226" s="19" t="str">
        <f>IFERROR(__xludf.DUMMYFUNCTION("""COMPUTED_VALUE"""),"BLACK")</f>
        <v>BLACK</v>
      </c>
      <c r="G226" s="20" t="str">
        <f>IFERROR(__xludf.DUMMYFUNCTION("""COMPUTED_VALUE"""),"Uncle Sams Cider (04/04/2023)")</f>
        <v>Uncle Sams Cider (04/04/2023)</v>
      </c>
      <c r="H226" s="19"/>
    </row>
    <row r="227">
      <c r="A227" s="9"/>
      <c r="B227" s="15"/>
      <c r="C227" s="9">
        <f>IFERROR(__xludf.DUMMYFUNCTION("""COMPUTED_VALUE"""),45142.2837422685)</f>
        <v>45142.28374</v>
      </c>
      <c r="D227" s="15">
        <f>IFERROR(__xludf.DUMMYFUNCTION("""COMPUTED_VALUE"""),1.003)</f>
        <v>1.003</v>
      </c>
      <c r="E227" s="16">
        <f>IFERROR(__xludf.DUMMYFUNCTION("""COMPUTED_VALUE"""),73.0)</f>
        <v>73</v>
      </c>
      <c r="F227" s="19" t="str">
        <f>IFERROR(__xludf.DUMMYFUNCTION("""COMPUTED_VALUE"""),"BLACK")</f>
        <v>BLACK</v>
      </c>
      <c r="G227" s="20" t="str">
        <f>IFERROR(__xludf.DUMMYFUNCTION("""COMPUTED_VALUE"""),"Uncle Sams Cider (04/04/2023)")</f>
        <v>Uncle Sams Cider (04/04/2023)</v>
      </c>
      <c r="H227" s="19"/>
    </row>
    <row r="228">
      <c r="A228" s="9"/>
      <c r="B228" s="15"/>
      <c r="C228" s="9">
        <f>IFERROR(__xludf.DUMMYFUNCTION("""COMPUTED_VALUE"""),45142.2733213078)</f>
        <v>45142.27332</v>
      </c>
      <c r="D228" s="15">
        <f>IFERROR(__xludf.DUMMYFUNCTION("""COMPUTED_VALUE"""),1.003)</f>
        <v>1.003</v>
      </c>
      <c r="E228" s="16">
        <f>IFERROR(__xludf.DUMMYFUNCTION("""COMPUTED_VALUE"""),73.0)</f>
        <v>73</v>
      </c>
      <c r="F228" s="19" t="str">
        <f>IFERROR(__xludf.DUMMYFUNCTION("""COMPUTED_VALUE"""),"BLACK")</f>
        <v>BLACK</v>
      </c>
      <c r="G228" s="20" t="str">
        <f>IFERROR(__xludf.DUMMYFUNCTION("""COMPUTED_VALUE"""),"Uncle Sams Cider (04/04/2023)")</f>
        <v>Uncle Sams Cider (04/04/2023)</v>
      </c>
      <c r="H228" s="19"/>
    </row>
    <row r="229">
      <c r="A229" s="9"/>
      <c r="B229" s="15"/>
      <c r="C229" s="9">
        <f>IFERROR(__xludf.DUMMYFUNCTION("""COMPUTED_VALUE"""),45142.2629009375)</f>
        <v>45142.2629</v>
      </c>
      <c r="D229" s="15">
        <f>IFERROR(__xludf.DUMMYFUNCTION("""COMPUTED_VALUE"""),1.003)</f>
        <v>1.003</v>
      </c>
      <c r="E229" s="16">
        <f>IFERROR(__xludf.DUMMYFUNCTION("""COMPUTED_VALUE"""),73.0)</f>
        <v>73</v>
      </c>
      <c r="F229" s="19" t="str">
        <f>IFERROR(__xludf.DUMMYFUNCTION("""COMPUTED_VALUE"""),"BLACK")</f>
        <v>BLACK</v>
      </c>
      <c r="G229" s="20" t="str">
        <f>IFERROR(__xludf.DUMMYFUNCTION("""COMPUTED_VALUE"""),"Uncle Sams Cider (04/04/2023)")</f>
        <v>Uncle Sams Cider (04/04/2023)</v>
      </c>
      <c r="H229" s="19"/>
    </row>
    <row r="230">
      <c r="A230" s="9"/>
      <c r="B230" s="15"/>
      <c r="C230" s="9">
        <f>IFERROR(__xludf.DUMMYFUNCTION("""COMPUTED_VALUE"""),45142.2524806365)</f>
        <v>45142.25248</v>
      </c>
      <c r="D230" s="15">
        <f>IFERROR(__xludf.DUMMYFUNCTION("""COMPUTED_VALUE"""),1.003)</f>
        <v>1.003</v>
      </c>
      <c r="E230" s="16">
        <f>IFERROR(__xludf.DUMMYFUNCTION("""COMPUTED_VALUE"""),73.0)</f>
        <v>73</v>
      </c>
      <c r="F230" s="19" t="str">
        <f>IFERROR(__xludf.DUMMYFUNCTION("""COMPUTED_VALUE"""),"BLACK")</f>
        <v>BLACK</v>
      </c>
      <c r="G230" s="20" t="str">
        <f>IFERROR(__xludf.DUMMYFUNCTION("""COMPUTED_VALUE"""),"Uncle Sams Cider (04/04/2023)")</f>
        <v>Uncle Sams Cider (04/04/2023)</v>
      </c>
      <c r="H230" s="19"/>
    </row>
    <row r="231">
      <c r="A231" s="9"/>
      <c r="B231" s="15"/>
      <c r="C231" s="9">
        <f>IFERROR(__xludf.DUMMYFUNCTION("""COMPUTED_VALUE"""),45142.2420459375)</f>
        <v>45142.24205</v>
      </c>
      <c r="D231" s="15">
        <f>IFERROR(__xludf.DUMMYFUNCTION("""COMPUTED_VALUE"""),1.003)</f>
        <v>1.003</v>
      </c>
      <c r="E231" s="16">
        <f>IFERROR(__xludf.DUMMYFUNCTION("""COMPUTED_VALUE"""),73.0)</f>
        <v>73</v>
      </c>
      <c r="F231" s="19" t="str">
        <f>IFERROR(__xludf.DUMMYFUNCTION("""COMPUTED_VALUE"""),"BLACK")</f>
        <v>BLACK</v>
      </c>
      <c r="G231" s="20" t="str">
        <f>IFERROR(__xludf.DUMMYFUNCTION("""COMPUTED_VALUE"""),"Uncle Sams Cider (04/04/2023)")</f>
        <v>Uncle Sams Cider (04/04/2023)</v>
      </c>
      <c r="H231" s="19"/>
    </row>
    <row r="232">
      <c r="A232" s="9"/>
      <c r="B232" s="15"/>
      <c r="C232" s="9">
        <f>IFERROR(__xludf.DUMMYFUNCTION("""COMPUTED_VALUE"""),45142.2316015393)</f>
        <v>45142.2316</v>
      </c>
      <c r="D232" s="15">
        <f>IFERROR(__xludf.DUMMYFUNCTION("""COMPUTED_VALUE"""),1.003)</f>
        <v>1.003</v>
      </c>
      <c r="E232" s="16">
        <f>IFERROR(__xludf.DUMMYFUNCTION("""COMPUTED_VALUE"""),73.0)</f>
        <v>73</v>
      </c>
      <c r="F232" s="19" t="str">
        <f>IFERROR(__xludf.DUMMYFUNCTION("""COMPUTED_VALUE"""),"BLACK")</f>
        <v>BLACK</v>
      </c>
      <c r="G232" s="20" t="str">
        <f>IFERROR(__xludf.DUMMYFUNCTION("""COMPUTED_VALUE"""),"Uncle Sams Cider (04/04/2023)")</f>
        <v>Uncle Sams Cider (04/04/2023)</v>
      </c>
      <c r="H232" s="19"/>
    </row>
    <row r="233">
      <c r="A233" s="9"/>
      <c r="B233" s="15"/>
      <c r="C233" s="9">
        <f>IFERROR(__xludf.DUMMYFUNCTION("""COMPUTED_VALUE"""),45142.221180949)</f>
        <v>45142.22118</v>
      </c>
      <c r="D233" s="15">
        <f>IFERROR(__xludf.DUMMYFUNCTION("""COMPUTED_VALUE"""),1.003)</f>
        <v>1.003</v>
      </c>
      <c r="E233" s="16">
        <f>IFERROR(__xludf.DUMMYFUNCTION("""COMPUTED_VALUE"""),73.0)</f>
        <v>73</v>
      </c>
      <c r="F233" s="19" t="str">
        <f>IFERROR(__xludf.DUMMYFUNCTION("""COMPUTED_VALUE"""),"BLACK")</f>
        <v>BLACK</v>
      </c>
      <c r="G233" s="20" t="str">
        <f>IFERROR(__xludf.DUMMYFUNCTION("""COMPUTED_VALUE"""),"Uncle Sams Cider (04/04/2023)")</f>
        <v>Uncle Sams Cider (04/04/2023)</v>
      </c>
      <c r="H233" s="19"/>
    </row>
    <row r="234">
      <c r="A234" s="9"/>
      <c r="B234" s="15"/>
      <c r="C234" s="9">
        <f>IFERROR(__xludf.DUMMYFUNCTION("""COMPUTED_VALUE"""),45142.2107608796)</f>
        <v>45142.21076</v>
      </c>
      <c r="D234" s="15">
        <f>IFERROR(__xludf.DUMMYFUNCTION("""COMPUTED_VALUE"""),1.003)</f>
        <v>1.003</v>
      </c>
      <c r="E234" s="16">
        <f>IFERROR(__xludf.DUMMYFUNCTION("""COMPUTED_VALUE"""),73.0)</f>
        <v>73</v>
      </c>
      <c r="F234" s="19" t="str">
        <f>IFERROR(__xludf.DUMMYFUNCTION("""COMPUTED_VALUE"""),"BLACK")</f>
        <v>BLACK</v>
      </c>
      <c r="G234" s="20" t="str">
        <f>IFERROR(__xludf.DUMMYFUNCTION("""COMPUTED_VALUE"""),"Uncle Sams Cider (04/04/2023)")</f>
        <v>Uncle Sams Cider (04/04/2023)</v>
      </c>
      <c r="H234" s="19"/>
    </row>
    <row r="235">
      <c r="A235" s="9"/>
      <c r="B235" s="15"/>
      <c r="C235" s="9">
        <f>IFERROR(__xludf.DUMMYFUNCTION("""COMPUTED_VALUE"""),45142.2003392939)</f>
        <v>45142.20034</v>
      </c>
      <c r="D235" s="15">
        <f>IFERROR(__xludf.DUMMYFUNCTION("""COMPUTED_VALUE"""),1.003)</f>
        <v>1.003</v>
      </c>
      <c r="E235" s="16">
        <f>IFERROR(__xludf.DUMMYFUNCTION("""COMPUTED_VALUE"""),73.0)</f>
        <v>73</v>
      </c>
      <c r="F235" s="19" t="str">
        <f>IFERROR(__xludf.DUMMYFUNCTION("""COMPUTED_VALUE"""),"BLACK")</f>
        <v>BLACK</v>
      </c>
      <c r="G235" s="20" t="str">
        <f>IFERROR(__xludf.DUMMYFUNCTION("""COMPUTED_VALUE"""),"Uncle Sams Cider (04/04/2023)")</f>
        <v>Uncle Sams Cider (04/04/2023)</v>
      </c>
      <c r="H235" s="19"/>
    </row>
    <row r="236">
      <c r="A236" s="9"/>
      <c r="B236" s="15"/>
      <c r="C236" s="9">
        <f>IFERROR(__xludf.DUMMYFUNCTION("""COMPUTED_VALUE"""),45142.1899179282)</f>
        <v>45142.18992</v>
      </c>
      <c r="D236" s="15">
        <f>IFERROR(__xludf.DUMMYFUNCTION("""COMPUTED_VALUE"""),1.003)</f>
        <v>1.003</v>
      </c>
      <c r="E236" s="16">
        <f>IFERROR(__xludf.DUMMYFUNCTION("""COMPUTED_VALUE"""),73.0)</f>
        <v>73</v>
      </c>
      <c r="F236" s="19" t="str">
        <f>IFERROR(__xludf.DUMMYFUNCTION("""COMPUTED_VALUE"""),"BLACK")</f>
        <v>BLACK</v>
      </c>
      <c r="G236" s="20" t="str">
        <f>IFERROR(__xludf.DUMMYFUNCTION("""COMPUTED_VALUE"""),"Uncle Sams Cider (04/04/2023)")</f>
        <v>Uncle Sams Cider (04/04/2023)</v>
      </c>
      <c r="H236" s="19"/>
    </row>
    <row r="237">
      <c r="A237" s="9"/>
      <c r="B237" s="15"/>
      <c r="C237" s="9">
        <f>IFERROR(__xludf.DUMMYFUNCTION("""COMPUTED_VALUE"""),45142.1794963773)</f>
        <v>45142.1795</v>
      </c>
      <c r="D237" s="15">
        <f>IFERROR(__xludf.DUMMYFUNCTION("""COMPUTED_VALUE"""),1.003)</f>
        <v>1.003</v>
      </c>
      <c r="E237" s="16">
        <f>IFERROR(__xludf.DUMMYFUNCTION("""COMPUTED_VALUE"""),73.0)</f>
        <v>73</v>
      </c>
      <c r="F237" s="19" t="str">
        <f>IFERROR(__xludf.DUMMYFUNCTION("""COMPUTED_VALUE"""),"BLACK")</f>
        <v>BLACK</v>
      </c>
      <c r="G237" s="20" t="str">
        <f>IFERROR(__xludf.DUMMYFUNCTION("""COMPUTED_VALUE"""),"Uncle Sams Cider (04/04/2023)")</f>
        <v>Uncle Sams Cider (04/04/2023)</v>
      </c>
      <c r="H237" s="19"/>
    </row>
    <row r="238">
      <c r="A238" s="9"/>
      <c r="B238" s="15"/>
      <c r="C238" s="9">
        <f>IFERROR(__xludf.DUMMYFUNCTION("""COMPUTED_VALUE"""),45142.169075625)</f>
        <v>45142.16908</v>
      </c>
      <c r="D238" s="15">
        <f>IFERROR(__xludf.DUMMYFUNCTION("""COMPUTED_VALUE"""),1.003)</f>
        <v>1.003</v>
      </c>
      <c r="E238" s="16">
        <f>IFERROR(__xludf.DUMMYFUNCTION("""COMPUTED_VALUE"""),73.0)</f>
        <v>73</v>
      </c>
      <c r="F238" s="19" t="str">
        <f>IFERROR(__xludf.DUMMYFUNCTION("""COMPUTED_VALUE"""),"BLACK")</f>
        <v>BLACK</v>
      </c>
      <c r="G238" s="20" t="str">
        <f>IFERROR(__xludf.DUMMYFUNCTION("""COMPUTED_VALUE"""),"Uncle Sams Cider (04/04/2023)")</f>
        <v>Uncle Sams Cider (04/04/2023)</v>
      </c>
      <c r="H238" s="19"/>
    </row>
    <row r="239">
      <c r="A239" s="9"/>
      <c r="B239" s="15"/>
      <c r="C239" s="9">
        <f>IFERROR(__xludf.DUMMYFUNCTION("""COMPUTED_VALUE"""),45142.1586414351)</f>
        <v>45142.15864</v>
      </c>
      <c r="D239" s="15">
        <f>IFERROR(__xludf.DUMMYFUNCTION("""COMPUTED_VALUE"""),1.003)</f>
        <v>1.003</v>
      </c>
      <c r="E239" s="16">
        <f>IFERROR(__xludf.DUMMYFUNCTION("""COMPUTED_VALUE"""),73.0)</f>
        <v>73</v>
      </c>
      <c r="F239" s="19" t="str">
        <f>IFERROR(__xludf.DUMMYFUNCTION("""COMPUTED_VALUE"""),"BLACK")</f>
        <v>BLACK</v>
      </c>
      <c r="G239" s="20" t="str">
        <f>IFERROR(__xludf.DUMMYFUNCTION("""COMPUTED_VALUE"""),"Uncle Sams Cider (04/04/2023)")</f>
        <v>Uncle Sams Cider (04/04/2023)</v>
      </c>
      <c r="H239" s="19"/>
    </row>
    <row r="240">
      <c r="A240" s="9"/>
      <c r="B240" s="15"/>
      <c r="C240" s="9">
        <f>IFERROR(__xludf.DUMMYFUNCTION("""COMPUTED_VALUE"""),45142.1482211342)</f>
        <v>45142.14822</v>
      </c>
      <c r="D240" s="15">
        <f>IFERROR(__xludf.DUMMYFUNCTION("""COMPUTED_VALUE"""),1.003)</f>
        <v>1.003</v>
      </c>
      <c r="E240" s="16">
        <f>IFERROR(__xludf.DUMMYFUNCTION("""COMPUTED_VALUE"""),73.0)</f>
        <v>73</v>
      </c>
      <c r="F240" s="19" t="str">
        <f>IFERROR(__xludf.DUMMYFUNCTION("""COMPUTED_VALUE"""),"BLACK")</f>
        <v>BLACK</v>
      </c>
      <c r="G240" s="20" t="str">
        <f>IFERROR(__xludf.DUMMYFUNCTION("""COMPUTED_VALUE"""),"Uncle Sams Cider (04/04/2023)")</f>
        <v>Uncle Sams Cider (04/04/2023)</v>
      </c>
      <c r="H240" s="19"/>
    </row>
    <row r="241">
      <c r="A241" s="9"/>
      <c r="B241" s="15"/>
      <c r="C241" s="9">
        <f>IFERROR(__xludf.DUMMYFUNCTION("""COMPUTED_VALUE"""),45142.1378017361)</f>
        <v>45142.1378</v>
      </c>
      <c r="D241" s="15">
        <f>IFERROR(__xludf.DUMMYFUNCTION("""COMPUTED_VALUE"""),1.003)</f>
        <v>1.003</v>
      </c>
      <c r="E241" s="16">
        <f>IFERROR(__xludf.DUMMYFUNCTION("""COMPUTED_VALUE"""),73.0)</f>
        <v>73</v>
      </c>
      <c r="F241" s="19" t="str">
        <f>IFERROR(__xludf.DUMMYFUNCTION("""COMPUTED_VALUE"""),"BLACK")</f>
        <v>BLACK</v>
      </c>
      <c r="G241" s="20" t="str">
        <f>IFERROR(__xludf.DUMMYFUNCTION("""COMPUTED_VALUE"""),"Uncle Sams Cider (04/04/2023)")</f>
        <v>Uncle Sams Cider (04/04/2023)</v>
      </c>
      <c r="H241" s="19"/>
    </row>
    <row r="242">
      <c r="A242" s="9"/>
      <c r="B242" s="15"/>
      <c r="C242" s="9">
        <f>IFERROR(__xludf.DUMMYFUNCTION("""COMPUTED_VALUE"""),45142.1273814351)</f>
        <v>45142.12738</v>
      </c>
      <c r="D242" s="15">
        <f>IFERROR(__xludf.DUMMYFUNCTION("""COMPUTED_VALUE"""),1.003)</f>
        <v>1.003</v>
      </c>
      <c r="E242" s="16">
        <f>IFERROR(__xludf.DUMMYFUNCTION("""COMPUTED_VALUE"""),73.0)</f>
        <v>73</v>
      </c>
      <c r="F242" s="19" t="str">
        <f>IFERROR(__xludf.DUMMYFUNCTION("""COMPUTED_VALUE"""),"BLACK")</f>
        <v>BLACK</v>
      </c>
      <c r="G242" s="20" t="str">
        <f>IFERROR(__xludf.DUMMYFUNCTION("""COMPUTED_VALUE"""),"Uncle Sams Cider (04/04/2023)")</f>
        <v>Uncle Sams Cider (04/04/2023)</v>
      </c>
      <c r="H242" s="19"/>
    </row>
    <row r="243">
      <c r="A243" s="9"/>
      <c r="B243" s="15"/>
      <c r="C243" s="9">
        <f>IFERROR(__xludf.DUMMYFUNCTION("""COMPUTED_VALUE"""),45142.1169593634)</f>
        <v>45142.11696</v>
      </c>
      <c r="D243" s="15">
        <f>IFERROR(__xludf.DUMMYFUNCTION("""COMPUTED_VALUE"""),1.003)</f>
        <v>1.003</v>
      </c>
      <c r="E243" s="16">
        <f>IFERROR(__xludf.DUMMYFUNCTION("""COMPUTED_VALUE"""),73.0)</f>
        <v>73</v>
      </c>
      <c r="F243" s="19" t="str">
        <f>IFERROR(__xludf.DUMMYFUNCTION("""COMPUTED_VALUE"""),"BLACK")</f>
        <v>BLACK</v>
      </c>
      <c r="G243" s="20" t="str">
        <f>IFERROR(__xludf.DUMMYFUNCTION("""COMPUTED_VALUE"""),"Uncle Sams Cider (04/04/2023)")</f>
        <v>Uncle Sams Cider (04/04/2023)</v>
      </c>
      <c r="H243" s="19"/>
    </row>
    <row r="244">
      <c r="A244" s="9"/>
      <c r="B244" s="15"/>
      <c r="C244" s="9">
        <f>IFERROR(__xludf.DUMMYFUNCTION("""COMPUTED_VALUE"""),45142.1065408796)</f>
        <v>45142.10654</v>
      </c>
      <c r="D244" s="15">
        <f>IFERROR(__xludf.DUMMYFUNCTION("""COMPUTED_VALUE"""),1.003)</f>
        <v>1.003</v>
      </c>
      <c r="E244" s="16">
        <f>IFERROR(__xludf.DUMMYFUNCTION("""COMPUTED_VALUE"""),73.0)</f>
        <v>73</v>
      </c>
      <c r="F244" s="19" t="str">
        <f>IFERROR(__xludf.DUMMYFUNCTION("""COMPUTED_VALUE"""),"BLACK")</f>
        <v>BLACK</v>
      </c>
      <c r="G244" s="20" t="str">
        <f>IFERROR(__xludf.DUMMYFUNCTION("""COMPUTED_VALUE"""),"Uncle Sams Cider (04/04/2023)")</f>
        <v>Uncle Sams Cider (04/04/2023)</v>
      </c>
      <c r="H244" s="19"/>
    </row>
    <row r="245">
      <c r="A245" s="9"/>
      <c r="B245" s="15"/>
      <c r="C245" s="9">
        <f>IFERROR(__xludf.DUMMYFUNCTION("""COMPUTED_VALUE"""),45142.0961197916)</f>
        <v>45142.09612</v>
      </c>
      <c r="D245" s="15">
        <f>IFERROR(__xludf.DUMMYFUNCTION("""COMPUTED_VALUE"""),1.003)</f>
        <v>1.003</v>
      </c>
      <c r="E245" s="16">
        <f>IFERROR(__xludf.DUMMYFUNCTION("""COMPUTED_VALUE"""),73.0)</f>
        <v>73</v>
      </c>
      <c r="F245" s="19" t="str">
        <f>IFERROR(__xludf.DUMMYFUNCTION("""COMPUTED_VALUE"""),"BLACK")</f>
        <v>BLACK</v>
      </c>
      <c r="G245" s="20" t="str">
        <f>IFERROR(__xludf.DUMMYFUNCTION("""COMPUTED_VALUE"""),"Uncle Sams Cider (04/04/2023)")</f>
        <v>Uncle Sams Cider (04/04/2023)</v>
      </c>
      <c r="H245" s="19"/>
    </row>
    <row r="246">
      <c r="A246" s="9"/>
      <c r="B246" s="15"/>
      <c r="C246" s="9">
        <f>IFERROR(__xludf.DUMMYFUNCTION("""COMPUTED_VALUE"""),45142.0856986921)</f>
        <v>45142.0857</v>
      </c>
      <c r="D246" s="15">
        <f>IFERROR(__xludf.DUMMYFUNCTION("""COMPUTED_VALUE"""),1.003)</f>
        <v>1.003</v>
      </c>
      <c r="E246" s="16">
        <f>IFERROR(__xludf.DUMMYFUNCTION("""COMPUTED_VALUE"""),73.0)</f>
        <v>73</v>
      </c>
      <c r="F246" s="19" t="str">
        <f>IFERROR(__xludf.DUMMYFUNCTION("""COMPUTED_VALUE"""),"BLACK")</f>
        <v>BLACK</v>
      </c>
      <c r="G246" s="20" t="str">
        <f>IFERROR(__xludf.DUMMYFUNCTION("""COMPUTED_VALUE"""),"Uncle Sams Cider (04/04/2023)")</f>
        <v>Uncle Sams Cider (04/04/2023)</v>
      </c>
      <c r="H246" s="19"/>
    </row>
    <row r="247">
      <c r="A247" s="9"/>
      <c r="B247" s="15"/>
      <c r="C247" s="9">
        <f>IFERROR(__xludf.DUMMYFUNCTION("""COMPUTED_VALUE"""),45142.0752757291)</f>
        <v>45142.07528</v>
      </c>
      <c r="D247" s="15">
        <f>IFERROR(__xludf.DUMMYFUNCTION("""COMPUTED_VALUE"""),1.003)</f>
        <v>1.003</v>
      </c>
      <c r="E247" s="16">
        <f>IFERROR(__xludf.DUMMYFUNCTION("""COMPUTED_VALUE"""),73.0)</f>
        <v>73</v>
      </c>
      <c r="F247" s="19" t="str">
        <f>IFERROR(__xludf.DUMMYFUNCTION("""COMPUTED_VALUE"""),"BLACK")</f>
        <v>BLACK</v>
      </c>
      <c r="G247" s="20" t="str">
        <f>IFERROR(__xludf.DUMMYFUNCTION("""COMPUTED_VALUE"""),"Uncle Sams Cider (04/04/2023)")</f>
        <v>Uncle Sams Cider (04/04/2023)</v>
      </c>
      <c r="H247" s="19"/>
    </row>
    <row r="248">
      <c r="A248" s="9"/>
      <c r="B248" s="15"/>
      <c r="C248" s="9">
        <f>IFERROR(__xludf.DUMMYFUNCTION("""COMPUTED_VALUE"""),45142.0648559722)</f>
        <v>45142.06486</v>
      </c>
      <c r="D248" s="15">
        <f>IFERROR(__xludf.DUMMYFUNCTION("""COMPUTED_VALUE"""),1.003)</f>
        <v>1.003</v>
      </c>
      <c r="E248" s="16">
        <f>IFERROR(__xludf.DUMMYFUNCTION("""COMPUTED_VALUE"""),73.0)</f>
        <v>73</v>
      </c>
      <c r="F248" s="19" t="str">
        <f>IFERROR(__xludf.DUMMYFUNCTION("""COMPUTED_VALUE"""),"BLACK")</f>
        <v>BLACK</v>
      </c>
      <c r="G248" s="20" t="str">
        <f>IFERROR(__xludf.DUMMYFUNCTION("""COMPUTED_VALUE"""),"Uncle Sams Cider (04/04/2023)")</f>
        <v>Uncle Sams Cider (04/04/2023)</v>
      </c>
      <c r="H248" s="19"/>
    </row>
    <row r="249">
      <c r="A249" s="9"/>
      <c r="B249" s="15"/>
      <c r="C249" s="9">
        <f>IFERROR(__xludf.DUMMYFUNCTION("""COMPUTED_VALUE"""),45142.0544357986)</f>
        <v>45142.05444</v>
      </c>
      <c r="D249" s="15">
        <f>IFERROR(__xludf.DUMMYFUNCTION("""COMPUTED_VALUE"""),1.003)</f>
        <v>1.003</v>
      </c>
      <c r="E249" s="16">
        <f>IFERROR(__xludf.DUMMYFUNCTION("""COMPUTED_VALUE"""),73.0)</f>
        <v>73</v>
      </c>
      <c r="F249" s="19" t="str">
        <f>IFERROR(__xludf.DUMMYFUNCTION("""COMPUTED_VALUE"""),"BLACK")</f>
        <v>BLACK</v>
      </c>
      <c r="G249" s="20" t="str">
        <f>IFERROR(__xludf.DUMMYFUNCTION("""COMPUTED_VALUE"""),"Uncle Sams Cider (04/04/2023)")</f>
        <v>Uncle Sams Cider (04/04/2023)</v>
      </c>
      <c r="H249" s="19"/>
    </row>
    <row r="250">
      <c r="A250" s="9"/>
      <c r="B250" s="15"/>
      <c r="C250" s="9">
        <f>IFERROR(__xludf.DUMMYFUNCTION("""COMPUTED_VALUE"""),45142.044012662)</f>
        <v>45142.04401</v>
      </c>
      <c r="D250" s="15">
        <f>IFERROR(__xludf.DUMMYFUNCTION("""COMPUTED_VALUE"""),1.003)</f>
        <v>1.003</v>
      </c>
      <c r="E250" s="16">
        <f>IFERROR(__xludf.DUMMYFUNCTION("""COMPUTED_VALUE"""),73.0)</f>
        <v>73</v>
      </c>
      <c r="F250" s="19" t="str">
        <f>IFERROR(__xludf.DUMMYFUNCTION("""COMPUTED_VALUE"""),"BLACK")</f>
        <v>BLACK</v>
      </c>
      <c r="G250" s="20" t="str">
        <f>IFERROR(__xludf.DUMMYFUNCTION("""COMPUTED_VALUE"""),"Uncle Sams Cider (04/04/2023)")</f>
        <v>Uncle Sams Cider (04/04/2023)</v>
      </c>
      <c r="H250" s="19"/>
    </row>
    <row r="251">
      <c r="A251" s="9"/>
      <c r="B251" s="15"/>
      <c r="C251" s="9">
        <f>IFERROR(__xludf.DUMMYFUNCTION("""COMPUTED_VALUE"""),45142.0335920833)</f>
        <v>45142.03359</v>
      </c>
      <c r="D251" s="15">
        <f>IFERROR(__xludf.DUMMYFUNCTION("""COMPUTED_VALUE"""),1.003)</f>
        <v>1.003</v>
      </c>
      <c r="E251" s="16">
        <f>IFERROR(__xludf.DUMMYFUNCTION("""COMPUTED_VALUE"""),73.0)</f>
        <v>73</v>
      </c>
      <c r="F251" s="19" t="str">
        <f>IFERROR(__xludf.DUMMYFUNCTION("""COMPUTED_VALUE"""),"BLACK")</f>
        <v>BLACK</v>
      </c>
      <c r="G251" s="20" t="str">
        <f>IFERROR(__xludf.DUMMYFUNCTION("""COMPUTED_VALUE"""),"Uncle Sams Cider (04/04/2023)")</f>
        <v>Uncle Sams Cider (04/04/2023)</v>
      </c>
      <c r="H251" s="19"/>
    </row>
    <row r="252">
      <c r="A252" s="9"/>
      <c r="B252" s="15"/>
      <c r="C252" s="9">
        <f>IFERROR(__xludf.DUMMYFUNCTION("""COMPUTED_VALUE"""),45142.0231704282)</f>
        <v>45142.02317</v>
      </c>
      <c r="D252" s="15">
        <f>IFERROR(__xludf.DUMMYFUNCTION("""COMPUTED_VALUE"""),1.003)</f>
        <v>1.003</v>
      </c>
      <c r="E252" s="16">
        <f>IFERROR(__xludf.DUMMYFUNCTION("""COMPUTED_VALUE"""),73.0)</f>
        <v>73</v>
      </c>
      <c r="F252" s="19" t="str">
        <f>IFERROR(__xludf.DUMMYFUNCTION("""COMPUTED_VALUE"""),"BLACK")</f>
        <v>BLACK</v>
      </c>
      <c r="G252" s="20" t="str">
        <f>IFERROR(__xludf.DUMMYFUNCTION("""COMPUTED_VALUE"""),"Uncle Sams Cider (04/04/2023)")</f>
        <v>Uncle Sams Cider (04/04/2023)</v>
      </c>
      <c r="H252" s="19"/>
    </row>
    <row r="253">
      <c r="A253" s="9"/>
      <c r="B253" s="15"/>
      <c r="C253" s="9">
        <f>IFERROR(__xludf.DUMMYFUNCTION("""COMPUTED_VALUE"""),45142.0127497916)</f>
        <v>45142.01275</v>
      </c>
      <c r="D253" s="15">
        <f>IFERROR(__xludf.DUMMYFUNCTION("""COMPUTED_VALUE"""),1.003)</f>
        <v>1.003</v>
      </c>
      <c r="E253" s="16">
        <f>IFERROR(__xludf.DUMMYFUNCTION("""COMPUTED_VALUE"""),73.0)</f>
        <v>73</v>
      </c>
      <c r="F253" s="19" t="str">
        <f>IFERROR(__xludf.DUMMYFUNCTION("""COMPUTED_VALUE"""),"BLACK")</f>
        <v>BLACK</v>
      </c>
      <c r="G253" s="20" t="str">
        <f>IFERROR(__xludf.DUMMYFUNCTION("""COMPUTED_VALUE"""),"Uncle Sams Cider (04/04/2023)")</f>
        <v>Uncle Sams Cider (04/04/2023)</v>
      </c>
      <c r="H253" s="19"/>
    </row>
    <row r="254">
      <c r="A254" s="9"/>
      <c r="B254" s="15"/>
      <c r="C254" s="9">
        <f>IFERROR(__xludf.DUMMYFUNCTION("""COMPUTED_VALUE"""),45142.0023281134)</f>
        <v>45142.00233</v>
      </c>
      <c r="D254" s="15">
        <f>IFERROR(__xludf.DUMMYFUNCTION("""COMPUTED_VALUE"""),1.003)</f>
        <v>1.003</v>
      </c>
      <c r="E254" s="16">
        <f>IFERROR(__xludf.DUMMYFUNCTION("""COMPUTED_VALUE"""),73.0)</f>
        <v>73</v>
      </c>
      <c r="F254" s="19" t="str">
        <f>IFERROR(__xludf.DUMMYFUNCTION("""COMPUTED_VALUE"""),"BLACK")</f>
        <v>BLACK</v>
      </c>
      <c r="G254" s="20" t="str">
        <f>IFERROR(__xludf.DUMMYFUNCTION("""COMPUTED_VALUE"""),"Uncle Sams Cider (04/04/2023)")</f>
        <v>Uncle Sams Cider (04/04/2023)</v>
      </c>
      <c r="H254" s="19"/>
    </row>
    <row r="255">
      <c r="A255" s="9"/>
      <c r="B255" s="15"/>
      <c r="C255" s="9">
        <f>IFERROR(__xludf.DUMMYFUNCTION("""COMPUTED_VALUE"""),45141.9919078125)</f>
        <v>45141.99191</v>
      </c>
      <c r="D255" s="15">
        <f>IFERROR(__xludf.DUMMYFUNCTION("""COMPUTED_VALUE"""),1.003)</f>
        <v>1.003</v>
      </c>
      <c r="E255" s="16">
        <f>IFERROR(__xludf.DUMMYFUNCTION("""COMPUTED_VALUE"""),73.0)</f>
        <v>73</v>
      </c>
      <c r="F255" s="19" t="str">
        <f>IFERROR(__xludf.DUMMYFUNCTION("""COMPUTED_VALUE"""),"BLACK")</f>
        <v>BLACK</v>
      </c>
      <c r="G255" s="20" t="str">
        <f>IFERROR(__xludf.DUMMYFUNCTION("""COMPUTED_VALUE"""),"Uncle Sams Cider (04/04/2023)")</f>
        <v>Uncle Sams Cider (04/04/2023)</v>
      </c>
      <c r="H255" s="19"/>
    </row>
    <row r="256">
      <c r="A256" s="9"/>
      <c r="B256" s="15"/>
      <c r="C256" s="9">
        <f>IFERROR(__xludf.DUMMYFUNCTION("""COMPUTED_VALUE"""),45141.9814874189)</f>
        <v>45141.98149</v>
      </c>
      <c r="D256" s="15">
        <f>IFERROR(__xludf.DUMMYFUNCTION("""COMPUTED_VALUE"""),1.003)</f>
        <v>1.003</v>
      </c>
      <c r="E256" s="16">
        <f>IFERROR(__xludf.DUMMYFUNCTION("""COMPUTED_VALUE"""),73.0)</f>
        <v>73</v>
      </c>
      <c r="F256" s="19" t="str">
        <f>IFERROR(__xludf.DUMMYFUNCTION("""COMPUTED_VALUE"""),"BLACK")</f>
        <v>BLACK</v>
      </c>
      <c r="G256" s="20" t="str">
        <f>IFERROR(__xludf.DUMMYFUNCTION("""COMPUTED_VALUE"""),"Uncle Sams Cider (04/04/2023)")</f>
        <v>Uncle Sams Cider (04/04/2023)</v>
      </c>
      <c r="H256" s="19"/>
    </row>
    <row r="257">
      <c r="A257" s="9"/>
      <c r="B257" s="15"/>
      <c r="C257" s="9">
        <f>IFERROR(__xludf.DUMMYFUNCTION("""COMPUTED_VALUE"""),45141.9710649421)</f>
        <v>45141.97106</v>
      </c>
      <c r="D257" s="15">
        <f>IFERROR(__xludf.DUMMYFUNCTION("""COMPUTED_VALUE"""),1.003)</f>
        <v>1.003</v>
      </c>
      <c r="E257" s="16">
        <f>IFERROR(__xludf.DUMMYFUNCTION("""COMPUTED_VALUE"""),73.0)</f>
        <v>73</v>
      </c>
      <c r="F257" s="19" t="str">
        <f>IFERROR(__xludf.DUMMYFUNCTION("""COMPUTED_VALUE"""),"BLACK")</f>
        <v>BLACK</v>
      </c>
      <c r="G257" s="20" t="str">
        <f>IFERROR(__xludf.DUMMYFUNCTION("""COMPUTED_VALUE"""),"Uncle Sams Cider (04/04/2023)")</f>
        <v>Uncle Sams Cider (04/04/2023)</v>
      </c>
      <c r="H257" s="19"/>
    </row>
    <row r="258">
      <c r="A258" s="9"/>
      <c r="B258" s="15"/>
      <c r="C258" s="9">
        <f>IFERROR(__xludf.DUMMYFUNCTION("""COMPUTED_VALUE"""),45141.9606437731)</f>
        <v>45141.96064</v>
      </c>
      <c r="D258" s="15">
        <f>IFERROR(__xludf.DUMMYFUNCTION("""COMPUTED_VALUE"""),1.003)</f>
        <v>1.003</v>
      </c>
      <c r="E258" s="16">
        <f>IFERROR(__xludf.DUMMYFUNCTION("""COMPUTED_VALUE"""),73.0)</f>
        <v>73</v>
      </c>
      <c r="F258" s="19" t="str">
        <f>IFERROR(__xludf.DUMMYFUNCTION("""COMPUTED_VALUE"""),"BLACK")</f>
        <v>BLACK</v>
      </c>
      <c r="G258" s="20" t="str">
        <f>IFERROR(__xludf.DUMMYFUNCTION("""COMPUTED_VALUE"""),"Uncle Sams Cider (04/04/2023)")</f>
        <v>Uncle Sams Cider (04/04/2023)</v>
      </c>
      <c r="H258" s="19"/>
    </row>
    <row r="259">
      <c r="A259" s="9"/>
      <c r="B259" s="15"/>
      <c r="C259" s="9">
        <f>IFERROR(__xludf.DUMMYFUNCTION("""COMPUTED_VALUE"""),45141.9502226736)</f>
        <v>45141.95022</v>
      </c>
      <c r="D259" s="15">
        <f>IFERROR(__xludf.DUMMYFUNCTION("""COMPUTED_VALUE"""),1.003)</f>
        <v>1.003</v>
      </c>
      <c r="E259" s="16">
        <f>IFERROR(__xludf.DUMMYFUNCTION("""COMPUTED_VALUE"""),73.0)</f>
        <v>73</v>
      </c>
      <c r="F259" s="19" t="str">
        <f>IFERROR(__xludf.DUMMYFUNCTION("""COMPUTED_VALUE"""),"BLACK")</f>
        <v>BLACK</v>
      </c>
      <c r="G259" s="20" t="str">
        <f>IFERROR(__xludf.DUMMYFUNCTION("""COMPUTED_VALUE"""),"Uncle Sams Cider (04/04/2023)")</f>
        <v>Uncle Sams Cider (04/04/2023)</v>
      </c>
      <c r="H259" s="19"/>
    </row>
    <row r="260">
      <c r="A260" s="9"/>
      <c r="B260" s="15"/>
      <c r="C260" s="9">
        <f>IFERROR(__xludf.DUMMYFUNCTION("""COMPUTED_VALUE"""),45141.93980228)</f>
        <v>45141.9398</v>
      </c>
      <c r="D260" s="15">
        <f>IFERROR(__xludf.DUMMYFUNCTION("""COMPUTED_VALUE"""),1.003)</f>
        <v>1.003</v>
      </c>
      <c r="E260" s="16">
        <f>IFERROR(__xludf.DUMMYFUNCTION("""COMPUTED_VALUE"""),73.0)</f>
        <v>73</v>
      </c>
      <c r="F260" s="19" t="str">
        <f>IFERROR(__xludf.DUMMYFUNCTION("""COMPUTED_VALUE"""),"BLACK")</f>
        <v>BLACK</v>
      </c>
      <c r="G260" s="20" t="str">
        <f>IFERROR(__xludf.DUMMYFUNCTION("""COMPUTED_VALUE"""),"Uncle Sams Cider (04/04/2023)")</f>
        <v>Uncle Sams Cider (04/04/2023)</v>
      </c>
      <c r="H260" s="19"/>
    </row>
    <row r="261">
      <c r="A261" s="9"/>
      <c r="B261" s="15"/>
      <c r="C261" s="9">
        <f>IFERROR(__xludf.DUMMYFUNCTION("""COMPUTED_VALUE"""),45141.9293826851)</f>
        <v>45141.92938</v>
      </c>
      <c r="D261" s="15">
        <f>IFERROR(__xludf.DUMMYFUNCTION("""COMPUTED_VALUE"""),1.003)</f>
        <v>1.003</v>
      </c>
      <c r="E261" s="16">
        <f>IFERROR(__xludf.DUMMYFUNCTION("""COMPUTED_VALUE"""),73.0)</f>
        <v>73</v>
      </c>
      <c r="F261" s="19" t="str">
        <f>IFERROR(__xludf.DUMMYFUNCTION("""COMPUTED_VALUE"""),"BLACK")</f>
        <v>BLACK</v>
      </c>
      <c r="G261" s="20" t="str">
        <f>IFERROR(__xludf.DUMMYFUNCTION("""COMPUTED_VALUE"""),"Uncle Sams Cider (04/04/2023)")</f>
        <v>Uncle Sams Cider (04/04/2023)</v>
      </c>
      <c r="H261" s="19"/>
    </row>
    <row r="262">
      <c r="A262" s="9"/>
      <c r="B262" s="15"/>
      <c r="C262" s="9">
        <f>IFERROR(__xludf.DUMMYFUNCTION("""COMPUTED_VALUE"""),45141.918951493)</f>
        <v>45141.91895</v>
      </c>
      <c r="D262" s="15">
        <f>IFERROR(__xludf.DUMMYFUNCTION("""COMPUTED_VALUE"""),1.003)</f>
        <v>1.003</v>
      </c>
      <c r="E262" s="16">
        <f>IFERROR(__xludf.DUMMYFUNCTION("""COMPUTED_VALUE"""),73.0)</f>
        <v>73</v>
      </c>
      <c r="F262" s="19" t="str">
        <f>IFERROR(__xludf.DUMMYFUNCTION("""COMPUTED_VALUE"""),"BLACK")</f>
        <v>BLACK</v>
      </c>
      <c r="G262" s="20" t="str">
        <f>IFERROR(__xludf.DUMMYFUNCTION("""COMPUTED_VALUE"""),"Uncle Sams Cider (04/04/2023)")</f>
        <v>Uncle Sams Cider (04/04/2023)</v>
      </c>
      <c r="H262" s="19"/>
    </row>
    <row r="263">
      <c r="A263" s="9"/>
      <c r="B263" s="15"/>
      <c r="C263" s="9">
        <f>IFERROR(__xludf.DUMMYFUNCTION("""COMPUTED_VALUE"""),45141.9085310416)</f>
        <v>45141.90853</v>
      </c>
      <c r="D263" s="15">
        <f>IFERROR(__xludf.DUMMYFUNCTION("""COMPUTED_VALUE"""),1.003)</f>
        <v>1.003</v>
      </c>
      <c r="E263" s="16">
        <f>IFERROR(__xludf.DUMMYFUNCTION("""COMPUTED_VALUE"""),73.0)</f>
        <v>73</v>
      </c>
      <c r="F263" s="19" t="str">
        <f>IFERROR(__xludf.DUMMYFUNCTION("""COMPUTED_VALUE"""),"BLACK")</f>
        <v>BLACK</v>
      </c>
      <c r="G263" s="20" t="str">
        <f>IFERROR(__xludf.DUMMYFUNCTION("""COMPUTED_VALUE"""),"Uncle Sams Cider (04/04/2023)")</f>
        <v>Uncle Sams Cider (04/04/2023)</v>
      </c>
      <c r="H263" s="19"/>
    </row>
    <row r="264">
      <c r="A264" s="9"/>
      <c r="B264" s="15"/>
      <c r="C264" s="9">
        <f>IFERROR(__xludf.DUMMYFUNCTION("""COMPUTED_VALUE"""),45141.8981104398)</f>
        <v>45141.89811</v>
      </c>
      <c r="D264" s="15">
        <f>IFERROR(__xludf.DUMMYFUNCTION("""COMPUTED_VALUE"""),1.003)</f>
        <v>1.003</v>
      </c>
      <c r="E264" s="16">
        <f>IFERROR(__xludf.DUMMYFUNCTION("""COMPUTED_VALUE"""),73.0)</f>
        <v>73</v>
      </c>
      <c r="F264" s="19" t="str">
        <f>IFERROR(__xludf.DUMMYFUNCTION("""COMPUTED_VALUE"""),"BLACK")</f>
        <v>BLACK</v>
      </c>
      <c r="G264" s="20" t="str">
        <f>IFERROR(__xludf.DUMMYFUNCTION("""COMPUTED_VALUE"""),"Uncle Sams Cider (04/04/2023)")</f>
        <v>Uncle Sams Cider (04/04/2023)</v>
      </c>
      <c r="H264" s="19"/>
    </row>
    <row r="265">
      <c r="A265" s="9"/>
      <c r="B265" s="15"/>
      <c r="C265" s="9">
        <f>IFERROR(__xludf.DUMMYFUNCTION("""COMPUTED_VALUE"""),45141.8876769791)</f>
        <v>45141.88768</v>
      </c>
      <c r="D265" s="15">
        <f>IFERROR(__xludf.DUMMYFUNCTION("""COMPUTED_VALUE"""),1.003)</f>
        <v>1.003</v>
      </c>
      <c r="E265" s="16">
        <f>IFERROR(__xludf.DUMMYFUNCTION("""COMPUTED_VALUE"""),73.0)</f>
        <v>73</v>
      </c>
      <c r="F265" s="19" t="str">
        <f>IFERROR(__xludf.DUMMYFUNCTION("""COMPUTED_VALUE"""),"BLACK")</f>
        <v>BLACK</v>
      </c>
      <c r="G265" s="20" t="str">
        <f>IFERROR(__xludf.DUMMYFUNCTION("""COMPUTED_VALUE"""),"Uncle Sams Cider (04/04/2023)")</f>
        <v>Uncle Sams Cider (04/04/2023)</v>
      </c>
      <c r="H265" s="19"/>
    </row>
    <row r="266">
      <c r="A266" s="9"/>
      <c r="B266" s="15"/>
      <c r="C266" s="9">
        <f>IFERROR(__xludf.DUMMYFUNCTION("""COMPUTED_VALUE"""),45141.877255324)</f>
        <v>45141.87726</v>
      </c>
      <c r="D266" s="15">
        <f>IFERROR(__xludf.DUMMYFUNCTION("""COMPUTED_VALUE"""),1.003)</f>
        <v>1.003</v>
      </c>
      <c r="E266" s="16">
        <f>IFERROR(__xludf.DUMMYFUNCTION("""COMPUTED_VALUE"""),73.0)</f>
        <v>73</v>
      </c>
      <c r="F266" s="19" t="str">
        <f>IFERROR(__xludf.DUMMYFUNCTION("""COMPUTED_VALUE"""),"BLACK")</f>
        <v>BLACK</v>
      </c>
      <c r="G266" s="20" t="str">
        <f>IFERROR(__xludf.DUMMYFUNCTION("""COMPUTED_VALUE"""),"Uncle Sams Cider (04/04/2023)")</f>
        <v>Uncle Sams Cider (04/04/2023)</v>
      </c>
      <c r="H266" s="19"/>
    </row>
    <row r="267">
      <c r="A267" s="9"/>
      <c r="B267" s="15"/>
      <c r="C267" s="9">
        <f>IFERROR(__xludf.DUMMYFUNCTION("""COMPUTED_VALUE"""),45141.8668220138)</f>
        <v>45141.86682</v>
      </c>
      <c r="D267" s="15">
        <f>IFERROR(__xludf.DUMMYFUNCTION("""COMPUTED_VALUE"""),1.003)</f>
        <v>1.003</v>
      </c>
      <c r="E267" s="16">
        <f>IFERROR(__xludf.DUMMYFUNCTION("""COMPUTED_VALUE"""),73.0)</f>
        <v>73</v>
      </c>
      <c r="F267" s="19" t="str">
        <f>IFERROR(__xludf.DUMMYFUNCTION("""COMPUTED_VALUE"""),"BLACK")</f>
        <v>BLACK</v>
      </c>
      <c r="G267" s="20" t="str">
        <f>IFERROR(__xludf.DUMMYFUNCTION("""COMPUTED_VALUE"""),"Uncle Sams Cider (04/04/2023)")</f>
        <v>Uncle Sams Cider (04/04/2023)</v>
      </c>
      <c r="H267" s="19"/>
    </row>
    <row r="268">
      <c r="A268" s="9"/>
      <c r="B268" s="15"/>
      <c r="C268" s="9">
        <f>IFERROR(__xludf.DUMMYFUNCTION("""COMPUTED_VALUE"""),45141.8564005902)</f>
        <v>45141.8564</v>
      </c>
      <c r="D268" s="15">
        <f>IFERROR(__xludf.DUMMYFUNCTION("""COMPUTED_VALUE"""),1.003)</f>
        <v>1.003</v>
      </c>
      <c r="E268" s="16">
        <f>IFERROR(__xludf.DUMMYFUNCTION("""COMPUTED_VALUE"""),73.0)</f>
        <v>73</v>
      </c>
      <c r="F268" s="19" t="str">
        <f>IFERROR(__xludf.DUMMYFUNCTION("""COMPUTED_VALUE"""),"BLACK")</f>
        <v>BLACK</v>
      </c>
      <c r="G268" s="20" t="str">
        <f>IFERROR(__xludf.DUMMYFUNCTION("""COMPUTED_VALUE"""),"Uncle Sams Cider (04/04/2023)")</f>
        <v>Uncle Sams Cider (04/04/2023)</v>
      </c>
      <c r="H268" s="19"/>
    </row>
    <row r="269">
      <c r="A269" s="9"/>
      <c r="B269" s="15"/>
      <c r="C269" s="9">
        <f>IFERROR(__xludf.DUMMYFUNCTION("""COMPUTED_VALUE"""),45141.8459799537)</f>
        <v>45141.84598</v>
      </c>
      <c r="D269" s="15">
        <f>IFERROR(__xludf.DUMMYFUNCTION("""COMPUTED_VALUE"""),1.003)</f>
        <v>1.003</v>
      </c>
      <c r="E269" s="16">
        <f>IFERROR(__xludf.DUMMYFUNCTION("""COMPUTED_VALUE"""),73.0)</f>
        <v>73</v>
      </c>
      <c r="F269" s="19" t="str">
        <f>IFERROR(__xludf.DUMMYFUNCTION("""COMPUTED_VALUE"""),"BLACK")</f>
        <v>BLACK</v>
      </c>
      <c r="G269" s="20" t="str">
        <f>IFERROR(__xludf.DUMMYFUNCTION("""COMPUTED_VALUE"""),"Uncle Sams Cider (04/04/2023)")</f>
        <v>Uncle Sams Cider (04/04/2023)</v>
      </c>
      <c r="H269" s="19"/>
    </row>
    <row r="270">
      <c r="A270" s="9"/>
      <c r="B270" s="15"/>
      <c r="C270" s="9">
        <f>IFERROR(__xludf.DUMMYFUNCTION("""COMPUTED_VALUE"""),45141.8355470486)</f>
        <v>45141.83555</v>
      </c>
      <c r="D270" s="15">
        <f>IFERROR(__xludf.DUMMYFUNCTION("""COMPUTED_VALUE"""),1.003)</f>
        <v>1.003</v>
      </c>
      <c r="E270" s="16">
        <f>IFERROR(__xludf.DUMMYFUNCTION("""COMPUTED_VALUE"""),73.0)</f>
        <v>73</v>
      </c>
      <c r="F270" s="19" t="str">
        <f>IFERROR(__xludf.DUMMYFUNCTION("""COMPUTED_VALUE"""),"BLACK")</f>
        <v>BLACK</v>
      </c>
      <c r="G270" s="20" t="str">
        <f>IFERROR(__xludf.DUMMYFUNCTION("""COMPUTED_VALUE"""),"Uncle Sams Cider (04/04/2023)")</f>
        <v>Uncle Sams Cider (04/04/2023)</v>
      </c>
      <c r="H270" s="19"/>
    </row>
    <row r="271">
      <c r="A271" s="9"/>
      <c r="B271" s="15"/>
      <c r="C271" s="9">
        <f>IFERROR(__xludf.DUMMYFUNCTION("""COMPUTED_VALUE"""),45141.8251257291)</f>
        <v>45141.82513</v>
      </c>
      <c r="D271" s="15">
        <f>IFERROR(__xludf.DUMMYFUNCTION("""COMPUTED_VALUE"""),1.003)</f>
        <v>1.003</v>
      </c>
      <c r="E271" s="16">
        <f>IFERROR(__xludf.DUMMYFUNCTION("""COMPUTED_VALUE"""),73.0)</f>
        <v>73</v>
      </c>
      <c r="F271" s="19" t="str">
        <f>IFERROR(__xludf.DUMMYFUNCTION("""COMPUTED_VALUE"""),"BLACK")</f>
        <v>BLACK</v>
      </c>
      <c r="G271" s="20" t="str">
        <f>IFERROR(__xludf.DUMMYFUNCTION("""COMPUTED_VALUE"""),"Uncle Sams Cider (04/04/2023)")</f>
        <v>Uncle Sams Cider (04/04/2023)</v>
      </c>
      <c r="H271" s="19"/>
    </row>
    <row r="272">
      <c r="A272" s="9"/>
      <c r="B272" s="15"/>
      <c r="C272" s="9">
        <f>IFERROR(__xludf.DUMMYFUNCTION("""COMPUTED_VALUE"""),45141.8146907754)</f>
        <v>45141.81469</v>
      </c>
      <c r="D272" s="15">
        <f>IFERROR(__xludf.DUMMYFUNCTION("""COMPUTED_VALUE"""),1.003)</f>
        <v>1.003</v>
      </c>
      <c r="E272" s="16">
        <f>IFERROR(__xludf.DUMMYFUNCTION("""COMPUTED_VALUE"""),73.0)</f>
        <v>73</v>
      </c>
      <c r="F272" s="19" t="str">
        <f>IFERROR(__xludf.DUMMYFUNCTION("""COMPUTED_VALUE"""),"BLACK")</f>
        <v>BLACK</v>
      </c>
      <c r="G272" s="20" t="str">
        <f>IFERROR(__xludf.DUMMYFUNCTION("""COMPUTED_VALUE"""),"Uncle Sams Cider (04/04/2023)")</f>
        <v>Uncle Sams Cider (04/04/2023)</v>
      </c>
      <c r="H272" s="19"/>
    </row>
    <row r="273">
      <c r="A273" s="9"/>
      <c r="B273" s="15"/>
      <c r="C273" s="9">
        <f>IFERROR(__xludf.DUMMYFUNCTION("""COMPUTED_VALUE"""),45141.8042583449)</f>
        <v>45141.80426</v>
      </c>
      <c r="D273" s="15">
        <f>IFERROR(__xludf.DUMMYFUNCTION("""COMPUTED_VALUE"""),1.003)</f>
        <v>1.003</v>
      </c>
      <c r="E273" s="16">
        <f>IFERROR(__xludf.DUMMYFUNCTION("""COMPUTED_VALUE"""),73.0)</f>
        <v>73</v>
      </c>
      <c r="F273" s="19" t="str">
        <f>IFERROR(__xludf.DUMMYFUNCTION("""COMPUTED_VALUE"""),"BLACK")</f>
        <v>BLACK</v>
      </c>
      <c r="G273" s="20" t="str">
        <f>IFERROR(__xludf.DUMMYFUNCTION("""COMPUTED_VALUE"""),"Uncle Sams Cider (04/04/2023)")</f>
        <v>Uncle Sams Cider (04/04/2023)</v>
      </c>
      <c r="H273" s="19"/>
    </row>
    <row r="274">
      <c r="A274" s="9"/>
      <c r="B274" s="15"/>
      <c r="C274" s="9">
        <f>IFERROR(__xludf.DUMMYFUNCTION("""COMPUTED_VALUE"""),45141.7938267592)</f>
        <v>45141.79383</v>
      </c>
      <c r="D274" s="15">
        <f>IFERROR(__xludf.DUMMYFUNCTION("""COMPUTED_VALUE"""),1.003)</f>
        <v>1.003</v>
      </c>
      <c r="E274" s="16">
        <f>IFERROR(__xludf.DUMMYFUNCTION("""COMPUTED_VALUE"""),73.0)</f>
        <v>73</v>
      </c>
      <c r="F274" s="19" t="str">
        <f>IFERROR(__xludf.DUMMYFUNCTION("""COMPUTED_VALUE"""),"BLACK")</f>
        <v>BLACK</v>
      </c>
      <c r="G274" s="20" t="str">
        <f>IFERROR(__xludf.DUMMYFUNCTION("""COMPUTED_VALUE"""),"Uncle Sams Cider (04/04/2023)")</f>
        <v>Uncle Sams Cider (04/04/2023)</v>
      </c>
      <c r="H274" s="19"/>
    </row>
    <row r="275">
      <c r="A275" s="9"/>
      <c r="B275" s="15"/>
      <c r="C275" s="9">
        <f>IFERROR(__xludf.DUMMYFUNCTION("""COMPUTED_VALUE"""),45141.7834069097)</f>
        <v>45141.78341</v>
      </c>
      <c r="D275" s="15">
        <f>IFERROR(__xludf.DUMMYFUNCTION("""COMPUTED_VALUE"""),1.003)</f>
        <v>1.003</v>
      </c>
      <c r="E275" s="16">
        <f>IFERROR(__xludf.DUMMYFUNCTION("""COMPUTED_VALUE"""),73.0)</f>
        <v>73</v>
      </c>
      <c r="F275" s="19" t="str">
        <f>IFERROR(__xludf.DUMMYFUNCTION("""COMPUTED_VALUE"""),"BLACK")</f>
        <v>BLACK</v>
      </c>
      <c r="G275" s="20" t="str">
        <f>IFERROR(__xludf.DUMMYFUNCTION("""COMPUTED_VALUE"""),"Uncle Sams Cider (04/04/2023)")</f>
        <v>Uncle Sams Cider (04/04/2023)</v>
      </c>
      <c r="H275" s="19"/>
    </row>
    <row r="276">
      <c r="A276" s="9"/>
      <c r="B276" s="15"/>
      <c r="C276" s="9">
        <f>IFERROR(__xludf.DUMMYFUNCTION("""COMPUTED_VALUE"""),45141.7729730324)</f>
        <v>45141.77297</v>
      </c>
      <c r="D276" s="15">
        <f>IFERROR(__xludf.DUMMYFUNCTION("""COMPUTED_VALUE"""),1.003)</f>
        <v>1.003</v>
      </c>
      <c r="E276" s="16">
        <f>IFERROR(__xludf.DUMMYFUNCTION("""COMPUTED_VALUE"""),73.0)</f>
        <v>73</v>
      </c>
      <c r="F276" s="19" t="str">
        <f>IFERROR(__xludf.DUMMYFUNCTION("""COMPUTED_VALUE"""),"BLACK")</f>
        <v>BLACK</v>
      </c>
      <c r="G276" s="20" t="str">
        <f>IFERROR(__xludf.DUMMYFUNCTION("""COMPUTED_VALUE"""),"Uncle Sams Cider (04/04/2023)")</f>
        <v>Uncle Sams Cider (04/04/2023)</v>
      </c>
      <c r="H276" s="19"/>
    </row>
    <row r="277">
      <c r="A277" s="9"/>
      <c r="B277" s="15"/>
      <c r="C277" s="9">
        <f>IFERROR(__xludf.DUMMYFUNCTION("""COMPUTED_VALUE"""),45141.7625530092)</f>
        <v>45141.76255</v>
      </c>
      <c r="D277" s="15">
        <f>IFERROR(__xludf.DUMMYFUNCTION("""COMPUTED_VALUE"""),1.003)</f>
        <v>1.003</v>
      </c>
      <c r="E277" s="16">
        <f>IFERROR(__xludf.DUMMYFUNCTION("""COMPUTED_VALUE"""),73.0)</f>
        <v>73</v>
      </c>
      <c r="F277" s="19" t="str">
        <f>IFERROR(__xludf.DUMMYFUNCTION("""COMPUTED_VALUE"""),"BLACK")</f>
        <v>BLACK</v>
      </c>
      <c r="G277" s="20" t="str">
        <f>IFERROR(__xludf.DUMMYFUNCTION("""COMPUTED_VALUE"""),"Uncle Sams Cider (04/04/2023)")</f>
        <v>Uncle Sams Cider (04/04/2023)</v>
      </c>
      <c r="H277" s="19"/>
    </row>
    <row r="278">
      <c r="A278" s="9"/>
      <c r="B278" s="15"/>
      <c r="C278" s="9">
        <f>IFERROR(__xludf.DUMMYFUNCTION("""COMPUTED_VALUE"""),45141.7521203125)</f>
        <v>45141.75212</v>
      </c>
      <c r="D278" s="15">
        <f>IFERROR(__xludf.DUMMYFUNCTION("""COMPUTED_VALUE"""),1.003)</f>
        <v>1.003</v>
      </c>
      <c r="E278" s="16">
        <f>IFERROR(__xludf.DUMMYFUNCTION("""COMPUTED_VALUE"""),73.0)</f>
        <v>73</v>
      </c>
      <c r="F278" s="19" t="str">
        <f>IFERROR(__xludf.DUMMYFUNCTION("""COMPUTED_VALUE"""),"BLACK")</f>
        <v>BLACK</v>
      </c>
      <c r="G278" s="20" t="str">
        <f>IFERROR(__xludf.DUMMYFUNCTION("""COMPUTED_VALUE"""),"Uncle Sams Cider (04/04/2023)")</f>
        <v>Uncle Sams Cider (04/04/2023)</v>
      </c>
      <c r="H278" s="19"/>
    </row>
    <row r="279">
      <c r="A279" s="9"/>
      <c r="B279" s="15"/>
      <c r="C279" s="9">
        <f>IFERROR(__xludf.DUMMYFUNCTION("""COMPUTED_VALUE"""),45141.7416878703)</f>
        <v>45141.74169</v>
      </c>
      <c r="D279" s="15">
        <f>IFERROR(__xludf.DUMMYFUNCTION("""COMPUTED_VALUE"""),1.003)</f>
        <v>1.003</v>
      </c>
      <c r="E279" s="16">
        <f>IFERROR(__xludf.DUMMYFUNCTION("""COMPUTED_VALUE"""),73.0)</f>
        <v>73</v>
      </c>
      <c r="F279" s="19" t="str">
        <f>IFERROR(__xludf.DUMMYFUNCTION("""COMPUTED_VALUE"""),"BLACK")</f>
        <v>BLACK</v>
      </c>
      <c r="G279" s="20" t="str">
        <f>IFERROR(__xludf.DUMMYFUNCTION("""COMPUTED_VALUE"""),"Uncle Sams Cider (04/04/2023)")</f>
        <v>Uncle Sams Cider (04/04/2023)</v>
      </c>
      <c r="H279" s="19"/>
    </row>
    <row r="280">
      <c r="A280" s="9"/>
      <c r="B280" s="15"/>
      <c r="C280" s="9">
        <f>IFERROR(__xludf.DUMMYFUNCTION("""COMPUTED_VALUE"""),45141.7312677314)</f>
        <v>45141.73127</v>
      </c>
      <c r="D280" s="15">
        <f>IFERROR(__xludf.DUMMYFUNCTION("""COMPUTED_VALUE"""),1.003)</f>
        <v>1.003</v>
      </c>
      <c r="E280" s="16">
        <f>IFERROR(__xludf.DUMMYFUNCTION("""COMPUTED_VALUE"""),73.0)</f>
        <v>73</v>
      </c>
      <c r="F280" s="19" t="str">
        <f>IFERROR(__xludf.DUMMYFUNCTION("""COMPUTED_VALUE"""),"BLACK")</f>
        <v>BLACK</v>
      </c>
      <c r="G280" s="20" t="str">
        <f>IFERROR(__xludf.DUMMYFUNCTION("""COMPUTED_VALUE"""),"Uncle Sams Cider (04/04/2023)")</f>
        <v>Uncle Sams Cider (04/04/2023)</v>
      </c>
      <c r="H280" s="19"/>
    </row>
    <row r="281">
      <c r="A281" s="9"/>
      <c r="B281" s="15"/>
      <c r="C281" s="9">
        <f>IFERROR(__xludf.DUMMYFUNCTION("""COMPUTED_VALUE"""),45141.7208468055)</f>
        <v>45141.72085</v>
      </c>
      <c r="D281" s="15">
        <f>IFERROR(__xludf.DUMMYFUNCTION("""COMPUTED_VALUE"""),1.003)</f>
        <v>1.003</v>
      </c>
      <c r="E281" s="16">
        <f>IFERROR(__xludf.DUMMYFUNCTION("""COMPUTED_VALUE"""),73.0)</f>
        <v>73</v>
      </c>
      <c r="F281" s="19" t="str">
        <f>IFERROR(__xludf.DUMMYFUNCTION("""COMPUTED_VALUE"""),"BLACK")</f>
        <v>BLACK</v>
      </c>
      <c r="G281" s="20" t="str">
        <f>IFERROR(__xludf.DUMMYFUNCTION("""COMPUTED_VALUE"""),"Uncle Sams Cider (04/04/2023)")</f>
        <v>Uncle Sams Cider (04/04/2023)</v>
      </c>
      <c r="H281" s="19"/>
    </row>
    <row r="282">
      <c r="A282" s="9"/>
      <c r="B282" s="15"/>
      <c r="C282" s="9">
        <f>IFERROR(__xludf.DUMMYFUNCTION("""COMPUTED_VALUE"""),45141.7104133564)</f>
        <v>45141.71041</v>
      </c>
      <c r="D282" s="15">
        <f>IFERROR(__xludf.DUMMYFUNCTION("""COMPUTED_VALUE"""),1.003)</f>
        <v>1.003</v>
      </c>
      <c r="E282" s="16">
        <f>IFERROR(__xludf.DUMMYFUNCTION("""COMPUTED_VALUE"""),73.0)</f>
        <v>73</v>
      </c>
      <c r="F282" s="19" t="str">
        <f>IFERROR(__xludf.DUMMYFUNCTION("""COMPUTED_VALUE"""),"BLACK")</f>
        <v>BLACK</v>
      </c>
      <c r="G282" s="20" t="str">
        <f>IFERROR(__xludf.DUMMYFUNCTION("""COMPUTED_VALUE"""),"Uncle Sams Cider (04/04/2023)")</f>
        <v>Uncle Sams Cider (04/04/2023)</v>
      </c>
      <c r="H282" s="19"/>
    </row>
    <row r="283">
      <c r="A283" s="9"/>
      <c r="B283" s="15"/>
      <c r="C283" s="9">
        <f>IFERROR(__xludf.DUMMYFUNCTION("""COMPUTED_VALUE"""),45141.6999920833)</f>
        <v>45141.69999</v>
      </c>
      <c r="D283" s="15">
        <f>IFERROR(__xludf.DUMMYFUNCTION("""COMPUTED_VALUE"""),1.003)</f>
        <v>1.003</v>
      </c>
      <c r="E283" s="16">
        <f>IFERROR(__xludf.DUMMYFUNCTION("""COMPUTED_VALUE"""),73.0)</f>
        <v>73</v>
      </c>
      <c r="F283" s="19" t="str">
        <f>IFERROR(__xludf.DUMMYFUNCTION("""COMPUTED_VALUE"""),"BLACK")</f>
        <v>BLACK</v>
      </c>
      <c r="G283" s="20" t="str">
        <f>IFERROR(__xludf.DUMMYFUNCTION("""COMPUTED_VALUE"""),"Uncle Sams Cider (04/04/2023)")</f>
        <v>Uncle Sams Cider (04/04/2023)</v>
      </c>
      <c r="H283" s="19"/>
    </row>
    <row r="284">
      <c r="A284" s="9"/>
      <c r="B284" s="15"/>
      <c r="C284" s="9">
        <f>IFERROR(__xludf.DUMMYFUNCTION("""COMPUTED_VALUE"""),45141.6895694328)</f>
        <v>45141.68957</v>
      </c>
      <c r="D284" s="15">
        <f>IFERROR(__xludf.DUMMYFUNCTION("""COMPUTED_VALUE"""),1.003)</f>
        <v>1.003</v>
      </c>
      <c r="E284" s="16">
        <f>IFERROR(__xludf.DUMMYFUNCTION("""COMPUTED_VALUE"""),73.0)</f>
        <v>73</v>
      </c>
      <c r="F284" s="19" t="str">
        <f>IFERROR(__xludf.DUMMYFUNCTION("""COMPUTED_VALUE"""),"BLACK")</f>
        <v>BLACK</v>
      </c>
      <c r="G284" s="20" t="str">
        <f>IFERROR(__xludf.DUMMYFUNCTION("""COMPUTED_VALUE"""),"Uncle Sams Cider (04/04/2023)")</f>
        <v>Uncle Sams Cider (04/04/2023)</v>
      </c>
      <c r="H284" s="19"/>
    </row>
    <row r="285">
      <c r="A285" s="9"/>
      <c r="B285" s="15"/>
      <c r="C285" s="9">
        <f>IFERROR(__xludf.DUMMYFUNCTION("""COMPUTED_VALUE"""),45141.6791479976)</f>
        <v>45141.67915</v>
      </c>
      <c r="D285" s="15">
        <f>IFERROR(__xludf.DUMMYFUNCTION("""COMPUTED_VALUE"""),1.003)</f>
        <v>1.003</v>
      </c>
      <c r="E285" s="16">
        <f>IFERROR(__xludf.DUMMYFUNCTION("""COMPUTED_VALUE"""),73.0)</f>
        <v>73</v>
      </c>
      <c r="F285" s="19" t="str">
        <f>IFERROR(__xludf.DUMMYFUNCTION("""COMPUTED_VALUE"""),"BLACK")</f>
        <v>BLACK</v>
      </c>
      <c r="G285" s="20" t="str">
        <f>IFERROR(__xludf.DUMMYFUNCTION("""COMPUTED_VALUE"""),"Uncle Sams Cider (04/04/2023)")</f>
        <v>Uncle Sams Cider (04/04/2023)</v>
      </c>
      <c r="H285" s="19"/>
    </row>
    <row r="286">
      <c r="A286" s="9"/>
      <c r="B286" s="15"/>
      <c r="C286" s="9">
        <f>IFERROR(__xludf.DUMMYFUNCTION("""COMPUTED_VALUE"""),45141.6687276388)</f>
        <v>45141.66873</v>
      </c>
      <c r="D286" s="15">
        <f>IFERROR(__xludf.DUMMYFUNCTION("""COMPUTED_VALUE"""),1.003)</f>
        <v>1.003</v>
      </c>
      <c r="E286" s="16">
        <f>IFERROR(__xludf.DUMMYFUNCTION("""COMPUTED_VALUE"""),73.0)</f>
        <v>73</v>
      </c>
      <c r="F286" s="19" t="str">
        <f>IFERROR(__xludf.DUMMYFUNCTION("""COMPUTED_VALUE"""),"BLACK")</f>
        <v>BLACK</v>
      </c>
      <c r="G286" s="20" t="str">
        <f>IFERROR(__xludf.DUMMYFUNCTION("""COMPUTED_VALUE"""),"Uncle Sams Cider (04/04/2023)")</f>
        <v>Uncle Sams Cider (04/04/2023)</v>
      </c>
      <c r="H286" s="19"/>
    </row>
    <row r="287">
      <c r="A287" s="9"/>
      <c r="B287" s="15"/>
      <c r="C287" s="9">
        <f>IFERROR(__xludf.DUMMYFUNCTION("""COMPUTED_VALUE"""),45141.6582955092)</f>
        <v>45141.6583</v>
      </c>
      <c r="D287" s="15">
        <f>IFERROR(__xludf.DUMMYFUNCTION("""COMPUTED_VALUE"""),1.003)</f>
        <v>1.003</v>
      </c>
      <c r="E287" s="16">
        <f>IFERROR(__xludf.DUMMYFUNCTION("""COMPUTED_VALUE"""),73.0)</f>
        <v>73</v>
      </c>
      <c r="F287" s="19" t="str">
        <f>IFERROR(__xludf.DUMMYFUNCTION("""COMPUTED_VALUE"""),"BLACK")</f>
        <v>BLACK</v>
      </c>
      <c r="G287" s="20" t="str">
        <f>IFERROR(__xludf.DUMMYFUNCTION("""COMPUTED_VALUE"""),"Uncle Sams Cider (04/04/2023)")</f>
        <v>Uncle Sams Cider (04/04/2023)</v>
      </c>
      <c r="H287" s="19"/>
    </row>
    <row r="288">
      <c r="A288" s="9"/>
      <c r="B288" s="15"/>
      <c r="C288" s="9">
        <f>IFERROR(__xludf.DUMMYFUNCTION("""COMPUTED_VALUE"""),45141.6478744444)</f>
        <v>45141.64787</v>
      </c>
      <c r="D288" s="15">
        <f>IFERROR(__xludf.DUMMYFUNCTION("""COMPUTED_VALUE"""),1.003)</f>
        <v>1.003</v>
      </c>
      <c r="E288" s="16">
        <f>IFERROR(__xludf.DUMMYFUNCTION("""COMPUTED_VALUE"""),73.0)</f>
        <v>73</v>
      </c>
      <c r="F288" s="19" t="str">
        <f>IFERROR(__xludf.DUMMYFUNCTION("""COMPUTED_VALUE"""),"BLACK")</f>
        <v>BLACK</v>
      </c>
      <c r="G288" s="20" t="str">
        <f>IFERROR(__xludf.DUMMYFUNCTION("""COMPUTED_VALUE"""),"Uncle Sams Cider (04/04/2023)")</f>
        <v>Uncle Sams Cider (04/04/2023)</v>
      </c>
      <c r="H288" s="19"/>
    </row>
    <row r="289">
      <c r="A289" s="9"/>
      <c r="B289" s="15"/>
      <c r="C289" s="9">
        <f>IFERROR(__xludf.DUMMYFUNCTION("""COMPUTED_VALUE"""),45141.6374530902)</f>
        <v>45141.63745</v>
      </c>
      <c r="D289" s="15">
        <f>IFERROR(__xludf.DUMMYFUNCTION("""COMPUTED_VALUE"""),1.003)</f>
        <v>1.003</v>
      </c>
      <c r="E289" s="16">
        <f>IFERROR(__xludf.DUMMYFUNCTION("""COMPUTED_VALUE"""),73.0)</f>
        <v>73</v>
      </c>
      <c r="F289" s="19" t="str">
        <f>IFERROR(__xludf.DUMMYFUNCTION("""COMPUTED_VALUE"""),"BLACK")</f>
        <v>BLACK</v>
      </c>
      <c r="G289" s="20" t="str">
        <f>IFERROR(__xludf.DUMMYFUNCTION("""COMPUTED_VALUE"""),"Uncle Sams Cider (04/04/2023)")</f>
        <v>Uncle Sams Cider (04/04/2023)</v>
      </c>
      <c r="H289" s="19"/>
    </row>
    <row r="290">
      <c r="A290" s="9"/>
      <c r="B290" s="15"/>
      <c r="C290" s="9">
        <f>IFERROR(__xludf.DUMMYFUNCTION("""COMPUTED_VALUE"""),45141.627032118)</f>
        <v>45141.62703</v>
      </c>
      <c r="D290" s="15">
        <f>IFERROR(__xludf.DUMMYFUNCTION("""COMPUTED_VALUE"""),1.003)</f>
        <v>1.003</v>
      </c>
      <c r="E290" s="16">
        <f>IFERROR(__xludf.DUMMYFUNCTION("""COMPUTED_VALUE"""),73.0)</f>
        <v>73</v>
      </c>
      <c r="F290" s="19" t="str">
        <f>IFERROR(__xludf.DUMMYFUNCTION("""COMPUTED_VALUE"""),"BLACK")</f>
        <v>BLACK</v>
      </c>
      <c r="G290" s="20" t="str">
        <f>IFERROR(__xludf.DUMMYFUNCTION("""COMPUTED_VALUE"""),"Uncle Sams Cider (04/04/2023)")</f>
        <v>Uncle Sams Cider (04/04/2023)</v>
      </c>
      <c r="H290" s="19"/>
    </row>
    <row r="291">
      <c r="A291" s="9"/>
      <c r="B291" s="15"/>
      <c r="C291" s="9">
        <f>IFERROR(__xludf.DUMMYFUNCTION("""COMPUTED_VALUE"""),45141.6166128009)</f>
        <v>45141.61661</v>
      </c>
      <c r="D291" s="15">
        <f>IFERROR(__xludf.DUMMYFUNCTION("""COMPUTED_VALUE"""),1.003)</f>
        <v>1.003</v>
      </c>
      <c r="E291" s="16">
        <f>IFERROR(__xludf.DUMMYFUNCTION("""COMPUTED_VALUE"""),73.0)</f>
        <v>73</v>
      </c>
      <c r="F291" s="19" t="str">
        <f>IFERROR(__xludf.DUMMYFUNCTION("""COMPUTED_VALUE"""),"BLACK")</f>
        <v>BLACK</v>
      </c>
      <c r="G291" s="20" t="str">
        <f>IFERROR(__xludf.DUMMYFUNCTION("""COMPUTED_VALUE"""),"Uncle Sams Cider (04/04/2023)")</f>
        <v>Uncle Sams Cider (04/04/2023)</v>
      </c>
      <c r="H291" s="19"/>
    </row>
    <row r="292">
      <c r="A292" s="9"/>
      <c r="B292" s="15"/>
      <c r="C292" s="9">
        <f>IFERROR(__xludf.DUMMYFUNCTION("""COMPUTED_VALUE"""),45141.6061924537)</f>
        <v>45141.60619</v>
      </c>
      <c r="D292" s="15">
        <f>IFERROR(__xludf.DUMMYFUNCTION("""COMPUTED_VALUE"""),1.003)</f>
        <v>1.003</v>
      </c>
      <c r="E292" s="16">
        <f>IFERROR(__xludf.DUMMYFUNCTION("""COMPUTED_VALUE"""),73.0)</f>
        <v>73</v>
      </c>
      <c r="F292" s="19" t="str">
        <f>IFERROR(__xludf.DUMMYFUNCTION("""COMPUTED_VALUE"""),"BLACK")</f>
        <v>BLACK</v>
      </c>
      <c r="G292" s="20" t="str">
        <f>IFERROR(__xludf.DUMMYFUNCTION("""COMPUTED_VALUE"""),"Uncle Sams Cider (04/04/2023)")</f>
        <v>Uncle Sams Cider (04/04/2023)</v>
      </c>
      <c r="H292" s="19"/>
    </row>
    <row r="293">
      <c r="A293" s="9"/>
      <c r="B293" s="15"/>
      <c r="C293" s="9">
        <f>IFERROR(__xludf.DUMMYFUNCTION("""COMPUTED_VALUE"""),45141.5957729282)</f>
        <v>45141.59577</v>
      </c>
      <c r="D293" s="15">
        <f>IFERROR(__xludf.DUMMYFUNCTION("""COMPUTED_VALUE"""),1.003)</f>
        <v>1.003</v>
      </c>
      <c r="E293" s="16">
        <f>IFERROR(__xludf.DUMMYFUNCTION("""COMPUTED_VALUE"""),73.0)</f>
        <v>73</v>
      </c>
      <c r="F293" s="19" t="str">
        <f>IFERROR(__xludf.DUMMYFUNCTION("""COMPUTED_VALUE"""),"BLACK")</f>
        <v>BLACK</v>
      </c>
      <c r="G293" s="20" t="str">
        <f>IFERROR(__xludf.DUMMYFUNCTION("""COMPUTED_VALUE"""),"Uncle Sams Cider (04/04/2023)")</f>
        <v>Uncle Sams Cider (04/04/2023)</v>
      </c>
      <c r="H293" s="19"/>
    </row>
    <row r="294">
      <c r="A294" s="9"/>
      <c r="B294" s="15"/>
      <c r="C294" s="9">
        <f>IFERROR(__xludf.DUMMYFUNCTION("""COMPUTED_VALUE"""),45141.5853412963)</f>
        <v>45141.58534</v>
      </c>
      <c r="D294" s="15">
        <f>IFERROR(__xludf.DUMMYFUNCTION("""COMPUTED_VALUE"""),1.003)</f>
        <v>1.003</v>
      </c>
      <c r="E294" s="16">
        <f>IFERROR(__xludf.DUMMYFUNCTION("""COMPUTED_VALUE"""),73.0)</f>
        <v>73</v>
      </c>
      <c r="F294" s="19" t="str">
        <f>IFERROR(__xludf.DUMMYFUNCTION("""COMPUTED_VALUE"""),"BLACK")</f>
        <v>BLACK</v>
      </c>
      <c r="G294" s="20" t="str">
        <f>IFERROR(__xludf.DUMMYFUNCTION("""COMPUTED_VALUE"""),"Uncle Sams Cider (04/04/2023)")</f>
        <v>Uncle Sams Cider (04/04/2023)</v>
      </c>
      <c r="H294" s="19"/>
    </row>
    <row r="295">
      <c r="A295" s="9"/>
      <c r="B295" s="15"/>
      <c r="C295" s="9">
        <f>IFERROR(__xludf.DUMMYFUNCTION("""COMPUTED_VALUE"""),45141.5749193171)</f>
        <v>45141.57492</v>
      </c>
      <c r="D295" s="15">
        <f>IFERROR(__xludf.DUMMYFUNCTION("""COMPUTED_VALUE"""),1.003)</f>
        <v>1.003</v>
      </c>
      <c r="E295" s="16">
        <f>IFERROR(__xludf.DUMMYFUNCTION("""COMPUTED_VALUE"""),73.0)</f>
        <v>73</v>
      </c>
      <c r="F295" s="19" t="str">
        <f>IFERROR(__xludf.DUMMYFUNCTION("""COMPUTED_VALUE"""),"BLACK")</f>
        <v>BLACK</v>
      </c>
      <c r="G295" s="20" t="str">
        <f>IFERROR(__xludf.DUMMYFUNCTION("""COMPUTED_VALUE"""),"Uncle Sams Cider (04/04/2023)")</f>
        <v>Uncle Sams Cider (04/04/2023)</v>
      </c>
      <c r="H295" s="19"/>
    </row>
    <row r="296">
      <c r="A296" s="9"/>
      <c r="B296" s="15"/>
      <c r="C296" s="9">
        <f>IFERROR(__xludf.DUMMYFUNCTION("""COMPUTED_VALUE"""),45141.5644980324)</f>
        <v>45141.5645</v>
      </c>
      <c r="D296" s="15">
        <f>IFERROR(__xludf.DUMMYFUNCTION("""COMPUTED_VALUE"""),1.003)</f>
        <v>1.003</v>
      </c>
      <c r="E296" s="16">
        <f>IFERROR(__xludf.DUMMYFUNCTION("""COMPUTED_VALUE"""),73.0)</f>
        <v>73</v>
      </c>
      <c r="F296" s="19" t="str">
        <f>IFERROR(__xludf.DUMMYFUNCTION("""COMPUTED_VALUE"""),"BLACK")</f>
        <v>BLACK</v>
      </c>
      <c r="G296" s="20" t="str">
        <f>IFERROR(__xludf.DUMMYFUNCTION("""COMPUTED_VALUE"""),"Uncle Sams Cider (04/04/2023)")</f>
        <v>Uncle Sams Cider (04/04/2023)</v>
      </c>
      <c r="H296" s="19"/>
    </row>
    <row r="297">
      <c r="A297" s="9"/>
      <c r="B297" s="15"/>
      <c r="C297" s="9">
        <f>IFERROR(__xludf.DUMMYFUNCTION("""COMPUTED_VALUE"""),45141.5540756365)</f>
        <v>45141.55408</v>
      </c>
      <c r="D297" s="15">
        <f>IFERROR(__xludf.DUMMYFUNCTION("""COMPUTED_VALUE"""),1.003)</f>
        <v>1.003</v>
      </c>
      <c r="E297" s="16">
        <f>IFERROR(__xludf.DUMMYFUNCTION("""COMPUTED_VALUE"""),73.0)</f>
        <v>73</v>
      </c>
      <c r="F297" s="19" t="str">
        <f>IFERROR(__xludf.DUMMYFUNCTION("""COMPUTED_VALUE"""),"BLACK")</f>
        <v>BLACK</v>
      </c>
      <c r="G297" s="20" t="str">
        <f>IFERROR(__xludf.DUMMYFUNCTION("""COMPUTED_VALUE"""),"Uncle Sams Cider (04/04/2023)")</f>
        <v>Uncle Sams Cider (04/04/2023)</v>
      </c>
      <c r="H297" s="19"/>
    </row>
    <row r="298">
      <c r="A298" s="9"/>
      <c r="B298" s="15"/>
      <c r="C298" s="9">
        <f>IFERROR(__xludf.DUMMYFUNCTION("""COMPUTED_VALUE"""),45141.5436529513)</f>
        <v>45141.54365</v>
      </c>
      <c r="D298" s="15">
        <f>IFERROR(__xludf.DUMMYFUNCTION("""COMPUTED_VALUE"""),1.003)</f>
        <v>1.003</v>
      </c>
      <c r="E298" s="16">
        <f>IFERROR(__xludf.DUMMYFUNCTION("""COMPUTED_VALUE"""),73.0)</f>
        <v>73</v>
      </c>
      <c r="F298" s="19" t="str">
        <f>IFERROR(__xludf.DUMMYFUNCTION("""COMPUTED_VALUE"""),"BLACK")</f>
        <v>BLACK</v>
      </c>
      <c r="G298" s="20" t="str">
        <f>IFERROR(__xludf.DUMMYFUNCTION("""COMPUTED_VALUE"""),"Uncle Sams Cider (04/04/2023)")</f>
        <v>Uncle Sams Cider (04/04/2023)</v>
      </c>
      <c r="H298" s="19"/>
    </row>
    <row r="299">
      <c r="A299" s="9"/>
      <c r="B299" s="15"/>
      <c r="C299" s="9">
        <f>IFERROR(__xludf.DUMMYFUNCTION("""COMPUTED_VALUE"""),45141.5332332523)</f>
        <v>45141.53323</v>
      </c>
      <c r="D299" s="15">
        <f>IFERROR(__xludf.DUMMYFUNCTION("""COMPUTED_VALUE"""),1.003)</f>
        <v>1.003</v>
      </c>
      <c r="E299" s="16">
        <f>IFERROR(__xludf.DUMMYFUNCTION("""COMPUTED_VALUE"""),73.0)</f>
        <v>73</v>
      </c>
      <c r="F299" s="19" t="str">
        <f>IFERROR(__xludf.DUMMYFUNCTION("""COMPUTED_VALUE"""),"BLACK")</f>
        <v>BLACK</v>
      </c>
      <c r="G299" s="20" t="str">
        <f>IFERROR(__xludf.DUMMYFUNCTION("""COMPUTED_VALUE"""),"Uncle Sams Cider (04/04/2023)")</f>
        <v>Uncle Sams Cider (04/04/2023)</v>
      </c>
      <c r="H299" s="19"/>
    </row>
    <row r="300">
      <c r="A300" s="9"/>
      <c r="B300" s="15"/>
      <c r="C300" s="9">
        <f>IFERROR(__xludf.DUMMYFUNCTION("""COMPUTED_VALUE"""),45141.5228144212)</f>
        <v>45141.52281</v>
      </c>
      <c r="D300" s="15">
        <f>IFERROR(__xludf.DUMMYFUNCTION("""COMPUTED_VALUE"""),1.003)</f>
        <v>1.003</v>
      </c>
      <c r="E300" s="16">
        <f>IFERROR(__xludf.DUMMYFUNCTION("""COMPUTED_VALUE"""),73.0)</f>
        <v>73</v>
      </c>
      <c r="F300" s="19" t="str">
        <f>IFERROR(__xludf.DUMMYFUNCTION("""COMPUTED_VALUE"""),"BLACK")</f>
        <v>BLACK</v>
      </c>
      <c r="G300" s="20" t="str">
        <f>IFERROR(__xludf.DUMMYFUNCTION("""COMPUTED_VALUE"""),"Uncle Sams Cider (04/04/2023)")</f>
        <v>Uncle Sams Cider (04/04/2023)</v>
      </c>
      <c r="H300" s="19"/>
    </row>
    <row r="301">
      <c r="A301" s="9"/>
      <c r="B301" s="15"/>
      <c r="C301" s="9">
        <f>IFERROR(__xludf.DUMMYFUNCTION("""COMPUTED_VALUE"""),45141.5123931828)</f>
        <v>45141.51239</v>
      </c>
      <c r="D301" s="15">
        <f>IFERROR(__xludf.DUMMYFUNCTION("""COMPUTED_VALUE"""),1.003)</f>
        <v>1.003</v>
      </c>
      <c r="E301" s="16">
        <f>IFERROR(__xludf.DUMMYFUNCTION("""COMPUTED_VALUE"""),73.0)</f>
        <v>73</v>
      </c>
      <c r="F301" s="19" t="str">
        <f>IFERROR(__xludf.DUMMYFUNCTION("""COMPUTED_VALUE"""),"BLACK")</f>
        <v>BLACK</v>
      </c>
      <c r="G301" s="20" t="str">
        <f>IFERROR(__xludf.DUMMYFUNCTION("""COMPUTED_VALUE"""),"Uncle Sams Cider (04/04/2023)")</f>
        <v>Uncle Sams Cider (04/04/2023)</v>
      </c>
      <c r="H301" s="19"/>
    </row>
    <row r="302">
      <c r="A302" s="9"/>
      <c r="B302" s="15"/>
      <c r="C302" s="9">
        <f>IFERROR(__xludf.DUMMYFUNCTION("""COMPUTED_VALUE"""),45141.5019481018)</f>
        <v>45141.50195</v>
      </c>
      <c r="D302" s="15">
        <f>IFERROR(__xludf.DUMMYFUNCTION("""COMPUTED_VALUE"""),1.003)</f>
        <v>1.003</v>
      </c>
      <c r="E302" s="16">
        <f>IFERROR(__xludf.DUMMYFUNCTION("""COMPUTED_VALUE"""),73.0)</f>
        <v>73</v>
      </c>
      <c r="F302" s="19" t="str">
        <f>IFERROR(__xludf.DUMMYFUNCTION("""COMPUTED_VALUE"""),"BLACK")</f>
        <v>BLACK</v>
      </c>
      <c r="G302" s="20" t="str">
        <f>IFERROR(__xludf.DUMMYFUNCTION("""COMPUTED_VALUE"""),"Uncle Sams Cider (04/04/2023)")</f>
        <v>Uncle Sams Cider (04/04/2023)</v>
      </c>
      <c r="H302" s="19"/>
    </row>
    <row r="303">
      <c r="A303" s="9"/>
      <c r="B303" s="15"/>
      <c r="C303" s="9">
        <f>IFERROR(__xludf.DUMMYFUNCTION("""COMPUTED_VALUE"""),45141.4915162384)</f>
        <v>45141.49152</v>
      </c>
      <c r="D303" s="15">
        <f>IFERROR(__xludf.DUMMYFUNCTION("""COMPUTED_VALUE"""),1.003)</f>
        <v>1.003</v>
      </c>
      <c r="E303" s="16">
        <f>IFERROR(__xludf.DUMMYFUNCTION("""COMPUTED_VALUE"""),73.0)</f>
        <v>73</v>
      </c>
      <c r="F303" s="19" t="str">
        <f>IFERROR(__xludf.DUMMYFUNCTION("""COMPUTED_VALUE"""),"BLACK")</f>
        <v>BLACK</v>
      </c>
      <c r="G303" s="20" t="str">
        <f>IFERROR(__xludf.DUMMYFUNCTION("""COMPUTED_VALUE"""),"Uncle Sams Cider (04/04/2023)")</f>
        <v>Uncle Sams Cider (04/04/2023)</v>
      </c>
      <c r="H303" s="19"/>
    </row>
    <row r="304">
      <c r="A304" s="9"/>
      <c r="B304" s="15"/>
      <c r="C304" s="9">
        <f>IFERROR(__xludf.DUMMYFUNCTION("""COMPUTED_VALUE"""),45141.4810930208)</f>
        <v>45141.48109</v>
      </c>
      <c r="D304" s="15">
        <f>IFERROR(__xludf.DUMMYFUNCTION("""COMPUTED_VALUE"""),1.003)</f>
        <v>1.003</v>
      </c>
      <c r="E304" s="16">
        <f>IFERROR(__xludf.DUMMYFUNCTION("""COMPUTED_VALUE"""),73.0)</f>
        <v>73</v>
      </c>
      <c r="F304" s="19" t="str">
        <f>IFERROR(__xludf.DUMMYFUNCTION("""COMPUTED_VALUE"""),"BLACK")</f>
        <v>BLACK</v>
      </c>
      <c r="G304" s="20" t="str">
        <f>IFERROR(__xludf.DUMMYFUNCTION("""COMPUTED_VALUE"""),"Uncle Sams Cider (04/04/2023)")</f>
        <v>Uncle Sams Cider (04/04/2023)</v>
      </c>
      <c r="H304" s="19"/>
    </row>
    <row r="305">
      <c r="A305" s="9"/>
      <c r="B305" s="15"/>
      <c r="C305" s="9">
        <f>IFERROR(__xludf.DUMMYFUNCTION("""COMPUTED_VALUE"""),45141.4706709953)</f>
        <v>45141.47067</v>
      </c>
      <c r="D305" s="15">
        <f>IFERROR(__xludf.DUMMYFUNCTION("""COMPUTED_VALUE"""),1.003)</f>
        <v>1.003</v>
      </c>
      <c r="E305" s="16">
        <f>IFERROR(__xludf.DUMMYFUNCTION("""COMPUTED_VALUE"""),73.0)</f>
        <v>73</v>
      </c>
      <c r="F305" s="19" t="str">
        <f>IFERROR(__xludf.DUMMYFUNCTION("""COMPUTED_VALUE"""),"BLACK")</f>
        <v>BLACK</v>
      </c>
      <c r="G305" s="20" t="str">
        <f>IFERROR(__xludf.DUMMYFUNCTION("""COMPUTED_VALUE"""),"Uncle Sams Cider (04/04/2023)")</f>
        <v>Uncle Sams Cider (04/04/2023)</v>
      </c>
      <c r="H305" s="19"/>
    </row>
    <row r="306">
      <c r="A306" s="9"/>
      <c r="B306" s="15"/>
      <c r="C306" s="9">
        <f>IFERROR(__xludf.DUMMYFUNCTION("""COMPUTED_VALUE"""),45141.4602490856)</f>
        <v>45141.46025</v>
      </c>
      <c r="D306" s="15">
        <f>IFERROR(__xludf.DUMMYFUNCTION("""COMPUTED_VALUE"""),1.003)</f>
        <v>1.003</v>
      </c>
      <c r="E306" s="16">
        <f>IFERROR(__xludf.DUMMYFUNCTION("""COMPUTED_VALUE"""),73.0)</f>
        <v>73</v>
      </c>
      <c r="F306" s="19" t="str">
        <f>IFERROR(__xludf.DUMMYFUNCTION("""COMPUTED_VALUE"""),"BLACK")</f>
        <v>BLACK</v>
      </c>
      <c r="G306" s="20" t="str">
        <f>IFERROR(__xludf.DUMMYFUNCTION("""COMPUTED_VALUE"""),"Uncle Sams Cider (04/04/2023)")</f>
        <v>Uncle Sams Cider (04/04/2023)</v>
      </c>
      <c r="H306" s="19"/>
    </row>
    <row r="307">
      <c r="A307" s="9"/>
      <c r="B307" s="15"/>
      <c r="C307" s="9">
        <f>IFERROR(__xludf.DUMMYFUNCTION("""COMPUTED_VALUE"""),45141.4498286458)</f>
        <v>45141.44983</v>
      </c>
      <c r="D307" s="15">
        <f>IFERROR(__xludf.DUMMYFUNCTION("""COMPUTED_VALUE"""),1.003)</f>
        <v>1.003</v>
      </c>
      <c r="E307" s="16">
        <f>IFERROR(__xludf.DUMMYFUNCTION("""COMPUTED_VALUE"""),73.0)</f>
        <v>73</v>
      </c>
      <c r="F307" s="19" t="str">
        <f>IFERROR(__xludf.DUMMYFUNCTION("""COMPUTED_VALUE"""),"BLACK")</f>
        <v>BLACK</v>
      </c>
      <c r="G307" s="20" t="str">
        <f>IFERROR(__xludf.DUMMYFUNCTION("""COMPUTED_VALUE"""),"Uncle Sams Cider (04/04/2023)")</f>
        <v>Uncle Sams Cider (04/04/2023)</v>
      </c>
      <c r="H307" s="19"/>
    </row>
    <row r="308">
      <c r="A308" s="9"/>
      <c r="B308" s="15"/>
      <c r="C308" s="9">
        <f>IFERROR(__xludf.DUMMYFUNCTION("""COMPUTED_VALUE"""),45141.4394080208)</f>
        <v>45141.43941</v>
      </c>
      <c r="D308" s="15">
        <f>IFERROR(__xludf.DUMMYFUNCTION("""COMPUTED_VALUE"""),1.003)</f>
        <v>1.003</v>
      </c>
      <c r="E308" s="16">
        <f>IFERROR(__xludf.DUMMYFUNCTION("""COMPUTED_VALUE"""),73.0)</f>
        <v>73</v>
      </c>
      <c r="F308" s="19" t="str">
        <f>IFERROR(__xludf.DUMMYFUNCTION("""COMPUTED_VALUE"""),"BLACK")</f>
        <v>BLACK</v>
      </c>
      <c r="G308" s="20" t="str">
        <f>IFERROR(__xludf.DUMMYFUNCTION("""COMPUTED_VALUE"""),"Uncle Sams Cider (04/04/2023)")</f>
        <v>Uncle Sams Cider (04/04/2023)</v>
      </c>
      <c r="H308" s="19"/>
    </row>
    <row r="309">
      <c r="A309" s="9"/>
      <c r="B309" s="15"/>
      <c r="C309" s="9">
        <f>IFERROR(__xludf.DUMMYFUNCTION("""COMPUTED_VALUE"""),45141.42898603)</f>
        <v>45141.42899</v>
      </c>
      <c r="D309" s="15">
        <f>IFERROR(__xludf.DUMMYFUNCTION("""COMPUTED_VALUE"""),1.003)</f>
        <v>1.003</v>
      </c>
      <c r="E309" s="16">
        <f>IFERROR(__xludf.DUMMYFUNCTION("""COMPUTED_VALUE"""),73.0)</f>
        <v>73</v>
      </c>
      <c r="F309" s="19" t="str">
        <f>IFERROR(__xludf.DUMMYFUNCTION("""COMPUTED_VALUE"""),"BLACK")</f>
        <v>BLACK</v>
      </c>
      <c r="G309" s="20" t="str">
        <f>IFERROR(__xludf.DUMMYFUNCTION("""COMPUTED_VALUE"""),"Uncle Sams Cider (04/04/2023)")</f>
        <v>Uncle Sams Cider (04/04/2023)</v>
      </c>
      <c r="H309" s="19"/>
    </row>
    <row r="310">
      <c r="A310" s="9"/>
      <c r="B310" s="15"/>
      <c r="C310" s="9">
        <f>IFERROR(__xludf.DUMMYFUNCTION("""COMPUTED_VALUE"""),45141.4185650115)</f>
        <v>45141.41857</v>
      </c>
      <c r="D310" s="15">
        <f>IFERROR(__xludf.DUMMYFUNCTION("""COMPUTED_VALUE"""),1.003)</f>
        <v>1.003</v>
      </c>
      <c r="E310" s="16">
        <f>IFERROR(__xludf.DUMMYFUNCTION("""COMPUTED_VALUE"""),73.0)</f>
        <v>73</v>
      </c>
      <c r="F310" s="19" t="str">
        <f>IFERROR(__xludf.DUMMYFUNCTION("""COMPUTED_VALUE"""),"BLACK")</f>
        <v>BLACK</v>
      </c>
      <c r="G310" s="20" t="str">
        <f>IFERROR(__xludf.DUMMYFUNCTION("""COMPUTED_VALUE"""),"Uncle Sams Cider (04/04/2023)")</f>
        <v>Uncle Sams Cider (04/04/2023)</v>
      </c>
      <c r="H310" s="19"/>
    </row>
    <row r="311">
      <c r="A311" s="9"/>
      <c r="B311" s="15"/>
      <c r="C311" s="9">
        <f>IFERROR(__xludf.DUMMYFUNCTION("""COMPUTED_VALUE"""),45141.4081423611)</f>
        <v>45141.40814</v>
      </c>
      <c r="D311" s="15">
        <f>IFERROR(__xludf.DUMMYFUNCTION("""COMPUTED_VALUE"""),1.003)</f>
        <v>1.003</v>
      </c>
      <c r="E311" s="16">
        <f>IFERROR(__xludf.DUMMYFUNCTION("""COMPUTED_VALUE"""),73.0)</f>
        <v>73</v>
      </c>
      <c r="F311" s="19" t="str">
        <f>IFERROR(__xludf.DUMMYFUNCTION("""COMPUTED_VALUE"""),"BLACK")</f>
        <v>BLACK</v>
      </c>
      <c r="G311" s="20" t="str">
        <f>IFERROR(__xludf.DUMMYFUNCTION("""COMPUTED_VALUE"""),"Uncle Sams Cider (04/04/2023)")</f>
        <v>Uncle Sams Cider (04/04/2023)</v>
      </c>
      <c r="H311" s="19"/>
    </row>
    <row r="312">
      <c r="A312" s="9"/>
      <c r="B312" s="15"/>
      <c r="C312" s="9">
        <f>IFERROR(__xludf.DUMMYFUNCTION("""COMPUTED_VALUE"""),45141.3977213773)</f>
        <v>45141.39772</v>
      </c>
      <c r="D312" s="15">
        <f>IFERROR(__xludf.DUMMYFUNCTION("""COMPUTED_VALUE"""),1.003)</f>
        <v>1.003</v>
      </c>
      <c r="E312" s="16">
        <f>IFERROR(__xludf.DUMMYFUNCTION("""COMPUTED_VALUE"""),73.0)</f>
        <v>73</v>
      </c>
      <c r="F312" s="19" t="str">
        <f>IFERROR(__xludf.DUMMYFUNCTION("""COMPUTED_VALUE"""),"BLACK")</f>
        <v>BLACK</v>
      </c>
      <c r="G312" s="20" t="str">
        <f>IFERROR(__xludf.DUMMYFUNCTION("""COMPUTED_VALUE"""),"Uncle Sams Cider (04/04/2023)")</f>
        <v>Uncle Sams Cider (04/04/2023)</v>
      </c>
      <c r="H312" s="19"/>
    </row>
    <row r="313">
      <c r="A313" s="9"/>
      <c r="B313" s="15"/>
      <c r="C313" s="9">
        <f>IFERROR(__xludf.DUMMYFUNCTION("""COMPUTED_VALUE"""),45141.3872897337)</f>
        <v>45141.38729</v>
      </c>
      <c r="D313" s="15">
        <f>IFERROR(__xludf.DUMMYFUNCTION("""COMPUTED_VALUE"""),1.003)</f>
        <v>1.003</v>
      </c>
      <c r="E313" s="16">
        <f>IFERROR(__xludf.DUMMYFUNCTION("""COMPUTED_VALUE"""),73.0)</f>
        <v>73</v>
      </c>
      <c r="F313" s="19" t="str">
        <f>IFERROR(__xludf.DUMMYFUNCTION("""COMPUTED_VALUE"""),"BLACK")</f>
        <v>BLACK</v>
      </c>
      <c r="G313" s="20" t="str">
        <f>IFERROR(__xludf.DUMMYFUNCTION("""COMPUTED_VALUE"""),"Uncle Sams Cider (04/04/2023)")</f>
        <v>Uncle Sams Cider (04/04/2023)</v>
      </c>
      <c r="H313" s="19"/>
    </row>
    <row r="314">
      <c r="A314" s="9"/>
      <c r="B314" s="15"/>
      <c r="C314" s="9">
        <f>IFERROR(__xludf.DUMMYFUNCTION("""COMPUTED_VALUE"""),45141.3768683333)</f>
        <v>45141.37687</v>
      </c>
      <c r="D314" s="15">
        <f>IFERROR(__xludf.DUMMYFUNCTION("""COMPUTED_VALUE"""),1.003)</f>
        <v>1.003</v>
      </c>
      <c r="E314" s="16">
        <f>IFERROR(__xludf.DUMMYFUNCTION("""COMPUTED_VALUE"""),73.0)</f>
        <v>73</v>
      </c>
      <c r="F314" s="19" t="str">
        <f>IFERROR(__xludf.DUMMYFUNCTION("""COMPUTED_VALUE"""),"BLACK")</f>
        <v>BLACK</v>
      </c>
      <c r="G314" s="20" t="str">
        <f>IFERROR(__xludf.DUMMYFUNCTION("""COMPUTED_VALUE"""),"Uncle Sams Cider (04/04/2023)")</f>
        <v>Uncle Sams Cider (04/04/2023)</v>
      </c>
      <c r="H314" s="19"/>
    </row>
    <row r="315">
      <c r="A315" s="9"/>
      <c r="B315" s="15"/>
      <c r="C315" s="9">
        <f>IFERROR(__xludf.DUMMYFUNCTION("""COMPUTED_VALUE"""),45141.366447581)</f>
        <v>45141.36645</v>
      </c>
      <c r="D315" s="15">
        <f>IFERROR(__xludf.DUMMYFUNCTION("""COMPUTED_VALUE"""),1.003)</f>
        <v>1.003</v>
      </c>
      <c r="E315" s="16">
        <f>IFERROR(__xludf.DUMMYFUNCTION("""COMPUTED_VALUE"""),73.0)</f>
        <v>73</v>
      </c>
      <c r="F315" s="19" t="str">
        <f>IFERROR(__xludf.DUMMYFUNCTION("""COMPUTED_VALUE"""),"BLACK")</f>
        <v>BLACK</v>
      </c>
      <c r="G315" s="20" t="str">
        <f>IFERROR(__xludf.DUMMYFUNCTION("""COMPUTED_VALUE"""),"Uncle Sams Cider (04/04/2023)")</f>
        <v>Uncle Sams Cider (04/04/2023)</v>
      </c>
      <c r="H315" s="19"/>
    </row>
    <row r="316">
      <c r="A316" s="9"/>
      <c r="B316" s="15"/>
      <c r="C316" s="9">
        <f>IFERROR(__xludf.DUMMYFUNCTION("""COMPUTED_VALUE"""),45141.3560284143)</f>
        <v>45141.35603</v>
      </c>
      <c r="D316" s="15">
        <f>IFERROR(__xludf.DUMMYFUNCTION("""COMPUTED_VALUE"""),1.003)</f>
        <v>1.003</v>
      </c>
      <c r="E316" s="16">
        <f>IFERROR(__xludf.DUMMYFUNCTION("""COMPUTED_VALUE"""),73.0)</f>
        <v>73</v>
      </c>
      <c r="F316" s="19" t="str">
        <f>IFERROR(__xludf.DUMMYFUNCTION("""COMPUTED_VALUE"""),"BLACK")</f>
        <v>BLACK</v>
      </c>
      <c r="G316" s="20" t="str">
        <f>IFERROR(__xludf.DUMMYFUNCTION("""COMPUTED_VALUE"""),"Uncle Sams Cider (04/04/2023)")</f>
        <v>Uncle Sams Cider (04/04/2023)</v>
      </c>
      <c r="H316" s="19"/>
    </row>
    <row r="317">
      <c r="A317" s="9"/>
      <c r="B317" s="15"/>
      <c r="C317" s="9">
        <f>IFERROR(__xludf.DUMMYFUNCTION("""COMPUTED_VALUE"""),45141.3456075347)</f>
        <v>45141.34561</v>
      </c>
      <c r="D317" s="15">
        <f>IFERROR(__xludf.DUMMYFUNCTION("""COMPUTED_VALUE"""),1.003)</f>
        <v>1.003</v>
      </c>
      <c r="E317" s="16">
        <f>IFERROR(__xludf.DUMMYFUNCTION("""COMPUTED_VALUE"""),73.0)</f>
        <v>73</v>
      </c>
      <c r="F317" s="19" t="str">
        <f>IFERROR(__xludf.DUMMYFUNCTION("""COMPUTED_VALUE"""),"BLACK")</f>
        <v>BLACK</v>
      </c>
      <c r="G317" s="20" t="str">
        <f>IFERROR(__xludf.DUMMYFUNCTION("""COMPUTED_VALUE"""),"Uncle Sams Cider (04/04/2023)")</f>
        <v>Uncle Sams Cider (04/04/2023)</v>
      </c>
      <c r="H317" s="19"/>
    </row>
    <row r="318">
      <c r="A318" s="9"/>
      <c r="B318" s="15"/>
      <c r="C318" s="9">
        <f>IFERROR(__xludf.DUMMYFUNCTION("""COMPUTED_VALUE"""),45141.3351859722)</f>
        <v>45141.33519</v>
      </c>
      <c r="D318" s="15">
        <f>IFERROR(__xludf.DUMMYFUNCTION("""COMPUTED_VALUE"""),1.003)</f>
        <v>1.003</v>
      </c>
      <c r="E318" s="16">
        <f>IFERROR(__xludf.DUMMYFUNCTION("""COMPUTED_VALUE"""),73.0)</f>
        <v>73</v>
      </c>
      <c r="F318" s="19" t="str">
        <f>IFERROR(__xludf.DUMMYFUNCTION("""COMPUTED_VALUE"""),"BLACK")</f>
        <v>BLACK</v>
      </c>
      <c r="G318" s="20" t="str">
        <f>IFERROR(__xludf.DUMMYFUNCTION("""COMPUTED_VALUE"""),"Uncle Sams Cider (04/04/2023)")</f>
        <v>Uncle Sams Cider (04/04/2023)</v>
      </c>
      <c r="H318" s="19"/>
    </row>
    <row r="319">
      <c r="A319" s="9"/>
      <c r="B319" s="15"/>
      <c r="C319" s="9">
        <f>IFERROR(__xludf.DUMMYFUNCTION("""COMPUTED_VALUE"""),45141.3247633564)</f>
        <v>45141.32476</v>
      </c>
      <c r="D319" s="15">
        <f>IFERROR(__xludf.DUMMYFUNCTION("""COMPUTED_VALUE"""),1.003)</f>
        <v>1.003</v>
      </c>
      <c r="E319" s="16">
        <f>IFERROR(__xludf.DUMMYFUNCTION("""COMPUTED_VALUE"""),73.0)</f>
        <v>73</v>
      </c>
      <c r="F319" s="19" t="str">
        <f>IFERROR(__xludf.DUMMYFUNCTION("""COMPUTED_VALUE"""),"BLACK")</f>
        <v>BLACK</v>
      </c>
      <c r="G319" s="20" t="str">
        <f>IFERROR(__xludf.DUMMYFUNCTION("""COMPUTED_VALUE"""),"Uncle Sams Cider (04/04/2023)")</f>
        <v>Uncle Sams Cider (04/04/2023)</v>
      </c>
      <c r="H319" s="19"/>
    </row>
    <row r="320">
      <c r="A320" s="9"/>
      <c r="B320" s="15"/>
      <c r="C320" s="9">
        <f>IFERROR(__xludf.DUMMYFUNCTION("""COMPUTED_VALUE"""),45141.314330243)</f>
        <v>45141.31433</v>
      </c>
      <c r="D320" s="15">
        <f>IFERROR(__xludf.DUMMYFUNCTION("""COMPUTED_VALUE"""),1.003)</f>
        <v>1.003</v>
      </c>
      <c r="E320" s="16">
        <f>IFERROR(__xludf.DUMMYFUNCTION("""COMPUTED_VALUE"""),73.0)</f>
        <v>73</v>
      </c>
      <c r="F320" s="19" t="str">
        <f>IFERROR(__xludf.DUMMYFUNCTION("""COMPUTED_VALUE"""),"BLACK")</f>
        <v>BLACK</v>
      </c>
      <c r="G320" s="20" t="str">
        <f>IFERROR(__xludf.DUMMYFUNCTION("""COMPUTED_VALUE"""),"Uncle Sams Cider (04/04/2023)")</f>
        <v>Uncle Sams Cider (04/04/2023)</v>
      </c>
      <c r="H320" s="19"/>
    </row>
    <row r="321">
      <c r="A321" s="9"/>
      <c r="B321" s="15"/>
      <c r="C321" s="9">
        <f>IFERROR(__xludf.DUMMYFUNCTION("""COMPUTED_VALUE"""),45141.3039111342)</f>
        <v>45141.30391</v>
      </c>
      <c r="D321" s="15">
        <f>IFERROR(__xludf.DUMMYFUNCTION("""COMPUTED_VALUE"""),1.003)</f>
        <v>1.003</v>
      </c>
      <c r="E321" s="16">
        <f>IFERROR(__xludf.DUMMYFUNCTION("""COMPUTED_VALUE"""),73.0)</f>
        <v>73</v>
      </c>
      <c r="F321" s="19" t="str">
        <f>IFERROR(__xludf.DUMMYFUNCTION("""COMPUTED_VALUE"""),"BLACK")</f>
        <v>BLACK</v>
      </c>
      <c r="G321" s="20" t="str">
        <f>IFERROR(__xludf.DUMMYFUNCTION("""COMPUTED_VALUE"""),"Uncle Sams Cider (04/04/2023)")</f>
        <v>Uncle Sams Cider (04/04/2023)</v>
      </c>
      <c r="H321" s="19"/>
    </row>
    <row r="322">
      <c r="A322" s="9"/>
      <c r="B322" s="15"/>
      <c r="C322" s="9">
        <f>IFERROR(__xludf.DUMMYFUNCTION("""COMPUTED_VALUE"""),45141.2830447569)</f>
        <v>45141.28304</v>
      </c>
      <c r="D322" s="15">
        <f>IFERROR(__xludf.DUMMYFUNCTION("""COMPUTED_VALUE"""),1.003)</f>
        <v>1.003</v>
      </c>
      <c r="E322" s="16">
        <f>IFERROR(__xludf.DUMMYFUNCTION("""COMPUTED_VALUE"""),73.0)</f>
        <v>73</v>
      </c>
      <c r="F322" s="19" t="str">
        <f>IFERROR(__xludf.DUMMYFUNCTION("""COMPUTED_VALUE"""),"BLACK")</f>
        <v>BLACK</v>
      </c>
      <c r="G322" s="20" t="str">
        <f>IFERROR(__xludf.DUMMYFUNCTION("""COMPUTED_VALUE"""),"Uncle Sams Cider (04/04/2023)")</f>
        <v>Uncle Sams Cider (04/04/2023)</v>
      </c>
      <c r="H322" s="19"/>
    </row>
    <row r="323">
      <c r="A323" s="9"/>
      <c r="B323" s="15"/>
      <c r="C323" s="9">
        <f>IFERROR(__xludf.DUMMYFUNCTION("""COMPUTED_VALUE"""),45141.2726241898)</f>
        <v>45141.27262</v>
      </c>
      <c r="D323" s="15">
        <f>IFERROR(__xludf.DUMMYFUNCTION("""COMPUTED_VALUE"""),1.003)</f>
        <v>1.003</v>
      </c>
      <c r="E323" s="16">
        <f>IFERROR(__xludf.DUMMYFUNCTION("""COMPUTED_VALUE"""),73.0)</f>
        <v>73</v>
      </c>
      <c r="F323" s="19" t="str">
        <f>IFERROR(__xludf.DUMMYFUNCTION("""COMPUTED_VALUE"""),"BLACK")</f>
        <v>BLACK</v>
      </c>
      <c r="G323" s="20" t="str">
        <f>IFERROR(__xludf.DUMMYFUNCTION("""COMPUTED_VALUE"""),"Uncle Sams Cider (04/04/2023)")</f>
        <v>Uncle Sams Cider (04/04/2023)</v>
      </c>
      <c r="H323" s="19"/>
    </row>
    <row r="324">
      <c r="A324" s="9"/>
      <c r="B324" s="15"/>
      <c r="C324" s="9">
        <f>IFERROR(__xludf.DUMMYFUNCTION("""COMPUTED_VALUE"""),45141.2622047106)</f>
        <v>45141.2622</v>
      </c>
      <c r="D324" s="15">
        <f>IFERROR(__xludf.DUMMYFUNCTION("""COMPUTED_VALUE"""),1.003)</f>
        <v>1.003</v>
      </c>
      <c r="E324" s="16">
        <f>IFERROR(__xludf.DUMMYFUNCTION("""COMPUTED_VALUE"""),73.0)</f>
        <v>73</v>
      </c>
      <c r="F324" s="19" t="str">
        <f>IFERROR(__xludf.DUMMYFUNCTION("""COMPUTED_VALUE"""),"BLACK")</f>
        <v>BLACK</v>
      </c>
      <c r="G324" s="20" t="str">
        <f>IFERROR(__xludf.DUMMYFUNCTION("""COMPUTED_VALUE"""),"Uncle Sams Cider (04/04/2023)")</f>
        <v>Uncle Sams Cider (04/04/2023)</v>
      </c>
      <c r="H324" s="19"/>
    </row>
    <row r="325">
      <c r="A325" s="9"/>
      <c r="B325" s="15"/>
      <c r="C325" s="9">
        <f>IFERROR(__xludf.DUMMYFUNCTION("""COMPUTED_VALUE"""),45141.2517849189)</f>
        <v>45141.25178</v>
      </c>
      <c r="D325" s="15">
        <f>IFERROR(__xludf.DUMMYFUNCTION("""COMPUTED_VALUE"""),1.003)</f>
        <v>1.003</v>
      </c>
      <c r="E325" s="16">
        <f>IFERROR(__xludf.DUMMYFUNCTION("""COMPUTED_VALUE"""),73.0)</f>
        <v>73</v>
      </c>
      <c r="F325" s="19" t="str">
        <f>IFERROR(__xludf.DUMMYFUNCTION("""COMPUTED_VALUE"""),"BLACK")</f>
        <v>BLACK</v>
      </c>
      <c r="G325" s="20" t="str">
        <f>IFERROR(__xludf.DUMMYFUNCTION("""COMPUTED_VALUE"""),"Uncle Sams Cider (04/04/2023)")</f>
        <v>Uncle Sams Cider (04/04/2023)</v>
      </c>
      <c r="H325" s="19"/>
    </row>
    <row r="326">
      <c r="A326" s="9"/>
      <c r="B326" s="15"/>
      <c r="C326" s="9">
        <f>IFERROR(__xludf.DUMMYFUNCTION("""COMPUTED_VALUE"""),45141.2413529166)</f>
        <v>45141.24135</v>
      </c>
      <c r="D326" s="15">
        <f>IFERROR(__xludf.DUMMYFUNCTION("""COMPUTED_VALUE"""),1.003)</f>
        <v>1.003</v>
      </c>
      <c r="E326" s="16">
        <f>IFERROR(__xludf.DUMMYFUNCTION("""COMPUTED_VALUE"""),73.0)</f>
        <v>73</v>
      </c>
      <c r="F326" s="19" t="str">
        <f>IFERROR(__xludf.DUMMYFUNCTION("""COMPUTED_VALUE"""),"BLACK")</f>
        <v>BLACK</v>
      </c>
      <c r="G326" s="20" t="str">
        <f>IFERROR(__xludf.DUMMYFUNCTION("""COMPUTED_VALUE"""),"Uncle Sams Cider (04/04/2023)")</f>
        <v>Uncle Sams Cider (04/04/2023)</v>
      </c>
      <c r="H326" s="19"/>
    </row>
    <row r="327">
      <c r="A327" s="9"/>
      <c r="B327" s="15"/>
      <c r="C327" s="9">
        <f>IFERROR(__xludf.DUMMYFUNCTION("""COMPUTED_VALUE"""),45141.2309310301)</f>
        <v>45141.23093</v>
      </c>
      <c r="D327" s="15">
        <f>IFERROR(__xludf.DUMMYFUNCTION("""COMPUTED_VALUE"""),1.003)</f>
        <v>1.003</v>
      </c>
      <c r="E327" s="16">
        <f>IFERROR(__xludf.DUMMYFUNCTION("""COMPUTED_VALUE"""),73.0)</f>
        <v>73</v>
      </c>
      <c r="F327" s="19" t="str">
        <f>IFERROR(__xludf.DUMMYFUNCTION("""COMPUTED_VALUE"""),"BLACK")</f>
        <v>BLACK</v>
      </c>
      <c r="G327" s="20" t="str">
        <f>IFERROR(__xludf.DUMMYFUNCTION("""COMPUTED_VALUE"""),"Uncle Sams Cider (04/04/2023)")</f>
        <v>Uncle Sams Cider (04/04/2023)</v>
      </c>
      <c r="H327" s="19"/>
    </row>
    <row r="328">
      <c r="A328" s="9"/>
      <c r="B328" s="15"/>
      <c r="C328" s="9">
        <f>IFERROR(__xludf.DUMMYFUNCTION("""COMPUTED_VALUE"""),45141.2205096759)</f>
        <v>45141.22051</v>
      </c>
      <c r="D328" s="15">
        <f>IFERROR(__xludf.DUMMYFUNCTION("""COMPUTED_VALUE"""),1.003)</f>
        <v>1.003</v>
      </c>
      <c r="E328" s="16">
        <f>IFERROR(__xludf.DUMMYFUNCTION("""COMPUTED_VALUE"""),73.0)</f>
        <v>73</v>
      </c>
      <c r="F328" s="19" t="str">
        <f>IFERROR(__xludf.DUMMYFUNCTION("""COMPUTED_VALUE"""),"BLACK")</f>
        <v>BLACK</v>
      </c>
      <c r="G328" s="20" t="str">
        <f>IFERROR(__xludf.DUMMYFUNCTION("""COMPUTED_VALUE"""),"Uncle Sams Cider (04/04/2023)")</f>
        <v>Uncle Sams Cider (04/04/2023)</v>
      </c>
      <c r="H328" s="19"/>
    </row>
    <row r="329">
      <c r="A329" s="9"/>
      <c r="B329" s="15"/>
      <c r="C329" s="9">
        <f>IFERROR(__xludf.DUMMYFUNCTION("""COMPUTED_VALUE"""),45141.2100761226)</f>
        <v>45141.21008</v>
      </c>
      <c r="D329" s="15">
        <f>IFERROR(__xludf.DUMMYFUNCTION("""COMPUTED_VALUE"""),1.003)</f>
        <v>1.003</v>
      </c>
      <c r="E329" s="16">
        <f>IFERROR(__xludf.DUMMYFUNCTION("""COMPUTED_VALUE"""),73.0)</f>
        <v>73</v>
      </c>
      <c r="F329" s="19" t="str">
        <f>IFERROR(__xludf.DUMMYFUNCTION("""COMPUTED_VALUE"""),"BLACK")</f>
        <v>BLACK</v>
      </c>
      <c r="G329" s="20" t="str">
        <f>IFERROR(__xludf.DUMMYFUNCTION("""COMPUTED_VALUE"""),"Uncle Sams Cider (04/04/2023)")</f>
        <v>Uncle Sams Cider (04/04/2023)</v>
      </c>
      <c r="H329" s="19"/>
    </row>
    <row r="330">
      <c r="A330" s="9"/>
      <c r="B330" s="15"/>
      <c r="C330" s="9">
        <f>IFERROR(__xludf.DUMMYFUNCTION("""COMPUTED_VALUE"""),45141.1996533796)</f>
        <v>45141.19965</v>
      </c>
      <c r="D330" s="15">
        <f>IFERROR(__xludf.DUMMYFUNCTION("""COMPUTED_VALUE"""),1.003)</f>
        <v>1.003</v>
      </c>
      <c r="E330" s="16">
        <f>IFERROR(__xludf.DUMMYFUNCTION("""COMPUTED_VALUE"""),73.0)</f>
        <v>73</v>
      </c>
      <c r="F330" s="19" t="str">
        <f>IFERROR(__xludf.DUMMYFUNCTION("""COMPUTED_VALUE"""),"BLACK")</f>
        <v>BLACK</v>
      </c>
      <c r="G330" s="20" t="str">
        <f>IFERROR(__xludf.DUMMYFUNCTION("""COMPUTED_VALUE"""),"Uncle Sams Cider (04/04/2023)")</f>
        <v>Uncle Sams Cider (04/04/2023)</v>
      </c>
      <c r="H330" s="19"/>
    </row>
    <row r="331">
      <c r="A331" s="9"/>
      <c r="B331" s="15"/>
      <c r="C331" s="9">
        <f>IFERROR(__xludf.DUMMYFUNCTION("""COMPUTED_VALUE"""),45141.1892323726)</f>
        <v>45141.18923</v>
      </c>
      <c r="D331" s="15">
        <f>IFERROR(__xludf.DUMMYFUNCTION("""COMPUTED_VALUE"""),1.003)</f>
        <v>1.003</v>
      </c>
      <c r="E331" s="16">
        <f>IFERROR(__xludf.DUMMYFUNCTION("""COMPUTED_VALUE"""),73.0)</f>
        <v>73</v>
      </c>
      <c r="F331" s="19" t="str">
        <f>IFERROR(__xludf.DUMMYFUNCTION("""COMPUTED_VALUE"""),"BLACK")</f>
        <v>BLACK</v>
      </c>
      <c r="G331" s="20" t="str">
        <f>IFERROR(__xludf.DUMMYFUNCTION("""COMPUTED_VALUE"""),"Uncle Sams Cider (04/04/2023)")</f>
        <v>Uncle Sams Cider (04/04/2023)</v>
      </c>
      <c r="H331" s="19"/>
    </row>
    <row r="332">
      <c r="A332" s="9"/>
      <c r="B332" s="15"/>
      <c r="C332" s="9">
        <f>IFERROR(__xludf.DUMMYFUNCTION("""COMPUTED_VALUE"""),45141.1787992939)</f>
        <v>45141.1788</v>
      </c>
      <c r="D332" s="15">
        <f>IFERROR(__xludf.DUMMYFUNCTION("""COMPUTED_VALUE"""),1.003)</f>
        <v>1.003</v>
      </c>
      <c r="E332" s="16">
        <f>IFERROR(__xludf.DUMMYFUNCTION("""COMPUTED_VALUE"""),73.0)</f>
        <v>73</v>
      </c>
      <c r="F332" s="19" t="str">
        <f>IFERROR(__xludf.DUMMYFUNCTION("""COMPUTED_VALUE"""),"BLACK")</f>
        <v>BLACK</v>
      </c>
      <c r="G332" s="20" t="str">
        <f>IFERROR(__xludf.DUMMYFUNCTION("""COMPUTED_VALUE"""),"Uncle Sams Cider (04/04/2023)")</f>
        <v>Uncle Sams Cider (04/04/2023)</v>
      </c>
      <c r="H332" s="19"/>
    </row>
    <row r="333">
      <c r="A333" s="9"/>
      <c r="B333" s="15"/>
      <c r="C333" s="9">
        <f>IFERROR(__xludf.DUMMYFUNCTION("""COMPUTED_VALUE"""),45141.1683773379)</f>
        <v>45141.16838</v>
      </c>
      <c r="D333" s="15">
        <f>IFERROR(__xludf.DUMMYFUNCTION("""COMPUTED_VALUE"""),1.003)</f>
        <v>1.003</v>
      </c>
      <c r="E333" s="16">
        <f>IFERROR(__xludf.DUMMYFUNCTION("""COMPUTED_VALUE"""),73.0)</f>
        <v>73</v>
      </c>
      <c r="F333" s="19" t="str">
        <f>IFERROR(__xludf.DUMMYFUNCTION("""COMPUTED_VALUE"""),"BLACK")</f>
        <v>BLACK</v>
      </c>
      <c r="G333" s="20" t="str">
        <f>IFERROR(__xludf.DUMMYFUNCTION("""COMPUTED_VALUE"""),"Uncle Sams Cider (04/04/2023)")</f>
        <v>Uncle Sams Cider (04/04/2023)</v>
      </c>
      <c r="H333" s="19"/>
    </row>
    <row r="334">
      <c r="A334" s="9"/>
      <c r="B334" s="15"/>
      <c r="C334" s="9">
        <f>IFERROR(__xludf.DUMMYFUNCTION("""COMPUTED_VALUE"""),45141.1579561111)</f>
        <v>45141.15796</v>
      </c>
      <c r="D334" s="15">
        <f>IFERROR(__xludf.DUMMYFUNCTION("""COMPUTED_VALUE"""),1.003)</f>
        <v>1.003</v>
      </c>
      <c r="E334" s="16">
        <f>IFERROR(__xludf.DUMMYFUNCTION("""COMPUTED_VALUE"""),73.0)</f>
        <v>73</v>
      </c>
      <c r="F334" s="19" t="str">
        <f>IFERROR(__xludf.DUMMYFUNCTION("""COMPUTED_VALUE"""),"BLACK")</f>
        <v>BLACK</v>
      </c>
      <c r="G334" s="20" t="str">
        <f>IFERROR(__xludf.DUMMYFUNCTION("""COMPUTED_VALUE"""),"Uncle Sams Cider (04/04/2023)")</f>
        <v>Uncle Sams Cider (04/04/2023)</v>
      </c>
      <c r="H334" s="19"/>
    </row>
    <row r="335">
      <c r="A335" s="9"/>
      <c r="B335" s="15"/>
      <c r="C335" s="9">
        <f>IFERROR(__xludf.DUMMYFUNCTION("""COMPUTED_VALUE"""),45141.1475231365)</f>
        <v>45141.14752</v>
      </c>
      <c r="D335" s="15">
        <f>IFERROR(__xludf.DUMMYFUNCTION("""COMPUTED_VALUE"""),1.003)</f>
        <v>1.003</v>
      </c>
      <c r="E335" s="16">
        <f>IFERROR(__xludf.DUMMYFUNCTION("""COMPUTED_VALUE"""),73.0)</f>
        <v>73</v>
      </c>
      <c r="F335" s="19" t="str">
        <f>IFERROR(__xludf.DUMMYFUNCTION("""COMPUTED_VALUE"""),"BLACK")</f>
        <v>BLACK</v>
      </c>
      <c r="G335" s="20" t="str">
        <f>IFERROR(__xludf.DUMMYFUNCTION("""COMPUTED_VALUE"""),"Uncle Sams Cider (04/04/2023)")</f>
        <v>Uncle Sams Cider (04/04/2023)</v>
      </c>
      <c r="H335" s="19"/>
    </row>
    <row r="336">
      <c r="A336" s="9"/>
      <c r="B336" s="15"/>
      <c r="C336" s="9">
        <f>IFERROR(__xludf.DUMMYFUNCTION("""COMPUTED_VALUE"""),45141.1371031597)</f>
        <v>45141.1371</v>
      </c>
      <c r="D336" s="15">
        <f>IFERROR(__xludf.DUMMYFUNCTION("""COMPUTED_VALUE"""),1.003)</f>
        <v>1.003</v>
      </c>
      <c r="E336" s="16">
        <f>IFERROR(__xludf.DUMMYFUNCTION("""COMPUTED_VALUE"""),73.0)</f>
        <v>73</v>
      </c>
      <c r="F336" s="19" t="str">
        <f>IFERROR(__xludf.DUMMYFUNCTION("""COMPUTED_VALUE"""),"BLACK")</f>
        <v>BLACK</v>
      </c>
      <c r="G336" s="20" t="str">
        <f>IFERROR(__xludf.DUMMYFUNCTION("""COMPUTED_VALUE"""),"Uncle Sams Cider (04/04/2023)")</f>
        <v>Uncle Sams Cider (04/04/2023)</v>
      </c>
      <c r="H336" s="19"/>
    </row>
    <row r="337">
      <c r="A337" s="9"/>
      <c r="B337" s="15"/>
      <c r="C337" s="9">
        <f>IFERROR(__xludf.DUMMYFUNCTION("""COMPUTED_VALUE"""),45141.1266702083)</f>
        <v>45141.12667</v>
      </c>
      <c r="D337" s="15">
        <f>IFERROR(__xludf.DUMMYFUNCTION("""COMPUTED_VALUE"""),1.003)</f>
        <v>1.003</v>
      </c>
      <c r="E337" s="16">
        <f>IFERROR(__xludf.DUMMYFUNCTION("""COMPUTED_VALUE"""),73.0)</f>
        <v>73</v>
      </c>
      <c r="F337" s="19" t="str">
        <f>IFERROR(__xludf.DUMMYFUNCTION("""COMPUTED_VALUE"""),"BLACK")</f>
        <v>BLACK</v>
      </c>
      <c r="G337" s="20" t="str">
        <f>IFERROR(__xludf.DUMMYFUNCTION("""COMPUTED_VALUE"""),"Uncle Sams Cider (04/04/2023)")</f>
        <v>Uncle Sams Cider (04/04/2023)</v>
      </c>
      <c r="H337" s="19"/>
    </row>
    <row r="338">
      <c r="A338" s="9"/>
      <c r="B338" s="15"/>
      <c r="C338" s="9">
        <f>IFERROR(__xludf.DUMMYFUNCTION("""COMPUTED_VALUE"""),45141.1162509143)</f>
        <v>45141.11625</v>
      </c>
      <c r="D338" s="15">
        <f>IFERROR(__xludf.DUMMYFUNCTION("""COMPUTED_VALUE"""),1.003)</f>
        <v>1.003</v>
      </c>
      <c r="E338" s="16">
        <f>IFERROR(__xludf.DUMMYFUNCTION("""COMPUTED_VALUE"""),73.0)</f>
        <v>73</v>
      </c>
      <c r="F338" s="19" t="str">
        <f>IFERROR(__xludf.DUMMYFUNCTION("""COMPUTED_VALUE"""),"BLACK")</f>
        <v>BLACK</v>
      </c>
      <c r="G338" s="20" t="str">
        <f>IFERROR(__xludf.DUMMYFUNCTION("""COMPUTED_VALUE"""),"Uncle Sams Cider (04/04/2023)")</f>
        <v>Uncle Sams Cider (04/04/2023)</v>
      </c>
      <c r="H338" s="19"/>
    </row>
    <row r="339">
      <c r="A339" s="9"/>
      <c r="B339" s="15"/>
      <c r="C339" s="9">
        <f>IFERROR(__xludf.DUMMYFUNCTION("""COMPUTED_VALUE"""),45141.1058188541)</f>
        <v>45141.10582</v>
      </c>
      <c r="D339" s="15">
        <f>IFERROR(__xludf.DUMMYFUNCTION("""COMPUTED_VALUE"""),1.003)</f>
        <v>1.003</v>
      </c>
      <c r="E339" s="16">
        <f>IFERROR(__xludf.DUMMYFUNCTION("""COMPUTED_VALUE"""),73.0)</f>
        <v>73</v>
      </c>
      <c r="F339" s="19" t="str">
        <f>IFERROR(__xludf.DUMMYFUNCTION("""COMPUTED_VALUE"""),"BLACK")</f>
        <v>BLACK</v>
      </c>
      <c r="G339" s="20" t="str">
        <f>IFERROR(__xludf.DUMMYFUNCTION("""COMPUTED_VALUE"""),"Uncle Sams Cider (04/04/2023)")</f>
        <v>Uncle Sams Cider (04/04/2023)</v>
      </c>
      <c r="H339" s="19"/>
    </row>
    <row r="340">
      <c r="A340" s="9"/>
      <c r="B340" s="15"/>
      <c r="C340" s="9">
        <f>IFERROR(__xludf.DUMMYFUNCTION("""COMPUTED_VALUE"""),45141.0953992129)</f>
        <v>45141.0954</v>
      </c>
      <c r="D340" s="15">
        <f>IFERROR(__xludf.DUMMYFUNCTION("""COMPUTED_VALUE"""),1.003)</f>
        <v>1.003</v>
      </c>
      <c r="E340" s="16">
        <f>IFERROR(__xludf.DUMMYFUNCTION("""COMPUTED_VALUE"""),73.0)</f>
        <v>73</v>
      </c>
      <c r="F340" s="19" t="str">
        <f>IFERROR(__xludf.DUMMYFUNCTION("""COMPUTED_VALUE"""),"BLACK")</f>
        <v>BLACK</v>
      </c>
      <c r="G340" s="20" t="str">
        <f>IFERROR(__xludf.DUMMYFUNCTION("""COMPUTED_VALUE"""),"Uncle Sams Cider (04/04/2023)")</f>
        <v>Uncle Sams Cider (04/04/2023)</v>
      </c>
      <c r="H340" s="19"/>
    </row>
    <row r="341">
      <c r="A341" s="9"/>
      <c r="B341" s="15"/>
      <c r="C341" s="9">
        <f>IFERROR(__xludf.DUMMYFUNCTION("""COMPUTED_VALUE"""),45141.0849783449)</f>
        <v>45141.08498</v>
      </c>
      <c r="D341" s="15">
        <f>IFERROR(__xludf.DUMMYFUNCTION("""COMPUTED_VALUE"""),1.003)</f>
        <v>1.003</v>
      </c>
      <c r="E341" s="16">
        <f>IFERROR(__xludf.DUMMYFUNCTION("""COMPUTED_VALUE"""),73.0)</f>
        <v>73</v>
      </c>
      <c r="F341" s="19" t="str">
        <f>IFERROR(__xludf.DUMMYFUNCTION("""COMPUTED_VALUE"""),"BLACK")</f>
        <v>BLACK</v>
      </c>
      <c r="G341" s="20" t="str">
        <f>IFERROR(__xludf.DUMMYFUNCTION("""COMPUTED_VALUE"""),"Uncle Sams Cider (04/04/2023)")</f>
        <v>Uncle Sams Cider (04/04/2023)</v>
      </c>
      <c r="H341" s="19"/>
    </row>
    <row r="342">
      <c r="A342" s="9"/>
      <c r="B342" s="15"/>
      <c r="C342" s="9">
        <f>IFERROR(__xludf.DUMMYFUNCTION("""COMPUTED_VALUE"""),45141.0745571759)</f>
        <v>45141.07456</v>
      </c>
      <c r="D342" s="15">
        <f>IFERROR(__xludf.DUMMYFUNCTION("""COMPUTED_VALUE"""),1.003)</f>
        <v>1.003</v>
      </c>
      <c r="E342" s="16">
        <f>IFERROR(__xludf.DUMMYFUNCTION("""COMPUTED_VALUE"""),73.0)</f>
        <v>73</v>
      </c>
      <c r="F342" s="19" t="str">
        <f>IFERROR(__xludf.DUMMYFUNCTION("""COMPUTED_VALUE"""),"BLACK")</f>
        <v>BLACK</v>
      </c>
      <c r="G342" s="20" t="str">
        <f>IFERROR(__xludf.DUMMYFUNCTION("""COMPUTED_VALUE"""),"Uncle Sams Cider (04/04/2023)")</f>
        <v>Uncle Sams Cider (04/04/2023)</v>
      </c>
      <c r="H342" s="19"/>
    </row>
    <row r="343">
      <c r="A343" s="9"/>
      <c r="B343" s="15"/>
      <c r="C343" s="9">
        <f>IFERROR(__xludf.DUMMYFUNCTION("""COMPUTED_VALUE"""),45141.0641359143)</f>
        <v>45141.06414</v>
      </c>
      <c r="D343" s="15">
        <f>IFERROR(__xludf.DUMMYFUNCTION("""COMPUTED_VALUE"""),1.003)</f>
        <v>1.003</v>
      </c>
      <c r="E343" s="16">
        <f>IFERROR(__xludf.DUMMYFUNCTION("""COMPUTED_VALUE"""),73.0)</f>
        <v>73</v>
      </c>
      <c r="F343" s="19" t="str">
        <f>IFERROR(__xludf.DUMMYFUNCTION("""COMPUTED_VALUE"""),"BLACK")</f>
        <v>BLACK</v>
      </c>
      <c r="G343" s="20" t="str">
        <f>IFERROR(__xludf.DUMMYFUNCTION("""COMPUTED_VALUE"""),"Uncle Sams Cider (04/04/2023)")</f>
        <v>Uncle Sams Cider (04/04/2023)</v>
      </c>
      <c r="H343" s="19"/>
    </row>
    <row r="344">
      <c r="A344" s="9"/>
      <c r="B344" s="15"/>
      <c r="C344" s="9">
        <f>IFERROR(__xludf.DUMMYFUNCTION("""COMPUTED_VALUE"""),45141.0537140277)</f>
        <v>45141.05371</v>
      </c>
      <c r="D344" s="15">
        <f>IFERROR(__xludf.DUMMYFUNCTION("""COMPUTED_VALUE"""),1.003)</f>
        <v>1.003</v>
      </c>
      <c r="E344" s="16">
        <f>IFERROR(__xludf.DUMMYFUNCTION("""COMPUTED_VALUE"""),73.0)</f>
        <v>73</v>
      </c>
      <c r="F344" s="19" t="str">
        <f>IFERROR(__xludf.DUMMYFUNCTION("""COMPUTED_VALUE"""),"BLACK")</f>
        <v>BLACK</v>
      </c>
      <c r="G344" s="20" t="str">
        <f>IFERROR(__xludf.DUMMYFUNCTION("""COMPUTED_VALUE"""),"Uncle Sams Cider (04/04/2023)")</f>
        <v>Uncle Sams Cider (04/04/2023)</v>
      </c>
      <c r="H344" s="19"/>
    </row>
    <row r="345">
      <c r="A345" s="9"/>
      <c r="B345" s="15"/>
      <c r="C345" s="9">
        <f>IFERROR(__xludf.DUMMYFUNCTION("""COMPUTED_VALUE"""),45141.043291875)</f>
        <v>45141.04329</v>
      </c>
      <c r="D345" s="15">
        <f>IFERROR(__xludf.DUMMYFUNCTION("""COMPUTED_VALUE"""),1.003)</f>
        <v>1.003</v>
      </c>
      <c r="E345" s="16">
        <f>IFERROR(__xludf.DUMMYFUNCTION("""COMPUTED_VALUE"""),73.0)</f>
        <v>73</v>
      </c>
      <c r="F345" s="19" t="str">
        <f>IFERROR(__xludf.DUMMYFUNCTION("""COMPUTED_VALUE"""),"BLACK")</f>
        <v>BLACK</v>
      </c>
      <c r="G345" s="20" t="str">
        <f>IFERROR(__xludf.DUMMYFUNCTION("""COMPUTED_VALUE"""),"Uncle Sams Cider (04/04/2023)")</f>
        <v>Uncle Sams Cider (04/04/2023)</v>
      </c>
      <c r="H345" s="19"/>
    </row>
    <row r="346">
      <c r="A346" s="9"/>
      <c r="B346" s="15"/>
      <c r="C346" s="9">
        <f>IFERROR(__xludf.DUMMYFUNCTION("""COMPUTED_VALUE"""),45141.032870243)</f>
        <v>45141.03287</v>
      </c>
      <c r="D346" s="15">
        <f>IFERROR(__xludf.DUMMYFUNCTION("""COMPUTED_VALUE"""),1.003)</f>
        <v>1.003</v>
      </c>
      <c r="E346" s="16">
        <f>IFERROR(__xludf.DUMMYFUNCTION("""COMPUTED_VALUE"""),73.0)</f>
        <v>73</v>
      </c>
      <c r="F346" s="19" t="str">
        <f>IFERROR(__xludf.DUMMYFUNCTION("""COMPUTED_VALUE"""),"BLACK")</f>
        <v>BLACK</v>
      </c>
      <c r="G346" s="20" t="str">
        <f>IFERROR(__xludf.DUMMYFUNCTION("""COMPUTED_VALUE"""),"Uncle Sams Cider (04/04/2023)")</f>
        <v>Uncle Sams Cider (04/04/2023)</v>
      </c>
      <c r="H346" s="19"/>
    </row>
    <row r="347">
      <c r="A347" s="9"/>
      <c r="B347" s="15"/>
      <c r="C347" s="9">
        <f>IFERROR(__xludf.DUMMYFUNCTION("""COMPUTED_VALUE"""),45141.0224370254)</f>
        <v>45141.02244</v>
      </c>
      <c r="D347" s="15">
        <f>IFERROR(__xludf.DUMMYFUNCTION("""COMPUTED_VALUE"""),1.003)</f>
        <v>1.003</v>
      </c>
      <c r="E347" s="16">
        <f>IFERROR(__xludf.DUMMYFUNCTION("""COMPUTED_VALUE"""),73.0)</f>
        <v>73</v>
      </c>
      <c r="F347" s="19" t="str">
        <f>IFERROR(__xludf.DUMMYFUNCTION("""COMPUTED_VALUE"""),"BLACK")</f>
        <v>BLACK</v>
      </c>
      <c r="G347" s="20" t="str">
        <f>IFERROR(__xludf.DUMMYFUNCTION("""COMPUTED_VALUE"""),"Uncle Sams Cider (04/04/2023)")</f>
        <v>Uncle Sams Cider (04/04/2023)</v>
      </c>
      <c r="H347" s="19"/>
    </row>
    <row r="348">
      <c r="A348" s="9"/>
      <c r="B348" s="15"/>
      <c r="C348" s="9">
        <f>IFERROR(__xludf.DUMMYFUNCTION("""COMPUTED_VALUE"""),45141.0120162037)</f>
        <v>45141.01202</v>
      </c>
      <c r="D348" s="15">
        <f>IFERROR(__xludf.DUMMYFUNCTION("""COMPUTED_VALUE"""),1.003)</f>
        <v>1.003</v>
      </c>
      <c r="E348" s="16">
        <f>IFERROR(__xludf.DUMMYFUNCTION("""COMPUTED_VALUE"""),73.0)</f>
        <v>73</v>
      </c>
      <c r="F348" s="19" t="str">
        <f>IFERROR(__xludf.DUMMYFUNCTION("""COMPUTED_VALUE"""),"BLACK")</f>
        <v>BLACK</v>
      </c>
      <c r="G348" s="20" t="str">
        <f>IFERROR(__xludf.DUMMYFUNCTION("""COMPUTED_VALUE"""),"Uncle Sams Cider (04/04/2023)")</f>
        <v>Uncle Sams Cider (04/04/2023)</v>
      </c>
      <c r="H348" s="19"/>
    </row>
    <row r="349">
      <c r="A349" s="9"/>
      <c r="B349" s="15"/>
      <c r="C349" s="9">
        <f>IFERROR(__xludf.DUMMYFUNCTION("""COMPUTED_VALUE"""),45141.0015953587)</f>
        <v>45141.0016</v>
      </c>
      <c r="D349" s="15">
        <f>IFERROR(__xludf.DUMMYFUNCTION("""COMPUTED_VALUE"""),1.003)</f>
        <v>1.003</v>
      </c>
      <c r="E349" s="16">
        <f>IFERROR(__xludf.DUMMYFUNCTION("""COMPUTED_VALUE"""),73.0)</f>
        <v>73</v>
      </c>
      <c r="F349" s="19" t="str">
        <f>IFERROR(__xludf.DUMMYFUNCTION("""COMPUTED_VALUE"""),"BLACK")</f>
        <v>BLACK</v>
      </c>
      <c r="G349" s="20" t="str">
        <f>IFERROR(__xludf.DUMMYFUNCTION("""COMPUTED_VALUE"""),"Uncle Sams Cider (04/04/2023)")</f>
        <v>Uncle Sams Cider (04/04/2023)</v>
      </c>
      <c r="H349" s="19"/>
    </row>
    <row r="350">
      <c r="A350" s="9"/>
      <c r="B350" s="15"/>
      <c r="C350" s="9">
        <f>IFERROR(__xludf.DUMMYFUNCTION("""COMPUTED_VALUE"""),45140.9911733101)</f>
        <v>45140.99117</v>
      </c>
      <c r="D350" s="15">
        <f>IFERROR(__xludf.DUMMYFUNCTION("""COMPUTED_VALUE"""),1.003)</f>
        <v>1.003</v>
      </c>
      <c r="E350" s="16">
        <f>IFERROR(__xludf.DUMMYFUNCTION("""COMPUTED_VALUE"""),73.0)</f>
        <v>73</v>
      </c>
      <c r="F350" s="19" t="str">
        <f>IFERROR(__xludf.DUMMYFUNCTION("""COMPUTED_VALUE"""),"BLACK")</f>
        <v>BLACK</v>
      </c>
      <c r="G350" s="20" t="str">
        <f>IFERROR(__xludf.DUMMYFUNCTION("""COMPUTED_VALUE"""),"Uncle Sams Cider (04/04/2023)")</f>
        <v>Uncle Sams Cider (04/04/2023)</v>
      </c>
      <c r="H350" s="19"/>
    </row>
    <row r="351">
      <c r="A351" s="9"/>
      <c r="B351" s="15"/>
      <c r="C351" s="9">
        <f>IFERROR(__xludf.DUMMYFUNCTION("""COMPUTED_VALUE"""),45140.9807411342)</f>
        <v>45140.98074</v>
      </c>
      <c r="D351" s="15">
        <f>IFERROR(__xludf.DUMMYFUNCTION("""COMPUTED_VALUE"""),1.003)</f>
        <v>1.003</v>
      </c>
      <c r="E351" s="16">
        <f>IFERROR(__xludf.DUMMYFUNCTION("""COMPUTED_VALUE"""),73.0)</f>
        <v>73</v>
      </c>
      <c r="F351" s="19" t="str">
        <f>IFERROR(__xludf.DUMMYFUNCTION("""COMPUTED_VALUE"""),"BLACK")</f>
        <v>BLACK</v>
      </c>
      <c r="G351" s="20" t="str">
        <f>IFERROR(__xludf.DUMMYFUNCTION("""COMPUTED_VALUE"""),"Uncle Sams Cider (04/04/2023)")</f>
        <v>Uncle Sams Cider (04/04/2023)</v>
      </c>
      <c r="H351" s="19"/>
    </row>
    <row r="352">
      <c r="A352" s="9"/>
      <c r="B352" s="15"/>
      <c r="C352" s="9">
        <f>IFERROR(__xludf.DUMMYFUNCTION("""COMPUTED_VALUE"""),45140.9703195949)</f>
        <v>45140.97032</v>
      </c>
      <c r="D352" s="15">
        <f>IFERROR(__xludf.DUMMYFUNCTION("""COMPUTED_VALUE"""),1.003)</f>
        <v>1.003</v>
      </c>
      <c r="E352" s="16">
        <f>IFERROR(__xludf.DUMMYFUNCTION("""COMPUTED_VALUE"""),73.0)</f>
        <v>73</v>
      </c>
      <c r="F352" s="19" t="str">
        <f>IFERROR(__xludf.DUMMYFUNCTION("""COMPUTED_VALUE"""),"BLACK")</f>
        <v>BLACK</v>
      </c>
      <c r="G352" s="20" t="str">
        <f>IFERROR(__xludf.DUMMYFUNCTION("""COMPUTED_VALUE"""),"Uncle Sams Cider (04/04/2023)")</f>
        <v>Uncle Sams Cider (04/04/2023)</v>
      </c>
      <c r="H352" s="19"/>
    </row>
    <row r="353">
      <c r="A353" s="9"/>
      <c r="B353" s="15"/>
      <c r="C353" s="9">
        <f>IFERROR(__xludf.DUMMYFUNCTION("""COMPUTED_VALUE"""),45140.959900162)</f>
        <v>45140.9599</v>
      </c>
      <c r="D353" s="15">
        <f>IFERROR(__xludf.DUMMYFUNCTION("""COMPUTED_VALUE"""),1.003)</f>
        <v>1.003</v>
      </c>
      <c r="E353" s="16">
        <f>IFERROR(__xludf.DUMMYFUNCTION("""COMPUTED_VALUE"""),73.0)</f>
        <v>73</v>
      </c>
      <c r="F353" s="19" t="str">
        <f>IFERROR(__xludf.DUMMYFUNCTION("""COMPUTED_VALUE"""),"BLACK")</f>
        <v>BLACK</v>
      </c>
      <c r="G353" s="20" t="str">
        <f>IFERROR(__xludf.DUMMYFUNCTION("""COMPUTED_VALUE"""),"Uncle Sams Cider (04/04/2023)")</f>
        <v>Uncle Sams Cider (04/04/2023)</v>
      </c>
      <c r="H353" s="19"/>
    </row>
    <row r="354">
      <c r="A354" s="9"/>
      <c r="B354" s="15"/>
      <c r="C354" s="9">
        <f>IFERROR(__xludf.DUMMYFUNCTION("""COMPUTED_VALUE"""),45140.9494784375)</f>
        <v>45140.94948</v>
      </c>
      <c r="D354" s="15">
        <f>IFERROR(__xludf.DUMMYFUNCTION("""COMPUTED_VALUE"""),1.003)</f>
        <v>1.003</v>
      </c>
      <c r="E354" s="16">
        <f>IFERROR(__xludf.DUMMYFUNCTION("""COMPUTED_VALUE"""),73.0)</f>
        <v>73</v>
      </c>
      <c r="F354" s="19" t="str">
        <f>IFERROR(__xludf.DUMMYFUNCTION("""COMPUTED_VALUE"""),"BLACK")</f>
        <v>BLACK</v>
      </c>
      <c r="G354" s="20" t="str">
        <f>IFERROR(__xludf.DUMMYFUNCTION("""COMPUTED_VALUE"""),"Uncle Sams Cider (04/04/2023)")</f>
        <v>Uncle Sams Cider (04/04/2023)</v>
      </c>
      <c r="H354" s="19"/>
    </row>
    <row r="355">
      <c r="A355" s="9"/>
      <c r="B355" s="15"/>
      <c r="C355" s="9">
        <f>IFERROR(__xludf.DUMMYFUNCTION("""COMPUTED_VALUE"""),45140.9390566319)</f>
        <v>45140.93906</v>
      </c>
      <c r="D355" s="15">
        <f>IFERROR(__xludf.DUMMYFUNCTION("""COMPUTED_VALUE"""),1.003)</f>
        <v>1.003</v>
      </c>
      <c r="E355" s="16">
        <f>IFERROR(__xludf.DUMMYFUNCTION("""COMPUTED_VALUE"""),73.0)</f>
        <v>73</v>
      </c>
      <c r="F355" s="19" t="str">
        <f>IFERROR(__xludf.DUMMYFUNCTION("""COMPUTED_VALUE"""),"BLACK")</f>
        <v>BLACK</v>
      </c>
      <c r="G355" s="20" t="str">
        <f>IFERROR(__xludf.DUMMYFUNCTION("""COMPUTED_VALUE"""),"Uncle Sams Cider (04/04/2023)")</f>
        <v>Uncle Sams Cider (04/04/2023)</v>
      </c>
      <c r="H355" s="19"/>
    </row>
    <row r="356">
      <c r="A356" s="9"/>
      <c r="B356" s="15"/>
      <c r="C356" s="9">
        <f>IFERROR(__xludf.DUMMYFUNCTION("""COMPUTED_VALUE"""),45140.9286237384)</f>
        <v>45140.92862</v>
      </c>
      <c r="D356" s="15">
        <f>IFERROR(__xludf.DUMMYFUNCTION("""COMPUTED_VALUE"""),1.003)</f>
        <v>1.003</v>
      </c>
      <c r="E356" s="16">
        <f>IFERROR(__xludf.DUMMYFUNCTION("""COMPUTED_VALUE"""),73.0)</f>
        <v>73</v>
      </c>
      <c r="F356" s="19" t="str">
        <f>IFERROR(__xludf.DUMMYFUNCTION("""COMPUTED_VALUE"""),"BLACK")</f>
        <v>BLACK</v>
      </c>
      <c r="G356" s="20" t="str">
        <f>IFERROR(__xludf.DUMMYFUNCTION("""COMPUTED_VALUE"""),"Uncle Sams Cider (04/04/2023)")</f>
        <v>Uncle Sams Cider (04/04/2023)</v>
      </c>
      <c r="H356" s="19"/>
    </row>
    <row r="357">
      <c r="A357" s="9"/>
      <c r="B357" s="15"/>
      <c r="C357" s="9">
        <f>IFERROR(__xludf.DUMMYFUNCTION("""COMPUTED_VALUE"""),45140.9182020601)</f>
        <v>45140.9182</v>
      </c>
      <c r="D357" s="15">
        <f>IFERROR(__xludf.DUMMYFUNCTION("""COMPUTED_VALUE"""),1.003)</f>
        <v>1.003</v>
      </c>
      <c r="E357" s="16">
        <f>IFERROR(__xludf.DUMMYFUNCTION("""COMPUTED_VALUE"""),73.0)</f>
        <v>73</v>
      </c>
      <c r="F357" s="19" t="str">
        <f>IFERROR(__xludf.DUMMYFUNCTION("""COMPUTED_VALUE"""),"BLACK")</f>
        <v>BLACK</v>
      </c>
      <c r="G357" s="20" t="str">
        <f>IFERROR(__xludf.DUMMYFUNCTION("""COMPUTED_VALUE"""),"Uncle Sams Cider (04/04/2023)")</f>
        <v>Uncle Sams Cider (04/04/2023)</v>
      </c>
      <c r="H357" s="19"/>
    </row>
    <row r="358">
      <c r="A358" s="9"/>
      <c r="B358" s="15"/>
      <c r="C358" s="9">
        <f>IFERROR(__xludf.DUMMYFUNCTION("""COMPUTED_VALUE"""),45140.9077451851)</f>
        <v>45140.90775</v>
      </c>
      <c r="D358" s="15">
        <f>IFERROR(__xludf.DUMMYFUNCTION("""COMPUTED_VALUE"""),1.003)</f>
        <v>1.003</v>
      </c>
      <c r="E358" s="16">
        <f>IFERROR(__xludf.DUMMYFUNCTION("""COMPUTED_VALUE"""),73.0)</f>
        <v>73</v>
      </c>
      <c r="F358" s="19" t="str">
        <f>IFERROR(__xludf.DUMMYFUNCTION("""COMPUTED_VALUE"""),"BLACK")</f>
        <v>BLACK</v>
      </c>
      <c r="G358" s="20" t="str">
        <f>IFERROR(__xludf.DUMMYFUNCTION("""COMPUTED_VALUE"""),"Uncle Sams Cider (04/04/2023)")</f>
        <v>Uncle Sams Cider (04/04/2023)</v>
      </c>
      <c r="H358" s="19"/>
    </row>
    <row r="359">
      <c r="A359" s="9"/>
      <c r="B359" s="15"/>
      <c r="C359" s="9">
        <f>IFERROR(__xludf.DUMMYFUNCTION("""COMPUTED_VALUE"""),45140.8973248842)</f>
        <v>45140.89732</v>
      </c>
      <c r="D359" s="15">
        <f>IFERROR(__xludf.DUMMYFUNCTION("""COMPUTED_VALUE"""),1.003)</f>
        <v>1.003</v>
      </c>
      <c r="E359" s="16">
        <f>IFERROR(__xludf.DUMMYFUNCTION("""COMPUTED_VALUE"""),73.0)</f>
        <v>73</v>
      </c>
      <c r="F359" s="19" t="str">
        <f>IFERROR(__xludf.DUMMYFUNCTION("""COMPUTED_VALUE"""),"BLACK")</f>
        <v>BLACK</v>
      </c>
      <c r="G359" s="20" t="str">
        <f>IFERROR(__xludf.DUMMYFUNCTION("""COMPUTED_VALUE"""),"Uncle Sams Cider (04/04/2023)")</f>
        <v>Uncle Sams Cider (04/04/2023)</v>
      </c>
      <c r="H359" s="19"/>
    </row>
    <row r="360">
      <c r="A360" s="9"/>
      <c r="B360" s="15"/>
      <c r="C360" s="9">
        <f>IFERROR(__xludf.DUMMYFUNCTION("""COMPUTED_VALUE"""),45140.8869043634)</f>
        <v>45140.8869</v>
      </c>
      <c r="D360" s="15">
        <f>IFERROR(__xludf.DUMMYFUNCTION("""COMPUTED_VALUE"""),1.003)</f>
        <v>1.003</v>
      </c>
      <c r="E360" s="16">
        <f>IFERROR(__xludf.DUMMYFUNCTION("""COMPUTED_VALUE"""),73.0)</f>
        <v>73</v>
      </c>
      <c r="F360" s="19" t="str">
        <f>IFERROR(__xludf.DUMMYFUNCTION("""COMPUTED_VALUE"""),"BLACK")</f>
        <v>BLACK</v>
      </c>
      <c r="G360" s="20" t="str">
        <f>IFERROR(__xludf.DUMMYFUNCTION("""COMPUTED_VALUE"""),"Uncle Sams Cider (04/04/2023)")</f>
        <v>Uncle Sams Cider (04/04/2023)</v>
      </c>
      <c r="H360" s="19"/>
    </row>
    <row r="361">
      <c r="A361" s="9"/>
      <c r="B361" s="15"/>
      <c r="C361" s="9">
        <f>IFERROR(__xludf.DUMMYFUNCTION("""COMPUTED_VALUE"""),45140.8764724305)</f>
        <v>45140.87647</v>
      </c>
      <c r="D361" s="15">
        <f>IFERROR(__xludf.DUMMYFUNCTION("""COMPUTED_VALUE"""),1.003)</f>
        <v>1.003</v>
      </c>
      <c r="E361" s="16">
        <f>IFERROR(__xludf.DUMMYFUNCTION("""COMPUTED_VALUE"""),73.0)</f>
        <v>73</v>
      </c>
      <c r="F361" s="19" t="str">
        <f>IFERROR(__xludf.DUMMYFUNCTION("""COMPUTED_VALUE"""),"BLACK")</f>
        <v>BLACK</v>
      </c>
      <c r="G361" s="20" t="str">
        <f>IFERROR(__xludf.DUMMYFUNCTION("""COMPUTED_VALUE"""),"Uncle Sams Cider (04/04/2023)")</f>
        <v>Uncle Sams Cider (04/04/2023)</v>
      </c>
      <c r="H361" s="19"/>
    </row>
    <row r="362">
      <c r="A362" s="9"/>
      <c r="B362" s="15"/>
      <c r="C362" s="9">
        <f>IFERROR(__xludf.DUMMYFUNCTION("""COMPUTED_VALUE"""),45140.86605)</f>
        <v>45140.86605</v>
      </c>
      <c r="D362" s="15">
        <f>IFERROR(__xludf.DUMMYFUNCTION("""COMPUTED_VALUE"""),1.003)</f>
        <v>1.003</v>
      </c>
      <c r="E362" s="16">
        <f>IFERROR(__xludf.DUMMYFUNCTION("""COMPUTED_VALUE"""),73.0)</f>
        <v>73</v>
      </c>
      <c r="F362" s="19" t="str">
        <f>IFERROR(__xludf.DUMMYFUNCTION("""COMPUTED_VALUE"""),"BLACK")</f>
        <v>BLACK</v>
      </c>
      <c r="G362" s="20" t="str">
        <f>IFERROR(__xludf.DUMMYFUNCTION("""COMPUTED_VALUE"""),"Uncle Sams Cider (04/04/2023)")</f>
        <v>Uncle Sams Cider (04/04/2023)</v>
      </c>
      <c r="H362" s="19"/>
    </row>
    <row r="363">
      <c r="A363" s="9"/>
      <c r="B363" s="15"/>
      <c r="C363" s="9">
        <f>IFERROR(__xludf.DUMMYFUNCTION("""COMPUTED_VALUE"""),45140.8556278009)</f>
        <v>45140.85563</v>
      </c>
      <c r="D363" s="15">
        <f>IFERROR(__xludf.DUMMYFUNCTION("""COMPUTED_VALUE"""),1.003)</f>
        <v>1.003</v>
      </c>
      <c r="E363" s="16">
        <f>IFERROR(__xludf.DUMMYFUNCTION("""COMPUTED_VALUE"""),73.0)</f>
        <v>73</v>
      </c>
      <c r="F363" s="19" t="str">
        <f>IFERROR(__xludf.DUMMYFUNCTION("""COMPUTED_VALUE"""),"BLACK")</f>
        <v>BLACK</v>
      </c>
      <c r="G363" s="20" t="str">
        <f>IFERROR(__xludf.DUMMYFUNCTION("""COMPUTED_VALUE"""),"Uncle Sams Cider (04/04/2023)")</f>
        <v>Uncle Sams Cider (04/04/2023)</v>
      </c>
      <c r="H363" s="19"/>
    </row>
    <row r="364">
      <c r="A364" s="9"/>
      <c r="B364" s="15"/>
      <c r="C364" s="9">
        <f>IFERROR(__xludf.DUMMYFUNCTION("""COMPUTED_VALUE"""),45140.8452064814)</f>
        <v>45140.84521</v>
      </c>
      <c r="D364" s="15">
        <f>IFERROR(__xludf.DUMMYFUNCTION("""COMPUTED_VALUE"""),1.003)</f>
        <v>1.003</v>
      </c>
      <c r="E364" s="16">
        <f>IFERROR(__xludf.DUMMYFUNCTION("""COMPUTED_VALUE"""),73.0)</f>
        <v>73</v>
      </c>
      <c r="F364" s="19" t="str">
        <f>IFERROR(__xludf.DUMMYFUNCTION("""COMPUTED_VALUE"""),"BLACK")</f>
        <v>BLACK</v>
      </c>
      <c r="G364" s="20" t="str">
        <f>IFERROR(__xludf.DUMMYFUNCTION("""COMPUTED_VALUE"""),"Uncle Sams Cider (04/04/2023)")</f>
        <v>Uncle Sams Cider (04/04/2023)</v>
      </c>
      <c r="H364" s="19"/>
    </row>
    <row r="365">
      <c r="A365" s="9"/>
      <c r="B365" s="15"/>
      <c r="C365" s="9">
        <f>IFERROR(__xludf.DUMMYFUNCTION("""COMPUTED_VALUE"""),45140.834772662)</f>
        <v>45140.83477</v>
      </c>
      <c r="D365" s="15">
        <f>IFERROR(__xludf.DUMMYFUNCTION("""COMPUTED_VALUE"""),1.003)</f>
        <v>1.003</v>
      </c>
      <c r="E365" s="16">
        <f>IFERROR(__xludf.DUMMYFUNCTION("""COMPUTED_VALUE"""),73.0)</f>
        <v>73</v>
      </c>
      <c r="F365" s="19" t="str">
        <f>IFERROR(__xludf.DUMMYFUNCTION("""COMPUTED_VALUE"""),"BLACK")</f>
        <v>BLACK</v>
      </c>
      <c r="G365" s="20" t="str">
        <f>IFERROR(__xludf.DUMMYFUNCTION("""COMPUTED_VALUE"""),"Uncle Sams Cider (04/04/2023)")</f>
        <v>Uncle Sams Cider (04/04/2023)</v>
      </c>
      <c r="H365" s="19"/>
    </row>
    <row r="366">
      <c r="A366" s="9"/>
      <c r="B366" s="15"/>
      <c r="C366" s="9">
        <f>IFERROR(__xludf.DUMMYFUNCTION("""COMPUTED_VALUE"""),45140.8243387731)</f>
        <v>45140.82434</v>
      </c>
      <c r="D366" s="15">
        <f>IFERROR(__xludf.DUMMYFUNCTION("""COMPUTED_VALUE"""),1.003)</f>
        <v>1.003</v>
      </c>
      <c r="E366" s="16">
        <f>IFERROR(__xludf.DUMMYFUNCTION("""COMPUTED_VALUE"""),73.0)</f>
        <v>73</v>
      </c>
      <c r="F366" s="19" t="str">
        <f>IFERROR(__xludf.DUMMYFUNCTION("""COMPUTED_VALUE"""),"BLACK")</f>
        <v>BLACK</v>
      </c>
      <c r="G366" s="20" t="str">
        <f>IFERROR(__xludf.DUMMYFUNCTION("""COMPUTED_VALUE"""),"Uncle Sams Cider (04/04/2023)")</f>
        <v>Uncle Sams Cider (04/04/2023)</v>
      </c>
      <c r="H366" s="19"/>
    </row>
    <row r="367">
      <c r="A367" s="9"/>
      <c r="B367" s="15"/>
      <c r="C367" s="9">
        <f>IFERROR(__xludf.DUMMYFUNCTION("""COMPUTED_VALUE"""),45140.8139168171)</f>
        <v>45140.81392</v>
      </c>
      <c r="D367" s="15">
        <f>IFERROR(__xludf.DUMMYFUNCTION("""COMPUTED_VALUE"""),1.003)</f>
        <v>1.003</v>
      </c>
      <c r="E367" s="16">
        <f>IFERROR(__xludf.DUMMYFUNCTION("""COMPUTED_VALUE"""),73.0)</f>
        <v>73</v>
      </c>
      <c r="F367" s="19" t="str">
        <f>IFERROR(__xludf.DUMMYFUNCTION("""COMPUTED_VALUE"""),"BLACK")</f>
        <v>BLACK</v>
      </c>
      <c r="G367" s="20" t="str">
        <f>IFERROR(__xludf.DUMMYFUNCTION("""COMPUTED_VALUE"""),"Uncle Sams Cider (04/04/2023)")</f>
        <v>Uncle Sams Cider (04/04/2023)</v>
      </c>
      <c r="H367" s="19"/>
    </row>
    <row r="368">
      <c r="A368" s="9"/>
      <c r="B368" s="15"/>
      <c r="C368" s="9">
        <f>IFERROR(__xludf.DUMMYFUNCTION("""COMPUTED_VALUE"""),45140.8034723495)</f>
        <v>45140.80347</v>
      </c>
      <c r="D368" s="15">
        <f>IFERROR(__xludf.DUMMYFUNCTION("""COMPUTED_VALUE"""),1.003)</f>
        <v>1.003</v>
      </c>
      <c r="E368" s="16">
        <f>IFERROR(__xludf.DUMMYFUNCTION("""COMPUTED_VALUE"""),73.0)</f>
        <v>73</v>
      </c>
      <c r="F368" s="19" t="str">
        <f>IFERROR(__xludf.DUMMYFUNCTION("""COMPUTED_VALUE"""),"BLACK")</f>
        <v>BLACK</v>
      </c>
      <c r="G368" s="20" t="str">
        <f>IFERROR(__xludf.DUMMYFUNCTION("""COMPUTED_VALUE"""),"Uncle Sams Cider (04/04/2023)")</f>
        <v>Uncle Sams Cider (04/04/2023)</v>
      </c>
      <c r="H368" s="19"/>
    </row>
    <row r="369">
      <c r="A369" s="9"/>
      <c r="B369" s="15"/>
      <c r="C369" s="9">
        <f>IFERROR(__xludf.DUMMYFUNCTION("""COMPUTED_VALUE"""),45140.7930512152)</f>
        <v>45140.79305</v>
      </c>
      <c r="D369" s="15">
        <f>IFERROR(__xludf.DUMMYFUNCTION("""COMPUTED_VALUE"""),1.003)</f>
        <v>1.003</v>
      </c>
      <c r="E369" s="16">
        <f>IFERROR(__xludf.DUMMYFUNCTION("""COMPUTED_VALUE"""),73.0)</f>
        <v>73</v>
      </c>
      <c r="F369" s="19" t="str">
        <f>IFERROR(__xludf.DUMMYFUNCTION("""COMPUTED_VALUE"""),"BLACK")</f>
        <v>BLACK</v>
      </c>
      <c r="G369" s="20" t="str">
        <f>IFERROR(__xludf.DUMMYFUNCTION("""COMPUTED_VALUE"""),"Uncle Sams Cider (04/04/2023)")</f>
        <v>Uncle Sams Cider (04/04/2023)</v>
      </c>
      <c r="H369" s="19"/>
    </row>
    <row r="370">
      <c r="A370" s="9"/>
      <c r="B370" s="15"/>
      <c r="C370" s="9">
        <f>IFERROR(__xludf.DUMMYFUNCTION("""COMPUTED_VALUE"""),45140.7826312963)</f>
        <v>45140.78263</v>
      </c>
      <c r="D370" s="15">
        <f>IFERROR(__xludf.DUMMYFUNCTION("""COMPUTED_VALUE"""),1.003)</f>
        <v>1.003</v>
      </c>
      <c r="E370" s="16">
        <f>IFERROR(__xludf.DUMMYFUNCTION("""COMPUTED_VALUE"""),73.0)</f>
        <v>73</v>
      </c>
      <c r="F370" s="19" t="str">
        <f>IFERROR(__xludf.DUMMYFUNCTION("""COMPUTED_VALUE"""),"BLACK")</f>
        <v>BLACK</v>
      </c>
      <c r="G370" s="20" t="str">
        <f>IFERROR(__xludf.DUMMYFUNCTION("""COMPUTED_VALUE"""),"Uncle Sams Cider (04/04/2023)")</f>
        <v>Uncle Sams Cider (04/04/2023)</v>
      </c>
      <c r="H370" s="19"/>
    </row>
    <row r="371">
      <c r="A371" s="9"/>
      <c r="B371" s="15"/>
      <c r="C371" s="9">
        <f>IFERROR(__xludf.DUMMYFUNCTION("""COMPUTED_VALUE"""),45140.7721988541)</f>
        <v>45140.7722</v>
      </c>
      <c r="D371" s="15">
        <f>IFERROR(__xludf.DUMMYFUNCTION("""COMPUTED_VALUE"""),1.003)</f>
        <v>1.003</v>
      </c>
      <c r="E371" s="16">
        <f>IFERROR(__xludf.DUMMYFUNCTION("""COMPUTED_VALUE"""),73.0)</f>
        <v>73</v>
      </c>
      <c r="F371" s="19" t="str">
        <f>IFERROR(__xludf.DUMMYFUNCTION("""COMPUTED_VALUE"""),"BLACK")</f>
        <v>BLACK</v>
      </c>
      <c r="G371" s="20" t="str">
        <f>IFERROR(__xludf.DUMMYFUNCTION("""COMPUTED_VALUE"""),"Uncle Sams Cider (04/04/2023)")</f>
        <v>Uncle Sams Cider (04/04/2023)</v>
      </c>
      <c r="H371" s="19"/>
    </row>
    <row r="372">
      <c r="A372" s="9"/>
      <c r="B372" s="15"/>
      <c r="C372" s="9">
        <f>IFERROR(__xludf.DUMMYFUNCTION("""COMPUTED_VALUE"""),45140.7617770601)</f>
        <v>45140.76178</v>
      </c>
      <c r="D372" s="15">
        <f>IFERROR(__xludf.DUMMYFUNCTION("""COMPUTED_VALUE"""),1.003)</f>
        <v>1.003</v>
      </c>
      <c r="E372" s="16">
        <f>IFERROR(__xludf.DUMMYFUNCTION("""COMPUTED_VALUE"""),73.0)</f>
        <v>73</v>
      </c>
      <c r="F372" s="19" t="str">
        <f>IFERROR(__xludf.DUMMYFUNCTION("""COMPUTED_VALUE"""),"BLACK")</f>
        <v>BLACK</v>
      </c>
      <c r="G372" s="20" t="str">
        <f>IFERROR(__xludf.DUMMYFUNCTION("""COMPUTED_VALUE"""),"Uncle Sams Cider (04/04/2023)")</f>
        <v>Uncle Sams Cider (04/04/2023)</v>
      </c>
      <c r="H372" s="19"/>
    </row>
    <row r="373">
      <c r="A373" s="9"/>
      <c r="B373" s="15"/>
      <c r="C373" s="9">
        <f>IFERROR(__xludf.DUMMYFUNCTION("""COMPUTED_VALUE"""),45140.751344375)</f>
        <v>45140.75134</v>
      </c>
      <c r="D373" s="15">
        <f>IFERROR(__xludf.DUMMYFUNCTION("""COMPUTED_VALUE"""),1.003)</f>
        <v>1.003</v>
      </c>
      <c r="E373" s="16">
        <f>IFERROR(__xludf.DUMMYFUNCTION("""COMPUTED_VALUE"""),73.0)</f>
        <v>73</v>
      </c>
      <c r="F373" s="19" t="str">
        <f>IFERROR(__xludf.DUMMYFUNCTION("""COMPUTED_VALUE"""),"BLACK")</f>
        <v>BLACK</v>
      </c>
      <c r="G373" s="20" t="str">
        <f>IFERROR(__xludf.DUMMYFUNCTION("""COMPUTED_VALUE"""),"Uncle Sams Cider (04/04/2023)")</f>
        <v>Uncle Sams Cider (04/04/2023)</v>
      </c>
      <c r="H373" s="19"/>
    </row>
    <row r="374">
      <c r="A374" s="9"/>
      <c r="B374" s="15"/>
      <c r="C374" s="9">
        <f>IFERROR(__xludf.DUMMYFUNCTION("""COMPUTED_VALUE"""),45140.7409248726)</f>
        <v>45140.74092</v>
      </c>
      <c r="D374" s="15">
        <f>IFERROR(__xludf.DUMMYFUNCTION("""COMPUTED_VALUE"""),1.003)</f>
        <v>1.003</v>
      </c>
      <c r="E374" s="16">
        <f>IFERROR(__xludf.DUMMYFUNCTION("""COMPUTED_VALUE"""),73.0)</f>
        <v>73</v>
      </c>
      <c r="F374" s="19" t="str">
        <f>IFERROR(__xludf.DUMMYFUNCTION("""COMPUTED_VALUE"""),"BLACK")</f>
        <v>BLACK</v>
      </c>
      <c r="G374" s="20" t="str">
        <f>IFERROR(__xludf.DUMMYFUNCTION("""COMPUTED_VALUE"""),"Uncle Sams Cider (04/04/2023)")</f>
        <v>Uncle Sams Cider (04/04/2023)</v>
      </c>
      <c r="H374" s="19"/>
    </row>
    <row r="375">
      <c r="A375" s="9"/>
      <c r="B375" s="15"/>
      <c r="C375" s="9">
        <f>IFERROR(__xludf.DUMMYFUNCTION("""COMPUTED_VALUE"""),45140.7305040277)</f>
        <v>45140.7305</v>
      </c>
      <c r="D375" s="15">
        <f>IFERROR(__xludf.DUMMYFUNCTION("""COMPUTED_VALUE"""),1.003)</f>
        <v>1.003</v>
      </c>
      <c r="E375" s="16">
        <f>IFERROR(__xludf.DUMMYFUNCTION("""COMPUTED_VALUE"""),73.0)</f>
        <v>73</v>
      </c>
      <c r="F375" s="19" t="str">
        <f>IFERROR(__xludf.DUMMYFUNCTION("""COMPUTED_VALUE"""),"BLACK")</f>
        <v>BLACK</v>
      </c>
      <c r="G375" s="20" t="str">
        <f>IFERROR(__xludf.DUMMYFUNCTION("""COMPUTED_VALUE"""),"Uncle Sams Cider (04/04/2023)")</f>
        <v>Uncle Sams Cider (04/04/2023)</v>
      </c>
      <c r="H375" s="19"/>
    </row>
    <row r="376">
      <c r="A376" s="9"/>
      <c r="B376" s="15"/>
      <c r="C376" s="9">
        <f>IFERROR(__xludf.DUMMYFUNCTION("""COMPUTED_VALUE"""),45140.720083449)</f>
        <v>45140.72008</v>
      </c>
      <c r="D376" s="15">
        <f>IFERROR(__xludf.DUMMYFUNCTION("""COMPUTED_VALUE"""),1.003)</f>
        <v>1.003</v>
      </c>
      <c r="E376" s="16">
        <f>IFERROR(__xludf.DUMMYFUNCTION("""COMPUTED_VALUE"""),73.0)</f>
        <v>73</v>
      </c>
      <c r="F376" s="19" t="str">
        <f>IFERROR(__xludf.DUMMYFUNCTION("""COMPUTED_VALUE"""),"BLACK")</f>
        <v>BLACK</v>
      </c>
      <c r="G376" s="20" t="str">
        <f>IFERROR(__xludf.DUMMYFUNCTION("""COMPUTED_VALUE"""),"Uncle Sams Cider (04/04/2023)")</f>
        <v>Uncle Sams Cider (04/04/2023)</v>
      </c>
      <c r="H376" s="19"/>
    </row>
    <row r="377">
      <c r="A377" s="9"/>
      <c r="B377" s="15"/>
      <c r="C377" s="9">
        <f>IFERROR(__xludf.DUMMYFUNCTION("""COMPUTED_VALUE"""),45140.7096619444)</f>
        <v>45140.70966</v>
      </c>
      <c r="D377" s="15">
        <f>IFERROR(__xludf.DUMMYFUNCTION("""COMPUTED_VALUE"""),1.003)</f>
        <v>1.003</v>
      </c>
      <c r="E377" s="16">
        <f>IFERROR(__xludf.DUMMYFUNCTION("""COMPUTED_VALUE"""),73.0)</f>
        <v>73</v>
      </c>
      <c r="F377" s="19" t="str">
        <f>IFERROR(__xludf.DUMMYFUNCTION("""COMPUTED_VALUE"""),"BLACK")</f>
        <v>BLACK</v>
      </c>
      <c r="G377" s="20" t="str">
        <f>IFERROR(__xludf.DUMMYFUNCTION("""COMPUTED_VALUE"""),"Uncle Sams Cider (04/04/2023)")</f>
        <v>Uncle Sams Cider (04/04/2023)</v>
      </c>
      <c r="H377" s="19"/>
    </row>
    <row r="378">
      <c r="A378" s="9"/>
      <c r="B378" s="15"/>
      <c r="C378" s="9">
        <f>IFERROR(__xludf.DUMMYFUNCTION("""COMPUTED_VALUE"""),45140.6992404513)</f>
        <v>45140.69924</v>
      </c>
      <c r="D378" s="15">
        <f>IFERROR(__xludf.DUMMYFUNCTION("""COMPUTED_VALUE"""),1.003)</f>
        <v>1.003</v>
      </c>
      <c r="E378" s="16">
        <f>IFERROR(__xludf.DUMMYFUNCTION("""COMPUTED_VALUE"""),73.0)</f>
        <v>73</v>
      </c>
      <c r="F378" s="19" t="str">
        <f>IFERROR(__xludf.DUMMYFUNCTION("""COMPUTED_VALUE"""),"BLACK")</f>
        <v>BLACK</v>
      </c>
      <c r="G378" s="20" t="str">
        <f>IFERROR(__xludf.DUMMYFUNCTION("""COMPUTED_VALUE"""),"Uncle Sams Cider (04/04/2023)")</f>
        <v>Uncle Sams Cider (04/04/2023)</v>
      </c>
      <c r="H378" s="19"/>
    </row>
    <row r="379">
      <c r="A379" s="9"/>
      <c r="B379" s="15"/>
      <c r="C379" s="9">
        <f>IFERROR(__xludf.DUMMYFUNCTION("""COMPUTED_VALUE"""),45140.6888071412)</f>
        <v>45140.68881</v>
      </c>
      <c r="D379" s="15">
        <f>IFERROR(__xludf.DUMMYFUNCTION("""COMPUTED_VALUE"""),1.003)</f>
        <v>1.003</v>
      </c>
      <c r="E379" s="16">
        <f>IFERROR(__xludf.DUMMYFUNCTION("""COMPUTED_VALUE"""),73.0)</f>
        <v>73</v>
      </c>
      <c r="F379" s="19" t="str">
        <f>IFERROR(__xludf.DUMMYFUNCTION("""COMPUTED_VALUE"""),"BLACK")</f>
        <v>BLACK</v>
      </c>
      <c r="G379" s="20" t="str">
        <f>IFERROR(__xludf.DUMMYFUNCTION("""COMPUTED_VALUE"""),"Uncle Sams Cider (04/04/2023)")</f>
        <v>Uncle Sams Cider (04/04/2023)</v>
      </c>
      <c r="H379" s="19"/>
    </row>
    <row r="380">
      <c r="A380" s="9"/>
      <c r="B380" s="15"/>
      <c r="C380" s="9">
        <f>IFERROR(__xludf.DUMMYFUNCTION("""COMPUTED_VALUE"""),45140.6783858217)</f>
        <v>45140.67839</v>
      </c>
      <c r="D380" s="15">
        <f>IFERROR(__xludf.DUMMYFUNCTION("""COMPUTED_VALUE"""),1.003)</f>
        <v>1.003</v>
      </c>
      <c r="E380" s="16">
        <f>IFERROR(__xludf.DUMMYFUNCTION("""COMPUTED_VALUE"""),73.0)</f>
        <v>73</v>
      </c>
      <c r="F380" s="19" t="str">
        <f>IFERROR(__xludf.DUMMYFUNCTION("""COMPUTED_VALUE"""),"BLACK")</f>
        <v>BLACK</v>
      </c>
      <c r="G380" s="20" t="str">
        <f>IFERROR(__xludf.DUMMYFUNCTION("""COMPUTED_VALUE"""),"Uncle Sams Cider (04/04/2023)")</f>
        <v>Uncle Sams Cider (04/04/2023)</v>
      </c>
      <c r="H380" s="19"/>
    </row>
    <row r="381">
      <c r="A381" s="9"/>
      <c r="B381" s="15"/>
      <c r="C381" s="9">
        <f>IFERROR(__xludf.DUMMYFUNCTION("""COMPUTED_VALUE"""),45140.6679651504)</f>
        <v>45140.66797</v>
      </c>
      <c r="D381" s="15">
        <f>IFERROR(__xludf.DUMMYFUNCTION("""COMPUTED_VALUE"""),1.003)</f>
        <v>1.003</v>
      </c>
      <c r="E381" s="16">
        <f>IFERROR(__xludf.DUMMYFUNCTION("""COMPUTED_VALUE"""),73.0)</f>
        <v>73</v>
      </c>
      <c r="F381" s="19" t="str">
        <f>IFERROR(__xludf.DUMMYFUNCTION("""COMPUTED_VALUE"""),"BLACK")</f>
        <v>BLACK</v>
      </c>
      <c r="G381" s="20" t="str">
        <f>IFERROR(__xludf.DUMMYFUNCTION("""COMPUTED_VALUE"""),"Uncle Sams Cider (04/04/2023)")</f>
        <v>Uncle Sams Cider (04/04/2023)</v>
      </c>
      <c r="H381" s="19"/>
    </row>
    <row r="382">
      <c r="A382" s="9"/>
      <c r="B382" s="15"/>
      <c r="C382" s="9">
        <f>IFERROR(__xludf.DUMMYFUNCTION("""COMPUTED_VALUE"""),45140.6575433333)</f>
        <v>45140.65754</v>
      </c>
      <c r="D382" s="15">
        <f>IFERROR(__xludf.DUMMYFUNCTION("""COMPUTED_VALUE"""),1.003)</f>
        <v>1.003</v>
      </c>
      <c r="E382" s="16">
        <f>IFERROR(__xludf.DUMMYFUNCTION("""COMPUTED_VALUE"""),73.0)</f>
        <v>73</v>
      </c>
      <c r="F382" s="19" t="str">
        <f>IFERROR(__xludf.DUMMYFUNCTION("""COMPUTED_VALUE"""),"BLACK")</f>
        <v>BLACK</v>
      </c>
      <c r="G382" s="20" t="str">
        <f>IFERROR(__xludf.DUMMYFUNCTION("""COMPUTED_VALUE"""),"Uncle Sams Cider (04/04/2023)")</f>
        <v>Uncle Sams Cider (04/04/2023)</v>
      </c>
      <c r="H382" s="19"/>
    </row>
    <row r="383">
      <c r="A383" s="9"/>
      <c r="B383" s="15"/>
      <c r="C383" s="9">
        <f>IFERROR(__xludf.DUMMYFUNCTION("""COMPUTED_VALUE"""),45140.6471215625)</f>
        <v>45140.64712</v>
      </c>
      <c r="D383" s="15">
        <f>IFERROR(__xludf.DUMMYFUNCTION("""COMPUTED_VALUE"""),1.003)</f>
        <v>1.003</v>
      </c>
      <c r="E383" s="16">
        <f>IFERROR(__xludf.DUMMYFUNCTION("""COMPUTED_VALUE"""),73.0)</f>
        <v>73</v>
      </c>
      <c r="F383" s="19" t="str">
        <f>IFERROR(__xludf.DUMMYFUNCTION("""COMPUTED_VALUE"""),"BLACK")</f>
        <v>BLACK</v>
      </c>
      <c r="G383" s="20" t="str">
        <f>IFERROR(__xludf.DUMMYFUNCTION("""COMPUTED_VALUE"""),"Uncle Sams Cider (04/04/2023)")</f>
        <v>Uncle Sams Cider (04/04/2023)</v>
      </c>
      <c r="H383" s="19"/>
    </row>
    <row r="384">
      <c r="A384" s="9"/>
      <c r="B384" s="15"/>
      <c r="C384" s="9">
        <f>IFERROR(__xludf.DUMMYFUNCTION("""COMPUTED_VALUE"""),45140.6366980902)</f>
        <v>45140.6367</v>
      </c>
      <c r="D384" s="15">
        <f>IFERROR(__xludf.DUMMYFUNCTION("""COMPUTED_VALUE"""),1.003)</f>
        <v>1.003</v>
      </c>
      <c r="E384" s="16">
        <f>IFERROR(__xludf.DUMMYFUNCTION("""COMPUTED_VALUE"""),73.0)</f>
        <v>73</v>
      </c>
      <c r="F384" s="19" t="str">
        <f>IFERROR(__xludf.DUMMYFUNCTION("""COMPUTED_VALUE"""),"BLACK")</f>
        <v>BLACK</v>
      </c>
      <c r="G384" s="20" t="str">
        <f>IFERROR(__xludf.DUMMYFUNCTION("""COMPUTED_VALUE"""),"Uncle Sams Cider (04/04/2023)")</f>
        <v>Uncle Sams Cider (04/04/2023)</v>
      </c>
      <c r="H384" s="19"/>
    </row>
    <row r="385">
      <c r="A385" s="9"/>
      <c r="B385" s="15"/>
      <c r="C385" s="9">
        <f>IFERROR(__xludf.DUMMYFUNCTION("""COMPUTED_VALUE"""),45140.6262764236)</f>
        <v>45140.62628</v>
      </c>
      <c r="D385" s="15">
        <f>IFERROR(__xludf.DUMMYFUNCTION("""COMPUTED_VALUE"""),1.003)</f>
        <v>1.003</v>
      </c>
      <c r="E385" s="16">
        <f>IFERROR(__xludf.DUMMYFUNCTION("""COMPUTED_VALUE"""),73.0)</f>
        <v>73</v>
      </c>
      <c r="F385" s="19" t="str">
        <f>IFERROR(__xludf.DUMMYFUNCTION("""COMPUTED_VALUE"""),"BLACK")</f>
        <v>BLACK</v>
      </c>
      <c r="G385" s="20" t="str">
        <f>IFERROR(__xludf.DUMMYFUNCTION("""COMPUTED_VALUE"""),"Uncle Sams Cider (04/04/2023)")</f>
        <v>Uncle Sams Cider (04/04/2023)</v>
      </c>
      <c r="H385" s="19"/>
    </row>
    <row r="386">
      <c r="A386" s="9"/>
      <c r="B386" s="15"/>
      <c r="C386" s="9">
        <f>IFERROR(__xludf.DUMMYFUNCTION("""COMPUTED_VALUE"""),45140.615857199)</f>
        <v>45140.61586</v>
      </c>
      <c r="D386" s="15">
        <f>IFERROR(__xludf.DUMMYFUNCTION("""COMPUTED_VALUE"""),1.003)</f>
        <v>1.003</v>
      </c>
      <c r="E386" s="16">
        <f>IFERROR(__xludf.DUMMYFUNCTION("""COMPUTED_VALUE"""),73.0)</f>
        <v>73</v>
      </c>
      <c r="F386" s="19" t="str">
        <f>IFERROR(__xludf.DUMMYFUNCTION("""COMPUTED_VALUE"""),"BLACK")</f>
        <v>BLACK</v>
      </c>
      <c r="G386" s="20" t="str">
        <f>IFERROR(__xludf.DUMMYFUNCTION("""COMPUTED_VALUE"""),"Uncle Sams Cider (04/04/2023)")</f>
        <v>Uncle Sams Cider (04/04/2023)</v>
      </c>
      <c r="H386" s="19"/>
    </row>
    <row r="387">
      <c r="A387" s="9"/>
      <c r="B387" s="15"/>
      <c r="C387" s="9">
        <f>IFERROR(__xludf.DUMMYFUNCTION("""COMPUTED_VALUE"""),45140.6054367824)</f>
        <v>45140.60544</v>
      </c>
      <c r="D387" s="15">
        <f>IFERROR(__xludf.DUMMYFUNCTION("""COMPUTED_VALUE"""),1.003)</f>
        <v>1.003</v>
      </c>
      <c r="E387" s="16">
        <f>IFERROR(__xludf.DUMMYFUNCTION("""COMPUTED_VALUE"""),73.0)</f>
        <v>73</v>
      </c>
      <c r="F387" s="19" t="str">
        <f>IFERROR(__xludf.DUMMYFUNCTION("""COMPUTED_VALUE"""),"BLACK")</f>
        <v>BLACK</v>
      </c>
      <c r="G387" s="20" t="str">
        <f>IFERROR(__xludf.DUMMYFUNCTION("""COMPUTED_VALUE"""),"Uncle Sams Cider (04/04/2023)")</f>
        <v>Uncle Sams Cider (04/04/2023)</v>
      </c>
      <c r="H387" s="19"/>
    </row>
    <row r="388">
      <c r="A388" s="9"/>
      <c r="B388" s="15"/>
      <c r="C388" s="9">
        <f>IFERROR(__xludf.DUMMYFUNCTION("""COMPUTED_VALUE"""),45140.5950177083)</f>
        <v>45140.59502</v>
      </c>
      <c r="D388" s="15">
        <f>IFERROR(__xludf.DUMMYFUNCTION("""COMPUTED_VALUE"""),1.003)</f>
        <v>1.003</v>
      </c>
      <c r="E388" s="16">
        <f>IFERROR(__xludf.DUMMYFUNCTION("""COMPUTED_VALUE"""),73.0)</f>
        <v>73</v>
      </c>
      <c r="F388" s="19" t="str">
        <f>IFERROR(__xludf.DUMMYFUNCTION("""COMPUTED_VALUE"""),"BLACK")</f>
        <v>BLACK</v>
      </c>
      <c r="G388" s="20" t="str">
        <f>IFERROR(__xludf.DUMMYFUNCTION("""COMPUTED_VALUE"""),"Uncle Sams Cider (04/04/2023)")</f>
        <v>Uncle Sams Cider (04/04/2023)</v>
      </c>
      <c r="H388" s="19"/>
    </row>
    <row r="389">
      <c r="A389" s="9"/>
      <c r="B389" s="15"/>
      <c r="C389" s="9">
        <f>IFERROR(__xludf.DUMMYFUNCTION("""COMPUTED_VALUE"""),45140.5845957754)</f>
        <v>45140.5846</v>
      </c>
      <c r="D389" s="15">
        <f>IFERROR(__xludf.DUMMYFUNCTION("""COMPUTED_VALUE"""),1.003)</f>
        <v>1.003</v>
      </c>
      <c r="E389" s="16">
        <f>IFERROR(__xludf.DUMMYFUNCTION("""COMPUTED_VALUE"""),73.0)</f>
        <v>73</v>
      </c>
      <c r="F389" s="19" t="str">
        <f>IFERROR(__xludf.DUMMYFUNCTION("""COMPUTED_VALUE"""),"BLACK")</f>
        <v>BLACK</v>
      </c>
      <c r="G389" s="20" t="str">
        <f>IFERROR(__xludf.DUMMYFUNCTION("""COMPUTED_VALUE"""),"Uncle Sams Cider (04/04/2023)")</f>
        <v>Uncle Sams Cider (04/04/2023)</v>
      </c>
      <c r="H389" s="19"/>
    </row>
    <row r="390">
      <c r="A390" s="9"/>
      <c r="B390" s="15"/>
      <c r="C390" s="9">
        <f>IFERROR(__xludf.DUMMYFUNCTION("""COMPUTED_VALUE"""),45140.574173912)</f>
        <v>45140.57417</v>
      </c>
      <c r="D390" s="15">
        <f>IFERROR(__xludf.DUMMYFUNCTION("""COMPUTED_VALUE"""),1.003)</f>
        <v>1.003</v>
      </c>
      <c r="E390" s="16">
        <f>IFERROR(__xludf.DUMMYFUNCTION("""COMPUTED_VALUE"""),73.0)</f>
        <v>73</v>
      </c>
      <c r="F390" s="19" t="str">
        <f>IFERROR(__xludf.DUMMYFUNCTION("""COMPUTED_VALUE"""),"BLACK")</f>
        <v>BLACK</v>
      </c>
      <c r="G390" s="20" t="str">
        <f>IFERROR(__xludf.DUMMYFUNCTION("""COMPUTED_VALUE"""),"Uncle Sams Cider (04/04/2023)")</f>
        <v>Uncle Sams Cider (04/04/2023)</v>
      </c>
      <c r="H390" s="19"/>
    </row>
    <row r="391">
      <c r="A391" s="9"/>
      <c r="B391" s="15"/>
      <c r="C391" s="9">
        <f>IFERROR(__xludf.DUMMYFUNCTION("""COMPUTED_VALUE"""),45140.5637515393)</f>
        <v>45140.56375</v>
      </c>
      <c r="D391" s="15">
        <f>IFERROR(__xludf.DUMMYFUNCTION("""COMPUTED_VALUE"""),1.003)</f>
        <v>1.003</v>
      </c>
      <c r="E391" s="16">
        <f>IFERROR(__xludf.DUMMYFUNCTION("""COMPUTED_VALUE"""),73.0)</f>
        <v>73</v>
      </c>
      <c r="F391" s="19" t="str">
        <f>IFERROR(__xludf.DUMMYFUNCTION("""COMPUTED_VALUE"""),"BLACK")</f>
        <v>BLACK</v>
      </c>
      <c r="G391" s="20" t="str">
        <f>IFERROR(__xludf.DUMMYFUNCTION("""COMPUTED_VALUE"""),"Uncle Sams Cider (04/04/2023)")</f>
        <v>Uncle Sams Cider (04/04/2023)</v>
      </c>
      <c r="H391" s="19"/>
    </row>
    <row r="392">
      <c r="A392" s="9"/>
      <c r="B392" s="15"/>
      <c r="C392" s="9">
        <f>IFERROR(__xludf.DUMMYFUNCTION("""COMPUTED_VALUE"""),45140.5533320486)</f>
        <v>45140.55333</v>
      </c>
      <c r="D392" s="15">
        <f>IFERROR(__xludf.DUMMYFUNCTION("""COMPUTED_VALUE"""),1.003)</f>
        <v>1.003</v>
      </c>
      <c r="E392" s="16">
        <f>IFERROR(__xludf.DUMMYFUNCTION("""COMPUTED_VALUE"""),73.0)</f>
        <v>73</v>
      </c>
      <c r="F392" s="19" t="str">
        <f>IFERROR(__xludf.DUMMYFUNCTION("""COMPUTED_VALUE"""),"BLACK")</f>
        <v>BLACK</v>
      </c>
      <c r="G392" s="20" t="str">
        <f>IFERROR(__xludf.DUMMYFUNCTION("""COMPUTED_VALUE"""),"Uncle Sams Cider (04/04/2023)")</f>
        <v>Uncle Sams Cider (04/04/2023)</v>
      </c>
      <c r="H392" s="19"/>
    </row>
    <row r="393">
      <c r="A393" s="9"/>
      <c r="B393" s="15"/>
      <c r="C393" s="9">
        <f>IFERROR(__xludf.DUMMYFUNCTION("""COMPUTED_VALUE"""),45140.5429101388)</f>
        <v>45140.54291</v>
      </c>
      <c r="D393" s="15">
        <f>IFERROR(__xludf.DUMMYFUNCTION("""COMPUTED_VALUE"""),1.003)</f>
        <v>1.003</v>
      </c>
      <c r="E393" s="16">
        <f>IFERROR(__xludf.DUMMYFUNCTION("""COMPUTED_VALUE"""),73.0)</f>
        <v>73</v>
      </c>
      <c r="F393" s="19" t="str">
        <f>IFERROR(__xludf.DUMMYFUNCTION("""COMPUTED_VALUE"""),"BLACK")</f>
        <v>BLACK</v>
      </c>
      <c r="G393" s="20" t="str">
        <f>IFERROR(__xludf.DUMMYFUNCTION("""COMPUTED_VALUE"""),"Uncle Sams Cider (04/04/2023)")</f>
        <v>Uncle Sams Cider (04/04/2023)</v>
      </c>
      <c r="H393" s="19"/>
    </row>
    <row r="394">
      <c r="A394" s="9"/>
      <c r="B394" s="15"/>
      <c r="C394" s="9">
        <f>IFERROR(__xludf.DUMMYFUNCTION("""COMPUTED_VALUE"""),45140.5324882291)</f>
        <v>45140.53249</v>
      </c>
      <c r="D394" s="15">
        <f>IFERROR(__xludf.DUMMYFUNCTION("""COMPUTED_VALUE"""),1.003)</f>
        <v>1.003</v>
      </c>
      <c r="E394" s="16">
        <f>IFERROR(__xludf.DUMMYFUNCTION("""COMPUTED_VALUE"""),73.0)</f>
        <v>73</v>
      </c>
      <c r="F394" s="19" t="str">
        <f>IFERROR(__xludf.DUMMYFUNCTION("""COMPUTED_VALUE"""),"BLACK")</f>
        <v>BLACK</v>
      </c>
      <c r="G394" s="20" t="str">
        <f>IFERROR(__xludf.DUMMYFUNCTION("""COMPUTED_VALUE"""),"Uncle Sams Cider (04/04/2023)")</f>
        <v>Uncle Sams Cider (04/04/2023)</v>
      </c>
      <c r="H394" s="19"/>
    </row>
    <row r="395">
      <c r="A395" s="9"/>
      <c r="B395" s="15"/>
      <c r="C395" s="9">
        <f>IFERROR(__xludf.DUMMYFUNCTION("""COMPUTED_VALUE"""),45140.5220560879)</f>
        <v>45140.52206</v>
      </c>
      <c r="D395" s="15">
        <f>IFERROR(__xludf.DUMMYFUNCTION("""COMPUTED_VALUE"""),1.003)</f>
        <v>1.003</v>
      </c>
      <c r="E395" s="16">
        <f>IFERROR(__xludf.DUMMYFUNCTION("""COMPUTED_VALUE"""),73.0)</f>
        <v>73</v>
      </c>
      <c r="F395" s="19" t="str">
        <f>IFERROR(__xludf.DUMMYFUNCTION("""COMPUTED_VALUE"""),"BLACK")</f>
        <v>BLACK</v>
      </c>
      <c r="G395" s="20" t="str">
        <f>IFERROR(__xludf.DUMMYFUNCTION("""COMPUTED_VALUE"""),"Uncle Sams Cider (04/04/2023)")</f>
        <v>Uncle Sams Cider (04/04/2023)</v>
      </c>
      <c r="H395" s="19"/>
    </row>
    <row r="396">
      <c r="A396" s="9"/>
      <c r="B396" s="15"/>
      <c r="C396" s="9">
        <f>IFERROR(__xludf.DUMMYFUNCTION("""COMPUTED_VALUE"""),45140.5116365162)</f>
        <v>45140.51164</v>
      </c>
      <c r="D396" s="15">
        <f>IFERROR(__xludf.DUMMYFUNCTION("""COMPUTED_VALUE"""),1.003)</f>
        <v>1.003</v>
      </c>
      <c r="E396" s="16">
        <f>IFERROR(__xludf.DUMMYFUNCTION("""COMPUTED_VALUE"""),73.0)</f>
        <v>73</v>
      </c>
      <c r="F396" s="19" t="str">
        <f>IFERROR(__xludf.DUMMYFUNCTION("""COMPUTED_VALUE"""),"BLACK")</f>
        <v>BLACK</v>
      </c>
      <c r="G396" s="20" t="str">
        <f>IFERROR(__xludf.DUMMYFUNCTION("""COMPUTED_VALUE"""),"Uncle Sams Cider (04/04/2023)")</f>
        <v>Uncle Sams Cider (04/04/2023)</v>
      </c>
      <c r="H396" s="19"/>
    </row>
    <row r="397">
      <c r="A397" s="9"/>
      <c r="B397" s="15"/>
      <c r="C397" s="9">
        <f>IFERROR(__xludf.DUMMYFUNCTION("""COMPUTED_VALUE"""),45140.5012036111)</f>
        <v>45140.5012</v>
      </c>
      <c r="D397" s="15">
        <f>IFERROR(__xludf.DUMMYFUNCTION("""COMPUTED_VALUE"""),1.003)</f>
        <v>1.003</v>
      </c>
      <c r="E397" s="16">
        <f>IFERROR(__xludf.DUMMYFUNCTION("""COMPUTED_VALUE"""),73.0)</f>
        <v>73</v>
      </c>
      <c r="F397" s="19" t="str">
        <f>IFERROR(__xludf.DUMMYFUNCTION("""COMPUTED_VALUE"""),"BLACK")</f>
        <v>BLACK</v>
      </c>
      <c r="G397" s="20" t="str">
        <f>IFERROR(__xludf.DUMMYFUNCTION("""COMPUTED_VALUE"""),"Uncle Sams Cider (04/04/2023)")</f>
        <v>Uncle Sams Cider (04/04/2023)</v>
      </c>
      <c r="H397" s="19"/>
    </row>
    <row r="398">
      <c r="A398" s="9"/>
      <c r="B398" s="15"/>
      <c r="C398" s="9">
        <f>IFERROR(__xludf.DUMMYFUNCTION("""COMPUTED_VALUE"""),45140.4907831944)</f>
        <v>45140.49078</v>
      </c>
      <c r="D398" s="15">
        <f>IFERROR(__xludf.DUMMYFUNCTION("""COMPUTED_VALUE"""),1.003)</f>
        <v>1.003</v>
      </c>
      <c r="E398" s="16">
        <f>IFERROR(__xludf.DUMMYFUNCTION("""COMPUTED_VALUE"""),73.0)</f>
        <v>73</v>
      </c>
      <c r="F398" s="19" t="str">
        <f>IFERROR(__xludf.DUMMYFUNCTION("""COMPUTED_VALUE"""),"BLACK")</f>
        <v>BLACK</v>
      </c>
      <c r="G398" s="20" t="str">
        <f>IFERROR(__xludf.DUMMYFUNCTION("""COMPUTED_VALUE"""),"Uncle Sams Cider (04/04/2023)")</f>
        <v>Uncle Sams Cider (04/04/2023)</v>
      </c>
      <c r="H398" s="19"/>
    </row>
    <row r="399">
      <c r="A399" s="9"/>
      <c r="B399" s="15"/>
      <c r="C399" s="9">
        <f>IFERROR(__xludf.DUMMYFUNCTION("""COMPUTED_VALUE"""),45140.4803615625)</f>
        <v>45140.48036</v>
      </c>
      <c r="D399" s="15">
        <f>IFERROR(__xludf.DUMMYFUNCTION("""COMPUTED_VALUE"""),1.003)</f>
        <v>1.003</v>
      </c>
      <c r="E399" s="16">
        <f>IFERROR(__xludf.DUMMYFUNCTION("""COMPUTED_VALUE"""),73.0)</f>
        <v>73</v>
      </c>
      <c r="F399" s="19" t="str">
        <f>IFERROR(__xludf.DUMMYFUNCTION("""COMPUTED_VALUE"""),"BLACK")</f>
        <v>BLACK</v>
      </c>
      <c r="G399" s="20" t="str">
        <f>IFERROR(__xludf.DUMMYFUNCTION("""COMPUTED_VALUE"""),"Uncle Sams Cider (04/04/2023)")</f>
        <v>Uncle Sams Cider (04/04/2023)</v>
      </c>
      <c r="H399" s="19"/>
    </row>
    <row r="400">
      <c r="A400" s="9"/>
      <c r="B400" s="15"/>
      <c r="C400" s="9">
        <f>IFERROR(__xludf.DUMMYFUNCTION("""COMPUTED_VALUE"""),45140.4699412847)</f>
        <v>45140.46994</v>
      </c>
      <c r="D400" s="15">
        <f>IFERROR(__xludf.DUMMYFUNCTION("""COMPUTED_VALUE"""),1.003)</f>
        <v>1.003</v>
      </c>
      <c r="E400" s="16">
        <f>IFERROR(__xludf.DUMMYFUNCTION("""COMPUTED_VALUE"""),73.0)</f>
        <v>73</v>
      </c>
      <c r="F400" s="19" t="str">
        <f>IFERROR(__xludf.DUMMYFUNCTION("""COMPUTED_VALUE"""),"BLACK")</f>
        <v>BLACK</v>
      </c>
      <c r="G400" s="20" t="str">
        <f>IFERROR(__xludf.DUMMYFUNCTION("""COMPUTED_VALUE"""),"Uncle Sams Cider (04/04/2023)")</f>
        <v>Uncle Sams Cider (04/04/2023)</v>
      </c>
      <c r="H400" s="19"/>
    </row>
    <row r="401">
      <c r="A401" s="9"/>
      <c r="B401" s="15"/>
      <c r="C401" s="9">
        <f>IFERROR(__xludf.DUMMYFUNCTION("""COMPUTED_VALUE"""),45140.4595203009)</f>
        <v>45140.45952</v>
      </c>
      <c r="D401" s="15">
        <f>IFERROR(__xludf.DUMMYFUNCTION("""COMPUTED_VALUE"""),1.003)</f>
        <v>1.003</v>
      </c>
      <c r="E401" s="16">
        <f>IFERROR(__xludf.DUMMYFUNCTION("""COMPUTED_VALUE"""),73.0)</f>
        <v>73</v>
      </c>
      <c r="F401" s="19" t="str">
        <f>IFERROR(__xludf.DUMMYFUNCTION("""COMPUTED_VALUE"""),"BLACK")</f>
        <v>BLACK</v>
      </c>
      <c r="G401" s="20" t="str">
        <f>IFERROR(__xludf.DUMMYFUNCTION("""COMPUTED_VALUE"""),"Uncle Sams Cider (04/04/2023)")</f>
        <v>Uncle Sams Cider (04/04/2023)</v>
      </c>
      <c r="H401" s="19"/>
    </row>
    <row r="402">
      <c r="A402" s="9"/>
      <c r="B402" s="15"/>
      <c r="C402" s="9">
        <f>IFERROR(__xludf.DUMMYFUNCTION("""COMPUTED_VALUE"""),45140.4490999537)</f>
        <v>45140.4491</v>
      </c>
      <c r="D402" s="15">
        <f>IFERROR(__xludf.DUMMYFUNCTION("""COMPUTED_VALUE"""),1.003)</f>
        <v>1.003</v>
      </c>
      <c r="E402" s="16">
        <f>IFERROR(__xludf.DUMMYFUNCTION("""COMPUTED_VALUE"""),73.0)</f>
        <v>73</v>
      </c>
      <c r="F402" s="19" t="str">
        <f>IFERROR(__xludf.DUMMYFUNCTION("""COMPUTED_VALUE"""),"BLACK")</f>
        <v>BLACK</v>
      </c>
      <c r="G402" s="20" t="str">
        <f>IFERROR(__xludf.DUMMYFUNCTION("""COMPUTED_VALUE"""),"Uncle Sams Cider (04/04/2023)")</f>
        <v>Uncle Sams Cider (04/04/2023)</v>
      </c>
      <c r="H402" s="19"/>
    </row>
    <row r="403">
      <c r="A403" s="9"/>
      <c r="B403" s="15"/>
      <c r="C403" s="9">
        <f>IFERROR(__xludf.DUMMYFUNCTION("""COMPUTED_VALUE"""),45140.4386782638)</f>
        <v>45140.43868</v>
      </c>
      <c r="D403" s="15">
        <f>IFERROR(__xludf.DUMMYFUNCTION("""COMPUTED_VALUE"""),1.003)</f>
        <v>1.003</v>
      </c>
      <c r="E403" s="16">
        <f>IFERROR(__xludf.DUMMYFUNCTION("""COMPUTED_VALUE"""),73.0)</f>
        <v>73</v>
      </c>
      <c r="F403" s="19" t="str">
        <f>IFERROR(__xludf.DUMMYFUNCTION("""COMPUTED_VALUE"""),"BLACK")</f>
        <v>BLACK</v>
      </c>
      <c r="G403" s="20" t="str">
        <f>IFERROR(__xludf.DUMMYFUNCTION("""COMPUTED_VALUE"""),"Uncle Sams Cider (04/04/2023)")</f>
        <v>Uncle Sams Cider (04/04/2023)</v>
      </c>
      <c r="H403" s="19"/>
    </row>
    <row r="404">
      <c r="A404" s="9"/>
      <c r="B404" s="15"/>
      <c r="C404" s="9">
        <f>IFERROR(__xludf.DUMMYFUNCTION("""COMPUTED_VALUE"""),45140.4282563425)</f>
        <v>45140.42826</v>
      </c>
      <c r="D404" s="15">
        <f>IFERROR(__xludf.DUMMYFUNCTION("""COMPUTED_VALUE"""),1.003)</f>
        <v>1.003</v>
      </c>
      <c r="E404" s="16">
        <f>IFERROR(__xludf.DUMMYFUNCTION("""COMPUTED_VALUE"""),73.0)</f>
        <v>73</v>
      </c>
      <c r="F404" s="19" t="str">
        <f>IFERROR(__xludf.DUMMYFUNCTION("""COMPUTED_VALUE"""),"BLACK")</f>
        <v>BLACK</v>
      </c>
      <c r="G404" s="20" t="str">
        <f>IFERROR(__xludf.DUMMYFUNCTION("""COMPUTED_VALUE"""),"Uncle Sams Cider (04/04/2023)")</f>
        <v>Uncle Sams Cider (04/04/2023)</v>
      </c>
      <c r="H404" s="19"/>
    </row>
    <row r="405">
      <c r="A405" s="9"/>
      <c r="B405" s="15"/>
      <c r="C405" s="9">
        <f>IFERROR(__xludf.DUMMYFUNCTION("""COMPUTED_VALUE"""),45140.4178345717)</f>
        <v>45140.41783</v>
      </c>
      <c r="D405" s="15">
        <f>IFERROR(__xludf.DUMMYFUNCTION("""COMPUTED_VALUE"""),1.003)</f>
        <v>1.003</v>
      </c>
      <c r="E405" s="16">
        <f>IFERROR(__xludf.DUMMYFUNCTION("""COMPUTED_VALUE"""),73.0)</f>
        <v>73</v>
      </c>
      <c r="F405" s="19" t="str">
        <f>IFERROR(__xludf.DUMMYFUNCTION("""COMPUTED_VALUE"""),"BLACK")</f>
        <v>BLACK</v>
      </c>
      <c r="G405" s="20" t="str">
        <f>IFERROR(__xludf.DUMMYFUNCTION("""COMPUTED_VALUE"""),"Uncle Sams Cider (04/04/2023)")</f>
        <v>Uncle Sams Cider (04/04/2023)</v>
      </c>
      <c r="H405" s="19"/>
    </row>
    <row r="406">
      <c r="A406" s="9"/>
      <c r="B406" s="15"/>
      <c r="C406" s="9">
        <f>IFERROR(__xludf.DUMMYFUNCTION("""COMPUTED_VALUE"""),45140.4074154398)</f>
        <v>45140.40742</v>
      </c>
      <c r="D406" s="15">
        <f>IFERROR(__xludf.DUMMYFUNCTION("""COMPUTED_VALUE"""),1.003)</f>
        <v>1.003</v>
      </c>
      <c r="E406" s="16">
        <f>IFERROR(__xludf.DUMMYFUNCTION("""COMPUTED_VALUE"""),73.0)</f>
        <v>73</v>
      </c>
      <c r="F406" s="19" t="str">
        <f>IFERROR(__xludf.DUMMYFUNCTION("""COMPUTED_VALUE"""),"BLACK")</f>
        <v>BLACK</v>
      </c>
      <c r="G406" s="20" t="str">
        <f>IFERROR(__xludf.DUMMYFUNCTION("""COMPUTED_VALUE"""),"Uncle Sams Cider (04/04/2023)")</f>
        <v>Uncle Sams Cider (04/04/2023)</v>
      </c>
      <c r="H406" s="19"/>
    </row>
    <row r="407">
      <c r="A407" s="9"/>
      <c r="B407" s="15"/>
      <c r="C407" s="9">
        <f>IFERROR(__xludf.DUMMYFUNCTION("""COMPUTED_VALUE"""),45140.3969939583)</f>
        <v>45140.39699</v>
      </c>
      <c r="D407" s="15">
        <f>IFERROR(__xludf.DUMMYFUNCTION("""COMPUTED_VALUE"""),1.003)</f>
        <v>1.003</v>
      </c>
      <c r="E407" s="16">
        <f>IFERROR(__xludf.DUMMYFUNCTION("""COMPUTED_VALUE"""),73.0)</f>
        <v>73</v>
      </c>
      <c r="F407" s="19" t="str">
        <f>IFERROR(__xludf.DUMMYFUNCTION("""COMPUTED_VALUE"""),"BLACK")</f>
        <v>BLACK</v>
      </c>
      <c r="G407" s="20" t="str">
        <f>IFERROR(__xludf.DUMMYFUNCTION("""COMPUTED_VALUE"""),"Uncle Sams Cider (04/04/2023)")</f>
        <v>Uncle Sams Cider (04/04/2023)</v>
      </c>
      <c r="H407" s="19"/>
    </row>
    <row r="408">
      <c r="A408" s="9"/>
      <c r="B408" s="15"/>
      <c r="C408" s="9">
        <f>IFERROR(__xludf.DUMMYFUNCTION("""COMPUTED_VALUE"""),45140.3865711689)</f>
        <v>45140.38657</v>
      </c>
      <c r="D408" s="15">
        <f>IFERROR(__xludf.DUMMYFUNCTION("""COMPUTED_VALUE"""),1.003)</f>
        <v>1.003</v>
      </c>
      <c r="E408" s="16">
        <f>IFERROR(__xludf.DUMMYFUNCTION("""COMPUTED_VALUE"""),73.0)</f>
        <v>73</v>
      </c>
      <c r="F408" s="19" t="str">
        <f>IFERROR(__xludf.DUMMYFUNCTION("""COMPUTED_VALUE"""),"BLACK")</f>
        <v>BLACK</v>
      </c>
      <c r="G408" s="20" t="str">
        <f>IFERROR(__xludf.DUMMYFUNCTION("""COMPUTED_VALUE"""),"Uncle Sams Cider (04/04/2023)")</f>
        <v>Uncle Sams Cider (04/04/2023)</v>
      </c>
      <c r="H408" s="19"/>
    </row>
    <row r="409">
      <c r="A409" s="9"/>
      <c r="B409" s="15"/>
      <c r="C409" s="9">
        <f>IFERROR(__xludf.DUMMYFUNCTION("""COMPUTED_VALUE"""),45140.376150081)</f>
        <v>45140.37615</v>
      </c>
      <c r="D409" s="15">
        <f>IFERROR(__xludf.DUMMYFUNCTION("""COMPUTED_VALUE"""),1.003)</f>
        <v>1.003</v>
      </c>
      <c r="E409" s="16">
        <f>IFERROR(__xludf.DUMMYFUNCTION("""COMPUTED_VALUE"""),73.0)</f>
        <v>73</v>
      </c>
      <c r="F409" s="19" t="str">
        <f>IFERROR(__xludf.DUMMYFUNCTION("""COMPUTED_VALUE"""),"BLACK")</f>
        <v>BLACK</v>
      </c>
      <c r="G409" s="20" t="str">
        <f>IFERROR(__xludf.DUMMYFUNCTION("""COMPUTED_VALUE"""),"Uncle Sams Cider (04/04/2023)")</f>
        <v>Uncle Sams Cider (04/04/2023)</v>
      </c>
      <c r="H409" s="19"/>
    </row>
    <row r="410">
      <c r="A410" s="9"/>
      <c r="B410" s="15"/>
      <c r="C410" s="9">
        <f>IFERROR(__xludf.DUMMYFUNCTION("""COMPUTED_VALUE"""),45140.3657292708)</f>
        <v>45140.36573</v>
      </c>
      <c r="D410" s="15">
        <f>IFERROR(__xludf.DUMMYFUNCTION("""COMPUTED_VALUE"""),1.003)</f>
        <v>1.003</v>
      </c>
      <c r="E410" s="16">
        <f>IFERROR(__xludf.DUMMYFUNCTION("""COMPUTED_VALUE"""),73.0)</f>
        <v>73</v>
      </c>
      <c r="F410" s="19" t="str">
        <f>IFERROR(__xludf.DUMMYFUNCTION("""COMPUTED_VALUE"""),"BLACK")</f>
        <v>BLACK</v>
      </c>
      <c r="G410" s="20" t="str">
        <f>IFERROR(__xludf.DUMMYFUNCTION("""COMPUTED_VALUE"""),"Uncle Sams Cider (04/04/2023)")</f>
        <v>Uncle Sams Cider (04/04/2023)</v>
      </c>
      <c r="H410" s="19"/>
    </row>
    <row r="411">
      <c r="A411" s="9"/>
      <c r="B411" s="15"/>
      <c r="C411" s="9">
        <f>IFERROR(__xludf.DUMMYFUNCTION("""COMPUTED_VALUE"""),45140.3552946296)</f>
        <v>45140.35529</v>
      </c>
      <c r="D411" s="15">
        <f>IFERROR(__xludf.DUMMYFUNCTION("""COMPUTED_VALUE"""),1.003)</f>
        <v>1.003</v>
      </c>
      <c r="E411" s="16">
        <f>IFERROR(__xludf.DUMMYFUNCTION("""COMPUTED_VALUE"""),73.0)</f>
        <v>73</v>
      </c>
      <c r="F411" s="19" t="str">
        <f>IFERROR(__xludf.DUMMYFUNCTION("""COMPUTED_VALUE"""),"BLACK")</f>
        <v>BLACK</v>
      </c>
      <c r="G411" s="20" t="str">
        <f>IFERROR(__xludf.DUMMYFUNCTION("""COMPUTED_VALUE"""),"Uncle Sams Cider (04/04/2023)")</f>
        <v>Uncle Sams Cider (04/04/2023)</v>
      </c>
      <c r="H411" s="19"/>
    </row>
    <row r="412">
      <c r="A412" s="9"/>
      <c r="B412" s="15"/>
      <c r="C412" s="9">
        <f>IFERROR(__xludf.DUMMYFUNCTION("""COMPUTED_VALUE"""),45140.3448748148)</f>
        <v>45140.34487</v>
      </c>
      <c r="D412" s="15">
        <f>IFERROR(__xludf.DUMMYFUNCTION("""COMPUTED_VALUE"""),1.003)</f>
        <v>1.003</v>
      </c>
      <c r="E412" s="16">
        <f>IFERROR(__xludf.DUMMYFUNCTION("""COMPUTED_VALUE"""),73.0)</f>
        <v>73</v>
      </c>
      <c r="F412" s="19" t="str">
        <f>IFERROR(__xludf.DUMMYFUNCTION("""COMPUTED_VALUE"""),"BLACK")</f>
        <v>BLACK</v>
      </c>
      <c r="G412" s="20" t="str">
        <f>IFERROR(__xludf.DUMMYFUNCTION("""COMPUTED_VALUE"""),"Uncle Sams Cider (04/04/2023)")</f>
        <v>Uncle Sams Cider (04/04/2023)</v>
      </c>
      <c r="H412" s="19"/>
    </row>
    <row r="413">
      <c r="A413" s="9"/>
      <c r="B413" s="15"/>
      <c r="C413" s="9">
        <f>IFERROR(__xludf.DUMMYFUNCTION("""COMPUTED_VALUE"""),45140.3344418518)</f>
        <v>45140.33444</v>
      </c>
      <c r="D413" s="15">
        <f>IFERROR(__xludf.DUMMYFUNCTION("""COMPUTED_VALUE"""),1.003)</f>
        <v>1.003</v>
      </c>
      <c r="E413" s="16">
        <f>IFERROR(__xludf.DUMMYFUNCTION("""COMPUTED_VALUE"""),73.0)</f>
        <v>73</v>
      </c>
      <c r="F413" s="19" t="str">
        <f>IFERROR(__xludf.DUMMYFUNCTION("""COMPUTED_VALUE"""),"BLACK")</f>
        <v>BLACK</v>
      </c>
      <c r="G413" s="20" t="str">
        <f>IFERROR(__xludf.DUMMYFUNCTION("""COMPUTED_VALUE"""),"Uncle Sams Cider (04/04/2023)")</f>
        <v>Uncle Sams Cider (04/04/2023)</v>
      </c>
      <c r="H413" s="19"/>
    </row>
    <row r="414">
      <c r="A414" s="9"/>
      <c r="B414" s="15"/>
      <c r="C414" s="9">
        <f>IFERROR(__xludf.DUMMYFUNCTION("""COMPUTED_VALUE"""),45140.3240206365)</f>
        <v>45140.32402</v>
      </c>
      <c r="D414" s="15">
        <f>IFERROR(__xludf.DUMMYFUNCTION("""COMPUTED_VALUE"""),1.003)</f>
        <v>1.003</v>
      </c>
      <c r="E414" s="16">
        <f>IFERROR(__xludf.DUMMYFUNCTION("""COMPUTED_VALUE"""),73.0)</f>
        <v>73</v>
      </c>
      <c r="F414" s="19" t="str">
        <f>IFERROR(__xludf.DUMMYFUNCTION("""COMPUTED_VALUE"""),"BLACK")</f>
        <v>BLACK</v>
      </c>
      <c r="G414" s="20" t="str">
        <f>IFERROR(__xludf.DUMMYFUNCTION("""COMPUTED_VALUE"""),"Uncle Sams Cider (04/04/2023)")</f>
        <v>Uncle Sams Cider (04/04/2023)</v>
      </c>
      <c r="H414" s="19"/>
    </row>
    <row r="415">
      <c r="A415" s="9"/>
      <c r="B415" s="15"/>
      <c r="C415" s="9">
        <f>IFERROR(__xludf.DUMMYFUNCTION("""COMPUTED_VALUE"""),45140.3135995717)</f>
        <v>45140.3136</v>
      </c>
      <c r="D415" s="15">
        <f>IFERROR(__xludf.DUMMYFUNCTION("""COMPUTED_VALUE"""),1.003)</f>
        <v>1.003</v>
      </c>
      <c r="E415" s="16">
        <f>IFERROR(__xludf.DUMMYFUNCTION("""COMPUTED_VALUE"""),73.0)</f>
        <v>73</v>
      </c>
      <c r="F415" s="19" t="str">
        <f>IFERROR(__xludf.DUMMYFUNCTION("""COMPUTED_VALUE"""),"BLACK")</f>
        <v>BLACK</v>
      </c>
      <c r="G415" s="20" t="str">
        <f>IFERROR(__xludf.DUMMYFUNCTION("""COMPUTED_VALUE"""),"Uncle Sams Cider (04/04/2023)")</f>
        <v>Uncle Sams Cider (04/04/2023)</v>
      </c>
      <c r="H415" s="19"/>
    </row>
    <row r="416">
      <c r="A416" s="9"/>
      <c r="B416" s="15"/>
      <c r="C416" s="9">
        <f>IFERROR(__xludf.DUMMYFUNCTION("""COMPUTED_VALUE"""),45140.3031781018)</f>
        <v>45140.30318</v>
      </c>
      <c r="D416" s="15">
        <f>IFERROR(__xludf.DUMMYFUNCTION("""COMPUTED_VALUE"""),1.003)</f>
        <v>1.003</v>
      </c>
      <c r="E416" s="16">
        <f>IFERROR(__xludf.DUMMYFUNCTION("""COMPUTED_VALUE"""),73.0)</f>
        <v>73</v>
      </c>
      <c r="F416" s="19" t="str">
        <f>IFERROR(__xludf.DUMMYFUNCTION("""COMPUTED_VALUE"""),"BLACK")</f>
        <v>BLACK</v>
      </c>
      <c r="G416" s="20" t="str">
        <f>IFERROR(__xludf.DUMMYFUNCTION("""COMPUTED_VALUE"""),"Uncle Sams Cider (04/04/2023)")</f>
        <v>Uncle Sams Cider (04/04/2023)</v>
      </c>
      <c r="H416" s="19"/>
    </row>
    <row r="417">
      <c r="A417" s="9"/>
      <c r="B417" s="15"/>
      <c r="C417" s="9">
        <f>IFERROR(__xludf.DUMMYFUNCTION("""COMPUTED_VALUE"""),45140.2927569213)</f>
        <v>45140.29276</v>
      </c>
      <c r="D417" s="15">
        <f>IFERROR(__xludf.DUMMYFUNCTION("""COMPUTED_VALUE"""),1.003)</f>
        <v>1.003</v>
      </c>
      <c r="E417" s="16">
        <f>IFERROR(__xludf.DUMMYFUNCTION("""COMPUTED_VALUE"""),73.0)</f>
        <v>73</v>
      </c>
      <c r="F417" s="19" t="str">
        <f>IFERROR(__xludf.DUMMYFUNCTION("""COMPUTED_VALUE"""),"BLACK")</f>
        <v>BLACK</v>
      </c>
      <c r="G417" s="20" t="str">
        <f>IFERROR(__xludf.DUMMYFUNCTION("""COMPUTED_VALUE"""),"Uncle Sams Cider (04/04/2023)")</f>
        <v>Uncle Sams Cider (04/04/2023)</v>
      </c>
      <c r="H417" s="19"/>
    </row>
    <row r="418">
      <c r="A418" s="9"/>
      <c r="B418" s="15"/>
      <c r="C418" s="9">
        <f>IFERROR(__xludf.DUMMYFUNCTION("""COMPUTED_VALUE"""),45140.2823383564)</f>
        <v>45140.28234</v>
      </c>
      <c r="D418" s="15">
        <f>IFERROR(__xludf.DUMMYFUNCTION("""COMPUTED_VALUE"""),1.003)</f>
        <v>1.003</v>
      </c>
      <c r="E418" s="16">
        <f>IFERROR(__xludf.DUMMYFUNCTION("""COMPUTED_VALUE"""),73.0)</f>
        <v>73</v>
      </c>
      <c r="F418" s="19" t="str">
        <f>IFERROR(__xludf.DUMMYFUNCTION("""COMPUTED_VALUE"""),"BLACK")</f>
        <v>BLACK</v>
      </c>
      <c r="G418" s="20" t="str">
        <f>IFERROR(__xludf.DUMMYFUNCTION("""COMPUTED_VALUE"""),"Uncle Sams Cider (04/04/2023)")</f>
        <v>Uncle Sams Cider (04/04/2023)</v>
      </c>
      <c r="H418" s="19"/>
    </row>
    <row r="419">
      <c r="A419" s="9"/>
      <c r="B419" s="15"/>
      <c r="C419" s="9">
        <f>IFERROR(__xludf.DUMMYFUNCTION("""COMPUTED_VALUE"""),45140.2719048148)</f>
        <v>45140.2719</v>
      </c>
      <c r="D419" s="15">
        <f>IFERROR(__xludf.DUMMYFUNCTION("""COMPUTED_VALUE"""),1.003)</f>
        <v>1.003</v>
      </c>
      <c r="E419" s="16">
        <f>IFERROR(__xludf.DUMMYFUNCTION("""COMPUTED_VALUE"""),73.0)</f>
        <v>73</v>
      </c>
      <c r="F419" s="19" t="str">
        <f>IFERROR(__xludf.DUMMYFUNCTION("""COMPUTED_VALUE"""),"BLACK")</f>
        <v>BLACK</v>
      </c>
      <c r="G419" s="20" t="str">
        <f>IFERROR(__xludf.DUMMYFUNCTION("""COMPUTED_VALUE"""),"Uncle Sams Cider (04/04/2023)")</f>
        <v>Uncle Sams Cider (04/04/2023)</v>
      </c>
      <c r="H419" s="19"/>
    </row>
    <row r="420">
      <c r="A420" s="9"/>
      <c r="B420" s="15"/>
      <c r="C420" s="9">
        <f>IFERROR(__xludf.DUMMYFUNCTION("""COMPUTED_VALUE"""),45140.2614825)</f>
        <v>45140.26148</v>
      </c>
      <c r="D420" s="15">
        <f>IFERROR(__xludf.DUMMYFUNCTION("""COMPUTED_VALUE"""),1.003)</f>
        <v>1.003</v>
      </c>
      <c r="E420" s="16">
        <f>IFERROR(__xludf.DUMMYFUNCTION("""COMPUTED_VALUE"""),73.0)</f>
        <v>73</v>
      </c>
      <c r="F420" s="19" t="str">
        <f>IFERROR(__xludf.DUMMYFUNCTION("""COMPUTED_VALUE"""),"BLACK")</f>
        <v>BLACK</v>
      </c>
      <c r="G420" s="20" t="str">
        <f>IFERROR(__xludf.DUMMYFUNCTION("""COMPUTED_VALUE"""),"Uncle Sams Cider (04/04/2023)")</f>
        <v>Uncle Sams Cider (04/04/2023)</v>
      </c>
      <c r="H420" s="19"/>
    </row>
    <row r="421">
      <c r="A421" s="9"/>
      <c r="B421" s="15"/>
      <c r="C421" s="9">
        <f>IFERROR(__xludf.DUMMYFUNCTION("""COMPUTED_VALUE"""),45140.2510497569)</f>
        <v>45140.25105</v>
      </c>
      <c r="D421" s="15">
        <f>IFERROR(__xludf.DUMMYFUNCTION("""COMPUTED_VALUE"""),1.003)</f>
        <v>1.003</v>
      </c>
      <c r="E421" s="16">
        <f>IFERROR(__xludf.DUMMYFUNCTION("""COMPUTED_VALUE"""),73.0)</f>
        <v>73</v>
      </c>
      <c r="F421" s="19" t="str">
        <f>IFERROR(__xludf.DUMMYFUNCTION("""COMPUTED_VALUE"""),"BLACK")</f>
        <v>BLACK</v>
      </c>
      <c r="G421" s="20" t="str">
        <f>IFERROR(__xludf.DUMMYFUNCTION("""COMPUTED_VALUE"""),"Uncle Sams Cider (04/04/2023)")</f>
        <v>Uncle Sams Cider (04/04/2023)</v>
      </c>
      <c r="H421" s="19"/>
    </row>
    <row r="422">
      <c r="A422" s="9"/>
      <c r="B422" s="15"/>
      <c r="C422" s="9">
        <f>IFERROR(__xludf.DUMMYFUNCTION("""COMPUTED_VALUE"""),45140.2406275231)</f>
        <v>45140.24063</v>
      </c>
      <c r="D422" s="15">
        <f>IFERROR(__xludf.DUMMYFUNCTION("""COMPUTED_VALUE"""),1.003)</f>
        <v>1.003</v>
      </c>
      <c r="E422" s="16">
        <f>IFERROR(__xludf.DUMMYFUNCTION("""COMPUTED_VALUE"""),73.0)</f>
        <v>73</v>
      </c>
      <c r="F422" s="19" t="str">
        <f>IFERROR(__xludf.DUMMYFUNCTION("""COMPUTED_VALUE"""),"BLACK")</f>
        <v>BLACK</v>
      </c>
      <c r="G422" s="20" t="str">
        <f>IFERROR(__xludf.DUMMYFUNCTION("""COMPUTED_VALUE"""),"Uncle Sams Cider (04/04/2023)")</f>
        <v>Uncle Sams Cider (04/04/2023)</v>
      </c>
      <c r="H422" s="19"/>
    </row>
    <row r="423">
      <c r="A423" s="9"/>
      <c r="B423" s="15"/>
      <c r="C423" s="9">
        <f>IFERROR(__xludf.DUMMYFUNCTION("""COMPUTED_VALUE"""),45140.230194155)</f>
        <v>45140.23019</v>
      </c>
      <c r="D423" s="15">
        <f>IFERROR(__xludf.DUMMYFUNCTION("""COMPUTED_VALUE"""),1.003)</f>
        <v>1.003</v>
      </c>
      <c r="E423" s="16">
        <f>IFERROR(__xludf.DUMMYFUNCTION("""COMPUTED_VALUE"""),73.0)</f>
        <v>73</v>
      </c>
      <c r="F423" s="19" t="str">
        <f>IFERROR(__xludf.DUMMYFUNCTION("""COMPUTED_VALUE"""),"BLACK")</f>
        <v>BLACK</v>
      </c>
      <c r="G423" s="20" t="str">
        <f>IFERROR(__xludf.DUMMYFUNCTION("""COMPUTED_VALUE"""),"Uncle Sams Cider (04/04/2023)")</f>
        <v>Uncle Sams Cider (04/04/2023)</v>
      </c>
      <c r="H423" s="19"/>
    </row>
    <row r="424">
      <c r="A424" s="9"/>
      <c r="B424" s="15"/>
      <c r="C424" s="9">
        <f>IFERROR(__xludf.DUMMYFUNCTION("""COMPUTED_VALUE"""),45140.2197705902)</f>
        <v>45140.21977</v>
      </c>
      <c r="D424" s="15">
        <f>IFERROR(__xludf.DUMMYFUNCTION("""COMPUTED_VALUE"""),1.003)</f>
        <v>1.003</v>
      </c>
      <c r="E424" s="16">
        <f>IFERROR(__xludf.DUMMYFUNCTION("""COMPUTED_VALUE"""),73.0)</f>
        <v>73</v>
      </c>
      <c r="F424" s="19" t="str">
        <f>IFERROR(__xludf.DUMMYFUNCTION("""COMPUTED_VALUE"""),"BLACK")</f>
        <v>BLACK</v>
      </c>
      <c r="G424" s="20" t="str">
        <f>IFERROR(__xludf.DUMMYFUNCTION("""COMPUTED_VALUE"""),"Uncle Sams Cider (04/04/2023)")</f>
        <v>Uncle Sams Cider (04/04/2023)</v>
      </c>
      <c r="H424" s="19"/>
    </row>
    <row r="425">
      <c r="A425" s="9"/>
      <c r="B425" s="15"/>
      <c r="C425" s="9">
        <f>IFERROR(__xludf.DUMMYFUNCTION("""COMPUTED_VALUE"""),45140.2093496064)</f>
        <v>45140.20935</v>
      </c>
      <c r="D425" s="15">
        <f>IFERROR(__xludf.DUMMYFUNCTION("""COMPUTED_VALUE"""),1.003)</f>
        <v>1.003</v>
      </c>
      <c r="E425" s="16">
        <f>IFERROR(__xludf.DUMMYFUNCTION("""COMPUTED_VALUE"""),73.0)</f>
        <v>73</v>
      </c>
      <c r="F425" s="19" t="str">
        <f>IFERROR(__xludf.DUMMYFUNCTION("""COMPUTED_VALUE"""),"BLACK")</f>
        <v>BLACK</v>
      </c>
      <c r="G425" s="20" t="str">
        <f>IFERROR(__xludf.DUMMYFUNCTION("""COMPUTED_VALUE"""),"Uncle Sams Cider (04/04/2023)")</f>
        <v>Uncle Sams Cider (04/04/2023)</v>
      </c>
      <c r="H425" s="19"/>
    </row>
    <row r="426">
      <c r="A426" s="9"/>
      <c r="B426" s="15"/>
      <c r="C426" s="9">
        <f>IFERROR(__xludf.DUMMYFUNCTION("""COMPUTED_VALUE"""),45140.1989272106)</f>
        <v>45140.19893</v>
      </c>
      <c r="D426" s="15">
        <f>IFERROR(__xludf.DUMMYFUNCTION("""COMPUTED_VALUE"""),1.003)</f>
        <v>1.003</v>
      </c>
      <c r="E426" s="16">
        <f>IFERROR(__xludf.DUMMYFUNCTION("""COMPUTED_VALUE"""),73.0)</f>
        <v>73</v>
      </c>
      <c r="F426" s="19" t="str">
        <f>IFERROR(__xludf.DUMMYFUNCTION("""COMPUTED_VALUE"""),"BLACK")</f>
        <v>BLACK</v>
      </c>
      <c r="G426" s="20" t="str">
        <f>IFERROR(__xludf.DUMMYFUNCTION("""COMPUTED_VALUE"""),"Uncle Sams Cider (04/04/2023)")</f>
        <v>Uncle Sams Cider (04/04/2023)</v>
      </c>
      <c r="H426" s="19"/>
    </row>
    <row r="427">
      <c r="A427" s="9"/>
      <c r="B427" s="15"/>
      <c r="C427" s="9">
        <f>IFERROR(__xludf.DUMMYFUNCTION("""COMPUTED_VALUE"""),45140.1885068981)</f>
        <v>45140.18851</v>
      </c>
      <c r="D427" s="15">
        <f>IFERROR(__xludf.DUMMYFUNCTION("""COMPUTED_VALUE"""),1.003)</f>
        <v>1.003</v>
      </c>
      <c r="E427" s="16">
        <f>IFERROR(__xludf.DUMMYFUNCTION("""COMPUTED_VALUE"""),73.0)</f>
        <v>73</v>
      </c>
      <c r="F427" s="19" t="str">
        <f>IFERROR(__xludf.DUMMYFUNCTION("""COMPUTED_VALUE"""),"BLACK")</f>
        <v>BLACK</v>
      </c>
      <c r="G427" s="20" t="str">
        <f>IFERROR(__xludf.DUMMYFUNCTION("""COMPUTED_VALUE"""),"Uncle Sams Cider (04/04/2023)")</f>
        <v>Uncle Sams Cider (04/04/2023)</v>
      </c>
      <c r="H427" s="19"/>
    </row>
    <row r="428">
      <c r="A428" s="9"/>
      <c r="B428" s="15"/>
      <c r="C428" s="9">
        <f>IFERROR(__xludf.DUMMYFUNCTION("""COMPUTED_VALUE"""),45140.1780875231)</f>
        <v>45140.17809</v>
      </c>
      <c r="D428" s="15">
        <f>IFERROR(__xludf.DUMMYFUNCTION("""COMPUTED_VALUE"""),1.003)</f>
        <v>1.003</v>
      </c>
      <c r="E428" s="16">
        <f>IFERROR(__xludf.DUMMYFUNCTION("""COMPUTED_VALUE"""),73.0)</f>
        <v>73</v>
      </c>
      <c r="F428" s="19" t="str">
        <f>IFERROR(__xludf.DUMMYFUNCTION("""COMPUTED_VALUE"""),"BLACK")</f>
        <v>BLACK</v>
      </c>
      <c r="G428" s="20" t="str">
        <f>IFERROR(__xludf.DUMMYFUNCTION("""COMPUTED_VALUE"""),"Uncle Sams Cider (04/04/2023)")</f>
        <v>Uncle Sams Cider (04/04/2023)</v>
      </c>
      <c r="H428" s="19"/>
    </row>
    <row r="429">
      <c r="A429" s="9"/>
      <c r="B429" s="15"/>
      <c r="C429" s="9">
        <f>IFERROR(__xludf.DUMMYFUNCTION("""COMPUTED_VALUE"""),45140.1676659259)</f>
        <v>45140.16767</v>
      </c>
      <c r="D429" s="15">
        <f>IFERROR(__xludf.DUMMYFUNCTION("""COMPUTED_VALUE"""),1.003)</f>
        <v>1.003</v>
      </c>
      <c r="E429" s="16">
        <f>IFERROR(__xludf.DUMMYFUNCTION("""COMPUTED_VALUE"""),73.0)</f>
        <v>73</v>
      </c>
      <c r="F429" s="19" t="str">
        <f>IFERROR(__xludf.DUMMYFUNCTION("""COMPUTED_VALUE"""),"BLACK")</f>
        <v>BLACK</v>
      </c>
      <c r="G429" s="20" t="str">
        <f>IFERROR(__xludf.DUMMYFUNCTION("""COMPUTED_VALUE"""),"Uncle Sams Cider (04/04/2023)")</f>
        <v>Uncle Sams Cider (04/04/2023)</v>
      </c>
      <c r="H429" s="19"/>
    </row>
    <row r="430">
      <c r="A430" s="9"/>
      <c r="B430" s="15"/>
      <c r="C430" s="9">
        <f>IFERROR(__xludf.DUMMYFUNCTION("""COMPUTED_VALUE"""),45140.1572467013)</f>
        <v>45140.15725</v>
      </c>
      <c r="D430" s="15">
        <f>IFERROR(__xludf.DUMMYFUNCTION("""COMPUTED_VALUE"""),1.003)</f>
        <v>1.003</v>
      </c>
      <c r="E430" s="16">
        <f>IFERROR(__xludf.DUMMYFUNCTION("""COMPUTED_VALUE"""),73.0)</f>
        <v>73</v>
      </c>
      <c r="F430" s="19" t="str">
        <f>IFERROR(__xludf.DUMMYFUNCTION("""COMPUTED_VALUE"""),"BLACK")</f>
        <v>BLACK</v>
      </c>
      <c r="G430" s="20" t="str">
        <f>IFERROR(__xludf.DUMMYFUNCTION("""COMPUTED_VALUE"""),"Uncle Sams Cider (04/04/2023)")</f>
        <v>Uncle Sams Cider (04/04/2023)</v>
      </c>
      <c r="H430" s="19"/>
    </row>
    <row r="431">
      <c r="A431" s="9"/>
      <c r="B431" s="15"/>
      <c r="C431" s="9">
        <f>IFERROR(__xludf.DUMMYFUNCTION("""COMPUTED_VALUE"""),45140.1468244328)</f>
        <v>45140.14682</v>
      </c>
      <c r="D431" s="15">
        <f>IFERROR(__xludf.DUMMYFUNCTION("""COMPUTED_VALUE"""),1.003)</f>
        <v>1.003</v>
      </c>
      <c r="E431" s="16">
        <f>IFERROR(__xludf.DUMMYFUNCTION("""COMPUTED_VALUE"""),73.0)</f>
        <v>73</v>
      </c>
      <c r="F431" s="19" t="str">
        <f>IFERROR(__xludf.DUMMYFUNCTION("""COMPUTED_VALUE"""),"BLACK")</f>
        <v>BLACK</v>
      </c>
      <c r="G431" s="20" t="str">
        <f>IFERROR(__xludf.DUMMYFUNCTION("""COMPUTED_VALUE"""),"Uncle Sams Cider (04/04/2023)")</f>
        <v>Uncle Sams Cider (04/04/2023)</v>
      </c>
      <c r="H431" s="19"/>
    </row>
    <row r="432">
      <c r="A432" s="9"/>
      <c r="B432" s="15"/>
      <c r="C432" s="9">
        <f>IFERROR(__xludf.DUMMYFUNCTION("""COMPUTED_VALUE"""),45140.1364027893)</f>
        <v>45140.1364</v>
      </c>
      <c r="D432" s="15">
        <f>IFERROR(__xludf.DUMMYFUNCTION("""COMPUTED_VALUE"""),1.003)</f>
        <v>1.003</v>
      </c>
      <c r="E432" s="16">
        <f>IFERROR(__xludf.DUMMYFUNCTION("""COMPUTED_VALUE"""),73.0)</f>
        <v>73</v>
      </c>
      <c r="F432" s="19" t="str">
        <f>IFERROR(__xludf.DUMMYFUNCTION("""COMPUTED_VALUE"""),"BLACK")</f>
        <v>BLACK</v>
      </c>
      <c r="G432" s="20" t="str">
        <f>IFERROR(__xludf.DUMMYFUNCTION("""COMPUTED_VALUE"""),"Uncle Sams Cider (04/04/2023)")</f>
        <v>Uncle Sams Cider (04/04/2023)</v>
      </c>
      <c r="H432" s="19"/>
    </row>
    <row r="433">
      <c r="A433" s="9"/>
      <c r="B433" s="15"/>
      <c r="C433" s="9">
        <f>IFERROR(__xludf.DUMMYFUNCTION("""COMPUTED_VALUE"""),45140.1259813657)</f>
        <v>45140.12598</v>
      </c>
      <c r="D433" s="15">
        <f>IFERROR(__xludf.DUMMYFUNCTION("""COMPUTED_VALUE"""),1.003)</f>
        <v>1.003</v>
      </c>
      <c r="E433" s="16">
        <f>IFERROR(__xludf.DUMMYFUNCTION("""COMPUTED_VALUE"""),73.0)</f>
        <v>73</v>
      </c>
      <c r="F433" s="19" t="str">
        <f>IFERROR(__xludf.DUMMYFUNCTION("""COMPUTED_VALUE"""),"BLACK")</f>
        <v>BLACK</v>
      </c>
      <c r="G433" s="20" t="str">
        <f>IFERROR(__xludf.DUMMYFUNCTION("""COMPUTED_VALUE"""),"Uncle Sams Cider (04/04/2023)")</f>
        <v>Uncle Sams Cider (04/04/2023)</v>
      </c>
      <c r="H433" s="19"/>
    </row>
    <row r="434">
      <c r="A434" s="9"/>
      <c r="B434" s="15"/>
      <c r="C434" s="9">
        <f>IFERROR(__xludf.DUMMYFUNCTION("""COMPUTED_VALUE"""),45140.1155619328)</f>
        <v>45140.11556</v>
      </c>
      <c r="D434" s="15">
        <f>IFERROR(__xludf.DUMMYFUNCTION("""COMPUTED_VALUE"""),1.003)</f>
        <v>1.003</v>
      </c>
      <c r="E434" s="16">
        <f>IFERROR(__xludf.DUMMYFUNCTION("""COMPUTED_VALUE"""),73.0)</f>
        <v>73</v>
      </c>
      <c r="F434" s="19" t="str">
        <f>IFERROR(__xludf.DUMMYFUNCTION("""COMPUTED_VALUE"""),"BLACK")</f>
        <v>BLACK</v>
      </c>
      <c r="G434" s="20" t="str">
        <f>IFERROR(__xludf.DUMMYFUNCTION("""COMPUTED_VALUE"""),"Uncle Sams Cider (04/04/2023)")</f>
        <v>Uncle Sams Cider (04/04/2023)</v>
      </c>
      <c r="H434" s="19"/>
    </row>
    <row r="435">
      <c r="A435" s="9"/>
      <c r="B435" s="15"/>
      <c r="C435" s="9">
        <f>IFERROR(__xludf.DUMMYFUNCTION("""COMPUTED_VALUE"""),45140.1051396296)</f>
        <v>45140.10514</v>
      </c>
      <c r="D435" s="15">
        <f>IFERROR(__xludf.DUMMYFUNCTION("""COMPUTED_VALUE"""),1.003)</f>
        <v>1.003</v>
      </c>
      <c r="E435" s="16">
        <f>IFERROR(__xludf.DUMMYFUNCTION("""COMPUTED_VALUE"""),74.0)</f>
        <v>74</v>
      </c>
      <c r="F435" s="19" t="str">
        <f>IFERROR(__xludf.DUMMYFUNCTION("""COMPUTED_VALUE"""),"BLACK")</f>
        <v>BLACK</v>
      </c>
      <c r="G435" s="20" t="str">
        <f>IFERROR(__xludf.DUMMYFUNCTION("""COMPUTED_VALUE"""),"Uncle Sams Cider (04/04/2023)")</f>
        <v>Uncle Sams Cider (04/04/2023)</v>
      </c>
      <c r="H435" s="19"/>
    </row>
    <row r="436">
      <c r="A436" s="9"/>
      <c r="B436" s="15"/>
      <c r="C436" s="9">
        <f>IFERROR(__xludf.DUMMYFUNCTION("""COMPUTED_VALUE"""),45140.0947195023)</f>
        <v>45140.09472</v>
      </c>
      <c r="D436" s="15">
        <f>IFERROR(__xludf.DUMMYFUNCTION("""COMPUTED_VALUE"""),1.003)</f>
        <v>1.003</v>
      </c>
      <c r="E436" s="16">
        <f>IFERROR(__xludf.DUMMYFUNCTION("""COMPUTED_VALUE"""),73.0)</f>
        <v>73</v>
      </c>
      <c r="F436" s="19" t="str">
        <f>IFERROR(__xludf.DUMMYFUNCTION("""COMPUTED_VALUE"""),"BLACK")</f>
        <v>BLACK</v>
      </c>
      <c r="G436" s="20" t="str">
        <f>IFERROR(__xludf.DUMMYFUNCTION("""COMPUTED_VALUE"""),"Uncle Sams Cider (04/04/2023)")</f>
        <v>Uncle Sams Cider (04/04/2023)</v>
      </c>
      <c r="H436" s="19"/>
    </row>
    <row r="437">
      <c r="A437" s="9"/>
      <c r="B437" s="15"/>
      <c r="C437" s="9">
        <f>IFERROR(__xludf.DUMMYFUNCTION("""COMPUTED_VALUE"""),45140.0842988888)</f>
        <v>45140.0843</v>
      </c>
      <c r="D437" s="15">
        <f>IFERROR(__xludf.DUMMYFUNCTION("""COMPUTED_VALUE"""),1.003)</f>
        <v>1.003</v>
      </c>
      <c r="E437" s="16">
        <f>IFERROR(__xludf.DUMMYFUNCTION("""COMPUTED_VALUE"""),73.0)</f>
        <v>73</v>
      </c>
      <c r="F437" s="19" t="str">
        <f>IFERROR(__xludf.DUMMYFUNCTION("""COMPUTED_VALUE"""),"BLACK")</f>
        <v>BLACK</v>
      </c>
      <c r="G437" s="20" t="str">
        <f>IFERROR(__xludf.DUMMYFUNCTION("""COMPUTED_VALUE"""),"Uncle Sams Cider (04/04/2023)")</f>
        <v>Uncle Sams Cider (04/04/2023)</v>
      </c>
      <c r="H437" s="19"/>
    </row>
    <row r="438">
      <c r="A438" s="9"/>
      <c r="B438" s="15"/>
      <c r="C438" s="9">
        <f>IFERROR(__xludf.DUMMYFUNCTION("""COMPUTED_VALUE"""),45140.073877118)</f>
        <v>45140.07388</v>
      </c>
      <c r="D438" s="15">
        <f>IFERROR(__xludf.DUMMYFUNCTION("""COMPUTED_VALUE"""),1.003)</f>
        <v>1.003</v>
      </c>
      <c r="E438" s="16">
        <f>IFERROR(__xludf.DUMMYFUNCTION("""COMPUTED_VALUE"""),73.0)</f>
        <v>73</v>
      </c>
      <c r="F438" s="19" t="str">
        <f>IFERROR(__xludf.DUMMYFUNCTION("""COMPUTED_VALUE"""),"BLACK")</f>
        <v>BLACK</v>
      </c>
      <c r="G438" s="20" t="str">
        <f>IFERROR(__xludf.DUMMYFUNCTION("""COMPUTED_VALUE"""),"Uncle Sams Cider (04/04/2023)")</f>
        <v>Uncle Sams Cider (04/04/2023)</v>
      </c>
      <c r="H438" s="19"/>
    </row>
    <row r="439">
      <c r="A439" s="9"/>
      <c r="B439" s="15"/>
      <c r="C439" s="9">
        <f>IFERROR(__xludf.DUMMYFUNCTION("""COMPUTED_VALUE"""),45140.06345853)</f>
        <v>45140.06346</v>
      </c>
      <c r="D439" s="15">
        <f>IFERROR(__xludf.DUMMYFUNCTION("""COMPUTED_VALUE"""),1.003)</f>
        <v>1.003</v>
      </c>
      <c r="E439" s="16">
        <f>IFERROR(__xludf.DUMMYFUNCTION("""COMPUTED_VALUE"""),73.0)</f>
        <v>73</v>
      </c>
      <c r="F439" s="19" t="str">
        <f>IFERROR(__xludf.DUMMYFUNCTION("""COMPUTED_VALUE"""),"BLACK")</f>
        <v>BLACK</v>
      </c>
      <c r="G439" s="20" t="str">
        <f>IFERROR(__xludf.DUMMYFUNCTION("""COMPUTED_VALUE"""),"Uncle Sams Cider (04/04/2023)")</f>
        <v>Uncle Sams Cider (04/04/2023)</v>
      </c>
      <c r="H439" s="19"/>
    </row>
    <row r="440">
      <c r="A440" s="9"/>
      <c r="B440" s="15"/>
      <c r="C440" s="9">
        <f>IFERROR(__xludf.DUMMYFUNCTION("""COMPUTED_VALUE"""),45140.0530378009)</f>
        <v>45140.05304</v>
      </c>
      <c r="D440" s="15">
        <f>IFERROR(__xludf.DUMMYFUNCTION("""COMPUTED_VALUE"""),1.003)</f>
        <v>1.003</v>
      </c>
      <c r="E440" s="16">
        <f>IFERROR(__xludf.DUMMYFUNCTION("""COMPUTED_VALUE"""),73.0)</f>
        <v>73</v>
      </c>
      <c r="F440" s="19" t="str">
        <f>IFERROR(__xludf.DUMMYFUNCTION("""COMPUTED_VALUE"""),"BLACK")</f>
        <v>BLACK</v>
      </c>
      <c r="G440" s="20" t="str">
        <f>IFERROR(__xludf.DUMMYFUNCTION("""COMPUTED_VALUE"""),"Uncle Sams Cider (04/04/2023)")</f>
        <v>Uncle Sams Cider (04/04/2023)</v>
      </c>
      <c r="H440" s="19"/>
    </row>
    <row r="441">
      <c r="A441" s="9"/>
      <c r="B441" s="15"/>
      <c r="C441" s="9">
        <f>IFERROR(__xludf.DUMMYFUNCTION("""COMPUTED_VALUE"""),45140.04261603)</f>
        <v>45140.04262</v>
      </c>
      <c r="D441" s="15">
        <f>IFERROR(__xludf.DUMMYFUNCTION("""COMPUTED_VALUE"""),1.003)</f>
        <v>1.003</v>
      </c>
      <c r="E441" s="16">
        <f>IFERROR(__xludf.DUMMYFUNCTION("""COMPUTED_VALUE"""),74.0)</f>
        <v>74</v>
      </c>
      <c r="F441" s="19" t="str">
        <f>IFERROR(__xludf.DUMMYFUNCTION("""COMPUTED_VALUE"""),"BLACK")</f>
        <v>BLACK</v>
      </c>
      <c r="G441" s="20" t="str">
        <f>IFERROR(__xludf.DUMMYFUNCTION("""COMPUTED_VALUE"""),"Uncle Sams Cider (04/04/2023)")</f>
        <v>Uncle Sams Cider (04/04/2023)</v>
      </c>
      <c r="H441" s="19"/>
    </row>
    <row r="442">
      <c r="A442" s="9"/>
      <c r="B442" s="15"/>
      <c r="C442" s="9">
        <f>IFERROR(__xludf.DUMMYFUNCTION("""COMPUTED_VALUE"""),45140.0321954282)</f>
        <v>45140.0322</v>
      </c>
      <c r="D442" s="15">
        <f>IFERROR(__xludf.DUMMYFUNCTION("""COMPUTED_VALUE"""),1.003)</f>
        <v>1.003</v>
      </c>
      <c r="E442" s="16">
        <f>IFERROR(__xludf.DUMMYFUNCTION("""COMPUTED_VALUE"""),74.0)</f>
        <v>74</v>
      </c>
      <c r="F442" s="19" t="str">
        <f>IFERROR(__xludf.DUMMYFUNCTION("""COMPUTED_VALUE"""),"BLACK")</f>
        <v>BLACK</v>
      </c>
      <c r="G442" s="20" t="str">
        <f>IFERROR(__xludf.DUMMYFUNCTION("""COMPUTED_VALUE"""),"Uncle Sams Cider (04/04/2023)")</f>
        <v>Uncle Sams Cider (04/04/2023)</v>
      </c>
      <c r="H442" s="19"/>
    </row>
    <row r="443">
      <c r="A443" s="9"/>
      <c r="B443" s="15"/>
      <c r="C443" s="9">
        <f>IFERROR(__xludf.DUMMYFUNCTION("""COMPUTED_VALUE"""),45140.021763206)</f>
        <v>45140.02176</v>
      </c>
      <c r="D443" s="15">
        <f>IFERROR(__xludf.DUMMYFUNCTION("""COMPUTED_VALUE"""),1.003)</f>
        <v>1.003</v>
      </c>
      <c r="E443" s="16">
        <f>IFERROR(__xludf.DUMMYFUNCTION("""COMPUTED_VALUE"""),73.0)</f>
        <v>73</v>
      </c>
      <c r="F443" s="19" t="str">
        <f>IFERROR(__xludf.DUMMYFUNCTION("""COMPUTED_VALUE"""),"BLACK")</f>
        <v>BLACK</v>
      </c>
      <c r="G443" s="20" t="str">
        <f>IFERROR(__xludf.DUMMYFUNCTION("""COMPUTED_VALUE"""),"Uncle Sams Cider (04/04/2023)")</f>
        <v>Uncle Sams Cider (04/04/2023)</v>
      </c>
      <c r="H443" s="19"/>
    </row>
    <row r="444">
      <c r="A444" s="9"/>
      <c r="B444" s="15"/>
      <c r="C444" s="9">
        <f>IFERROR(__xludf.DUMMYFUNCTION("""COMPUTED_VALUE"""),45140.011343206)</f>
        <v>45140.01134</v>
      </c>
      <c r="D444" s="15">
        <f>IFERROR(__xludf.DUMMYFUNCTION("""COMPUTED_VALUE"""),1.003)</f>
        <v>1.003</v>
      </c>
      <c r="E444" s="16">
        <f>IFERROR(__xludf.DUMMYFUNCTION("""COMPUTED_VALUE"""),74.0)</f>
        <v>74</v>
      </c>
      <c r="F444" s="19" t="str">
        <f>IFERROR(__xludf.DUMMYFUNCTION("""COMPUTED_VALUE"""),"BLACK")</f>
        <v>BLACK</v>
      </c>
      <c r="G444" s="20" t="str">
        <f>IFERROR(__xludf.DUMMYFUNCTION("""COMPUTED_VALUE"""),"Uncle Sams Cider (04/04/2023)")</f>
        <v>Uncle Sams Cider (04/04/2023)</v>
      </c>
      <c r="H444" s="19"/>
    </row>
    <row r="445">
      <c r="A445" s="9"/>
      <c r="B445" s="15"/>
      <c r="C445" s="9">
        <f>IFERROR(__xludf.DUMMYFUNCTION("""COMPUTED_VALUE"""),45140.0009225)</f>
        <v>45140.00092</v>
      </c>
      <c r="D445" s="15">
        <f>IFERROR(__xludf.DUMMYFUNCTION("""COMPUTED_VALUE"""),1.003)</f>
        <v>1.003</v>
      </c>
      <c r="E445" s="16">
        <f>IFERROR(__xludf.DUMMYFUNCTION("""COMPUTED_VALUE"""),74.0)</f>
        <v>74</v>
      </c>
      <c r="F445" s="19" t="str">
        <f>IFERROR(__xludf.DUMMYFUNCTION("""COMPUTED_VALUE"""),"BLACK")</f>
        <v>BLACK</v>
      </c>
      <c r="G445" s="20" t="str">
        <f>IFERROR(__xludf.DUMMYFUNCTION("""COMPUTED_VALUE"""),"Uncle Sams Cider (04/04/2023)")</f>
        <v>Uncle Sams Cider (04/04/2023)</v>
      </c>
      <c r="H445" s="19"/>
    </row>
    <row r="446">
      <c r="A446" s="9"/>
      <c r="B446" s="15"/>
      <c r="C446" s="9">
        <f>IFERROR(__xludf.DUMMYFUNCTION("""COMPUTED_VALUE"""),45139.9905022453)</f>
        <v>45139.9905</v>
      </c>
      <c r="D446" s="15">
        <f>IFERROR(__xludf.DUMMYFUNCTION("""COMPUTED_VALUE"""),1.003)</f>
        <v>1.003</v>
      </c>
      <c r="E446" s="16">
        <f>IFERROR(__xludf.DUMMYFUNCTION("""COMPUTED_VALUE"""),74.0)</f>
        <v>74</v>
      </c>
      <c r="F446" s="19" t="str">
        <f>IFERROR(__xludf.DUMMYFUNCTION("""COMPUTED_VALUE"""),"BLACK")</f>
        <v>BLACK</v>
      </c>
      <c r="G446" s="20" t="str">
        <f>IFERROR(__xludf.DUMMYFUNCTION("""COMPUTED_VALUE"""),"Uncle Sams Cider (04/04/2023)")</f>
        <v>Uncle Sams Cider (04/04/2023)</v>
      </c>
      <c r="H446" s="19"/>
    </row>
    <row r="447">
      <c r="A447" s="9"/>
      <c r="B447" s="15"/>
      <c r="C447" s="9">
        <f>IFERROR(__xludf.DUMMYFUNCTION("""COMPUTED_VALUE"""),45139.980082824)</f>
        <v>45139.98008</v>
      </c>
      <c r="D447" s="15">
        <f>IFERROR(__xludf.DUMMYFUNCTION("""COMPUTED_VALUE"""),1.003)</f>
        <v>1.003</v>
      </c>
      <c r="E447" s="16">
        <f>IFERROR(__xludf.DUMMYFUNCTION("""COMPUTED_VALUE"""),74.0)</f>
        <v>74</v>
      </c>
      <c r="F447" s="19" t="str">
        <f>IFERROR(__xludf.DUMMYFUNCTION("""COMPUTED_VALUE"""),"BLACK")</f>
        <v>BLACK</v>
      </c>
      <c r="G447" s="20" t="str">
        <f>IFERROR(__xludf.DUMMYFUNCTION("""COMPUTED_VALUE"""),"Uncle Sams Cider (04/04/2023)")</f>
        <v>Uncle Sams Cider (04/04/2023)</v>
      </c>
      <c r="H447" s="19"/>
    </row>
    <row r="448">
      <c r="A448" s="9"/>
      <c r="B448" s="15"/>
      <c r="C448" s="9">
        <f>IFERROR(__xludf.DUMMYFUNCTION("""COMPUTED_VALUE"""),45139.9696499074)</f>
        <v>45139.96965</v>
      </c>
      <c r="D448" s="15">
        <f>IFERROR(__xludf.DUMMYFUNCTION("""COMPUTED_VALUE"""),1.003)</f>
        <v>1.003</v>
      </c>
      <c r="E448" s="16">
        <f>IFERROR(__xludf.DUMMYFUNCTION("""COMPUTED_VALUE"""),74.0)</f>
        <v>74</v>
      </c>
      <c r="F448" s="19" t="str">
        <f>IFERROR(__xludf.DUMMYFUNCTION("""COMPUTED_VALUE"""),"BLACK")</f>
        <v>BLACK</v>
      </c>
      <c r="G448" s="20" t="str">
        <f>IFERROR(__xludf.DUMMYFUNCTION("""COMPUTED_VALUE"""),"Uncle Sams Cider (04/04/2023)")</f>
        <v>Uncle Sams Cider (04/04/2023)</v>
      </c>
      <c r="H448" s="19"/>
    </row>
    <row r="449">
      <c r="A449" s="9"/>
      <c r="B449" s="15"/>
      <c r="C449" s="9">
        <f>IFERROR(__xludf.DUMMYFUNCTION("""COMPUTED_VALUE"""),45139.9592263078)</f>
        <v>45139.95923</v>
      </c>
      <c r="D449" s="15">
        <f>IFERROR(__xludf.DUMMYFUNCTION("""COMPUTED_VALUE"""),1.003)</f>
        <v>1.003</v>
      </c>
      <c r="E449" s="16">
        <f>IFERROR(__xludf.DUMMYFUNCTION("""COMPUTED_VALUE"""),74.0)</f>
        <v>74</v>
      </c>
      <c r="F449" s="19" t="str">
        <f>IFERROR(__xludf.DUMMYFUNCTION("""COMPUTED_VALUE"""),"BLACK")</f>
        <v>BLACK</v>
      </c>
      <c r="G449" s="20" t="str">
        <f>IFERROR(__xludf.DUMMYFUNCTION("""COMPUTED_VALUE"""),"Uncle Sams Cider (04/04/2023)")</f>
        <v>Uncle Sams Cider (04/04/2023)</v>
      </c>
      <c r="H449" s="19"/>
    </row>
    <row r="450">
      <c r="A450" s="9"/>
      <c r="B450" s="15"/>
      <c r="C450" s="9">
        <f>IFERROR(__xludf.DUMMYFUNCTION("""COMPUTED_VALUE"""),45139.9488045833)</f>
        <v>45139.9488</v>
      </c>
      <c r="D450" s="15">
        <f>IFERROR(__xludf.DUMMYFUNCTION("""COMPUTED_VALUE"""),1.003)</f>
        <v>1.003</v>
      </c>
      <c r="E450" s="16">
        <f>IFERROR(__xludf.DUMMYFUNCTION("""COMPUTED_VALUE"""),74.0)</f>
        <v>74</v>
      </c>
      <c r="F450" s="19" t="str">
        <f>IFERROR(__xludf.DUMMYFUNCTION("""COMPUTED_VALUE"""),"BLACK")</f>
        <v>BLACK</v>
      </c>
      <c r="G450" s="20" t="str">
        <f>IFERROR(__xludf.DUMMYFUNCTION("""COMPUTED_VALUE"""),"Uncle Sams Cider (04/04/2023)")</f>
        <v>Uncle Sams Cider (04/04/2023)</v>
      </c>
      <c r="H450" s="19"/>
    </row>
    <row r="451">
      <c r="A451" s="9"/>
      <c r="B451" s="15"/>
      <c r="C451" s="9">
        <f>IFERROR(__xludf.DUMMYFUNCTION("""COMPUTED_VALUE"""),45139.9383845601)</f>
        <v>45139.93838</v>
      </c>
      <c r="D451" s="15">
        <f>IFERROR(__xludf.DUMMYFUNCTION("""COMPUTED_VALUE"""),1.003)</f>
        <v>1.003</v>
      </c>
      <c r="E451" s="16">
        <f>IFERROR(__xludf.DUMMYFUNCTION("""COMPUTED_VALUE"""),74.0)</f>
        <v>74</v>
      </c>
      <c r="F451" s="19" t="str">
        <f>IFERROR(__xludf.DUMMYFUNCTION("""COMPUTED_VALUE"""),"BLACK")</f>
        <v>BLACK</v>
      </c>
      <c r="G451" s="20" t="str">
        <f>IFERROR(__xludf.DUMMYFUNCTION("""COMPUTED_VALUE"""),"Uncle Sams Cider (04/04/2023)")</f>
        <v>Uncle Sams Cider (04/04/2023)</v>
      </c>
      <c r="H451" s="19"/>
    </row>
    <row r="452">
      <c r="A452" s="9"/>
      <c r="B452" s="15"/>
      <c r="C452" s="9">
        <f>IFERROR(__xludf.DUMMYFUNCTION("""COMPUTED_VALUE"""),45139.9279634837)</f>
        <v>45139.92796</v>
      </c>
      <c r="D452" s="15">
        <f>IFERROR(__xludf.DUMMYFUNCTION("""COMPUTED_VALUE"""),1.003)</f>
        <v>1.003</v>
      </c>
      <c r="E452" s="16">
        <f>IFERROR(__xludf.DUMMYFUNCTION("""COMPUTED_VALUE"""),74.0)</f>
        <v>74</v>
      </c>
      <c r="F452" s="19" t="str">
        <f>IFERROR(__xludf.DUMMYFUNCTION("""COMPUTED_VALUE"""),"BLACK")</f>
        <v>BLACK</v>
      </c>
      <c r="G452" s="20" t="str">
        <f>IFERROR(__xludf.DUMMYFUNCTION("""COMPUTED_VALUE"""),"Uncle Sams Cider (04/04/2023)")</f>
        <v>Uncle Sams Cider (04/04/2023)</v>
      </c>
      <c r="H452" s="19"/>
    </row>
    <row r="453">
      <c r="A453" s="9"/>
      <c r="B453" s="15"/>
      <c r="C453" s="9">
        <f>IFERROR(__xludf.DUMMYFUNCTION("""COMPUTED_VALUE"""),45139.9175432175)</f>
        <v>45139.91754</v>
      </c>
      <c r="D453" s="15">
        <f>IFERROR(__xludf.DUMMYFUNCTION("""COMPUTED_VALUE"""),1.003)</f>
        <v>1.003</v>
      </c>
      <c r="E453" s="16">
        <f>IFERROR(__xludf.DUMMYFUNCTION("""COMPUTED_VALUE"""),74.0)</f>
        <v>74</v>
      </c>
      <c r="F453" s="19" t="str">
        <f>IFERROR(__xludf.DUMMYFUNCTION("""COMPUTED_VALUE"""),"BLACK")</f>
        <v>BLACK</v>
      </c>
      <c r="G453" s="20" t="str">
        <f>IFERROR(__xludf.DUMMYFUNCTION("""COMPUTED_VALUE"""),"Uncle Sams Cider (04/04/2023)")</f>
        <v>Uncle Sams Cider (04/04/2023)</v>
      </c>
      <c r="H453" s="19"/>
    </row>
    <row r="454">
      <c r="A454" s="9"/>
      <c r="B454" s="15"/>
      <c r="C454" s="9">
        <f>IFERROR(__xludf.DUMMYFUNCTION("""COMPUTED_VALUE"""),45139.9071217013)</f>
        <v>45139.90712</v>
      </c>
      <c r="D454" s="15">
        <f>IFERROR(__xludf.DUMMYFUNCTION("""COMPUTED_VALUE"""),1.003)</f>
        <v>1.003</v>
      </c>
      <c r="E454" s="16">
        <f>IFERROR(__xludf.DUMMYFUNCTION("""COMPUTED_VALUE"""),73.0)</f>
        <v>73</v>
      </c>
      <c r="F454" s="19" t="str">
        <f>IFERROR(__xludf.DUMMYFUNCTION("""COMPUTED_VALUE"""),"BLACK")</f>
        <v>BLACK</v>
      </c>
      <c r="G454" s="20" t="str">
        <f>IFERROR(__xludf.DUMMYFUNCTION("""COMPUTED_VALUE"""),"Uncle Sams Cider (04/04/2023)")</f>
        <v>Uncle Sams Cider (04/04/2023)</v>
      </c>
      <c r="H454" s="19"/>
    </row>
    <row r="455">
      <c r="A455" s="9"/>
      <c r="B455" s="15"/>
      <c r="C455" s="9">
        <f>IFERROR(__xludf.DUMMYFUNCTION("""COMPUTED_VALUE"""),45139.8967010879)</f>
        <v>45139.8967</v>
      </c>
      <c r="D455" s="15">
        <f>IFERROR(__xludf.DUMMYFUNCTION("""COMPUTED_VALUE"""),1.003)</f>
        <v>1.003</v>
      </c>
      <c r="E455" s="16">
        <f>IFERROR(__xludf.DUMMYFUNCTION("""COMPUTED_VALUE"""),74.0)</f>
        <v>74</v>
      </c>
      <c r="F455" s="19" t="str">
        <f>IFERROR(__xludf.DUMMYFUNCTION("""COMPUTED_VALUE"""),"BLACK")</f>
        <v>BLACK</v>
      </c>
      <c r="G455" s="20" t="str">
        <f>IFERROR(__xludf.DUMMYFUNCTION("""COMPUTED_VALUE"""),"Uncle Sams Cider (04/04/2023)")</f>
        <v>Uncle Sams Cider (04/04/2023)</v>
      </c>
      <c r="H455" s="19"/>
    </row>
    <row r="456">
      <c r="A456" s="9"/>
      <c r="B456" s="15"/>
      <c r="C456" s="9">
        <f>IFERROR(__xludf.DUMMYFUNCTION("""COMPUTED_VALUE"""),45139.886278912)</f>
        <v>45139.88628</v>
      </c>
      <c r="D456" s="15">
        <f>IFERROR(__xludf.DUMMYFUNCTION("""COMPUTED_VALUE"""),1.003)</f>
        <v>1.003</v>
      </c>
      <c r="E456" s="16">
        <f>IFERROR(__xludf.DUMMYFUNCTION("""COMPUTED_VALUE"""),74.0)</f>
        <v>74</v>
      </c>
      <c r="F456" s="19" t="str">
        <f>IFERROR(__xludf.DUMMYFUNCTION("""COMPUTED_VALUE"""),"BLACK")</f>
        <v>BLACK</v>
      </c>
      <c r="G456" s="20" t="str">
        <f>IFERROR(__xludf.DUMMYFUNCTION("""COMPUTED_VALUE"""),"Uncle Sams Cider (04/04/2023)")</f>
        <v>Uncle Sams Cider (04/04/2023)</v>
      </c>
      <c r="H456" s="19"/>
    </row>
    <row r="457">
      <c r="A457" s="9"/>
      <c r="B457" s="15"/>
      <c r="C457" s="9">
        <f>IFERROR(__xludf.DUMMYFUNCTION("""COMPUTED_VALUE"""),45139.8758577662)</f>
        <v>45139.87586</v>
      </c>
      <c r="D457" s="15">
        <f>IFERROR(__xludf.DUMMYFUNCTION("""COMPUTED_VALUE"""),1.003)</f>
        <v>1.003</v>
      </c>
      <c r="E457" s="16">
        <f>IFERROR(__xludf.DUMMYFUNCTION("""COMPUTED_VALUE"""),74.0)</f>
        <v>74</v>
      </c>
      <c r="F457" s="19" t="str">
        <f>IFERROR(__xludf.DUMMYFUNCTION("""COMPUTED_VALUE"""),"BLACK")</f>
        <v>BLACK</v>
      </c>
      <c r="G457" s="20" t="str">
        <f>IFERROR(__xludf.DUMMYFUNCTION("""COMPUTED_VALUE"""),"Uncle Sams Cider (04/04/2023)")</f>
        <v>Uncle Sams Cider (04/04/2023)</v>
      </c>
      <c r="H457" s="19"/>
    </row>
    <row r="458">
      <c r="A458" s="9"/>
      <c r="B458" s="15"/>
      <c r="C458" s="9">
        <f>IFERROR(__xludf.DUMMYFUNCTION("""COMPUTED_VALUE"""),45139.8654353009)</f>
        <v>45139.86544</v>
      </c>
      <c r="D458" s="15">
        <f>IFERROR(__xludf.DUMMYFUNCTION("""COMPUTED_VALUE"""),1.003)</f>
        <v>1.003</v>
      </c>
      <c r="E458" s="16">
        <f>IFERROR(__xludf.DUMMYFUNCTION("""COMPUTED_VALUE"""),73.0)</f>
        <v>73</v>
      </c>
      <c r="F458" s="19" t="str">
        <f>IFERROR(__xludf.DUMMYFUNCTION("""COMPUTED_VALUE"""),"BLACK")</f>
        <v>BLACK</v>
      </c>
      <c r="G458" s="20" t="str">
        <f>IFERROR(__xludf.DUMMYFUNCTION("""COMPUTED_VALUE"""),"Uncle Sams Cider (04/04/2023)")</f>
        <v>Uncle Sams Cider (04/04/2023)</v>
      </c>
      <c r="H458" s="19"/>
    </row>
    <row r="459">
      <c r="A459" s="9"/>
      <c r="B459" s="15"/>
      <c r="C459" s="9">
        <f>IFERROR(__xludf.DUMMYFUNCTION("""COMPUTED_VALUE"""),45139.8550135069)</f>
        <v>45139.85501</v>
      </c>
      <c r="D459" s="15">
        <f>IFERROR(__xludf.DUMMYFUNCTION("""COMPUTED_VALUE"""),1.003)</f>
        <v>1.003</v>
      </c>
      <c r="E459" s="16">
        <f>IFERROR(__xludf.DUMMYFUNCTION("""COMPUTED_VALUE"""),74.0)</f>
        <v>74</v>
      </c>
      <c r="F459" s="19" t="str">
        <f>IFERROR(__xludf.DUMMYFUNCTION("""COMPUTED_VALUE"""),"BLACK")</f>
        <v>BLACK</v>
      </c>
      <c r="G459" s="20" t="str">
        <f>IFERROR(__xludf.DUMMYFUNCTION("""COMPUTED_VALUE"""),"Uncle Sams Cider (04/04/2023)")</f>
        <v>Uncle Sams Cider (04/04/2023)</v>
      </c>
      <c r="H459" s="19"/>
    </row>
    <row r="460">
      <c r="A460" s="9"/>
      <c r="B460" s="15"/>
      <c r="C460" s="9">
        <f>IFERROR(__xludf.DUMMYFUNCTION("""COMPUTED_VALUE"""),45139.8445828009)</f>
        <v>45139.84458</v>
      </c>
      <c r="D460" s="15">
        <f>IFERROR(__xludf.DUMMYFUNCTION("""COMPUTED_VALUE"""),1.003)</f>
        <v>1.003</v>
      </c>
      <c r="E460" s="16">
        <f>IFERROR(__xludf.DUMMYFUNCTION("""COMPUTED_VALUE"""),73.0)</f>
        <v>73</v>
      </c>
      <c r="F460" s="19" t="str">
        <f>IFERROR(__xludf.DUMMYFUNCTION("""COMPUTED_VALUE"""),"BLACK")</f>
        <v>BLACK</v>
      </c>
      <c r="G460" s="20" t="str">
        <f>IFERROR(__xludf.DUMMYFUNCTION("""COMPUTED_VALUE"""),"Uncle Sams Cider (04/04/2023)")</f>
        <v>Uncle Sams Cider (04/04/2023)</v>
      </c>
      <c r="H460" s="19"/>
    </row>
    <row r="461">
      <c r="A461" s="9"/>
      <c r="B461" s="15"/>
      <c r="C461" s="9">
        <f>IFERROR(__xludf.DUMMYFUNCTION("""COMPUTED_VALUE"""),45139.8341506134)</f>
        <v>45139.83415</v>
      </c>
      <c r="D461" s="15">
        <f>IFERROR(__xludf.DUMMYFUNCTION("""COMPUTED_VALUE"""),1.003)</f>
        <v>1.003</v>
      </c>
      <c r="E461" s="16">
        <f>IFERROR(__xludf.DUMMYFUNCTION("""COMPUTED_VALUE"""),73.0)</f>
        <v>73</v>
      </c>
      <c r="F461" s="19" t="str">
        <f>IFERROR(__xludf.DUMMYFUNCTION("""COMPUTED_VALUE"""),"BLACK")</f>
        <v>BLACK</v>
      </c>
      <c r="G461" s="20" t="str">
        <f>IFERROR(__xludf.DUMMYFUNCTION("""COMPUTED_VALUE"""),"Uncle Sams Cider (04/04/2023)")</f>
        <v>Uncle Sams Cider (04/04/2023)</v>
      </c>
      <c r="H461" s="19"/>
    </row>
    <row r="462">
      <c r="A462" s="9"/>
      <c r="B462" s="15"/>
      <c r="C462" s="9">
        <f>IFERROR(__xludf.DUMMYFUNCTION("""COMPUTED_VALUE"""),45139.8237320949)</f>
        <v>45139.82373</v>
      </c>
      <c r="D462" s="15">
        <f>IFERROR(__xludf.DUMMYFUNCTION("""COMPUTED_VALUE"""),1.003)</f>
        <v>1.003</v>
      </c>
      <c r="E462" s="16">
        <f>IFERROR(__xludf.DUMMYFUNCTION("""COMPUTED_VALUE"""),73.0)</f>
        <v>73</v>
      </c>
      <c r="F462" s="19" t="str">
        <f>IFERROR(__xludf.DUMMYFUNCTION("""COMPUTED_VALUE"""),"BLACK")</f>
        <v>BLACK</v>
      </c>
      <c r="G462" s="20" t="str">
        <f>IFERROR(__xludf.DUMMYFUNCTION("""COMPUTED_VALUE"""),"Uncle Sams Cider (04/04/2023)")</f>
        <v>Uncle Sams Cider (04/04/2023)</v>
      </c>
      <c r="H462" s="19"/>
    </row>
    <row r="463">
      <c r="A463" s="9"/>
      <c r="B463" s="15"/>
      <c r="C463" s="9">
        <f>IFERROR(__xludf.DUMMYFUNCTION("""COMPUTED_VALUE"""),45139.813311331)</f>
        <v>45139.81331</v>
      </c>
      <c r="D463" s="15">
        <f>IFERROR(__xludf.DUMMYFUNCTION("""COMPUTED_VALUE"""),1.003)</f>
        <v>1.003</v>
      </c>
      <c r="E463" s="16">
        <f>IFERROR(__xludf.DUMMYFUNCTION("""COMPUTED_VALUE"""),74.0)</f>
        <v>74</v>
      </c>
      <c r="F463" s="19" t="str">
        <f>IFERROR(__xludf.DUMMYFUNCTION("""COMPUTED_VALUE"""),"BLACK")</f>
        <v>BLACK</v>
      </c>
      <c r="G463" s="20" t="str">
        <f>IFERROR(__xludf.DUMMYFUNCTION("""COMPUTED_VALUE"""),"Uncle Sams Cider (04/04/2023)")</f>
        <v>Uncle Sams Cider (04/04/2023)</v>
      </c>
      <c r="H463" s="19"/>
    </row>
    <row r="464">
      <c r="A464" s="9"/>
      <c r="B464" s="15"/>
      <c r="C464" s="9">
        <f>IFERROR(__xludf.DUMMYFUNCTION("""COMPUTED_VALUE"""),45139.8028889351)</f>
        <v>45139.80289</v>
      </c>
      <c r="D464" s="15">
        <f>IFERROR(__xludf.DUMMYFUNCTION("""COMPUTED_VALUE"""),1.003)</f>
        <v>1.003</v>
      </c>
      <c r="E464" s="16">
        <f>IFERROR(__xludf.DUMMYFUNCTION("""COMPUTED_VALUE"""),73.0)</f>
        <v>73</v>
      </c>
      <c r="F464" s="19" t="str">
        <f>IFERROR(__xludf.DUMMYFUNCTION("""COMPUTED_VALUE"""),"BLACK")</f>
        <v>BLACK</v>
      </c>
      <c r="G464" s="20" t="str">
        <f>IFERROR(__xludf.DUMMYFUNCTION("""COMPUTED_VALUE"""),"Uncle Sams Cider (04/04/2023)")</f>
        <v>Uncle Sams Cider (04/04/2023)</v>
      </c>
      <c r="H464" s="19"/>
    </row>
    <row r="465">
      <c r="A465" s="9"/>
      <c r="B465" s="15"/>
      <c r="C465" s="9">
        <f>IFERROR(__xludf.DUMMYFUNCTION("""COMPUTED_VALUE"""),45139.7924577083)</f>
        <v>45139.79246</v>
      </c>
      <c r="D465" s="15">
        <f>IFERROR(__xludf.DUMMYFUNCTION("""COMPUTED_VALUE"""),1.003)</f>
        <v>1.003</v>
      </c>
      <c r="E465" s="16">
        <f>IFERROR(__xludf.DUMMYFUNCTION("""COMPUTED_VALUE"""),73.0)</f>
        <v>73</v>
      </c>
      <c r="F465" s="19" t="str">
        <f>IFERROR(__xludf.DUMMYFUNCTION("""COMPUTED_VALUE"""),"BLACK")</f>
        <v>BLACK</v>
      </c>
      <c r="G465" s="20" t="str">
        <f>IFERROR(__xludf.DUMMYFUNCTION("""COMPUTED_VALUE"""),"Uncle Sams Cider (04/04/2023)")</f>
        <v>Uncle Sams Cider (04/04/2023)</v>
      </c>
      <c r="H465" s="19"/>
    </row>
    <row r="466">
      <c r="A466" s="9"/>
      <c r="B466" s="15"/>
      <c r="C466" s="9">
        <f>IFERROR(__xludf.DUMMYFUNCTION("""COMPUTED_VALUE"""),45139.7820373032)</f>
        <v>45139.78204</v>
      </c>
      <c r="D466" s="15">
        <f>IFERROR(__xludf.DUMMYFUNCTION("""COMPUTED_VALUE"""),1.003)</f>
        <v>1.003</v>
      </c>
      <c r="E466" s="16">
        <f>IFERROR(__xludf.DUMMYFUNCTION("""COMPUTED_VALUE"""),73.0)</f>
        <v>73</v>
      </c>
      <c r="F466" s="19" t="str">
        <f>IFERROR(__xludf.DUMMYFUNCTION("""COMPUTED_VALUE"""),"BLACK")</f>
        <v>BLACK</v>
      </c>
      <c r="G466" s="20" t="str">
        <f>IFERROR(__xludf.DUMMYFUNCTION("""COMPUTED_VALUE"""),"Uncle Sams Cider (04/04/2023)")</f>
        <v>Uncle Sams Cider (04/04/2023)</v>
      </c>
      <c r="H466" s="19"/>
    </row>
    <row r="467">
      <c r="A467" s="9"/>
      <c r="B467" s="15"/>
      <c r="C467" s="9">
        <f>IFERROR(__xludf.DUMMYFUNCTION("""COMPUTED_VALUE"""),45139.7716028935)</f>
        <v>45139.7716</v>
      </c>
      <c r="D467" s="15">
        <f>IFERROR(__xludf.DUMMYFUNCTION("""COMPUTED_VALUE"""),1.003)</f>
        <v>1.003</v>
      </c>
      <c r="E467" s="16">
        <f>IFERROR(__xludf.DUMMYFUNCTION("""COMPUTED_VALUE"""),73.0)</f>
        <v>73</v>
      </c>
      <c r="F467" s="19" t="str">
        <f>IFERROR(__xludf.DUMMYFUNCTION("""COMPUTED_VALUE"""),"BLACK")</f>
        <v>BLACK</v>
      </c>
      <c r="G467" s="20" t="str">
        <f>IFERROR(__xludf.DUMMYFUNCTION("""COMPUTED_VALUE"""),"Uncle Sams Cider (04/04/2023)")</f>
        <v>Uncle Sams Cider (04/04/2023)</v>
      </c>
      <c r="H467" s="19"/>
    </row>
    <row r="468">
      <c r="A468" s="9"/>
      <c r="B468" s="15"/>
      <c r="C468" s="9">
        <f>IFERROR(__xludf.DUMMYFUNCTION("""COMPUTED_VALUE"""),45139.76118228)</f>
        <v>45139.76118</v>
      </c>
      <c r="D468" s="15">
        <f>IFERROR(__xludf.DUMMYFUNCTION("""COMPUTED_VALUE"""),1.003)</f>
        <v>1.003</v>
      </c>
      <c r="E468" s="16">
        <f>IFERROR(__xludf.DUMMYFUNCTION("""COMPUTED_VALUE"""),73.0)</f>
        <v>73</v>
      </c>
      <c r="F468" s="19" t="str">
        <f>IFERROR(__xludf.DUMMYFUNCTION("""COMPUTED_VALUE"""),"BLACK")</f>
        <v>BLACK</v>
      </c>
      <c r="G468" s="20" t="str">
        <f>IFERROR(__xludf.DUMMYFUNCTION("""COMPUTED_VALUE"""),"Uncle Sams Cider (04/04/2023)")</f>
        <v>Uncle Sams Cider (04/04/2023)</v>
      </c>
      <c r="H468" s="19"/>
    </row>
    <row r="469">
      <c r="A469" s="9"/>
      <c r="B469" s="15"/>
      <c r="C469" s="9">
        <f>IFERROR(__xludf.DUMMYFUNCTION("""COMPUTED_VALUE"""),45139.7507623379)</f>
        <v>45139.75076</v>
      </c>
      <c r="D469" s="15">
        <f>IFERROR(__xludf.DUMMYFUNCTION("""COMPUTED_VALUE"""),1.003)</f>
        <v>1.003</v>
      </c>
      <c r="E469" s="16">
        <f>IFERROR(__xludf.DUMMYFUNCTION("""COMPUTED_VALUE"""),73.0)</f>
        <v>73</v>
      </c>
      <c r="F469" s="19" t="str">
        <f>IFERROR(__xludf.DUMMYFUNCTION("""COMPUTED_VALUE"""),"BLACK")</f>
        <v>BLACK</v>
      </c>
      <c r="G469" s="20" t="str">
        <f>IFERROR(__xludf.DUMMYFUNCTION("""COMPUTED_VALUE"""),"Uncle Sams Cider (04/04/2023)")</f>
        <v>Uncle Sams Cider (04/04/2023)</v>
      </c>
      <c r="H469" s="19"/>
    </row>
    <row r="470">
      <c r="A470" s="9"/>
      <c r="B470" s="15"/>
      <c r="C470" s="9">
        <f>IFERROR(__xludf.DUMMYFUNCTION("""COMPUTED_VALUE"""),45139.74033103)</f>
        <v>45139.74033</v>
      </c>
      <c r="D470" s="15">
        <f>IFERROR(__xludf.DUMMYFUNCTION("""COMPUTED_VALUE"""),1.003)</f>
        <v>1.003</v>
      </c>
      <c r="E470" s="16">
        <f>IFERROR(__xludf.DUMMYFUNCTION("""COMPUTED_VALUE"""),73.0)</f>
        <v>73</v>
      </c>
      <c r="F470" s="19" t="str">
        <f>IFERROR(__xludf.DUMMYFUNCTION("""COMPUTED_VALUE"""),"BLACK")</f>
        <v>BLACK</v>
      </c>
      <c r="G470" s="20" t="str">
        <f>IFERROR(__xludf.DUMMYFUNCTION("""COMPUTED_VALUE"""),"Uncle Sams Cider (04/04/2023)")</f>
        <v>Uncle Sams Cider (04/04/2023)</v>
      </c>
      <c r="H470" s="19"/>
    </row>
    <row r="471">
      <c r="A471" s="9"/>
      <c r="B471" s="15"/>
      <c r="C471" s="9">
        <f>IFERROR(__xludf.DUMMYFUNCTION("""COMPUTED_VALUE"""),45139.7298980092)</f>
        <v>45139.7299</v>
      </c>
      <c r="D471" s="15">
        <f>IFERROR(__xludf.DUMMYFUNCTION("""COMPUTED_VALUE"""),1.003)</f>
        <v>1.003</v>
      </c>
      <c r="E471" s="16">
        <f>IFERROR(__xludf.DUMMYFUNCTION("""COMPUTED_VALUE"""),73.0)</f>
        <v>73</v>
      </c>
      <c r="F471" s="19" t="str">
        <f>IFERROR(__xludf.DUMMYFUNCTION("""COMPUTED_VALUE"""),"BLACK")</f>
        <v>BLACK</v>
      </c>
      <c r="G471" s="20" t="str">
        <f>IFERROR(__xludf.DUMMYFUNCTION("""COMPUTED_VALUE"""),"Uncle Sams Cider (04/04/2023)")</f>
        <v>Uncle Sams Cider (04/04/2023)</v>
      </c>
      <c r="H471" s="19"/>
    </row>
    <row r="472">
      <c r="A472" s="9"/>
      <c r="B472" s="15"/>
      <c r="C472" s="9">
        <f>IFERROR(__xludf.DUMMYFUNCTION("""COMPUTED_VALUE"""),45139.7194650347)</f>
        <v>45139.71947</v>
      </c>
      <c r="D472" s="15">
        <f>IFERROR(__xludf.DUMMYFUNCTION("""COMPUTED_VALUE"""),1.003)</f>
        <v>1.003</v>
      </c>
      <c r="E472" s="16">
        <f>IFERROR(__xludf.DUMMYFUNCTION("""COMPUTED_VALUE"""),73.0)</f>
        <v>73</v>
      </c>
      <c r="F472" s="19" t="str">
        <f>IFERROR(__xludf.DUMMYFUNCTION("""COMPUTED_VALUE"""),"BLACK")</f>
        <v>BLACK</v>
      </c>
      <c r="G472" s="20" t="str">
        <f>IFERROR(__xludf.DUMMYFUNCTION("""COMPUTED_VALUE"""),"Uncle Sams Cider (04/04/2023)")</f>
        <v>Uncle Sams Cider (04/04/2023)</v>
      </c>
      <c r="H472" s="19"/>
    </row>
    <row r="473">
      <c r="A473" s="9"/>
      <c r="B473" s="15"/>
      <c r="C473" s="9">
        <f>IFERROR(__xludf.DUMMYFUNCTION("""COMPUTED_VALUE"""),45139.7090440162)</f>
        <v>45139.70904</v>
      </c>
      <c r="D473" s="15">
        <f>IFERROR(__xludf.DUMMYFUNCTION("""COMPUTED_VALUE"""),1.003)</f>
        <v>1.003</v>
      </c>
      <c r="E473" s="16">
        <f>IFERROR(__xludf.DUMMYFUNCTION("""COMPUTED_VALUE"""),73.0)</f>
        <v>73</v>
      </c>
      <c r="F473" s="19" t="str">
        <f>IFERROR(__xludf.DUMMYFUNCTION("""COMPUTED_VALUE"""),"BLACK")</f>
        <v>BLACK</v>
      </c>
      <c r="G473" s="20" t="str">
        <f>IFERROR(__xludf.DUMMYFUNCTION("""COMPUTED_VALUE"""),"Uncle Sams Cider (04/04/2023)")</f>
        <v>Uncle Sams Cider (04/04/2023)</v>
      </c>
      <c r="H473" s="19"/>
    </row>
    <row r="474">
      <c r="A474" s="9"/>
      <c r="B474" s="15"/>
      <c r="C474" s="9">
        <f>IFERROR(__xludf.DUMMYFUNCTION("""COMPUTED_VALUE"""),45139.6986243981)</f>
        <v>45139.69862</v>
      </c>
      <c r="D474" s="15">
        <f>IFERROR(__xludf.DUMMYFUNCTION("""COMPUTED_VALUE"""),1.003)</f>
        <v>1.003</v>
      </c>
      <c r="E474" s="16">
        <f>IFERROR(__xludf.DUMMYFUNCTION("""COMPUTED_VALUE"""),73.0)</f>
        <v>73</v>
      </c>
      <c r="F474" s="19" t="str">
        <f>IFERROR(__xludf.DUMMYFUNCTION("""COMPUTED_VALUE"""),"BLACK")</f>
        <v>BLACK</v>
      </c>
      <c r="G474" s="20" t="str">
        <f>IFERROR(__xludf.DUMMYFUNCTION("""COMPUTED_VALUE"""),"Uncle Sams Cider (04/04/2023)")</f>
        <v>Uncle Sams Cider (04/04/2023)</v>
      </c>
      <c r="H474" s="19"/>
    </row>
    <row r="475">
      <c r="A475" s="9"/>
      <c r="B475" s="15"/>
      <c r="C475" s="9">
        <f>IFERROR(__xludf.DUMMYFUNCTION("""COMPUTED_VALUE"""),45139.6882044444)</f>
        <v>45139.6882</v>
      </c>
      <c r="D475" s="15">
        <f>IFERROR(__xludf.DUMMYFUNCTION("""COMPUTED_VALUE"""),1.003)</f>
        <v>1.003</v>
      </c>
      <c r="E475" s="16">
        <f>IFERROR(__xludf.DUMMYFUNCTION("""COMPUTED_VALUE"""),73.0)</f>
        <v>73</v>
      </c>
      <c r="F475" s="19" t="str">
        <f>IFERROR(__xludf.DUMMYFUNCTION("""COMPUTED_VALUE"""),"BLACK")</f>
        <v>BLACK</v>
      </c>
      <c r="G475" s="20" t="str">
        <f>IFERROR(__xludf.DUMMYFUNCTION("""COMPUTED_VALUE"""),"Uncle Sams Cider (04/04/2023)")</f>
        <v>Uncle Sams Cider (04/04/2023)</v>
      </c>
      <c r="H475" s="19"/>
    </row>
    <row r="476">
      <c r="A476" s="9"/>
      <c r="B476" s="15"/>
      <c r="C476" s="9">
        <f>IFERROR(__xludf.DUMMYFUNCTION("""COMPUTED_VALUE"""),45139.6777810069)</f>
        <v>45139.67778</v>
      </c>
      <c r="D476" s="15">
        <f>IFERROR(__xludf.DUMMYFUNCTION("""COMPUTED_VALUE"""),1.003)</f>
        <v>1.003</v>
      </c>
      <c r="E476" s="16">
        <f>IFERROR(__xludf.DUMMYFUNCTION("""COMPUTED_VALUE"""),73.0)</f>
        <v>73</v>
      </c>
      <c r="F476" s="19" t="str">
        <f>IFERROR(__xludf.DUMMYFUNCTION("""COMPUTED_VALUE"""),"BLACK")</f>
        <v>BLACK</v>
      </c>
      <c r="G476" s="20" t="str">
        <f>IFERROR(__xludf.DUMMYFUNCTION("""COMPUTED_VALUE"""),"Uncle Sams Cider (04/04/2023)")</f>
        <v>Uncle Sams Cider (04/04/2023)</v>
      </c>
      <c r="H476" s="19"/>
    </row>
    <row r="477">
      <c r="A477" s="9"/>
      <c r="B477" s="15"/>
      <c r="C477" s="9">
        <f>IFERROR(__xludf.DUMMYFUNCTION("""COMPUTED_VALUE"""),45139.6673593865)</f>
        <v>45139.66736</v>
      </c>
      <c r="D477" s="15">
        <f>IFERROR(__xludf.DUMMYFUNCTION("""COMPUTED_VALUE"""),1.003)</f>
        <v>1.003</v>
      </c>
      <c r="E477" s="16">
        <f>IFERROR(__xludf.DUMMYFUNCTION("""COMPUTED_VALUE"""),73.0)</f>
        <v>73</v>
      </c>
      <c r="F477" s="19" t="str">
        <f>IFERROR(__xludf.DUMMYFUNCTION("""COMPUTED_VALUE"""),"BLACK")</f>
        <v>BLACK</v>
      </c>
      <c r="G477" s="20" t="str">
        <f>IFERROR(__xludf.DUMMYFUNCTION("""COMPUTED_VALUE"""),"Uncle Sams Cider (04/04/2023)")</f>
        <v>Uncle Sams Cider (04/04/2023)</v>
      </c>
      <c r="H477" s="19"/>
    </row>
    <row r="478">
      <c r="A478" s="9"/>
      <c r="B478" s="15"/>
      <c r="C478" s="9">
        <f>IFERROR(__xludf.DUMMYFUNCTION("""COMPUTED_VALUE"""),45139.6569376967)</f>
        <v>45139.65694</v>
      </c>
      <c r="D478" s="15">
        <f>IFERROR(__xludf.DUMMYFUNCTION("""COMPUTED_VALUE"""),1.003)</f>
        <v>1.003</v>
      </c>
      <c r="E478" s="16">
        <f>IFERROR(__xludf.DUMMYFUNCTION("""COMPUTED_VALUE"""),73.0)</f>
        <v>73</v>
      </c>
      <c r="F478" s="19" t="str">
        <f>IFERROR(__xludf.DUMMYFUNCTION("""COMPUTED_VALUE"""),"BLACK")</f>
        <v>BLACK</v>
      </c>
      <c r="G478" s="20" t="str">
        <f>IFERROR(__xludf.DUMMYFUNCTION("""COMPUTED_VALUE"""),"Uncle Sams Cider (04/04/2023)")</f>
        <v>Uncle Sams Cider (04/04/2023)</v>
      </c>
      <c r="H478" s="19"/>
    </row>
    <row r="479">
      <c r="A479" s="9"/>
      <c r="B479" s="15"/>
      <c r="C479" s="9">
        <f>IFERROR(__xludf.DUMMYFUNCTION("""COMPUTED_VALUE"""),45139.646516412)</f>
        <v>45139.64652</v>
      </c>
      <c r="D479" s="15">
        <f>IFERROR(__xludf.DUMMYFUNCTION("""COMPUTED_VALUE"""),1.003)</f>
        <v>1.003</v>
      </c>
      <c r="E479" s="16">
        <f>IFERROR(__xludf.DUMMYFUNCTION("""COMPUTED_VALUE"""),73.0)</f>
        <v>73</v>
      </c>
      <c r="F479" s="19" t="str">
        <f>IFERROR(__xludf.DUMMYFUNCTION("""COMPUTED_VALUE"""),"BLACK")</f>
        <v>BLACK</v>
      </c>
      <c r="G479" s="20" t="str">
        <f>IFERROR(__xludf.DUMMYFUNCTION("""COMPUTED_VALUE"""),"Uncle Sams Cider (04/04/2023)")</f>
        <v>Uncle Sams Cider (04/04/2023)</v>
      </c>
      <c r="H479" s="19"/>
    </row>
    <row r="480">
      <c r="A480" s="9"/>
      <c r="B480" s="15"/>
      <c r="C480" s="9">
        <f>IFERROR(__xludf.DUMMYFUNCTION("""COMPUTED_VALUE"""),45139.6360823495)</f>
        <v>45139.63608</v>
      </c>
      <c r="D480" s="15">
        <f>IFERROR(__xludf.DUMMYFUNCTION("""COMPUTED_VALUE"""),1.003)</f>
        <v>1.003</v>
      </c>
      <c r="E480" s="16">
        <f>IFERROR(__xludf.DUMMYFUNCTION("""COMPUTED_VALUE"""),73.0)</f>
        <v>73</v>
      </c>
      <c r="F480" s="19" t="str">
        <f>IFERROR(__xludf.DUMMYFUNCTION("""COMPUTED_VALUE"""),"BLACK")</f>
        <v>BLACK</v>
      </c>
      <c r="G480" s="20" t="str">
        <f>IFERROR(__xludf.DUMMYFUNCTION("""COMPUTED_VALUE"""),"Uncle Sams Cider (04/04/2023)")</f>
        <v>Uncle Sams Cider (04/04/2023)</v>
      </c>
      <c r="H480" s="19"/>
    </row>
    <row r="481">
      <c r="A481" s="9"/>
      <c r="B481" s="15"/>
      <c r="C481" s="9">
        <f>IFERROR(__xludf.DUMMYFUNCTION("""COMPUTED_VALUE"""),45139.6256611805)</f>
        <v>45139.62566</v>
      </c>
      <c r="D481" s="15">
        <f>IFERROR(__xludf.DUMMYFUNCTION("""COMPUTED_VALUE"""),1.003)</f>
        <v>1.003</v>
      </c>
      <c r="E481" s="16">
        <f>IFERROR(__xludf.DUMMYFUNCTION("""COMPUTED_VALUE"""),73.0)</f>
        <v>73</v>
      </c>
      <c r="F481" s="19" t="str">
        <f>IFERROR(__xludf.DUMMYFUNCTION("""COMPUTED_VALUE"""),"BLACK")</f>
        <v>BLACK</v>
      </c>
      <c r="G481" s="20" t="str">
        <f>IFERROR(__xludf.DUMMYFUNCTION("""COMPUTED_VALUE"""),"Uncle Sams Cider (04/04/2023)")</f>
        <v>Uncle Sams Cider (04/04/2023)</v>
      </c>
      <c r="H481" s="19"/>
    </row>
    <row r="482">
      <c r="A482" s="9"/>
      <c r="B482" s="15"/>
      <c r="C482" s="9">
        <f>IFERROR(__xludf.DUMMYFUNCTION("""COMPUTED_VALUE"""),45139.6152404166)</f>
        <v>45139.61524</v>
      </c>
      <c r="D482" s="15">
        <f>IFERROR(__xludf.DUMMYFUNCTION("""COMPUTED_VALUE"""),1.003)</f>
        <v>1.003</v>
      </c>
      <c r="E482" s="16">
        <f>IFERROR(__xludf.DUMMYFUNCTION("""COMPUTED_VALUE"""),73.0)</f>
        <v>73</v>
      </c>
      <c r="F482" s="19" t="str">
        <f>IFERROR(__xludf.DUMMYFUNCTION("""COMPUTED_VALUE"""),"BLACK")</f>
        <v>BLACK</v>
      </c>
      <c r="G482" s="20" t="str">
        <f>IFERROR(__xludf.DUMMYFUNCTION("""COMPUTED_VALUE"""),"Uncle Sams Cider (04/04/2023)")</f>
        <v>Uncle Sams Cider (04/04/2023)</v>
      </c>
      <c r="H482" s="19"/>
    </row>
    <row r="483">
      <c r="A483" s="9"/>
      <c r="B483" s="15"/>
      <c r="C483" s="9">
        <f>IFERROR(__xludf.DUMMYFUNCTION("""COMPUTED_VALUE"""),45139.604819375)</f>
        <v>45139.60482</v>
      </c>
      <c r="D483" s="15">
        <f>IFERROR(__xludf.DUMMYFUNCTION("""COMPUTED_VALUE"""),1.003)</f>
        <v>1.003</v>
      </c>
      <c r="E483" s="16">
        <f>IFERROR(__xludf.DUMMYFUNCTION("""COMPUTED_VALUE"""),73.0)</f>
        <v>73</v>
      </c>
      <c r="F483" s="19" t="str">
        <f>IFERROR(__xludf.DUMMYFUNCTION("""COMPUTED_VALUE"""),"BLACK")</f>
        <v>BLACK</v>
      </c>
      <c r="G483" s="20" t="str">
        <f>IFERROR(__xludf.DUMMYFUNCTION("""COMPUTED_VALUE"""),"Uncle Sams Cider (04/04/2023)")</f>
        <v>Uncle Sams Cider (04/04/2023)</v>
      </c>
      <c r="H483" s="19"/>
    </row>
    <row r="484">
      <c r="A484" s="9"/>
      <c r="B484" s="15"/>
      <c r="C484" s="9">
        <f>IFERROR(__xludf.DUMMYFUNCTION("""COMPUTED_VALUE"""),45139.594398125)</f>
        <v>45139.5944</v>
      </c>
      <c r="D484" s="15">
        <f>IFERROR(__xludf.DUMMYFUNCTION("""COMPUTED_VALUE"""),1.003)</f>
        <v>1.003</v>
      </c>
      <c r="E484" s="16">
        <f>IFERROR(__xludf.DUMMYFUNCTION("""COMPUTED_VALUE"""),73.0)</f>
        <v>73</v>
      </c>
      <c r="F484" s="19" t="str">
        <f>IFERROR(__xludf.DUMMYFUNCTION("""COMPUTED_VALUE"""),"BLACK")</f>
        <v>BLACK</v>
      </c>
      <c r="G484" s="20" t="str">
        <f>IFERROR(__xludf.DUMMYFUNCTION("""COMPUTED_VALUE"""),"Uncle Sams Cider (04/04/2023)")</f>
        <v>Uncle Sams Cider (04/04/2023)</v>
      </c>
      <c r="H484" s="19"/>
    </row>
    <row r="485">
      <c r="A485" s="9"/>
      <c r="B485" s="15"/>
      <c r="C485" s="9">
        <f>IFERROR(__xludf.DUMMYFUNCTION("""COMPUTED_VALUE"""),45139.5839638078)</f>
        <v>45139.58396</v>
      </c>
      <c r="D485" s="15">
        <f>IFERROR(__xludf.DUMMYFUNCTION("""COMPUTED_VALUE"""),1.003)</f>
        <v>1.003</v>
      </c>
      <c r="E485" s="16">
        <f>IFERROR(__xludf.DUMMYFUNCTION("""COMPUTED_VALUE"""),73.0)</f>
        <v>73</v>
      </c>
      <c r="F485" s="19" t="str">
        <f>IFERROR(__xludf.DUMMYFUNCTION("""COMPUTED_VALUE"""),"BLACK")</f>
        <v>BLACK</v>
      </c>
      <c r="G485" s="20" t="str">
        <f>IFERROR(__xludf.DUMMYFUNCTION("""COMPUTED_VALUE"""),"Uncle Sams Cider (04/04/2023)")</f>
        <v>Uncle Sams Cider (04/04/2023)</v>
      </c>
      <c r="H485" s="19"/>
    </row>
    <row r="486">
      <c r="A486" s="9"/>
      <c r="B486" s="15"/>
      <c r="C486" s="9">
        <f>IFERROR(__xludf.DUMMYFUNCTION("""COMPUTED_VALUE"""),45139.5735424421)</f>
        <v>45139.57354</v>
      </c>
      <c r="D486" s="15">
        <f>IFERROR(__xludf.DUMMYFUNCTION("""COMPUTED_VALUE"""),1.003)</f>
        <v>1.003</v>
      </c>
      <c r="E486" s="16">
        <f>IFERROR(__xludf.DUMMYFUNCTION("""COMPUTED_VALUE"""),73.0)</f>
        <v>73</v>
      </c>
      <c r="F486" s="19" t="str">
        <f>IFERROR(__xludf.DUMMYFUNCTION("""COMPUTED_VALUE"""),"BLACK")</f>
        <v>BLACK</v>
      </c>
      <c r="G486" s="20" t="str">
        <f>IFERROR(__xludf.DUMMYFUNCTION("""COMPUTED_VALUE"""),"Uncle Sams Cider (04/04/2023)")</f>
        <v>Uncle Sams Cider (04/04/2023)</v>
      </c>
      <c r="H486" s="19"/>
    </row>
    <row r="487">
      <c r="A487" s="9"/>
      <c r="B487" s="15"/>
      <c r="C487" s="9">
        <f>IFERROR(__xludf.DUMMYFUNCTION("""COMPUTED_VALUE"""),45139.5631213194)</f>
        <v>45139.56312</v>
      </c>
      <c r="D487" s="15">
        <f>IFERROR(__xludf.DUMMYFUNCTION("""COMPUTED_VALUE"""),1.003)</f>
        <v>1.003</v>
      </c>
      <c r="E487" s="16">
        <f>IFERROR(__xludf.DUMMYFUNCTION("""COMPUTED_VALUE"""),73.0)</f>
        <v>73</v>
      </c>
      <c r="F487" s="19" t="str">
        <f>IFERROR(__xludf.DUMMYFUNCTION("""COMPUTED_VALUE"""),"BLACK")</f>
        <v>BLACK</v>
      </c>
      <c r="G487" s="20" t="str">
        <f>IFERROR(__xludf.DUMMYFUNCTION("""COMPUTED_VALUE"""),"Uncle Sams Cider (04/04/2023)")</f>
        <v>Uncle Sams Cider (04/04/2023)</v>
      </c>
      <c r="H487" s="19"/>
    </row>
    <row r="488">
      <c r="A488" s="9"/>
      <c r="B488" s="15"/>
      <c r="C488" s="9">
        <f>IFERROR(__xludf.DUMMYFUNCTION("""COMPUTED_VALUE"""),45139.5526888078)</f>
        <v>45139.55269</v>
      </c>
      <c r="D488" s="15">
        <f>IFERROR(__xludf.DUMMYFUNCTION("""COMPUTED_VALUE"""),1.003)</f>
        <v>1.003</v>
      </c>
      <c r="E488" s="16">
        <f>IFERROR(__xludf.DUMMYFUNCTION("""COMPUTED_VALUE"""),73.0)</f>
        <v>73</v>
      </c>
      <c r="F488" s="19" t="str">
        <f>IFERROR(__xludf.DUMMYFUNCTION("""COMPUTED_VALUE"""),"BLACK")</f>
        <v>BLACK</v>
      </c>
      <c r="G488" s="20" t="str">
        <f>IFERROR(__xludf.DUMMYFUNCTION("""COMPUTED_VALUE"""),"Uncle Sams Cider (04/04/2023)")</f>
        <v>Uncle Sams Cider (04/04/2023)</v>
      </c>
      <c r="H488" s="19"/>
    </row>
    <row r="489">
      <c r="A489" s="9"/>
      <c r="B489" s="15"/>
      <c r="C489" s="9">
        <f>IFERROR(__xludf.DUMMYFUNCTION("""COMPUTED_VALUE"""),45139.5422678124)</f>
        <v>45139.54227</v>
      </c>
      <c r="D489" s="15">
        <f>IFERROR(__xludf.DUMMYFUNCTION("""COMPUTED_VALUE"""),1.003)</f>
        <v>1.003</v>
      </c>
      <c r="E489" s="16">
        <f>IFERROR(__xludf.DUMMYFUNCTION("""COMPUTED_VALUE"""),73.0)</f>
        <v>73</v>
      </c>
      <c r="F489" s="19" t="str">
        <f>IFERROR(__xludf.DUMMYFUNCTION("""COMPUTED_VALUE"""),"BLACK")</f>
        <v>BLACK</v>
      </c>
      <c r="G489" s="20" t="str">
        <f>IFERROR(__xludf.DUMMYFUNCTION("""COMPUTED_VALUE"""),"Uncle Sams Cider (04/04/2023)")</f>
        <v>Uncle Sams Cider (04/04/2023)</v>
      </c>
      <c r="H489" s="19"/>
    </row>
    <row r="490">
      <c r="A490" s="9"/>
      <c r="B490" s="15"/>
      <c r="C490" s="9">
        <f>IFERROR(__xludf.DUMMYFUNCTION("""COMPUTED_VALUE"""),45139.5318488541)</f>
        <v>45139.53185</v>
      </c>
      <c r="D490" s="15">
        <f>IFERROR(__xludf.DUMMYFUNCTION("""COMPUTED_VALUE"""),1.003)</f>
        <v>1.003</v>
      </c>
      <c r="E490" s="16">
        <f>IFERROR(__xludf.DUMMYFUNCTION("""COMPUTED_VALUE"""),73.0)</f>
        <v>73</v>
      </c>
      <c r="F490" s="19" t="str">
        <f>IFERROR(__xludf.DUMMYFUNCTION("""COMPUTED_VALUE"""),"BLACK")</f>
        <v>BLACK</v>
      </c>
      <c r="G490" s="20" t="str">
        <f>IFERROR(__xludf.DUMMYFUNCTION("""COMPUTED_VALUE"""),"Uncle Sams Cider (04/04/2023)")</f>
        <v>Uncle Sams Cider (04/04/2023)</v>
      </c>
      <c r="H490" s="19"/>
    </row>
    <row r="491">
      <c r="A491" s="9"/>
      <c r="B491" s="15"/>
      <c r="C491" s="9">
        <f>IFERROR(__xludf.DUMMYFUNCTION("""COMPUTED_VALUE"""),45139.5214272916)</f>
        <v>45139.52143</v>
      </c>
      <c r="D491" s="15">
        <f>IFERROR(__xludf.DUMMYFUNCTION("""COMPUTED_VALUE"""),1.003)</f>
        <v>1.003</v>
      </c>
      <c r="E491" s="16">
        <f>IFERROR(__xludf.DUMMYFUNCTION("""COMPUTED_VALUE"""),73.0)</f>
        <v>73</v>
      </c>
      <c r="F491" s="19" t="str">
        <f>IFERROR(__xludf.DUMMYFUNCTION("""COMPUTED_VALUE"""),"BLACK")</f>
        <v>BLACK</v>
      </c>
      <c r="G491" s="20" t="str">
        <f>IFERROR(__xludf.DUMMYFUNCTION("""COMPUTED_VALUE"""),"Uncle Sams Cider (04/04/2023)")</f>
        <v>Uncle Sams Cider (04/04/2023)</v>
      </c>
      <c r="H491" s="19"/>
    </row>
    <row r="492">
      <c r="A492" s="9"/>
      <c r="B492" s="15"/>
      <c r="C492" s="9">
        <f>IFERROR(__xludf.DUMMYFUNCTION("""COMPUTED_VALUE"""),45139.5110061689)</f>
        <v>45139.51101</v>
      </c>
      <c r="D492" s="15">
        <f>IFERROR(__xludf.DUMMYFUNCTION("""COMPUTED_VALUE"""),1.003)</f>
        <v>1.003</v>
      </c>
      <c r="E492" s="16">
        <f>IFERROR(__xludf.DUMMYFUNCTION("""COMPUTED_VALUE"""),73.0)</f>
        <v>73</v>
      </c>
      <c r="F492" s="19" t="str">
        <f>IFERROR(__xludf.DUMMYFUNCTION("""COMPUTED_VALUE"""),"BLACK")</f>
        <v>BLACK</v>
      </c>
      <c r="G492" s="20" t="str">
        <f>IFERROR(__xludf.DUMMYFUNCTION("""COMPUTED_VALUE"""),"Uncle Sams Cider (04/04/2023)")</f>
        <v>Uncle Sams Cider (04/04/2023)</v>
      </c>
      <c r="H492" s="19"/>
    </row>
    <row r="493">
      <c r="A493" s="9"/>
      <c r="B493" s="15"/>
      <c r="C493" s="9">
        <f>IFERROR(__xludf.DUMMYFUNCTION("""COMPUTED_VALUE"""),45139.5005834027)</f>
        <v>45139.50058</v>
      </c>
      <c r="D493" s="15">
        <f>IFERROR(__xludf.DUMMYFUNCTION("""COMPUTED_VALUE"""),1.003)</f>
        <v>1.003</v>
      </c>
      <c r="E493" s="16">
        <f>IFERROR(__xludf.DUMMYFUNCTION("""COMPUTED_VALUE"""),73.0)</f>
        <v>73</v>
      </c>
      <c r="F493" s="19" t="str">
        <f>IFERROR(__xludf.DUMMYFUNCTION("""COMPUTED_VALUE"""),"BLACK")</f>
        <v>BLACK</v>
      </c>
      <c r="G493" s="20" t="str">
        <f>IFERROR(__xludf.DUMMYFUNCTION("""COMPUTED_VALUE"""),"Uncle Sams Cider (04/04/2023)")</f>
        <v>Uncle Sams Cider (04/04/2023)</v>
      </c>
      <c r="H493" s="19"/>
    </row>
    <row r="494">
      <c r="A494" s="9"/>
      <c r="B494" s="15"/>
      <c r="C494" s="9">
        <f>IFERROR(__xludf.DUMMYFUNCTION("""COMPUTED_VALUE"""),45139.4901606365)</f>
        <v>45139.49016</v>
      </c>
      <c r="D494" s="15">
        <f>IFERROR(__xludf.DUMMYFUNCTION("""COMPUTED_VALUE"""),1.003)</f>
        <v>1.003</v>
      </c>
      <c r="E494" s="16">
        <f>IFERROR(__xludf.DUMMYFUNCTION("""COMPUTED_VALUE"""),73.0)</f>
        <v>73</v>
      </c>
      <c r="F494" s="19" t="str">
        <f>IFERROR(__xludf.DUMMYFUNCTION("""COMPUTED_VALUE"""),"BLACK")</f>
        <v>BLACK</v>
      </c>
      <c r="G494" s="20" t="str">
        <f>IFERROR(__xludf.DUMMYFUNCTION("""COMPUTED_VALUE"""),"Uncle Sams Cider (04/04/2023)")</f>
        <v>Uncle Sams Cider (04/04/2023)</v>
      </c>
      <c r="H494" s="19"/>
    </row>
    <row r="495">
      <c r="A495" s="9"/>
      <c r="B495" s="15"/>
      <c r="C495" s="9">
        <f>IFERROR(__xludf.DUMMYFUNCTION("""COMPUTED_VALUE"""),45139.4797404861)</f>
        <v>45139.47974</v>
      </c>
      <c r="D495" s="15">
        <f>IFERROR(__xludf.DUMMYFUNCTION("""COMPUTED_VALUE"""),1.003)</f>
        <v>1.003</v>
      </c>
      <c r="E495" s="16">
        <f>IFERROR(__xludf.DUMMYFUNCTION("""COMPUTED_VALUE"""),73.0)</f>
        <v>73</v>
      </c>
      <c r="F495" s="19" t="str">
        <f>IFERROR(__xludf.DUMMYFUNCTION("""COMPUTED_VALUE"""),"BLACK")</f>
        <v>BLACK</v>
      </c>
      <c r="G495" s="20" t="str">
        <f>IFERROR(__xludf.DUMMYFUNCTION("""COMPUTED_VALUE"""),"Uncle Sams Cider (04/04/2023)")</f>
        <v>Uncle Sams Cider (04/04/2023)</v>
      </c>
      <c r="H495" s="19"/>
    </row>
    <row r="496">
      <c r="A496" s="9"/>
      <c r="B496" s="15"/>
      <c r="C496" s="9">
        <f>IFERROR(__xludf.DUMMYFUNCTION("""COMPUTED_VALUE"""),45139.4693199537)</f>
        <v>45139.46932</v>
      </c>
      <c r="D496" s="15">
        <f>IFERROR(__xludf.DUMMYFUNCTION("""COMPUTED_VALUE"""),1.003)</f>
        <v>1.003</v>
      </c>
      <c r="E496" s="16">
        <f>IFERROR(__xludf.DUMMYFUNCTION("""COMPUTED_VALUE"""),73.0)</f>
        <v>73</v>
      </c>
      <c r="F496" s="19" t="str">
        <f>IFERROR(__xludf.DUMMYFUNCTION("""COMPUTED_VALUE"""),"BLACK")</f>
        <v>BLACK</v>
      </c>
      <c r="G496" s="20" t="str">
        <f>IFERROR(__xludf.DUMMYFUNCTION("""COMPUTED_VALUE"""),"Uncle Sams Cider (04/04/2023)")</f>
        <v>Uncle Sams Cider (04/04/2023)</v>
      </c>
      <c r="H496" s="19"/>
    </row>
    <row r="497">
      <c r="A497" s="9"/>
      <c r="B497" s="15"/>
      <c r="C497" s="9">
        <f>IFERROR(__xludf.DUMMYFUNCTION("""COMPUTED_VALUE"""),45139.4588996412)</f>
        <v>45139.4589</v>
      </c>
      <c r="D497" s="15">
        <f>IFERROR(__xludf.DUMMYFUNCTION("""COMPUTED_VALUE"""),1.003)</f>
        <v>1.003</v>
      </c>
      <c r="E497" s="16">
        <f>IFERROR(__xludf.DUMMYFUNCTION("""COMPUTED_VALUE"""),73.0)</f>
        <v>73</v>
      </c>
      <c r="F497" s="19" t="str">
        <f>IFERROR(__xludf.DUMMYFUNCTION("""COMPUTED_VALUE"""),"BLACK")</f>
        <v>BLACK</v>
      </c>
      <c r="G497" s="20" t="str">
        <f>IFERROR(__xludf.DUMMYFUNCTION("""COMPUTED_VALUE"""),"Uncle Sams Cider (04/04/2023)")</f>
        <v>Uncle Sams Cider (04/04/2023)</v>
      </c>
      <c r="H497" s="19"/>
    </row>
    <row r="498">
      <c r="A498" s="9"/>
      <c r="B498" s="15"/>
      <c r="C498" s="9">
        <f>IFERROR(__xludf.DUMMYFUNCTION("""COMPUTED_VALUE"""),45139.4484773032)</f>
        <v>45139.44848</v>
      </c>
      <c r="D498" s="15">
        <f>IFERROR(__xludf.DUMMYFUNCTION("""COMPUTED_VALUE"""),1.003)</f>
        <v>1.003</v>
      </c>
      <c r="E498" s="16">
        <f>IFERROR(__xludf.DUMMYFUNCTION("""COMPUTED_VALUE"""),73.0)</f>
        <v>73</v>
      </c>
      <c r="F498" s="19" t="str">
        <f>IFERROR(__xludf.DUMMYFUNCTION("""COMPUTED_VALUE"""),"BLACK")</f>
        <v>BLACK</v>
      </c>
      <c r="G498" s="20" t="str">
        <f>IFERROR(__xludf.DUMMYFUNCTION("""COMPUTED_VALUE"""),"Uncle Sams Cider (04/04/2023)")</f>
        <v>Uncle Sams Cider (04/04/2023)</v>
      </c>
      <c r="H498" s="19"/>
    </row>
    <row r="499">
      <c r="A499" s="9"/>
      <c r="B499" s="15"/>
      <c r="C499" s="9">
        <f>IFERROR(__xludf.DUMMYFUNCTION("""COMPUTED_VALUE"""),45139.4380575)</f>
        <v>45139.43806</v>
      </c>
      <c r="D499" s="15">
        <f>IFERROR(__xludf.DUMMYFUNCTION("""COMPUTED_VALUE"""),1.003)</f>
        <v>1.003</v>
      </c>
      <c r="E499" s="16">
        <f>IFERROR(__xludf.DUMMYFUNCTION("""COMPUTED_VALUE"""),73.0)</f>
        <v>73</v>
      </c>
      <c r="F499" s="19" t="str">
        <f>IFERROR(__xludf.DUMMYFUNCTION("""COMPUTED_VALUE"""),"BLACK")</f>
        <v>BLACK</v>
      </c>
      <c r="G499" s="20" t="str">
        <f>IFERROR(__xludf.DUMMYFUNCTION("""COMPUTED_VALUE"""),"Uncle Sams Cider (04/04/2023)")</f>
        <v>Uncle Sams Cider (04/04/2023)</v>
      </c>
      <c r="H499" s="19"/>
    </row>
    <row r="500">
      <c r="A500" s="9"/>
      <c r="B500" s="15"/>
      <c r="C500" s="9">
        <f>IFERROR(__xludf.DUMMYFUNCTION("""COMPUTED_VALUE"""),45139.4276359259)</f>
        <v>45139.42764</v>
      </c>
      <c r="D500" s="15">
        <f>IFERROR(__xludf.DUMMYFUNCTION("""COMPUTED_VALUE"""),1.003)</f>
        <v>1.003</v>
      </c>
      <c r="E500" s="16">
        <f>IFERROR(__xludf.DUMMYFUNCTION("""COMPUTED_VALUE"""),73.0)</f>
        <v>73</v>
      </c>
      <c r="F500" s="19" t="str">
        <f>IFERROR(__xludf.DUMMYFUNCTION("""COMPUTED_VALUE"""),"BLACK")</f>
        <v>BLACK</v>
      </c>
      <c r="G500" s="20" t="str">
        <f>IFERROR(__xludf.DUMMYFUNCTION("""COMPUTED_VALUE"""),"Uncle Sams Cider (04/04/2023)")</f>
        <v>Uncle Sams Cider (04/04/2023)</v>
      </c>
      <c r="H500" s="19"/>
    </row>
    <row r="501">
      <c r="A501" s="9"/>
      <c r="B501" s="15"/>
      <c r="C501" s="9">
        <f>IFERROR(__xludf.DUMMYFUNCTION("""COMPUTED_VALUE"""),45139.4172149537)</f>
        <v>45139.41721</v>
      </c>
      <c r="D501" s="15">
        <f>IFERROR(__xludf.DUMMYFUNCTION("""COMPUTED_VALUE"""),1.003)</f>
        <v>1.003</v>
      </c>
      <c r="E501" s="16">
        <f>IFERROR(__xludf.DUMMYFUNCTION("""COMPUTED_VALUE"""),73.0)</f>
        <v>73</v>
      </c>
      <c r="F501" s="19" t="str">
        <f>IFERROR(__xludf.DUMMYFUNCTION("""COMPUTED_VALUE"""),"BLACK")</f>
        <v>BLACK</v>
      </c>
      <c r="G501" s="20" t="str">
        <f>IFERROR(__xludf.DUMMYFUNCTION("""COMPUTED_VALUE"""),"Uncle Sams Cider (04/04/2023)")</f>
        <v>Uncle Sams Cider (04/04/2023)</v>
      </c>
      <c r="H501" s="19"/>
    </row>
    <row r="502">
      <c r="A502" s="9"/>
      <c r="B502" s="15"/>
      <c r="C502" s="9">
        <f>IFERROR(__xludf.DUMMYFUNCTION("""COMPUTED_VALUE"""),45139.4067958449)</f>
        <v>45139.4068</v>
      </c>
      <c r="D502" s="15">
        <f>IFERROR(__xludf.DUMMYFUNCTION("""COMPUTED_VALUE"""),1.003)</f>
        <v>1.003</v>
      </c>
      <c r="E502" s="16">
        <f>IFERROR(__xludf.DUMMYFUNCTION("""COMPUTED_VALUE"""),73.0)</f>
        <v>73</v>
      </c>
      <c r="F502" s="19" t="str">
        <f>IFERROR(__xludf.DUMMYFUNCTION("""COMPUTED_VALUE"""),"BLACK")</f>
        <v>BLACK</v>
      </c>
      <c r="G502" s="20" t="str">
        <f>IFERROR(__xludf.DUMMYFUNCTION("""COMPUTED_VALUE"""),"Uncle Sams Cider (04/04/2023)")</f>
        <v>Uncle Sams Cider (04/04/2023)</v>
      </c>
      <c r="H502" s="19"/>
    </row>
    <row r="503">
      <c r="A503" s="9"/>
      <c r="B503" s="15"/>
      <c r="C503" s="9">
        <f>IFERROR(__xludf.DUMMYFUNCTION("""COMPUTED_VALUE"""),45139.3963736805)</f>
        <v>45139.39637</v>
      </c>
      <c r="D503" s="15">
        <f>IFERROR(__xludf.DUMMYFUNCTION("""COMPUTED_VALUE"""),1.003)</f>
        <v>1.003</v>
      </c>
      <c r="E503" s="16">
        <f>IFERROR(__xludf.DUMMYFUNCTION("""COMPUTED_VALUE"""),73.0)</f>
        <v>73</v>
      </c>
      <c r="F503" s="19" t="str">
        <f>IFERROR(__xludf.DUMMYFUNCTION("""COMPUTED_VALUE"""),"BLACK")</f>
        <v>BLACK</v>
      </c>
      <c r="G503" s="20" t="str">
        <f>IFERROR(__xludf.DUMMYFUNCTION("""COMPUTED_VALUE"""),"Uncle Sams Cider (04/04/2023)")</f>
        <v>Uncle Sams Cider (04/04/2023)</v>
      </c>
      <c r="H503" s="19"/>
    </row>
    <row r="504">
      <c r="A504" s="9"/>
      <c r="B504" s="15"/>
      <c r="C504" s="9">
        <f>IFERROR(__xludf.DUMMYFUNCTION("""COMPUTED_VALUE"""),45139.3859530902)</f>
        <v>45139.38595</v>
      </c>
      <c r="D504" s="15">
        <f>IFERROR(__xludf.DUMMYFUNCTION("""COMPUTED_VALUE"""),1.003)</f>
        <v>1.003</v>
      </c>
      <c r="E504" s="16">
        <f>IFERROR(__xludf.DUMMYFUNCTION("""COMPUTED_VALUE"""),74.0)</f>
        <v>74</v>
      </c>
      <c r="F504" s="19" t="str">
        <f>IFERROR(__xludf.DUMMYFUNCTION("""COMPUTED_VALUE"""),"BLACK")</f>
        <v>BLACK</v>
      </c>
      <c r="G504" s="20" t="str">
        <f>IFERROR(__xludf.DUMMYFUNCTION("""COMPUTED_VALUE"""),"Uncle Sams Cider (04/04/2023)")</f>
        <v>Uncle Sams Cider (04/04/2023)</v>
      </c>
      <c r="H504" s="19"/>
    </row>
    <row r="505">
      <c r="A505" s="9"/>
      <c r="B505" s="15"/>
      <c r="C505" s="9">
        <f>IFERROR(__xludf.DUMMYFUNCTION("""COMPUTED_VALUE"""),45139.3755318865)</f>
        <v>45139.37553</v>
      </c>
      <c r="D505" s="15">
        <f>IFERROR(__xludf.DUMMYFUNCTION("""COMPUTED_VALUE"""),1.003)</f>
        <v>1.003</v>
      </c>
      <c r="E505" s="16">
        <f>IFERROR(__xludf.DUMMYFUNCTION("""COMPUTED_VALUE"""),73.0)</f>
        <v>73</v>
      </c>
      <c r="F505" s="19" t="str">
        <f>IFERROR(__xludf.DUMMYFUNCTION("""COMPUTED_VALUE"""),"BLACK")</f>
        <v>BLACK</v>
      </c>
      <c r="G505" s="20" t="str">
        <f>IFERROR(__xludf.DUMMYFUNCTION("""COMPUTED_VALUE"""),"Uncle Sams Cider (04/04/2023)")</f>
        <v>Uncle Sams Cider (04/04/2023)</v>
      </c>
      <c r="H505" s="19"/>
    </row>
    <row r="506">
      <c r="A506" s="9"/>
      <c r="B506" s="15"/>
      <c r="C506" s="9">
        <f>IFERROR(__xludf.DUMMYFUNCTION("""COMPUTED_VALUE"""),45139.365110405)</f>
        <v>45139.36511</v>
      </c>
      <c r="D506" s="15">
        <f>IFERROR(__xludf.DUMMYFUNCTION("""COMPUTED_VALUE"""),1.003)</f>
        <v>1.003</v>
      </c>
      <c r="E506" s="16">
        <f>IFERROR(__xludf.DUMMYFUNCTION("""COMPUTED_VALUE"""),74.0)</f>
        <v>74</v>
      </c>
      <c r="F506" s="19" t="str">
        <f>IFERROR(__xludf.DUMMYFUNCTION("""COMPUTED_VALUE"""),"BLACK")</f>
        <v>BLACK</v>
      </c>
      <c r="G506" s="20" t="str">
        <f>IFERROR(__xludf.DUMMYFUNCTION("""COMPUTED_VALUE"""),"Uncle Sams Cider (04/04/2023)")</f>
        <v>Uncle Sams Cider (04/04/2023)</v>
      </c>
      <c r="H506" s="19"/>
    </row>
    <row r="507">
      <c r="A507" s="9"/>
      <c r="B507" s="15"/>
      <c r="C507" s="9">
        <f>IFERROR(__xludf.DUMMYFUNCTION("""COMPUTED_VALUE"""),45139.3546792824)</f>
        <v>45139.35468</v>
      </c>
      <c r="D507" s="15">
        <f>IFERROR(__xludf.DUMMYFUNCTION("""COMPUTED_VALUE"""),1.003)</f>
        <v>1.003</v>
      </c>
      <c r="E507" s="16">
        <f>IFERROR(__xludf.DUMMYFUNCTION("""COMPUTED_VALUE"""),74.0)</f>
        <v>74</v>
      </c>
      <c r="F507" s="19" t="str">
        <f>IFERROR(__xludf.DUMMYFUNCTION("""COMPUTED_VALUE"""),"BLACK")</f>
        <v>BLACK</v>
      </c>
      <c r="G507" s="20" t="str">
        <f>IFERROR(__xludf.DUMMYFUNCTION("""COMPUTED_VALUE"""),"Uncle Sams Cider (04/04/2023)")</f>
        <v>Uncle Sams Cider (04/04/2023)</v>
      </c>
      <c r="H507" s="19"/>
    </row>
    <row r="508">
      <c r="A508" s="9"/>
      <c r="B508" s="15"/>
      <c r="C508" s="9">
        <f>IFERROR(__xludf.DUMMYFUNCTION("""COMPUTED_VALUE"""),45139.3442584143)</f>
        <v>45139.34426</v>
      </c>
      <c r="D508" s="15">
        <f>IFERROR(__xludf.DUMMYFUNCTION("""COMPUTED_VALUE"""),1.003)</f>
        <v>1.003</v>
      </c>
      <c r="E508" s="16">
        <f>IFERROR(__xludf.DUMMYFUNCTION("""COMPUTED_VALUE"""),74.0)</f>
        <v>74</v>
      </c>
      <c r="F508" s="19" t="str">
        <f>IFERROR(__xludf.DUMMYFUNCTION("""COMPUTED_VALUE"""),"BLACK")</f>
        <v>BLACK</v>
      </c>
      <c r="G508" s="20" t="str">
        <f>IFERROR(__xludf.DUMMYFUNCTION("""COMPUTED_VALUE"""),"Uncle Sams Cider (04/04/2023)")</f>
        <v>Uncle Sams Cider (04/04/2023)</v>
      </c>
      <c r="H508" s="19"/>
    </row>
    <row r="509">
      <c r="A509" s="9"/>
      <c r="B509" s="15"/>
      <c r="C509" s="9">
        <f>IFERROR(__xludf.DUMMYFUNCTION("""COMPUTED_VALUE"""),45139.3338378935)</f>
        <v>45139.33384</v>
      </c>
      <c r="D509" s="15">
        <f>IFERROR(__xludf.DUMMYFUNCTION("""COMPUTED_VALUE"""),1.003)</f>
        <v>1.003</v>
      </c>
      <c r="E509" s="16">
        <f>IFERROR(__xludf.DUMMYFUNCTION("""COMPUTED_VALUE"""),74.0)</f>
        <v>74</v>
      </c>
      <c r="F509" s="19" t="str">
        <f>IFERROR(__xludf.DUMMYFUNCTION("""COMPUTED_VALUE"""),"BLACK")</f>
        <v>BLACK</v>
      </c>
      <c r="G509" s="20" t="str">
        <f>IFERROR(__xludf.DUMMYFUNCTION("""COMPUTED_VALUE"""),"Uncle Sams Cider (04/04/2023)")</f>
        <v>Uncle Sams Cider (04/04/2023)</v>
      </c>
      <c r="H509" s="19"/>
    </row>
    <row r="510">
      <c r="A510" s="9"/>
      <c r="B510" s="15"/>
      <c r="C510" s="9">
        <f>IFERROR(__xludf.DUMMYFUNCTION("""COMPUTED_VALUE"""),45139.3234178819)</f>
        <v>45139.32342</v>
      </c>
      <c r="D510" s="15">
        <f>IFERROR(__xludf.DUMMYFUNCTION("""COMPUTED_VALUE"""),1.003)</f>
        <v>1.003</v>
      </c>
      <c r="E510" s="16">
        <f>IFERROR(__xludf.DUMMYFUNCTION("""COMPUTED_VALUE"""),74.0)</f>
        <v>74</v>
      </c>
      <c r="F510" s="19" t="str">
        <f>IFERROR(__xludf.DUMMYFUNCTION("""COMPUTED_VALUE"""),"BLACK")</f>
        <v>BLACK</v>
      </c>
      <c r="G510" s="20" t="str">
        <f>IFERROR(__xludf.DUMMYFUNCTION("""COMPUTED_VALUE"""),"Uncle Sams Cider (04/04/2023)")</f>
        <v>Uncle Sams Cider (04/04/2023)</v>
      </c>
      <c r="H510" s="19"/>
    </row>
    <row r="511">
      <c r="A511" s="9"/>
      <c r="B511" s="15"/>
      <c r="C511" s="9">
        <f>IFERROR(__xludf.DUMMYFUNCTION("""COMPUTED_VALUE"""),45139.3129864583)</f>
        <v>45139.31299</v>
      </c>
      <c r="D511" s="15">
        <f>IFERROR(__xludf.DUMMYFUNCTION("""COMPUTED_VALUE"""),1.003)</f>
        <v>1.003</v>
      </c>
      <c r="E511" s="16">
        <f>IFERROR(__xludf.DUMMYFUNCTION("""COMPUTED_VALUE"""),74.0)</f>
        <v>74</v>
      </c>
      <c r="F511" s="19" t="str">
        <f>IFERROR(__xludf.DUMMYFUNCTION("""COMPUTED_VALUE"""),"BLACK")</f>
        <v>BLACK</v>
      </c>
      <c r="G511" s="20" t="str">
        <f>IFERROR(__xludf.DUMMYFUNCTION("""COMPUTED_VALUE"""),"Uncle Sams Cider (04/04/2023)")</f>
        <v>Uncle Sams Cider (04/04/2023)</v>
      </c>
      <c r="H511" s="19"/>
    </row>
    <row r="512">
      <c r="A512" s="9"/>
      <c r="B512" s="15"/>
      <c r="C512" s="9">
        <f>IFERROR(__xludf.DUMMYFUNCTION("""COMPUTED_VALUE"""),45139.3025648495)</f>
        <v>45139.30256</v>
      </c>
      <c r="D512" s="15">
        <f>IFERROR(__xludf.DUMMYFUNCTION("""COMPUTED_VALUE"""),1.003)</f>
        <v>1.003</v>
      </c>
      <c r="E512" s="16">
        <f>IFERROR(__xludf.DUMMYFUNCTION("""COMPUTED_VALUE"""),74.0)</f>
        <v>74</v>
      </c>
      <c r="F512" s="19" t="str">
        <f>IFERROR(__xludf.DUMMYFUNCTION("""COMPUTED_VALUE"""),"BLACK")</f>
        <v>BLACK</v>
      </c>
      <c r="G512" s="20" t="str">
        <f>IFERROR(__xludf.DUMMYFUNCTION("""COMPUTED_VALUE"""),"Uncle Sams Cider (04/04/2023)")</f>
        <v>Uncle Sams Cider (04/04/2023)</v>
      </c>
      <c r="H512" s="19"/>
    </row>
    <row r="513">
      <c r="A513" s="9"/>
      <c r="B513" s="15"/>
      <c r="C513" s="9">
        <f>IFERROR(__xludf.DUMMYFUNCTION("""COMPUTED_VALUE"""),45139.2921321527)</f>
        <v>45139.29213</v>
      </c>
      <c r="D513" s="15">
        <f>IFERROR(__xludf.DUMMYFUNCTION("""COMPUTED_VALUE"""),1.003)</f>
        <v>1.003</v>
      </c>
      <c r="E513" s="16">
        <f>IFERROR(__xludf.DUMMYFUNCTION("""COMPUTED_VALUE"""),74.0)</f>
        <v>74</v>
      </c>
      <c r="F513" s="19" t="str">
        <f>IFERROR(__xludf.DUMMYFUNCTION("""COMPUTED_VALUE"""),"BLACK")</f>
        <v>BLACK</v>
      </c>
      <c r="G513" s="20" t="str">
        <f>IFERROR(__xludf.DUMMYFUNCTION("""COMPUTED_VALUE"""),"Uncle Sams Cider (04/04/2023)")</f>
        <v>Uncle Sams Cider (04/04/2023)</v>
      </c>
      <c r="H513" s="19"/>
    </row>
    <row r="514">
      <c r="A514" s="9"/>
      <c r="B514" s="15"/>
      <c r="C514" s="9">
        <f>IFERROR(__xludf.DUMMYFUNCTION("""COMPUTED_VALUE"""),45139.2817134027)</f>
        <v>45139.28171</v>
      </c>
      <c r="D514" s="15">
        <f>IFERROR(__xludf.DUMMYFUNCTION("""COMPUTED_VALUE"""),1.003)</f>
        <v>1.003</v>
      </c>
      <c r="E514" s="16">
        <f>IFERROR(__xludf.DUMMYFUNCTION("""COMPUTED_VALUE"""),73.0)</f>
        <v>73</v>
      </c>
      <c r="F514" s="19" t="str">
        <f>IFERROR(__xludf.DUMMYFUNCTION("""COMPUTED_VALUE"""),"BLACK")</f>
        <v>BLACK</v>
      </c>
      <c r="G514" s="20" t="str">
        <f>IFERROR(__xludf.DUMMYFUNCTION("""COMPUTED_VALUE"""),"Uncle Sams Cider (04/04/2023)")</f>
        <v>Uncle Sams Cider (04/04/2023)</v>
      </c>
      <c r="H514" s="19"/>
    </row>
    <row r="515">
      <c r="A515" s="9"/>
      <c r="B515" s="15"/>
      <c r="C515" s="9">
        <f>IFERROR(__xludf.DUMMYFUNCTION("""COMPUTED_VALUE"""),45139.2712922338)</f>
        <v>45139.27129</v>
      </c>
      <c r="D515" s="15">
        <f>IFERROR(__xludf.DUMMYFUNCTION("""COMPUTED_VALUE"""),1.003)</f>
        <v>1.003</v>
      </c>
      <c r="E515" s="16">
        <f>IFERROR(__xludf.DUMMYFUNCTION("""COMPUTED_VALUE"""),74.0)</f>
        <v>74</v>
      </c>
      <c r="F515" s="19" t="str">
        <f>IFERROR(__xludf.DUMMYFUNCTION("""COMPUTED_VALUE"""),"BLACK")</f>
        <v>BLACK</v>
      </c>
      <c r="G515" s="20" t="str">
        <f>IFERROR(__xludf.DUMMYFUNCTION("""COMPUTED_VALUE"""),"Uncle Sams Cider (04/04/2023)")</f>
        <v>Uncle Sams Cider (04/04/2023)</v>
      </c>
      <c r="H515" s="19"/>
    </row>
    <row r="516">
      <c r="A516" s="9"/>
      <c r="B516" s="15"/>
      <c r="C516" s="9">
        <f>IFERROR(__xludf.DUMMYFUNCTION("""COMPUTED_VALUE"""),45139.2608709375)</f>
        <v>45139.26087</v>
      </c>
      <c r="D516" s="15">
        <f>IFERROR(__xludf.DUMMYFUNCTION("""COMPUTED_VALUE"""),1.003)</f>
        <v>1.003</v>
      </c>
      <c r="E516" s="16">
        <f>IFERROR(__xludf.DUMMYFUNCTION("""COMPUTED_VALUE"""),74.0)</f>
        <v>74</v>
      </c>
      <c r="F516" s="19" t="str">
        <f>IFERROR(__xludf.DUMMYFUNCTION("""COMPUTED_VALUE"""),"BLACK")</f>
        <v>BLACK</v>
      </c>
      <c r="G516" s="20" t="str">
        <f>IFERROR(__xludf.DUMMYFUNCTION("""COMPUTED_VALUE"""),"Uncle Sams Cider (04/04/2023)")</f>
        <v>Uncle Sams Cider (04/04/2023)</v>
      </c>
      <c r="H516" s="19"/>
    </row>
    <row r="517">
      <c r="A517" s="9"/>
      <c r="B517" s="15"/>
      <c r="C517" s="9">
        <f>IFERROR(__xludf.DUMMYFUNCTION("""COMPUTED_VALUE"""),45139.250450324)</f>
        <v>45139.25045</v>
      </c>
      <c r="D517" s="15">
        <f>IFERROR(__xludf.DUMMYFUNCTION("""COMPUTED_VALUE"""),1.003)</f>
        <v>1.003</v>
      </c>
      <c r="E517" s="16">
        <f>IFERROR(__xludf.DUMMYFUNCTION("""COMPUTED_VALUE"""),74.0)</f>
        <v>74</v>
      </c>
      <c r="F517" s="19" t="str">
        <f>IFERROR(__xludf.DUMMYFUNCTION("""COMPUTED_VALUE"""),"BLACK")</f>
        <v>BLACK</v>
      </c>
      <c r="G517" s="20" t="str">
        <f>IFERROR(__xludf.DUMMYFUNCTION("""COMPUTED_VALUE"""),"Uncle Sams Cider (04/04/2023)")</f>
        <v>Uncle Sams Cider (04/04/2023)</v>
      </c>
      <c r="H517" s="19"/>
    </row>
    <row r="518">
      <c r="A518" s="9"/>
      <c r="B518" s="15"/>
      <c r="C518" s="9">
        <f>IFERROR(__xludf.DUMMYFUNCTION("""COMPUTED_VALUE"""),45139.2400292708)</f>
        <v>45139.24003</v>
      </c>
      <c r="D518" s="15">
        <f>IFERROR(__xludf.DUMMYFUNCTION("""COMPUTED_VALUE"""),1.003)</f>
        <v>1.003</v>
      </c>
      <c r="E518" s="16">
        <f>IFERROR(__xludf.DUMMYFUNCTION("""COMPUTED_VALUE"""),74.0)</f>
        <v>74</v>
      </c>
      <c r="F518" s="19" t="str">
        <f>IFERROR(__xludf.DUMMYFUNCTION("""COMPUTED_VALUE"""),"BLACK")</f>
        <v>BLACK</v>
      </c>
      <c r="G518" s="20" t="str">
        <f>IFERROR(__xludf.DUMMYFUNCTION("""COMPUTED_VALUE"""),"Uncle Sams Cider (04/04/2023)")</f>
        <v>Uncle Sams Cider (04/04/2023)</v>
      </c>
      <c r="H518" s="19"/>
    </row>
    <row r="519">
      <c r="A519" s="9"/>
      <c r="B519" s="15"/>
      <c r="C519" s="9">
        <f>IFERROR(__xludf.DUMMYFUNCTION("""COMPUTED_VALUE"""),45139.2296090393)</f>
        <v>45139.22961</v>
      </c>
      <c r="D519" s="15">
        <f>IFERROR(__xludf.DUMMYFUNCTION("""COMPUTED_VALUE"""),1.003)</f>
        <v>1.003</v>
      </c>
      <c r="E519" s="16">
        <f>IFERROR(__xludf.DUMMYFUNCTION("""COMPUTED_VALUE"""),74.0)</f>
        <v>74</v>
      </c>
      <c r="F519" s="19" t="str">
        <f>IFERROR(__xludf.DUMMYFUNCTION("""COMPUTED_VALUE"""),"BLACK")</f>
        <v>BLACK</v>
      </c>
      <c r="G519" s="20" t="str">
        <f>IFERROR(__xludf.DUMMYFUNCTION("""COMPUTED_VALUE"""),"Uncle Sams Cider (04/04/2023)")</f>
        <v>Uncle Sams Cider (04/04/2023)</v>
      </c>
      <c r="H519" s="19"/>
    </row>
    <row r="520">
      <c r="A520" s="9"/>
      <c r="B520" s="15"/>
      <c r="C520" s="9">
        <f>IFERROR(__xludf.DUMMYFUNCTION("""COMPUTED_VALUE"""),45139.2191885648)</f>
        <v>45139.21919</v>
      </c>
      <c r="D520" s="15">
        <f>IFERROR(__xludf.DUMMYFUNCTION("""COMPUTED_VALUE"""),1.003)</f>
        <v>1.003</v>
      </c>
      <c r="E520" s="11">
        <f>IFERROR(__xludf.DUMMYFUNCTION("""COMPUTED_VALUE"""),74.0)</f>
        <v>74</v>
      </c>
      <c r="F520" s="12" t="str">
        <f>IFERROR(__xludf.DUMMYFUNCTION("""COMPUTED_VALUE"""),"BLACK")</f>
        <v>BLACK</v>
      </c>
      <c r="G520" s="20" t="str">
        <f>IFERROR(__xludf.DUMMYFUNCTION("""COMPUTED_VALUE"""),"Uncle Sams Cider (04/04/2023)")</f>
        <v>Uncle Sams Cider (04/04/2023)</v>
      </c>
      <c r="H520" s="19"/>
    </row>
    <row r="521">
      <c r="A521" s="9"/>
      <c r="B521" s="15"/>
      <c r="C521" s="9">
        <f>IFERROR(__xludf.DUMMYFUNCTION("""COMPUTED_VALUE"""),45139.208768993)</f>
        <v>45139.20877</v>
      </c>
      <c r="D521" s="15">
        <f>IFERROR(__xludf.DUMMYFUNCTION("""COMPUTED_VALUE"""),1.003)</f>
        <v>1.003</v>
      </c>
      <c r="E521" s="16">
        <f>IFERROR(__xludf.DUMMYFUNCTION("""COMPUTED_VALUE"""),74.0)</f>
        <v>74</v>
      </c>
      <c r="F521" s="19" t="str">
        <f>IFERROR(__xludf.DUMMYFUNCTION("""COMPUTED_VALUE"""),"BLACK")</f>
        <v>BLACK</v>
      </c>
      <c r="G521" s="20" t="str">
        <f>IFERROR(__xludf.DUMMYFUNCTION("""COMPUTED_VALUE"""),"Uncle Sams Cider (04/04/2023)")</f>
        <v>Uncle Sams Cider (04/04/2023)</v>
      </c>
      <c r="H521" s="19"/>
    </row>
    <row r="522">
      <c r="A522" s="9"/>
      <c r="B522" s="15"/>
      <c r="C522" s="9">
        <f>IFERROR(__xludf.DUMMYFUNCTION("""COMPUTED_VALUE"""),45139.198348368)</f>
        <v>45139.19835</v>
      </c>
      <c r="D522" s="15">
        <f>IFERROR(__xludf.DUMMYFUNCTION("""COMPUTED_VALUE"""),1.003)</f>
        <v>1.003</v>
      </c>
      <c r="E522" s="16">
        <f>IFERROR(__xludf.DUMMYFUNCTION("""COMPUTED_VALUE"""),74.0)</f>
        <v>74</v>
      </c>
      <c r="F522" s="19" t="str">
        <f>IFERROR(__xludf.DUMMYFUNCTION("""COMPUTED_VALUE"""),"BLACK")</f>
        <v>BLACK</v>
      </c>
      <c r="G522" s="20" t="str">
        <f>IFERROR(__xludf.DUMMYFUNCTION("""COMPUTED_VALUE"""),"Uncle Sams Cider (04/04/2023)")</f>
        <v>Uncle Sams Cider (04/04/2023)</v>
      </c>
      <c r="H522" s="19"/>
    </row>
    <row r="523">
      <c r="A523" s="9"/>
      <c r="B523" s="15"/>
      <c r="C523" s="9">
        <f>IFERROR(__xludf.DUMMYFUNCTION("""COMPUTED_VALUE"""),45139.1879268865)</f>
        <v>45139.18793</v>
      </c>
      <c r="D523" s="15">
        <f>IFERROR(__xludf.DUMMYFUNCTION("""COMPUTED_VALUE"""),1.003)</f>
        <v>1.003</v>
      </c>
      <c r="E523" s="16">
        <f>IFERROR(__xludf.DUMMYFUNCTION("""COMPUTED_VALUE"""),74.0)</f>
        <v>74</v>
      </c>
      <c r="F523" s="19" t="str">
        <f>IFERROR(__xludf.DUMMYFUNCTION("""COMPUTED_VALUE"""),"BLACK")</f>
        <v>BLACK</v>
      </c>
      <c r="G523" s="20" t="str">
        <f>IFERROR(__xludf.DUMMYFUNCTION("""COMPUTED_VALUE"""),"Uncle Sams Cider (04/04/2023)")</f>
        <v>Uncle Sams Cider (04/04/2023)</v>
      </c>
      <c r="H523" s="19"/>
    </row>
    <row r="524">
      <c r="A524" s="9"/>
      <c r="B524" s="15"/>
      <c r="C524" s="9">
        <f>IFERROR(__xludf.DUMMYFUNCTION("""COMPUTED_VALUE"""),45139.1774917476)</f>
        <v>45139.17749</v>
      </c>
      <c r="D524" s="15">
        <f>IFERROR(__xludf.DUMMYFUNCTION("""COMPUTED_VALUE"""),1.003)</f>
        <v>1.003</v>
      </c>
      <c r="E524" s="16">
        <f>IFERROR(__xludf.DUMMYFUNCTION("""COMPUTED_VALUE"""),74.0)</f>
        <v>74</v>
      </c>
      <c r="F524" s="19" t="str">
        <f>IFERROR(__xludf.DUMMYFUNCTION("""COMPUTED_VALUE"""),"BLACK")</f>
        <v>BLACK</v>
      </c>
      <c r="G524" s="20" t="str">
        <f>IFERROR(__xludf.DUMMYFUNCTION("""COMPUTED_VALUE"""),"Uncle Sams Cider (04/04/2023)")</f>
        <v>Uncle Sams Cider (04/04/2023)</v>
      </c>
      <c r="H524" s="19"/>
    </row>
    <row r="525">
      <c r="A525" s="9"/>
      <c r="B525" s="15"/>
      <c r="C525" s="9">
        <f>IFERROR(__xludf.DUMMYFUNCTION("""COMPUTED_VALUE"""),45139.1670698263)</f>
        <v>45139.16707</v>
      </c>
      <c r="D525" s="15">
        <f>IFERROR(__xludf.DUMMYFUNCTION("""COMPUTED_VALUE"""),1.003)</f>
        <v>1.003</v>
      </c>
      <c r="E525" s="16">
        <f>IFERROR(__xludf.DUMMYFUNCTION("""COMPUTED_VALUE"""),74.0)</f>
        <v>74</v>
      </c>
      <c r="F525" s="19" t="str">
        <f>IFERROR(__xludf.DUMMYFUNCTION("""COMPUTED_VALUE"""),"BLACK")</f>
        <v>BLACK</v>
      </c>
      <c r="G525" s="20" t="str">
        <f>IFERROR(__xludf.DUMMYFUNCTION("""COMPUTED_VALUE"""),"Uncle Sams Cider (04/04/2023)")</f>
        <v>Uncle Sams Cider (04/04/2023)</v>
      </c>
      <c r="H525" s="19"/>
    </row>
    <row r="526">
      <c r="A526" s="9"/>
      <c r="B526" s="15"/>
      <c r="C526" s="9">
        <f>IFERROR(__xludf.DUMMYFUNCTION("""COMPUTED_VALUE"""),45139.1566495023)</f>
        <v>45139.15665</v>
      </c>
      <c r="D526" s="15">
        <f>IFERROR(__xludf.DUMMYFUNCTION("""COMPUTED_VALUE"""),1.003)</f>
        <v>1.003</v>
      </c>
      <c r="E526" s="16">
        <f>IFERROR(__xludf.DUMMYFUNCTION("""COMPUTED_VALUE"""),74.0)</f>
        <v>74</v>
      </c>
      <c r="F526" s="19" t="str">
        <f>IFERROR(__xludf.DUMMYFUNCTION("""COMPUTED_VALUE"""),"BLACK")</f>
        <v>BLACK</v>
      </c>
      <c r="G526" s="20" t="str">
        <f>IFERROR(__xludf.DUMMYFUNCTION("""COMPUTED_VALUE"""),"Uncle Sams Cider (04/04/2023)")</f>
        <v>Uncle Sams Cider (04/04/2023)</v>
      </c>
      <c r="H526" s="19"/>
    </row>
    <row r="527">
      <c r="A527" s="9"/>
      <c r="B527" s="15"/>
      <c r="C527" s="9">
        <f>IFERROR(__xludf.DUMMYFUNCTION("""COMPUTED_VALUE"""),45139.146229155)</f>
        <v>45139.14623</v>
      </c>
      <c r="D527" s="15">
        <f>IFERROR(__xludf.DUMMYFUNCTION("""COMPUTED_VALUE"""),1.003)</f>
        <v>1.003</v>
      </c>
      <c r="E527" s="16">
        <f>IFERROR(__xludf.DUMMYFUNCTION("""COMPUTED_VALUE"""),74.0)</f>
        <v>74</v>
      </c>
      <c r="F527" s="19" t="str">
        <f>IFERROR(__xludf.DUMMYFUNCTION("""COMPUTED_VALUE"""),"BLACK")</f>
        <v>BLACK</v>
      </c>
      <c r="G527" s="20" t="str">
        <f>IFERROR(__xludf.DUMMYFUNCTION("""COMPUTED_VALUE"""),"Uncle Sams Cider (04/04/2023)")</f>
        <v>Uncle Sams Cider (04/04/2023)</v>
      </c>
      <c r="H527" s="19"/>
    </row>
    <row r="528">
      <c r="A528" s="9"/>
      <c r="B528" s="15"/>
      <c r="C528" s="9">
        <f>IFERROR(__xludf.DUMMYFUNCTION("""COMPUTED_VALUE"""),45139.1358097106)</f>
        <v>45139.13581</v>
      </c>
      <c r="D528" s="15">
        <f>IFERROR(__xludf.DUMMYFUNCTION("""COMPUTED_VALUE"""),1.003)</f>
        <v>1.003</v>
      </c>
      <c r="E528" s="16">
        <f>IFERROR(__xludf.DUMMYFUNCTION("""COMPUTED_VALUE"""),74.0)</f>
        <v>74</v>
      </c>
      <c r="F528" s="19" t="str">
        <f>IFERROR(__xludf.DUMMYFUNCTION("""COMPUTED_VALUE"""),"BLACK")</f>
        <v>BLACK</v>
      </c>
      <c r="G528" s="20" t="str">
        <f>IFERROR(__xludf.DUMMYFUNCTION("""COMPUTED_VALUE"""),"Uncle Sams Cider (04/04/2023)")</f>
        <v>Uncle Sams Cider (04/04/2023)</v>
      </c>
      <c r="H528" s="19"/>
    </row>
    <row r="529">
      <c r="A529" s="9"/>
      <c r="B529" s="15"/>
      <c r="C529" s="9">
        <f>IFERROR(__xludf.DUMMYFUNCTION("""COMPUTED_VALUE"""),45139.1253899884)</f>
        <v>45139.12539</v>
      </c>
      <c r="D529" s="15">
        <f>IFERROR(__xludf.DUMMYFUNCTION("""COMPUTED_VALUE"""),1.003)</f>
        <v>1.003</v>
      </c>
      <c r="E529" s="16">
        <f>IFERROR(__xludf.DUMMYFUNCTION("""COMPUTED_VALUE"""),74.0)</f>
        <v>74</v>
      </c>
      <c r="F529" s="19" t="str">
        <f>IFERROR(__xludf.DUMMYFUNCTION("""COMPUTED_VALUE"""),"BLACK")</f>
        <v>BLACK</v>
      </c>
      <c r="G529" s="20" t="str">
        <f>IFERROR(__xludf.DUMMYFUNCTION("""COMPUTED_VALUE"""),"Uncle Sams Cider (04/04/2023)")</f>
        <v>Uncle Sams Cider (04/04/2023)</v>
      </c>
      <c r="H529" s="19"/>
    </row>
    <row r="530">
      <c r="A530" s="9"/>
      <c r="B530" s="15"/>
      <c r="C530" s="9">
        <f>IFERROR(__xludf.DUMMYFUNCTION("""COMPUTED_VALUE"""),45139.1149670023)</f>
        <v>45139.11497</v>
      </c>
      <c r="D530" s="15">
        <f>IFERROR(__xludf.DUMMYFUNCTION("""COMPUTED_VALUE"""),1.003)</f>
        <v>1.003</v>
      </c>
      <c r="E530" s="16">
        <f>IFERROR(__xludf.DUMMYFUNCTION("""COMPUTED_VALUE"""),74.0)</f>
        <v>74</v>
      </c>
      <c r="F530" s="19" t="str">
        <f>IFERROR(__xludf.DUMMYFUNCTION("""COMPUTED_VALUE"""),"BLACK")</f>
        <v>BLACK</v>
      </c>
      <c r="G530" s="20" t="str">
        <f>IFERROR(__xludf.DUMMYFUNCTION("""COMPUTED_VALUE"""),"Uncle Sams Cider (04/04/2023)")</f>
        <v>Uncle Sams Cider (04/04/2023)</v>
      </c>
      <c r="H530" s="19"/>
    </row>
    <row r="531">
      <c r="A531" s="9"/>
      <c r="B531" s="15"/>
      <c r="C531" s="9">
        <f>IFERROR(__xludf.DUMMYFUNCTION("""COMPUTED_VALUE"""),45139.1045467476)</f>
        <v>45139.10455</v>
      </c>
      <c r="D531" s="15">
        <f>IFERROR(__xludf.DUMMYFUNCTION("""COMPUTED_VALUE"""),1.003)</f>
        <v>1.003</v>
      </c>
      <c r="E531" s="16">
        <f>IFERROR(__xludf.DUMMYFUNCTION("""COMPUTED_VALUE"""),74.0)</f>
        <v>74</v>
      </c>
      <c r="F531" s="19" t="str">
        <f>IFERROR(__xludf.DUMMYFUNCTION("""COMPUTED_VALUE"""),"BLACK")</f>
        <v>BLACK</v>
      </c>
      <c r="G531" s="20" t="str">
        <f>IFERROR(__xludf.DUMMYFUNCTION("""COMPUTED_VALUE"""),"Uncle Sams Cider (04/04/2023)")</f>
        <v>Uncle Sams Cider (04/04/2023)</v>
      </c>
      <c r="H531" s="19"/>
    </row>
    <row r="532">
      <c r="A532" s="9"/>
      <c r="B532" s="15"/>
      <c r="C532" s="9">
        <f>IFERROR(__xludf.DUMMYFUNCTION("""COMPUTED_VALUE"""),45139.0941139699)</f>
        <v>45139.09411</v>
      </c>
      <c r="D532" s="15">
        <f>IFERROR(__xludf.DUMMYFUNCTION("""COMPUTED_VALUE"""),1.003)</f>
        <v>1.003</v>
      </c>
      <c r="E532" s="16">
        <f>IFERROR(__xludf.DUMMYFUNCTION("""COMPUTED_VALUE"""),74.0)</f>
        <v>74</v>
      </c>
      <c r="F532" s="19" t="str">
        <f>IFERROR(__xludf.DUMMYFUNCTION("""COMPUTED_VALUE"""),"BLACK")</f>
        <v>BLACK</v>
      </c>
      <c r="G532" s="20" t="str">
        <f>IFERROR(__xludf.DUMMYFUNCTION("""COMPUTED_VALUE"""),"Uncle Sams Cider (04/04/2023)")</f>
        <v>Uncle Sams Cider (04/04/2023)</v>
      </c>
      <c r="H532" s="19"/>
    </row>
    <row r="533">
      <c r="A533" s="9"/>
      <c r="B533" s="15"/>
      <c r="C533" s="9">
        <f>IFERROR(__xludf.DUMMYFUNCTION("""COMPUTED_VALUE"""),45139.0836927314)</f>
        <v>45139.08369</v>
      </c>
      <c r="D533" s="15">
        <f>IFERROR(__xludf.DUMMYFUNCTION("""COMPUTED_VALUE"""),1.003)</f>
        <v>1.003</v>
      </c>
      <c r="E533" s="16">
        <f>IFERROR(__xludf.DUMMYFUNCTION("""COMPUTED_VALUE"""),74.0)</f>
        <v>74</v>
      </c>
      <c r="F533" s="19" t="str">
        <f>IFERROR(__xludf.DUMMYFUNCTION("""COMPUTED_VALUE"""),"BLACK")</f>
        <v>BLACK</v>
      </c>
      <c r="G533" s="20" t="str">
        <f>IFERROR(__xludf.DUMMYFUNCTION("""COMPUTED_VALUE"""),"Uncle Sams Cider (04/04/2023)")</f>
        <v>Uncle Sams Cider (04/04/2023)</v>
      </c>
      <c r="H533" s="19"/>
    </row>
    <row r="534">
      <c r="A534" s="9"/>
      <c r="B534" s="15"/>
      <c r="C534" s="9">
        <f>IFERROR(__xludf.DUMMYFUNCTION("""COMPUTED_VALUE"""),45139.073272905)</f>
        <v>45139.07327</v>
      </c>
      <c r="D534" s="15">
        <f>IFERROR(__xludf.DUMMYFUNCTION("""COMPUTED_VALUE"""),1.003)</f>
        <v>1.003</v>
      </c>
      <c r="E534" s="16">
        <f>IFERROR(__xludf.DUMMYFUNCTION("""COMPUTED_VALUE"""),74.0)</f>
        <v>74</v>
      </c>
      <c r="F534" s="19" t="str">
        <f>IFERROR(__xludf.DUMMYFUNCTION("""COMPUTED_VALUE"""),"BLACK")</f>
        <v>BLACK</v>
      </c>
      <c r="G534" s="20" t="str">
        <f>IFERROR(__xludf.DUMMYFUNCTION("""COMPUTED_VALUE"""),"Uncle Sams Cider (04/04/2023)")</f>
        <v>Uncle Sams Cider (04/04/2023)</v>
      </c>
      <c r="H534" s="19"/>
    </row>
    <row r="535">
      <c r="A535" s="9"/>
      <c r="B535" s="15"/>
      <c r="C535" s="9">
        <f>IFERROR(__xludf.DUMMYFUNCTION("""COMPUTED_VALUE"""),45139.0628533796)</f>
        <v>45139.06285</v>
      </c>
      <c r="D535" s="15">
        <f>IFERROR(__xludf.DUMMYFUNCTION("""COMPUTED_VALUE"""),1.003)</f>
        <v>1.003</v>
      </c>
      <c r="E535" s="16">
        <f>IFERROR(__xludf.DUMMYFUNCTION("""COMPUTED_VALUE"""),74.0)</f>
        <v>74</v>
      </c>
      <c r="F535" s="19" t="str">
        <f>IFERROR(__xludf.DUMMYFUNCTION("""COMPUTED_VALUE"""),"BLACK")</f>
        <v>BLACK</v>
      </c>
      <c r="G535" s="20" t="str">
        <f>IFERROR(__xludf.DUMMYFUNCTION("""COMPUTED_VALUE"""),"Uncle Sams Cider (04/04/2023)")</f>
        <v>Uncle Sams Cider (04/04/2023)</v>
      </c>
      <c r="H535" s="19"/>
    </row>
    <row r="536">
      <c r="A536" s="9"/>
      <c r="B536" s="15"/>
      <c r="C536" s="9">
        <f>IFERROR(__xludf.DUMMYFUNCTION("""COMPUTED_VALUE"""),45139.0524320601)</f>
        <v>45139.05243</v>
      </c>
      <c r="D536" s="15">
        <f>IFERROR(__xludf.DUMMYFUNCTION("""COMPUTED_VALUE"""),1.003)</f>
        <v>1.003</v>
      </c>
      <c r="E536" s="16">
        <f>IFERROR(__xludf.DUMMYFUNCTION("""COMPUTED_VALUE"""),74.0)</f>
        <v>74</v>
      </c>
      <c r="F536" s="19" t="str">
        <f>IFERROR(__xludf.DUMMYFUNCTION("""COMPUTED_VALUE"""),"BLACK")</f>
        <v>BLACK</v>
      </c>
      <c r="G536" s="20" t="str">
        <f>IFERROR(__xludf.DUMMYFUNCTION("""COMPUTED_VALUE"""),"Uncle Sams Cider (04/04/2023)")</f>
        <v>Uncle Sams Cider (04/04/2023)</v>
      </c>
      <c r="H536" s="19"/>
    </row>
    <row r="537">
      <c r="A537" s="9"/>
      <c r="B537" s="15"/>
      <c r="C537" s="9">
        <f>IFERROR(__xludf.DUMMYFUNCTION("""COMPUTED_VALUE"""),45139.0420130671)</f>
        <v>45139.04201</v>
      </c>
      <c r="D537" s="15">
        <f>IFERROR(__xludf.DUMMYFUNCTION("""COMPUTED_VALUE"""),1.003)</f>
        <v>1.003</v>
      </c>
      <c r="E537" s="16">
        <f>IFERROR(__xludf.DUMMYFUNCTION("""COMPUTED_VALUE"""),74.0)</f>
        <v>74</v>
      </c>
      <c r="F537" s="19" t="str">
        <f>IFERROR(__xludf.DUMMYFUNCTION("""COMPUTED_VALUE"""),"BLACK")</f>
        <v>BLACK</v>
      </c>
      <c r="G537" s="20" t="str">
        <f>IFERROR(__xludf.DUMMYFUNCTION("""COMPUTED_VALUE"""),"Uncle Sams Cider (04/04/2023)")</f>
        <v>Uncle Sams Cider (04/04/2023)</v>
      </c>
      <c r="H537" s="19"/>
    </row>
    <row r="538">
      <c r="A538" s="9"/>
      <c r="B538" s="15"/>
      <c r="C538" s="9">
        <f>IFERROR(__xludf.DUMMYFUNCTION("""COMPUTED_VALUE"""),45139.0315911921)</f>
        <v>45139.03159</v>
      </c>
      <c r="D538" s="15">
        <f>IFERROR(__xludf.DUMMYFUNCTION("""COMPUTED_VALUE"""),1.003)</f>
        <v>1.003</v>
      </c>
      <c r="E538" s="16">
        <f>IFERROR(__xludf.DUMMYFUNCTION("""COMPUTED_VALUE"""),74.0)</f>
        <v>74</v>
      </c>
      <c r="F538" s="19" t="str">
        <f>IFERROR(__xludf.DUMMYFUNCTION("""COMPUTED_VALUE"""),"BLACK")</f>
        <v>BLACK</v>
      </c>
      <c r="G538" s="20" t="str">
        <f>IFERROR(__xludf.DUMMYFUNCTION("""COMPUTED_VALUE"""),"Uncle Sams Cider (04/04/2023)")</f>
        <v>Uncle Sams Cider (04/04/2023)</v>
      </c>
      <c r="H538" s="19"/>
    </row>
    <row r="539">
      <c r="A539" s="9"/>
      <c r="B539" s="15"/>
      <c r="C539" s="9">
        <f>IFERROR(__xludf.DUMMYFUNCTION("""COMPUTED_VALUE"""),45139.0211571064)</f>
        <v>45139.02116</v>
      </c>
      <c r="D539" s="15">
        <f>IFERROR(__xludf.DUMMYFUNCTION("""COMPUTED_VALUE"""),1.003)</f>
        <v>1.003</v>
      </c>
      <c r="E539" s="16">
        <f>IFERROR(__xludf.DUMMYFUNCTION("""COMPUTED_VALUE"""),74.0)</f>
        <v>74</v>
      </c>
      <c r="F539" s="19" t="str">
        <f>IFERROR(__xludf.DUMMYFUNCTION("""COMPUTED_VALUE"""),"BLACK")</f>
        <v>BLACK</v>
      </c>
      <c r="G539" s="20" t="str">
        <f>IFERROR(__xludf.DUMMYFUNCTION("""COMPUTED_VALUE"""),"Uncle Sams Cider (04/04/2023)")</f>
        <v>Uncle Sams Cider (04/04/2023)</v>
      </c>
      <c r="H539" s="19"/>
    </row>
    <row r="540">
      <c r="A540" s="9"/>
      <c r="B540" s="15"/>
      <c r="C540" s="9">
        <f>IFERROR(__xludf.DUMMYFUNCTION("""COMPUTED_VALUE"""),45139.0107375347)</f>
        <v>45139.01074</v>
      </c>
      <c r="D540" s="15">
        <f>IFERROR(__xludf.DUMMYFUNCTION("""COMPUTED_VALUE"""),1.003)</f>
        <v>1.003</v>
      </c>
      <c r="E540" s="16">
        <f>IFERROR(__xludf.DUMMYFUNCTION("""COMPUTED_VALUE"""),74.0)</f>
        <v>74</v>
      </c>
      <c r="F540" s="19" t="str">
        <f>IFERROR(__xludf.DUMMYFUNCTION("""COMPUTED_VALUE"""),"BLACK")</f>
        <v>BLACK</v>
      </c>
      <c r="G540" s="20" t="str">
        <f>IFERROR(__xludf.DUMMYFUNCTION("""COMPUTED_VALUE"""),"Uncle Sams Cider (04/04/2023)")</f>
        <v>Uncle Sams Cider (04/04/2023)</v>
      </c>
      <c r="H540" s="19"/>
    </row>
    <row r="541">
      <c r="A541" s="9"/>
      <c r="B541" s="15"/>
      <c r="C541" s="9">
        <f>IFERROR(__xludf.DUMMYFUNCTION("""COMPUTED_VALUE"""),45139.0003160763)</f>
        <v>45139.00032</v>
      </c>
      <c r="D541" s="15">
        <f>IFERROR(__xludf.DUMMYFUNCTION("""COMPUTED_VALUE"""),1.003)</f>
        <v>1.003</v>
      </c>
      <c r="E541" s="16">
        <f>IFERROR(__xludf.DUMMYFUNCTION("""COMPUTED_VALUE"""),74.0)</f>
        <v>74</v>
      </c>
      <c r="F541" s="19" t="str">
        <f>IFERROR(__xludf.DUMMYFUNCTION("""COMPUTED_VALUE"""),"BLACK")</f>
        <v>BLACK</v>
      </c>
      <c r="G541" s="20" t="str">
        <f>IFERROR(__xludf.DUMMYFUNCTION("""COMPUTED_VALUE"""),"Uncle Sams Cider (04/04/2023)")</f>
        <v>Uncle Sams Cider (04/04/2023)</v>
      </c>
      <c r="H541" s="19"/>
    </row>
    <row r="542">
      <c r="A542" s="9"/>
      <c r="B542" s="15"/>
      <c r="C542" s="9">
        <f>IFERROR(__xludf.DUMMYFUNCTION("""COMPUTED_VALUE"""),45138.9898950347)</f>
        <v>45138.9899</v>
      </c>
      <c r="D542" s="15">
        <f>IFERROR(__xludf.DUMMYFUNCTION("""COMPUTED_VALUE"""),1.003)</f>
        <v>1.003</v>
      </c>
      <c r="E542" s="16">
        <f>IFERROR(__xludf.DUMMYFUNCTION("""COMPUTED_VALUE"""),74.0)</f>
        <v>74</v>
      </c>
      <c r="F542" s="19" t="str">
        <f>IFERROR(__xludf.DUMMYFUNCTION("""COMPUTED_VALUE"""),"BLACK")</f>
        <v>BLACK</v>
      </c>
      <c r="G542" s="20" t="str">
        <f>IFERROR(__xludf.DUMMYFUNCTION("""COMPUTED_VALUE"""),"Uncle Sams Cider (04/04/2023)")</f>
        <v>Uncle Sams Cider (04/04/2023)</v>
      </c>
      <c r="H542" s="19"/>
    </row>
    <row r="543">
      <c r="A543" s="9"/>
      <c r="B543" s="15"/>
      <c r="C543" s="9">
        <f>IFERROR(__xludf.DUMMYFUNCTION("""COMPUTED_VALUE"""),45138.9794738194)</f>
        <v>45138.97947</v>
      </c>
      <c r="D543" s="15">
        <f>IFERROR(__xludf.DUMMYFUNCTION("""COMPUTED_VALUE"""),1.003)</f>
        <v>1.003</v>
      </c>
      <c r="E543" s="16">
        <f>IFERROR(__xludf.DUMMYFUNCTION("""COMPUTED_VALUE"""),74.0)</f>
        <v>74</v>
      </c>
      <c r="F543" s="19" t="str">
        <f>IFERROR(__xludf.DUMMYFUNCTION("""COMPUTED_VALUE"""),"BLACK")</f>
        <v>BLACK</v>
      </c>
      <c r="G543" s="20" t="str">
        <f>IFERROR(__xludf.DUMMYFUNCTION("""COMPUTED_VALUE"""),"Uncle Sams Cider (04/04/2023)")</f>
        <v>Uncle Sams Cider (04/04/2023)</v>
      </c>
      <c r="H543" s="19"/>
    </row>
    <row r="544">
      <c r="A544" s="9"/>
      <c r="B544" s="15"/>
      <c r="C544" s="9">
        <f>IFERROR(__xludf.DUMMYFUNCTION("""COMPUTED_VALUE"""),45138.9690545138)</f>
        <v>45138.96905</v>
      </c>
      <c r="D544" s="15">
        <f>IFERROR(__xludf.DUMMYFUNCTION("""COMPUTED_VALUE"""),1.003)</f>
        <v>1.003</v>
      </c>
      <c r="E544" s="16">
        <f>IFERROR(__xludf.DUMMYFUNCTION("""COMPUTED_VALUE"""),74.0)</f>
        <v>74</v>
      </c>
      <c r="F544" s="19" t="str">
        <f>IFERROR(__xludf.DUMMYFUNCTION("""COMPUTED_VALUE"""),"BLACK")</f>
        <v>BLACK</v>
      </c>
      <c r="G544" s="20" t="str">
        <f>IFERROR(__xludf.DUMMYFUNCTION("""COMPUTED_VALUE"""),"Uncle Sams Cider (04/04/2023)")</f>
        <v>Uncle Sams Cider (04/04/2023)</v>
      </c>
      <c r="H544" s="19"/>
    </row>
    <row r="545">
      <c r="A545" s="9"/>
      <c r="B545" s="15"/>
      <c r="C545" s="9">
        <f>IFERROR(__xludf.DUMMYFUNCTION("""COMPUTED_VALUE"""),45138.958632037)</f>
        <v>45138.95863</v>
      </c>
      <c r="D545" s="15">
        <f>IFERROR(__xludf.DUMMYFUNCTION("""COMPUTED_VALUE"""),1.003)</f>
        <v>1.003</v>
      </c>
      <c r="E545" s="16">
        <f>IFERROR(__xludf.DUMMYFUNCTION("""COMPUTED_VALUE"""),74.0)</f>
        <v>74</v>
      </c>
      <c r="F545" s="19" t="str">
        <f>IFERROR(__xludf.DUMMYFUNCTION("""COMPUTED_VALUE"""),"BLACK")</f>
        <v>BLACK</v>
      </c>
      <c r="G545" s="20" t="str">
        <f>IFERROR(__xludf.DUMMYFUNCTION("""COMPUTED_VALUE"""),"Uncle Sams Cider (04/04/2023)")</f>
        <v>Uncle Sams Cider (04/04/2023)</v>
      </c>
      <c r="H545" s="19"/>
    </row>
    <row r="546">
      <c r="A546" s="9"/>
      <c r="B546" s="15"/>
      <c r="C546" s="9">
        <f>IFERROR(__xludf.DUMMYFUNCTION("""COMPUTED_VALUE"""),45138.9481758449)</f>
        <v>45138.94818</v>
      </c>
      <c r="D546" s="15">
        <f>IFERROR(__xludf.DUMMYFUNCTION("""COMPUTED_VALUE"""),1.003)</f>
        <v>1.003</v>
      </c>
      <c r="E546" s="16">
        <f>IFERROR(__xludf.DUMMYFUNCTION("""COMPUTED_VALUE"""),74.0)</f>
        <v>74</v>
      </c>
      <c r="F546" s="19" t="str">
        <f>IFERROR(__xludf.DUMMYFUNCTION("""COMPUTED_VALUE"""),"BLACK")</f>
        <v>BLACK</v>
      </c>
      <c r="G546" s="20" t="str">
        <f>IFERROR(__xludf.DUMMYFUNCTION("""COMPUTED_VALUE"""),"Uncle Sams Cider (04/04/2023)")</f>
        <v>Uncle Sams Cider (04/04/2023)</v>
      </c>
      <c r="H546" s="19"/>
    </row>
    <row r="547">
      <c r="A547" s="9"/>
      <c r="B547" s="15"/>
      <c r="C547" s="9">
        <f>IFERROR(__xludf.DUMMYFUNCTION("""COMPUTED_VALUE"""),45138.9377544907)</f>
        <v>45138.93775</v>
      </c>
      <c r="D547" s="15">
        <f>IFERROR(__xludf.DUMMYFUNCTION("""COMPUTED_VALUE"""),1.003)</f>
        <v>1.003</v>
      </c>
      <c r="E547" s="16">
        <f>IFERROR(__xludf.DUMMYFUNCTION("""COMPUTED_VALUE"""),74.0)</f>
        <v>74</v>
      </c>
      <c r="F547" s="19" t="str">
        <f>IFERROR(__xludf.DUMMYFUNCTION("""COMPUTED_VALUE"""),"BLACK")</f>
        <v>BLACK</v>
      </c>
      <c r="G547" s="20" t="str">
        <f>IFERROR(__xludf.DUMMYFUNCTION("""COMPUTED_VALUE"""),"Uncle Sams Cider (04/04/2023)")</f>
        <v>Uncle Sams Cider (04/04/2023)</v>
      </c>
      <c r="H547" s="19"/>
    </row>
    <row r="548">
      <c r="A548" s="9"/>
      <c r="B548" s="15"/>
      <c r="C548" s="9">
        <f>IFERROR(__xludf.DUMMYFUNCTION("""COMPUTED_VALUE"""),45138.9273328935)</f>
        <v>45138.92733</v>
      </c>
      <c r="D548" s="15">
        <f>IFERROR(__xludf.DUMMYFUNCTION("""COMPUTED_VALUE"""),1.003)</f>
        <v>1.003</v>
      </c>
      <c r="E548" s="16">
        <f>IFERROR(__xludf.DUMMYFUNCTION("""COMPUTED_VALUE"""),74.0)</f>
        <v>74</v>
      </c>
      <c r="F548" s="19" t="str">
        <f>IFERROR(__xludf.DUMMYFUNCTION("""COMPUTED_VALUE"""),"BLACK")</f>
        <v>BLACK</v>
      </c>
      <c r="G548" s="20" t="str">
        <f>IFERROR(__xludf.DUMMYFUNCTION("""COMPUTED_VALUE"""),"Uncle Sams Cider (04/04/2023)")</f>
        <v>Uncle Sams Cider (04/04/2023)</v>
      </c>
      <c r="H548" s="19"/>
    </row>
    <row r="549">
      <c r="A549" s="9"/>
      <c r="B549" s="15"/>
      <c r="C549" s="9">
        <f>IFERROR(__xludf.DUMMYFUNCTION("""COMPUTED_VALUE"""),45138.9169116898)</f>
        <v>45138.91691</v>
      </c>
      <c r="D549" s="15">
        <f>IFERROR(__xludf.DUMMYFUNCTION("""COMPUTED_VALUE"""),1.003)</f>
        <v>1.003</v>
      </c>
      <c r="E549" s="16">
        <f>IFERROR(__xludf.DUMMYFUNCTION("""COMPUTED_VALUE"""),74.0)</f>
        <v>74</v>
      </c>
      <c r="F549" s="19" t="str">
        <f>IFERROR(__xludf.DUMMYFUNCTION("""COMPUTED_VALUE"""),"BLACK")</f>
        <v>BLACK</v>
      </c>
      <c r="G549" s="20" t="str">
        <f>IFERROR(__xludf.DUMMYFUNCTION("""COMPUTED_VALUE"""),"Uncle Sams Cider (04/04/2023)")</f>
        <v>Uncle Sams Cider (04/04/2023)</v>
      </c>
      <c r="H549" s="19"/>
    </row>
    <row r="550">
      <c r="A550" s="9"/>
      <c r="B550" s="15"/>
      <c r="C550" s="9">
        <f>IFERROR(__xludf.DUMMYFUNCTION("""COMPUTED_VALUE"""),45138.906491493)</f>
        <v>45138.90649</v>
      </c>
      <c r="D550" s="15">
        <f>IFERROR(__xludf.DUMMYFUNCTION("""COMPUTED_VALUE"""),1.003)</f>
        <v>1.003</v>
      </c>
      <c r="E550" s="16">
        <f>IFERROR(__xludf.DUMMYFUNCTION("""COMPUTED_VALUE"""),74.0)</f>
        <v>74</v>
      </c>
      <c r="F550" s="19" t="str">
        <f>IFERROR(__xludf.DUMMYFUNCTION("""COMPUTED_VALUE"""),"BLACK")</f>
        <v>BLACK</v>
      </c>
      <c r="G550" s="20" t="str">
        <f>IFERROR(__xludf.DUMMYFUNCTION("""COMPUTED_VALUE"""),"Uncle Sams Cider (04/04/2023)")</f>
        <v>Uncle Sams Cider (04/04/2023)</v>
      </c>
      <c r="H550" s="19"/>
    </row>
    <row r="551">
      <c r="A551" s="9"/>
      <c r="B551" s="15"/>
      <c r="C551" s="9">
        <f>IFERROR(__xludf.DUMMYFUNCTION("""COMPUTED_VALUE"""),45138.8960699074)</f>
        <v>45138.89607</v>
      </c>
      <c r="D551" s="15">
        <f>IFERROR(__xludf.DUMMYFUNCTION("""COMPUTED_VALUE"""),1.003)</f>
        <v>1.003</v>
      </c>
      <c r="E551" s="16">
        <f>IFERROR(__xludf.DUMMYFUNCTION("""COMPUTED_VALUE"""),74.0)</f>
        <v>74</v>
      </c>
      <c r="F551" s="19" t="str">
        <f>IFERROR(__xludf.DUMMYFUNCTION("""COMPUTED_VALUE"""),"BLACK")</f>
        <v>BLACK</v>
      </c>
      <c r="G551" s="20" t="str">
        <f>IFERROR(__xludf.DUMMYFUNCTION("""COMPUTED_VALUE"""),"Uncle Sams Cider (04/04/2023)")</f>
        <v>Uncle Sams Cider (04/04/2023)</v>
      </c>
      <c r="H551" s="19"/>
    </row>
    <row r="552">
      <c r="A552" s="9"/>
      <c r="B552" s="15"/>
      <c r="C552" s="9">
        <f>IFERROR(__xludf.DUMMYFUNCTION("""COMPUTED_VALUE"""),45138.885637905)</f>
        <v>45138.88564</v>
      </c>
      <c r="D552" s="15">
        <f>IFERROR(__xludf.DUMMYFUNCTION("""COMPUTED_VALUE"""),1.003)</f>
        <v>1.003</v>
      </c>
      <c r="E552" s="16">
        <f>IFERROR(__xludf.DUMMYFUNCTION("""COMPUTED_VALUE"""),74.0)</f>
        <v>74</v>
      </c>
      <c r="F552" s="19" t="str">
        <f>IFERROR(__xludf.DUMMYFUNCTION("""COMPUTED_VALUE"""),"BLACK")</f>
        <v>BLACK</v>
      </c>
      <c r="G552" s="20" t="str">
        <f>IFERROR(__xludf.DUMMYFUNCTION("""COMPUTED_VALUE"""),"Uncle Sams Cider (04/04/2023)")</f>
        <v>Uncle Sams Cider (04/04/2023)</v>
      </c>
      <c r="H552" s="19"/>
    </row>
    <row r="553">
      <c r="A553" s="9"/>
      <c r="B553" s="15"/>
      <c r="C553" s="9">
        <f>IFERROR(__xludf.DUMMYFUNCTION("""COMPUTED_VALUE"""),45138.875215949)</f>
        <v>45138.87522</v>
      </c>
      <c r="D553" s="15">
        <f>IFERROR(__xludf.DUMMYFUNCTION("""COMPUTED_VALUE"""),1.003)</f>
        <v>1.003</v>
      </c>
      <c r="E553" s="16">
        <f>IFERROR(__xludf.DUMMYFUNCTION("""COMPUTED_VALUE"""),74.0)</f>
        <v>74</v>
      </c>
      <c r="F553" s="19" t="str">
        <f>IFERROR(__xludf.DUMMYFUNCTION("""COMPUTED_VALUE"""),"BLACK")</f>
        <v>BLACK</v>
      </c>
      <c r="G553" s="20" t="str">
        <f>IFERROR(__xludf.DUMMYFUNCTION("""COMPUTED_VALUE"""),"Uncle Sams Cider (04/04/2023)")</f>
        <v>Uncle Sams Cider (04/04/2023)</v>
      </c>
      <c r="H553" s="19"/>
    </row>
    <row r="554">
      <c r="A554" s="9"/>
      <c r="B554" s="15"/>
      <c r="C554" s="9">
        <f>IFERROR(__xludf.DUMMYFUNCTION("""COMPUTED_VALUE"""),45138.8647835995)</f>
        <v>45138.86478</v>
      </c>
      <c r="D554" s="15">
        <f>IFERROR(__xludf.DUMMYFUNCTION("""COMPUTED_VALUE"""),1.003)</f>
        <v>1.003</v>
      </c>
      <c r="E554" s="16">
        <f>IFERROR(__xludf.DUMMYFUNCTION("""COMPUTED_VALUE"""),74.0)</f>
        <v>74</v>
      </c>
      <c r="F554" s="19" t="str">
        <f>IFERROR(__xludf.DUMMYFUNCTION("""COMPUTED_VALUE"""),"BLACK")</f>
        <v>BLACK</v>
      </c>
      <c r="G554" s="20" t="str">
        <f>IFERROR(__xludf.DUMMYFUNCTION("""COMPUTED_VALUE"""),"Uncle Sams Cider (04/04/2023)")</f>
        <v>Uncle Sams Cider (04/04/2023)</v>
      </c>
      <c r="H554" s="19"/>
    </row>
    <row r="555">
      <c r="A555" s="9"/>
      <c r="B555" s="15"/>
      <c r="C555" s="9">
        <f>IFERROR(__xludf.DUMMYFUNCTION("""COMPUTED_VALUE"""),45138.8543628935)</f>
        <v>45138.85436</v>
      </c>
      <c r="D555" s="15">
        <f>IFERROR(__xludf.DUMMYFUNCTION("""COMPUTED_VALUE"""),1.003)</f>
        <v>1.003</v>
      </c>
      <c r="E555" s="16">
        <f>IFERROR(__xludf.DUMMYFUNCTION("""COMPUTED_VALUE"""),74.0)</f>
        <v>74</v>
      </c>
      <c r="F555" s="19" t="str">
        <f>IFERROR(__xludf.DUMMYFUNCTION("""COMPUTED_VALUE"""),"BLACK")</f>
        <v>BLACK</v>
      </c>
      <c r="G555" s="20" t="str">
        <f>IFERROR(__xludf.DUMMYFUNCTION("""COMPUTED_VALUE"""),"Uncle Sams Cider (04/04/2023)")</f>
        <v>Uncle Sams Cider (04/04/2023)</v>
      </c>
      <c r="H555" s="19"/>
    </row>
    <row r="556">
      <c r="A556" s="9"/>
      <c r="B556" s="15"/>
      <c r="C556" s="9">
        <f>IFERROR(__xludf.DUMMYFUNCTION("""COMPUTED_VALUE"""),45138.8439417824)</f>
        <v>45138.84394</v>
      </c>
      <c r="D556" s="15">
        <f>IFERROR(__xludf.DUMMYFUNCTION("""COMPUTED_VALUE"""),1.003)</f>
        <v>1.003</v>
      </c>
      <c r="E556" s="16">
        <f>IFERROR(__xludf.DUMMYFUNCTION("""COMPUTED_VALUE"""),74.0)</f>
        <v>74</v>
      </c>
      <c r="F556" s="19" t="str">
        <f>IFERROR(__xludf.DUMMYFUNCTION("""COMPUTED_VALUE"""),"BLACK")</f>
        <v>BLACK</v>
      </c>
      <c r="G556" s="20" t="str">
        <f>IFERROR(__xludf.DUMMYFUNCTION("""COMPUTED_VALUE"""),"Uncle Sams Cider (04/04/2023)")</f>
        <v>Uncle Sams Cider (04/04/2023)</v>
      </c>
      <c r="H556" s="19"/>
    </row>
    <row r="557">
      <c r="A557" s="9"/>
      <c r="B557" s="15"/>
      <c r="C557" s="9">
        <f>IFERROR(__xludf.DUMMYFUNCTION("""COMPUTED_VALUE"""),45138.8335194213)</f>
        <v>45138.83352</v>
      </c>
      <c r="D557" s="15">
        <f>IFERROR(__xludf.DUMMYFUNCTION("""COMPUTED_VALUE"""),1.003)</f>
        <v>1.003</v>
      </c>
      <c r="E557" s="16">
        <f>IFERROR(__xludf.DUMMYFUNCTION("""COMPUTED_VALUE"""),74.0)</f>
        <v>74</v>
      </c>
      <c r="F557" s="19" t="str">
        <f>IFERROR(__xludf.DUMMYFUNCTION("""COMPUTED_VALUE"""),"BLACK")</f>
        <v>BLACK</v>
      </c>
      <c r="G557" s="20" t="str">
        <f>IFERROR(__xludf.DUMMYFUNCTION("""COMPUTED_VALUE"""),"Uncle Sams Cider (04/04/2023)")</f>
        <v>Uncle Sams Cider (04/04/2023)</v>
      </c>
      <c r="H557" s="19"/>
    </row>
    <row r="558">
      <c r="A558" s="9"/>
      <c r="B558" s="15"/>
      <c r="C558" s="9">
        <f>IFERROR(__xludf.DUMMYFUNCTION("""COMPUTED_VALUE"""),45138.8230979282)</f>
        <v>45138.8231</v>
      </c>
      <c r="D558" s="15">
        <f>IFERROR(__xludf.DUMMYFUNCTION("""COMPUTED_VALUE"""),1.003)</f>
        <v>1.003</v>
      </c>
      <c r="E558" s="16">
        <f>IFERROR(__xludf.DUMMYFUNCTION("""COMPUTED_VALUE"""),74.0)</f>
        <v>74</v>
      </c>
      <c r="F558" s="19" t="str">
        <f>IFERROR(__xludf.DUMMYFUNCTION("""COMPUTED_VALUE"""),"BLACK")</f>
        <v>BLACK</v>
      </c>
      <c r="G558" s="20" t="str">
        <f>IFERROR(__xludf.DUMMYFUNCTION("""COMPUTED_VALUE"""),"Uncle Sams Cider (04/04/2023)")</f>
        <v>Uncle Sams Cider (04/04/2023)</v>
      </c>
      <c r="H558" s="19"/>
    </row>
    <row r="559">
      <c r="A559" s="9"/>
      <c r="B559" s="15"/>
      <c r="C559" s="9">
        <f>IFERROR(__xludf.DUMMYFUNCTION("""COMPUTED_VALUE"""),45138.8126772222)</f>
        <v>45138.81268</v>
      </c>
      <c r="D559" s="15">
        <f>IFERROR(__xludf.DUMMYFUNCTION("""COMPUTED_VALUE"""),1.003)</f>
        <v>1.003</v>
      </c>
      <c r="E559" s="16">
        <f>IFERROR(__xludf.DUMMYFUNCTION("""COMPUTED_VALUE"""),74.0)</f>
        <v>74</v>
      </c>
      <c r="F559" s="19" t="str">
        <f>IFERROR(__xludf.DUMMYFUNCTION("""COMPUTED_VALUE"""),"BLACK")</f>
        <v>BLACK</v>
      </c>
      <c r="G559" s="20" t="str">
        <f>IFERROR(__xludf.DUMMYFUNCTION("""COMPUTED_VALUE"""),"Uncle Sams Cider (04/04/2023)")</f>
        <v>Uncle Sams Cider (04/04/2023)</v>
      </c>
      <c r="H559" s="19"/>
    </row>
    <row r="560">
      <c r="A560" s="9"/>
      <c r="B560" s="15"/>
      <c r="C560" s="9">
        <f>IFERROR(__xludf.DUMMYFUNCTION("""COMPUTED_VALUE"""),45138.8022568287)</f>
        <v>45138.80226</v>
      </c>
      <c r="D560" s="15">
        <f>IFERROR(__xludf.DUMMYFUNCTION("""COMPUTED_VALUE"""),1.003)</f>
        <v>1.003</v>
      </c>
      <c r="E560" s="16">
        <f>IFERROR(__xludf.DUMMYFUNCTION("""COMPUTED_VALUE"""),74.0)</f>
        <v>74</v>
      </c>
      <c r="F560" s="19" t="str">
        <f>IFERROR(__xludf.DUMMYFUNCTION("""COMPUTED_VALUE"""),"BLACK")</f>
        <v>BLACK</v>
      </c>
      <c r="G560" s="20" t="str">
        <f>IFERROR(__xludf.DUMMYFUNCTION("""COMPUTED_VALUE"""),"Uncle Sams Cider (04/04/2023)")</f>
        <v>Uncle Sams Cider (04/04/2023)</v>
      </c>
      <c r="H560" s="19"/>
    </row>
    <row r="561">
      <c r="A561" s="9"/>
      <c r="B561" s="15"/>
      <c r="C561" s="9">
        <f>IFERROR(__xludf.DUMMYFUNCTION("""COMPUTED_VALUE"""),45138.7918349074)</f>
        <v>45138.79183</v>
      </c>
      <c r="D561" s="15">
        <f>IFERROR(__xludf.DUMMYFUNCTION("""COMPUTED_VALUE"""),1.003)</f>
        <v>1.003</v>
      </c>
      <c r="E561" s="16">
        <f>IFERROR(__xludf.DUMMYFUNCTION("""COMPUTED_VALUE"""),74.0)</f>
        <v>74</v>
      </c>
      <c r="F561" s="19" t="str">
        <f>IFERROR(__xludf.DUMMYFUNCTION("""COMPUTED_VALUE"""),"BLACK")</f>
        <v>BLACK</v>
      </c>
      <c r="G561" s="20" t="str">
        <f>IFERROR(__xludf.DUMMYFUNCTION("""COMPUTED_VALUE"""),"Uncle Sams Cider (04/04/2023)")</f>
        <v>Uncle Sams Cider (04/04/2023)</v>
      </c>
      <c r="H561" s="19"/>
    </row>
    <row r="562">
      <c r="A562" s="9"/>
      <c r="B562" s="15"/>
      <c r="C562" s="9">
        <f>IFERROR(__xludf.DUMMYFUNCTION("""COMPUTED_VALUE"""),45138.7814160995)</f>
        <v>45138.78142</v>
      </c>
      <c r="D562" s="15">
        <f>IFERROR(__xludf.DUMMYFUNCTION("""COMPUTED_VALUE"""),1.003)</f>
        <v>1.003</v>
      </c>
      <c r="E562" s="16">
        <f>IFERROR(__xludf.DUMMYFUNCTION("""COMPUTED_VALUE"""),74.0)</f>
        <v>74</v>
      </c>
      <c r="F562" s="19" t="str">
        <f>IFERROR(__xludf.DUMMYFUNCTION("""COMPUTED_VALUE"""),"BLACK")</f>
        <v>BLACK</v>
      </c>
      <c r="G562" s="20" t="str">
        <f>IFERROR(__xludf.DUMMYFUNCTION("""COMPUTED_VALUE"""),"Uncle Sams Cider (04/04/2023)")</f>
        <v>Uncle Sams Cider (04/04/2023)</v>
      </c>
      <c r="H562" s="19"/>
    </row>
    <row r="563">
      <c r="A563" s="9"/>
      <c r="B563" s="15"/>
      <c r="C563" s="9">
        <f>IFERROR(__xludf.DUMMYFUNCTION("""COMPUTED_VALUE"""),45138.7709831134)</f>
        <v>45138.77098</v>
      </c>
      <c r="D563" s="15">
        <f>IFERROR(__xludf.DUMMYFUNCTION("""COMPUTED_VALUE"""),1.003)</f>
        <v>1.003</v>
      </c>
      <c r="E563" s="16">
        <f>IFERROR(__xludf.DUMMYFUNCTION("""COMPUTED_VALUE"""),74.0)</f>
        <v>74</v>
      </c>
      <c r="F563" s="19" t="str">
        <f>IFERROR(__xludf.DUMMYFUNCTION("""COMPUTED_VALUE"""),"BLACK")</f>
        <v>BLACK</v>
      </c>
      <c r="G563" s="20" t="str">
        <f>IFERROR(__xludf.DUMMYFUNCTION("""COMPUTED_VALUE"""),"Uncle Sams Cider (04/04/2023)")</f>
        <v>Uncle Sams Cider (04/04/2023)</v>
      </c>
      <c r="H563" s="19"/>
    </row>
    <row r="564">
      <c r="A564" s="9"/>
      <c r="B564" s="15"/>
      <c r="C564" s="9">
        <f>IFERROR(__xludf.DUMMYFUNCTION("""COMPUTED_VALUE"""),45138.760561956)</f>
        <v>45138.76056</v>
      </c>
      <c r="D564" s="15">
        <f>IFERROR(__xludf.DUMMYFUNCTION("""COMPUTED_VALUE"""),1.003)</f>
        <v>1.003</v>
      </c>
      <c r="E564" s="16">
        <f>IFERROR(__xludf.DUMMYFUNCTION("""COMPUTED_VALUE"""),74.0)</f>
        <v>74</v>
      </c>
      <c r="F564" s="19" t="str">
        <f>IFERROR(__xludf.DUMMYFUNCTION("""COMPUTED_VALUE"""),"BLACK")</f>
        <v>BLACK</v>
      </c>
      <c r="G564" s="20" t="str">
        <f>IFERROR(__xludf.DUMMYFUNCTION("""COMPUTED_VALUE"""),"Uncle Sams Cider (04/04/2023)")</f>
        <v>Uncle Sams Cider (04/04/2023)</v>
      </c>
      <c r="H564" s="19"/>
    </row>
    <row r="565">
      <c r="A565" s="9"/>
      <c r="B565" s="15"/>
      <c r="C565" s="9">
        <f>IFERROR(__xludf.DUMMYFUNCTION("""COMPUTED_VALUE"""),45138.7501166203)</f>
        <v>45138.75012</v>
      </c>
      <c r="D565" s="15">
        <f>IFERROR(__xludf.DUMMYFUNCTION("""COMPUTED_VALUE"""),1.003)</f>
        <v>1.003</v>
      </c>
      <c r="E565" s="16">
        <f>IFERROR(__xludf.DUMMYFUNCTION("""COMPUTED_VALUE"""),74.0)</f>
        <v>74</v>
      </c>
      <c r="F565" s="19" t="str">
        <f>IFERROR(__xludf.DUMMYFUNCTION("""COMPUTED_VALUE"""),"BLACK")</f>
        <v>BLACK</v>
      </c>
      <c r="G565" s="20" t="str">
        <f>IFERROR(__xludf.DUMMYFUNCTION("""COMPUTED_VALUE"""),"Uncle Sams Cider (04/04/2023)")</f>
        <v>Uncle Sams Cider (04/04/2023)</v>
      </c>
      <c r="H565" s="19"/>
    </row>
    <row r="566">
      <c r="A566" s="9"/>
      <c r="B566" s="15"/>
      <c r="C566" s="9">
        <f>IFERROR(__xludf.DUMMYFUNCTION("""COMPUTED_VALUE"""),45138.7396969444)</f>
        <v>45138.7397</v>
      </c>
      <c r="D566" s="15">
        <f>IFERROR(__xludf.DUMMYFUNCTION("""COMPUTED_VALUE"""),1.003)</f>
        <v>1.003</v>
      </c>
      <c r="E566" s="16">
        <f>IFERROR(__xludf.DUMMYFUNCTION("""COMPUTED_VALUE"""),74.0)</f>
        <v>74</v>
      </c>
      <c r="F566" s="19" t="str">
        <f>IFERROR(__xludf.DUMMYFUNCTION("""COMPUTED_VALUE"""),"BLACK")</f>
        <v>BLACK</v>
      </c>
      <c r="G566" s="20" t="str">
        <f>IFERROR(__xludf.DUMMYFUNCTION("""COMPUTED_VALUE"""),"Uncle Sams Cider (04/04/2023)")</f>
        <v>Uncle Sams Cider (04/04/2023)</v>
      </c>
      <c r="H566" s="19"/>
    </row>
    <row r="567">
      <c r="A567" s="9"/>
      <c r="B567" s="15"/>
      <c r="C567" s="9">
        <f>IFERROR(__xludf.DUMMYFUNCTION("""COMPUTED_VALUE"""),45138.7292773263)</f>
        <v>45138.72928</v>
      </c>
      <c r="D567" s="15">
        <f>IFERROR(__xludf.DUMMYFUNCTION("""COMPUTED_VALUE"""),1.003)</f>
        <v>1.003</v>
      </c>
      <c r="E567" s="16">
        <f>IFERROR(__xludf.DUMMYFUNCTION("""COMPUTED_VALUE"""),74.0)</f>
        <v>74</v>
      </c>
      <c r="F567" s="19" t="str">
        <f>IFERROR(__xludf.DUMMYFUNCTION("""COMPUTED_VALUE"""),"BLACK")</f>
        <v>BLACK</v>
      </c>
      <c r="G567" s="20" t="str">
        <f>IFERROR(__xludf.DUMMYFUNCTION("""COMPUTED_VALUE"""),"Uncle Sams Cider (04/04/2023)")</f>
        <v>Uncle Sams Cider (04/04/2023)</v>
      </c>
      <c r="H567" s="19"/>
    </row>
    <row r="568">
      <c r="A568" s="9"/>
      <c r="B568" s="15"/>
      <c r="C568" s="9">
        <f>IFERROR(__xludf.DUMMYFUNCTION("""COMPUTED_VALUE"""),45138.7188566551)</f>
        <v>45138.71886</v>
      </c>
      <c r="D568" s="15">
        <f>IFERROR(__xludf.DUMMYFUNCTION("""COMPUTED_VALUE"""),1.003)</f>
        <v>1.003</v>
      </c>
      <c r="E568" s="16">
        <f>IFERROR(__xludf.DUMMYFUNCTION("""COMPUTED_VALUE"""),74.0)</f>
        <v>74</v>
      </c>
      <c r="F568" s="19" t="str">
        <f>IFERROR(__xludf.DUMMYFUNCTION("""COMPUTED_VALUE"""),"BLACK")</f>
        <v>BLACK</v>
      </c>
      <c r="G568" s="20" t="str">
        <f>IFERROR(__xludf.DUMMYFUNCTION("""COMPUTED_VALUE"""),"Uncle Sams Cider (04/04/2023)")</f>
        <v>Uncle Sams Cider (04/04/2023)</v>
      </c>
      <c r="H568" s="19"/>
    </row>
    <row r="569">
      <c r="A569" s="9"/>
      <c r="B569" s="15"/>
      <c r="C569" s="9">
        <f>IFERROR(__xludf.DUMMYFUNCTION("""COMPUTED_VALUE"""),45138.7084319097)</f>
        <v>45138.70843</v>
      </c>
      <c r="D569" s="15">
        <f>IFERROR(__xludf.DUMMYFUNCTION("""COMPUTED_VALUE"""),1.003)</f>
        <v>1.003</v>
      </c>
      <c r="E569" s="16">
        <f>IFERROR(__xludf.DUMMYFUNCTION("""COMPUTED_VALUE"""),74.0)</f>
        <v>74</v>
      </c>
      <c r="F569" s="19" t="str">
        <f>IFERROR(__xludf.DUMMYFUNCTION("""COMPUTED_VALUE"""),"BLACK")</f>
        <v>BLACK</v>
      </c>
      <c r="G569" s="20" t="str">
        <f>IFERROR(__xludf.DUMMYFUNCTION("""COMPUTED_VALUE"""),"Uncle Sams Cider (04/04/2023)")</f>
        <v>Uncle Sams Cider (04/04/2023)</v>
      </c>
      <c r="H569" s="19"/>
    </row>
    <row r="570">
      <c r="A570" s="9"/>
      <c r="B570" s="15"/>
      <c r="C570" s="9">
        <f>IFERROR(__xludf.DUMMYFUNCTION("""COMPUTED_VALUE"""),45138.6980102893)</f>
        <v>45138.69801</v>
      </c>
      <c r="D570" s="15">
        <f>IFERROR(__xludf.DUMMYFUNCTION("""COMPUTED_VALUE"""),1.003)</f>
        <v>1.003</v>
      </c>
      <c r="E570" s="16">
        <f>IFERROR(__xludf.DUMMYFUNCTION("""COMPUTED_VALUE"""),74.0)</f>
        <v>74</v>
      </c>
      <c r="F570" s="19" t="str">
        <f>IFERROR(__xludf.DUMMYFUNCTION("""COMPUTED_VALUE"""),"BLACK")</f>
        <v>BLACK</v>
      </c>
      <c r="G570" s="20" t="str">
        <f>IFERROR(__xludf.DUMMYFUNCTION("""COMPUTED_VALUE"""),"Uncle Sams Cider (04/04/2023)")</f>
        <v>Uncle Sams Cider (04/04/2023)</v>
      </c>
      <c r="H570" s="19"/>
    </row>
    <row r="571">
      <c r="A571" s="9"/>
      <c r="B571" s="15"/>
      <c r="C571" s="9">
        <f>IFERROR(__xludf.DUMMYFUNCTION("""COMPUTED_VALUE"""),45138.6875901504)</f>
        <v>45138.68759</v>
      </c>
      <c r="D571" s="15">
        <f>IFERROR(__xludf.DUMMYFUNCTION("""COMPUTED_VALUE"""),1.003)</f>
        <v>1.003</v>
      </c>
      <c r="E571" s="16">
        <f>IFERROR(__xludf.DUMMYFUNCTION("""COMPUTED_VALUE"""),74.0)</f>
        <v>74</v>
      </c>
      <c r="F571" s="19" t="str">
        <f>IFERROR(__xludf.DUMMYFUNCTION("""COMPUTED_VALUE"""),"BLACK")</f>
        <v>BLACK</v>
      </c>
      <c r="G571" s="20" t="str">
        <f>IFERROR(__xludf.DUMMYFUNCTION("""COMPUTED_VALUE"""),"Uncle Sams Cider (04/04/2023)")</f>
        <v>Uncle Sams Cider (04/04/2023)</v>
      </c>
      <c r="H571" s="19"/>
    </row>
    <row r="572">
      <c r="A572" s="9"/>
      <c r="B572" s="15"/>
      <c r="C572" s="9">
        <f>IFERROR(__xludf.DUMMYFUNCTION("""COMPUTED_VALUE"""),45138.6771701388)</f>
        <v>45138.67717</v>
      </c>
      <c r="D572" s="15">
        <f>IFERROR(__xludf.DUMMYFUNCTION("""COMPUTED_VALUE"""),1.003)</f>
        <v>1.003</v>
      </c>
      <c r="E572" s="16">
        <f>IFERROR(__xludf.DUMMYFUNCTION("""COMPUTED_VALUE"""),74.0)</f>
        <v>74</v>
      </c>
      <c r="F572" s="19" t="str">
        <f>IFERROR(__xludf.DUMMYFUNCTION("""COMPUTED_VALUE"""),"BLACK")</f>
        <v>BLACK</v>
      </c>
      <c r="G572" s="20" t="str">
        <f>IFERROR(__xludf.DUMMYFUNCTION("""COMPUTED_VALUE"""),"Uncle Sams Cider (04/04/2023)")</f>
        <v>Uncle Sams Cider (04/04/2023)</v>
      </c>
      <c r="H572" s="19"/>
    </row>
    <row r="573">
      <c r="A573" s="9"/>
      <c r="B573" s="15"/>
      <c r="C573" s="9">
        <f>IFERROR(__xludf.DUMMYFUNCTION("""COMPUTED_VALUE"""),45138.6667491087)</f>
        <v>45138.66675</v>
      </c>
      <c r="D573" s="15">
        <f>IFERROR(__xludf.DUMMYFUNCTION("""COMPUTED_VALUE"""),1.003)</f>
        <v>1.003</v>
      </c>
      <c r="E573" s="16">
        <f>IFERROR(__xludf.DUMMYFUNCTION("""COMPUTED_VALUE"""),74.0)</f>
        <v>74</v>
      </c>
      <c r="F573" s="19" t="str">
        <f>IFERROR(__xludf.DUMMYFUNCTION("""COMPUTED_VALUE"""),"BLACK")</f>
        <v>BLACK</v>
      </c>
      <c r="G573" s="20" t="str">
        <f>IFERROR(__xludf.DUMMYFUNCTION("""COMPUTED_VALUE"""),"Uncle Sams Cider (04/04/2023)")</f>
        <v>Uncle Sams Cider (04/04/2023)</v>
      </c>
      <c r="H573" s="19"/>
    </row>
    <row r="574">
      <c r="A574" s="9"/>
      <c r="B574" s="15"/>
      <c r="C574" s="9">
        <f>IFERROR(__xludf.DUMMYFUNCTION("""COMPUTED_VALUE"""),45138.6563278125)</f>
        <v>45138.65633</v>
      </c>
      <c r="D574" s="15">
        <f>IFERROR(__xludf.DUMMYFUNCTION("""COMPUTED_VALUE"""),1.003)</f>
        <v>1.003</v>
      </c>
      <c r="E574" s="16">
        <f>IFERROR(__xludf.DUMMYFUNCTION("""COMPUTED_VALUE"""),74.0)</f>
        <v>74</v>
      </c>
      <c r="F574" s="19" t="str">
        <f>IFERROR(__xludf.DUMMYFUNCTION("""COMPUTED_VALUE"""),"BLACK")</f>
        <v>BLACK</v>
      </c>
      <c r="G574" s="20" t="str">
        <f>IFERROR(__xludf.DUMMYFUNCTION("""COMPUTED_VALUE"""),"Uncle Sams Cider (04/04/2023)")</f>
        <v>Uncle Sams Cider (04/04/2023)</v>
      </c>
      <c r="H574" s="19"/>
    </row>
    <row r="575">
      <c r="A575" s="9"/>
      <c r="B575" s="15"/>
      <c r="C575" s="9">
        <f>IFERROR(__xludf.DUMMYFUNCTION("""COMPUTED_VALUE"""),45138.6459067824)</f>
        <v>45138.64591</v>
      </c>
      <c r="D575" s="15">
        <f>IFERROR(__xludf.DUMMYFUNCTION("""COMPUTED_VALUE"""),1.003)</f>
        <v>1.003</v>
      </c>
      <c r="E575" s="16">
        <f>IFERROR(__xludf.DUMMYFUNCTION("""COMPUTED_VALUE"""),74.0)</f>
        <v>74</v>
      </c>
      <c r="F575" s="19" t="str">
        <f>IFERROR(__xludf.DUMMYFUNCTION("""COMPUTED_VALUE"""),"BLACK")</f>
        <v>BLACK</v>
      </c>
      <c r="G575" s="20" t="str">
        <f>IFERROR(__xludf.DUMMYFUNCTION("""COMPUTED_VALUE"""),"Uncle Sams Cider (04/04/2023)")</f>
        <v>Uncle Sams Cider (04/04/2023)</v>
      </c>
      <c r="H575" s="19"/>
    </row>
    <row r="576">
      <c r="A576" s="9"/>
      <c r="B576" s="15"/>
      <c r="C576" s="9">
        <f>IFERROR(__xludf.DUMMYFUNCTION("""COMPUTED_VALUE"""),45138.6354832175)</f>
        <v>45138.63548</v>
      </c>
      <c r="D576" s="15">
        <f>IFERROR(__xludf.DUMMYFUNCTION("""COMPUTED_VALUE"""),1.003)</f>
        <v>1.003</v>
      </c>
      <c r="E576" s="16">
        <f>IFERROR(__xludf.DUMMYFUNCTION("""COMPUTED_VALUE"""),74.0)</f>
        <v>74</v>
      </c>
      <c r="F576" s="19" t="str">
        <f>IFERROR(__xludf.DUMMYFUNCTION("""COMPUTED_VALUE"""),"BLACK")</f>
        <v>BLACK</v>
      </c>
      <c r="G576" s="20" t="str">
        <f>IFERROR(__xludf.DUMMYFUNCTION("""COMPUTED_VALUE"""),"Uncle Sams Cider (04/04/2023)")</f>
        <v>Uncle Sams Cider (04/04/2023)</v>
      </c>
      <c r="H576" s="19"/>
    </row>
    <row r="577">
      <c r="A577" s="9"/>
      <c r="B577" s="15"/>
      <c r="C577" s="9">
        <f>IFERROR(__xludf.DUMMYFUNCTION("""COMPUTED_VALUE"""),45138.6250618634)</f>
        <v>45138.62506</v>
      </c>
      <c r="D577" s="15">
        <f>IFERROR(__xludf.DUMMYFUNCTION("""COMPUTED_VALUE"""),1.003)</f>
        <v>1.003</v>
      </c>
      <c r="E577" s="16">
        <f>IFERROR(__xludf.DUMMYFUNCTION("""COMPUTED_VALUE"""),74.0)</f>
        <v>74</v>
      </c>
      <c r="F577" s="19" t="str">
        <f>IFERROR(__xludf.DUMMYFUNCTION("""COMPUTED_VALUE"""),"BLACK")</f>
        <v>BLACK</v>
      </c>
      <c r="G577" s="20" t="str">
        <f>IFERROR(__xludf.DUMMYFUNCTION("""COMPUTED_VALUE"""),"Uncle Sams Cider (04/04/2023)")</f>
        <v>Uncle Sams Cider (04/04/2023)</v>
      </c>
      <c r="H577" s="19"/>
    </row>
    <row r="578">
      <c r="A578" s="9"/>
      <c r="B578" s="15"/>
      <c r="C578" s="9">
        <f>IFERROR(__xludf.DUMMYFUNCTION("""COMPUTED_VALUE"""),45138.6146395486)</f>
        <v>45138.61464</v>
      </c>
      <c r="D578" s="15">
        <f>IFERROR(__xludf.DUMMYFUNCTION("""COMPUTED_VALUE"""),1.003)</f>
        <v>1.003</v>
      </c>
      <c r="E578" s="16">
        <f>IFERROR(__xludf.DUMMYFUNCTION("""COMPUTED_VALUE"""),74.0)</f>
        <v>74</v>
      </c>
      <c r="F578" s="19" t="str">
        <f>IFERROR(__xludf.DUMMYFUNCTION("""COMPUTED_VALUE"""),"BLACK")</f>
        <v>BLACK</v>
      </c>
      <c r="G578" s="20" t="str">
        <f>IFERROR(__xludf.DUMMYFUNCTION("""COMPUTED_VALUE"""),"Uncle Sams Cider (04/04/2023)")</f>
        <v>Uncle Sams Cider (04/04/2023)</v>
      </c>
      <c r="H578" s="19"/>
    </row>
    <row r="579">
      <c r="A579" s="9"/>
      <c r="B579" s="15"/>
      <c r="C579" s="9">
        <f>IFERROR(__xludf.DUMMYFUNCTION("""COMPUTED_VALUE"""),45138.6042192129)</f>
        <v>45138.60422</v>
      </c>
      <c r="D579" s="15">
        <f>IFERROR(__xludf.DUMMYFUNCTION("""COMPUTED_VALUE"""),1.003)</f>
        <v>1.003</v>
      </c>
      <c r="E579" s="16">
        <f>IFERROR(__xludf.DUMMYFUNCTION("""COMPUTED_VALUE"""),74.0)</f>
        <v>74</v>
      </c>
      <c r="F579" s="19" t="str">
        <f>IFERROR(__xludf.DUMMYFUNCTION("""COMPUTED_VALUE"""),"BLACK")</f>
        <v>BLACK</v>
      </c>
      <c r="G579" s="20" t="str">
        <f>IFERROR(__xludf.DUMMYFUNCTION("""COMPUTED_VALUE"""),"Uncle Sams Cider (04/04/2023)")</f>
        <v>Uncle Sams Cider (04/04/2023)</v>
      </c>
      <c r="H579" s="19"/>
    </row>
    <row r="580">
      <c r="A580" s="9"/>
      <c r="B580" s="15"/>
      <c r="C580" s="9">
        <f>IFERROR(__xludf.DUMMYFUNCTION("""COMPUTED_VALUE"""),45138.5937973032)</f>
        <v>45138.5938</v>
      </c>
      <c r="D580" s="15">
        <f>IFERROR(__xludf.DUMMYFUNCTION("""COMPUTED_VALUE"""),1.003)</f>
        <v>1.003</v>
      </c>
      <c r="E580" s="16">
        <f>IFERROR(__xludf.DUMMYFUNCTION("""COMPUTED_VALUE"""),74.0)</f>
        <v>74</v>
      </c>
      <c r="F580" s="19" t="str">
        <f>IFERROR(__xludf.DUMMYFUNCTION("""COMPUTED_VALUE"""),"BLACK")</f>
        <v>BLACK</v>
      </c>
      <c r="G580" s="20" t="str">
        <f>IFERROR(__xludf.DUMMYFUNCTION("""COMPUTED_VALUE"""),"Uncle Sams Cider (04/04/2023)")</f>
        <v>Uncle Sams Cider (04/04/2023)</v>
      </c>
      <c r="H580" s="19"/>
    </row>
    <row r="581">
      <c r="A581" s="9"/>
      <c r="B581" s="15"/>
      <c r="C581" s="9">
        <f>IFERROR(__xludf.DUMMYFUNCTION("""COMPUTED_VALUE"""),45138.5833758217)</f>
        <v>45138.58338</v>
      </c>
      <c r="D581" s="15">
        <f>IFERROR(__xludf.DUMMYFUNCTION("""COMPUTED_VALUE"""),1.003)</f>
        <v>1.003</v>
      </c>
      <c r="E581" s="16">
        <f>IFERROR(__xludf.DUMMYFUNCTION("""COMPUTED_VALUE"""),74.0)</f>
        <v>74</v>
      </c>
      <c r="F581" s="19" t="str">
        <f>IFERROR(__xludf.DUMMYFUNCTION("""COMPUTED_VALUE"""),"BLACK")</f>
        <v>BLACK</v>
      </c>
      <c r="G581" s="20" t="str">
        <f>IFERROR(__xludf.DUMMYFUNCTION("""COMPUTED_VALUE"""),"Uncle Sams Cider (04/04/2023)")</f>
        <v>Uncle Sams Cider (04/04/2023)</v>
      </c>
      <c r="H581" s="19"/>
    </row>
    <row r="582">
      <c r="A582" s="9"/>
      <c r="B582" s="15"/>
      <c r="C582" s="9">
        <f>IFERROR(__xludf.DUMMYFUNCTION("""COMPUTED_VALUE"""),45138.5729439699)</f>
        <v>45138.57294</v>
      </c>
      <c r="D582" s="15">
        <f>IFERROR(__xludf.DUMMYFUNCTION("""COMPUTED_VALUE"""),1.003)</f>
        <v>1.003</v>
      </c>
      <c r="E582" s="16">
        <f>IFERROR(__xludf.DUMMYFUNCTION("""COMPUTED_VALUE"""),74.0)</f>
        <v>74</v>
      </c>
      <c r="F582" s="19" t="str">
        <f>IFERROR(__xludf.DUMMYFUNCTION("""COMPUTED_VALUE"""),"BLACK")</f>
        <v>BLACK</v>
      </c>
      <c r="G582" s="20" t="str">
        <f>IFERROR(__xludf.DUMMYFUNCTION("""COMPUTED_VALUE"""),"Uncle Sams Cider (04/04/2023)")</f>
        <v>Uncle Sams Cider (04/04/2023)</v>
      </c>
      <c r="H582" s="19"/>
    </row>
    <row r="583">
      <c r="A583" s="9"/>
      <c r="B583" s="15"/>
      <c r="C583" s="9">
        <f>IFERROR(__xludf.DUMMYFUNCTION("""COMPUTED_VALUE"""),45138.5625244907)</f>
        <v>45138.56252</v>
      </c>
      <c r="D583" s="15">
        <f>IFERROR(__xludf.DUMMYFUNCTION("""COMPUTED_VALUE"""),1.003)</f>
        <v>1.003</v>
      </c>
      <c r="E583" s="16">
        <f>IFERROR(__xludf.DUMMYFUNCTION("""COMPUTED_VALUE"""),74.0)</f>
        <v>74</v>
      </c>
      <c r="F583" s="19" t="str">
        <f>IFERROR(__xludf.DUMMYFUNCTION("""COMPUTED_VALUE"""),"BLACK")</f>
        <v>BLACK</v>
      </c>
      <c r="G583" s="20" t="str">
        <f>IFERROR(__xludf.DUMMYFUNCTION("""COMPUTED_VALUE"""),"Uncle Sams Cider (04/04/2023)")</f>
        <v>Uncle Sams Cider (04/04/2023)</v>
      </c>
      <c r="H583" s="19"/>
    </row>
    <row r="584">
      <c r="A584" s="9"/>
      <c r="B584" s="15"/>
      <c r="C584" s="9">
        <f>IFERROR(__xludf.DUMMYFUNCTION("""COMPUTED_VALUE"""),45138.5521033217)</f>
        <v>45138.5521</v>
      </c>
      <c r="D584" s="15">
        <f>IFERROR(__xludf.DUMMYFUNCTION("""COMPUTED_VALUE"""),1.003)</f>
        <v>1.003</v>
      </c>
      <c r="E584" s="16">
        <f>IFERROR(__xludf.DUMMYFUNCTION("""COMPUTED_VALUE"""),74.0)</f>
        <v>74</v>
      </c>
      <c r="F584" s="19" t="str">
        <f>IFERROR(__xludf.DUMMYFUNCTION("""COMPUTED_VALUE"""),"BLACK")</f>
        <v>BLACK</v>
      </c>
      <c r="G584" s="20" t="str">
        <f>IFERROR(__xludf.DUMMYFUNCTION("""COMPUTED_VALUE"""),"Uncle Sams Cider (04/04/2023)")</f>
        <v>Uncle Sams Cider (04/04/2023)</v>
      </c>
      <c r="H584" s="19"/>
    </row>
    <row r="585">
      <c r="A585" s="9"/>
      <c r="B585" s="15"/>
      <c r="C585" s="9">
        <f>IFERROR(__xludf.DUMMYFUNCTION("""COMPUTED_VALUE"""),45138.541683125)</f>
        <v>45138.54168</v>
      </c>
      <c r="D585" s="15">
        <f>IFERROR(__xludf.DUMMYFUNCTION("""COMPUTED_VALUE"""),1.003)</f>
        <v>1.003</v>
      </c>
      <c r="E585" s="16">
        <f>IFERROR(__xludf.DUMMYFUNCTION("""COMPUTED_VALUE"""),74.0)</f>
        <v>74</v>
      </c>
      <c r="F585" s="19" t="str">
        <f>IFERROR(__xludf.DUMMYFUNCTION("""COMPUTED_VALUE"""),"BLACK")</f>
        <v>BLACK</v>
      </c>
      <c r="G585" s="20" t="str">
        <f>IFERROR(__xludf.DUMMYFUNCTION("""COMPUTED_VALUE"""),"Uncle Sams Cider (04/04/2023)")</f>
        <v>Uncle Sams Cider (04/04/2023)</v>
      </c>
      <c r="H585" s="19"/>
    </row>
    <row r="586">
      <c r="A586" s="9"/>
      <c r="B586" s="15"/>
      <c r="C586" s="9">
        <f>IFERROR(__xludf.DUMMYFUNCTION("""COMPUTED_VALUE"""),45138.5312615277)</f>
        <v>45138.53126</v>
      </c>
      <c r="D586" s="15">
        <f>IFERROR(__xludf.DUMMYFUNCTION("""COMPUTED_VALUE"""),1.003)</f>
        <v>1.003</v>
      </c>
      <c r="E586" s="16">
        <f>IFERROR(__xludf.DUMMYFUNCTION("""COMPUTED_VALUE"""),74.0)</f>
        <v>74</v>
      </c>
      <c r="F586" s="19" t="str">
        <f>IFERROR(__xludf.DUMMYFUNCTION("""COMPUTED_VALUE"""),"BLACK")</f>
        <v>BLACK</v>
      </c>
      <c r="G586" s="20" t="str">
        <f>IFERROR(__xludf.DUMMYFUNCTION("""COMPUTED_VALUE"""),"Uncle Sams Cider (04/04/2023)")</f>
        <v>Uncle Sams Cider (04/04/2023)</v>
      </c>
      <c r="H586" s="19"/>
    </row>
    <row r="587">
      <c r="A587" s="9"/>
      <c r="B587" s="15"/>
      <c r="C587" s="9">
        <f>IFERROR(__xludf.DUMMYFUNCTION("""COMPUTED_VALUE"""),45138.5208394097)</f>
        <v>45138.52084</v>
      </c>
      <c r="D587" s="15">
        <f>IFERROR(__xludf.DUMMYFUNCTION("""COMPUTED_VALUE"""),1.003)</f>
        <v>1.003</v>
      </c>
      <c r="E587" s="16">
        <f>IFERROR(__xludf.DUMMYFUNCTION("""COMPUTED_VALUE"""),74.0)</f>
        <v>74</v>
      </c>
      <c r="F587" s="19" t="str">
        <f>IFERROR(__xludf.DUMMYFUNCTION("""COMPUTED_VALUE"""),"BLACK")</f>
        <v>BLACK</v>
      </c>
      <c r="G587" s="20" t="str">
        <f>IFERROR(__xludf.DUMMYFUNCTION("""COMPUTED_VALUE"""),"Uncle Sams Cider (04/04/2023)")</f>
        <v>Uncle Sams Cider (04/04/2023)</v>
      </c>
      <c r="H587" s="19"/>
    </row>
    <row r="588">
      <c r="A588" s="9"/>
      <c r="B588" s="15"/>
      <c r="C588" s="9">
        <f>IFERROR(__xludf.DUMMYFUNCTION("""COMPUTED_VALUE"""),45138.5104170023)</f>
        <v>45138.51042</v>
      </c>
      <c r="D588" s="15">
        <f>IFERROR(__xludf.DUMMYFUNCTION("""COMPUTED_VALUE"""),1.003)</f>
        <v>1.003</v>
      </c>
      <c r="E588" s="16">
        <f>IFERROR(__xludf.DUMMYFUNCTION("""COMPUTED_VALUE"""),74.0)</f>
        <v>74</v>
      </c>
      <c r="F588" s="19" t="str">
        <f>IFERROR(__xludf.DUMMYFUNCTION("""COMPUTED_VALUE"""),"BLACK")</f>
        <v>BLACK</v>
      </c>
      <c r="G588" s="20" t="str">
        <f>IFERROR(__xludf.DUMMYFUNCTION("""COMPUTED_VALUE"""),"Uncle Sams Cider (04/04/2023)")</f>
        <v>Uncle Sams Cider (04/04/2023)</v>
      </c>
      <c r="H588" s="19"/>
    </row>
    <row r="589">
      <c r="A589" s="9"/>
      <c r="B589" s="15"/>
      <c r="C589" s="9">
        <f>IFERROR(__xludf.DUMMYFUNCTION("""COMPUTED_VALUE"""),45138.4999974537)</f>
        <v>45138.5</v>
      </c>
      <c r="D589" s="15">
        <f>IFERROR(__xludf.DUMMYFUNCTION("""COMPUTED_VALUE"""),1.003)</f>
        <v>1.003</v>
      </c>
      <c r="E589" s="16">
        <f>IFERROR(__xludf.DUMMYFUNCTION("""COMPUTED_VALUE"""),74.0)</f>
        <v>74</v>
      </c>
      <c r="F589" s="19" t="str">
        <f>IFERROR(__xludf.DUMMYFUNCTION("""COMPUTED_VALUE"""),"BLACK")</f>
        <v>BLACK</v>
      </c>
      <c r="G589" s="20" t="str">
        <f>IFERROR(__xludf.DUMMYFUNCTION("""COMPUTED_VALUE"""),"Uncle Sams Cider (04/04/2023)")</f>
        <v>Uncle Sams Cider (04/04/2023)</v>
      </c>
      <c r="H589" s="19"/>
    </row>
    <row r="590">
      <c r="A590" s="9"/>
      <c r="B590" s="15"/>
      <c r="C590" s="9">
        <f>IFERROR(__xludf.DUMMYFUNCTION("""COMPUTED_VALUE"""),45138.4895762384)</f>
        <v>45138.48958</v>
      </c>
      <c r="D590" s="15">
        <f>IFERROR(__xludf.DUMMYFUNCTION("""COMPUTED_VALUE"""),1.003)</f>
        <v>1.003</v>
      </c>
      <c r="E590" s="16">
        <f>IFERROR(__xludf.DUMMYFUNCTION("""COMPUTED_VALUE"""),74.0)</f>
        <v>74</v>
      </c>
      <c r="F590" s="19" t="str">
        <f>IFERROR(__xludf.DUMMYFUNCTION("""COMPUTED_VALUE"""),"BLACK")</f>
        <v>BLACK</v>
      </c>
      <c r="G590" s="20" t="str">
        <f>IFERROR(__xludf.DUMMYFUNCTION("""COMPUTED_VALUE"""),"Uncle Sams Cider (04/04/2023)")</f>
        <v>Uncle Sams Cider (04/04/2023)</v>
      </c>
      <c r="H590" s="19"/>
    </row>
    <row r="591">
      <c r="A591" s="9"/>
      <c r="B591" s="15"/>
      <c r="C591" s="9">
        <f>IFERROR(__xludf.DUMMYFUNCTION("""COMPUTED_VALUE"""),45138.4791552083)</f>
        <v>45138.47916</v>
      </c>
      <c r="D591" s="15">
        <f>IFERROR(__xludf.DUMMYFUNCTION("""COMPUTED_VALUE"""),1.003)</f>
        <v>1.003</v>
      </c>
      <c r="E591" s="16">
        <f>IFERROR(__xludf.DUMMYFUNCTION("""COMPUTED_VALUE"""),74.0)</f>
        <v>74</v>
      </c>
      <c r="F591" s="19" t="str">
        <f>IFERROR(__xludf.DUMMYFUNCTION("""COMPUTED_VALUE"""),"BLACK")</f>
        <v>BLACK</v>
      </c>
      <c r="G591" s="20" t="str">
        <f>IFERROR(__xludf.DUMMYFUNCTION("""COMPUTED_VALUE"""),"Uncle Sams Cider (04/04/2023)")</f>
        <v>Uncle Sams Cider (04/04/2023)</v>
      </c>
      <c r="H591" s="19"/>
    </row>
    <row r="592">
      <c r="A592" s="9"/>
      <c r="B592" s="15"/>
      <c r="C592" s="9">
        <f>IFERROR(__xludf.DUMMYFUNCTION("""COMPUTED_VALUE"""),45138.4687337731)</f>
        <v>45138.46873</v>
      </c>
      <c r="D592" s="15">
        <f>IFERROR(__xludf.DUMMYFUNCTION("""COMPUTED_VALUE"""),1.003)</f>
        <v>1.003</v>
      </c>
      <c r="E592" s="16">
        <f>IFERROR(__xludf.DUMMYFUNCTION("""COMPUTED_VALUE"""),74.0)</f>
        <v>74</v>
      </c>
      <c r="F592" s="19" t="str">
        <f>IFERROR(__xludf.DUMMYFUNCTION("""COMPUTED_VALUE"""),"BLACK")</f>
        <v>BLACK</v>
      </c>
      <c r="G592" s="20" t="str">
        <f>IFERROR(__xludf.DUMMYFUNCTION("""COMPUTED_VALUE"""),"Uncle Sams Cider (04/04/2023)")</f>
        <v>Uncle Sams Cider (04/04/2023)</v>
      </c>
      <c r="H592" s="19"/>
    </row>
    <row r="593">
      <c r="A593" s="9"/>
      <c r="B593" s="15"/>
      <c r="C593" s="9">
        <f>IFERROR(__xludf.DUMMYFUNCTION("""COMPUTED_VALUE"""),45138.4583113773)</f>
        <v>45138.45831</v>
      </c>
      <c r="D593" s="15">
        <f>IFERROR(__xludf.DUMMYFUNCTION("""COMPUTED_VALUE"""),1.003)</f>
        <v>1.003</v>
      </c>
      <c r="E593" s="16">
        <f>IFERROR(__xludf.DUMMYFUNCTION("""COMPUTED_VALUE"""),74.0)</f>
        <v>74</v>
      </c>
      <c r="F593" s="19" t="str">
        <f>IFERROR(__xludf.DUMMYFUNCTION("""COMPUTED_VALUE"""),"BLACK")</f>
        <v>BLACK</v>
      </c>
      <c r="G593" s="20" t="str">
        <f>IFERROR(__xludf.DUMMYFUNCTION("""COMPUTED_VALUE"""),"Uncle Sams Cider (04/04/2023)")</f>
        <v>Uncle Sams Cider (04/04/2023)</v>
      </c>
      <c r="H593" s="19"/>
    </row>
    <row r="594">
      <c r="A594" s="9"/>
      <c r="B594" s="15"/>
      <c r="C594" s="9">
        <f>IFERROR(__xludf.DUMMYFUNCTION("""COMPUTED_VALUE"""),45138.447889456)</f>
        <v>45138.44789</v>
      </c>
      <c r="D594" s="15">
        <f>IFERROR(__xludf.DUMMYFUNCTION("""COMPUTED_VALUE"""),1.003)</f>
        <v>1.003</v>
      </c>
      <c r="E594" s="16">
        <f>IFERROR(__xludf.DUMMYFUNCTION("""COMPUTED_VALUE"""),74.0)</f>
        <v>74</v>
      </c>
      <c r="F594" s="19" t="str">
        <f>IFERROR(__xludf.DUMMYFUNCTION("""COMPUTED_VALUE"""),"BLACK")</f>
        <v>BLACK</v>
      </c>
      <c r="G594" s="20" t="str">
        <f>IFERROR(__xludf.DUMMYFUNCTION("""COMPUTED_VALUE"""),"Uncle Sams Cider (04/04/2023)")</f>
        <v>Uncle Sams Cider (04/04/2023)</v>
      </c>
      <c r="H594" s="19"/>
    </row>
    <row r="595">
      <c r="A595" s="9"/>
      <c r="B595" s="15"/>
      <c r="C595" s="9">
        <f>IFERROR(__xludf.DUMMYFUNCTION("""COMPUTED_VALUE"""),45138.4374695023)</f>
        <v>45138.43747</v>
      </c>
      <c r="D595" s="15">
        <f>IFERROR(__xludf.DUMMYFUNCTION("""COMPUTED_VALUE"""),1.003)</f>
        <v>1.003</v>
      </c>
      <c r="E595" s="16">
        <f>IFERROR(__xludf.DUMMYFUNCTION("""COMPUTED_VALUE"""),74.0)</f>
        <v>74</v>
      </c>
      <c r="F595" s="19" t="str">
        <f>IFERROR(__xludf.DUMMYFUNCTION("""COMPUTED_VALUE"""),"BLACK")</f>
        <v>BLACK</v>
      </c>
      <c r="G595" s="20" t="str">
        <f>IFERROR(__xludf.DUMMYFUNCTION("""COMPUTED_VALUE"""),"Uncle Sams Cider (04/04/2023)")</f>
        <v>Uncle Sams Cider (04/04/2023)</v>
      </c>
      <c r="H595" s="19"/>
    </row>
    <row r="596">
      <c r="A596" s="9"/>
      <c r="B596" s="15"/>
      <c r="C596" s="9">
        <f>IFERROR(__xludf.DUMMYFUNCTION("""COMPUTED_VALUE"""),45138.4270368402)</f>
        <v>45138.42704</v>
      </c>
      <c r="D596" s="15">
        <f>IFERROR(__xludf.DUMMYFUNCTION("""COMPUTED_VALUE"""),1.003)</f>
        <v>1.003</v>
      </c>
      <c r="E596" s="16">
        <f>IFERROR(__xludf.DUMMYFUNCTION("""COMPUTED_VALUE"""),74.0)</f>
        <v>74</v>
      </c>
      <c r="F596" s="19" t="str">
        <f>IFERROR(__xludf.DUMMYFUNCTION("""COMPUTED_VALUE"""),"BLACK")</f>
        <v>BLACK</v>
      </c>
      <c r="G596" s="20" t="str">
        <f>IFERROR(__xludf.DUMMYFUNCTION("""COMPUTED_VALUE"""),"Uncle Sams Cider (04/04/2023)")</f>
        <v>Uncle Sams Cider (04/04/2023)</v>
      </c>
      <c r="H596" s="19"/>
    </row>
    <row r="597">
      <c r="A597" s="9"/>
      <c r="B597" s="15"/>
      <c r="C597" s="9">
        <f>IFERROR(__xludf.DUMMYFUNCTION("""COMPUTED_VALUE"""),45138.4166167824)</f>
        <v>45138.41662</v>
      </c>
      <c r="D597" s="15">
        <f>IFERROR(__xludf.DUMMYFUNCTION("""COMPUTED_VALUE"""),1.003)</f>
        <v>1.003</v>
      </c>
      <c r="E597" s="16">
        <f>IFERROR(__xludf.DUMMYFUNCTION("""COMPUTED_VALUE"""),74.0)</f>
        <v>74</v>
      </c>
      <c r="F597" s="19" t="str">
        <f>IFERROR(__xludf.DUMMYFUNCTION("""COMPUTED_VALUE"""),"BLACK")</f>
        <v>BLACK</v>
      </c>
      <c r="G597" s="20" t="str">
        <f>IFERROR(__xludf.DUMMYFUNCTION("""COMPUTED_VALUE"""),"Uncle Sams Cider (04/04/2023)")</f>
        <v>Uncle Sams Cider (04/04/2023)</v>
      </c>
      <c r="H597" s="19"/>
    </row>
    <row r="598">
      <c r="A598" s="9"/>
      <c r="B598" s="15"/>
      <c r="C598" s="9">
        <f>IFERROR(__xludf.DUMMYFUNCTION("""COMPUTED_VALUE"""),45138.4061954745)</f>
        <v>45138.4062</v>
      </c>
      <c r="D598" s="15">
        <f>IFERROR(__xludf.DUMMYFUNCTION("""COMPUTED_VALUE"""),1.003)</f>
        <v>1.003</v>
      </c>
      <c r="E598" s="16">
        <f>IFERROR(__xludf.DUMMYFUNCTION("""COMPUTED_VALUE"""),74.0)</f>
        <v>74</v>
      </c>
      <c r="F598" s="19" t="str">
        <f>IFERROR(__xludf.DUMMYFUNCTION("""COMPUTED_VALUE"""),"BLACK")</f>
        <v>BLACK</v>
      </c>
      <c r="G598" s="20" t="str">
        <f>IFERROR(__xludf.DUMMYFUNCTION("""COMPUTED_VALUE"""),"Uncle Sams Cider (04/04/2023)")</f>
        <v>Uncle Sams Cider (04/04/2023)</v>
      </c>
      <c r="H598" s="19"/>
    </row>
    <row r="599">
      <c r="A599" s="9"/>
      <c r="B599" s="15"/>
      <c r="C599" s="9">
        <f>IFERROR(__xludf.DUMMYFUNCTION("""COMPUTED_VALUE"""),45138.395761875)</f>
        <v>45138.39576</v>
      </c>
      <c r="D599" s="15">
        <f>IFERROR(__xludf.DUMMYFUNCTION("""COMPUTED_VALUE"""),1.003)</f>
        <v>1.003</v>
      </c>
      <c r="E599" s="16">
        <f>IFERROR(__xludf.DUMMYFUNCTION("""COMPUTED_VALUE"""),74.0)</f>
        <v>74</v>
      </c>
      <c r="F599" s="19" t="str">
        <f>IFERROR(__xludf.DUMMYFUNCTION("""COMPUTED_VALUE"""),"BLACK")</f>
        <v>BLACK</v>
      </c>
      <c r="G599" s="20" t="str">
        <f>IFERROR(__xludf.DUMMYFUNCTION("""COMPUTED_VALUE"""),"Uncle Sams Cider (04/04/2023)")</f>
        <v>Uncle Sams Cider (04/04/2023)</v>
      </c>
      <c r="H599" s="19"/>
    </row>
    <row r="600">
      <c r="A600" s="9"/>
      <c r="B600" s="15"/>
      <c r="C600" s="9">
        <f>IFERROR(__xludf.DUMMYFUNCTION("""COMPUTED_VALUE"""),45138.3853401504)</f>
        <v>45138.38534</v>
      </c>
      <c r="D600" s="15">
        <f>IFERROR(__xludf.DUMMYFUNCTION("""COMPUTED_VALUE"""),1.003)</f>
        <v>1.003</v>
      </c>
      <c r="E600" s="16">
        <f>IFERROR(__xludf.DUMMYFUNCTION("""COMPUTED_VALUE"""),74.0)</f>
        <v>74</v>
      </c>
      <c r="F600" s="19" t="str">
        <f>IFERROR(__xludf.DUMMYFUNCTION("""COMPUTED_VALUE"""),"BLACK")</f>
        <v>BLACK</v>
      </c>
      <c r="G600" s="20" t="str">
        <f>IFERROR(__xludf.DUMMYFUNCTION("""COMPUTED_VALUE"""),"Uncle Sams Cider (04/04/2023)")</f>
        <v>Uncle Sams Cider (04/04/2023)</v>
      </c>
      <c r="H600" s="19"/>
    </row>
    <row r="601">
      <c r="A601" s="9"/>
      <c r="B601" s="15"/>
      <c r="C601" s="9">
        <f>IFERROR(__xludf.DUMMYFUNCTION("""COMPUTED_VALUE"""),45138.3749185995)</f>
        <v>45138.37492</v>
      </c>
      <c r="D601" s="15">
        <f>IFERROR(__xludf.DUMMYFUNCTION("""COMPUTED_VALUE"""),1.003)</f>
        <v>1.003</v>
      </c>
      <c r="E601" s="16">
        <f>IFERROR(__xludf.DUMMYFUNCTION("""COMPUTED_VALUE"""),74.0)</f>
        <v>74</v>
      </c>
      <c r="F601" s="19" t="str">
        <f>IFERROR(__xludf.DUMMYFUNCTION("""COMPUTED_VALUE"""),"BLACK")</f>
        <v>BLACK</v>
      </c>
      <c r="G601" s="20" t="str">
        <f>IFERROR(__xludf.DUMMYFUNCTION("""COMPUTED_VALUE"""),"Uncle Sams Cider (04/04/2023)")</f>
        <v>Uncle Sams Cider (04/04/2023)</v>
      </c>
      <c r="H601" s="19"/>
    </row>
    <row r="602">
      <c r="A602" s="9"/>
      <c r="B602" s="15"/>
      <c r="C602" s="9">
        <f>IFERROR(__xludf.DUMMYFUNCTION("""COMPUTED_VALUE"""),45138.3644973726)</f>
        <v>45138.3645</v>
      </c>
      <c r="D602" s="15">
        <f>IFERROR(__xludf.DUMMYFUNCTION("""COMPUTED_VALUE"""),1.003)</f>
        <v>1.003</v>
      </c>
      <c r="E602" s="16">
        <f>IFERROR(__xludf.DUMMYFUNCTION("""COMPUTED_VALUE"""),74.0)</f>
        <v>74</v>
      </c>
      <c r="F602" s="19" t="str">
        <f>IFERROR(__xludf.DUMMYFUNCTION("""COMPUTED_VALUE"""),"BLACK")</f>
        <v>BLACK</v>
      </c>
      <c r="G602" s="20" t="str">
        <f>IFERROR(__xludf.DUMMYFUNCTION("""COMPUTED_VALUE"""),"Uncle Sams Cider (04/04/2023)")</f>
        <v>Uncle Sams Cider (04/04/2023)</v>
      </c>
      <c r="H602" s="19"/>
    </row>
    <row r="603">
      <c r="A603" s="9"/>
      <c r="B603" s="15"/>
      <c r="C603" s="9">
        <f>IFERROR(__xludf.DUMMYFUNCTION("""COMPUTED_VALUE"""),45138.3540764236)</f>
        <v>45138.35408</v>
      </c>
      <c r="D603" s="15">
        <f>IFERROR(__xludf.DUMMYFUNCTION("""COMPUTED_VALUE"""),1.003)</f>
        <v>1.003</v>
      </c>
      <c r="E603" s="16">
        <f>IFERROR(__xludf.DUMMYFUNCTION("""COMPUTED_VALUE"""),74.0)</f>
        <v>74</v>
      </c>
      <c r="F603" s="19" t="str">
        <f>IFERROR(__xludf.DUMMYFUNCTION("""COMPUTED_VALUE"""),"BLACK")</f>
        <v>BLACK</v>
      </c>
      <c r="G603" s="20" t="str">
        <f>IFERROR(__xludf.DUMMYFUNCTION("""COMPUTED_VALUE"""),"Uncle Sams Cider (04/04/2023)")</f>
        <v>Uncle Sams Cider (04/04/2023)</v>
      </c>
      <c r="H603" s="19"/>
    </row>
    <row r="604">
      <c r="A604" s="9"/>
      <c r="B604" s="15"/>
      <c r="C604" s="9">
        <f>IFERROR(__xludf.DUMMYFUNCTION("""COMPUTED_VALUE"""),45138.3436548032)</f>
        <v>45138.34365</v>
      </c>
      <c r="D604" s="15">
        <f>IFERROR(__xludf.DUMMYFUNCTION("""COMPUTED_VALUE"""),1.003)</f>
        <v>1.003</v>
      </c>
      <c r="E604" s="16">
        <f>IFERROR(__xludf.DUMMYFUNCTION("""COMPUTED_VALUE"""),74.0)</f>
        <v>74</v>
      </c>
      <c r="F604" s="19" t="str">
        <f>IFERROR(__xludf.DUMMYFUNCTION("""COMPUTED_VALUE"""),"BLACK")</f>
        <v>BLACK</v>
      </c>
      <c r="G604" s="20" t="str">
        <f>IFERROR(__xludf.DUMMYFUNCTION("""COMPUTED_VALUE"""),"Uncle Sams Cider (04/04/2023)")</f>
        <v>Uncle Sams Cider (04/04/2023)</v>
      </c>
      <c r="H604" s="19"/>
    </row>
    <row r="605">
      <c r="A605" s="9"/>
      <c r="B605" s="15"/>
      <c r="C605" s="9">
        <f>IFERROR(__xludf.DUMMYFUNCTION("""COMPUTED_VALUE"""),45138.3332347801)</f>
        <v>45138.33323</v>
      </c>
      <c r="D605" s="15">
        <f>IFERROR(__xludf.DUMMYFUNCTION("""COMPUTED_VALUE"""),1.003)</f>
        <v>1.003</v>
      </c>
      <c r="E605" s="16">
        <f>IFERROR(__xludf.DUMMYFUNCTION("""COMPUTED_VALUE"""),74.0)</f>
        <v>74</v>
      </c>
      <c r="F605" s="19" t="str">
        <f>IFERROR(__xludf.DUMMYFUNCTION("""COMPUTED_VALUE"""),"BLACK")</f>
        <v>BLACK</v>
      </c>
      <c r="G605" s="20" t="str">
        <f>IFERROR(__xludf.DUMMYFUNCTION("""COMPUTED_VALUE"""),"Uncle Sams Cider (04/04/2023)")</f>
        <v>Uncle Sams Cider (04/04/2023)</v>
      </c>
      <c r="H605" s="19"/>
    </row>
    <row r="606">
      <c r="A606" s="9"/>
      <c r="B606" s="15"/>
      <c r="C606" s="9">
        <f>IFERROR(__xludf.DUMMYFUNCTION("""COMPUTED_VALUE"""),45138.3228017592)</f>
        <v>45138.3228</v>
      </c>
      <c r="D606" s="15">
        <f>IFERROR(__xludf.DUMMYFUNCTION("""COMPUTED_VALUE"""),1.003)</f>
        <v>1.003</v>
      </c>
      <c r="E606" s="16">
        <f>IFERROR(__xludf.DUMMYFUNCTION("""COMPUTED_VALUE"""),74.0)</f>
        <v>74</v>
      </c>
      <c r="F606" s="19" t="str">
        <f>IFERROR(__xludf.DUMMYFUNCTION("""COMPUTED_VALUE"""),"BLACK")</f>
        <v>BLACK</v>
      </c>
      <c r="G606" s="20" t="str">
        <f>IFERROR(__xludf.DUMMYFUNCTION("""COMPUTED_VALUE"""),"Uncle Sams Cider (04/04/2023)")</f>
        <v>Uncle Sams Cider (04/04/2023)</v>
      </c>
      <c r="H606" s="19"/>
    </row>
    <row r="607">
      <c r="A607" s="9"/>
      <c r="B607" s="15"/>
      <c r="C607" s="9">
        <f>IFERROR(__xludf.DUMMYFUNCTION("""COMPUTED_VALUE"""),45138.3123808101)</f>
        <v>45138.31238</v>
      </c>
      <c r="D607" s="15">
        <f>IFERROR(__xludf.DUMMYFUNCTION("""COMPUTED_VALUE"""),1.003)</f>
        <v>1.003</v>
      </c>
      <c r="E607" s="16">
        <f>IFERROR(__xludf.DUMMYFUNCTION("""COMPUTED_VALUE"""),74.0)</f>
        <v>74</v>
      </c>
      <c r="F607" s="19" t="str">
        <f>IFERROR(__xludf.DUMMYFUNCTION("""COMPUTED_VALUE"""),"BLACK")</f>
        <v>BLACK</v>
      </c>
      <c r="G607" s="20" t="str">
        <f>IFERROR(__xludf.DUMMYFUNCTION("""COMPUTED_VALUE"""),"Uncle Sams Cider (04/04/2023)")</f>
        <v>Uncle Sams Cider (04/04/2023)</v>
      </c>
      <c r="H607" s="19"/>
    </row>
    <row r="608">
      <c r="A608" s="9"/>
      <c r="B608" s="15"/>
      <c r="C608" s="9">
        <f>IFERROR(__xludf.DUMMYFUNCTION("""COMPUTED_VALUE"""),45138.3019588657)</f>
        <v>45138.30196</v>
      </c>
      <c r="D608" s="15">
        <f>IFERROR(__xludf.DUMMYFUNCTION("""COMPUTED_VALUE"""),1.003)</f>
        <v>1.003</v>
      </c>
      <c r="E608" s="16">
        <f>IFERROR(__xludf.DUMMYFUNCTION("""COMPUTED_VALUE"""),74.0)</f>
        <v>74</v>
      </c>
      <c r="F608" s="19" t="str">
        <f>IFERROR(__xludf.DUMMYFUNCTION("""COMPUTED_VALUE"""),"BLACK")</f>
        <v>BLACK</v>
      </c>
      <c r="G608" s="20" t="str">
        <f>IFERROR(__xludf.DUMMYFUNCTION("""COMPUTED_VALUE"""),"Uncle Sams Cider (04/04/2023)")</f>
        <v>Uncle Sams Cider (04/04/2023)</v>
      </c>
      <c r="H608" s="19"/>
    </row>
    <row r="609">
      <c r="A609" s="9"/>
      <c r="B609" s="15"/>
      <c r="C609" s="9">
        <f>IFERROR(__xludf.DUMMYFUNCTION("""COMPUTED_VALUE"""),45138.2915391551)</f>
        <v>45138.29154</v>
      </c>
      <c r="D609" s="15">
        <f>IFERROR(__xludf.DUMMYFUNCTION("""COMPUTED_VALUE"""),1.003)</f>
        <v>1.003</v>
      </c>
      <c r="E609" s="16">
        <f>IFERROR(__xludf.DUMMYFUNCTION("""COMPUTED_VALUE"""),74.0)</f>
        <v>74</v>
      </c>
      <c r="F609" s="19" t="str">
        <f>IFERROR(__xludf.DUMMYFUNCTION("""COMPUTED_VALUE"""),"BLACK")</f>
        <v>BLACK</v>
      </c>
      <c r="G609" s="20" t="str">
        <f>IFERROR(__xludf.DUMMYFUNCTION("""COMPUTED_VALUE"""),"Uncle Sams Cider (04/04/2023)")</f>
        <v>Uncle Sams Cider (04/04/2023)</v>
      </c>
      <c r="H609" s="19"/>
    </row>
    <row r="610">
      <c r="A610" s="9"/>
      <c r="B610" s="15"/>
      <c r="C610" s="9">
        <f>IFERROR(__xludf.DUMMYFUNCTION("""COMPUTED_VALUE"""),45138.2811047222)</f>
        <v>45138.2811</v>
      </c>
      <c r="D610" s="15">
        <f>IFERROR(__xludf.DUMMYFUNCTION("""COMPUTED_VALUE"""),1.003)</f>
        <v>1.003</v>
      </c>
      <c r="E610" s="16">
        <f>IFERROR(__xludf.DUMMYFUNCTION("""COMPUTED_VALUE"""),74.0)</f>
        <v>74</v>
      </c>
      <c r="F610" s="19" t="str">
        <f>IFERROR(__xludf.DUMMYFUNCTION("""COMPUTED_VALUE"""),"BLACK")</f>
        <v>BLACK</v>
      </c>
      <c r="G610" s="20" t="str">
        <f>IFERROR(__xludf.DUMMYFUNCTION("""COMPUTED_VALUE"""),"Uncle Sams Cider (04/04/2023)")</f>
        <v>Uncle Sams Cider (04/04/2023)</v>
      </c>
      <c r="H610" s="19"/>
    </row>
    <row r="611">
      <c r="A611" s="9"/>
      <c r="B611" s="15"/>
      <c r="C611" s="9">
        <f>IFERROR(__xludf.DUMMYFUNCTION("""COMPUTED_VALUE"""),45138.2706816087)</f>
        <v>45138.27068</v>
      </c>
      <c r="D611" s="15">
        <f>IFERROR(__xludf.DUMMYFUNCTION("""COMPUTED_VALUE"""),1.003)</f>
        <v>1.003</v>
      </c>
      <c r="E611" s="16">
        <f>IFERROR(__xludf.DUMMYFUNCTION("""COMPUTED_VALUE"""),74.0)</f>
        <v>74</v>
      </c>
      <c r="F611" s="19" t="str">
        <f>IFERROR(__xludf.DUMMYFUNCTION("""COMPUTED_VALUE"""),"BLACK")</f>
        <v>BLACK</v>
      </c>
      <c r="G611" s="20" t="str">
        <f>IFERROR(__xludf.DUMMYFUNCTION("""COMPUTED_VALUE"""),"Uncle Sams Cider (04/04/2023)")</f>
        <v>Uncle Sams Cider (04/04/2023)</v>
      </c>
      <c r="H611" s="19"/>
    </row>
    <row r="612">
      <c r="A612" s="9"/>
      <c r="B612" s="15"/>
      <c r="C612" s="9">
        <f>IFERROR(__xludf.DUMMYFUNCTION("""COMPUTED_VALUE"""),45138.2602612268)</f>
        <v>45138.26026</v>
      </c>
      <c r="D612" s="15">
        <f>IFERROR(__xludf.DUMMYFUNCTION("""COMPUTED_VALUE"""),1.003)</f>
        <v>1.003</v>
      </c>
      <c r="E612" s="16">
        <f>IFERROR(__xludf.DUMMYFUNCTION("""COMPUTED_VALUE"""),74.0)</f>
        <v>74</v>
      </c>
      <c r="F612" s="19" t="str">
        <f>IFERROR(__xludf.DUMMYFUNCTION("""COMPUTED_VALUE"""),"BLACK")</f>
        <v>BLACK</v>
      </c>
      <c r="G612" s="20" t="str">
        <f>IFERROR(__xludf.DUMMYFUNCTION("""COMPUTED_VALUE"""),"Uncle Sams Cider (04/04/2023)")</f>
        <v>Uncle Sams Cider (04/04/2023)</v>
      </c>
      <c r="H612" s="19"/>
    </row>
    <row r="613">
      <c r="A613" s="9"/>
      <c r="B613" s="15"/>
      <c r="C613" s="9">
        <f>IFERROR(__xludf.DUMMYFUNCTION("""COMPUTED_VALUE"""),45138.2498404282)</f>
        <v>45138.24984</v>
      </c>
      <c r="D613" s="15">
        <f>IFERROR(__xludf.DUMMYFUNCTION("""COMPUTED_VALUE"""),1.003)</f>
        <v>1.003</v>
      </c>
      <c r="E613" s="16">
        <f>IFERROR(__xludf.DUMMYFUNCTION("""COMPUTED_VALUE"""),74.0)</f>
        <v>74</v>
      </c>
      <c r="F613" s="19" t="str">
        <f>IFERROR(__xludf.DUMMYFUNCTION("""COMPUTED_VALUE"""),"BLACK")</f>
        <v>BLACK</v>
      </c>
      <c r="G613" s="20" t="str">
        <f>IFERROR(__xludf.DUMMYFUNCTION("""COMPUTED_VALUE"""),"Uncle Sams Cider (04/04/2023)")</f>
        <v>Uncle Sams Cider (04/04/2023)</v>
      </c>
      <c r="H613" s="19"/>
    </row>
    <row r="614">
      <c r="A614" s="9"/>
      <c r="B614" s="15"/>
      <c r="C614" s="9">
        <f>IFERROR(__xludf.DUMMYFUNCTION("""COMPUTED_VALUE"""),45138.2394209259)</f>
        <v>45138.23942</v>
      </c>
      <c r="D614" s="15">
        <f>IFERROR(__xludf.DUMMYFUNCTION("""COMPUTED_VALUE"""),1.003)</f>
        <v>1.003</v>
      </c>
      <c r="E614" s="16">
        <f>IFERROR(__xludf.DUMMYFUNCTION("""COMPUTED_VALUE"""),74.0)</f>
        <v>74</v>
      </c>
      <c r="F614" s="19" t="str">
        <f>IFERROR(__xludf.DUMMYFUNCTION("""COMPUTED_VALUE"""),"BLACK")</f>
        <v>BLACK</v>
      </c>
      <c r="G614" s="20" t="str">
        <f>IFERROR(__xludf.DUMMYFUNCTION("""COMPUTED_VALUE"""),"Uncle Sams Cider (04/04/2023)")</f>
        <v>Uncle Sams Cider (04/04/2023)</v>
      </c>
      <c r="H614" s="19"/>
    </row>
    <row r="615">
      <c r="A615" s="9"/>
      <c r="B615" s="15"/>
      <c r="C615" s="9">
        <f>IFERROR(__xludf.DUMMYFUNCTION("""COMPUTED_VALUE"""),45138.2289975)</f>
        <v>45138.229</v>
      </c>
      <c r="D615" s="15">
        <f>IFERROR(__xludf.DUMMYFUNCTION("""COMPUTED_VALUE"""),1.003)</f>
        <v>1.003</v>
      </c>
      <c r="E615" s="16">
        <f>IFERROR(__xludf.DUMMYFUNCTION("""COMPUTED_VALUE"""),74.0)</f>
        <v>74</v>
      </c>
      <c r="F615" s="19" t="str">
        <f>IFERROR(__xludf.DUMMYFUNCTION("""COMPUTED_VALUE"""),"BLACK")</f>
        <v>BLACK</v>
      </c>
      <c r="G615" s="20" t="str">
        <f>IFERROR(__xludf.DUMMYFUNCTION("""COMPUTED_VALUE"""),"Uncle Sams Cider (04/04/2023)")</f>
        <v>Uncle Sams Cider (04/04/2023)</v>
      </c>
      <c r="H615" s="19"/>
    </row>
    <row r="616">
      <c r="A616" s="9"/>
      <c r="B616" s="15"/>
      <c r="C616" s="9">
        <f>IFERROR(__xludf.DUMMYFUNCTION("""COMPUTED_VALUE"""),45138.2185756018)</f>
        <v>45138.21858</v>
      </c>
      <c r="D616" s="15">
        <f>IFERROR(__xludf.DUMMYFUNCTION("""COMPUTED_VALUE"""),1.003)</f>
        <v>1.003</v>
      </c>
      <c r="E616" s="16">
        <f>IFERROR(__xludf.DUMMYFUNCTION("""COMPUTED_VALUE"""),74.0)</f>
        <v>74</v>
      </c>
      <c r="F616" s="19" t="str">
        <f>IFERROR(__xludf.DUMMYFUNCTION("""COMPUTED_VALUE"""),"BLACK")</f>
        <v>BLACK</v>
      </c>
      <c r="G616" s="20" t="str">
        <f>IFERROR(__xludf.DUMMYFUNCTION("""COMPUTED_VALUE"""),"Uncle Sams Cider (04/04/2023)")</f>
        <v>Uncle Sams Cider (04/04/2023)</v>
      </c>
      <c r="H616" s="19"/>
    </row>
    <row r="617">
      <c r="A617" s="9"/>
      <c r="B617" s="15"/>
      <c r="C617" s="9">
        <f>IFERROR(__xludf.DUMMYFUNCTION("""COMPUTED_VALUE"""),45138.2081546412)</f>
        <v>45138.20815</v>
      </c>
      <c r="D617" s="15">
        <f>IFERROR(__xludf.DUMMYFUNCTION("""COMPUTED_VALUE"""),1.003)</f>
        <v>1.003</v>
      </c>
      <c r="E617" s="16">
        <f>IFERROR(__xludf.DUMMYFUNCTION("""COMPUTED_VALUE"""),74.0)</f>
        <v>74</v>
      </c>
      <c r="F617" s="19" t="str">
        <f>IFERROR(__xludf.DUMMYFUNCTION("""COMPUTED_VALUE"""),"BLACK")</f>
        <v>BLACK</v>
      </c>
      <c r="G617" s="20" t="str">
        <f>IFERROR(__xludf.DUMMYFUNCTION("""COMPUTED_VALUE"""),"Uncle Sams Cider (04/04/2023)")</f>
        <v>Uncle Sams Cider (04/04/2023)</v>
      </c>
      <c r="H617" s="19"/>
    </row>
    <row r="618">
      <c r="A618" s="9"/>
      <c r="B618" s="15"/>
      <c r="C618" s="9">
        <f>IFERROR(__xludf.DUMMYFUNCTION("""COMPUTED_VALUE"""),45138.1977340277)</f>
        <v>45138.19773</v>
      </c>
      <c r="D618" s="15">
        <f>IFERROR(__xludf.DUMMYFUNCTION("""COMPUTED_VALUE"""),1.003)</f>
        <v>1.003</v>
      </c>
      <c r="E618" s="16">
        <f>IFERROR(__xludf.DUMMYFUNCTION("""COMPUTED_VALUE"""),74.0)</f>
        <v>74</v>
      </c>
      <c r="F618" s="19" t="str">
        <f>IFERROR(__xludf.DUMMYFUNCTION("""COMPUTED_VALUE"""),"BLACK")</f>
        <v>BLACK</v>
      </c>
      <c r="G618" s="20" t="str">
        <f>IFERROR(__xludf.DUMMYFUNCTION("""COMPUTED_VALUE"""),"Uncle Sams Cider (04/04/2023)")</f>
        <v>Uncle Sams Cider (04/04/2023)</v>
      </c>
      <c r="H618" s="19"/>
    </row>
    <row r="619">
      <c r="A619" s="9"/>
      <c r="B619" s="15"/>
      <c r="C619" s="9">
        <f>IFERROR(__xludf.DUMMYFUNCTION("""COMPUTED_VALUE"""),45138.1873125578)</f>
        <v>45138.18731</v>
      </c>
      <c r="D619" s="15">
        <f>IFERROR(__xludf.DUMMYFUNCTION("""COMPUTED_VALUE"""),1.003)</f>
        <v>1.003</v>
      </c>
      <c r="E619" s="16">
        <f>IFERROR(__xludf.DUMMYFUNCTION("""COMPUTED_VALUE"""),74.0)</f>
        <v>74</v>
      </c>
      <c r="F619" s="19" t="str">
        <f>IFERROR(__xludf.DUMMYFUNCTION("""COMPUTED_VALUE"""),"BLACK")</f>
        <v>BLACK</v>
      </c>
      <c r="G619" s="20" t="str">
        <f>IFERROR(__xludf.DUMMYFUNCTION("""COMPUTED_VALUE"""),"Uncle Sams Cider (04/04/2023)")</f>
        <v>Uncle Sams Cider (04/04/2023)</v>
      </c>
      <c r="H619" s="19"/>
    </row>
    <row r="620">
      <c r="A620" s="9"/>
      <c r="B620" s="15"/>
      <c r="C620" s="9">
        <f>IFERROR(__xludf.DUMMYFUNCTION("""COMPUTED_VALUE"""),45138.1768920601)</f>
        <v>45138.17689</v>
      </c>
      <c r="D620" s="15">
        <f>IFERROR(__xludf.DUMMYFUNCTION("""COMPUTED_VALUE"""),1.003)</f>
        <v>1.003</v>
      </c>
      <c r="E620" s="16">
        <f>IFERROR(__xludf.DUMMYFUNCTION("""COMPUTED_VALUE"""),74.0)</f>
        <v>74</v>
      </c>
      <c r="F620" s="19" t="str">
        <f>IFERROR(__xludf.DUMMYFUNCTION("""COMPUTED_VALUE"""),"BLACK")</f>
        <v>BLACK</v>
      </c>
      <c r="G620" s="20" t="str">
        <f>IFERROR(__xludf.DUMMYFUNCTION("""COMPUTED_VALUE"""),"Uncle Sams Cider (04/04/2023)")</f>
        <v>Uncle Sams Cider (04/04/2023)</v>
      </c>
      <c r="H620" s="19"/>
    </row>
    <row r="621">
      <c r="A621" s="9"/>
      <c r="B621" s="15"/>
      <c r="C621" s="9">
        <f>IFERROR(__xludf.DUMMYFUNCTION("""COMPUTED_VALUE"""),45138.1664713889)</f>
        <v>45138.16647</v>
      </c>
      <c r="D621" s="15">
        <f>IFERROR(__xludf.DUMMYFUNCTION("""COMPUTED_VALUE"""),1.003)</f>
        <v>1.003</v>
      </c>
      <c r="E621" s="16">
        <f>IFERROR(__xludf.DUMMYFUNCTION("""COMPUTED_VALUE"""),74.0)</f>
        <v>74</v>
      </c>
      <c r="F621" s="19" t="str">
        <f>IFERROR(__xludf.DUMMYFUNCTION("""COMPUTED_VALUE"""),"BLACK")</f>
        <v>BLACK</v>
      </c>
      <c r="G621" s="20" t="str">
        <f>IFERROR(__xludf.DUMMYFUNCTION("""COMPUTED_VALUE"""),"Uncle Sams Cider (04/04/2023)")</f>
        <v>Uncle Sams Cider (04/04/2023)</v>
      </c>
      <c r="H621" s="19"/>
    </row>
    <row r="622">
      <c r="A622" s="9"/>
      <c r="B622" s="15"/>
      <c r="C622" s="9">
        <f>IFERROR(__xludf.DUMMYFUNCTION("""COMPUTED_VALUE"""),45138.1560394676)</f>
        <v>45138.15604</v>
      </c>
      <c r="D622" s="15">
        <f>IFERROR(__xludf.DUMMYFUNCTION("""COMPUTED_VALUE"""),1.003)</f>
        <v>1.003</v>
      </c>
      <c r="E622" s="16">
        <f>IFERROR(__xludf.DUMMYFUNCTION("""COMPUTED_VALUE"""),74.0)</f>
        <v>74</v>
      </c>
      <c r="F622" s="19" t="str">
        <f>IFERROR(__xludf.DUMMYFUNCTION("""COMPUTED_VALUE"""),"BLACK")</f>
        <v>BLACK</v>
      </c>
      <c r="G622" s="20" t="str">
        <f>IFERROR(__xludf.DUMMYFUNCTION("""COMPUTED_VALUE"""),"Uncle Sams Cider (04/04/2023)")</f>
        <v>Uncle Sams Cider (04/04/2023)</v>
      </c>
      <c r="H622" s="19"/>
    </row>
    <row r="623">
      <c r="A623" s="9"/>
      <c r="B623" s="15"/>
      <c r="C623" s="9">
        <f>IFERROR(__xludf.DUMMYFUNCTION("""COMPUTED_VALUE"""),45138.1456197338)</f>
        <v>45138.14562</v>
      </c>
      <c r="D623" s="15">
        <f>IFERROR(__xludf.DUMMYFUNCTION("""COMPUTED_VALUE"""),1.003)</f>
        <v>1.003</v>
      </c>
      <c r="E623" s="16">
        <f>IFERROR(__xludf.DUMMYFUNCTION("""COMPUTED_VALUE"""),74.0)</f>
        <v>74</v>
      </c>
      <c r="F623" s="19" t="str">
        <f>IFERROR(__xludf.DUMMYFUNCTION("""COMPUTED_VALUE"""),"BLACK")</f>
        <v>BLACK</v>
      </c>
      <c r="G623" s="20" t="str">
        <f>IFERROR(__xludf.DUMMYFUNCTION("""COMPUTED_VALUE"""),"Uncle Sams Cider (04/04/2023)")</f>
        <v>Uncle Sams Cider (04/04/2023)</v>
      </c>
      <c r="H623" s="19"/>
    </row>
    <row r="624">
      <c r="A624" s="9"/>
      <c r="B624" s="15"/>
      <c r="C624" s="9">
        <f>IFERROR(__xludf.DUMMYFUNCTION("""COMPUTED_VALUE"""),45138.1351879861)</f>
        <v>45138.13519</v>
      </c>
      <c r="D624" s="15">
        <f>IFERROR(__xludf.DUMMYFUNCTION("""COMPUTED_VALUE"""),1.003)</f>
        <v>1.003</v>
      </c>
      <c r="E624" s="16">
        <f>IFERROR(__xludf.DUMMYFUNCTION("""COMPUTED_VALUE"""),74.0)</f>
        <v>74</v>
      </c>
      <c r="F624" s="19" t="str">
        <f>IFERROR(__xludf.DUMMYFUNCTION("""COMPUTED_VALUE"""),"BLACK")</f>
        <v>BLACK</v>
      </c>
      <c r="G624" s="20" t="str">
        <f>IFERROR(__xludf.DUMMYFUNCTION("""COMPUTED_VALUE"""),"Uncle Sams Cider (04/04/2023)")</f>
        <v>Uncle Sams Cider (04/04/2023)</v>
      </c>
      <c r="H624" s="19"/>
    </row>
    <row r="625">
      <c r="A625" s="9"/>
      <c r="B625" s="15"/>
      <c r="C625" s="9">
        <f>IFERROR(__xludf.DUMMYFUNCTION("""COMPUTED_VALUE"""),45138.1247677314)</f>
        <v>45138.12477</v>
      </c>
      <c r="D625" s="15">
        <f>IFERROR(__xludf.DUMMYFUNCTION("""COMPUTED_VALUE"""),1.003)</f>
        <v>1.003</v>
      </c>
      <c r="E625" s="16">
        <f>IFERROR(__xludf.DUMMYFUNCTION("""COMPUTED_VALUE"""),74.0)</f>
        <v>74</v>
      </c>
      <c r="F625" s="19" t="str">
        <f>IFERROR(__xludf.DUMMYFUNCTION("""COMPUTED_VALUE"""),"BLACK")</f>
        <v>BLACK</v>
      </c>
      <c r="G625" s="20" t="str">
        <f>IFERROR(__xludf.DUMMYFUNCTION("""COMPUTED_VALUE"""),"Uncle Sams Cider (04/04/2023)")</f>
        <v>Uncle Sams Cider (04/04/2023)</v>
      </c>
      <c r="H625" s="19"/>
    </row>
    <row r="626">
      <c r="A626" s="9"/>
      <c r="B626" s="15"/>
      <c r="C626" s="9">
        <f>IFERROR(__xludf.DUMMYFUNCTION("""COMPUTED_VALUE"""),45138.114347037)</f>
        <v>45138.11435</v>
      </c>
      <c r="D626" s="15">
        <f>IFERROR(__xludf.DUMMYFUNCTION("""COMPUTED_VALUE"""),1.003)</f>
        <v>1.003</v>
      </c>
      <c r="E626" s="16">
        <f>IFERROR(__xludf.DUMMYFUNCTION("""COMPUTED_VALUE"""),74.0)</f>
        <v>74</v>
      </c>
      <c r="F626" s="19" t="str">
        <f>IFERROR(__xludf.DUMMYFUNCTION("""COMPUTED_VALUE"""),"BLACK")</f>
        <v>BLACK</v>
      </c>
      <c r="G626" s="20" t="str">
        <f>IFERROR(__xludf.DUMMYFUNCTION("""COMPUTED_VALUE"""),"Uncle Sams Cider (04/04/2023)")</f>
        <v>Uncle Sams Cider (04/04/2023)</v>
      </c>
      <c r="H626" s="19"/>
    </row>
    <row r="627">
      <c r="A627" s="9"/>
      <c r="B627" s="15"/>
      <c r="C627" s="9">
        <f>IFERROR(__xludf.DUMMYFUNCTION("""COMPUTED_VALUE"""),45138.1039258796)</f>
        <v>45138.10393</v>
      </c>
      <c r="D627" s="15">
        <f>IFERROR(__xludf.DUMMYFUNCTION("""COMPUTED_VALUE"""),1.003)</f>
        <v>1.003</v>
      </c>
      <c r="E627" s="16">
        <f>IFERROR(__xludf.DUMMYFUNCTION("""COMPUTED_VALUE"""),74.0)</f>
        <v>74</v>
      </c>
      <c r="F627" s="19" t="str">
        <f>IFERROR(__xludf.DUMMYFUNCTION("""COMPUTED_VALUE"""),"BLACK")</f>
        <v>BLACK</v>
      </c>
      <c r="G627" s="20" t="str">
        <f>IFERROR(__xludf.DUMMYFUNCTION("""COMPUTED_VALUE"""),"Uncle Sams Cider (04/04/2023)")</f>
        <v>Uncle Sams Cider (04/04/2023)</v>
      </c>
      <c r="H627" s="19"/>
    </row>
    <row r="628">
      <c r="A628" s="9"/>
      <c r="B628" s="15"/>
      <c r="C628" s="9">
        <f>IFERROR(__xludf.DUMMYFUNCTION("""COMPUTED_VALUE"""),45138.09350478)</f>
        <v>45138.0935</v>
      </c>
      <c r="D628" s="15">
        <f>IFERROR(__xludf.DUMMYFUNCTION("""COMPUTED_VALUE"""),1.003)</f>
        <v>1.003</v>
      </c>
      <c r="E628" s="16">
        <f>IFERROR(__xludf.DUMMYFUNCTION("""COMPUTED_VALUE"""),74.0)</f>
        <v>74</v>
      </c>
      <c r="F628" s="19" t="str">
        <f>IFERROR(__xludf.DUMMYFUNCTION("""COMPUTED_VALUE"""),"BLACK")</f>
        <v>BLACK</v>
      </c>
      <c r="G628" s="20" t="str">
        <f>IFERROR(__xludf.DUMMYFUNCTION("""COMPUTED_VALUE"""),"Uncle Sams Cider (04/04/2023)")</f>
        <v>Uncle Sams Cider (04/04/2023)</v>
      </c>
      <c r="H628" s="19"/>
    </row>
    <row r="629">
      <c r="A629" s="9"/>
      <c r="B629" s="15"/>
      <c r="C629" s="9">
        <f>IFERROR(__xludf.DUMMYFUNCTION("""COMPUTED_VALUE"""),45138.0830713078)</f>
        <v>45138.08307</v>
      </c>
      <c r="D629" s="15">
        <f>IFERROR(__xludf.DUMMYFUNCTION("""COMPUTED_VALUE"""),1.003)</f>
        <v>1.003</v>
      </c>
      <c r="E629" s="16">
        <f>IFERROR(__xludf.DUMMYFUNCTION("""COMPUTED_VALUE"""),74.0)</f>
        <v>74</v>
      </c>
      <c r="F629" s="19" t="str">
        <f>IFERROR(__xludf.DUMMYFUNCTION("""COMPUTED_VALUE"""),"BLACK")</f>
        <v>BLACK</v>
      </c>
      <c r="G629" s="20" t="str">
        <f>IFERROR(__xludf.DUMMYFUNCTION("""COMPUTED_VALUE"""),"Uncle Sams Cider (04/04/2023)")</f>
        <v>Uncle Sams Cider (04/04/2023)</v>
      </c>
      <c r="H629" s="19"/>
    </row>
    <row r="630">
      <c r="A630" s="9"/>
      <c r="B630" s="15"/>
      <c r="C630" s="9">
        <f>IFERROR(__xludf.DUMMYFUNCTION("""COMPUTED_VALUE"""),45138.0726503819)</f>
        <v>45138.07265</v>
      </c>
      <c r="D630" s="15">
        <f>IFERROR(__xludf.DUMMYFUNCTION("""COMPUTED_VALUE"""),1.003)</f>
        <v>1.003</v>
      </c>
      <c r="E630" s="16">
        <f>IFERROR(__xludf.DUMMYFUNCTION("""COMPUTED_VALUE"""),74.0)</f>
        <v>74</v>
      </c>
      <c r="F630" s="19" t="str">
        <f>IFERROR(__xludf.DUMMYFUNCTION("""COMPUTED_VALUE"""),"BLACK")</f>
        <v>BLACK</v>
      </c>
      <c r="G630" s="20" t="str">
        <f>IFERROR(__xludf.DUMMYFUNCTION("""COMPUTED_VALUE"""),"Uncle Sams Cider (04/04/2023)")</f>
        <v>Uncle Sams Cider (04/04/2023)</v>
      </c>
      <c r="H630" s="19"/>
    </row>
    <row r="631">
      <c r="A631" s="9"/>
      <c r="B631" s="15"/>
      <c r="C631" s="9">
        <f>IFERROR(__xludf.DUMMYFUNCTION("""COMPUTED_VALUE"""),45138.0622287384)</f>
        <v>45138.06223</v>
      </c>
      <c r="D631" s="15">
        <f>IFERROR(__xludf.DUMMYFUNCTION("""COMPUTED_VALUE"""),1.003)</f>
        <v>1.003</v>
      </c>
      <c r="E631" s="16">
        <f>IFERROR(__xludf.DUMMYFUNCTION("""COMPUTED_VALUE"""),74.0)</f>
        <v>74</v>
      </c>
      <c r="F631" s="19" t="str">
        <f>IFERROR(__xludf.DUMMYFUNCTION("""COMPUTED_VALUE"""),"BLACK")</f>
        <v>BLACK</v>
      </c>
      <c r="G631" s="20" t="str">
        <f>IFERROR(__xludf.DUMMYFUNCTION("""COMPUTED_VALUE"""),"Uncle Sams Cider (04/04/2023)")</f>
        <v>Uncle Sams Cider (04/04/2023)</v>
      </c>
      <c r="H631" s="19"/>
    </row>
    <row r="632">
      <c r="A632" s="9"/>
      <c r="B632" s="15"/>
      <c r="C632" s="9">
        <f>IFERROR(__xludf.DUMMYFUNCTION("""COMPUTED_VALUE"""),45138.0518073842)</f>
        <v>45138.05181</v>
      </c>
      <c r="D632" s="15">
        <f>IFERROR(__xludf.DUMMYFUNCTION("""COMPUTED_VALUE"""),1.003)</f>
        <v>1.003</v>
      </c>
      <c r="E632" s="16">
        <f>IFERROR(__xludf.DUMMYFUNCTION("""COMPUTED_VALUE"""),74.0)</f>
        <v>74</v>
      </c>
      <c r="F632" s="19" t="str">
        <f>IFERROR(__xludf.DUMMYFUNCTION("""COMPUTED_VALUE"""),"BLACK")</f>
        <v>BLACK</v>
      </c>
      <c r="G632" s="20" t="str">
        <f>IFERROR(__xludf.DUMMYFUNCTION("""COMPUTED_VALUE"""),"Uncle Sams Cider (04/04/2023)")</f>
        <v>Uncle Sams Cider (04/04/2023)</v>
      </c>
      <c r="H632" s="19"/>
    </row>
    <row r="633">
      <c r="A633" s="9"/>
      <c r="B633" s="15"/>
      <c r="C633" s="9">
        <f>IFERROR(__xludf.DUMMYFUNCTION("""COMPUTED_VALUE"""),45138.0413897801)</f>
        <v>45138.04139</v>
      </c>
      <c r="D633" s="15">
        <f>IFERROR(__xludf.DUMMYFUNCTION("""COMPUTED_VALUE"""),1.003)</f>
        <v>1.003</v>
      </c>
      <c r="E633" s="16">
        <f>IFERROR(__xludf.DUMMYFUNCTION("""COMPUTED_VALUE"""),74.0)</f>
        <v>74</v>
      </c>
      <c r="F633" s="19" t="str">
        <f>IFERROR(__xludf.DUMMYFUNCTION("""COMPUTED_VALUE"""),"BLACK")</f>
        <v>BLACK</v>
      </c>
      <c r="G633" s="20" t="str">
        <f>IFERROR(__xludf.DUMMYFUNCTION("""COMPUTED_VALUE"""),"Uncle Sams Cider (04/04/2023)")</f>
        <v>Uncle Sams Cider (04/04/2023)</v>
      </c>
      <c r="H633" s="19"/>
    </row>
    <row r="634">
      <c r="A634" s="9"/>
      <c r="B634" s="15"/>
      <c r="C634" s="9">
        <f>IFERROR(__xludf.DUMMYFUNCTION("""COMPUTED_VALUE"""),45138.0309564699)</f>
        <v>45138.03096</v>
      </c>
      <c r="D634" s="15">
        <f>IFERROR(__xludf.DUMMYFUNCTION("""COMPUTED_VALUE"""),1.003)</f>
        <v>1.003</v>
      </c>
      <c r="E634" s="16">
        <f>IFERROR(__xludf.DUMMYFUNCTION("""COMPUTED_VALUE"""),74.0)</f>
        <v>74</v>
      </c>
      <c r="F634" s="19" t="str">
        <f>IFERROR(__xludf.DUMMYFUNCTION("""COMPUTED_VALUE"""),"BLACK")</f>
        <v>BLACK</v>
      </c>
      <c r="G634" s="20" t="str">
        <f>IFERROR(__xludf.DUMMYFUNCTION("""COMPUTED_VALUE"""),"Uncle Sams Cider (04/04/2023)")</f>
        <v>Uncle Sams Cider (04/04/2023)</v>
      </c>
      <c r="H634" s="19"/>
    </row>
    <row r="635">
      <c r="A635" s="9"/>
      <c r="B635" s="15"/>
      <c r="C635" s="9">
        <f>IFERROR(__xludf.DUMMYFUNCTION("""COMPUTED_VALUE"""),45138.0205344097)</f>
        <v>45138.02053</v>
      </c>
      <c r="D635" s="15">
        <f>IFERROR(__xludf.DUMMYFUNCTION("""COMPUTED_VALUE"""),1.003)</f>
        <v>1.003</v>
      </c>
      <c r="E635" s="16">
        <f>IFERROR(__xludf.DUMMYFUNCTION("""COMPUTED_VALUE"""),74.0)</f>
        <v>74</v>
      </c>
      <c r="F635" s="19" t="str">
        <f>IFERROR(__xludf.DUMMYFUNCTION("""COMPUTED_VALUE"""),"BLACK")</f>
        <v>BLACK</v>
      </c>
      <c r="G635" s="20" t="str">
        <f>IFERROR(__xludf.DUMMYFUNCTION("""COMPUTED_VALUE"""),"Uncle Sams Cider (04/04/2023)")</f>
        <v>Uncle Sams Cider (04/04/2023)</v>
      </c>
      <c r="H635" s="19"/>
    </row>
    <row r="636">
      <c r="A636" s="9"/>
      <c r="B636" s="15"/>
      <c r="C636" s="9">
        <f>IFERROR(__xludf.DUMMYFUNCTION("""COMPUTED_VALUE"""),45138.0101018981)</f>
        <v>45138.0101</v>
      </c>
      <c r="D636" s="15">
        <f>IFERROR(__xludf.DUMMYFUNCTION("""COMPUTED_VALUE"""),1.003)</f>
        <v>1.003</v>
      </c>
      <c r="E636" s="16">
        <f>IFERROR(__xludf.DUMMYFUNCTION("""COMPUTED_VALUE"""),74.0)</f>
        <v>74</v>
      </c>
      <c r="F636" s="19" t="str">
        <f>IFERROR(__xludf.DUMMYFUNCTION("""COMPUTED_VALUE"""),"BLACK")</f>
        <v>BLACK</v>
      </c>
      <c r="G636" s="20" t="str">
        <f>IFERROR(__xludf.DUMMYFUNCTION("""COMPUTED_VALUE"""),"Uncle Sams Cider (04/04/2023)")</f>
        <v>Uncle Sams Cider (04/04/2023)</v>
      </c>
      <c r="H636" s="19"/>
    </row>
    <row r="637">
      <c r="A637" s="9"/>
      <c r="B637" s="15"/>
      <c r="C637" s="9">
        <f>IFERROR(__xludf.DUMMYFUNCTION("""COMPUTED_VALUE"""),45137.9996802777)</f>
        <v>45137.99968</v>
      </c>
      <c r="D637" s="15">
        <f>IFERROR(__xludf.DUMMYFUNCTION("""COMPUTED_VALUE"""),1.003)</f>
        <v>1.003</v>
      </c>
      <c r="E637" s="16">
        <f>IFERROR(__xludf.DUMMYFUNCTION("""COMPUTED_VALUE"""),74.0)</f>
        <v>74</v>
      </c>
      <c r="F637" s="19" t="str">
        <f>IFERROR(__xludf.DUMMYFUNCTION("""COMPUTED_VALUE"""),"BLACK")</f>
        <v>BLACK</v>
      </c>
      <c r="G637" s="20" t="str">
        <f>IFERROR(__xludf.DUMMYFUNCTION("""COMPUTED_VALUE"""),"Uncle Sams Cider (04/04/2023)")</f>
        <v>Uncle Sams Cider (04/04/2023)</v>
      </c>
      <c r="H637" s="19"/>
    </row>
    <row r="638">
      <c r="A638" s="9"/>
      <c r="B638" s="15"/>
      <c r="C638" s="9">
        <f>IFERROR(__xludf.DUMMYFUNCTION("""COMPUTED_VALUE"""),45137.9892576157)</f>
        <v>45137.98926</v>
      </c>
      <c r="D638" s="15">
        <f>IFERROR(__xludf.DUMMYFUNCTION("""COMPUTED_VALUE"""),1.003)</f>
        <v>1.003</v>
      </c>
      <c r="E638" s="16">
        <f>IFERROR(__xludf.DUMMYFUNCTION("""COMPUTED_VALUE"""),74.0)</f>
        <v>74</v>
      </c>
      <c r="F638" s="19" t="str">
        <f>IFERROR(__xludf.DUMMYFUNCTION("""COMPUTED_VALUE"""),"BLACK")</f>
        <v>BLACK</v>
      </c>
      <c r="G638" s="20" t="str">
        <f>IFERROR(__xludf.DUMMYFUNCTION("""COMPUTED_VALUE"""),"Uncle Sams Cider (04/04/2023)")</f>
        <v>Uncle Sams Cider (04/04/2023)</v>
      </c>
      <c r="H638" s="19"/>
    </row>
    <row r="639">
      <c r="A639" s="9"/>
      <c r="B639" s="15"/>
      <c r="C639" s="9">
        <f>IFERROR(__xludf.DUMMYFUNCTION("""COMPUTED_VALUE"""),45137.978837118)</f>
        <v>45137.97884</v>
      </c>
      <c r="D639" s="15">
        <f>IFERROR(__xludf.DUMMYFUNCTION("""COMPUTED_VALUE"""),1.003)</f>
        <v>1.003</v>
      </c>
      <c r="E639" s="16">
        <f>IFERROR(__xludf.DUMMYFUNCTION("""COMPUTED_VALUE"""),74.0)</f>
        <v>74</v>
      </c>
      <c r="F639" s="19" t="str">
        <f>IFERROR(__xludf.DUMMYFUNCTION("""COMPUTED_VALUE"""),"BLACK")</f>
        <v>BLACK</v>
      </c>
      <c r="G639" s="20" t="str">
        <f>IFERROR(__xludf.DUMMYFUNCTION("""COMPUTED_VALUE"""),"Uncle Sams Cider (04/04/2023)")</f>
        <v>Uncle Sams Cider (04/04/2023)</v>
      </c>
      <c r="H639" s="19"/>
    </row>
    <row r="640">
      <c r="A640" s="9"/>
      <c r="B640" s="15"/>
      <c r="C640" s="9">
        <f>IFERROR(__xludf.DUMMYFUNCTION("""COMPUTED_VALUE"""),45137.9684155092)</f>
        <v>45137.96842</v>
      </c>
      <c r="D640" s="15">
        <f>IFERROR(__xludf.DUMMYFUNCTION("""COMPUTED_VALUE"""),1.003)</f>
        <v>1.003</v>
      </c>
      <c r="E640" s="16">
        <f>IFERROR(__xludf.DUMMYFUNCTION("""COMPUTED_VALUE"""),74.0)</f>
        <v>74</v>
      </c>
      <c r="F640" s="19" t="str">
        <f>IFERROR(__xludf.DUMMYFUNCTION("""COMPUTED_VALUE"""),"BLACK")</f>
        <v>BLACK</v>
      </c>
      <c r="G640" s="20" t="str">
        <f>IFERROR(__xludf.DUMMYFUNCTION("""COMPUTED_VALUE"""),"Uncle Sams Cider (04/04/2023)")</f>
        <v>Uncle Sams Cider (04/04/2023)</v>
      </c>
      <c r="H640" s="19"/>
    </row>
    <row r="641">
      <c r="A641" s="9"/>
      <c r="B641" s="15"/>
      <c r="C641" s="9">
        <f>IFERROR(__xludf.DUMMYFUNCTION("""COMPUTED_VALUE"""),45137.957993993)</f>
        <v>45137.95799</v>
      </c>
      <c r="D641" s="15">
        <f>IFERROR(__xludf.DUMMYFUNCTION("""COMPUTED_VALUE"""),1.003)</f>
        <v>1.003</v>
      </c>
      <c r="E641" s="16">
        <f>IFERROR(__xludf.DUMMYFUNCTION("""COMPUTED_VALUE"""),74.0)</f>
        <v>74</v>
      </c>
      <c r="F641" s="19" t="str">
        <f>IFERROR(__xludf.DUMMYFUNCTION("""COMPUTED_VALUE"""),"BLACK")</f>
        <v>BLACK</v>
      </c>
      <c r="G641" s="20" t="str">
        <f>IFERROR(__xludf.DUMMYFUNCTION("""COMPUTED_VALUE"""),"Uncle Sams Cider (04/04/2023)")</f>
        <v>Uncle Sams Cider (04/04/2023)</v>
      </c>
      <c r="H641" s="19"/>
    </row>
    <row r="642">
      <c r="A642" s="9"/>
      <c r="B642" s="15"/>
      <c r="C642" s="9">
        <f>IFERROR(__xludf.DUMMYFUNCTION("""COMPUTED_VALUE"""),45137.9475730208)</f>
        <v>45137.94757</v>
      </c>
      <c r="D642" s="15">
        <f>IFERROR(__xludf.DUMMYFUNCTION("""COMPUTED_VALUE"""),1.003)</f>
        <v>1.003</v>
      </c>
      <c r="E642" s="16">
        <f>IFERROR(__xludf.DUMMYFUNCTION("""COMPUTED_VALUE"""),74.0)</f>
        <v>74</v>
      </c>
      <c r="F642" s="19" t="str">
        <f>IFERROR(__xludf.DUMMYFUNCTION("""COMPUTED_VALUE"""),"BLACK")</f>
        <v>BLACK</v>
      </c>
      <c r="G642" s="20" t="str">
        <f>IFERROR(__xludf.DUMMYFUNCTION("""COMPUTED_VALUE"""),"Uncle Sams Cider (04/04/2023)")</f>
        <v>Uncle Sams Cider (04/04/2023)</v>
      </c>
      <c r="H642" s="19"/>
    </row>
    <row r="643">
      <c r="A643" s="9"/>
      <c r="B643" s="15"/>
      <c r="C643" s="9">
        <f>IFERROR(__xludf.DUMMYFUNCTION("""COMPUTED_VALUE"""),45137.9371531944)</f>
        <v>45137.93715</v>
      </c>
      <c r="D643" s="15">
        <f>IFERROR(__xludf.DUMMYFUNCTION("""COMPUTED_VALUE"""),1.003)</f>
        <v>1.003</v>
      </c>
      <c r="E643" s="16">
        <f>IFERROR(__xludf.DUMMYFUNCTION("""COMPUTED_VALUE"""),74.0)</f>
        <v>74</v>
      </c>
      <c r="F643" s="19" t="str">
        <f>IFERROR(__xludf.DUMMYFUNCTION("""COMPUTED_VALUE"""),"BLACK")</f>
        <v>BLACK</v>
      </c>
      <c r="G643" s="20" t="str">
        <f>IFERROR(__xludf.DUMMYFUNCTION("""COMPUTED_VALUE"""),"Uncle Sams Cider (04/04/2023)")</f>
        <v>Uncle Sams Cider (04/04/2023)</v>
      </c>
      <c r="H643" s="19"/>
    </row>
    <row r="644">
      <c r="A644" s="9"/>
      <c r="B644" s="15"/>
      <c r="C644" s="9">
        <f>IFERROR(__xludf.DUMMYFUNCTION("""COMPUTED_VALUE"""),45137.9267312615)</f>
        <v>45137.92673</v>
      </c>
      <c r="D644" s="15">
        <f>IFERROR(__xludf.DUMMYFUNCTION("""COMPUTED_VALUE"""),1.003)</f>
        <v>1.003</v>
      </c>
      <c r="E644" s="16">
        <f>IFERROR(__xludf.DUMMYFUNCTION("""COMPUTED_VALUE"""),74.0)</f>
        <v>74</v>
      </c>
      <c r="F644" s="19" t="str">
        <f>IFERROR(__xludf.DUMMYFUNCTION("""COMPUTED_VALUE"""),"BLACK")</f>
        <v>BLACK</v>
      </c>
      <c r="G644" s="20" t="str">
        <f>IFERROR(__xludf.DUMMYFUNCTION("""COMPUTED_VALUE"""),"Uncle Sams Cider (04/04/2023)")</f>
        <v>Uncle Sams Cider (04/04/2023)</v>
      </c>
      <c r="H644" s="19"/>
    </row>
    <row r="645">
      <c r="A645" s="9"/>
      <c r="B645" s="15"/>
      <c r="C645" s="9">
        <f>IFERROR(__xludf.DUMMYFUNCTION("""COMPUTED_VALUE"""),45137.9163110416)</f>
        <v>45137.91631</v>
      </c>
      <c r="D645" s="15">
        <f>IFERROR(__xludf.DUMMYFUNCTION("""COMPUTED_VALUE"""),1.003)</f>
        <v>1.003</v>
      </c>
      <c r="E645" s="16">
        <f>IFERROR(__xludf.DUMMYFUNCTION("""COMPUTED_VALUE"""),74.0)</f>
        <v>74</v>
      </c>
      <c r="F645" s="19" t="str">
        <f>IFERROR(__xludf.DUMMYFUNCTION("""COMPUTED_VALUE"""),"BLACK")</f>
        <v>BLACK</v>
      </c>
      <c r="G645" s="20" t="str">
        <f>IFERROR(__xludf.DUMMYFUNCTION("""COMPUTED_VALUE"""),"Uncle Sams Cider (04/04/2023)")</f>
        <v>Uncle Sams Cider (04/04/2023)</v>
      </c>
      <c r="H645" s="19"/>
    </row>
    <row r="646">
      <c r="A646" s="9"/>
      <c r="B646" s="15"/>
      <c r="C646" s="9">
        <f>IFERROR(__xludf.DUMMYFUNCTION("""COMPUTED_VALUE"""),45137.9058892245)</f>
        <v>45137.90589</v>
      </c>
      <c r="D646" s="15">
        <f>IFERROR(__xludf.DUMMYFUNCTION("""COMPUTED_VALUE"""),1.003)</f>
        <v>1.003</v>
      </c>
      <c r="E646" s="16">
        <f>IFERROR(__xludf.DUMMYFUNCTION("""COMPUTED_VALUE"""),74.0)</f>
        <v>74</v>
      </c>
      <c r="F646" s="19" t="str">
        <f>IFERROR(__xludf.DUMMYFUNCTION("""COMPUTED_VALUE"""),"BLACK")</f>
        <v>BLACK</v>
      </c>
      <c r="G646" s="20" t="str">
        <f>IFERROR(__xludf.DUMMYFUNCTION("""COMPUTED_VALUE"""),"Uncle Sams Cider (04/04/2023)")</f>
        <v>Uncle Sams Cider (04/04/2023)</v>
      </c>
      <c r="H646" s="19"/>
    </row>
    <row r="647">
      <c r="A647" s="9"/>
      <c r="B647" s="15"/>
      <c r="C647" s="9">
        <f>IFERROR(__xludf.DUMMYFUNCTION("""COMPUTED_VALUE"""),45137.8954674421)</f>
        <v>45137.89547</v>
      </c>
      <c r="D647" s="15">
        <f>IFERROR(__xludf.DUMMYFUNCTION("""COMPUTED_VALUE"""),1.003)</f>
        <v>1.003</v>
      </c>
      <c r="E647" s="16">
        <f>IFERROR(__xludf.DUMMYFUNCTION("""COMPUTED_VALUE"""),74.0)</f>
        <v>74</v>
      </c>
      <c r="F647" s="19" t="str">
        <f>IFERROR(__xludf.DUMMYFUNCTION("""COMPUTED_VALUE"""),"BLACK")</f>
        <v>BLACK</v>
      </c>
      <c r="G647" s="20" t="str">
        <f>IFERROR(__xludf.DUMMYFUNCTION("""COMPUTED_VALUE"""),"Uncle Sams Cider (04/04/2023)")</f>
        <v>Uncle Sams Cider (04/04/2023)</v>
      </c>
      <c r="H647" s="19"/>
    </row>
    <row r="648">
      <c r="A648" s="9"/>
      <c r="B648" s="15"/>
      <c r="C648" s="9">
        <f>IFERROR(__xludf.DUMMYFUNCTION("""COMPUTED_VALUE"""),45137.8850481365)</f>
        <v>45137.88505</v>
      </c>
      <c r="D648" s="15">
        <f>IFERROR(__xludf.DUMMYFUNCTION("""COMPUTED_VALUE"""),1.003)</f>
        <v>1.003</v>
      </c>
      <c r="E648" s="16">
        <f>IFERROR(__xludf.DUMMYFUNCTION("""COMPUTED_VALUE"""),74.0)</f>
        <v>74</v>
      </c>
      <c r="F648" s="19" t="str">
        <f>IFERROR(__xludf.DUMMYFUNCTION("""COMPUTED_VALUE"""),"BLACK")</f>
        <v>BLACK</v>
      </c>
      <c r="G648" s="20" t="str">
        <f>IFERROR(__xludf.DUMMYFUNCTION("""COMPUTED_VALUE"""),"Uncle Sams Cider (04/04/2023)")</f>
        <v>Uncle Sams Cider (04/04/2023)</v>
      </c>
      <c r="H648" s="19"/>
    </row>
    <row r="649">
      <c r="A649" s="9"/>
      <c r="B649" s="15"/>
      <c r="C649" s="9">
        <f>IFERROR(__xludf.DUMMYFUNCTION("""COMPUTED_VALUE"""),45137.8746266435)</f>
        <v>45137.87463</v>
      </c>
      <c r="D649" s="15">
        <f>IFERROR(__xludf.DUMMYFUNCTION("""COMPUTED_VALUE"""),1.003)</f>
        <v>1.003</v>
      </c>
      <c r="E649" s="16">
        <f>IFERROR(__xludf.DUMMYFUNCTION("""COMPUTED_VALUE"""),74.0)</f>
        <v>74</v>
      </c>
      <c r="F649" s="19" t="str">
        <f>IFERROR(__xludf.DUMMYFUNCTION("""COMPUTED_VALUE"""),"BLACK")</f>
        <v>BLACK</v>
      </c>
      <c r="G649" s="20" t="str">
        <f>IFERROR(__xludf.DUMMYFUNCTION("""COMPUTED_VALUE"""),"Uncle Sams Cider (04/04/2023)")</f>
        <v>Uncle Sams Cider (04/04/2023)</v>
      </c>
      <c r="H649" s="19"/>
    </row>
    <row r="650">
      <c r="A650" s="9"/>
      <c r="B650" s="15"/>
      <c r="C650" s="9">
        <f>IFERROR(__xludf.DUMMYFUNCTION("""COMPUTED_VALUE"""),45137.8642061111)</f>
        <v>45137.86421</v>
      </c>
      <c r="D650" s="15">
        <f>IFERROR(__xludf.DUMMYFUNCTION("""COMPUTED_VALUE"""),1.003)</f>
        <v>1.003</v>
      </c>
      <c r="E650" s="16">
        <f>IFERROR(__xludf.DUMMYFUNCTION("""COMPUTED_VALUE"""),74.0)</f>
        <v>74</v>
      </c>
      <c r="F650" s="19" t="str">
        <f>IFERROR(__xludf.DUMMYFUNCTION("""COMPUTED_VALUE"""),"BLACK")</f>
        <v>BLACK</v>
      </c>
      <c r="G650" s="20" t="str">
        <f>IFERROR(__xludf.DUMMYFUNCTION("""COMPUTED_VALUE"""),"Uncle Sams Cider (04/04/2023)")</f>
        <v>Uncle Sams Cider (04/04/2023)</v>
      </c>
      <c r="H650" s="19"/>
    </row>
    <row r="651">
      <c r="A651" s="9"/>
      <c r="B651" s="15"/>
      <c r="C651" s="9">
        <f>IFERROR(__xludf.DUMMYFUNCTION("""COMPUTED_VALUE"""),45137.8537854513)</f>
        <v>45137.85379</v>
      </c>
      <c r="D651" s="15">
        <f>IFERROR(__xludf.DUMMYFUNCTION("""COMPUTED_VALUE"""),1.003)</f>
        <v>1.003</v>
      </c>
      <c r="E651" s="16">
        <f>IFERROR(__xludf.DUMMYFUNCTION("""COMPUTED_VALUE"""),74.0)</f>
        <v>74</v>
      </c>
      <c r="F651" s="19" t="str">
        <f>IFERROR(__xludf.DUMMYFUNCTION("""COMPUTED_VALUE"""),"BLACK")</f>
        <v>BLACK</v>
      </c>
      <c r="G651" s="20" t="str">
        <f>IFERROR(__xludf.DUMMYFUNCTION("""COMPUTED_VALUE"""),"Uncle Sams Cider (04/04/2023)")</f>
        <v>Uncle Sams Cider (04/04/2023)</v>
      </c>
      <c r="H651" s="19"/>
    </row>
    <row r="652">
      <c r="A652" s="9"/>
      <c r="B652" s="15"/>
      <c r="C652" s="9">
        <f>IFERROR(__xludf.DUMMYFUNCTION("""COMPUTED_VALUE"""),45137.8433531481)</f>
        <v>45137.84335</v>
      </c>
      <c r="D652" s="15">
        <f>IFERROR(__xludf.DUMMYFUNCTION("""COMPUTED_VALUE"""),1.003)</f>
        <v>1.003</v>
      </c>
      <c r="E652" s="16">
        <f>IFERROR(__xludf.DUMMYFUNCTION("""COMPUTED_VALUE"""),74.0)</f>
        <v>74</v>
      </c>
      <c r="F652" s="19" t="str">
        <f>IFERROR(__xludf.DUMMYFUNCTION("""COMPUTED_VALUE"""),"BLACK")</f>
        <v>BLACK</v>
      </c>
      <c r="G652" s="20" t="str">
        <f>IFERROR(__xludf.DUMMYFUNCTION("""COMPUTED_VALUE"""),"Uncle Sams Cider (04/04/2023)")</f>
        <v>Uncle Sams Cider (04/04/2023)</v>
      </c>
      <c r="H652" s="19"/>
    </row>
    <row r="653">
      <c r="A653" s="9"/>
      <c r="B653" s="15"/>
      <c r="C653" s="9">
        <f>IFERROR(__xludf.DUMMYFUNCTION("""COMPUTED_VALUE"""),45137.8329329861)</f>
        <v>45137.83293</v>
      </c>
      <c r="D653" s="15">
        <f>IFERROR(__xludf.DUMMYFUNCTION("""COMPUTED_VALUE"""),1.003)</f>
        <v>1.003</v>
      </c>
      <c r="E653" s="16">
        <f>IFERROR(__xludf.DUMMYFUNCTION("""COMPUTED_VALUE"""),74.0)</f>
        <v>74</v>
      </c>
      <c r="F653" s="19" t="str">
        <f>IFERROR(__xludf.DUMMYFUNCTION("""COMPUTED_VALUE"""),"BLACK")</f>
        <v>BLACK</v>
      </c>
      <c r="G653" s="20" t="str">
        <f>IFERROR(__xludf.DUMMYFUNCTION("""COMPUTED_VALUE"""),"Uncle Sams Cider (04/04/2023)")</f>
        <v>Uncle Sams Cider (04/04/2023)</v>
      </c>
      <c r="H653" s="19"/>
    </row>
    <row r="654">
      <c r="A654" s="9"/>
      <c r="B654" s="15"/>
      <c r="C654" s="9">
        <f>IFERROR(__xludf.DUMMYFUNCTION("""COMPUTED_VALUE"""),45137.8225105787)</f>
        <v>45137.82251</v>
      </c>
      <c r="D654" s="15">
        <f>IFERROR(__xludf.DUMMYFUNCTION("""COMPUTED_VALUE"""),1.003)</f>
        <v>1.003</v>
      </c>
      <c r="E654" s="16">
        <f>IFERROR(__xludf.DUMMYFUNCTION("""COMPUTED_VALUE"""),74.0)</f>
        <v>74</v>
      </c>
      <c r="F654" s="19" t="str">
        <f>IFERROR(__xludf.DUMMYFUNCTION("""COMPUTED_VALUE"""),"BLACK")</f>
        <v>BLACK</v>
      </c>
      <c r="G654" s="20" t="str">
        <f>IFERROR(__xludf.DUMMYFUNCTION("""COMPUTED_VALUE"""),"Uncle Sams Cider (04/04/2023)")</f>
        <v>Uncle Sams Cider (04/04/2023)</v>
      </c>
      <c r="H654" s="19"/>
    </row>
    <row r="655">
      <c r="A655" s="9"/>
      <c r="B655" s="15"/>
      <c r="C655" s="9">
        <f>IFERROR(__xludf.DUMMYFUNCTION("""COMPUTED_VALUE"""),45137.812088287)</f>
        <v>45137.81209</v>
      </c>
      <c r="D655" s="15">
        <f>IFERROR(__xludf.DUMMYFUNCTION("""COMPUTED_VALUE"""),1.003)</f>
        <v>1.003</v>
      </c>
      <c r="E655" s="16">
        <f>IFERROR(__xludf.DUMMYFUNCTION("""COMPUTED_VALUE"""),74.0)</f>
        <v>74</v>
      </c>
      <c r="F655" s="19" t="str">
        <f>IFERROR(__xludf.DUMMYFUNCTION("""COMPUTED_VALUE"""),"BLACK")</f>
        <v>BLACK</v>
      </c>
      <c r="G655" s="20" t="str">
        <f>IFERROR(__xludf.DUMMYFUNCTION("""COMPUTED_VALUE"""),"Uncle Sams Cider (04/04/2023)")</f>
        <v>Uncle Sams Cider (04/04/2023)</v>
      </c>
      <c r="H655" s="19"/>
    </row>
    <row r="656">
      <c r="A656" s="9"/>
      <c r="B656" s="15"/>
      <c r="C656" s="9">
        <f>IFERROR(__xludf.DUMMYFUNCTION("""COMPUTED_VALUE"""),45137.8016668402)</f>
        <v>45137.80167</v>
      </c>
      <c r="D656" s="15">
        <f>IFERROR(__xludf.DUMMYFUNCTION("""COMPUTED_VALUE"""),1.003)</f>
        <v>1.003</v>
      </c>
      <c r="E656" s="16">
        <f>IFERROR(__xludf.DUMMYFUNCTION("""COMPUTED_VALUE"""),74.0)</f>
        <v>74</v>
      </c>
      <c r="F656" s="19" t="str">
        <f>IFERROR(__xludf.DUMMYFUNCTION("""COMPUTED_VALUE"""),"BLACK")</f>
        <v>BLACK</v>
      </c>
      <c r="G656" s="20" t="str">
        <f>IFERROR(__xludf.DUMMYFUNCTION("""COMPUTED_VALUE"""),"Uncle Sams Cider (04/04/2023)")</f>
        <v>Uncle Sams Cider (04/04/2023)</v>
      </c>
      <c r="H656" s="19"/>
    </row>
    <row r="657">
      <c r="A657" s="9"/>
      <c r="B657" s="15"/>
      <c r="C657" s="9">
        <f>IFERROR(__xludf.DUMMYFUNCTION("""COMPUTED_VALUE"""),45137.791246574)</f>
        <v>45137.79125</v>
      </c>
      <c r="D657" s="15">
        <f>IFERROR(__xludf.DUMMYFUNCTION("""COMPUTED_VALUE"""),1.003)</f>
        <v>1.003</v>
      </c>
      <c r="E657" s="16">
        <f>IFERROR(__xludf.DUMMYFUNCTION("""COMPUTED_VALUE"""),74.0)</f>
        <v>74</v>
      </c>
      <c r="F657" s="19" t="str">
        <f>IFERROR(__xludf.DUMMYFUNCTION("""COMPUTED_VALUE"""),"BLACK")</f>
        <v>BLACK</v>
      </c>
      <c r="G657" s="20" t="str">
        <f>IFERROR(__xludf.DUMMYFUNCTION("""COMPUTED_VALUE"""),"Uncle Sams Cider (04/04/2023)")</f>
        <v>Uncle Sams Cider (04/04/2023)</v>
      </c>
      <c r="H657" s="19"/>
    </row>
    <row r="658">
      <c r="A658" s="9"/>
      <c r="B658" s="15"/>
      <c r="C658" s="9">
        <f>IFERROR(__xludf.DUMMYFUNCTION("""COMPUTED_VALUE"""),45137.7808275)</f>
        <v>45137.78083</v>
      </c>
      <c r="D658" s="15">
        <f>IFERROR(__xludf.DUMMYFUNCTION("""COMPUTED_VALUE"""),1.003)</f>
        <v>1.003</v>
      </c>
      <c r="E658" s="16">
        <f>IFERROR(__xludf.DUMMYFUNCTION("""COMPUTED_VALUE"""),74.0)</f>
        <v>74</v>
      </c>
      <c r="F658" s="19" t="str">
        <f>IFERROR(__xludf.DUMMYFUNCTION("""COMPUTED_VALUE"""),"BLACK")</f>
        <v>BLACK</v>
      </c>
      <c r="G658" s="20" t="str">
        <f>IFERROR(__xludf.DUMMYFUNCTION("""COMPUTED_VALUE"""),"Uncle Sams Cider (04/04/2023)")</f>
        <v>Uncle Sams Cider (04/04/2023)</v>
      </c>
      <c r="H658" s="19"/>
    </row>
    <row r="659">
      <c r="A659" s="9"/>
      <c r="B659" s="15"/>
      <c r="C659" s="9">
        <f>IFERROR(__xludf.DUMMYFUNCTION("""COMPUTED_VALUE"""),45137.7703952083)</f>
        <v>45137.7704</v>
      </c>
      <c r="D659" s="15">
        <f>IFERROR(__xludf.DUMMYFUNCTION("""COMPUTED_VALUE"""),1.003)</f>
        <v>1.003</v>
      </c>
      <c r="E659" s="16">
        <f>IFERROR(__xludf.DUMMYFUNCTION("""COMPUTED_VALUE"""),74.0)</f>
        <v>74</v>
      </c>
      <c r="F659" s="19" t="str">
        <f>IFERROR(__xludf.DUMMYFUNCTION("""COMPUTED_VALUE"""),"BLACK")</f>
        <v>BLACK</v>
      </c>
      <c r="G659" s="20" t="str">
        <f>IFERROR(__xludf.DUMMYFUNCTION("""COMPUTED_VALUE"""),"Uncle Sams Cider (04/04/2023)")</f>
        <v>Uncle Sams Cider (04/04/2023)</v>
      </c>
      <c r="H659" s="19"/>
    </row>
    <row r="660">
      <c r="A660" s="9"/>
      <c r="B660" s="15"/>
      <c r="C660" s="9">
        <f>IFERROR(__xludf.DUMMYFUNCTION("""COMPUTED_VALUE"""),45137.7599747453)</f>
        <v>45137.75997</v>
      </c>
      <c r="D660" s="15">
        <f>IFERROR(__xludf.DUMMYFUNCTION("""COMPUTED_VALUE"""),1.003)</f>
        <v>1.003</v>
      </c>
      <c r="E660" s="16">
        <f>IFERROR(__xludf.DUMMYFUNCTION("""COMPUTED_VALUE"""),74.0)</f>
        <v>74</v>
      </c>
      <c r="F660" s="19" t="str">
        <f>IFERROR(__xludf.DUMMYFUNCTION("""COMPUTED_VALUE"""),"BLACK")</f>
        <v>BLACK</v>
      </c>
      <c r="G660" s="20" t="str">
        <f>IFERROR(__xludf.DUMMYFUNCTION("""COMPUTED_VALUE"""),"Uncle Sams Cider (04/04/2023)")</f>
        <v>Uncle Sams Cider (04/04/2023)</v>
      </c>
      <c r="H660" s="19"/>
    </row>
    <row r="661">
      <c r="A661" s="9"/>
      <c r="B661" s="15"/>
      <c r="C661" s="9">
        <f>IFERROR(__xludf.DUMMYFUNCTION("""COMPUTED_VALUE"""),45137.7495517245)</f>
        <v>45137.74955</v>
      </c>
      <c r="D661" s="15">
        <f>IFERROR(__xludf.DUMMYFUNCTION("""COMPUTED_VALUE"""),1.003)</f>
        <v>1.003</v>
      </c>
      <c r="E661" s="16">
        <f>IFERROR(__xludf.DUMMYFUNCTION("""COMPUTED_VALUE"""),74.0)</f>
        <v>74</v>
      </c>
      <c r="F661" s="19" t="str">
        <f>IFERROR(__xludf.DUMMYFUNCTION("""COMPUTED_VALUE"""),"BLACK")</f>
        <v>BLACK</v>
      </c>
      <c r="G661" s="20" t="str">
        <f>IFERROR(__xludf.DUMMYFUNCTION("""COMPUTED_VALUE"""),"Uncle Sams Cider (04/04/2023)")</f>
        <v>Uncle Sams Cider (04/04/2023)</v>
      </c>
      <c r="H661" s="19"/>
    </row>
    <row r="662">
      <c r="A662" s="9"/>
      <c r="B662" s="15"/>
      <c r="C662" s="9">
        <f>IFERROR(__xludf.DUMMYFUNCTION("""COMPUTED_VALUE"""),45137.7391296527)</f>
        <v>45137.73913</v>
      </c>
      <c r="D662" s="15">
        <f>IFERROR(__xludf.DUMMYFUNCTION("""COMPUTED_VALUE"""),1.003)</f>
        <v>1.003</v>
      </c>
      <c r="E662" s="16">
        <f>IFERROR(__xludf.DUMMYFUNCTION("""COMPUTED_VALUE"""),74.0)</f>
        <v>74</v>
      </c>
      <c r="F662" s="19" t="str">
        <f>IFERROR(__xludf.DUMMYFUNCTION("""COMPUTED_VALUE"""),"BLACK")</f>
        <v>BLACK</v>
      </c>
      <c r="G662" s="20" t="str">
        <f>IFERROR(__xludf.DUMMYFUNCTION("""COMPUTED_VALUE"""),"Uncle Sams Cider (04/04/2023)")</f>
        <v>Uncle Sams Cider (04/04/2023)</v>
      </c>
      <c r="H662" s="19"/>
    </row>
    <row r="663">
      <c r="A663" s="9"/>
      <c r="B663" s="15"/>
      <c r="C663" s="9">
        <f>IFERROR(__xludf.DUMMYFUNCTION("""COMPUTED_VALUE"""),45137.7287091782)</f>
        <v>45137.72871</v>
      </c>
      <c r="D663" s="15">
        <f>IFERROR(__xludf.DUMMYFUNCTION("""COMPUTED_VALUE"""),1.003)</f>
        <v>1.003</v>
      </c>
      <c r="E663" s="16">
        <f>IFERROR(__xludf.DUMMYFUNCTION("""COMPUTED_VALUE"""),74.0)</f>
        <v>74</v>
      </c>
      <c r="F663" s="19" t="str">
        <f>IFERROR(__xludf.DUMMYFUNCTION("""COMPUTED_VALUE"""),"BLACK")</f>
        <v>BLACK</v>
      </c>
      <c r="G663" s="20" t="str">
        <f>IFERROR(__xludf.DUMMYFUNCTION("""COMPUTED_VALUE"""),"Uncle Sams Cider (04/04/2023)")</f>
        <v>Uncle Sams Cider (04/04/2023)</v>
      </c>
      <c r="H663" s="19"/>
    </row>
    <row r="664">
      <c r="A664" s="9"/>
      <c r="B664" s="15"/>
      <c r="C664" s="9">
        <f>IFERROR(__xludf.DUMMYFUNCTION("""COMPUTED_VALUE"""),45137.7182883796)</f>
        <v>45137.71829</v>
      </c>
      <c r="D664" s="15">
        <f>IFERROR(__xludf.DUMMYFUNCTION("""COMPUTED_VALUE"""),1.003)</f>
        <v>1.003</v>
      </c>
      <c r="E664" s="16">
        <f>IFERROR(__xludf.DUMMYFUNCTION("""COMPUTED_VALUE"""),74.0)</f>
        <v>74</v>
      </c>
      <c r="F664" s="19" t="str">
        <f>IFERROR(__xludf.DUMMYFUNCTION("""COMPUTED_VALUE"""),"BLACK")</f>
        <v>BLACK</v>
      </c>
      <c r="G664" s="20" t="str">
        <f>IFERROR(__xludf.DUMMYFUNCTION("""COMPUTED_VALUE"""),"Uncle Sams Cider (04/04/2023)")</f>
        <v>Uncle Sams Cider (04/04/2023)</v>
      </c>
      <c r="H664" s="19"/>
    </row>
    <row r="665">
      <c r="A665" s="9"/>
      <c r="B665" s="15"/>
      <c r="C665" s="9">
        <f>IFERROR(__xludf.DUMMYFUNCTION("""COMPUTED_VALUE"""),45137.707867743)</f>
        <v>45137.70787</v>
      </c>
      <c r="D665" s="15">
        <f>IFERROR(__xludf.DUMMYFUNCTION("""COMPUTED_VALUE"""),1.003)</f>
        <v>1.003</v>
      </c>
      <c r="E665" s="16">
        <f>IFERROR(__xludf.DUMMYFUNCTION("""COMPUTED_VALUE"""),74.0)</f>
        <v>74</v>
      </c>
      <c r="F665" s="19" t="str">
        <f>IFERROR(__xludf.DUMMYFUNCTION("""COMPUTED_VALUE"""),"BLACK")</f>
        <v>BLACK</v>
      </c>
      <c r="G665" s="20" t="str">
        <f>IFERROR(__xludf.DUMMYFUNCTION("""COMPUTED_VALUE"""),"Uncle Sams Cider (04/04/2023)")</f>
        <v>Uncle Sams Cider (04/04/2023)</v>
      </c>
      <c r="H665" s="19"/>
    </row>
    <row r="666">
      <c r="A666" s="9"/>
      <c r="B666" s="15"/>
      <c r="C666" s="9">
        <f>IFERROR(__xludf.DUMMYFUNCTION("""COMPUTED_VALUE"""),45137.6974463078)</f>
        <v>45137.69745</v>
      </c>
      <c r="D666" s="15">
        <f>IFERROR(__xludf.DUMMYFUNCTION("""COMPUTED_VALUE"""),1.003)</f>
        <v>1.003</v>
      </c>
      <c r="E666" s="16">
        <f>IFERROR(__xludf.DUMMYFUNCTION("""COMPUTED_VALUE"""),74.0)</f>
        <v>74</v>
      </c>
      <c r="F666" s="19" t="str">
        <f>IFERROR(__xludf.DUMMYFUNCTION("""COMPUTED_VALUE"""),"BLACK")</f>
        <v>BLACK</v>
      </c>
      <c r="G666" s="20" t="str">
        <f>IFERROR(__xludf.DUMMYFUNCTION("""COMPUTED_VALUE"""),"Uncle Sams Cider (04/04/2023)")</f>
        <v>Uncle Sams Cider (04/04/2023)</v>
      </c>
      <c r="H666" s="19"/>
    </row>
    <row r="667">
      <c r="A667" s="9"/>
      <c r="B667" s="15"/>
      <c r="C667" s="9">
        <f>IFERROR(__xludf.DUMMYFUNCTION("""COMPUTED_VALUE"""),45137.6870148148)</f>
        <v>45137.68701</v>
      </c>
      <c r="D667" s="15">
        <f>IFERROR(__xludf.DUMMYFUNCTION("""COMPUTED_VALUE"""),1.003)</f>
        <v>1.003</v>
      </c>
      <c r="E667" s="16">
        <f>IFERROR(__xludf.DUMMYFUNCTION("""COMPUTED_VALUE"""),74.0)</f>
        <v>74</v>
      </c>
      <c r="F667" s="19" t="str">
        <f>IFERROR(__xludf.DUMMYFUNCTION("""COMPUTED_VALUE"""),"BLACK")</f>
        <v>BLACK</v>
      </c>
      <c r="G667" s="20" t="str">
        <f>IFERROR(__xludf.DUMMYFUNCTION("""COMPUTED_VALUE"""),"Uncle Sams Cider (04/04/2023)")</f>
        <v>Uncle Sams Cider (04/04/2023)</v>
      </c>
      <c r="H667" s="19"/>
    </row>
    <row r="668">
      <c r="A668" s="9"/>
      <c r="B668" s="15"/>
      <c r="C668" s="9">
        <f>IFERROR(__xludf.DUMMYFUNCTION("""COMPUTED_VALUE"""),45137.6661751389)</f>
        <v>45137.66618</v>
      </c>
      <c r="D668" s="15">
        <f>IFERROR(__xludf.DUMMYFUNCTION("""COMPUTED_VALUE"""),1.003)</f>
        <v>1.003</v>
      </c>
      <c r="E668" s="16">
        <f>IFERROR(__xludf.DUMMYFUNCTION("""COMPUTED_VALUE"""),74.0)</f>
        <v>74</v>
      </c>
      <c r="F668" s="19" t="str">
        <f>IFERROR(__xludf.DUMMYFUNCTION("""COMPUTED_VALUE"""),"BLACK")</f>
        <v>BLACK</v>
      </c>
      <c r="G668" s="20" t="str">
        <f>IFERROR(__xludf.DUMMYFUNCTION("""COMPUTED_VALUE"""),"Uncle Sams Cider (04/04/2023)")</f>
        <v>Uncle Sams Cider (04/04/2023)</v>
      </c>
      <c r="H668" s="19"/>
    </row>
    <row r="669">
      <c r="A669" s="9"/>
      <c r="B669" s="15"/>
      <c r="C669" s="9">
        <f>IFERROR(__xludf.DUMMYFUNCTION("""COMPUTED_VALUE"""),45137.6557551041)</f>
        <v>45137.65576</v>
      </c>
      <c r="D669" s="15">
        <f>IFERROR(__xludf.DUMMYFUNCTION("""COMPUTED_VALUE"""),1.003)</f>
        <v>1.003</v>
      </c>
      <c r="E669" s="16">
        <f>IFERROR(__xludf.DUMMYFUNCTION("""COMPUTED_VALUE"""),74.0)</f>
        <v>74</v>
      </c>
      <c r="F669" s="19" t="str">
        <f>IFERROR(__xludf.DUMMYFUNCTION("""COMPUTED_VALUE"""),"BLACK")</f>
        <v>BLACK</v>
      </c>
      <c r="G669" s="20" t="str">
        <f>IFERROR(__xludf.DUMMYFUNCTION("""COMPUTED_VALUE"""),"Uncle Sams Cider (04/04/2023)")</f>
        <v>Uncle Sams Cider (04/04/2023)</v>
      </c>
      <c r="H669" s="19"/>
    </row>
    <row r="670">
      <c r="A670" s="9"/>
      <c r="B670" s="15"/>
      <c r="C670" s="9">
        <f>IFERROR(__xludf.DUMMYFUNCTION("""COMPUTED_VALUE"""),45137.6453215509)</f>
        <v>45137.64532</v>
      </c>
      <c r="D670" s="15">
        <f>IFERROR(__xludf.DUMMYFUNCTION("""COMPUTED_VALUE"""),1.003)</f>
        <v>1.003</v>
      </c>
      <c r="E670" s="16">
        <f>IFERROR(__xludf.DUMMYFUNCTION("""COMPUTED_VALUE"""),74.0)</f>
        <v>74</v>
      </c>
      <c r="F670" s="19" t="str">
        <f>IFERROR(__xludf.DUMMYFUNCTION("""COMPUTED_VALUE"""),"BLACK")</f>
        <v>BLACK</v>
      </c>
      <c r="G670" s="20" t="str">
        <f>IFERROR(__xludf.DUMMYFUNCTION("""COMPUTED_VALUE"""),"Uncle Sams Cider (04/04/2023)")</f>
        <v>Uncle Sams Cider (04/04/2023)</v>
      </c>
      <c r="H670" s="19"/>
    </row>
    <row r="671">
      <c r="A671" s="9"/>
      <c r="B671" s="15"/>
      <c r="C671" s="9">
        <f>IFERROR(__xludf.DUMMYFUNCTION("""COMPUTED_VALUE"""),45137.6348999189)</f>
        <v>45137.6349</v>
      </c>
      <c r="D671" s="15">
        <f>IFERROR(__xludf.DUMMYFUNCTION("""COMPUTED_VALUE"""),1.003)</f>
        <v>1.003</v>
      </c>
      <c r="E671" s="16">
        <f>IFERROR(__xludf.DUMMYFUNCTION("""COMPUTED_VALUE"""),74.0)</f>
        <v>74</v>
      </c>
      <c r="F671" s="19" t="str">
        <f>IFERROR(__xludf.DUMMYFUNCTION("""COMPUTED_VALUE"""),"BLACK")</f>
        <v>BLACK</v>
      </c>
      <c r="G671" s="20" t="str">
        <f>IFERROR(__xludf.DUMMYFUNCTION("""COMPUTED_VALUE"""),"Uncle Sams Cider (04/04/2023)")</f>
        <v>Uncle Sams Cider (04/04/2023)</v>
      </c>
      <c r="H671" s="19"/>
    </row>
    <row r="672">
      <c r="A672" s="9"/>
      <c r="B672" s="15"/>
      <c r="C672" s="9">
        <f>IFERROR(__xludf.DUMMYFUNCTION("""COMPUTED_VALUE"""),45137.624467118)</f>
        <v>45137.62447</v>
      </c>
      <c r="D672" s="15">
        <f>IFERROR(__xludf.DUMMYFUNCTION("""COMPUTED_VALUE"""),1.003)</f>
        <v>1.003</v>
      </c>
      <c r="E672" s="16">
        <f>IFERROR(__xludf.DUMMYFUNCTION("""COMPUTED_VALUE"""),74.0)</f>
        <v>74</v>
      </c>
      <c r="F672" s="19" t="str">
        <f>IFERROR(__xludf.DUMMYFUNCTION("""COMPUTED_VALUE"""),"BLACK")</f>
        <v>BLACK</v>
      </c>
      <c r="G672" s="20" t="str">
        <f>IFERROR(__xludf.DUMMYFUNCTION("""COMPUTED_VALUE"""),"Uncle Sams Cider (04/04/2023)")</f>
        <v>Uncle Sams Cider (04/04/2023)</v>
      </c>
      <c r="H672" s="19"/>
    </row>
    <row r="673">
      <c r="A673" s="9"/>
      <c r="B673" s="15"/>
      <c r="C673" s="9">
        <f>IFERROR(__xludf.DUMMYFUNCTION("""COMPUTED_VALUE"""),45137.614032743)</f>
        <v>45137.61403</v>
      </c>
      <c r="D673" s="15">
        <f>IFERROR(__xludf.DUMMYFUNCTION("""COMPUTED_VALUE"""),1.003)</f>
        <v>1.003</v>
      </c>
      <c r="E673" s="16">
        <f>IFERROR(__xludf.DUMMYFUNCTION("""COMPUTED_VALUE"""),74.0)</f>
        <v>74</v>
      </c>
      <c r="F673" s="19" t="str">
        <f>IFERROR(__xludf.DUMMYFUNCTION("""COMPUTED_VALUE"""),"BLACK")</f>
        <v>BLACK</v>
      </c>
      <c r="G673" s="20" t="str">
        <f>IFERROR(__xludf.DUMMYFUNCTION("""COMPUTED_VALUE"""),"Uncle Sams Cider (04/04/2023)")</f>
        <v>Uncle Sams Cider (04/04/2023)</v>
      </c>
      <c r="H673" s="19"/>
    </row>
    <row r="674">
      <c r="A674" s="9"/>
      <c r="B674" s="15"/>
      <c r="C674" s="9">
        <f>IFERROR(__xludf.DUMMYFUNCTION("""COMPUTED_VALUE"""),45137.6036117245)</f>
        <v>45137.60361</v>
      </c>
      <c r="D674" s="15">
        <f>IFERROR(__xludf.DUMMYFUNCTION("""COMPUTED_VALUE"""),1.003)</f>
        <v>1.003</v>
      </c>
      <c r="E674" s="16">
        <f>IFERROR(__xludf.DUMMYFUNCTION("""COMPUTED_VALUE"""),74.0)</f>
        <v>74</v>
      </c>
      <c r="F674" s="19" t="str">
        <f>IFERROR(__xludf.DUMMYFUNCTION("""COMPUTED_VALUE"""),"BLACK")</f>
        <v>BLACK</v>
      </c>
      <c r="G674" s="20" t="str">
        <f>IFERROR(__xludf.DUMMYFUNCTION("""COMPUTED_VALUE"""),"Uncle Sams Cider (04/04/2023)")</f>
        <v>Uncle Sams Cider (04/04/2023)</v>
      </c>
      <c r="H674" s="19"/>
    </row>
    <row r="675">
      <c r="A675" s="9"/>
      <c r="B675" s="15"/>
      <c r="C675" s="9">
        <f>IFERROR(__xludf.DUMMYFUNCTION("""COMPUTED_VALUE"""),45137.5931904861)</f>
        <v>45137.59319</v>
      </c>
      <c r="D675" s="15">
        <f>IFERROR(__xludf.DUMMYFUNCTION("""COMPUTED_VALUE"""),1.003)</f>
        <v>1.003</v>
      </c>
      <c r="E675" s="16">
        <f>IFERROR(__xludf.DUMMYFUNCTION("""COMPUTED_VALUE"""),74.0)</f>
        <v>74</v>
      </c>
      <c r="F675" s="19" t="str">
        <f>IFERROR(__xludf.DUMMYFUNCTION("""COMPUTED_VALUE"""),"BLACK")</f>
        <v>BLACK</v>
      </c>
      <c r="G675" s="20" t="str">
        <f>IFERROR(__xludf.DUMMYFUNCTION("""COMPUTED_VALUE"""),"Uncle Sams Cider (04/04/2023)")</f>
        <v>Uncle Sams Cider (04/04/2023)</v>
      </c>
      <c r="H675" s="19"/>
    </row>
    <row r="676">
      <c r="A676" s="9"/>
      <c r="B676" s="15"/>
      <c r="C676" s="9">
        <f>IFERROR(__xludf.DUMMYFUNCTION("""COMPUTED_VALUE"""),45137.5827695833)</f>
        <v>45137.58277</v>
      </c>
      <c r="D676" s="15">
        <f>IFERROR(__xludf.DUMMYFUNCTION("""COMPUTED_VALUE"""),1.003)</f>
        <v>1.003</v>
      </c>
      <c r="E676" s="16">
        <f>IFERROR(__xludf.DUMMYFUNCTION("""COMPUTED_VALUE"""),74.0)</f>
        <v>74</v>
      </c>
      <c r="F676" s="19" t="str">
        <f>IFERROR(__xludf.DUMMYFUNCTION("""COMPUTED_VALUE"""),"BLACK")</f>
        <v>BLACK</v>
      </c>
      <c r="G676" s="20" t="str">
        <f>IFERROR(__xludf.DUMMYFUNCTION("""COMPUTED_VALUE"""),"Uncle Sams Cider (04/04/2023)")</f>
        <v>Uncle Sams Cider (04/04/2023)</v>
      </c>
      <c r="H676" s="19"/>
    </row>
    <row r="677">
      <c r="A677" s="9"/>
      <c r="B677" s="15"/>
      <c r="C677" s="9">
        <f>IFERROR(__xludf.DUMMYFUNCTION("""COMPUTED_VALUE"""),45137.5723374074)</f>
        <v>45137.57234</v>
      </c>
      <c r="D677" s="15">
        <f>IFERROR(__xludf.DUMMYFUNCTION("""COMPUTED_VALUE"""),1.003)</f>
        <v>1.003</v>
      </c>
      <c r="E677" s="16">
        <f>IFERROR(__xludf.DUMMYFUNCTION("""COMPUTED_VALUE"""),74.0)</f>
        <v>74</v>
      </c>
      <c r="F677" s="19" t="str">
        <f>IFERROR(__xludf.DUMMYFUNCTION("""COMPUTED_VALUE"""),"BLACK")</f>
        <v>BLACK</v>
      </c>
      <c r="G677" s="20" t="str">
        <f>IFERROR(__xludf.DUMMYFUNCTION("""COMPUTED_VALUE"""),"Uncle Sams Cider (04/04/2023)")</f>
        <v>Uncle Sams Cider (04/04/2023)</v>
      </c>
      <c r="H677" s="19"/>
    </row>
    <row r="678">
      <c r="A678" s="9"/>
      <c r="B678" s="15"/>
      <c r="C678" s="9">
        <f>IFERROR(__xludf.DUMMYFUNCTION("""COMPUTED_VALUE"""),45137.561914699)</f>
        <v>45137.56191</v>
      </c>
      <c r="D678" s="15">
        <f>IFERROR(__xludf.DUMMYFUNCTION("""COMPUTED_VALUE"""),1.003)</f>
        <v>1.003</v>
      </c>
      <c r="E678" s="16">
        <f>IFERROR(__xludf.DUMMYFUNCTION("""COMPUTED_VALUE"""),74.0)</f>
        <v>74</v>
      </c>
      <c r="F678" s="19" t="str">
        <f>IFERROR(__xludf.DUMMYFUNCTION("""COMPUTED_VALUE"""),"BLACK")</f>
        <v>BLACK</v>
      </c>
      <c r="G678" s="20" t="str">
        <f>IFERROR(__xludf.DUMMYFUNCTION("""COMPUTED_VALUE"""),"Uncle Sams Cider (04/04/2023)")</f>
        <v>Uncle Sams Cider (04/04/2023)</v>
      </c>
      <c r="H678" s="19"/>
    </row>
    <row r="679">
      <c r="A679" s="9"/>
      <c r="B679" s="15"/>
      <c r="C679" s="9">
        <f>IFERROR(__xludf.DUMMYFUNCTION("""COMPUTED_VALUE"""),45137.551492199)</f>
        <v>45137.55149</v>
      </c>
      <c r="D679" s="15">
        <f>IFERROR(__xludf.DUMMYFUNCTION("""COMPUTED_VALUE"""),1.003)</f>
        <v>1.003</v>
      </c>
      <c r="E679" s="16">
        <f>IFERROR(__xludf.DUMMYFUNCTION("""COMPUTED_VALUE"""),74.0)</f>
        <v>74</v>
      </c>
      <c r="F679" s="19" t="str">
        <f>IFERROR(__xludf.DUMMYFUNCTION("""COMPUTED_VALUE"""),"BLACK")</f>
        <v>BLACK</v>
      </c>
      <c r="G679" s="20" t="str">
        <f>IFERROR(__xludf.DUMMYFUNCTION("""COMPUTED_VALUE"""),"Uncle Sams Cider (04/04/2023)")</f>
        <v>Uncle Sams Cider (04/04/2023)</v>
      </c>
      <c r="H679" s="19"/>
    </row>
    <row r="680">
      <c r="A680" s="9"/>
      <c r="B680" s="15"/>
      <c r="C680" s="9">
        <f>IFERROR(__xludf.DUMMYFUNCTION("""COMPUTED_VALUE"""),45137.5410708101)</f>
        <v>45137.54107</v>
      </c>
      <c r="D680" s="15">
        <f>IFERROR(__xludf.DUMMYFUNCTION("""COMPUTED_VALUE"""),1.003)</f>
        <v>1.003</v>
      </c>
      <c r="E680" s="16">
        <f>IFERROR(__xludf.DUMMYFUNCTION("""COMPUTED_VALUE"""),74.0)</f>
        <v>74</v>
      </c>
      <c r="F680" s="19" t="str">
        <f>IFERROR(__xludf.DUMMYFUNCTION("""COMPUTED_VALUE"""),"BLACK")</f>
        <v>BLACK</v>
      </c>
      <c r="G680" s="20" t="str">
        <f>IFERROR(__xludf.DUMMYFUNCTION("""COMPUTED_VALUE"""),"Uncle Sams Cider (04/04/2023)")</f>
        <v>Uncle Sams Cider (04/04/2023)</v>
      </c>
      <c r="H680" s="19"/>
    </row>
    <row r="681">
      <c r="A681" s="9"/>
      <c r="B681" s="15"/>
      <c r="C681" s="9">
        <f>IFERROR(__xludf.DUMMYFUNCTION("""COMPUTED_VALUE"""),45137.5306516435)</f>
        <v>45137.53065</v>
      </c>
      <c r="D681" s="15">
        <f>IFERROR(__xludf.DUMMYFUNCTION("""COMPUTED_VALUE"""),1.003)</f>
        <v>1.003</v>
      </c>
      <c r="E681" s="16">
        <f>IFERROR(__xludf.DUMMYFUNCTION("""COMPUTED_VALUE"""),74.0)</f>
        <v>74</v>
      </c>
      <c r="F681" s="19" t="str">
        <f>IFERROR(__xludf.DUMMYFUNCTION("""COMPUTED_VALUE"""),"BLACK")</f>
        <v>BLACK</v>
      </c>
      <c r="G681" s="20" t="str">
        <f>IFERROR(__xludf.DUMMYFUNCTION("""COMPUTED_VALUE"""),"Uncle Sams Cider (04/04/2023)")</f>
        <v>Uncle Sams Cider (04/04/2023)</v>
      </c>
      <c r="H681" s="19"/>
    </row>
    <row r="682">
      <c r="A682" s="9"/>
      <c r="B682" s="15"/>
      <c r="C682" s="9">
        <f>IFERROR(__xludf.DUMMYFUNCTION("""COMPUTED_VALUE"""),45137.5202298726)</f>
        <v>45137.52023</v>
      </c>
      <c r="D682" s="15">
        <f>IFERROR(__xludf.DUMMYFUNCTION("""COMPUTED_VALUE"""),1.003)</f>
        <v>1.003</v>
      </c>
      <c r="E682" s="16">
        <f>IFERROR(__xludf.DUMMYFUNCTION("""COMPUTED_VALUE"""),74.0)</f>
        <v>74</v>
      </c>
      <c r="F682" s="19" t="str">
        <f>IFERROR(__xludf.DUMMYFUNCTION("""COMPUTED_VALUE"""),"BLACK")</f>
        <v>BLACK</v>
      </c>
      <c r="G682" s="20" t="str">
        <f>IFERROR(__xludf.DUMMYFUNCTION("""COMPUTED_VALUE"""),"Uncle Sams Cider (04/04/2023)")</f>
        <v>Uncle Sams Cider (04/04/2023)</v>
      </c>
      <c r="H682" s="19"/>
    </row>
    <row r="683">
      <c r="A683" s="9"/>
      <c r="B683" s="15"/>
      <c r="C683" s="9">
        <f>IFERROR(__xludf.DUMMYFUNCTION("""COMPUTED_VALUE"""),45137.5098097569)</f>
        <v>45137.50981</v>
      </c>
      <c r="D683" s="15">
        <f>IFERROR(__xludf.DUMMYFUNCTION("""COMPUTED_VALUE"""),1.003)</f>
        <v>1.003</v>
      </c>
      <c r="E683" s="16">
        <f>IFERROR(__xludf.DUMMYFUNCTION("""COMPUTED_VALUE"""),74.0)</f>
        <v>74</v>
      </c>
      <c r="F683" s="19" t="str">
        <f>IFERROR(__xludf.DUMMYFUNCTION("""COMPUTED_VALUE"""),"BLACK")</f>
        <v>BLACK</v>
      </c>
      <c r="G683" s="20" t="str">
        <f>IFERROR(__xludf.DUMMYFUNCTION("""COMPUTED_VALUE"""),"Uncle Sams Cider (04/04/2023)")</f>
        <v>Uncle Sams Cider (04/04/2023)</v>
      </c>
      <c r="H683" s="19"/>
    </row>
    <row r="684">
      <c r="A684" s="9"/>
      <c r="B684" s="15"/>
      <c r="C684" s="9">
        <f>IFERROR(__xludf.DUMMYFUNCTION("""COMPUTED_VALUE"""),45137.4993884027)</f>
        <v>45137.49939</v>
      </c>
      <c r="D684" s="15">
        <f>IFERROR(__xludf.DUMMYFUNCTION("""COMPUTED_VALUE"""),1.003)</f>
        <v>1.003</v>
      </c>
      <c r="E684" s="16">
        <f>IFERROR(__xludf.DUMMYFUNCTION("""COMPUTED_VALUE"""),74.0)</f>
        <v>74</v>
      </c>
      <c r="F684" s="19" t="str">
        <f>IFERROR(__xludf.DUMMYFUNCTION("""COMPUTED_VALUE"""),"BLACK")</f>
        <v>BLACK</v>
      </c>
      <c r="G684" s="20" t="str">
        <f>IFERROR(__xludf.DUMMYFUNCTION("""COMPUTED_VALUE"""),"Uncle Sams Cider (04/04/2023)")</f>
        <v>Uncle Sams Cider (04/04/2023)</v>
      </c>
      <c r="H684" s="19"/>
    </row>
    <row r="685">
      <c r="A685" s="9"/>
      <c r="B685" s="15"/>
      <c r="C685" s="9">
        <f>IFERROR(__xludf.DUMMYFUNCTION("""COMPUTED_VALUE"""),45137.4889682523)</f>
        <v>45137.48897</v>
      </c>
      <c r="D685" s="15">
        <f>IFERROR(__xludf.DUMMYFUNCTION("""COMPUTED_VALUE"""),1.003)</f>
        <v>1.003</v>
      </c>
      <c r="E685" s="16">
        <f>IFERROR(__xludf.DUMMYFUNCTION("""COMPUTED_VALUE"""),74.0)</f>
        <v>74</v>
      </c>
      <c r="F685" s="19" t="str">
        <f>IFERROR(__xludf.DUMMYFUNCTION("""COMPUTED_VALUE"""),"BLACK")</f>
        <v>BLACK</v>
      </c>
      <c r="G685" s="20" t="str">
        <f>IFERROR(__xludf.DUMMYFUNCTION("""COMPUTED_VALUE"""),"Uncle Sams Cider (04/04/2023)")</f>
        <v>Uncle Sams Cider (04/04/2023)</v>
      </c>
      <c r="H685" s="19"/>
    </row>
    <row r="686">
      <c r="A686" s="9"/>
      <c r="B686" s="15"/>
      <c r="C686" s="9">
        <f>IFERROR(__xludf.DUMMYFUNCTION("""COMPUTED_VALUE"""),45137.4785472106)</f>
        <v>45137.47855</v>
      </c>
      <c r="D686" s="15">
        <f>IFERROR(__xludf.DUMMYFUNCTION("""COMPUTED_VALUE"""),1.003)</f>
        <v>1.003</v>
      </c>
      <c r="E686" s="16">
        <f>IFERROR(__xludf.DUMMYFUNCTION("""COMPUTED_VALUE"""),74.0)</f>
        <v>74</v>
      </c>
      <c r="F686" s="19" t="str">
        <f>IFERROR(__xludf.DUMMYFUNCTION("""COMPUTED_VALUE"""),"BLACK")</f>
        <v>BLACK</v>
      </c>
      <c r="G686" s="20" t="str">
        <f>IFERROR(__xludf.DUMMYFUNCTION("""COMPUTED_VALUE"""),"Uncle Sams Cider (04/04/2023)")</f>
        <v>Uncle Sams Cider (04/04/2023)</v>
      </c>
      <c r="H686" s="19"/>
    </row>
    <row r="687">
      <c r="A687" s="9"/>
      <c r="B687" s="15"/>
      <c r="C687" s="9">
        <f>IFERROR(__xludf.DUMMYFUNCTION("""COMPUTED_VALUE"""),45137.4681255555)</f>
        <v>45137.46813</v>
      </c>
      <c r="D687" s="15">
        <f>IFERROR(__xludf.DUMMYFUNCTION("""COMPUTED_VALUE"""),1.003)</f>
        <v>1.003</v>
      </c>
      <c r="E687" s="16">
        <f>IFERROR(__xludf.DUMMYFUNCTION("""COMPUTED_VALUE"""),74.0)</f>
        <v>74</v>
      </c>
      <c r="F687" s="19" t="str">
        <f>IFERROR(__xludf.DUMMYFUNCTION("""COMPUTED_VALUE"""),"BLACK")</f>
        <v>BLACK</v>
      </c>
      <c r="G687" s="20" t="str">
        <f>IFERROR(__xludf.DUMMYFUNCTION("""COMPUTED_VALUE"""),"Uncle Sams Cider (04/04/2023)")</f>
        <v>Uncle Sams Cider (04/04/2023)</v>
      </c>
      <c r="H687" s="19"/>
    </row>
    <row r="688">
      <c r="A688" s="9"/>
      <c r="B688" s="15"/>
      <c r="C688" s="9">
        <f>IFERROR(__xludf.DUMMYFUNCTION("""COMPUTED_VALUE"""),45137.4577037615)</f>
        <v>45137.4577</v>
      </c>
      <c r="D688" s="15">
        <f>IFERROR(__xludf.DUMMYFUNCTION("""COMPUTED_VALUE"""),1.003)</f>
        <v>1.003</v>
      </c>
      <c r="E688" s="16">
        <f>IFERROR(__xludf.DUMMYFUNCTION("""COMPUTED_VALUE"""),74.0)</f>
        <v>74</v>
      </c>
      <c r="F688" s="19" t="str">
        <f>IFERROR(__xludf.DUMMYFUNCTION("""COMPUTED_VALUE"""),"BLACK")</f>
        <v>BLACK</v>
      </c>
      <c r="G688" s="20" t="str">
        <f>IFERROR(__xludf.DUMMYFUNCTION("""COMPUTED_VALUE"""),"Uncle Sams Cider (04/04/2023)")</f>
        <v>Uncle Sams Cider (04/04/2023)</v>
      </c>
      <c r="H688" s="19"/>
    </row>
    <row r="689">
      <c r="A689" s="9"/>
      <c r="B689" s="15"/>
      <c r="C689" s="9">
        <f>IFERROR(__xludf.DUMMYFUNCTION("""COMPUTED_VALUE"""),45137.4472710185)</f>
        <v>45137.44727</v>
      </c>
      <c r="D689" s="15">
        <f>IFERROR(__xludf.DUMMYFUNCTION("""COMPUTED_VALUE"""),1.003)</f>
        <v>1.003</v>
      </c>
      <c r="E689" s="16">
        <f>IFERROR(__xludf.DUMMYFUNCTION("""COMPUTED_VALUE"""),74.0)</f>
        <v>74</v>
      </c>
      <c r="F689" s="19" t="str">
        <f>IFERROR(__xludf.DUMMYFUNCTION("""COMPUTED_VALUE"""),"BLACK")</f>
        <v>BLACK</v>
      </c>
      <c r="G689" s="20" t="str">
        <f>IFERROR(__xludf.DUMMYFUNCTION("""COMPUTED_VALUE"""),"Uncle Sams Cider (04/04/2023)")</f>
        <v>Uncle Sams Cider (04/04/2023)</v>
      </c>
      <c r="H689" s="19"/>
    </row>
    <row r="690">
      <c r="A690" s="9"/>
      <c r="B690" s="15"/>
      <c r="C690" s="9">
        <f>IFERROR(__xludf.DUMMYFUNCTION("""COMPUTED_VALUE"""),45137.4368516435)</f>
        <v>45137.43685</v>
      </c>
      <c r="D690" s="15">
        <f>IFERROR(__xludf.DUMMYFUNCTION("""COMPUTED_VALUE"""),1.003)</f>
        <v>1.003</v>
      </c>
      <c r="E690" s="16">
        <f>IFERROR(__xludf.DUMMYFUNCTION("""COMPUTED_VALUE"""),74.0)</f>
        <v>74</v>
      </c>
      <c r="F690" s="19" t="str">
        <f>IFERROR(__xludf.DUMMYFUNCTION("""COMPUTED_VALUE"""),"BLACK")</f>
        <v>BLACK</v>
      </c>
      <c r="G690" s="20" t="str">
        <f>IFERROR(__xludf.DUMMYFUNCTION("""COMPUTED_VALUE"""),"Uncle Sams Cider (04/04/2023)")</f>
        <v>Uncle Sams Cider (04/04/2023)</v>
      </c>
      <c r="H690" s="19"/>
    </row>
    <row r="691">
      <c r="A691" s="9"/>
      <c r="B691" s="15"/>
      <c r="C691" s="9">
        <f>IFERROR(__xludf.DUMMYFUNCTION("""COMPUTED_VALUE"""),45137.4264292708)</f>
        <v>45137.42643</v>
      </c>
      <c r="D691" s="15">
        <f>IFERROR(__xludf.DUMMYFUNCTION("""COMPUTED_VALUE"""),1.003)</f>
        <v>1.003</v>
      </c>
      <c r="E691" s="16">
        <f>IFERROR(__xludf.DUMMYFUNCTION("""COMPUTED_VALUE"""),74.0)</f>
        <v>74</v>
      </c>
      <c r="F691" s="19" t="str">
        <f>IFERROR(__xludf.DUMMYFUNCTION("""COMPUTED_VALUE"""),"BLACK")</f>
        <v>BLACK</v>
      </c>
      <c r="G691" s="20" t="str">
        <f>IFERROR(__xludf.DUMMYFUNCTION("""COMPUTED_VALUE"""),"Uncle Sams Cider (04/04/2023)")</f>
        <v>Uncle Sams Cider (04/04/2023)</v>
      </c>
      <c r="H691" s="19"/>
    </row>
    <row r="692">
      <c r="A692" s="9"/>
      <c r="B692" s="15"/>
      <c r="C692" s="9">
        <f>IFERROR(__xludf.DUMMYFUNCTION("""COMPUTED_VALUE"""),45137.4160073379)</f>
        <v>45137.41601</v>
      </c>
      <c r="D692" s="15">
        <f>IFERROR(__xludf.DUMMYFUNCTION("""COMPUTED_VALUE"""),1.003)</f>
        <v>1.003</v>
      </c>
      <c r="E692" s="16">
        <f>IFERROR(__xludf.DUMMYFUNCTION("""COMPUTED_VALUE"""),74.0)</f>
        <v>74</v>
      </c>
      <c r="F692" s="19" t="str">
        <f>IFERROR(__xludf.DUMMYFUNCTION("""COMPUTED_VALUE"""),"BLACK")</f>
        <v>BLACK</v>
      </c>
      <c r="G692" s="20" t="str">
        <f>IFERROR(__xludf.DUMMYFUNCTION("""COMPUTED_VALUE"""),"Uncle Sams Cider (04/04/2023)")</f>
        <v>Uncle Sams Cider (04/04/2023)</v>
      </c>
      <c r="H692" s="19"/>
    </row>
    <row r="693">
      <c r="A693" s="9"/>
      <c r="B693" s="15"/>
      <c r="C693" s="9">
        <f>IFERROR(__xludf.DUMMYFUNCTION("""COMPUTED_VALUE"""),45137.405585162)</f>
        <v>45137.40559</v>
      </c>
      <c r="D693" s="15">
        <f>IFERROR(__xludf.DUMMYFUNCTION("""COMPUTED_VALUE"""),1.003)</f>
        <v>1.003</v>
      </c>
      <c r="E693" s="16">
        <f>IFERROR(__xludf.DUMMYFUNCTION("""COMPUTED_VALUE"""),74.0)</f>
        <v>74</v>
      </c>
      <c r="F693" s="19" t="str">
        <f>IFERROR(__xludf.DUMMYFUNCTION("""COMPUTED_VALUE"""),"BLACK")</f>
        <v>BLACK</v>
      </c>
      <c r="G693" s="20" t="str">
        <f>IFERROR(__xludf.DUMMYFUNCTION("""COMPUTED_VALUE"""),"Uncle Sams Cider (04/04/2023)")</f>
        <v>Uncle Sams Cider (04/04/2023)</v>
      </c>
      <c r="H693" s="19"/>
    </row>
    <row r="694">
      <c r="A694" s="9"/>
      <c r="B694" s="15"/>
      <c r="C694" s="9">
        <f>IFERROR(__xludf.DUMMYFUNCTION("""COMPUTED_VALUE"""),45137.3951626504)</f>
        <v>45137.39516</v>
      </c>
      <c r="D694" s="15">
        <f>IFERROR(__xludf.DUMMYFUNCTION("""COMPUTED_VALUE"""),1.003)</f>
        <v>1.003</v>
      </c>
      <c r="E694" s="16">
        <f>IFERROR(__xludf.DUMMYFUNCTION("""COMPUTED_VALUE"""),74.0)</f>
        <v>74</v>
      </c>
      <c r="F694" s="19" t="str">
        <f>IFERROR(__xludf.DUMMYFUNCTION("""COMPUTED_VALUE"""),"BLACK")</f>
        <v>BLACK</v>
      </c>
      <c r="G694" s="20" t="str">
        <f>IFERROR(__xludf.DUMMYFUNCTION("""COMPUTED_VALUE"""),"Uncle Sams Cider (04/04/2023)")</f>
        <v>Uncle Sams Cider (04/04/2023)</v>
      </c>
      <c r="H694" s="19"/>
    </row>
    <row r="695">
      <c r="A695" s="9"/>
      <c r="B695" s="15"/>
      <c r="C695" s="9">
        <f>IFERROR(__xludf.DUMMYFUNCTION("""COMPUTED_VALUE"""),45137.3847413078)</f>
        <v>45137.38474</v>
      </c>
      <c r="D695" s="15">
        <f>IFERROR(__xludf.DUMMYFUNCTION("""COMPUTED_VALUE"""),1.003)</f>
        <v>1.003</v>
      </c>
      <c r="E695" s="16">
        <f>IFERROR(__xludf.DUMMYFUNCTION("""COMPUTED_VALUE"""),74.0)</f>
        <v>74</v>
      </c>
      <c r="F695" s="19" t="str">
        <f>IFERROR(__xludf.DUMMYFUNCTION("""COMPUTED_VALUE"""),"BLACK")</f>
        <v>BLACK</v>
      </c>
      <c r="G695" s="20" t="str">
        <f>IFERROR(__xludf.DUMMYFUNCTION("""COMPUTED_VALUE"""),"Uncle Sams Cider (04/04/2023)")</f>
        <v>Uncle Sams Cider (04/04/2023)</v>
      </c>
      <c r="H695" s="19"/>
    </row>
    <row r="696">
      <c r="A696" s="9"/>
      <c r="B696" s="15"/>
      <c r="C696" s="9">
        <f>IFERROR(__xludf.DUMMYFUNCTION("""COMPUTED_VALUE"""),45137.3743215625)</f>
        <v>45137.37432</v>
      </c>
      <c r="D696" s="15">
        <f>IFERROR(__xludf.DUMMYFUNCTION("""COMPUTED_VALUE"""),1.003)</f>
        <v>1.003</v>
      </c>
      <c r="E696" s="16">
        <f>IFERROR(__xludf.DUMMYFUNCTION("""COMPUTED_VALUE"""),74.0)</f>
        <v>74</v>
      </c>
      <c r="F696" s="19" t="str">
        <f>IFERROR(__xludf.DUMMYFUNCTION("""COMPUTED_VALUE"""),"BLACK")</f>
        <v>BLACK</v>
      </c>
      <c r="G696" s="20" t="str">
        <f>IFERROR(__xludf.DUMMYFUNCTION("""COMPUTED_VALUE"""),"Uncle Sams Cider (04/04/2023)")</f>
        <v>Uncle Sams Cider (04/04/2023)</v>
      </c>
      <c r="H696" s="19"/>
    </row>
    <row r="697">
      <c r="A697" s="9"/>
      <c r="B697" s="15"/>
      <c r="C697" s="9">
        <f>IFERROR(__xludf.DUMMYFUNCTION("""COMPUTED_VALUE"""),45137.3638861458)</f>
        <v>45137.36389</v>
      </c>
      <c r="D697" s="15">
        <f>IFERROR(__xludf.DUMMYFUNCTION("""COMPUTED_VALUE"""),1.003)</f>
        <v>1.003</v>
      </c>
      <c r="E697" s="16">
        <f>IFERROR(__xludf.DUMMYFUNCTION("""COMPUTED_VALUE"""),74.0)</f>
        <v>74</v>
      </c>
      <c r="F697" s="19" t="str">
        <f>IFERROR(__xludf.DUMMYFUNCTION("""COMPUTED_VALUE"""),"BLACK")</f>
        <v>BLACK</v>
      </c>
      <c r="G697" s="20" t="str">
        <f>IFERROR(__xludf.DUMMYFUNCTION("""COMPUTED_VALUE"""),"Uncle Sams Cider (04/04/2023)")</f>
        <v>Uncle Sams Cider (04/04/2023)</v>
      </c>
      <c r="H697" s="19"/>
    </row>
    <row r="698">
      <c r="A698" s="9"/>
      <c r="B698" s="15"/>
      <c r="C698" s="9">
        <f>IFERROR(__xludf.DUMMYFUNCTION("""COMPUTED_VALUE"""),45137.3534651273)</f>
        <v>45137.35347</v>
      </c>
      <c r="D698" s="15">
        <f>IFERROR(__xludf.DUMMYFUNCTION("""COMPUTED_VALUE"""),1.003)</f>
        <v>1.003</v>
      </c>
      <c r="E698" s="16">
        <f>IFERROR(__xludf.DUMMYFUNCTION("""COMPUTED_VALUE"""),74.0)</f>
        <v>74</v>
      </c>
      <c r="F698" s="19" t="str">
        <f>IFERROR(__xludf.DUMMYFUNCTION("""COMPUTED_VALUE"""),"BLACK")</f>
        <v>BLACK</v>
      </c>
      <c r="G698" s="20" t="str">
        <f>IFERROR(__xludf.DUMMYFUNCTION("""COMPUTED_VALUE"""),"Uncle Sams Cider (04/04/2023)")</f>
        <v>Uncle Sams Cider (04/04/2023)</v>
      </c>
      <c r="H698" s="19"/>
    </row>
    <row r="699">
      <c r="A699" s="9"/>
      <c r="B699" s="15"/>
      <c r="C699" s="9">
        <f>IFERROR(__xludf.DUMMYFUNCTION("""COMPUTED_VALUE"""),45137.3430428009)</f>
        <v>45137.34304</v>
      </c>
      <c r="D699" s="15">
        <f>IFERROR(__xludf.DUMMYFUNCTION("""COMPUTED_VALUE"""),1.003)</f>
        <v>1.003</v>
      </c>
      <c r="E699" s="16">
        <f>IFERROR(__xludf.DUMMYFUNCTION("""COMPUTED_VALUE"""),74.0)</f>
        <v>74</v>
      </c>
      <c r="F699" s="19" t="str">
        <f>IFERROR(__xludf.DUMMYFUNCTION("""COMPUTED_VALUE"""),"BLACK")</f>
        <v>BLACK</v>
      </c>
      <c r="G699" s="20" t="str">
        <f>IFERROR(__xludf.DUMMYFUNCTION("""COMPUTED_VALUE"""),"Uncle Sams Cider (04/04/2023)")</f>
        <v>Uncle Sams Cider (04/04/2023)</v>
      </c>
      <c r="H699" s="19"/>
    </row>
    <row r="700">
      <c r="A700" s="9"/>
      <c r="B700" s="15"/>
      <c r="C700" s="9">
        <f>IFERROR(__xludf.DUMMYFUNCTION("""COMPUTED_VALUE"""),45137.3326193634)</f>
        <v>45137.33262</v>
      </c>
      <c r="D700" s="15">
        <f>IFERROR(__xludf.DUMMYFUNCTION("""COMPUTED_VALUE"""),1.003)</f>
        <v>1.003</v>
      </c>
      <c r="E700" s="16">
        <f>IFERROR(__xludf.DUMMYFUNCTION("""COMPUTED_VALUE"""),74.0)</f>
        <v>74</v>
      </c>
      <c r="F700" s="19" t="str">
        <f>IFERROR(__xludf.DUMMYFUNCTION("""COMPUTED_VALUE"""),"BLACK")</f>
        <v>BLACK</v>
      </c>
      <c r="G700" s="20" t="str">
        <f>IFERROR(__xludf.DUMMYFUNCTION("""COMPUTED_VALUE"""),"Uncle Sams Cider (04/04/2023)")</f>
        <v>Uncle Sams Cider (04/04/2023)</v>
      </c>
      <c r="H700" s="19"/>
    </row>
    <row r="701">
      <c r="A701" s="9"/>
      <c r="B701" s="15"/>
      <c r="C701" s="9">
        <f>IFERROR(__xludf.DUMMYFUNCTION("""COMPUTED_VALUE"""),45137.3221970601)</f>
        <v>45137.3222</v>
      </c>
      <c r="D701" s="15">
        <f>IFERROR(__xludf.DUMMYFUNCTION("""COMPUTED_VALUE"""),1.003)</f>
        <v>1.003</v>
      </c>
      <c r="E701" s="16">
        <f>IFERROR(__xludf.DUMMYFUNCTION("""COMPUTED_VALUE"""),74.0)</f>
        <v>74</v>
      </c>
      <c r="F701" s="19" t="str">
        <f>IFERROR(__xludf.DUMMYFUNCTION("""COMPUTED_VALUE"""),"BLACK")</f>
        <v>BLACK</v>
      </c>
      <c r="G701" s="20" t="str">
        <f>IFERROR(__xludf.DUMMYFUNCTION("""COMPUTED_VALUE"""),"Uncle Sams Cider (04/04/2023)")</f>
        <v>Uncle Sams Cider (04/04/2023)</v>
      </c>
      <c r="H701" s="19"/>
    </row>
    <row r="702">
      <c r="A702" s="9"/>
      <c r="B702" s="15"/>
      <c r="C702" s="9">
        <f>IFERROR(__xludf.DUMMYFUNCTION("""COMPUTED_VALUE"""),45137.3117748032)</f>
        <v>45137.31177</v>
      </c>
      <c r="D702" s="15">
        <f>IFERROR(__xludf.DUMMYFUNCTION("""COMPUTED_VALUE"""),1.003)</f>
        <v>1.003</v>
      </c>
      <c r="E702" s="16">
        <f>IFERROR(__xludf.DUMMYFUNCTION("""COMPUTED_VALUE"""),74.0)</f>
        <v>74</v>
      </c>
      <c r="F702" s="19" t="str">
        <f>IFERROR(__xludf.DUMMYFUNCTION("""COMPUTED_VALUE"""),"BLACK")</f>
        <v>BLACK</v>
      </c>
      <c r="G702" s="20" t="str">
        <f>IFERROR(__xludf.DUMMYFUNCTION("""COMPUTED_VALUE"""),"Uncle Sams Cider (04/04/2023)")</f>
        <v>Uncle Sams Cider (04/04/2023)</v>
      </c>
      <c r="H702" s="19"/>
    </row>
    <row r="703">
      <c r="A703" s="9"/>
      <c r="B703" s="15"/>
      <c r="C703" s="9">
        <f>IFERROR(__xludf.DUMMYFUNCTION("""COMPUTED_VALUE"""),45137.3013543402)</f>
        <v>45137.30135</v>
      </c>
      <c r="D703" s="15">
        <f>IFERROR(__xludf.DUMMYFUNCTION("""COMPUTED_VALUE"""),1.003)</f>
        <v>1.003</v>
      </c>
      <c r="E703" s="16">
        <f>IFERROR(__xludf.DUMMYFUNCTION("""COMPUTED_VALUE"""),74.0)</f>
        <v>74</v>
      </c>
      <c r="F703" s="19" t="str">
        <f>IFERROR(__xludf.DUMMYFUNCTION("""COMPUTED_VALUE"""),"BLACK")</f>
        <v>BLACK</v>
      </c>
      <c r="G703" s="20" t="str">
        <f>IFERROR(__xludf.DUMMYFUNCTION("""COMPUTED_VALUE"""),"Uncle Sams Cider (04/04/2023)")</f>
        <v>Uncle Sams Cider (04/04/2023)</v>
      </c>
      <c r="H703" s="19"/>
    </row>
    <row r="704">
      <c r="A704" s="9"/>
      <c r="B704" s="15"/>
      <c r="C704" s="9">
        <f>IFERROR(__xludf.DUMMYFUNCTION("""COMPUTED_VALUE"""),45137.2909324652)</f>
        <v>45137.29093</v>
      </c>
      <c r="D704" s="15">
        <f>IFERROR(__xludf.DUMMYFUNCTION("""COMPUTED_VALUE"""),1.003)</f>
        <v>1.003</v>
      </c>
      <c r="E704" s="16">
        <f>IFERROR(__xludf.DUMMYFUNCTION("""COMPUTED_VALUE"""),74.0)</f>
        <v>74</v>
      </c>
      <c r="F704" s="19" t="str">
        <f>IFERROR(__xludf.DUMMYFUNCTION("""COMPUTED_VALUE"""),"BLACK")</f>
        <v>BLACK</v>
      </c>
      <c r="G704" s="20" t="str">
        <f>IFERROR(__xludf.DUMMYFUNCTION("""COMPUTED_VALUE"""),"Uncle Sams Cider (04/04/2023)")</f>
        <v>Uncle Sams Cider (04/04/2023)</v>
      </c>
      <c r="H704" s="19"/>
    </row>
    <row r="705">
      <c r="A705" s="9"/>
      <c r="B705" s="15"/>
      <c r="C705" s="9">
        <f>IFERROR(__xludf.DUMMYFUNCTION("""COMPUTED_VALUE"""),45137.2805110532)</f>
        <v>45137.28051</v>
      </c>
      <c r="D705" s="15">
        <f>IFERROR(__xludf.DUMMYFUNCTION("""COMPUTED_VALUE"""),1.003)</f>
        <v>1.003</v>
      </c>
      <c r="E705" s="16">
        <f>IFERROR(__xludf.DUMMYFUNCTION("""COMPUTED_VALUE"""),74.0)</f>
        <v>74</v>
      </c>
      <c r="F705" s="19" t="str">
        <f>IFERROR(__xludf.DUMMYFUNCTION("""COMPUTED_VALUE"""),"BLACK")</f>
        <v>BLACK</v>
      </c>
      <c r="G705" s="20" t="str">
        <f>IFERROR(__xludf.DUMMYFUNCTION("""COMPUTED_VALUE"""),"Uncle Sams Cider (04/04/2023)")</f>
        <v>Uncle Sams Cider (04/04/2023)</v>
      </c>
      <c r="H705" s="19"/>
    </row>
    <row r="706">
      <c r="A706" s="9"/>
      <c r="B706" s="15"/>
      <c r="C706" s="9">
        <f>IFERROR(__xludf.DUMMYFUNCTION("""COMPUTED_VALUE"""),45137.2700898263)</f>
        <v>45137.27009</v>
      </c>
      <c r="D706" s="15">
        <f>IFERROR(__xludf.DUMMYFUNCTION("""COMPUTED_VALUE"""),1.003)</f>
        <v>1.003</v>
      </c>
      <c r="E706" s="16">
        <f>IFERROR(__xludf.DUMMYFUNCTION("""COMPUTED_VALUE"""),74.0)</f>
        <v>74</v>
      </c>
      <c r="F706" s="19" t="str">
        <f>IFERROR(__xludf.DUMMYFUNCTION("""COMPUTED_VALUE"""),"BLACK")</f>
        <v>BLACK</v>
      </c>
      <c r="G706" s="20" t="str">
        <f>IFERROR(__xludf.DUMMYFUNCTION("""COMPUTED_VALUE"""),"Uncle Sams Cider (04/04/2023)")</f>
        <v>Uncle Sams Cider (04/04/2023)</v>
      </c>
      <c r="H706" s="19"/>
    </row>
    <row r="707">
      <c r="A707" s="9"/>
      <c r="B707" s="15"/>
      <c r="C707" s="9">
        <f>IFERROR(__xludf.DUMMYFUNCTION("""COMPUTED_VALUE"""),45137.2596699537)</f>
        <v>45137.25967</v>
      </c>
      <c r="D707" s="15">
        <f>IFERROR(__xludf.DUMMYFUNCTION("""COMPUTED_VALUE"""),1.003)</f>
        <v>1.003</v>
      </c>
      <c r="E707" s="16">
        <f>IFERROR(__xludf.DUMMYFUNCTION("""COMPUTED_VALUE"""),74.0)</f>
        <v>74</v>
      </c>
      <c r="F707" s="19" t="str">
        <f>IFERROR(__xludf.DUMMYFUNCTION("""COMPUTED_VALUE"""),"BLACK")</f>
        <v>BLACK</v>
      </c>
      <c r="G707" s="20" t="str">
        <f>IFERROR(__xludf.DUMMYFUNCTION("""COMPUTED_VALUE"""),"Uncle Sams Cider (04/04/2023)")</f>
        <v>Uncle Sams Cider (04/04/2023)</v>
      </c>
      <c r="H707" s="19"/>
    </row>
    <row r="708">
      <c r="A708" s="9"/>
      <c r="B708" s="15"/>
      <c r="C708" s="9">
        <f>IFERROR(__xludf.DUMMYFUNCTION("""COMPUTED_VALUE"""),45137.2492375463)</f>
        <v>45137.24924</v>
      </c>
      <c r="D708" s="15">
        <f>IFERROR(__xludf.DUMMYFUNCTION("""COMPUTED_VALUE"""),1.003)</f>
        <v>1.003</v>
      </c>
      <c r="E708" s="16">
        <f>IFERROR(__xludf.DUMMYFUNCTION("""COMPUTED_VALUE"""),74.0)</f>
        <v>74</v>
      </c>
      <c r="F708" s="19" t="str">
        <f>IFERROR(__xludf.DUMMYFUNCTION("""COMPUTED_VALUE"""),"BLACK")</f>
        <v>BLACK</v>
      </c>
      <c r="G708" s="20" t="str">
        <f>IFERROR(__xludf.DUMMYFUNCTION("""COMPUTED_VALUE"""),"Uncle Sams Cider (04/04/2023)")</f>
        <v>Uncle Sams Cider (04/04/2023)</v>
      </c>
      <c r="H708" s="19"/>
    </row>
    <row r="709">
      <c r="A709" s="9"/>
      <c r="B709" s="15"/>
      <c r="C709" s="9">
        <f>IFERROR(__xludf.DUMMYFUNCTION("""COMPUTED_VALUE"""),45137.2388168634)</f>
        <v>45137.23882</v>
      </c>
      <c r="D709" s="15">
        <f>IFERROR(__xludf.DUMMYFUNCTION("""COMPUTED_VALUE"""),1.003)</f>
        <v>1.003</v>
      </c>
      <c r="E709" s="16">
        <f>IFERROR(__xludf.DUMMYFUNCTION("""COMPUTED_VALUE"""),74.0)</f>
        <v>74</v>
      </c>
      <c r="F709" s="19" t="str">
        <f>IFERROR(__xludf.DUMMYFUNCTION("""COMPUTED_VALUE"""),"BLACK")</f>
        <v>BLACK</v>
      </c>
      <c r="G709" s="20" t="str">
        <f>IFERROR(__xludf.DUMMYFUNCTION("""COMPUTED_VALUE"""),"Uncle Sams Cider (04/04/2023)")</f>
        <v>Uncle Sams Cider (04/04/2023)</v>
      </c>
      <c r="H709" s="19"/>
    </row>
    <row r="710">
      <c r="A710" s="9"/>
      <c r="B710" s="15"/>
      <c r="C710" s="9">
        <f>IFERROR(__xludf.DUMMYFUNCTION("""COMPUTED_VALUE"""),45137.2283956481)</f>
        <v>45137.2284</v>
      </c>
      <c r="D710" s="15">
        <f>IFERROR(__xludf.DUMMYFUNCTION("""COMPUTED_VALUE"""),1.003)</f>
        <v>1.003</v>
      </c>
      <c r="E710" s="16">
        <f>IFERROR(__xludf.DUMMYFUNCTION("""COMPUTED_VALUE"""),74.0)</f>
        <v>74</v>
      </c>
      <c r="F710" s="19" t="str">
        <f>IFERROR(__xludf.DUMMYFUNCTION("""COMPUTED_VALUE"""),"BLACK")</f>
        <v>BLACK</v>
      </c>
      <c r="G710" s="20" t="str">
        <f>IFERROR(__xludf.DUMMYFUNCTION("""COMPUTED_VALUE"""),"Uncle Sams Cider (04/04/2023)")</f>
        <v>Uncle Sams Cider (04/04/2023)</v>
      </c>
      <c r="H710" s="19"/>
    </row>
    <row r="711">
      <c r="A711" s="9"/>
      <c r="B711" s="15"/>
      <c r="C711" s="9">
        <f>IFERROR(__xludf.DUMMYFUNCTION("""COMPUTED_VALUE"""),45137.217977037)</f>
        <v>45137.21798</v>
      </c>
      <c r="D711" s="15">
        <f>IFERROR(__xludf.DUMMYFUNCTION("""COMPUTED_VALUE"""),1.003)</f>
        <v>1.003</v>
      </c>
      <c r="E711" s="16">
        <f>IFERROR(__xludf.DUMMYFUNCTION("""COMPUTED_VALUE"""),74.0)</f>
        <v>74</v>
      </c>
      <c r="F711" s="19" t="str">
        <f>IFERROR(__xludf.DUMMYFUNCTION("""COMPUTED_VALUE"""),"BLACK")</f>
        <v>BLACK</v>
      </c>
      <c r="G711" s="20" t="str">
        <f>IFERROR(__xludf.DUMMYFUNCTION("""COMPUTED_VALUE"""),"Uncle Sams Cider (04/04/2023)")</f>
        <v>Uncle Sams Cider (04/04/2023)</v>
      </c>
      <c r="H711" s="19"/>
    </row>
    <row r="712">
      <c r="A712" s="9"/>
      <c r="B712" s="15"/>
      <c r="C712" s="9">
        <f>IFERROR(__xludf.DUMMYFUNCTION("""COMPUTED_VALUE"""),45137.20754353)</f>
        <v>45137.20754</v>
      </c>
      <c r="D712" s="15">
        <f>IFERROR(__xludf.DUMMYFUNCTION("""COMPUTED_VALUE"""),1.003)</f>
        <v>1.003</v>
      </c>
      <c r="E712" s="16">
        <f>IFERROR(__xludf.DUMMYFUNCTION("""COMPUTED_VALUE"""),74.0)</f>
        <v>74</v>
      </c>
      <c r="F712" s="19" t="str">
        <f>IFERROR(__xludf.DUMMYFUNCTION("""COMPUTED_VALUE"""),"BLACK")</f>
        <v>BLACK</v>
      </c>
      <c r="G712" s="20" t="str">
        <f>IFERROR(__xludf.DUMMYFUNCTION("""COMPUTED_VALUE"""),"Uncle Sams Cider (04/04/2023)")</f>
        <v>Uncle Sams Cider (04/04/2023)</v>
      </c>
      <c r="H712" s="19"/>
    </row>
    <row r="713">
      <c r="A713" s="9"/>
      <c r="B713" s="15"/>
      <c r="C713" s="9">
        <f>IFERROR(__xludf.DUMMYFUNCTION("""COMPUTED_VALUE"""),45137.1971212731)</f>
        <v>45137.19712</v>
      </c>
      <c r="D713" s="15">
        <f>IFERROR(__xludf.DUMMYFUNCTION("""COMPUTED_VALUE"""),1.003)</f>
        <v>1.003</v>
      </c>
      <c r="E713" s="16">
        <f>IFERROR(__xludf.DUMMYFUNCTION("""COMPUTED_VALUE"""),74.0)</f>
        <v>74</v>
      </c>
      <c r="F713" s="19" t="str">
        <f>IFERROR(__xludf.DUMMYFUNCTION("""COMPUTED_VALUE"""),"BLACK")</f>
        <v>BLACK</v>
      </c>
      <c r="G713" s="20" t="str">
        <f>IFERROR(__xludf.DUMMYFUNCTION("""COMPUTED_VALUE"""),"Uncle Sams Cider (04/04/2023)")</f>
        <v>Uncle Sams Cider (04/04/2023)</v>
      </c>
      <c r="H713" s="19"/>
    </row>
    <row r="714">
      <c r="A714" s="9"/>
      <c r="B714" s="15"/>
      <c r="C714" s="9">
        <f>IFERROR(__xludf.DUMMYFUNCTION("""COMPUTED_VALUE"""),45137.1866995833)</f>
        <v>45137.1867</v>
      </c>
      <c r="D714" s="15">
        <f>IFERROR(__xludf.DUMMYFUNCTION("""COMPUTED_VALUE"""),1.003)</f>
        <v>1.003</v>
      </c>
      <c r="E714" s="16">
        <f>IFERROR(__xludf.DUMMYFUNCTION("""COMPUTED_VALUE"""),74.0)</f>
        <v>74</v>
      </c>
      <c r="F714" s="19" t="str">
        <f>IFERROR(__xludf.DUMMYFUNCTION("""COMPUTED_VALUE"""),"BLACK")</f>
        <v>BLACK</v>
      </c>
      <c r="G714" s="20" t="str">
        <f>IFERROR(__xludf.DUMMYFUNCTION("""COMPUTED_VALUE"""),"Uncle Sams Cider (04/04/2023)")</f>
        <v>Uncle Sams Cider (04/04/2023)</v>
      </c>
      <c r="H714" s="19"/>
    </row>
    <row r="715">
      <c r="A715" s="9"/>
      <c r="B715" s="15"/>
      <c r="C715" s="9">
        <f>IFERROR(__xludf.DUMMYFUNCTION("""COMPUTED_VALUE"""),45137.1762794675)</f>
        <v>45137.17628</v>
      </c>
      <c r="D715" s="15">
        <f>IFERROR(__xludf.DUMMYFUNCTION("""COMPUTED_VALUE"""),1.003)</f>
        <v>1.003</v>
      </c>
      <c r="E715" s="16">
        <f>IFERROR(__xludf.DUMMYFUNCTION("""COMPUTED_VALUE"""),74.0)</f>
        <v>74</v>
      </c>
      <c r="F715" s="19" t="str">
        <f>IFERROR(__xludf.DUMMYFUNCTION("""COMPUTED_VALUE"""),"BLACK")</f>
        <v>BLACK</v>
      </c>
      <c r="G715" s="20" t="str">
        <f>IFERROR(__xludf.DUMMYFUNCTION("""COMPUTED_VALUE"""),"Uncle Sams Cider (04/04/2023)")</f>
        <v>Uncle Sams Cider (04/04/2023)</v>
      </c>
      <c r="H715" s="19"/>
    </row>
    <row r="716">
      <c r="A716" s="9"/>
      <c r="B716" s="15"/>
      <c r="C716" s="9">
        <f>IFERROR(__xludf.DUMMYFUNCTION("""COMPUTED_VALUE"""),45137.1658585995)</f>
        <v>45137.16586</v>
      </c>
      <c r="D716" s="15">
        <f>IFERROR(__xludf.DUMMYFUNCTION("""COMPUTED_VALUE"""),1.003)</f>
        <v>1.003</v>
      </c>
      <c r="E716" s="16">
        <f>IFERROR(__xludf.DUMMYFUNCTION("""COMPUTED_VALUE"""),74.0)</f>
        <v>74</v>
      </c>
      <c r="F716" s="19" t="str">
        <f>IFERROR(__xludf.DUMMYFUNCTION("""COMPUTED_VALUE"""),"BLACK")</f>
        <v>BLACK</v>
      </c>
      <c r="G716" s="20" t="str">
        <f>IFERROR(__xludf.DUMMYFUNCTION("""COMPUTED_VALUE"""),"Uncle Sams Cider (04/04/2023)")</f>
        <v>Uncle Sams Cider (04/04/2023)</v>
      </c>
      <c r="H716" s="19"/>
    </row>
    <row r="717">
      <c r="A717" s="9"/>
      <c r="B717" s="15"/>
      <c r="C717" s="9">
        <f>IFERROR(__xludf.DUMMYFUNCTION("""COMPUTED_VALUE"""),45137.1554395717)</f>
        <v>45137.15544</v>
      </c>
      <c r="D717" s="15">
        <f>IFERROR(__xludf.DUMMYFUNCTION("""COMPUTED_VALUE"""),1.003)</f>
        <v>1.003</v>
      </c>
      <c r="E717" s="16">
        <f>IFERROR(__xludf.DUMMYFUNCTION("""COMPUTED_VALUE"""),74.0)</f>
        <v>74</v>
      </c>
      <c r="F717" s="19" t="str">
        <f>IFERROR(__xludf.DUMMYFUNCTION("""COMPUTED_VALUE"""),"BLACK")</f>
        <v>BLACK</v>
      </c>
      <c r="G717" s="20" t="str">
        <f>IFERROR(__xludf.DUMMYFUNCTION("""COMPUTED_VALUE"""),"Uncle Sams Cider (04/04/2023)")</f>
        <v>Uncle Sams Cider (04/04/2023)</v>
      </c>
      <c r="H717" s="19"/>
    </row>
    <row r="718">
      <c r="A718" s="9"/>
      <c r="B718" s="15"/>
      <c r="C718" s="9">
        <f>IFERROR(__xludf.DUMMYFUNCTION("""COMPUTED_VALUE"""),45137.1450189236)</f>
        <v>45137.14502</v>
      </c>
      <c r="D718" s="15">
        <f>IFERROR(__xludf.DUMMYFUNCTION("""COMPUTED_VALUE"""),1.003)</f>
        <v>1.003</v>
      </c>
      <c r="E718" s="16">
        <f>IFERROR(__xludf.DUMMYFUNCTION("""COMPUTED_VALUE"""),74.0)</f>
        <v>74</v>
      </c>
      <c r="F718" s="19" t="str">
        <f>IFERROR(__xludf.DUMMYFUNCTION("""COMPUTED_VALUE"""),"BLACK")</f>
        <v>BLACK</v>
      </c>
      <c r="G718" s="20" t="str">
        <f>IFERROR(__xludf.DUMMYFUNCTION("""COMPUTED_VALUE"""),"Uncle Sams Cider (04/04/2023)")</f>
        <v>Uncle Sams Cider (04/04/2023)</v>
      </c>
      <c r="H718" s="19"/>
    </row>
    <row r="719">
      <c r="A719" s="9"/>
      <c r="B719" s="15"/>
      <c r="C719" s="9">
        <f>IFERROR(__xludf.DUMMYFUNCTION("""COMPUTED_VALUE"""),45137.1345852546)</f>
        <v>45137.13459</v>
      </c>
      <c r="D719" s="15">
        <f>IFERROR(__xludf.DUMMYFUNCTION("""COMPUTED_VALUE"""),1.003)</f>
        <v>1.003</v>
      </c>
      <c r="E719" s="16">
        <f>IFERROR(__xludf.DUMMYFUNCTION("""COMPUTED_VALUE"""),74.0)</f>
        <v>74</v>
      </c>
      <c r="F719" s="19" t="str">
        <f>IFERROR(__xludf.DUMMYFUNCTION("""COMPUTED_VALUE"""),"BLACK")</f>
        <v>BLACK</v>
      </c>
      <c r="G719" s="20" t="str">
        <f>IFERROR(__xludf.DUMMYFUNCTION("""COMPUTED_VALUE"""),"Uncle Sams Cider (04/04/2023)")</f>
        <v>Uncle Sams Cider (04/04/2023)</v>
      </c>
      <c r="H719" s="19"/>
    </row>
    <row r="720">
      <c r="A720" s="9"/>
      <c r="B720" s="15"/>
      <c r="C720" s="9">
        <f>IFERROR(__xludf.DUMMYFUNCTION("""COMPUTED_VALUE"""),45137.1241520833)</f>
        <v>45137.12415</v>
      </c>
      <c r="D720" s="15">
        <f>IFERROR(__xludf.DUMMYFUNCTION("""COMPUTED_VALUE"""),1.003)</f>
        <v>1.003</v>
      </c>
      <c r="E720" s="16">
        <f>IFERROR(__xludf.DUMMYFUNCTION("""COMPUTED_VALUE"""),74.0)</f>
        <v>74</v>
      </c>
      <c r="F720" s="19" t="str">
        <f>IFERROR(__xludf.DUMMYFUNCTION("""COMPUTED_VALUE"""),"BLACK")</f>
        <v>BLACK</v>
      </c>
      <c r="G720" s="20" t="str">
        <f>IFERROR(__xludf.DUMMYFUNCTION("""COMPUTED_VALUE"""),"Uncle Sams Cider (04/04/2023)")</f>
        <v>Uncle Sams Cider (04/04/2023)</v>
      </c>
      <c r="H720" s="19"/>
    </row>
    <row r="721">
      <c r="A721" s="9"/>
      <c r="B721" s="15"/>
      <c r="C721" s="9">
        <f>IFERROR(__xludf.DUMMYFUNCTION("""COMPUTED_VALUE"""),45137.1137304629)</f>
        <v>45137.11373</v>
      </c>
      <c r="D721" s="15">
        <f>IFERROR(__xludf.DUMMYFUNCTION("""COMPUTED_VALUE"""),1.003)</f>
        <v>1.003</v>
      </c>
      <c r="E721" s="16">
        <f>IFERROR(__xludf.DUMMYFUNCTION("""COMPUTED_VALUE"""),74.0)</f>
        <v>74</v>
      </c>
      <c r="F721" s="19" t="str">
        <f>IFERROR(__xludf.DUMMYFUNCTION("""COMPUTED_VALUE"""),"BLACK")</f>
        <v>BLACK</v>
      </c>
      <c r="G721" s="20" t="str">
        <f>IFERROR(__xludf.DUMMYFUNCTION("""COMPUTED_VALUE"""),"Uncle Sams Cider (04/04/2023)")</f>
        <v>Uncle Sams Cider (04/04/2023)</v>
      </c>
      <c r="H721" s="19"/>
    </row>
    <row r="722">
      <c r="A722" s="9"/>
      <c r="B722" s="15"/>
      <c r="C722" s="9">
        <f>IFERROR(__xludf.DUMMYFUNCTION("""COMPUTED_VALUE"""),45137.1033092361)</f>
        <v>45137.10331</v>
      </c>
      <c r="D722" s="15">
        <f>IFERROR(__xludf.DUMMYFUNCTION("""COMPUTED_VALUE"""),1.003)</f>
        <v>1.003</v>
      </c>
      <c r="E722" s="16">
        <f>IFERROR(__xludf.DUMMYFUNCTION("""COMPUTED_VALUE"""),74.0)</f>
        <v>74</v>
      </c>
      <c r="F722" s="19" t="str">
        <f>IFERROR(__xludf.DUMMYFUNCTION("""COMPUTED_VALUE"""),"BLACK")</f>
        <v>BLACK</v>
      </c>
      <c r="G722" s="20" t="str">
        <f>IFERROR(__xludf.DUMMYFUNCTION("""COMPUTED_VALUE"""),"Uncle Sams Cider (04/04/2023)")</f>
        <v>Uncle Sams Cider (04/04/2023)</v>
      </c>
      <c r="H722" s="19"/>
    </row>
    <row r="723">
      <c r="A723" s="9"/>
      <c r="B723" s="15"/>
      <c r="C723" s="9">
        <f>IFERROR(__xludf.DUMMYFUNCTION("""COMPUTED_VALUE"""),45137.0928874768)</f>
        <v>45137.09289</v>
      </c>
      <c r="D723" s="15">
        <f>IFERROR(__xludf.DUMMYFUNCTION("""COMPUTED_VALUE"""),1.003)</f>
        <v>1.003</v>
      </c>
      <c r="E723" s="16">
        <f>IFERROR(__xludf.DUMMYFUNCTION("""COMPUTED_VALUE"""),74.0)</f>
        <v>74</v>
      </c>
      <c r="F723" s="19" t="str">
        <f>IFERROR(__xludf.DUMMYFUNCTION("""COMPUTED_VALUE"""),"BLACK")</f>
        <v>BLACK</v>
      </c>
      <c r="G723" s="20" t="str">
        <f>IFERROR(__xludf.DUMMYFUNCTION("""COMPUTED_VALUE"""),"Uncle Sams Cider (04/04/2023)")</f>
        <v>Uncle Sams Cider (04/04/2023)</v>
      </c>
      <c r="H723" s="19"/>
    </row>
    <row r="724">
      <c r="A724" s="9"/>
      <c r="B724" s="15"/>
      <c r="C724" s="9">
        <f>IFERROR(__xludf.DUMMYFUNCTION("""COMPUTED_VALUE"""),45137.0824655439)</f>
        <v>45137.08247</v>
      </c>
      <c r="D724" s="15">
        <f>IFERROR(__xludf.DUMMYFUNCTION("""COMPUTED_VALUE"""),1.003)</f>
        <v>1.003</v>
      </c>
      <c r="E724" s="16">
        <f>IFERROR(__xludf.DUMMYFUNCTION("""COMPUTED_VALUE"""),74.0)</f>
        <v>74</v>
      </c>
      <c r="F724" s="19" t="str">
        <f>IFERROR(__xludf.DUMMYFUNCTION("""COMPUTED_VALUE"""),"BLACK")</f>
        <v>BLACK</v>
      </c>
      <c r="G724" s="20" t="str">
        <f>IFERROR(__xludf.DUMMYFUNCTION("""COMPUTED_VALUE"""),"Uncle Sams Cider (04/04/2023)")</f>
        <v>Uncle Sams Cider (04/04/2023)</v>
      </c>
      <c r="H724" s="19"/>
    </row>
    <row r="725">
      <c r="A725" s="9"/>
      <c r="B725" s="15"/>
      <c r="C725" s="9">
        <f>IFERROR(__xludf.DUMMYFUNCTION("""COMPUTED_VALUE"""),45137.072044155)</f>
        <v>45137.07204</v>
      </c>
      <c r="D725" s="15">
        <f>IFERROR(__xludf.DUMMYFUNCTION("""COMPUTED_VALUE"""),1.003)</f>
        <v>1.003</v>
      </c>
      <c r="E725" s="16">
        <f>IFERROR(__xludf.DUMMYFUNCTION("""COMPUTED_VALUE"""),74.0)</f>
        <v>74</v>
      </c>
      <c r="F725" s="19" t="str">
        <f>IFERROR(__xludf.DUMMYFUNCTION("""COMPUTED_VALUE"""),"BLACK")</f>
        <v>BLACK</v>
      </c>
      <c r="G725" s="20" t="str">
        <f>IFERROR(__xludf.DUMMYFUNCTION("""COMPUTED_VALUE"""),"Uncle Sams Cider (04/04/2023)")</f>
        <v>Uncle Sams Cider (04/04/2023)</v>
      </c>
      <c r="H725" s="19"/>
    </row>
    <row r="726">
      <c r="A726" s="9"/>
      <c r="B726" s="15"/>
      <c r="C726" s="9">
        <f>IFERROR(__xludf.DUMMYFUNCTION("""COMPUTED_VALUE"""),45137.0616222338)</f>
        <v>45137.06162</v>
      </c>
      <c r="D726" s="15">
        <f>IFERROR(__xludf.DUMMYFUNCTION("""COMPUTED_VALUE"""),1.003)</f>
        <v>1.003</v>
      </c>
      <c r="E726" s="16">
        <f>IFERROR(__xludf.DUMMYFUNCTION("""COMPUTED_VALUE"""),74.0)</f>
        <v>74</v>
      </c>
      <c r="F726" s="19" t="str">
        <f>IFERROR(__xludf.DUMMYFUNCTION("""COMPUTED_VALUE"""),"BLACK")</f>
        <v>BLACK</v>
      </c>
      <c r="G726" s="20" t="str">
        <f>IFERROR(__xludf.DUMMYFUNCTION("""COMPUTED_VALUE"""),"Uncle Sams Cider (04/04/2023)")</f>
        <v>Uncle Sams Cider (04/04/2023)</v>
      </c>
      <c r="H726" s="19"/>
    </row>
    <row r="727">
      <c r="A727" s="9"/>
      <c r="B727" s="15"/>
      <c r="C727" s="9">
        <f>IFERROR(__xludf.DUMMYFUNCTION("""COMPUTED_VALUE"""),45137.0512007175)</f>
        <v>45137.0512</v>
      </c>
      <c r="D727" s="15">
        <f>IFERROR(__xludf.DUMMYFUNCTION("""COMPUTED_VALUE"""),1.003)</f>
        <v>1.003</v>
      </c>
      <c r="E727" s="16">
        <f>IFERROR(__xludf.DUMMYFUNCTION("""COMPUTED_VALUE"""),74.0)</f>
        <v>74</v>
      </c>
      <c r="F727" s="19" t="str">
        <f>IFERROR(__xludf.DUMMYFUNCTION("""COMPUTED_VALUE"""),"BLACK")</f>
        <v>BLACK</v>
      </c>
      <c r="G727" s="20" t="str">
        <f>IFERROR(__xludf.DUMMYFUNCTION("""COMPUTED_VALUE"""),"Uncle Sams Cider (04/04/2023)")</f>
        <v>Uncle Sams Cider (04/04/2023)</v>
      </c>
      <c r="H727" s="19"/>
    </row>
    <row r="728">
      <c r="A728" s="9"/>
      <c r="B728" s="15"/>
      <c r="C728" s="9">
        <f>IFERROR(__xludf.DUMMYFUNCTION("""COMPUTED_VALUE"""),45137.0407818865)</f>
        <v>45137.04078</v>
      </c>
      <c r="D728" s="15">
        <f>IFERROR(__xludf.DUMMYFUNCTION("""COMPUTED_VALUE"""),1.003)</f>
        <v>1.003</v>
      </c>
      <c r="E728" s="16">
        <f>IFERROR(__xludf.DUMMYFUNCTION("""COMPUTED_VALUE"""),74.0)</f>
        <v>74</v>
      </c>
      <c r="F728" s="19" t="str">
        <f>IFERROR(__xludf.DUMMYFUNCTION("""COMPUTED_VALUE"""),"BLACK")</f>
        <v>BLACK</v>
      </c>
      <c r="G728" s="20" t="str">
        <f>IFERROR(__xludf.DUMMYFUNCTION("""COMPUTED_VALUE"""),"Uncle Sams Cider (04/04/2023)")</f>
        <v>Uncle Sams Cider (04/04/2023)</v>
      </c>
      <c r="H728" s="19"/>
    </row>
    <row r="729">
      <c r="A729" s="9"/>
      <c r="B729" s="15"/>
      <c r="C729" s="9">
        <f>IFERROR(__xludf.DUMMYFUNCTION("""COMPUTED_VALUE"""),45137.0303605092)</f>
        <v>45137.03036</v>
      </c>
      <c r="D729" s="15">
        <f>IFERROR(__xludf.DUMMYFUNCTION("""COMPUTED_VALUE"""),1.003)</f>
        <v>1.003</v>
      </c>
      <c r="E729" s="16">
        <f>IFERROR(__xludf.DUMMYFUNCTION("""COMPUTED_VALUE"""),74.0)</f>
        <v>74</v>
      </c>
      <c r="F729" s="19" t="str">
        <f>IFERROR(__xludf.DUMMYFUNCTION("""COMPUTED_VALUE"""),"BLACK")</f>
        <v>BLACK</v>
      </c>
      <c r="G729" s="20" t="str">
        <f>IFERROR(__xludf.DUMMYFUNCTION("""COMPUTED_VALUE"""),"Uncle Sams Cider (04/04/2023)")</f>
        <v>Uncle Sams Cider (04/04/2023)</v>
      </c>
      <c r="H729" s="19"/>
    </row>
    <row r="730">
      <c r="A730" s="9"/>
      <c r="B730" s="15"/>
      <c r="C730" s="9">
        <f>IFERROR(__xludf.DUMMYFUNCTION("""COMPUTED_VALUE"""),45137.0199388773)</f>
        <v>45137.01994</v>
      </c>
      <c r="D730" s="15">
        <f>IFERROR(__xludf.DUMMYFUNCTION("""COMPUTED_VALUE"""),1.003)</f>
        <v>1.003</v>
      </c>
      <c r="E730" s="16">
        <f>IFERROR(__xludf.DUMMYFUNCTION("""COMPUTED_VALUE"""),74.0)</f>
        <v>74</v>
      </c>
      <c r="F730" s="19" t="str">
        <f>IFERROR(__xludf.DUMMYFUNCTION("""COMPUTED_VALUE"""),"BLACK")</f>
        <v>BLACK</v>
      </c>
      <c r="G730" s="20" t="str">
        <f>IFERROR(__xludf.DUMMYFUNCTION("""COMPUTED_VALUE"""),"Uncle Sams Cider (04/04/2023)")</f>
        <v>Uncle Sams Cider (04/04/2023)</v>
      </c>
      <c r="H730" s="19"/>
    </row>
    <row r="731">
      <c r="A731" s="9"/>
      <c r="B731" s="15"/>
      <c r="C731" s="9">
        <f>IFERROR(__xludf.DUMMYFUNCTION("""COMPUTED_VALUE"""),45137.0095165509)</f>
        <v>45137.00952</v>
      </c>
      <c r="D731" s="15">
        <f>IFERROR(__xludf.DUMMYFUNCTION("""COMPUTED_VALUE"""),1.003)</f>
        <v>1.003</v>
      </c>
      <c r="E731" s="16">
        <f>IFERROR(__xludf.DUMMYFUNCTION("""COMPUTED_VALUE"""),74.0)</f>
        <v>74</v>
      </c>
      <c r="F731" s="19" t="str">
        <f>IFERROR(__xludf.DUMMYFUNCTION("""COMPUTED_VALUE"""),"BLACK")</f>
        <v>BLACK</v>
      </c>
      <c r="G731" s="20" t="str">
        <f>IFERROR(__xludf.DUMMYFUNCTION("""COMPUTED_VALUE"""),"Uncle Sams Cider (04/04/2023)")</f>
        <v>Uncle Sams Cider (04/04/2023)</v>
      </c>
      <c r="H731" s="19"/>
    </row>
    <row r="732">
      <c r="A732" s="9"/>
      <c r="B732" s="15"/>
      <c r="C732" s="9">
        <f>IFERROR(__xludf.DUMMYFUNCTION("""COMPUTED_VALUE"""),45136.9990962963)</f>
        <v>45136.9991</v>
      </c>
      <c r="D732" s="15">
        <f>IFERROR(__xludf.DUMMYFUNCTION("""COMPUTED_VALUE"""),1.003)</f>
        <v>1.003</v>
      </c>
      <c r="E732" s="16">
        <f>IFERROR(__xludf.DUMMYFUNCTION("""COMPUTED_VALUE"""),74.0)</f>
        <v>74</v>
      </c>
      <c r="F732" s="19" t="str">
        <f>IFERROR(__xludf.DUMMYFUNCTION("""COMPUTED_VALUE"""),"BLACK")</f>
        <v>BLACK</v>
      </c>
      <c r="G732" s="20" t="str">
        <f>IFERROR(__xludf.DUMMYFUNCTION("""COMPUTED_VALUE"""),"Uncle Sams Cider (04/04/2023)")</f>
        <v>Uncle Sams Cider (04/04/2023)</v>
      </c>
      <c r="H732" s="19"/>
    </row>
    <row r="733">
      <c r="A733" s="9"/>
      <c r="B733" s="15"/>
      <c r="C733" s="9">
        <f>IFERROR(__xludf.DUMMYFUNCTION("""COMPUTED_VALUE"""),45136.9886762152)</f>
        <v>45136.98868</v>
      </c>
      <c r="D733" s="15">
        <f>IFERROR(__xludf.DUMMYFUNCTION("""COMPUTED_VALUE"""),1.003)</f>
        <v>1.003</v>
      </c>
      <c r="E733" s="16">
        <f>IFERROR(__xludf.DUMMYFUNCTION("""COMPUTED_VALUE"""),74.0)</f>
        <v>74</v>
      </c>
      <c r="F733" s="19" t="str">
        <f>IFERROR(__xludf.DUMMYFUNCTION("""COMPUTED_VALUE"""),"BLACK")</f>
        <v>BLACK</v>
      </c>
      <c r="G733" s="20" t="str">
        <f>IFERROR(__xludf.DUMMYFUNCTION("""COMPUTED_VALUE"""),"Uncle Sams Cider (04/04/2023)")</f>
        <v>Uncle Sams Cider (04/04/2023)</v>
      </c>
      <c r="H733" s="19"/>
    </row>
    <row r="734">
      <c r="A734" s="9"/>
      <c r="B734" s="15"/>
      <c r="C734" s="9">
        <f>IFERROR(__xludf.DUMMYFUNCTION("""COMPUTED_VALUE"""),45136.9782444791)</f>
        <v>45136.97824</v>
      </c>
      <c r="D734" s="15">
        <f>IFERROR(__xludf.DUMMYFUNCTION("""COMPUTED_VALUE"""),1.003)</f>
        <v>1.003</v>
      </c>
      <c r="E734" s="16">
        <f>IFERROR(__xludf.DUMMYFUNCTION("""COMPUTED_VALUE"""),74.0)</f>
        <v>74</v>
      </c>
      <c r="F734" s="19" t="str">
        <f>IFERROR(__xludf.DUMMYFUNCTION("""COMPUTED_VALUE"""),"BLACK")</f>
        <v>BLACK</v>
      </c>
      <c r="G734" s="20" t="str">
        <f>IFERROR(__xludf.DUMMYFUNCTION("""COMPUTED_VALUE"""),"Uncle Sams Cider (04/04/2023)")</f>
        <v>Uncle Sams Cider (04/04/2023)</v>
      </c>
      <c r="H734" s="19"/>
    </row>
    <row r="735">
      <c r="A735" s="9"/>
      <c r="B735" s="15"/>
      <c r="C735" s="9">
        <f>IFERROR(__xludf.DUMMYFUNCTION("""COMPUTED_VALUE"""),45136.967822199)</f>
        <v>45136.96782</v>
      </c>
      <c r="D735" s="15">
        <f>IFERROR(__xludf.DUMMYFUNCTION("""COMPUTED_VALUE"""),1.003)</f>
        <v>1.003</v>
      </c>
      <c r="E735" s="16">
        <f>IFERROR(__xludf.DUMMYFUNCTION("""COMPUTED_VALUE"""),74.0)</f>
        <v>74</v>
      </c>
      <c r="F735" s="19" t="str">
        <f>IFERROR(__xludf.DUMMYFUNCTION("""COMPUTED_VALUE"""),"BLACK")</f>
        <v>BLACK</v>
      </c>
      <c r="G735" s="20" t="str">
        <f>IFERROR(__xludf.DUMMYFUNCTION("""COMPUTED_VALUE"""),"Uncle Sams Cider (04/04/2023)")</f>
        <v>Uncle Sams Cider (04/04/2023)</v>
      </c>
      <c r="H735" s="19"/>
    </row>
    <row r="736">
      <c r="A736" s="9"/>
      <c r="B736" s="15"/>
      <c r="C736" s="9">
        <f>IFERROR(__xludf.DUMMYFUNCTION("""COMPUTED_VALUE"""),45136.9574015625)</f>
        <v>45136.9574</v>
      </c>
      <c r="D736" s="15">
        <f>IFERROR(__xludf.DUMMYFUNCTION("""COMPUTED_VALUE"""),1.003)</f>
        <v>1.003</v>
      </c>
      <c r="E736" s="16">
        <f>IFERROR(__xludf.DUMMYFUNCTION("""COMPUTED_VALUE"""),74.0)</f>
        <v>74</v>
      </c>
      <c r="F736" s="19" t="str">
        <f>IFERROR(__xludf.DUMMYFUNCTION("""COMPUTED_VALUE"""),"BLACK")</f>
        <v>BLACK</v>
      </c>
      <c r="G736" s="20" t="str">
        <f>IFERROR(__xludf.DUMMYFUNCTION("""COMPUTED_VALUE"""),"Uncle Sams Cider (04/04/2023)")</f>
        <v>Uncle Sams Cider (04/04/2023)</v>
      </c>
      <c r="H736" s="19"/>
    </row>
    <row r="737">
      <c r="A737" s="9"/>
      <c r="B737" s="15"/>
      <c r="C737" s="9">
        <f>IFERROR(__xludf.DUMMYFUNCTION("""COMPUTED_VALUE"""),45136.9469785995)</f>
        <v>45136.94698</v>
      </c>
      <c r="D737" s="15">
        <f>IFERROR(__xludf.DUMMYFUNCTION("""COMPUTED_VALUE"""),1.003)</f>
        <v>1.003</v>
      </c>
      <c r="E737" s="16">
        <f>IFERROR(__xludf.DUMMYFUNCTION("""COMPUTED_VALUE"""),74.0)</f>
        <v>74</v>
      </c>
      <c r="F737" s="19" t="str">
        <f>IFERROR(__xludf.DUMMYFUNCTION("""COMPUTED_VALUE"""),"BLACK")</f>
        <v>BLACK</v>
      </c>
      <c r="G737" s="20" t="str">
        <f>IFERROR(__xludf.DUMMYFUNCTION("""COMPUTED_VALUE"""),"Uncle Sams Cider (04/04/2023)")</f>
        <v>Uncle Sams Cider (04/04/2023)</v>
      </c>
      <c r="H737" s="19"/>
    </row>
    <row r="738">
      <c r="A738" s="9"/>
      <c r="B738" s="15"/>
      <c r="C738" s="9">
        <f>IFERROR(__xludf.DUMMYFUNCTION("""COMPUTED_VALUE"""),45136.9365570138)</f>
        <v>45136.93656</v>
      </c>
      <c r="D738" s="15">
        <f>IFERROR(__xludf.DUMMYFUNCTION("""COMPUTED_VALUE"""),1.003)</f>
        <v>1.003</v>
      </c>
      <c r="E738" s="16">
        <f>IFERROR(__xludf.DUMMYFUNCTION("""COMPUTED_VALUE"""),74.0)</f>
        <v>74</v>
      </c>
      <c r="F738" s="19" t="str">
        <f>IFERROR(__xludf.DUMMYFUNCTION("""COMPUTED_VALUE"""),"BLACK")</f>
        <v>BLACK</v>
      </c>
      <c r="G738" s="20" t="str">
        <f>IFERROR(__xludf.DUMMYFUNCTION("""COMPUTED_VALUE"""),"Uncle Sams Cider (04/04/2023)")</f>
        <v>Uncle Sams Cider (04/04/2023)</v>
      </c>
      <c r="H738" s="19"/>
    </row>
    <row r="739">
      <c r="A739" s="9"/>
      <c r="B739" s="15"/>
      <c r="C739" s="9">
        <f>IFERROR(__xludf.DUMMYFUNCTION("""COMPUTED_VALUE"""),45136.9261373842)</f>
        <v>45136.92614</v>
      </c>
      <c r="D739" s="15">
        <f>IFERROR(__xludf.DUMMYFUNCTION("""COMPUTED_VALUE"""),1.003)</f>
        <v>1.003</v>
      </c>
      <c r="E739" s="16">
        <f>IFERROR(__xludf.DUMMYFUNCTION("""COMPUTED_VALUE"""),74.0)</f>
        <v>74</v>
      </c>
      <c r="F739" s="19" t="str">
        <f>IFERROR(__xludf.DUMMYFUNCTION("""COMPUTED_VALUE"""),"BLACK")</f>
        <v>BLACK</v>
      </c>
      <c r="G739" s="20" t="str">
        <f>IFERROR(__xludf.DUMMYFUNCTION("""COMPUTED_VALUE"""),"Uncle Sams Cider (04/04/2023)")</f>
        <v>Uncle Sams Cider (04/04/2023)</v>
      </c>
      <c r="H739" s="19"/>
    </row>
    <row r="740">
      <c r="A740" s="9"/>
      <c r="B740" s="15"/>
      <c r="C740" s="9">
        <f>IFERROR(__xludf.DUMMYFUNCTION("""COMPUTED_VALUE"""),45136.9157137731)</f>
        <v>45136.91571</v>
      </c>
      <c r="D740" s="15">
        <f>IFERROR(__xludf.DUMMYFUNCTION("""COMPUTED_VALUE"""),1.003)</f>
        <v>1.003</v>
      </c>
      <c r="E740" s="16">
        <f>IFERROR(__xludf.DUMMYFUNCTION("""COMPUTED_VALUE"""),74.0)</f>
        <v>74</v>
      </c>
      <c r="F740" s="19" t="str">
        <f>IFERROR(__xludf.DUMMYFUNCTION("""COMPUTED_VALUE"""),"BLACK")</f>
        <v>BLACK</v>
      </c>
      <c r="G740" s="20" t="str">
        <f>IFERROR(__xludf.DUMMYFUNCTION("""COMPUTED_VALUE"""),"Uncle Sams Cider (04/04/2023)")</f>
        <v>Uncle Sams Cider (04/04/2023)</v>
      </c>
      <c r="H740" s="19"/>
    </row>
    <row r="741">
      <c r="A741" s="9"/>
      <c r="B741" s="15"/>
      <c r="C741" s="9">
        <f>IFERROR(__xludf.DUMMYFUNCTION("""COMPUTED_VALUE"""),45136.9052923958)</f>
        <v>45136.90529</v>
      </c>
      <c r="D741" s="15">
        <f>IFERROR(__xludf.DUMMYFUNCTION("""COMPUTED_VALUE"""),1.003)</f>
        <v>1.003</v>
      </c>
      <c r="E741" s="16">
        <f>IFERROR(__xludf.DUMMYFUNCTION("""COMPUTED_VALUE"""),74.0)</f>
        <v>74</v>
      </c>
      <c r="F741" s="19" t="str">
        <f>IFERROR(__xludf.DUMMYFUNCTION("""COMPUTED_VALUE"""),"BLACK")</f>
        <v>BLACK</v>
      </c>
      <c r="G741" s="20" t="str">
        <f>IFERROR(__xludf.DUMMYFUNCTION("""COMPUTED_VALUE"""),"Uncle Sams Cider (04/04/2023)")</f>
        <v>Uncle Sams Cider (04/04/2023)</v>
      </c>
      <c r="H741" s="19"/>
    </row>
    <row r="742">
      <c r="A742" s="9"/>
      <c r="B742" s="15"/>
      <c r="C742" s="9">
        <f>IFERROR(__xludf.DUMMYFUNCTION("""COMPUTED_VALUE"""),45136.8948587847)</f>
        <v>45136.89486</v>
      </c>
      <c r="D742" s="15">
        <f>IFERROR(__xludf.DUMMYFUNCTION("""COMPUTED_VALUE"""),1.003)</f>
        <v>1.003</v>
      </c>
      <c r="E742" s="16">
        <f>IFERROR(__xludf.DUMMYFUNCTION("""COMPUTED_VALUE"""),74.0)</f>
        <v>74</v>
      </c>
      <c r="F742" s="19" t="str">
        <f>IFERROR(__xludf.DUMMYFUNCTION("""COMPUTED_VALUE"""),"BLACK")</f>
        <v>BLACK</v>
      </c>
      <c r="G742" s="20" t="str">
        <f>IFERROR(__xludf.DUMMYFUNCTION("""COMPUTED_VALUE"""),"Uncle Sams Cider (04/04/2023)")</f>
        <v>Uncle Sams Cider (04/04/2023)</v>
      </c>
      <c r="H742" s="19"/>
    </row>
    <row r="743">
      <c r="A743" s="9"/>
      <c r="B743" s="15"/>
      <c r="C743" s="9">
        <f>IFERROR(__xludf.DUMMYFUNCTION("""COMPUTED_VALUE"""),45136.884436956)</f>
        <v>45136.88444</v>
      </c>
      <c r="D743" s="15">
        <f>IFERROR(__xludf.DUMMYFUNCTION("""COMPUTED_VALUE"""),1.003)</f>
        <v>1.003</v>
      </c>
      <c r="E743" s="16">
        <f>IFERROR(__xludf.DUMMYFUNCTION("""COMPUTED_VALUE"""),74.0)</f>
        <v>74</v>
      </c>
      <c r="F743" s="19" t="str">
        <f>IFERROR(__xludf.DUMMYFUNCTION("""COMPUTED_VALUE"""),"BLACK")</f>
        <v>BLACK</v>
      </c>
      <c r="G743" s="20" t="str">
        <f>IFERROR(__xludf.DUMMYFUNCTION("""COMPUTED_VALUE"""),"Uncle Sams Cider (04/04/2023)")</f>
        <v>Uncle Sams Cider (04/04/2023)</v>
      </c>
      <c r="H743" s="19"/>
    </row>
    <row r="744">
      <c r="A744" s="9"/>
      <c r="B744" s="15"/>
      <c r="C744" s="9">
        <f>IFERROR(__xludf.DUMMYFUNCTION("""COMPUTED_VALUE"""),45136.8740167129)</f>
        <v>45136.87402</v>
      </c>
      <c r="D744" s="15">
        <f>IFERROR(__xludf.DUMMYFUNCTION("""COMPUTED_VALUE"""),1.003)</f>
        <v>1.003</v>
      </c>
      <c r="E744" s="16">
        <f>IFERROR(__xludf.DUMMYFUNCTION("""COMPUTED_VALUE"""),74.0)</f>
        <v>74</v>
      </c>
      <c r="F744" s="19" t="str">
        <f>IFERROR(__xludf.DUMMYFUNCTION("""COMPUTED_VALUE"""),"BLACK")</f>
        <v>BLACK</v>
      </c>
      <c r="G744" s="20" t="str">
        <f>IFERROR(__xludf.DUMMYFUNCTION("""COMPUTED_VALUE"""),"Uncle Sams Cider (04/04/2023)")</f>
        <v>Uncle Sams Cider (04/04/2023)</v>
      </c>
      <c r="H744" s="19"/>
    </row>
    <row r="745">
      <c r="A745" s="9"/>
      <c r="B745" s="15"/>
      <c r="C745" s="9">
        <f>IFERROR(__xludf.DUMMYFUNCTION("""COMPUTED_VALUE"""),45136.8635952199)</f>
        <v>45136.8636</v>
      </c>
      <c r="D745" s="15">
        <f>IFERROR(__xludf.DUMMYFUNCTION("""COMPUTED_VALUE"""),1.003)</f>
        <v>1.003</v>
      </c>
      <c r="E745" s="16">
        <f>IFERROR(__xludf.DUMMYFUNCTION("""COMPUTED_VALUE"""),74.0)</f>
        <v>74</v>
      </c>
      <c r="F745" s="19" t="str">
        <f>IFERROR(__xludf.DUMMYFUNCTION("""COMPUTED_VALUE"""),"BLACK")</f>
        <v>BLACK</v>
      </c>
      <c r="G745" s="20" t="str">
        <f>IFERROR(__xludf.DUMMYFUNCTION("""COMPUTED_VALUE"""),"Uncle Sams Cider (04/04/2023)")</f>
        <v>Uncle Sams Cider (04/04/2023)</v>
      </c>
      <c r="H745" s="19"/>
    </row>
    <row r="746">
      <c r="A746" s="9"/>
      <c r="B746" s="15"/>
      <c r="C746" s="9">
        <f>IFERROR(__xludf.DUMMYFUNCTION("""COMPUTED_VALUE"""),45136.8531628356)</f>
        <v>45136.85316</v>
      </c>
      <c r="D746" s="15">
        <f>IFERROR(__xludf.DUMMYFUNCTION("""COMPUTED_VALUE"""),1.003)</f>
        <v>1.003</v>
      </c>
      <c r="E746" s="16">
        <f>IFERROR(__xludf.DUMMYFUNCTION("""COMPUTED_VALUE"""),74.0)</f>
        <v>74</v>
      </c>
      <c r="F746" s="19" t="str">
        <f>IFERROR(__xludf.DUMMYFUNCTION("""COMPUTED_VALUE"""),"BLACK")</f>
        <v>BLACK</v>
      </c>
      <c r="G746" s="20" t="str">
        <f>IFERROR(__xludf.DUMMYFUNCTION("""COMPUTED_VALUE"""),"Uncle Sams Cider (04/04/2023)")</f>
        <v>Uncle Sams Cider (04/04/2023)</v>
      </c>
      <c r="H746" s="19"/>
    </row>
    <row r="747">
      <c r="A747" s="9"/>
      <c r="B747" s="15"/>
      <c r="C747" s="9">
        <f>IFERROR(__xludf.DUMMYFUNCTION("""COMPUTED_VALUE"""),45136.8427433564)</f>
        <v>45136.84274</v>
      </c>
      <c r="D747" s="15">
        <f>IFERROR(__xludf.DUMMYFUNCTION("""COMPUTED_VALUE"""),1.003)</f>
        <v>1.003</v>
      </c>
      <c r="E747" s="16">
        <f>IFERROR(__xludf.DUMMYFUNCTION("""COMPUTED_VALUE"""),74.0)</f>
        <v>74</v>
      </c>
      <c r="F747" s="19" t="str">
        <f>IFERROR(__xludf.DUMMYFUNCTION("""COMPUTED_VALUE"""),"BLACK")</f>
        <v>BLACK</v>
      </c>
      <c r="G747" s="20" t="str">
        <f>IFERROR(__xludf.DUMMYFUNCTION("""COMPUTED_VALUE"""),"Uncle Sams Cider (04/04/2023)")</f>
        <v>Uncle Sams Cider (04/04/2023)</v>
      </c>
      <c r="H747" s="19"/>
    </row>
    <row r="748">
      <c r="A748" s="9"/>
      <c r="B748" s="15"/>
      <c r="C748" s="9">
        <f>IFERROR(__xludf.DUMMYFUNCTION("""COMPUTED_VALUE"""),45136.8323216203)</f>
        <v>45136.83232</v>
      </c>
      <c r="D748" s="15">
        <f>IFERROR(__xludf.DUMMYFUNCTION("""COMPUTED_VALUE"""),1.003)</f>
        <v>1.003</v>
      </c>
      <c r="E748" s="16">
        <f>IFERROR(__xludf.DUMMYFUNCTION("""COMPUTED_VALUE"""),74.0)</f>
        <v>74</v>
      </c>
      <c r="F748" s="19" t="str">
        <f>IFERROR(__xludf.DUMMYFUNCTION("""COMPUTED_VALUE"""),"BLACK")</f>
        <v>BLACK</v>
      </c>
      <c r="G748" s="20" t="str">
        <f>IFERROR(__xludf.DUMMYFUNCTION("""COMPUTED_VALUE"""),"Uncle Sams Cider (04/04/2023)")</f>
        <v>Uncle Sams Cider (04/04/2023)</v>
      </c>
      <c r="H748" s="19"/>
    </row>
    <row r="749">
      <c r="A749" s="9"/>
      <c r="B749" s="15"/>
      <c r="C749" s="9">
        <f>IFERROR(__xludf.DUMMYFUNCTION("""COMPUTED_VALUE"""),45136.8219021759)</f>
        <v>45136.8219</v>
      </c>
      <c r="D749" s="15">
        <f>IFERROR(__xludf.DUMMYFUNCTION("""COMPUTED_VALUE"""),1.003)</f>
        <v>1.003</v>
      </c>
      <c r="E749" s="16">
        <f>IFERROR(__xludf.DUMMYFUNCTION("""COMPUTED_VALUE"""),74.0)</f>
        <v>74</v>
      </c>
      <c r="F749" s="19" t="str">
        <f>IFERROR(__xludf.DUMMYFUNCTION("""COMPUTED_VALUE"""),"BLACK")</f>
        <v>BLACK</v>
      </c>
      <c r="G749" s="20" t="str">
        <f>IFERROR(__xludf.DUMMYFUNCTION("""COMPUTED_VALUE"""),"Uncle Sams Cider (04/04/2023)")</f>
        <v>Uncle Sams Cider (04/04/2023)</v>
      </c>
      <c r="H749" s="19"/>
    </row>
    <row r="750">
      <c r="A750" s="9"/>
      <c r="B750" s="15"/>
      <c r="C750" s="9">
        <f>IFERROR(__xludf.DUMMYFUNCTION("""COMPUTED_VALUE"""),45136.8114805902)</f>
        <v>45136.81148</v>
      </c>
      <c r="D750" s="15">
        <f>IFERROR(__xludf.DUMMYFUNCTION("""COMPUTED_VALUE"""),1.003)</f>
        <v>1.003</v>
      </c>
      <c r="E750" s="16">
        <f>IFERROR(__xludf.DUMMYFUNCTION("""COMPUTED_VALUE"""),74.0)</f>
        <v>74</v>
      </c>
      <c r="F750" s="19" t="str">
        <f>IFERROR(__xludf.DUMMYFUNCTION("""COMPUTED_VALUE"""),"BLACK")</f>
        <v>BLACK</v>
      </c>
      <c r="G750" s="20" t="str">
        <f>IFERROR(__xludf.DUMMYFUNCTION("""COMPUTED_VALUE"""),"Uncle Sams Cider (04/04/2023)")</f>
        <v>Uncle Sams Cider (04/04/2023)</v>
      </c>
      <c r="H750" s="19"/>
    </row>
    <row r="751">
      <c r="A751" s="9"/>
      <c r="B751" s="15"/>
      <c r="C751" s="9">
        <f>IFERROR(__xludf.DUMMYFUNCTION("""COMPUTED_VALUE"""),45136.8010581481)</f>
        <v>45136.80106</v>
      </c>
      <c r="D751" s="15">
        <f>IFERROR(__xludf.DUMMYFUNCTION("""COMPUTED_VALUE"""),1.003)</f>
        <v>1.003</v>
      </c>
      <c r="E751" s="16">
        <f>IFERROR(__xludf.DUMMYFUNCTION("""COMPUTED_VALUE"""),74.0)</f>
        <v>74</v>
      </c>
      <c r="F751" s="19" t="str">
        <f>IFERROR(__xludf.DUMMYFUNCTION("""COMPUTED_VALUE"""),"BLACK")</f>
        <v>BLACK</v>
      </c>
      <c r="G751" s="20" t="str">
        <f>IFERROR(__xludf.DUMMYFUNCTION("""COMPUTED_VALUE"""),"Uncle Sams Cider (04/04/2023)")</f>
        <v>Uncle Sams Cider (04/04/2023)</v>
      </c>
      <c r="H751" s="19"/>
    </row>
    <row r="752">
      <c r="A752" s="9"/>
      <c r="B752" s="15"/>
      <c r="C752" s="9">
        <f>IFERROR(__xludf.DUMMYFUNCTION("""COMPUTED_VALUE"""),45136.7906375925)</f>
        <v>45136.79064</v>
      </c>
      <c r="D752" s="15">
        <f>IFERROR(__xludf.DUMMYFUNCTION("""COMPUTED_VALUE"""),1.003)</f>
        <v>1.003</v>
      </c>
      <c r="E752" s="16">
        <f>IFERROR(__xludf.DUMMYFUNCTION("""COMPUTED_VALUE"""),74.0)</f>
        <v>74</v>
      </c>
      <c r="F752" s="19" t="str">
        <f>IFERROR(__xludf.DUMMYFUNCTION("""COMPUTED_VALUE"""),"BLACK")</f>
        <v>BLACK</v>
      </c>
      <c r="G752" s="20" t="str">
        <f>IFERROR(__xludf.DUMMYFUNCTION("""COMPUTED_VALUE"""),"Uncle Sams Cider (04/04/2023)")</f>
        <v>Uncle Sams Cider (04/04/2023)</v>
      </c>
      <c r="H752" s="19"/>
    </row>
    <row r="753">
      <c r="A753" s="9"/>
      <c r="B753" s="15"/>
      <c r="C753" s="9">
        <f>IFERROR(__xludf.DUMMYFUNCTION("""COMPUTED_VALUE"""),45136.7802049421)</f>
        <v>45136.7802</v>
      </c>
      <c r="D753" s="15">
        <f>IFERROR(__xludf.DUMMYFUNCTION("""COMPUTED_VALUE"""),1.003)</f>
        <v>1.003</v>
      </c>
      <c r="E753" s="16">
        <f>IFERROR(__xludf.DUMMYFUNCTION("""COMPUTED_VALUE"""),74.0)</f>
        <v>74</v>
      </c>
      <c r="F753" s="19" t="str">
        <f>IFERROR(__xludf.DUMMYFUNCTION("""COMPUTED_VALUE"""),"BLACK")</f>
        <v>BLACK</v>
      </c>
      <c r="G753" s="20" t="str">
        <f>IFERROR(__xludf.DUMMYFUNCTION("""COMPUTED_VALUE"""),"Uncle Sams Cider (04/04/2023)")</f>
        <v>Uncle Sams Cider (04/04/2023)</v>
      </c>
      <c r="H753" s="19"/>
    </row>
    <row r="754">
      <c r="A754" s="9"/>
      <c r="B754" s="15"/>
      <c r="C754" s="9">
        <f>IFERROR(__xludf.DUMMYFUNCTION("""COMPUTED_VALUE"""),45136.769783368)</f>
        <v>45136.76978</v>
      </c>
      <c r="D754" s="15">
        <f>IFERROR(__xludf.DUMMYFUNCTION("""COMPUTED_VALUE"""),1.003)</f>
        <v>1.003</v>
      </c>
      <c r="E754" s="16">
        <f>IFERROR(__xludf.DUMMYFUNCTION("""COMPUTED_VALUE"""),74.0)</f>
        <v>74</v>
      </c>
      <c r="F754" s="19" t="str">
        <f>IFERROR(__xludf.DUMMYFUNCTION("""COMPUTED_VALUE"""),"BLACK")</f>
        <v>BLACK</v>
      </c>
      <c r="G754" s="20" t="str">
        <f>IFERROR(__xludf.DUMMYFUNCTION("""COMPUTED_VALUE"""),"Uncle Sams Cider (04/04/2023)")</f>
        <v>Uncle Sams Cider (04/04/2023)</v>
      </c>
      <c r="H754" s="19"/>
    </row>
    <row r="755">
      <c r="A755" s="9"/>
      <c r="B755" s="15"/>
      <c r="C755" s="9">
        <f>IFERROR(__xludf.DUMMYFUNCTION("""COMPUTED_VALUE"""),45136.7593629166)</f>
        <v>45136.75936</v>
      </c>
      <c r="D755" s="15">
        <f>IFERROR(__xludf.DUMMYFUNCTION("""COMPUTED_VALUE"""),1.003)</f>
        <v>1.003</v>
      </c>
      <c r="E755" s="16">
        <f>IFERROR(__xludf.DUMMYFUNCTION("""COMPUTED_VALUE"""),74.0)</f>
        <v>74</v>
      </c>
      <c r="F755" s="19" t="str">
        <f>IFERROR(__xludf.DUMMYFUNCTION("""COMPUTED_VALUE"""),"BLACK")</f>
        <v>BLACK</v>
      </c>
      <c r="G755" s="20" t="str">
        <f>IFERROR(__xludf.DUMMYFUNCTION("""COMPUTED_VALUE"""),"Uncle Sams Cider (04/04/2023)")</f>
        <v>Uncle Sams Cider (04/04/2023)</v>
      </c>
      <c r="H755" s="19"/>
    </row>
    <row r="756">
      <c r="A756" s="9"/>
      <c r="B756" s="15"/>
      <c r="C756" s="9">
        <f>IFERROR(__xludf.DUMMYFUNCTION("""COMPUTED_VALUE"""),45136.748931493)</f>
        <v>45136.74893</v>
      </c>
      <c r="D756" s="15">
        <f>IFERROR(__xludf.DUMMYFUNCTION("""COMPUTED_VALUE"""),1.003)</f>
        <v>1.003</v>
      </c>
      <c r="E756" s="16">
        <f>IFERROR(__xludf.DUMMYFUNCTION("""COMPUTED_VALUE"""),74.0)</f>
        <v>74</v>
      </c>
      <c r="F756" s="19" t="str">
        <f>IFERROR(__xludf.DUMMYFUNCTION("""COMPUTED_VALUE"""),"BLACK")</f>
        <v>BLACK</v>
      </c>
      <c r="G756" s="20" t="str">
        <f>IFERROR(__xludf.DUMMYFUNCTION("""COMPUTED_VALUE"""),"Uncle Sams Cider (04/04/2023)")</f>
        <v>Uncle Sams Cider (04/04/2023)</v>
      </c>
      <c r="H756" s="19"/>
    </row>
    <row r="757">
      <c r="A757" s="9"/>
      <c r="B757" s="15"/>
      <c r="C757" s="9">
        <f>IFERROR(__xludf.DUMMYFUNCTION("""COMPUTED_VALUE"""),45136.7385112963)</f>
        <v>45136.73851</v>
      </c>
      <c r="D757" s="15">
        <f>IFERROR(__xludf.DUMMYFUNCTION("""COMPUTED_VALUE"""),1.003)</f>
        <v>1.003</v>
      </c>
      <c r="E757" s="16">
        <f>IFERROR(__xludf.DUMMYFUNCTION("""COMPUTED_VALUE"""),74.0)</f>
        <v>74</v>
      </c>
      <c r="F757" s="19" t="str">
        <f>IFERROR(__xludf.DUMMYFUNCTION("""COMPUTED_VALUE"""),"BLACK")</f>
        <v>BLACK</v>
      </c>
      <c r="G757" s="20" t="str">
        <f>IFERROR(__xludf.DUMMYFUNCTION("""COMPUTED_VALUE"""),"Uncle Sams Cider (04/04/2023)")</f>
        <v>Uncle Sams Cider (04/04/2023)</v>
      </c>
      <c r="H757" s="19"/>
    </row>
    <row r="758">
      <c r="A758" s="9"/>
      <c r="B758" s="15"/>
      <c r="C758" s="9">
        <f>IFERROR(__xludf.DUMMYFUNCTION("""COMPUTED_VALUE"""),45136.7280902083)</f>
        <v>45136.72809</v>
      </c>
      <c r="D758" s="15">
        <f>IFERROR(__xludf.DUMMYFUNCTION("""COMPUTED_VALUE"""),1.003)</f>
        <v>1.003</v>
      </c>
      <c r="E758" s="16">
        <f>IFERROR(__xludf.DUMMYFUNCTION("""COMPUTED_VALUE"""),74.0)</f>
        <v>74</v>
      </c>
      <c r="F758" s="19" t="str">
        <f>IFERROR(__xludf.DUMMYFUNCTION("""COMPUTED_VALUE"""),"BLACK")</f>
        <v>BLACK</v>
      </c>
      <c r="G758" s="20" t="str">
        <f>IFERROR(__xludf.DUMMYFUNCTION("""COMPUTED_VALUE"""),"Uncle Sams Cider (04/04/2023)")</f>
        <v>Uncle Sams Cider (04/04/2023)</v>
      </c>
      <c r="H758" s="19"/>
    </row>
    <row r="759">
      <c r="A759" s="9"/>
      <c r="B759" s="15"/>
      <c r="C759" s="9">
        <f>IFERROR(__xludf.DUMMYFUNCTION("""COMPUTED_VALUE"""),45136.717669537)</f>
        <v>45136.71767</v>
      </c>
      <c r="D759" s="15">
        <f>IFERROR(__xludf.DUMMYFUNCTION("""COMPUTED_VALUE"""),1.003)</f>
        <v>1.003</v>
      </c>
      <c r="E759" s="16">
        <f>IFERROR(__xludf.DUMMYFUNCTION("""COMPUTED_VALUE"""),74.0)</f>
        <v>74</v>
      </c>
      <c r="F759" s="19" t="str">
        <f>IFERROR(__xludf.DUMMYFUNCTION("""COMPUTED_VALUE"""),"BLACK")</f>
        <v>BLACK</v>
      </c>
      <c r="G759" s="20" t="str">
        <f>IFERROR(__xludf.DUMMYFUNCTION("""COMPUTED_VALUE"""),"Uncle Sams Cider (04/04/2023)")</f>
        <v>Uncle Sams Cider (04/04/2023)</v>
      </c>
      <c r="H759" s="19"/>
    </row>
    <row r="760">
      <c r="A760" s="9"/>
      <c r="B760" s="15"/>
      <c r="C760" s="9">
        <f>IFERROR(__xludf.DUMMYFUNCTION("""COMPUTED_VALUE"""),45136.7072489814)</f>
        <v>45136.70725</v>
      </c>
      <c r="D760" s="15">
        <f>IFERROR(__xludf.DUMMYFUNCTION("""COMPUTED_VALUE"""),1.003)</f>
        <v>1.003</v>
      </c>
      <c r="E760" s="16">
        <f>IFERROR(__xludf.DUMMYFUNCTION("""COMPUTED_VALUE"""),74.0)</f>
        <v>74</v>
      </c>
      <c r="F760" s="19" t="str">
        <f>IFERROR(__xludf.DUMMYFUNCTION("""COMPUTED_VALUE"""),"BLACK")</f>
        <v>BLACK</v>
      </c>
      <c r="G760" s="20" t="str">
        <f>IFERROR(__xludf.DUMMYFUNCTION("""COMPUTED_VALUE"""),"Uncle Sams Cider (04/04/2023)")</f>
        <v>Uncle Sams Cider (04/04/2023)</v>
      </c>
      <c r="H760" s="19"/>
    </row>
    <row r="761">
      <c r="A761" s="9"/>
      <c r="B761" s="15"/>
      <c r="C761" s="9">
        <f>IFERROR(__xludf.DUMMYFUNCTION("""COMPUTED_VALUE"""),45136.6968266088)</f>
        <v>45136.69683</v>
      </c>
      <c r="D761" s="15">
        <f>IFERROR(__xludf.DUMMYFUNCTION("""COMPUTED_VALUE"""),1.003)</f>
        <v>1.003</v>
      </c>
      <c r="E761" s="16">
        <f>IFERROR(__xludf.DUMMYFUNCTION("""COMPUTED_VALUE"""),74.0)</f>
        <v>74</v>
      </c>
      <c r="F761" s="19" t="str">
        <f>IFERROR(__xludf.DUMMYFUNCTION("""COMPUTED_VALUE"""),"BLACK")</f>
        <v>BLACK</v>
      </c>
      <c r="G761" s="20" t="str">
        <f>IFERROR(__xludf.DUMMYFUNCTION("""COMPUTED_VALUE"""),"Uncle Sams Cider (04/04/2023)")</f>
        <v>Uncle Sams Cider (04/04/2023)</v>
      </c>
      <c r="H761" s="19"/>
    </row>
    <row r="762">
      <c r="A762" s="9"/>
      <c r="B762" s="15"/>
      <c r="C762" s="9">
        <f>IFERROR(__xludf.DUMMYFUNCTION("""COMPUTED_VALUE"""),45136.6864035648)</f>
        <v>45136.6864</v>
      </c>
      <c r="D762" s="15">
        <f>IFERROR(__xludf.DUMMYFUNCTION("""COMPUTED_VALUE"""),1.003)</f>
        <v>1.003</v>
      </c>
      <c r="E762" s="16">
        <f>IFERROR(__xludf.DUMMYFUNCTION("""COMPUTED_VALUE"""),74.0)</f>
        <v>74</v>
      </c>
      <c r="F762" s="19" t="str">
        <f>IFERROR(__xludf.DUMMYFUNCTION("""COMPUTED_VALUE"""),"BLACK")</f>
        <v>BLACK</v>
      </c>
      <c r="G762" s="20" t="str">
        <f>IFERROR(__xludf.DUMMYFUNCTION("""COMPUTED_VALUE"""),"Uncle Sams Cider (04/04/2023)")</f>
        <v>Uncle Sams Cider (04/04/2023)</v>
      </c>
      <c r="H762" s="19"/>
    </row>
    <row r="763">
      <c r="A763" s="9"/>
      <c r="B763" s="15"/>
      <c r="C763" s="9">
        <f>IFERROR(__xludf.DUMMYFUNCTION("""COMPUTED_VALUE"""),45136.6759812268)</f>
        <v>45136.67598</v>
      </c>
      <c r="D763" s="15">
        <f>IFERROR(__xludf.DUMMYFUNCTION("""COMPUTED_VALUE"""),1.003)</f>
        <v>1.003</v>
      </c>
      <c r="E763" s="16">
        <f>IFERROR(__xludf.DUMMYFUNCTION("""COMPUTED_VALUE"""),74.0)</f>
        <v>74</v>
      </c>
      <c r="F763" s="19" t="str">
        <f>IFERROR(__xludf.DUMMYFUNCTION("""COMPUTED_VALUE"""),"BLACK")</f>
        <v>BLACK</v>
      </c>
      <c r="G763" s="20" t="str">
        <f>IFERROR(__xludf.DUMMYFUNCTION("""COMPUTED_VALUE"""),"Uncle Sams Cider (04/04/2023)")</f>
        <v>Uncle Sams Cider (04/04/2023)</v>
      </c>
      <c r="H763" s="19"/>
    </row>
    <row r="764">
      <c r="A764" s="9"/>
      <c r="B764" s="15"/>
      <c r="C764" s="9">
        <f>IFERROR(__xludf.DUMMYFUNCTION("""COMPUTED_VALUE"""),45136.6655612963)</f>
        <v>45136.66556</v>
      </c>
      <c r="D764" s="15">
        <f>IFERROR(__xludf.DUMMYFUNCTION("""COMPUTED_VALUE"""),1.003)</f>
        <v>1.003</v>
      </c>
      <c r="E764" s="16">
        <f>IFERROR(__xludf.DUMMYFUNCTION("""COMPUTED_VALUE"""),74.0)</f>
        <v>74</v>
      </c>
      <c r="F764" s="19" t="str">
        <f>IFERROR(__xludf.DUMMYFUNCTION("""COMPUTED_VALUE"""),"BLACK")</f>
        <v>BLACK</v>
      </c>
      <c r="G764" s="20" t="str">
        <f>IFERROR(__xludf.DUMMYFUNCTION("""COMPUTED_VALUE"""),"Uncle Sams Cider (04/04/2023)")</f>
        <v>Uncle Sams Cider (04/04/2023)</v>
      </c>
      <c r="H764" s="19"/>
    </row>
    <row r="765">
      <c r="A765" s="9"/>
      <c r="B765" s="15"/>
      <c r="C765" s="9">
        <f>IFERROR(__xludf.DUMMYFUNCTION("""COMPUTED_VALUE"""),45136.6551406134)</f>
        <v>45136.65514</v>
      </c>
      <c r="D765" s="15">
        <f>IFERROR(__xludf.DUMMYFUNCTION("""COMPUTED_VALUE"""),1.003)</f>
        <v>1.003</v>
      </c>
      <c r="E765" s="16">
        <f>IFERROR(__xludf.DUMMYFUNCTION("""COMPUTED_VALUE"""),74.0)</f>
        <v>74</v>
      </c>
      <c r="F765" s="19" t="str">
        <f>IFERROR(__xludf.DUMMYFUNCTION("""COMPUTED_VALUE"""),"BLACK")</f>
        <v>BLACK</v>
      </c>
      <c r="G765" s="20" t="str">
        <f>IFERROR(__xludf.DUMMYFUNCTION("""COMPUTED_VALUE"""),"Uncle Sams Cider (04/04/2023)")</f>
        <v>Uncle Sams Cider (04/04/2023)</v>
      </c>
      <c r="H765" s="19"/>
    </row>
    <row r="766">
      <c r="A766" s="9"/>
      <c r="B766" s="15"/>
      <c r="C766" s="9">
        <f>IFERROR(__xludf.DUMMYFUNCTION("""COMPUTED_VALUE"""),45136.644707662)</f>
        <v>45136.64471</v>
      </c>
      <c r="D766" s="15">
        <f>IFERROR(__xludf.DUMMYFUNCTION("""COMPUTED_VALUE"""),1.003)</f>
        <v>1.003</v>
      </c>
      <c r="E766" s="16">
        <f>IFERROR(__xludf.DUMMYFUNCTION("""COMPUTED_VALUE"""),74.0)</f>
        <v>74</v>
      </c>
      <c r="F766" s="19" t="str">
        <f>IFERROR(__xludf.DUMMYFUNCTION("""COMPUTED_VALUE"""),"BLACK")</f>
        <v>BLACK</v>
      </c>
      <c r="G766" s="20" t="str">
        <f>IFERROR(__xludf.DUMMYFUNCTION("""COMPUTED_VALUE"""),"Uncle Sams Cider (04/04/2023)")</f>
        <v>Uncle Sams Cider (04/04/2023)</v>
      </c>
      <c r="H766" s="19"/>
    </row>
    <row r="767">
      <c r="A767" s="9"/>
      <c r="B767" s="15"/>
      <c r="C767" s="9">
        <f>IFERROR(__xludf.DUMMYFUNCTION("""COMPUTED_VALUE"""),45136.6342862963)</f>
        <v>45136.63429</v>
      </c>
      <c r="D767" s="15">
        <f>IFERROR(__xludf.DUMMYFUNCTION("""COMPUTED_VALUE"""),1.003)</f>
        <v>1.003</v>
      </c>
      <c r="E767" s="16">
        <f>IFERROR(__xludf.DUMMYFUNCTION("""COMPUTED_VALUE"""),74.0)</f>
        <v>74</v>
      </c>
      <c r="F767" s="19" t="str">
        <f>IFERROR(__xludf.DUMMYFUNCTION("""COMPUTED_VALUE"""),"BLACK")</f>
        <v>BLACK</v>
      </c>
      <c r="G767" s="20" t="str">
        <f>IFERROR(__xludf.DUMMYFUNCTION("""COMPUTED_VALUE"""),"Uncle Sams Cider (04/04/2023)")</f>
        <v>Uncle Sams Cider (04/04/2023)</v>
      </c>
      <c r="H767" s="19"/>
    </row>
    <row r="768">
      <c r="A768" s="9"/>
      <c r="B768" s="15"/>
      <c r="C768" s="9">
        <f>IFERROR(__xludf.DUMMYFUNCTION("""COMPUTED_VALUE"""),45136.6238651273)</f>
        <v>45136.62387</v>
      </c>
      <c r="D768" s="15">
        <f>IFERROR(__xludf.DUMMYFUNCTION("""COMPUTED_VALUE"""),1.003)</f>
        <v>1.003</v>
      </c>
      <c r="E768" s="16">
        <f>IFERROR(__xludf.DUMMYFUNCTION("""COMPUTED_VALUE"""),74.0)</f>
        <v>74</v>
      </c>
      <c r="F768" s="19" t="str">
        <f>IFERROR(__xludf.DUMMYFUNCTION("""COMPUTED_VALUE"""),"BLACK")</f>
        <v>BLACK</v>
      </c>
      <c r="G768" s="20" t="str">
        <f>IFERROR(__xludf.DUMMYFUNCTION("""COMPUTED_VALUE"""),"Uncle Sams Cider (04/04/2023)")</f>
        <v>Uncle Sams Cider (04/04/2023)</v>
      </c>
      <c r="H768" s="19"/>
    </row>
    <row r="769">
      <c r="A769" s="9"/>
      <c r="B769" s="15"/>
      <c r="C769" s="9">
        <f>IFERROR(__xludf.DUMMYFUNCTION("""COMPUTED_VALUE"""),45136.6134421296)</f>
        <v>45136.61344</v>
      </c>
      <c r="D769" s="15">
        <f>IFERROR(__xludf.DUMMYFUNCTION("""COMPUTED_VALUE"""),1.003)</f>
        <v>1.003</v>
      </c>
      <c r="E769" s="16">
        <f>IFERROR(__xludf.DUMMYFUNCTION("""COMPUTED_VALUE"""),74.0)</f>
        <v>74</v>
      </c>
      <c r="F769" s="19" t="str">
        <f>IFERROR(__xludf.DUMMYFUNCTION("""COMPUTED_VALUE"""),"BLACK")</f>
        <v>BLACK</v>
      </c>
      <c r="G769" s="20" t="str">
        <f>IFERROR(__xludf.DUMMYFUNCTION("""COMPUTED_VALUE"""),"Uncle Sams Cider (04/04/2023)")</f>
        <v>Uncle Sams Cider (04/04/2023)</v>
      </c>
      <c r="H769" s="19"/>
    </row>
    <row r="770">
      <c r="A770" s="9"/>
      <c r="B770" s="15"/>
      <c r="C770" s="9">
        <f>IFERROR(__xludf.DUMMYFUNCTION("""COMPUTED_VALUE"""),45136.6030199768)</f>
        <v>45136.60302</v>
      </c>
      <c r="D770" s="15">
        <f>IFERROR(__xludf.DUMMYFUNCTION("""COMPUTED_VALUE"""),1.003)</f>
        <v>1.003</v>
      </c>
      <c r="E770" s="16">
        <f>IFERROR(__xludf.DUMMYFUNCTION("""COMPUTED_VALUE"""),74.0)</f>
        <v>74</v>
      </c>
      <c r="F770" s="19" t="str">
        <f>IFERROR(__xludf.DUMMYFUNCTION("""COMPUTED_VALUE"""),"BLACK")</f>
        <v>BLACK</v>
      </c>
      <c r="G770" s="20" t="str">
        <f>IFERROR(__xludf.DUMMYFUNCTION("""COMPUTED_VALUE"""),"Uncle Sams Cider (04/04/2023)")</f>
        <v>Uncle Sams Cider (04/04/2023)</v>
      </c>
      <c r="H770" s="19"/>
    </row>
    <row r="771">
      <c r="A771" s="9"/>
      <c r="B771" s="15"/>
      <c r="C771" s="9">
        <f>IFERROR(__xludf.DUMMYFUNCTION("""COMPUTED_VALUE"""),45136.5925986458)</f>
        <v>45136.5926</v>
      </c>
      <c r="D771" s="15">
        <f>IFERROR(__xludf.DUMMYFUNCTION("""COMPUTED_VALUE"""),1.003)</f>
        <v>1.003</v>
      </c>
      <c r="E771" s="16">
        <f>IFERROR(__xludf.DUMMYFUNCTION("""COMPUTED_VALUE"""),74.0)</f>
        <v>74</v>
      </c>
      <c r="F771" s="19" t="str">
        <f>IFERROR(__xludf.DUMMYFUNCTION("""COMPUTED_VALUE"""),"BLACK")</f>
        <v>BLACK</v>
      </c>
      <c r="G771" s="20" t="str">
        <f>IFERROR(__xludf.DUMMYFUNCTION("""COMPUTED_VALUE"""),"Uncle Sams Cider (04/04/2023)")</f>
        <v>Uncle Sams Cider (04/04/2023)</v>
      </c>
      <c r="H771" s="19"/>
    </row>
    <row r="772">
      <c r="A772" s="9"/>
      <c r="B772" s="15"/>
      <c r="C772" s="9">
        <f>IFERROR(__xludf.DUMMYFUNCTION("""COMPUTED_VALUE"""),45136.5821760532)</f>
        <v>45136.58218</v>
      </c>
      <c r="D772" s="15">
        <f>IFERROR(__xludf.DUMMYFUNCTION("""COMPUTED_VALUE"""),1.003)</f>
        <v>1.003</v>
      </c>
      <c r="E772" s="16">
        <f>IFERROR(__xludf.DUMMYFUNCTION("""COMPUTED_VALUE"""),74.0)</f>
        <v>74</v>
      </c>
      <c r="F772" s="19" t="str">
        <f>IFERROR(__xludf.DUMMYFUNCTION("""COMPUTED_VALUE"""),"BLACK")</f>
        <v>BLACK</v>
      </c>
      <c r="G772" s="20" t="str">
        <f>IFERROR(__xludf.DUMMYFUNCTION("""COMPUTED_VALUE"""),"Uncle Sams Cider (04/04/2023)")</f>
        <v>Uncle Sams Cider (04/04/2023)</v>
      </c>
      <c r="H772" s="19"/>
    </row>
    <row r="773">
      <c r="A773" s="9"/>
      <c r="B773" s="15"/>
      <c r="C773" s="9">
        <f>IFERROR(__xludf.DUMMYFUNCTION("""COMPUTED_VALUE"""),45136.5717437384)</f>
        <v>45136.57174</v>
      </c>
      <c r="D773" s="15">
        <f>IFERROR(__xludf.DUMMYFUNCTION("""COMPUTED_VALUE"""),1.003)</f>
        <v>1.003</v>
      </c>
      <c r="E773" s="16">
        <f>IFERROR(__xludf.DUMMYFUNCTION("""COMPUTED_VALUE"""),74.0)</f>
        <v>74</v>
      </c>
      <c r="F773" s="19" t="str">
        <f>IFERROR(__xludf.DUMMYFUNCTION("""COMPUTED_VALUE"""),"BLACK")</f>
        <v>BLACK</v>
      </c>
      <c r="G773" s="20" t="str">
        <f>IFERROR(__xludf.DUMMYFUNCTION("""COMPUTED_VALUE"""),"Uncle Sams Cider (04/04/2023)")</f>
        <v>Uncle Sams Cider (04/04/2023)</v>
      </c>
      <c r="H773" s="19"/>
    </row>
    <row r="774">
      <c r="A774" s="9"/>
      <c r="B774" s="15"/>
      <c r="C774" s="9">
        <f>IFERROR(__xludf.DUMMYFUNCTION("""COMPUTED_VALUE"""),45136.5613229282)</f>
        <v>45136.56132</v>
      </c>
      <c r="D774" s="15">
        <f>IFERROR(__xludf.DUMMYFUNCTION("""COMPUTED_VALUE"""),1.003)</f>
        <v>1.003</v>
      </c>
      <c r="E774" s="16">
        <f>IFERROR(__xludf.DUMMYFUNCTION("""COMPUTED_VALUE"""),74.0)</f>
        <v>74</v>
      </c>
      <c r="F774" s="19" t="str">
        <f>IFERROR(__xludf.DUMMYFUNCTION("""COMPUTED_VALUE"""),"BLACK")</f>
        <v>BLACK</v>
      </c>
      <c r="G774" s="20" t="str">
        <f>IFERROR(__xludf.DUMMYFUNCTION("""COMPUTED_VALUE"""),"Uncle Sams Cider (04/04/2023)")</f>
        <v>Uncle Sams Cider (04/04/2023)</v>
      </c>
      <c r="H774" s="19"/>
    </row>
    <row r="775">
      <c r="A775" s="9"/>
      <c r="B775" s="15"/>
      <c r="C775" s="9">
        <f>IFERROR(__xludf.DUMMYFUNCTION("""COMPUTED_VALUE"""),45136.5509017361)</f>
        <v>45136.5509</v>
      </c>
      <c r="D775" s="15">
        <f>IFERROR(__xludf.DUMMYFUNCTION("""COMPUTED_VALUE"""),1.003)</f>
        <v>1.003</v>
      </c>
      <c r="E775" s="16">
        <f>IFERROR(__xludf.DUMMYFUNCTION("""COMPUTED_VALUE"""),74.0)</f>
        <v>74</v>
      </c>
      <c r="F775" s="19" t="str">
        <f>IFERROR(__xludf.DUMMYFUNCTION("""COMPUTED_VALUE"""),"BLACK")</f>
        <v>BLACK</v>
      </c>
      <c r="G775" s="20" t="str">
        <f>IFERROR(__xludf.DUMMYFUNCTION("""COMPUTED_VALUE"""),"Uncle Sams Cider (04/04/2023)")</f>
        <v>Uncle Sams Cider (04/04/2023)</v>
      </c>
      <c r="H775" s="19"/>
    </row>
    <row r="776">
      <c r="A776" s="9"/>
      <c r="B776" s="15"/>
      <c r="C776" s="9">
        <f>IFERROR(__xludf.DUMMYFUNCTION("""COMPUTED_VALUE"""),45136.5404804166)</f>
        <v>45136.54048</v>
      </c>
      <c r="D776" s="15">
        <f>IFERROR(__xludf.DUMMYFUNCTION("""COMPUTED_VALUE"""),1.003)</f>
        <v>1.003</v>
      </c>
      <c r="E776" s="16">
        <f>IFERROR(__xludf.DUMMYFUNCTION("""COMPUTED_VALUE"""),74.0)</f>
        <v>74</v>
      </c>
      <c r="F776" s="19" t="str">
        <f>IFERROR(__xludf.DUMMYFUNCTION("""COMPUTED_VALUE"""),"BLACK")</f>
        <v>BLACK</v>
      </c>
      <c r="G776" s="20" t="str">
        <f>IFERROR(__xludf.DUMMYFUNCTION("""COMPUTED_VALUE"""),"Uncle Sams Cider (04/04/2023)")</f>
        <v>Uncle Sams Cider (04/04/2023)</v>
      </c>
      <c r="H776" s="19"/>
    </row>
    <row r="777">
      <c r="A777" s="9"/>
      <c r="B777" s="15"/>
      <c r="C777" s="9">
        <f>IFERROR(__xludf.DUMMYFUNCTION("""COMPUTED_VALUE"""),45136.5300588888)</f>
        <v>45136.53006</v>
      </c>
      <c r="D777" s="15">
        <f>IFERROR(__xludf.DUMMYFUNCTION("""COMPUTED_VALUE"""),1.003)</f>
        <v>1.003</v>
      </c>
      <c r="E777" s="16">
        <f>IFERROR(__xludf.DUMMYFUNCTION("""COMPUTED_VALUE"""),74.0)</f>
        <v>74</v>
      </c>
      <c r="F777" s="19" t="str">
        <f>IFERROR(__xludf.DUMMYFUNCTION("""COMPUTED_VALUE"""),"BLACK")</f>
        <v>BLACK</v>
      </c>
      <c r="G777" s="20" t="str">
        <f>IFERROR(__xludf.DUMMYFUNCTION("""COMPUTED_VALUE"""),"Uncle Sams Cider (04/04/2023)")</f>
        <v>Uncle Sams Cider (04/04/2023)</v>
      </c>
      <c r="H777" s="19"/>
    </row>
    <row r="778">
      <c r="A778" s="9"/>
      <c r="B778" s="15"/>
      <c r="C778" s="9">
        <f>IFERROR(__xludf.DUMMYFUNCTION("""COMPUTED_VALUE"""),45136.5196248379)</f>
        <v>45136.51962</v>
      </c>
      <c r="D778" s="15">
        <f>IFERROR(__xludf.DUMMYFUNCTION("""COMPUTED_VALUE"""),1.003)</f>
        <v>1.003</v>
      </c>
      <c r="E778" s="16">
        <f>IFERROR(__xludf.DUMMYFUNCTION("""COMPUTED_VALUE"""),74.0)</f>
        <v>74</v>
      </c>
      <c r="F778" s="19" t="str">
        <f>IFERROR(__xludf.DUMMYFUNCTION("""COMPUTED_VALUE"""),"BLACK")</f>
        <v>BLACK</v>
      </c>
      <c r="G778" s="20" t="str">
        <f>IFERROR(__xludf.DUMMYFUNCTION("""COMPUTED_VALUE"""),"Uncle Sams Cider (04/04/2023)")</f>
        <v>Uncle Sams Cider (04/04/2023)</v>
      </c>
      <c r="H778" s="19"/>
    </row>
    <row r="779">
      <c r="A779" s="9"/>
      <c r="B779" s="15"/>
      <c r="C779" s="9">
        <f>IFERROR(__xludf.DUMMYFUNCTION("""COMPUTED_VALUE"""),45136.5092018518)</f>
        <v>45136.5092</v>
      </c>
      <c r="D779" s="15">
        <f>IFERROR(__xludf.DUMMYFUNCTION("""COMPUTED_VALUE"""),1.003)</f>
        <v>1.003</v>
      </c>
      <c r="E779" s="16">
        <f>IFERROR(__xludf.DUMMYFUNCTION("""COMPUTED_VALUE"""),74.0)</f>
        <v>74</v>
      </c>
      <c r="F779" s="19" t="str">
        <f>IFERROR(__xludf.DUMMYFUNCTION("""COMPUTED_VALUE"""),"BLACK")</f>
        <v>BLACK</v>
      </c>
      <c r="G779" s="20" t="str">
        <f>IFERROR(__xludf.DUMMYFUNCTION("""COMPUTED_VALUE"""),"Uncle Sams Cider (04/04/2023)")</f>
        <v>Uncle Sams Cider (04/04/2023)</v>
      </c>
      <c r="H779" s="19"/>
    </row>
    <row r="780">
      <c r="A780" s="9"/>
      <c r="B780" s="15"/>
      <c r="C780" s="9">
        <f>IFERROR(__xludf.DUMMYFUNCTION("""COMPUTED_VALUE"""),45136.4987802314)</f>
        <v>45136.49878</v>
      </c>
      <c r="D780" s="15">
        <f>IFERROR(__xludf.DUMMYFUNCTION("""COMPUTED_VALUE"""),1.003)</f>
        <v>1.003</v>
      </c>
      <c r="E780" s="16">
        <f>IFERROR(__xludf.DUMMYFUNCTION("""COMPUTED_VALUE"""),74.0)</f>
        <v>74</v>
      </c>
      <c r="F780" s="19" t="str">
        <f>IFERROR(__xludf.DUMMYFUNCTION("""COMPUTED_VALUE"""),"BLACK")</f>
        <v>BLACK</v>
      </c>
      <c r="G780" s="20" t="str">
        <f>IFERROR(__xludf.DUMMYFUNCTION("""COMPUTED_VALUE"""),"Uncle Sams Cider (04/04/2023)")</f>
        <v>Uncle Sams Cider (04/04/2023)</v>
      </c>
      <c r="H780" s="19"/>
    </row>
    <row r="781">
      <c r="A781" s="9"/>
      <c r="B781" s="15"/>
      <c r="C781" s="9">
        <f>IFERROR(__xludf.DUMMYFUNCTION("""COMPUTED_VALUE"""),45136.4883583333)</f>
        <v>45136.48836</v>
      </c>
      <c r="D781" s="15">
        <f>IFERROR(__xludf.DUMMYFUNCTION("""COMPUTED_VALUE"""),1.003)</f>
        <v>1.003</v>
      </c>
      <c r="E781" s="16">
        <f>IFERROR(__xludf.DUMMYFUNCTION("""COMPUTED_VALUE"""),74.0)</f>
        <v>74</v>
      </c>
      <c r="F781" s="19" t="str">
        <f>IFERROR(__xludf.DUMMYFUNCTION("""COMPUTED_VALUE"""),"BLACK")</f>
        <v>BLACK</v>
      </c>
      <c r="G781" s="20" t="str">
        <f>IFERROR(__xludf.DUMMYFUNCTION("""COMPUTED_VALUE"""),"Uncle Sams Cider (04/04/2023)")</f>
        <v>Uncle Sams Cider (04/04/2023)</v>
      </c>
      <c r="H781" s="19"/>
    </row>
    <row r="782">
      <c r="A782" s="9"/>
      <c r="B782" s="15"/>
      <c r="C782" s="9">
        <f>IFERROR(__xludf.DUMMYFUNCTION("""COMPUTED_VALUE"""),45136.4779363888)</f>
        <v>45136.47794</v>
      </c>
      <c r="D782" s="15">
        <f>IFERROR(__xludf.DUMMYFUNCTION("""COMPUTED_VALUE"""),1.003)</f>
        <v>1.003</v>
      </c>
      <c r="E782" s="16">
        <f>IFERROR(__xludf.DUMMYFUNCTION("""COMPUTED_VALUE"""),74.0)</f>
        <v>74</v>
      </c>
      <c r="F782" s="19" t="str">
        <f>IFERROR(__xludf.DUMMYFUNCTION("""COMPUTED_VALUE"""),"BLACK")</f>
        <v>BLACK</v>
      </c>
      <c r="G782" s="20" t="str">
        <f>IFERROR(__xludf.DUMMYFUNCTION("""COMPUTED_VALUE"""),"Uncle Sams Cider (04/04/2023)")</f>
        <v>Uncle Sams Cider (04/04/2023)</v>
      </c>
      <c r="H782" s="19"/>
    </row>
    <row r="783">
      <c r="A783" s="9"/>
      <c r="B783" s="15"/>
      <c r="C783" s="9">
        <f>IFERROR(__xludf.DUMMYFUNCTION("""COMPUTED_VALUE"""),45136.4675016782)</f>
        <v>45136.4675</v>
      </c>
      <c r="D783" s="15">
        <f>IFERROR(__xludf.DUMMYFUNCTION("""COMPUTED_VALUE"""),1.003)</f>
        <v>1.003</v>
      </c>
      <c r="E783" s="16">
        <f>IFERROR(__xludf.DUMMYFUNCTION("""COMPUTED_VALUE"""),74.0)</f>
        <v>74</v>
      </c>
      <c r="F783" s="19" t="str">
        <f>IFERROR(__xludf.DUMMYFUNCTION("""COMPUTED_VALUE"""),"BLACK")</f>
        <v>BLACK</v>
      </c>
      <c r="G783" s="20" t="str">
        <f>IFERROR(__xludf.DUMMYFUNCTION("""COMPUTED_VALUE"""),"Uncle Sams Cider (04/04/2023)")</f>
        <v>Uncle Sams Cider (04/04/2023)</v>
      </c>
      <c r="H783" s="19"/>
    </row>
    <row r="784">
      <c r="A784" s="9"/>
      <c r="B784" s="15"/>
      <c r="C784" s="9">
        <f>IFERROR(__xludf.DUMMYFUNCTION("""COMPUTED_VALUE"""),45136.4570806481)</f>
        <v>45136.45708</v>
      </c>
      <c r="D784" s="15">
        <f>IFERROR(__xludf.DUMMYFUNCTION("""COMPUTED_VALUE"""),1.003)</f>
        <v>1.003</v>
      </c>
      <c r="E784" s="16">
        <f>IFERROR(__xludf.DUMMYFUNCTION("""COMPUTED_VALUE"""),74.0)</f>
        <v>74</v>
      </c>
      <c r="F784" s="19" t="str">
        <f>IFERROR(__xludf.DUMMYFUNCTION("""COMPUTED_VALUE"""),"BLACK")</f>
        <v>BLACK</v>
      </c>
      <c r="G784" s="20" t="str">
        <f>IFERROR(__xludf.DUMMYFUNCTION("""COMPUTED_VALUE"""),"Uncle Sams Cider (04/04/2023)")</f>
        <v>Uncle Sams Cider (04/04/2023)</v>
      </c>
      <c r="H784" s="19"/>
    </row>
    <row r="785">
      <c r="A785" s="9"/>
      <c r="B785" s="15"/>
      <c r="C785" s="9">
        <f>IFERROR(__xludf.DUMMYFUNCTION("""COMPUTED_VALUE"""),45136.4466606134)</f>
        <v>45136.44666</v>
      </c>
      <c r="D785" s="15">
        <f>IFERROR(__xludf.DUMMYFUNCTION("""COMPUTED_VALUE"""),1.003)</f>
        <v>1.003</v>
      </c>
      <c r="E785" s="16">
        <f>IFERROR(__xludf.DUMMYFUNCTION("""COMPUTED_VALUE"""),74.0)</f>
        <v>74</v>
      </c>
      <c r="F785" s="19" t="str">
        <f>IFERROR(__xludf.DUMMYFUNCTION("""COMPUTED_VALUE"""),"BLACK")</f>
        <v>BLACK</v>
      </c>
      <c r="G785" s="20" t="str">
        <f>IFERROR(__xludf.DUMMYFUNCTION("""COMPUTED_VALUE"""),"Uncle Sams Cider (04/04/2023)")</f>
        <v>Uncle Sams Cider (04/04/2023)</v>
      </c>
      <c r="H785" s="19"/>
    </row>
    <row r="786">
      <c r="A786" s="9"/>
      <c r="B786" s="15"/>
      <c r="C786" s="9">
        <f>IFERROR(__xludf.DUMMYFUNCTION("""COMPUTED_VALUE"""),45136.4362373611)</f>
        <v>45136.43624</v>
      </c>
      <c r="D786" s="15">
        <f>IFERROR(__xludf.DUMMYFUNCTION("""COMPUTED_VALUE"""),1.003)</f>
        <v>1.003</v>
      </c>
      <c r="E786" s="16">
        <f>IFERROR(__xludf.DUMMYFUNCTION("""COMPUTED_VALUE"""),74.0)</f>
        <v>74</v>
      </c>
      <c r="F786" s="19" t="str">
        <f>IFERROR(__xludf.DUMMYFUNCTION("""COMPUTED_VALUE"""),"BLACK")</f>
        <v>BLACK</v>
      </c>
      <c r="G786" s="20" t="str">
        <f>IFERROR(__xludf.DUMMYFUNCTION("""COMPUTED_VALUE"""),"Uncle Sams Cider (04/04/2023)")</f>
        <v>Uncle Sams Cider (04/04/2023)</v>
      </c>
      <c r="H786" s="19"/>
    </row>
    <row r="787">
      <c r="A787" s="9"/>
      <c r="B787" s="15"/>
      <c r="C787" s="9">
        <f>IFERROR(__xludf.DUMMYFUNCTION("""COMPUTED_VALUE"""),45136.4258061689)</f>
        <v>45136.42581</v>
      </c>
      <c r="D787" s="15">
        <f>IFERROR(__xludf.DUMMYFUNCTION("""COMPUTED_VALUE"""),1.003)</f>
        <v>1.003</v>
      </c>
      <c r="E787" s="16">
        <f>IFERROR(__xludf.DUMMYFUNCTION("""COMPUTED_VALUE"""),74.0)</f>
        <v>74</v>
      </c>
      <c r="F787" s="19" t="str">
        <f>IFERROR(__xludf.DUMMYFUNCTION("""COMPUTED_VALUE"""),"BLACK")</f>
        <v>BLACK</v>
      </c>
      <c r="G787" s="20" t="str">
        <f>IFERROR(__xludf.DUMMYFUNCTION("""COMPUTED_VALUE"""),"Uncle Sams Cider (04/04/2023)")</f>
        <v>Uncle Sams Cider (04/04/2023)</v>
      </c>
      <c r="H787" s="19"/>
    </row>
    <row r="788">
      <c r="A788" s="9"/>
      <c r="B788" s="15"/>
      <c r="C788" s="9">
        <f>IFERROR(__xludf.DUMMYFUNCTION("""COMPUTED_VALUE"""),45136.4153843865)</f>
        <v>45136.41538</v>
      </c>
      <c r="D788" s="15">
        <f>IFERROR(__xludf.DUMMYFUNCTION("""COMPUTED_VALUE"""),1.003)</f>
        <v>1.003</v>
      </c>
      <c r="E788" s="16">
        <f>IFERROR(__xludf.DUMMYFUNCTION("""COMPUTED_VALUE"""),74.0)</f>
        <v>74</v>
      </c>
      <c r="F788" s="19" t="str">
        <f>IFERROR(__xludf.DUMMYFUNCTION("""COMPUTED_VALUE"""),"BLACK")</f>
        <v>BLACK</v>
      </c>
      <c r="G788" s="20" t="str">
        <f>IFERROR(__xludf.DUMMYFUNCTION("""COMPUTED_VALUE"""),"Uncle Sams Cider (04/04/2023)")</f>
        <v>Uncle Sams Cider (04/04/2023)</v>
      </c>
      <c r="H788" s="19"/>
    </row>
    <row r="789">
      <c r="A789" s="9"/>
      <c r="B789" s="15"/>
      <c r="C789" s="9">
        <f>IFERROR(__xludf.DUMMYFUNCTION("""COMPUTED_VALUE"""),45136.4049630439)</f>
        <v>45136.40496</v>
      </c>
      <c r="D789" s="15">
        <f>IFERROR(__xludf.DUMMYFUNCTION("""COMPUTED_VALUE"""),1.003)</f>
        <v>1.003</v>
      </c>
      <c r="E789" s="16">
        <f>IFERROR(__xludf.DUMMYFUNCTION("""COMPUTED_VALUE"""),74.0)</f>
        <v>74</v>
      </c>
      <c r="F789" s="19" t="str">
        <f>IFERROR(__xludf.DUMMYFUNCTION("""COMPUTED_VALUE"""),"BLACK")</f>
        <v>BLACK</v>
      </c>
      <c r="G789" s="20" t="str">
        <f>IFERROR(__xludf.DUMMYFUNCTION("""COMPUTED_VALUE"""),"Uncle Sams Cider (04/04/2023)")</f>
        <v>Uncle Sams Cider (04/04/2023)</v>
      </c>
      <c r="H789" s="19"/>
    </row>
    <row r="790">
      <c r="A790" s="9"/>
      <c r="B790" s="15"/>
      <c r="C790" s="9">
        <f>IFERROR(__xludf.DUMMYFUNCTION("""COMPUTED_VALUE"""),45136.3945421296)</f>
        <v>45136.39454</v>
      </c>
      <c r="D790" s="15">
        <f>IFERROR(__xludf.DUMMYFUNCTION("""COMPUTED_VALUE"""),1.003)</f>
        <v>1.003</v>
      </c>
      <c r="E790" s="16">
        <f>IFERROR(__xludf.DUMMYFUNCTION("""COMPUTED_VALUE"""),74.0)</f>
        <v>74</v>
      </c>
      <c r="F790" s="19" t="str">
        <f>IFERROR(__xludf.DUMMYFUNCTION("""COMPUTED_VALUE"""),"BLACK")</f>
        <v>BLACK</v>
      </c>
      <c r="G790" s="20" t="str">
        <f>IFERROR(__xludf.DUMMYFUNCTION("""COMPUTED_VALUE"""),"Uncle Sams Cider (04/04/2023)")</f>
        <v>Uncle Sams Cider (04/04/2023)</v>
      </c>
      <c r="H790" s="19"/>
    </row>
    <row r="791">
      <c r="A791" s="9"/>
      <c r="B791" s="15"/>
      <c r="C791" s="9">
        <f>IFERROR(__xludf.DUMMYFUNCTION("""COMPUTED_VALUE"""),45136.3841213657)</f>
        <v>45136.38412</v>
      </c>
      <c r="D791" s="15">
        <f>IFERROR(__xludf.DUMMYFUNCTION("""COMPUTED_VALUE"""),1.003)</f>
        <v>1.003</v>
      </c>
      <c r="E791" s="16">
        <f>IFERROR(__xludf.DUMMYFUNCTION("""COMPUTED_VALUE"""),74.0)</f>
        <v>74</v>
      </c>
      <c r="F791" s="19" t="str">
        <f>IFERROR(__xludf.DUMMYFUNCTION("""COMPUTED_VALUE"""),"BLACK")</f>
        <v>BLACK</v>
      </c>
      <c r="G791" s="20" t="str">
        <f>IFERROR(__xludf.DUMMYFUNCTION("""COMPUTED_VALUE"""),"Uncle Sams Cider (04/04/2023)")</f>
        <v>Uncle Sams Cider (04/04/2023)</v>
      </c>
      <c r="H791" s="19"/>
    </row>
    <row r="792">
      <c r="A792" s="9"/>
      <c r="B792" s="15"/>
      <c r="C792" s="9">
        <f>IFERROR(__xludf.DUMMYFUNCTION("""COMPUTED_VALUE"""),45136.3737005439)</f>
        <v>45136.3737</v>
      </c>
      <c r="D792" s="15">
        <f>IFERROR(__xludf.DUMMYFUNCTION("""COMPUTED_VALUE"""),1.003)</f>
        <v>1.003</v>
      </c>
      <c r="E792" s="16">
        <f>IFERROR(__xludf.DUMMYFUNCTION("""COMPUTED_VALUE"""),74.0)</f>
        <v>74</v>
      </c>
      <c r="F792" s="19" t="str">
        <f>IFERROR(__xludf.DUMMYFUNCTION("""COMPUTED_VALUE"""),"BLACK")</f>
        <v>BLACK</v>
      </c>
      <c r="G792" s="20" t="str">
        <f>IFERROR(__xludf.DUMMYFUNCTION("""COMPUTED_VALUE"""),"Uncle Sams Cider (04/04/2023)")</f>
        <v>Uncle Sams Cider (04/04/2023)</v>
      </c>
      <c r="H792" s="19"/>
    </row>
    <row r="793">
      <c r="A793" s="9"/>
      <c r="B793" s="15"/>
      <c r="C793" s="9">
        <f>IFERROR(__xludf.DUMMYFUNCTION("""COMPUTED_VALUE"""),45136.363280162)</f>
        <v>45136.36328</v>
      </c>
      <c r="D793" s="15">
        <f>IFERROR(__xludf.DUMMYFUNCTION("""COMPUTED_VALUE"""),1.003)</f>
        <v>1.003</v>
      </c>
      <c r="E793" s="16">
        <f>IFERROR(__xludf.DUMMYFUNCTION("""COMPUTED_VALUE"""),74.0)</f>
        <v>74</v>
      </c>
      <c r="F793" s="19" t="str">
        <f>IFERROR(__xludf.DUMMYFUNCTION("""COMPUTED_VALUE"""),"BLACK")</f>
        <v>BLACK</v>
      </c>
      <c r="G793" s="20" t="str">
        <f>IFERROR(__xludf.DUMMYFUNCTION("""COMPUTED_VALUE"""),"Uncle Sams Cider (04/04/2023)")</f>
        <v>Uncle Sams Cider (04/04/2023)</v>
      </c>
      <c r="H793" s="19"/>
    </row>
    <row r="794">
      <c r="A794" s="9"/>
      <c r="B794" s="15"/>
      <c r="C794" s="9">
        <f>IFERROR(__xludf.DUMMYFUNCTION("""COMPUTED_VALUE"""),45136.3528587268)</f>
        <v>45136.35286</v>
      </c>
      <c r="D794" s="15">
        <f>IFERROR(__xludf.DUMMYFUNCTION("""COMPUTED_VALUE"""),1.003)</f>
        <v>1.003</v>
      </c>
      <c r="E794" s="16">
        <f>IFERROR(__xludf.DUMMYFUNCTION("""COMPUTED_VALUE"""),74.0)</f>
        <v>74</v>
      </c>
      <c r="F794" s="19" t="str">
        <f>IFERROR(__xludf.DUMMYFUNCTION("""COMPUTED_VALUE"""),"BLACK")</f>
        <v>BLACK</v>
      </c>
      <c r="G794" s="20" t="str">
        <f>IFERROR(__xludf.DUMMYFUNCTION("""COMPUTED_VALUE"""),"Uncle Sams Cider (04/04/2023)")</f>
        <v>Uncle Sams Cider (04/04/2023)</v>
      </c>
      <c r="H794" s="19"/>
    </row>
    <row r="795">
      <c r="A795" s="9"/>
      <c r="B795" s="15"/>
      <c r="C795" s="9">
        <f>IFERROR(__xludf.DUMMYFUNCTION("""COMPUTED_VALUE"""),45136.3424370254)</f>
        <v>45136.34244</v>
      </c>
      <c r="D795" s="15">
        <f>IFERROR(__xludf.DUMMYFUNCTION("""COMPUTED_VALUE"""),1.003)</f>
        <v>1.003</v>
      </c>
      <c r="E795" s="16">
        <f>IFERROR(__xludf.DUMMYFUNCTION("""COMPUTED_VALUE"""),74.0)</f>
        <v>74</v>
      </c>
      <c r="F795" s="19" t="str">
        <f>IFERROR(__xludf.DUMMYFUNCTION("""COMPUTED_VALUE"""),"BLACK")</f>
        <v>BLACK</v>
      </c>
      <c r="G795" s="20" t="str">
        <f>IFERROR(__xludf.DUMMYFUNCTION("""COMPUTED_VALUE"""),"Uncle Sams Cider (04/04/2023)")</f>
        <v>Uncle Sams Cider (04/04/2023)</v>
      </c>
      <c r="H795" s="19"/>
    </row>
    <row r="796">
      <c r="A796" s="9"/>
      <c r="B796" s="15"/>
      <c r="C796" s="9">
        <f>IFERROR(__xludf.DUMMYFUNCTION("""COMPUTED_VALUE"""),45136.3320131018)</f>
        <v>45136.33201</v>
      </c>
      <c r="D796" s="15">
        <f>IFERROR(__xludf.DUMMYFUNCTION("""COMPUTED_VALUE"""),1.003)</f>
        <v>1.003</v>
      </c>
      <c r="E796" s="16">
        <f>IFERROR(__xludf.DUMMYFUNCTION("""COMPUTED_VALUE"""),74.0)</f>
        <v>74</v>
      </c>
      <c r="F796" s="19" t="str">
        <f>IFERROR(__xludf.DUMMYFUNCTION("""COMPUTED_VALUE"""),"BLACK")</f>
        <v>BLACK</v>
      </c>
      <c r="G796" s="20" t="str">
        <f>IFERROR(__xludf.DUMMYFUNCTION("""COMPUTED_VALUE"""),"Uncle Sams Cider (04/04/2023)")</f>
        <v>Uncle Sams Cider (04/04/2023)</v>
      </c>
      <c r="H796" s="19"/>
    </row>
    <row r="797">
      <c r="A797" s="9"/>
      <c r="B797" s="15"/>
      <c r="C797" s="9">
        <f>IFERROR(__xludf.DUMMYFUNCTION("""COMPUTED_VALUE"""),45136.3215896527)</f>
        <v>45136.32159</v>
      </c>
      <c r="D797" s="15">
        <f>IFERROR(__xludf.DUMMYFUNCTION("""COMPUTED_VALUE"""),1.003)</f>
        <v>1.003</v>
      </c>
      <c r="E797" s="16">
        <f>IFERROR(__xludf.DUMMYFUNCTION("""COMPUTED_VALUE"""),74.0)</f>
        <v>74</v>
      </c>
      <c r="F797" s="19" t="str">
        <f>IFERROR(__xludf.DUMMYFUNCTION("""COMPUTED_VALUE"""),"BLACK")</f>
        <v>BLACK</v>
      </c>
      <c r="G797" s="20" t="str">
        <f>IFERROR(__xludf.DUMMYFUNCTION("""COMPUTED_VALUE"""),"Uncle Sams Cider (04/04/2023)")</f>
        <v>Uncle Sams Cider (04/04/2023)</v>
      </c>
      <c r="H797" s="19"/>
    </row>
    <row r="798">
      <c r="A798" s="9"/>
      <c r="B798" s="15"/>
      <c r="C798" s="9">
        <f>IFERROR(__xludf.DUMMYFUNCTION("""COMPUTED_VALUE"""),45136.3111689004)</f>
        <v>45136.31117</v>
      </c>
      <c r="D798" s="15">
        <f>IFERROR(__xludf.DUMMYFUNCTION("""COMPUTED_VALUE"""),1.003)</f>
        <v>1.003</v>
      </c>
      <c r="E798" s="16">
        <f>IFERROR(__xludf.DUMMYFUNCTION("""COMPUTED_VALUE"""),74.0)</f>
        <v>74</v>
      </c>
      <c r="F798" s="19" t="str">
        <f>IFERROR(__xludf.DUMMYFUNCTION("""COMPUTED_VALUE"""),"BLACK")</f>
        <v>BLACK</v>
      </c>
      <c r="G798" s="20" t="str">
        <f>IFERROR(__xludf.DUMMYFUNCTION("""COMPUTED_VALUE"""),"Uncle Sams Cider (04/04/2023)")</f>
        <v>Uncle Sams Cider (04/04/2023)</v>
      </c>
      <c r="H798" s="19"/>
    </row>
    <row r="799">
      <c r="A799" s="9"/>
      <c r="B799" s="15"/>
      <c r="C799" s="9">
        <f>IFERROR(__xludf.DUMMYFUNCTION("""COMPUTED_VALUE"""),45136.3007475463)</f>
        <v>45136.30075</v>
      </c>
      <c r="D799" s="15">
        <f>IFERROR(__xludf.DUMMYFUNCTION("""COMPUTED_VALUE"""),1.003)</f>
        <v>1.003</v>
      </c>
      <c r="E799" s="16">
        <f>IFERROR(__xludf.DUMMYFUNCTION("""COMPUTED_VALUE"""),74.0)</f>
        <v>74</v>
      </c>
      <c r="F799" s="19" t="str">
        <f>IFERROR(__xludf.DUMMYFUNCTION("""COMPUTED_VALUE"""),"BLACK")</f>
        <v>BLACK</v>
      </c>
      <c r="G799" s="20" t="str">
        <f>IFERROR(__xludf.DUMMYFUNCTION("""COMPUTED_VALUE"""),"Uncle Sams Cider (04/04/2023)")</f>
        <v>Uncle Sams Cider (04/04/2023)</v>
      </c>
      <c r="H799" s="19"/>
    </row>
    <row r="800">
      <c r="A800" s="9"/>
      <c r="B800" s="15"/>
      <c r="C800" s="9">
        <f>IFERROR(__xludf.DUMMYFUNCTION("""COMPUTED_VALUE"""),45136.290315706)</f>
        <v>45136.29032</v>
      </c>
      <c r="D800" s="15">
        <f>IFERROR(__xludf.DUMMYFUNCTION("""COMPUTED_VALUE"""),1.003)</f>
        <v>1.003</v>
      </c>
      <c r="E800" s="16">
        <f>IFERROR(__xludf.DUMMYFUNCTION("""COMPUTED_VALUE"""),74.0)</f>
        <v>74</v>
      </c>
      <c r="F800" s="19" t="str">
        <f>IFERROR(__xludf.DUMMYFUNCTION("""COMPUTED_VALUE"""),"BLACK")</f>
        <v>BLACK</v>
      </c>
      <c r="G800" s="20" t="str">
        <f>IFERROR(__xludf.DUMMYFUNCTION("""COMPUTED_VALUE"""),"Uncle Sams Cider (04/04/2023)")</f>
        <v>Uncle Sams Cider (04/04/2023)</v>
      </c>
      <c r="H800" s="19"/>
    </row>
    <row r="801">
      <c r="A801" s="9"/>
      <c r="B801" s="15"/>
      <c r="C801" s="9">
        <f>IFERROR(__xludf.DUMMYFUNCTION("""COMPUTED_VALUE"""),45136.2798940277)</f>
        <v>45136.27989</v>
      </c>
      <c r="D801" s="15">
        <f>IFERROR(__xludf.DUMMYFUNCTION("""COMPUTED_VALUE"""),1.003)</f>
        <v>1.003</v>
      </c>
      <c r="E801" s="16">
        <f>IFERROR(__xludf.DUMMYFUNCTION("""COMPUTED_VALUE"""),74.0)</f>
        <v>74</v>
      </c>
      <c r="F801" s="19" t="str">
        <f>IFERROR(__xludf.DUMMYFUNCTION("""COMPUTED_VALUE"""),"BLACK")</f>
        <v>BLACK</v>
      </c>
      <c r="G801" s="20" t="str">
        <f>IFERROR(__xludf.DUMMYFUNCTION("""COMPUTED_VALUE"""),"Uncle Sams Cider (04/04/2023)")</f>
        <v>Uncle Sams Cider (04/04/2023)</v>
      </c>
      <c r="H801" s="19"/>
    </row>
    <row r="802">
      <c r="A802" s="9"/>
      <c r="B802" s="15"/>
      <c r="C802" s="9">
        <f>IFERROR(__xludf.DUMMYFUNCTION("""COMPUTED_VALUE"""),45136.2694741203)</f>
        <v>45136.26947</v>
      </c>
      <c r="D802" s="15">
        <f>IFERROR(__xludf.DUMMYFUNCTION("""COMPUTED_VALUE"""),1.003)</f>
        <v>1.003</v>
      </c>
      <c r="E802" s="16">
        <f>IFERROR(__xludf.DUMMYFUNCTION("""COMPUTED_VALUE"""),74.0)</f>
        <v>74</v>
      </c>
      <c r="F802" s="19" t="str">
        <f>IFERROR(__xludf.DUMMYFUNCTION("""COMPUTED_VALUE"""),"BLACK")</f>
        <v>BLACK</v>
      </c>
      <c r="G802" s="20" t="str">
        <f>IFERROR(__xludf.DUMMYFUNCTION("""COMPUTED_VALUE"""),"Uncle Sams Cider (04/04/2023)")</f>
        <v>Uncle Sams Cider (04/04/2023)</v>
      </c>
      <c r="H802" s="19"/>
    </row>
    <row r="803">
      <c r="A803" s="9"/>
      <c r="B803" s="15"/>
      <c r="C803" s="9">
        <f>IFERROR(__xludf.DUMMYFUNCTION("""COMPUTED_VALUE"""),45136.2590529051)</f>
        <v>45136.25905</v>
      </c>
      <c r="D803" s="15">
        <f>IFERROR(__xludf.DUMMYFUNCTION("""COMPUTED_VALUE"""),1.003)</f>
        <v>1.003</v>
      </c>
      <c r="E803" s="16">
        <f>IFERROR(__xludf.DUMMYFUNCTION("""COMPUTED_VALUE"""),74.0)</f>
        <v>74</v>
      </c>
      <c r="F803" s="19" t="str">
        <f>IFERROR(__xludf.DUMMYFUNCTION("""COMPUTED_VALUE"""),"BLACK")</f>
        <v>BLACK</v>
      </c>
      <c r="G803" s="20" t="str">
        <f>IFERROR(__xludf.DUMMYFUNCTION("""COMPUTED_VALUE"""),"Uncle Sams Cider (04/04/2023)")</f>
        <v>Uncle Sams Cider (04/04/2023)</v>
      </c>
      <c r="H803" s="19"/>
    </row>
    <row r="804">
      <c r="A804" s="9"/>
      <c r="B804" s="15"/>
      <c r="C804" s="9">
        <f>IFERROR(__xludf.DUMMYFUNCTION("""COMPUTED_VALUE"""),45136.2486331481)</f>
        <v>45136.24863</v>
      </c>
      <c r="D804" s="15">
        <f>IFERROR(__xludf.DUMMYFUNCTION("""COMPUTED_VALUE"""),1.003)</f>
        <v>1.003</v>
      </c>
      <c r="E804" s="16">
        <f>IFERROR(__xludf.DUMMYFUNCTION("""COMPUTED_VALUE"""),74.0)</f>
        <v>74</v>
      </c>
      <c r="F804" s="19" t="str">
        <f>IFERROR(__xludf.DUMMYFUNCTION("""COMPUTED_VALUE"""),"BLACK")</f>
        <v>BLACK</v>
      </c>
      <c r="G804" s="20" t="str">
        <f>IFERROR(__xludf.DUMMYFUNCTION("""COMPUTED_VALUE"""),"Uncle Sams Cider (04/04/2023)")</f>
        <v>Uncle Sams Cider (04/04/2023)</v>
      </c>
      <c r="H804" s="19"/>
    </row>
    <row r="805">
      <c r="A805" s="9"/>
      <c r="B805" s="15"/>
      <c r="C805" s="9">
        <f>IFERROR(__xludf.DUMMYFUNCTION("""COMPUTED_VALUE"""),45136.2382135648)</f>
        <v>45136.23821</v>
      </c>
      <c r="D805" s="15">
        <f>IFERROR(__xludf.DUMMYFUNCTION("""COMPUTED_VALUE"""),1.003)</f>
        <v>1.003</v>
      </c>
      <c r="E805" s="16">
        <f>IFERROR(__xludf.DUMMYFUNCTION("""COMPUTED_VALUE"""),74.0)</f>
        <v>74</v>
      </c>
      <c r="F805" s="19" t="str">
        <f>IFERROR(__xludf.DUMMYFUNCTION("""COMPUTED_VALUE"""),"BLACK")</f>
        <v>BLACK</v>
      </c>
      <c r="G805" s="20" t="str">
        <f>IFERROR(__xludf.DUMMYFUNCTION("""COMPUTED_VALUE"""),"Uncle Sams Cider (04/04/2023)")</f>
        <v>Uncle Sams Cider (04/04/2023)</v>
      </c>
      <c r="H805" s="19"/>
    </row>
    <row r="806">
      <c r="A806" s="9"/>
      <c r="B806" s="15"/>
      <c r="C806" s="9">
        <f>IFERROR(__xludf.DUMMYFUNCTION("""COMPUTED_VALUE"""),45136.2277923611)</f>
        <v>45136.22779</v>
      </c>
      <c r="D806" s="15">
        <f>IFERROR(__xludf.DUMMYFUNCTION("""COMPUTED_VALUE"""),1.003)</f>
        <v>1.003</v>
      </c>
      <c r="E806" s="16">
        <f>IFERROR(__xludf.DUMMYFUNCTION("""COMPUTED_VALUE"""),74.0)</f>
        <v>74</v>
      </c>
      <c r="F806" s="19" t="str">
        <f>IFERROR(__xludf.DUMMYFUNCTION("""COMPUTED_VALUE"""),"BLACK")</f>
        <v>BLACK</v>
      </c>
      <c r="G806" s="20" t="str">
        <f>IFERROR(__xludf.DUMMYFUNCTION("""COMPUTED_VALUE"""),"Uncle Sams Cider (04/04/2023)")</f>
        <v>Uncle Sams Cider (04/04/2023)</v>
      </c>
      <c r="H806" s="19"/>
    </row>
    <row r="807">
      <c r="A807" s="9"/>
      <c r="B807" s="15"/>
      <c r="C807" s="9">
        <f>IFERROR(__xludf.DUMMYFUNCTION("""COMPUTED_VALUE"""),45136.2173708796)</f>
        <v>45136.21737</v>
      </c>
      <c r="D807" s="15">
        <f>IFERROR(__xludf.DUMMYFUNCTION("""COMPUTED_VALUE"""),1.003)</f>
        <v>1.003</v>
      </c>
      <c r="E807" s="16">
        <f>IFERROR(__xludf.DUMMYFUNCTION("""COMPUTED_VALUE"""),74.0)</f>
        <v>74</v>
      </c>
      <c r="F807" s="19" t="str">
        <f>IFERROR(__xludf.DUMMYFUNCTION("""COMPUTED_VALUE"""),"BLACK")</f>
        <v>BLACK</v>
      </c>
      <c r="G807" s="20" t="str">
        <f>IFERROR(__xludf.DUMMYFUNCTION("""COMPUTED_VALUE"""),"Uncle Sams Cider (04/04/2023)")</f>
        <v>Uncle Sams Cider (04/04/2023)</v>
      </c>
      <c r="H807" s="19"/>
    </row>
    <row r="808">
      <c r="A808" s="9"/>
      <c r="B808" s="15"/>
      <c r="C808" s="9">
        <f>IFERROR(__xludf.DUMMYFUNCTION("""COMPUTED_VALUE"""),45136.2069484143)</f>
        <v>45136.20695</v>
      </c>
      <c r="D808" s="15">
        <f>IFERROR(__xludf.DUMMYFUNCTION("""COMPUTED_VALUE"""),1.003)</f>
        <v>1.003</v>
      </c>
      <c r="E808" s="16">
        <f>IFERROR(__xludf.DUMMYFUNCTION("""COMPUTED_VALUE"""),74.0)</f>
        <v>74</v>
      </c>
      <c r="F808" s="19" t="str">
        <f>IFERROR(__xludf.DUMMYFUNCTION("""COMPUTED_VALUE"""),"BLACK")</f>
        <v>BLACK</v>
      </c>
      <c r="G808" s="20" t="str">
        <f>IFERROR(__xludf.DUMMYFUNCTION("""COMPUTED_VALUE"""),"Uncle Sams Cider (04/04/2023)")</f>
        <v>Uncle Sams Cider (04/04/2023)</v>
      </c>
      <c r="H808" s="19"/>
    </row>
    <row r="809">
      <c r="A809" s="9"/>
      <c r="B809" s="15"/>
      <c r="C809" s="9">
        <f>IFERROR(__xludf.DUMMYFUNCTION("""COMPUTED_VALUE"""),45136.1965277546)</f>
        <v>45136.19653</v>
      </c>
      <c r="D809" s="15">
        <f>IFERROR(__xludf.DUMMYFUNCTION("""COMPUTED_VALUE"""),1.003)</f>
        <v>1.003</v>
      </c>
      <c r="E809" s="16">
        <f>IFERROR(__xludf.DUMMYFUNCTION("""COMPUTED_VALUE"""),74.0)</f>
        <v>74</v>
      </c>
      <c r="F809" s="19" t="str">
        <f>IFERROR(__xludf.DUMMYFUNCTION("""COMPUTED_VALUE"""),"BLACK")</f>
        <v>BLACK</v>
      </c>
      <c r="G809" s="20" t="str">
        <f>IFERROR(__xludf.DUMMYFUNCTION("""COMPUTED_VALUE"""),"Uncle Sams Cider (04/04/2023)")</f>
        <v>Uncle Sams Cider (04/04/2023)</v>
      </c>
      <c r="H809" s="19"/>
    </row>
    <row r="810">
      <c r="A810" s="9"/>
      <c r="B810" s="15"/>
      <c r="C810" s="9">
        <f>IFERROR(__xludf.DUMMYFUNCTION("""COMPUTED_VALUE"""),45136.1861083333)</f>
        <v>45136.18611</v>
      </c>
      <c r="D810" s="15">
        <f>IFERROR(__xludf.DUMMYFUNCTION("""COMPUTED_VALUE"""),1.003)</f>
        <v>1.003</v>
      </c>
      <c r="E810" s="16">
        <f>IFERROR(__xludf.DUMMYFUNCTION("""COMPUTED_VALUE"""),74.0)</f>
        <v>74</v>
      </c>
      <c r="F810" s="19" t="str">
        <f>IFERROR(__xludf.DUMMYFUNCTION("""COMPUTED_VALUE"""),"BLACK")</f>
        <v>BLACK</v>
      </c>
      <c r="G810" s="20" t="str">
        <f>IFERROR(__xludf.DUMMYFUNCTION("""COMPUTED_VALUE"""),"Uncle Sams Cider (04/04/2023)")</f>
        <v>Uncle Sams Cider (04/04/2023)</v>
      </c>
      <c r="H810" s="19"/>
    </row>
    <row r="811">
      <c r="A811" s="9"/>
      <c r="B811" s="15"/>
      <c r="C811" s="9">
        <f>IFERROR(__xludf.DUMMYFUNCTION("""COMPUTED_VALUE"""),45136.175686574)</f>
        <v>45136.17569</v>
      </c>
      <c r="D811" s="15">
        <f>IFERROR(__xludf.DUMMYFUNCTION("""COMPUTED_VALUE"""),1.003)</f>
        <v>1.003</v>
      </c>
      <c r="E811" s="16">
        <f>IFERROR(__xludf.DUMMYFUNCTION("""COMPUTED_VALUE"""),74.0)</f>
        <v>74</v>
      </c>
      <c r="F811" s="19" t="str">
        <f>IFERROR(__xludf.DUMMYFUNCTION("""COMPUTED_VALUE"""),"BLACK")</f>
        <v>BLACK</v>
      </c>
      <c r="G811" s="20" t="str">
        <f>IFERROR(__xludf.DUMMYFUNCTION("""COMPUTED_VALUE"""),"Uncle Sams Cider (04/04/2023)")</f>
        <v>Uncle Sams Cider (04/04/2023)</v>
      </c>
      <c r="H811" s="19"/>
    </row>
    <row r="812">
      <c r="A812" s="9"/>
      <c r="B812" s="15"/>
      <c r="C812" s="9">
        <f>IFERROR(__xludf.DUMMYFUNCTION("""COMPUTED_VALUE"""),45136.1652669328)</f>
        <v>45136.16527</v>
      </c>
      <c r="D812" s="15">
        <f>IFERROR(__xludf.DUMMYFUNCTION("""COMPUTED_VALUE"""),1.003)</f>
        <v>1.003</v>
      </c>
      <c r="E812" s="16">
        <f>IFERROR(__xludf.DUMMYFUNCTION("""COMPUTED_VALUE"""),74.0)</f>
        <v>74</v>
      </c>
      <c r="F812" s="19" t="str">
        <f>IFERROR(__xludf.DUMMYFUNCTION("""COMPUTED_VALUE"""),"BLACK")</f>
        <v>BLACK</v>
      </c>
      <c r="G812" s="20" t="str">
        <f>IFERROR(__xludf.DUMMYFUNCTION("""COMPUTED_VALUE"""),"Uncle Sams Cider (04/04/2023)")</f>
        <v>Uncle Sams Cider (04/04/2023)</v>
      </c>
      <c r="H812" s="19"/>
    </row>
    <row r="813">
      <c r="A813" s="9"/>
      <c r="B813" s="15"/>
      <c r="C813" s="9">
        <f>IFERROR(__xludf.DUMMYFUNCTION("""COMPUTED_VALUE"""),45136.154845868)</f>
        <v>45136.15485</v>
      </c>
      <c r="D813" s="15">
        <f>IFERROR(__xludf.DUMMYFUNCTION("""COMPUTED_VALUE"""),1.003)</f>
        <v>1.003</v>
      </c>
      <c r="E813" s="16">
        <f>IFERROR(__xludf.DUMMYFUNCTION("""COMPUTED_VALUE"""),74.0)</f>
        <v>74</v>
      </c>
      <c r="F813" s="19" t="str">
        <f>IFERROR(__xludf.DUMMYFUNCTION("""COMPUTED_VALUE"""),"BLACK")</f>
        <v>BLACK</v>
      </c>
      <c r="G813" s="20" t="str">
        <f>IFERROR(__xludf.DUMMYFUNCTION("""COMPUTED_VALUE"""),"Uncle Sams Cider (04/04/2023)")</f>
        <v>Uncle Sams Cider (04/04/2023)</v>
      </c>
      <c r="H813" s="19"/>
    </row>
    <row r="814">
      <c r="A814" s="9"/>
      <c r="B814" s="15"/>
      <c r="C814" s="9">
        <f>IFERROR(__xludf.DUMMYFUNCTION("""COMPUTED_VALUE"""),45136.1444114699)</f>
        <v>45136.14441</v>
      </c>
      <c r="D814" s="15">
        <f>IFERROR(__xludf.DUMMYFUNCTION("""COMPUTED_VALUE"""),1.003)</f>
        <v>1.003</v>
      </c>
      <c r="E814" s="16">
        <f>IFERROR(__xludf.DUMMYFUNCTION("""COMPUTED_VALUE"""),74.0)</f>
        <v>74</v>
      </c>
      <c r="F814" s="19" t="str">
        <f>IFERROR(__xludf.DUMMYFUNCTION("""COMPUTED_VALUE"""),"BLACK")</f>
        <v>BLACK</v>
      </c>
      <c r="G814" s="20" t="str">
        <f>IFERROR(__xludf.DUMMYFUNCTION("""COMPUTED_VALUE"""),"Uncle Sams Cider (04/04/2023)")</f>
        <v>Uncle Sams Cider (04/04/2023)</v>
      </c>
      <c r="H814" s="19"/>
    </row>
    <row r="815">
      <c r="A815" s="9"/>
      <c r="B815" s="15"/>
      <c r="C815" s="9">
        <f>IFERROR(__xludf.DUMMYFUNCTION("""COMPUTED_VALUE"""),45136.1339544213)</f>
        <v>45136.13395</v>
      </c>
      <c r="D815" s="15">
        <f>IFERROR(__xludf.DUMMYFUNCTION("""COMPUTED_VALUE"""),1.003)</f>
        <v>1.003</v>
      </c>
      <c r="E815" s="16">
        <f>IFERROR(__xludf.DUMMYFUNCTION("""COMPUTED_VALUE"""),74.0)</f>
        <v>74</v>
      </c>
      <c r="F815" s="19" t="str">
        <f>IFERROR(__xludf.DUMMYFUNCTION("""COMPUTED_VALUE"""),"BLACK")</f>
        <v>BLACK</v>
      </c>
      <c r="G815" s="20" t="str">
        <f>IFERROR(__xludf.DUMMYFUNCTION("""COMPUTED_VALUE"""),"Uncle Sams Cider (04/04/2023)")</f>
        <v>Uncle Sams Cider (04/04/2023)</v>
      </c>
      <c r="H815" s="19"/>
    </row>
    <row r="816">
      <c r="A816" s="9"/>
      <c r="B816" s="15"/>
      <c r="C816" s="9">
        <f>IFERROR(__xludf.DUMMYFUNCTION("""COMPUTED_VALUE"""),45136.1235325)</f>
        <v>45136.12353</v>
      </c>
      <c r="D816" s="15">
        <f>IFERROR(__xludf.DUMMYFUNCTION("""COMPUTED_VALUE"""),1.003)</f>
        <v>1.003</v>
      </c>
      <c r="E816" s="16">
        <f>IFERROR(__xludf.DUMMYFUNCTION("""COMPUTED_VALUE"""),74.0)</f>
        <v>74</v>
      </c>
      <c r="F816" s="19" t="str">
        <f>IFERROR(__xludf.DUMMYFUNCTION("""COMPUTED_VALUE"""),"BLACK")</f>
        <v>BLACK</v>
      </c>
      <c r="G816" s="20" t="str">
        <f>IFERROR(__xludf.DUMMYFUNCTION("""COMPUTED_VALUE"""),"Uncle Sams Cider (04/04/2023)")</f>
        <v>Uncle Sams Cider (04/04/2023)</v>
      </c>
      <c r="H816" s="19"/>
    </row>
    <row r="817">
      <c r="A817" s="9"/>
      <c r="B817" s="15"/>
      <c r="C817" s="9">
        <f>IFERROR(__xludf.DUMMYFUNCTION("""COMPUTED_VALUE"""),45136.1131104398)</f>
        <v>45136.11311</v>
      </c>
      <c r="D817" s="15">
        <f>IFERROR(__xludf.DUMMYFUNCTION("""COMPUTED_VALUE"""),1.003)</f>
        <v>1.003</v>
      </c>
      <c r="E817" s="16">
        <f>IFERROR(__xludf.DUMMYFUNCTION("""COMPUTED_VALUE"""),74.0)</f>
        <v>74</v>
      </c>
      <c r="F817" s="19" t="str">
        <f>IFERROR(__xludf.DUMMYFUNCTION("""COMPUTED_VALUE"""),"BLACK")</f>
        <v>BLACK</v>
      </c>
      <c r="G817" s="20" t="str">
        <f>IFERROR(__xludf.DUMMYFUNCTION("""COMPUTED_VALUE"""),"Uncle Sams Cider (04/04/2023)")</f>
        <v>Uncle Sams Cider (04/04/2023)</v>
      </c>
      <c r="H817" s="19"/>
    </row>
    <row r="818">
      <c r="A818" s="9"/>
      <c r="B818" s="15"/>
      <c r="C818" s="9">
        <f>IFERROR(__xludf.DUMMYFUNCTION("""COMPUTED_VALUE"""),45136.1026895138)</f>
        <v>45136.10269</v>
      </c>
      <c r="D818" s="15">
        <f>IFERROR(__xludf.DUMMYFUNCTION("""COMPUTED_VALUE"""),1.003)</f>
        <v>1.003</v>
      </c>
      <c r="E818" s="16">
        <f>IFERROR(__xludf.DUMMYFUNCTION("""COMPUTED_VALUE"""),74.0)</f>
        <v>74</v>
      </c>
      <c r="F818" s="19" t="str">
        <f>IFERROR(__xludf.DUMMYFUNCTION("""COMPUTED_VALUE"""),"BLACK")</f>
        <v>BLACK</v>
      </c>
      <c r="G818" s="20" t="str">
        <f>IFERROR(__xludf.DUMMYFUNCTION("""COMPUTED_VALUE"""),"Uncle Sams Cider (04/04/2023)")</f>
        <v>Uncle Sams Cider (04/04/2023)</v>
      </c>
      <c r="H818" s="19"/>
    </row>
    <row r="819">
      <c r="A819" s="9"/>
      <c r="B819" s="15"/>
      <c r="C819" s="9">
        <f>IFERROR(__xludf.DUMMYFUNCTION("""COMPUTED_VALUE"""),45136.0922539467)</f>
        <v>45136.09225</v>
      </c>
      <c r="D819" s="15">
        <f>IFERROR(__xludf.DUMMYFUNCTION("""COMPUTED_VALUE"""),1.003)</f>
        <v>1.003</v>
      </c>
      <c r="E819" s="16">
        <f>IFERROR(__xludf.DUMMYFUNCTION("""COMPUTED_VALUE"""),74.0)</f>
        <v>74</v>
      </c>
      <c r="F819" s="19" t="str">
        <f>IFERROR(__xludf.DUMMYFUNCTION("""COMPUTED_VALUE"""),"BLACK")</f>
        <v>BLACK</v>
      </c>
      <c r="G819" s="20" t="str">
        <f>IFERROR(__xludf.DUMMYFUNCTION("""COMPUTED_VALUE"""),"Uncle Sams Cider (04/04/2023)")</f>
        <v>Uncle Sams Cider (04/04/2023)</v>
      </c>
      <c r="H819" s="19"/>
    </row>
    <row r="820">
      <c r="A820" s="9"/>
      <c r="B820" s="15"/>
      <c r="C820" s="9">
        <f>IFERROR(__xludf.DUMMYFUNCTION("""COMPUTED_VALUE"""),45136.0818331134)</f>
        <v>45136.08183</v>
      </c>
      <c r="D820" s="15">
        <f>IFERROR(__xludf.DUMMYFUNCTION("""COMPUTED_VALUE"""),1.003)</f>
        <v>1.003</v>
      </c>
      <c r="E820" s="16">
        <f>IFERROR(__xludf.DUMMYFUNCTION("""COMPUTED_VALUE"""),74.0)</f>
        <v>74</v>
      </c>
      <c r="F820" s="19" t="str">
        <f>IFERROR(__xludf.DUMMYFUNCTION("""COMPUTED_VALUE"""),"BLACK")</f>
        <v>BLACK</v>
      </c>
      <c r="G820" s="20" t="str">
        <f>IFERROR(__xludf.DUMMYFUNCTION("""COMPUTED_VALUE"""),"Uncle Sams Cider (04/04/2023)")</f>
        <v>Uncle Sams Cider (04/04/2023)</v>
      </c>
      <c r="H820" s="19"/>
    </row>
    <row r="821">
      <c r="A821" s="9"/>
      <c r="B821" s="15"/>
      <c r="C821" s="9">
        <f>IFERROR(__xludf.DUMMYFUNCTION("""COMPUTED_VALUE"""),45136.0714128009)</f>
        <v>45136.07141</v>
      </c>
      <c r="D821" s="15">
        <f>IFERROR(__xludf.DUMMYFUNCTION("""COMPUTED_VALUE"""),1.003)</f>
        <v>1.003</v>
      </c>
      <c r="E821" s="16">
        <f>IFERROR(__xludf.DUMMYFUNCTION("""COMPUTED_VALUE"""),74.0)</f>
        <v>74</v>
      </c>
      <c r="F821" s="19" t="str">
        <f>IFERROR(__xludf.DUMMYFUNCTION("""COMPUTED_VALUE"""),"BLACK")</f>
        <v>BLACK</v>
      </c>
      <c r="G821" s="20" t="str">
        <f>IFERROR(__xludf.DUMMYFUNCTION("""COMPUTED_VALUE"""),"Uncle Sams Cider (04/04/2023)")</f>
        <v>Uncle Sams Cider (04/04/2023)</v>
      </c>
      <c r="H821" s="19"/>
    </row>
    <row r="822">
      <c r="A822" s="9"/>
      <c r="B822" s="15"/>
      <c r="C822" s="9">
        <f>IFERROR(__xludf.DUMMYFUNCTION("""COMPUTED_VALUE"""),45136.0609918634)</f>
        <v>45136.06099</v>
      </c>
      <c r="D822" s="15">
        <f>IFERROR(__xludf.DUMMYFUNCTION("""COMPUTED_VALUE"""),1.003)</f>
        <v>1.003</v>
      </c>
      <c r="E822" s="16">
        <f>IFERROR(__xludf.DUMMYFUNCTION("""COMPUTED_VALUE"""),74.0)</f>
        <v>74</v>
      </c>
      <c r="F822" s="19" t="str">
        <f>IFERROR(__xludf.DUMMYFUNCTION("""COMPUTED_VALUE"""),"BLACK")</f>
        <v>BLACK</v>
      </c>
      <c r="G822" s="20" t="str">
        <f>IFERROR(__xludf.DUMMYFUNCTION("""COMPUTED_VALUE"""),"Uncle Sams Cider (04/04/2023)")</f>
        <v>Uncle Sams Cider (04/04/2023)</v>
      </c>
      <c r="H822" s="19"/>
    </row>
    <row r="823">
      <c r="A823" s="9"/>
      <c r="B823" s="15"/>
      <c r="C823" s="9">
        <f>IFERROR(__xludf.DUMMYFUNCTION("""COMPUTED_VALUE"""),45136.0505698148)</f>
        <v>45136.05057</v>
      </c>
      <c r="D823" s="15">
        <f>IFERROR(__xludf.DUMMYFUNCTION("""COMPUTED_VALUE"""),1.003)</f>
        <v>1.003</v>
      </c>
      <c r="E823" s="16">
        <f>IFERROR(__xludf.DUMMYFUNCTION("""COMPUTED_VALUE"""),74.0)</f>
        <v>74</v>
      </c>
      <c r="F823" s="19" t="str">
        <f>IFERROR(__xludf.DUMMYFUNCTION("""COMPUTED_VALUE"""),"BLACK")</f>
        <v>BLACK</v>
      </c>
      <c r="G823" s="20" t="str">
        <f>IFERROR(__xludf.DUMMYFUNCTION("""COMPUTED_VALUE"""),"Uncle Sams Cider (04/04/2023)")</f>
        <v>Uncle Sams Cider (04/04/2023)</v>
      </c>
      <c r="H823" s="19"/>
    </row>
    <row r="824">
      <c r="A824" s="9"/>
      <c r="B824" s="15"/>
      <c r="C824" s="9">
        <f>IFERROR(__xludf.DUMMYFUNCTION("""COMPUTED_VALUE"""),45136.0401494213)</f>
        <v>45136.04015</v>
      </c>
      <c r="D824" s="15">
        <f>IFERROR(__xludf.DUMMYFUNCTION("""COMPUTED_VALUE"""),1.003)</f>
        <v>1.003</v>
      </c>
      <c r="E824" s="16">
        <f>IFERROR(__xludf.DUMMYFUNCTION("""COMPUTED_VALUE"""),74.0)</f>
        <v>74</v>
      </c>
      <c r="F824" s="19" t="str">
        <f>IFERROR(__xludf.DUMMYFUNCTION("""COMPUTED_VALUE"""),"BLACK")</f>
        <v>BLACK</v>
      </c>
      <c r="G824" s="20" t="str">
        <f>IFERROR(__xludf.DUMMYFUNCTION("""COMPUTED_VALUE"""),"Uncle Sams Cider (04/04/2023)")</f>
        <v>Uncle Sams Cider (04/04/2023)</v>
      </c>
      <c r="H824" s="19"/>
    </row>
    <row r="825">
      <c r="A825" s="9"/>
      <c r="B825" s="15"/>
      <c r="C825" s="9">
        <f>IFERROR(__xludf.DUMMYFUNCTION("""COMPUTED_VALUE"""),45136.0297288888)</f>
        <v>45136.02973</v>
      </c>
      <c r="D825" s="15">
        <f>IFERROR(__xludf.DUMMYFUNCTION("""COMPUTED_VALUE"""),1.003)</f>
        <v>1.003</v>
      </c>
      <c r="E825" s="16">
        <f>IFERROR(__xludf.DUMMYFUNCTION("""COMPUTED_VALUE"""),74.0)</f>
        <v>74</v>
      </c>
      <c r="F825" s="19" t="str">
        <f>IFERROR(__xludf.DUMMYFUNCTION("""COMPUTED_VALUE"""),"BLACK")</f>
        <v>BLACK</v>
      </c>
      <c r="G825" s="20" t="str">
        <f>IFERROR(__xludf.DUMMYFUNCTION("""COMPUTED_VALUE"""),"Uncle Sams Cider (04/04/2023)")</f>
        <v>Uncle Sams Cider (04/04/2023)</v>
      </c>
      <c r="H825" s="19"/>
    </row>
    <row r="826">
      <c r="A826" s="9"/>
      <c r="B826" s="15"/>
      <c r="C826" s="9">
        <f>IFERROR(__xludf.DUMMYFUNCTION("""COMPUTED_VALUE"""),45136.0193062037)</f>
        <v>45136.01931</v>
      </c>
      <c r="D826" s="15">
        <f>IFERROR(__xludf.DUMMYFUNCTION("""COMPUTED_VALUE"""),1.003)</f>
        <v>1.003</v>
      </c>
      <c r="E826" s="16">
        <f>IFERROR(__xludf.DUMMYFUNCTION("""COMPUTED_VALUE"""),74.0)</f>
        <v>74</v>
      </c>
      <c r="F826" s="19" t="str">
        <f>IFERROR(__xludf.DUMMYFUNCTION("""COMPUTED_VALUE"""),"BLACK")</f>
        <v>BLACK</v>
      </c>
      <c r="G826" s="20" t="str">
        <f>IFERROR(__xludf.DUMMYFUNCTION("""COMPUTED_VALUE"""),"Uncle Sams Cider (04/04/2023)")</f>
        <v>Uncle Sams Cider (04/04/2023)</v>
      </c>
      <c r="H826" s="19"/>
    </row>
    <row r="827">
      <c r="A827" s="9"/>
      <c r="B827" s="15"/>
      <c r="C827" s="9">
        <f>IFERROR(__xludf.DUMMYFUNCTION("""COMPUTED_VALUE"""),45136.0088857175)</f>
        <v>45136.00889</v>
      </c>
      <c r="D827" s="15">
        <f>IFERROR(__xludf.DUMMYFUNCTION("""COMPUTED_VALUE"""),1.003)</f>
        <v>1.003</v>
      </c>
      <c r="E827" s="16">
        <f>IFERROR(__xludf.DUMMYFUNCTION("""COMPUTED_VALUE"""),74.0)</f>
        <v>74</v>
      </c>
      <c r="F827" s="19" t="str">
        <f>IFERROR(__xludf.DUMMYFUNCTION("""COMPUTED_VALUE"""),"BLACK")</f>
        <v>BLACK</v>
      </c>
      <c r="G827" s="20" t="str">
        <f>IFERROR(__xludf.DUMMYFUNCTION("""COMPUTED_VALUE"""),"Uncle Sams Cider (04/04/2023)")</f>
        <v>Uncle Sams Cider (04/04/2023)</v>
      </c>
      <c r="H827" s="19"/>
    </row>
    <row r="828">
      <c r="A828" s="9"/>
      <c r="B828" s="15"/>
      <c r="C828" s="9">
        <f>IFERROR(__xludf.DUMMYFUNCTION("""COMPUTED_VALUE"""),45135.9984662847)</f>
        <v>45135.99847</v>
      </c>
      <c r="D828" s="15">
        <f>IFERROR(__xludf.DUMMYFUNCTION("""COMPUTED_VALUE"""),1.003)</f>
        <v>1.003</v>
      </c>
      <c r="E828" s="16">
        <f>IFERROR(__xludf.DUMMYFUNCTION("""COMPUTED_VALUE"""),74.0)</f>
        <v>74</v>
      </c>
      <c r="F828" s="19" t="str">
        <f>IFERROR(__xludf.DUMMYFUNCTION("""COMPUTED_VALUE"""),"BLACK")</f>
        <v>BLACK</v>
      </c>
      <c r="G828" s="20" t="str">
        <f>IFERROR(__xludf.DUMMYFUNCTION("""COMPUTED_VALUE"""),"Uncle Sams Cider (04/04/2023)")</f>
        <v>Uncle Sams Cider (04/04/2023)</v>
      </c>
      <c r="H828" s="19"/>
    </row>
    <row r="829">
      <c r="A829" s="9"/>
      <c r="B829" s="15"/>
      <c r="C829" s="9">
        <f>IFERROR(__xludf.DUMMYFUNCTION("""COMPUTED_VALUE"""),45135.9880435763)</f>
        <v>45135.98804</v>
      </c>
      <c r="D829" s="15">
        <f>IFERROR(__xludf.DUMMYFUNCTION("""COMPUTED_VALUE"""),1.003)</f>
        <v>1.003</v>
      </c>
      <c r="E829" s="16">
        <f>IFERROR(__xludf.DUMMYFUNCTION("""COMPUTED_VALUE"""),74.0)</f>
        <v>74</v>
      </c>
      <c r="F829" s="19" t="str">
        <f>IFERROR(__xludf.DUMMYFUNCTION("""COMPUTED_VALUE"""),"BLACK")</f>
        <v>BLACK</v>
      </c>
      <c r="G829" s="20" t="str">
        <f>IFERROR(__xludf.DUMMYFUNCTION("""COMPUTED_VALUE"""),"Uncle Sams Cider (04/04/2023)")</f>
        <v>Uncle Sams Cider (04/04/2023)</v>
      </c>
      <c r="H829" s="19"/>
    </row>
    <row r="830">
      <c r="A830" s="9"/>
      <c r="B830" s="15"/>
      <c r="C830" s="9">
        <f>IFERROR(__xludf.DUMMYFUNCTION("""COMPUTED_VALUE"""),45135.9776233449)</f>
        <v>45135.97762</v>
      </c>
      <c r="D830" s="15">
        <f>IFERROR(__xludf.DUMMYFUNCTION("""COMPUTED_VALUE"""),1.003)</f>
        <v>1.003</v>
      </c>
      <c r="E830" s="16">
        <f>IFERROR(__xludf.DUMMYFUNCTION("""COMPUTED_VALUE"""),74.0)</f>
        <v>74</v>
      </c>
      <c r="F830" s="19" t="str">
        <f>IFERROR(__xludf.DUMMYFUNCTION("""COMPUTED_VALUE"""),"BLACK")</f>
        <v>BLACK</v>
      </c>
      <c r="G830" s="20" t="str">
        <f>IFERROR(__xludf.DUMMYFUNCTION("""COMPUTED_VALUE"""),"Uncle Sams Cider (04/04/2023)")</f>
        <v>Uncle Sams Cider (04/04/2023)</v>
      </c>
      <c r="H830" s="19"/>
    </row>
    <row r="831">
      <c r="A831" s="9"/>
      <c r="B831" s="15"/>
      <c r="C831" s="9">
        <f>IFERROR(__xludf.DUMMYFUNCTION("""COMPUTED_VALUE"""),45135.9671782754)</f>
        <v>45135.96718</v>
      </c>
      <c r="D831" s="15">
        <f>IFERROR(__xludf.DUMMYFUNCTION("""COMPUTED_VALUE"""),1.003)</f>
        <v>1.003</v>
      </c>
      <c r="E831" s="16">
        <f>IFERROR(__xludf.DUMMYFUNCTION("""COMPUTED_VALUE"""),74.0)</f>
        <v>74</v>
      </c>
      <c r="F831" s="19" t="str">
        <f>IFERROR(__xludf.DUMMYFUNCTION("""COMPUTED_VALUE"""),"BLACK")</f>
        <v>BLACK</v>
      </c>
      <c r="G831" s="20" t="str">
        <f>IFERROR(__xludf.DUMMYFUNCTION("""COMPUTED_VALUE"""),"Uncle Sams Cider (04/04/2023)")</f>
        <v>Uncle Sams Cider (04/04/2023)</v>
      </c>
      <c r="H831" s="19"/>
    </row>
    <row r="832">
      <c r="A832" s="9"/>
      <c r="B832" s="15"/>
      <c r="C832" s="9">
        <f>IFERROR(__xludf.DUMMYFUNCTION("""COMPUTED_VALUE"""),45135.9567547106)</f>
        <v>45135.95675</v>
      </c>
      <c r="D832" s="15">
        <f>IFERROR(__xludf.DUMMYFUNCTION("""COMPUTED_VALUE"""),1.003)</f>
        <v>1.003</v>
      </c>
      <c r="E832" s="16">
        <f>IFERROR(__xludf.DUMMYFUNCTION("""COMPUTED_VALUE"""),74.0)</f>
        <v>74</v>
      </c>
      <c r="F832" s="19" t="str">
        <f>IFERROR(__xludf.DUMMYFUNCTION("""COMPUTED_VALUE"""),"BLACK")</f>
        <v>BLACK</v>
      </c>
      <c r="G832" s="20" t="str">
        <f>IFERROR(__xludf.DUMMYFUNCTION("""COMPUTED_VALUE"""),"Uncle Sams Cider (04/04/2023)")</f>
        <v>Uncle Sams Cider (04/04/2023)</v>
      </c>
      <c r="H832" s="19"/>
    </row>
    <row r="833">
      <c r="A833" s="9"/>
      <c r="B833" s="15"/>
      <c r="C833" s="9">
        <f>IFERROR(__xludf.DUMMYFUNCTION("""COMPUTED_VALUE"""),45135.9463346875)</f>
        <v>45135.94633</v>
      </c>
      <c r="D833" s="15">
        <f>IFERROR(__xludf.DUMMYFUNCTION("""COMPUTED_VALUE"""),1.003)</f>
        <v>1.003</v>
      </c>
      <c r="E833" s="16">
        <f>IFERROR(__xludf.DUMMYFUNCTION("""COMPUTED_VALUE"""),74.0)</f>
        <v>74</v>
      </c>
      <c r="F833" s="19" t="str">
        <f>IFERROR(__xludf.DUMMYFUNCTION("""COMPUTED_VALUE"""),"BLACK")</f>
        <v>BLACK</v>
      </c>
      <c r="G833" s="20" t="str">
        <f>IFERROR(__xludf.DUMMYFUNCTION("""COMPUTED_VALUE"""),"Uncle Sams Cider (04/04/2023)")</f>
        <v>Uncle Sams Cider (04/04/2023)</v>
      </c>
      <c r="H833" s="19"/>
    </row>
    <row r="834">
      <c r="A834" s="9"/>
      <c r="B834" s="15"/>
      <c r="C834" s="9">
        <f>IFERROR(__xludf.DUMMYFUNCTION("""COMPUTED_VALUE"""),45135.9359142245)</f>
        <v>45135.93591</v>
      </c>
      <c r="D834" s="15">
        <f>IFERROR(__xludf.DUMMYFUNCTION("""COMPUTED_VALUE"""),1.003)</f>
        <v>1.003</v>
      </c>
      <c r="E834" s="16">
        <f>IFERROR(__xludf.DUMMYFUNCTION("""COMPUTED_VALUE"""),74.0)</f>
        <v>74</v>
      </c>
      <c r="F834" s="19" t="str">
        <f>IFERROR(__xludf.DUMMYFUNCTION("""COMPUTED_VALUE"""),"BLACK")</f>
        <v>BLACK</v>
      </c>
      <c r="G834" s="20" t="str">
        <f>IFERROR(__xludf.DUMMYFUNCTION("""COMPUTED_VALUE"""),"Uncle Sams Cider (04/04/2023)")</f>
        <v>Uncle Sams Cider (04/04/2023)</v>
      </c>
      <c r="H834" s="19"/>
    </row>
    <row r="835">
      <c r="A835" s="9"/>
      <c r="B835" s="15"/>
      <c r="C835" s="9">
        <f>IFERROR(__xludf.DUMMYFUNCTION("""COMPUTED_VALUE"""),45135.9254932638)</f>
        <v>45135.92549</v>
      </c>
      <c r="D835" s="15">
        <f>IFERROR(__xludf.DUMMYFUNCTION("""COMPUTED_VALUE"""),1.003)</f>
        <v>1.003</v>
      </c>
      <c r="E835" s="16">
        <f>IFERROR(__xludf.DUMMYFUNCTION("""COMPUTED_VALUE"""),74.0)</f>
        <v>74</v>
      </c>
      <c r="F835" s="19" t="str">
        <f>IFERROR(__xludf.DUMMYFUNCTION("""COMPUTED_VALUE"""),"BLACK")</f>
        <v>BLACK</v>
      </c>
      <c r="G835" s="20" t="str">
        <f>IFERROR(__xludf.DUMMYFUNCTION("""COMPUTED_VALUE"""),"Uncle Sams Cider (04/04/2023)")</f>
        <v>Uncle Sams Cider (04/04/2023)</v>
      </c>
      <c r="H835" s="19"/>
    </row>
    <row r="836">
      <c r="A836" s="9"/>
      <c r="B836" s="15"/>
      <c r="C836" s="9">
        <f>IFERROR(__xludf.DUMMYFUNCTION("""COMPUTED_VALUE"""),45135.9150601157)</f>
        <v>45135.91506</v>
      </c>
      <c r="D836" s="15">
        <f>IFERROR(__xludf.DUMMYFUNCTION("""COMPUTED_VALUE"""),1.003)</f>
        <v>1.003</v>
      </c>
      <c r="E836" s="16">
        <f>IFERROR(__xludf.DUMMYFUNCTION("""COMPUTED_VALUE"""),74.0)</f>
        <v>74</v>
      </c>
      <c r="F836" s="19" t="str">
        <f>IFERROR(__xludf.DUMMYFUNCTION("""COMPUTED_VALUE"""),"BLACK")</f>
        <v>BLACK</v>
      </c>
      <c r="G836" s="20" t="str">
        <f>IFERROR(__xludf.DUMMYFUNCTION("""COMPUTED_VALUE"""),"Uncle Sams Cider (04/04/2023)")</f>
        <v>Uncle Sams Cider (04/04/2023)</v>
      </c>
      <c r="H836" s="19"/>
    </row>
    <row r="837">
      <c r="A837" s="9"/>
      <c r="B837" s="15"/>
      <c r="C837" s="9">
        <f>IFERROR(__xludf.DUMMYFUNCTION("""COMPUTED_VALUE"""),45135.9046396064)</f>
        <v>45135.90464</v>
      </c>
      <c r="D837" s="15">
        <f>IFERROR(__xludf.DUMMYFUNCTION("""COMPUTED_VALUE"""),1.003)</f>
        <v>1.003</v>
      </c>
      <c r="E837" s="16">
        <f>IFERROR(__xludf.DUMMYFUNCTION("""COMPUTED_VALUE"""),74.0)</f>
        <v>74</v>
      </c>
      <c r="F837" s="19" t="str">
        <f>IFERROR(__xludf.DUMMYFUNCTION("""COMPUTED_VALUE"""),"BLACK")</f>
        <v>BLACK</v>
      </c>
      <c r="G837" s="20" t="str">
        <f>IFERROR(__xludf.DUMMYFUNCTION("""COMPUTED_VALUE"""),"Uncle Sams Cider (04/04/2023)")</f>
        <v>Uncle Sams Cider (04/04/2023)</v>
      </c>
      <c r="H837" s="19"/>
    </row>
    <row r="838">
      <c r="A838" s="9"/>
      <c r="B838" s="15"/>
      <c r="C838" s="9">
        <f>IFERROR(__xludf.DUMMYFUNCTION("""COMPUTED_VALUE"""),45135.8942186574)</f>
        <v>45135.89422</v>
      </c>
      <c r="D838" s="15">
        <f>IFERROR(__xludf.DUMMYFUNCTION("""COMPUTED_VALUE"""),1.003)</f>
        <v>1.003</v>
      </c>
      <c r="E838" s="16">
        <f>IFERROR(__xludf.DUMMYFUNCTION("""COMPUTED_VALUE"""),74.0)</f>
        <v>74</v>
      </c>
      <c r="F838" s="19" t="str">
        <f>IFERROR(__xludf.DUMMYFUNCTION("""COMPUTED_VALUE"""),"BLACK")</f>
        <v>BLACK</v>
      </c>
      <c r="G838" s="20" t="str">
        <f>IFERROR(__xludf.DUMMYFUNCTION("""COMPUTED_VALUE"""),"Uncle Sams Cider (04/04/2023)")</f>
        <v>Uncle Sams Cider (04/04/2023)</v>
      </c>
      <c r="H838" s="19"/>
    </row>
    <row r="839">
      <c r="A839" s="9"/>
      <c r="B839" s="15"/>
      <c r="C839" s="9">
        <f>IFERROR(__xludf.DUMMYFUNCTION("""COMPUTED_VALUE"""),45135.883799074)</f>
        <v>45135.8838</v>
      </c>
      <c r="D839" s="15">
        <f>IFERROR(__xludf.DUMMYFUNCTION("""COMPUTED_VALUE"""),1.003)</f>
        <v>1.003</v>
      </c>
      <c r="E839" s="16">
        <f>IFERROR(__xludf.DUMMYFUNCTION("""COMPUTED_VALUE"""),74.0)</f>
        <v>74</v>
      </c>
      <c r="F839" s="19" t="str">
        <f>IFERROR(__xludf.DUMMYFUNCTION("""COMPUTED_VALUE"""),"BLACK")</f>
        <v>BLACK</v>
      </c>
      <c r="G839" s="20" t="str">
        <f>IFERROR(__xludf.DUMMYFUNCTION("""COMPUTED_VALUE"""),"Uncle Sams Cider (04/04/2023)")</f>
        <v>Uncle Sams Cider (04/04/2023)</v>
      </c>
      <c r="H839" s="19"/>
    </row>
    <row r="840">
      <c r="A840" s="9"/>
      <c r="B840" s="15"/>
      <c r="C840" s="9">
        <f>IFERROR(__xludf.DUMMYFUNCTION("""COMPUTED_VALUE"""),45135.8733765856)</f>
        <v>45135.87338</v>
      </c>
      <c r="D840" s="15">
        <f>IFERROR(__xludf.DUMMYFUNCTION("""COMPUTED_VALUE"""),1.003)</f>
        <v>1.003</v>
      </c>
      <c r="E840" s="16">
        <f>IFERROR(__xludf.DUMMYFUNCTION("""COMPUTED_VALUE"""),74.0)</f>
        <v>74</v>
      </c>
      <c r="F840" s="19" t="str">
        <f>IFERROR(__xludf.DUMMYFUNCTION("""COMPUTED_VALUE"""),"BLACK")</f>
        <v>BLACK</v>
      </c>
      <c r="G840" s="20" t="str">
        <f>IFERROR(__xludf.DUMMYFUNCTION("""COMPUTED_VALUE"""),"Uncle Sams Cider (04/04/2023)")</f>
        <v>Uncle Sams Cider (04/04/2023)</v>
      </c>
      <c r="H840" s="19"/>
    </row>
    <row r="841">
      <c r="A841" s="9"/>
      <c r="B841" s="15"/>
      <c r="C841" s="9">
        <f>IFERROR(__xludf.DUMMYFUNCTION("""COMPUTED_VALUE"""),45135.8629560648)</f>
        <v>45135.86296</v>
      </c>
      <c r="D841" s="15">
        <f>IFERROR(__xludf.DUMMYFUNCTION("""COMPUTED_VALUE"""),1.003)</f>
        <v>1.003</v>
      </c>
      <c r="E841" s="16">
        <f>IFERROR(__xludf.DUMMYFUNCTION("""COMPUTED_VALUE"""),74.0)</f>
        <v>74</v>
      </c>
      <c r="F841" s="19" t="str">
        <f>IFERROR(__xludf.DUMMYFUNCTION("""COMPUTED_VALUE"""),"BLACK")</f>
        <v>BLACK</v>
      </c>
      <c r="G841" s="20" t="str">
        <f>IFERROR(__xludf.DUMMYFUNCTION("""COMPUTED_VALUE"""),"Uncle Sams Cider (04/04/2023)")</f>
        <v>Uncle Sams Cider (04/04/2023)</v>
      </c>
      <c r="H841" s="19"/>
    </row>
    <row r="842">
      <c r="A842" s="9"/>
      <c r="B842" s="15"/>
      <c r="C842" s="9">
        <f>IFERROR(__xludf.DUMMYFUNCTION("""COMPUTED_VALUE"""),45135.8525237731)</f>
        <v>45135.85252</v>
      </c>
      <c r="D842" s="15">
        <f>IFERROR(__xludf.DUMMYFUNCTION("""COMPUTED_VALUE"""),1.003)</f>
        <v>1.003</v>
      </c>
      <c r="E842" s="16">
        <f>IFERROR(__xludf.DUMMYFUNCTION("""COMPUTED_VALUE"""),74.0)</f>
        <v>74</v>
      </c>
      <c r="F842" s="19" t="str">
        <f>IFERROR(__xludf.DUMMYFUNCTION("""COMPUTED_VALUE"""),"BLACK")</f>
        <v>BLACK</v>
      </c>
      <c r="G842" s="20" t="str">
        <f>IFERROR(__xludf.DUMMYFUNCTION("""COMPUTED_VALUE"""),"Uncle Sams Cider (04/04/2023)")</f>
        <v>Uncle Sams Cider (04/04/2023)</v>
      </c>
      <c r="H842" s="19"/>
    </row>
    <row r="843">
      <c r="A843" s="9"/>
      <c r="B843" s="15"/>
      <c r="C843" s="9">
        <f>IFERROR(__xludf.DUMMYFUNCTION("""COMPUTED_VALUE"""),45135.8421018287)</f>
        <v>45135.8421</v>
      </c>
      <c r="D843" s="15">
        <f>IFERROR(__xludf.DUMMYFUNCTION("""COMPUTED_VALUE"""),1.003)</f>
        <v>1.003</v>
      </c>
      <c r="E843" s="16">
        <f>IFERROR(__xludf.DUMMYFUNCTION("""COMPUTED_VALUE"""),74.0)</f>
        <v>74</v>
      </c>
      <c r="F843" s="19" t="str">
        <f>IFERROR(__xludf.DUMMYFUNCTION("""COMPUTED_VALUE"""),"BLACK")</f>
        <v>BLACK</v>
      </c>
      <c r="G843" s="20" t="str">
        <f>IFERROR(__xludf.DUMMYFUNCTION("""COMPUTED_VALUE"""),"Uncle Sams Cider (04/04/2023)")</f>
        <v>Uncle Sams Cider (04/04/2023)</v>
      </c>
      <c r="H843" s="19"/>
    </row>
    <row r="844">
      <c r="A844" s="9"/>
      <c r="B844" s="15"/>
      <c r="C844" s="9">
        <f>IFERROR(__xludf.DUMMYFUNCTION("""COMPUTED_VALUE"""),45135.8316810069)</f>
        <v>45135.83168</v>
      </c>
      <c r="D844" s="15">
        <f>IFERROR(__xludf.DUMMYFUNCTION("""COMPUTED_VALUE"""),1.003)</f>
        <v>1.003</v>
      </c>
      <c r="E844" s="16">
        <f>IFERROR(__xludf.DUMMYFUNCTION("""COMPUTED_VALUE"""),74.0)</f>
        <v>74</v>
      </c>
      <c r="F844" s="19" t="str">
        <f>IFERROR(__xludf.DUMMYFUNCTION("""COMPUTED_VALUE"""),"BLACK")</f>
        <v>BLACK</v>
      </c>
      <c r="G844" s="20" t="str">
        <f>IFERROR(__xludf.DUMMYFUNCTION("""COMPUTED_VALUE"""),"Uncle Sams Cider (04/04/2023)")</f>
        <v>Uncle Sams Cider (04/04/2023)</v>
      </c>
      <c r="H844" s="19"/>
    </row>
    <row r="845">
      <c r="A845" s="9"/>
      <c r="B845" s="15"/>
      <c r="C845" s="9">
        <f>IFERROR(__xludf.DUMMYFUNCTION("""COMPUTED_VALUE"""),45135.8212600926)</f>
        <v>45135.82126</v>
      </c>
      <c r="D845" s="15">
        <f>IFERROR(__xludf.DUMMYFUNCTION("""COMPUTED_VALUE"""),1.003)</f>
        <v>1.003</v>
      </c>
      <c r="E845" s="16">
        <f>IFERROR(__xludf.DUMMYFUNCTION("""COMPUTED_VALUE"""),74.0)</f>
        <v>74</v>
      </c>
      <c r="F845" s="19" t="str">
        <f>IFERROR(__xludf.DUMMYFUNCTION("""COMPUTED_VALUE"""),"BLACK")</f>
        <v>BLACK</v>
      </c>
      <c r="G845" s="20" t="str">
        <f>IFERROR(__xludf.DUMMYFUNCTION("""COMPUTED_VALUE"""),"Uncle Sams Cider (04/04/2023)")</f>
        <v>Uncle Sams Cider (04/04/2023)</v>
      </c>
      <c r="H845" s="19"/>
    </row>
    <row r="846">
      <c r="A846" s="9"/>
      <c r="B846" s="15"/>
      <c r="C846" s="9">
        <f>IFERROR(__xludf.DUMMYFUNCTION("""COMPUTED_VALUE"""),45135.8108392129)</f>
        <v>45135.81084</v>
      </c>
      <c r="D846" s="15">
        <f>IFERROR(__xludf.DUMMYFUNCTION("""COMPUTED_VALUE"""),1.003)</f>
        <v>1.003</v>
      </c>
      <c r="E846" s="16">
        <f>IFERROR(__xludf.DUMMYFUNCTION("""COMPUTED_VALUE"""),74.0)</f>
        <v>74</v>
      </c>
      <c r="F846" s="19" t="str">
        <f>IFERROR(__xludf.DUMMYFUNCTION("""COMPUTED_VALUE"""),"BLACK")</f>
        <v>BLACK</v>
      </c>
      <c r="G846" s="20" t="str">
        <f>IFERROR(__xludf.DUMMYFUNCTION("""COMPUTED_VALUE"""),"Uncle Sams Cider (04/04/2023)")</f>
        <v>Uncle Sams Cider (04/04/2023)</v>
      </c>
      <c r="H846" s="19"/>
    </row>
    <row r="847">
      <c r="A847" s="9"/>
      <c r="B847" s="15"/>
      <c r="C847" s="9">
        <f>IFERROR(__xludf.DUMMYFUNCTION("""COMPUTED_VALUE"""),45135.8004179166)</f>
        <v>45135.80042</v>
      </c>
      <c r="D847" s="15">
        <f>IFERROR(__xludf.DUMMYFUNCTION("""COMPUTED_VALUE"""),1.003)</f>
        <v>1.003</v>
      </c>
      <c r="E847" s="16">
        <f>IFERROR(__xludf.DUMMYFUNCTION("""COMPUTED_VALUE"""),74.0)</f>
        <v>74</v>
      </c>
      <c r="F847" s="19" t="str">
        <f>IFERROR(__xludf.DUMMYFUNCTION("""COMPUTED_VALUE"""),"BLACK")</f>
        <v>BLACK</v>
      </c>
      <c r="G847" s="20" t="str">
        <f>IFERROR(__xludf.DUMMYFUNCTION("""COMPUTED_VALUE"""),"Uncle Sams Cider (04/04/2023)")</f>
        <v>Uncle Sams Cider (04/04/2023)</v>
      </c>
      <c r="H847" s="19"/>
    </row>
    <row r="848">
      <c r="A848" s="9"/>
      <c r="B848" s="15"/>
      <c r="C848" s="9">
        <f>IFERROR(__xludf.DUMMYFUNCTION("""COMPUTED_VALUE"""),45135.7899973495)</f>
        <v>45135.79</v>
      </c>
      <c r="D848" s="15">
        <f>IFERROR(__xludf.DUMMYFUNCTION("""COMPUTED_VALUE"""),1.003)</f>
        <v>1.003</v>
      </c>
      <c r="E848" s="16">
        <f>IFERROR(__xludf.DUMMYFUNCTION("""COMPUTED_VALUE"""),74.0)</f>
        <v>74</v>
      </c>
      <c r="F848" s="19" t="str">
        <f>IFERROR(__xludf.DUMMYFUNCTION("""COMPUTED_VALUE"""),"BLACK")</f>
        <v>BLACK</v>
      </c>
      <c r="G848" s="20" t="str">
        <f>IFERROR(__xludf.DUMMYFUNCTION("""COMPUTED_VALUE"""),"Uncle Sams Cider (04/04/2023)")</f>
        <v>Uncle Sams Cider (04/04/2023)</v>
      </c>
      <c r="H848" s="19"/>
    </row>
    <row r="849">
      <c r="A849" s="9"/>
      <c r="B849" s="15"/>
      <c r="C849" s="9">
        <f>IFERROR(__xludf.DUMMYFUNCTION("""COMPUTED_VALUE"""),45135.7795757754)</f>
        <v>45135.77958</v>
      </c>
      <c r="D849" s="15">
        <f>IFERROR(__xludf.DUMMYFUNCTION("""COMPUTED_VALUE"""),1.003)</f>
        <v>1.003</v>
      </c>
      <c r="E849" s="16">
        <f>IFERROR(__xludf.DUMMYFUNCTION("""COMPUTED_VALUE"""),74.0)</f>
        <v>74</v>
      </c>
      <c r="F849" s="19" t="str">
        <f>IFERROR(__xludf.DUMMYFUNCTION("""COMPUTED_VALUE"""),"BLACK")</f>
        <v>BLACK</v>
      </c>
      <c r="G849" s="20" t="str">
        <f>IFERROR(__xludf.DUMMYFUNCTION("""COMPUTED_VALUE"""),"Uncle Sams Cider (04/04/2023)")</f>
        <v>Uncle Sams Cider (04/04/2023)</v>
      </c>
      <c r="H849" s="19"/>
    </row>
    <row r="850">
      <c r="A850" s="9"/>
      <c r="B850" s="15"/>
      <c r="C850" s="9">
        <f>IFERROR(__xludf.DUMMYFUNCTION("""COMPUTED_VALUE"""),45135.7691551273)</f>
        <v>45135.76916</v>
      </c>
      <c r="D850" s="15">
        <f>IFERROR(__xludf.DUMMYFUNCTION("""COMPUTED_VALUE"""),1.003)</f>
        <v>1.003</v>
      </c>
      <c r="E850" s="16">
        <f>IFERROR(__xludf.DUMMYFUNCTION("""COMPUTED_VALUE"""),74.0)</f>
        <v>74</v>
      </c>
      <c r="F850" s="19" t="str">
        <f>IFERROR(__xludf.DUMMYFUNCTION("""COMPUTED_VALUE"""),"BLACK")</f>
        <v>BLACK</v>
      </c>
      <c r="G850" s="20" t="str">
        <f>IFERROR(__xludf.DUMMYFUNCTION("""COMPUTED_VALUE"""),"Uncle Sams Cider (04/04/2023)")</f>
        <v>Uncle Sams Cider (04/04/2023)</v>
      </c>
      <c r="H850" s="19"/>
    </row>
    <row r="851">
      <c r="A851" s="9"/>
      <c r="B851" s="15"/>
      <c r="C851" s="9">
        <f>IFERROR(__xludf.DUMMYFUNCTION("""COMPUTED_VALUE"""),45135.7587335416)</f>
        <v>45135.75873</v>
      </c>
      <c r="D851" s="15">
        <f>IFERROR(__xludf.DUMMYFUNCTION("""COMPUTED_VALUE"""),1.003)</f>
        <v>1.003</v>
      </c>
      <c r="E851" s="16">
        <f>IFERROR(__xludf.DUMMYFUNCTION("""COMPUTED_VALUE"""),74.0)</f>
        <v>74</v>
      </c>
      <c r="F851" s="19" t="str">
        <f>IFERROR(__xludf.DUMMYFUNCTION("""COMPUTED_VALUE"""),"BLACK")</f>
        <v>BLACK</v>
      </c>
      <c r="G851" s="20" t="str">
        <f>IFERROR(__xludf.DUMMYFUNCTION("""COMPUTED_VALUE"""),"Uncle Sams Cider (04/04/2023)")</f>
        <v>Uncle Sams Cider (04/04/2023)</v>
      </c>
      <c r="H851" s="19"/>
    </row>
    <row r="852">
      <c r="A852" s="9"/>
      <c r="B852" s="15"/>
      <c r="C852" s="9">
        <f>IFERROR(__xludf.DUMMYFUNCTION("""COMPUTED_VALUE"""),45135.7483128125)</f>
        <v>45135.74831</v>
      </c>
      <c r="D852" s="15">
        <f>IFERROR(__xludf.DUMMYFUNCTION("""COMPUTED_VALUE"""),1.003)</f>
        <v>1.003</v>
      </c>
      <c r="E852" s="16">
        <f>IFERROR(__xludf.DUMMYFUNCTION("""COMPUTED_VALUE"""),74.0)</f>
        <v>74</v>
      </c>
      <c r="F852" s="19" t="str">
        <f>IFERROR(__xludf.DUMMYFUNCTION("""COMPUTED_VALUE"""),"BLACK")</f>
        <v>BLACK</v>
      </c>
      <c r="G852" s="20" t="str">
        <f>IFERROR(__xludf.DUMMYFUNCTION("""COMPUTED_VALUE"""),"Uncle Sams Cider (04/04/2023)")</f>
        <v>Uncle Sams Cider (04/04/2023)</v>
      </c>
      <c r="H852" s="19"/>
    </row>
    <row r="853">
      <c r="A853" s="9"/>
      <c r="B853" s="15"/>
      <c r="C853" s="9">
        <f>IFERROR(__xludf.DUMMYFUNCTION("""COMPUTED_VALUE"""),45135.7378922453)</f>
        <v>45135.73789</v>
      </c>
      <c r="D853" s="15">
        <f>IFERROR(__xludf.DUMMYFUNCTION("""COMPUTED_VALUE"""),1.003)</f>
        <v>1.003</v>
      </c>
      <c r="E853" s="16">
        <f>IFERROR(__xludf.DUMMYFUNCTION("""COMPUTED_VALUE"""),74.0)</f>
        <v>74</v>
      </c>
      <c r="F853" s="19" t="str">
        <f>IFERROR(__xludf.DUMMYFUNCTION("""COMPUTED_VALUE"""),"BLACK")</f>
        <v>BLACK</v>
      </c>
      <c r="G853" s="20" t="str">
        <f>IFERROR(__xludf.DUMMYFUNCTION("""COMPUTED_VALUE"""),"Uncle Sams Cider (04/04/2023)")</f>
        <v>Uncle Sams Cider (04/04/2023)</v>
      </c>
      <c r="H853" s="19"/>
    </row>
    <row r="854">
      <c r="A854" s="9"/>
      <c r="B854" s="15"/>
      <c r="C854" s="9">
        <f>IFERROR(__xludf.DUMMYFUNCTION("""COMPUTED_VALUE"""),45135.7274713194)</f>
        <v>45135.72747</v>
      </c>
      <c r="D854" s="15">
        <f>IFERROR(__xludf.DUMMYFUNCTION("""COMPUTED_VALUE"""),1.003)</f>
        <v>1.003</v>
      </c>
      <c r="E854" s="16">
        <f>IFERROR(__xludf.DUMMYFUNCTION("""COMPUTED_VALUE"""),74.0)</f>
        <v>74</v>
      </c>
      <c r="F854" s="19" t="str">
        <f>IFERROR(__xludf.DUMMYFUNCTION("""COMPUTED_VALUE"""),"BLACK")</f>
        <v>BLACK</v>
      </c>
      <c r="G854" s="20" t="str">
        <f>IFERROR(__xludf.DUMMYFUNCTION("""COMPUTED_VALUE"""),"Uncle Sams Cider (04/04/2023)")</f>
        <v>Uncle Sams Cider (04/04/2023)</v>
      </c>
      <c r="H854" s="19"/>
    </row>
    <row r="855">
      <c r="A855" s="9"/>
      <c r="B855" s="15"/>
      <c r="C855" s="9">
        <f>IFERROR(__xludf.DUMMYFUNCTION("""COMPUTED_VALUE"""),45135.7170492245)</f>
        <v>45135.71705</v>
      </c>
      <c r="D855" s="15">
        <f>IFERROR(__xludf.DUMMYFUNCTION("""COMPUTED_VALUE"""),1.003)</f>
        <v>1.003</v>
      </c>
      <c r="E855" s="16">
        <f>IFERROR(__xludf.DUMMYFUNCTION("""COMPUTED_VALUE"""),74.0)</f>
        <v>74</v>
      </c>
      <c r="F855" s="19" t="str">
        <f>IFERROR(__xludf.DUMMYFUNCTION("""COMPUTED_VALUE"""),"BLACK")</f>
        <v>BLACK</v>
      </c>
      <c r="G855" s="20" t="str">
        <f>IFERROR(__xludf.DUMMYFUNCTION("""COMPUTED_VALUE"""),"Uncle Sams Cider (04/04/2023)")</f>
        <v>Uncle Sams Cider (04/04/2023)</v>
      </c>
      <c r="H855" s="19"/>
    </row>
    <row r="856">
      <c r="A856" s="9"/>
      <c r="B856" s="15"/>
      <c r="C856" s="9">
        <f>IFERROR(__xludf.DUMMYFUNCTION("""COMPUTED_VALUE"""),45135.7066279745)</f>
        <v>45135.70663</v>
      </c>
      <c r="D856" s="15">
        <f>IFERROR(__xludf.DUMMYFUNCTION("""COMPUTED_VALUE"""),1.003)</f>
        <v>1.003</v>
      </c>
      <c r="E856" s="16">
        <f>IFERROR(__xludf.DUMMYFUNCTION("""COMPUTED_VALUE"""),74.0)</f>
        <v>74</v>
      </c>
      <c r="F856" s="19" t="str">
        <f>IFERROR(__xludf.DUMMYFUNCTION("""COMPUTED_VALUE"""),"BLACK")</f>
        <v>BLACK</v>
      </c>
      <c r="G856" s="20" t="str">
        <f>IFERROR(__xludf.DUMMYFUNCTION("""COMPUTED_VALUE"""),"Uncle Sams Cider (04/04/2023)")</f>
        <v>Uncle Sams Cider (04/04/2023)</v>
      </c>
      <c r="H856" s="19"/>
    </row>
    <row r="857">
      <c r="A857" s="9"/>
      <c r="B857" s="15"/>
      <c r="C857" s="9">
        <f>IFERROR(__xludf.DUMMYFUNCTION("""COMPUTED_VALUE"""),45135.6962055902)</f>
        <v>45135.69621</v>
      </c>
      <c r="D857" s="15">
        <f>IFERROR(__xludf.DUMMYFUNCTION("""COMPUTED_VALUE"""),1.003)</f>
        <v>1.003</v>
      </c>
      <c r="E857" s="16">
        <f>IFERROR(__xludf.DUMMYFUNCTION("""COMPUTED_VALUE"""),74.0)</f>
        <v>74</v>
      </c>
      <c r="F857" s="19" t="str">
        <f>IFERROR(__xludf.DUMMYFUNCTION("""COMPUTED_VALUE"""),"BLACK")</f>
        <v>BLACK</v>
      </c>
      <c r="G857" s="20" t="str">
        <f>IFERROR(__xludf.DUMMYFUNCTION("""COMPUTED_VALUE"""),"Uncle Sams Cider (04/04/2023)")</f>
        <v>Uncle Sams Cider (04/04/2023)</v>
      </c>
      <c r="H857" s="19"/>
    </row>
    <row r="858">
      <c r="A858" s="9"/>
      <c r="B858" s="15"/>
      <c r="C858" s="9">
        <f>IFERROR(__xludf.DUMMYFUNCTION("""COMPUTED_VALUE"""),45135.6857843402)</f>
        <v>45135.68578</v>
      </c>
      <c r="D858" s="15">
        <f>IFERROR(__xludf.DUMMYFUNCTION("""COMPUTED_VALUE"""),1.003)</f>
        <v>1.003</v>
      </c>
      <c r="E858" s="16">
        <f>IFERROR(__xludf.DUMMYFUNCTION("""COMPUTED_VALUE"""),74.0)</f>
        <v>74</v>
      </c>
      <c r="F858" s="19" t="str">
        <f>IFERROR(__xludf.DUMMYFUNCTION("""COMPUTED_VALUE"""),"BLACK")</f>
        <v>BLACK</v>
      </c>
      <c r="G858" s="20" t="str">
        <f>IFERROR(__xludf.DUMMYFUNCTION("""COMPUTED_VALUE"""),"Uncle Sams Cider (04/04/2023)")</f>
        <v>Uncle Sams Cider (04/04/2023)</v>
      </c>
      <c r="H858" s="19"/>
    </row>
    <row r="859">
      <c r="A859" s="9"/>
      <c r="B859" s="15"/>
      <c r="C859" s="9">
        <f>IFERROR(__xludf.DUMMYFUNCTION("""COMPUTED_VALUE"""),45135.6753624421)</f>
        <v>45135.67536</v>
      </c>
      <c r="D859" s="15">
        <f>IFERROR(__xludf.DUMMYFUNCTION("""COMPUTED_VALUE"""),1.003)</f>
        <v>1.003</v>
      </c>
      <c r="E859" s="16">
        <f>IFERROR(__xludf.DUMMYFUNCTION("""COMPUTED_VALUE"""),74.0)</f>
        <v>74</v>
      </c>
      <c r="F859" s="19" t="str">
        <f>IFERROR(__xludf.DUMMYFUNCTION("""COMPUTED_VALUE"""),"BLACK")</f>
        <v>BLACK</v>
      </c>
      <c r="G859" s="20" t="str">
        <f>IFERROR(__xludf.DUMMYFUNCTION("""COMPUTED_VALUE"""),"Uncle Sams Cider (04/04/2023)")</f>
        <v>Uncle Sams Cider (04/04/2023)</v>
      </c>
      <c r="H859" s="19"/>
    </row>
    <row r="860">
      <c r="A860" s="9"/>
      <c r="B860" s="15"/>
      <c r="C860" s="9">
        <f>IFERROR(__xludf.DUMMYFUNCTION("""COMPUTED_VALUE"""),45135.6649396875)</f>
        <v>45135.66494</v>
      </c>
      <c r="D860" s="15">
        <f>IFERROR(__xludf.DUMMYFUNCTION("""COMPUTED_VALUE"""),1.003)</f>
        <v>1.003</v>
      </c>
      <c r="E860" s="16">
        <f>IFERROR(__xludf.DUMMYFUNCTION("""COMPUTED_VALUE"""),74.0)</f>
        <v>74</v>
      </c>
      <c r="F860" s="19" t="str">
        <f>IFERROR(__xludf.DUMMYFUNCTION("""COMPUTED_VALUE"""),"BLACK")</f>
        <v>BLACK</v>
      </c>
      <c r="G860" s="20" t="str">
        <f>IFERROR(__xludf.DUMMYFUNCTION("""COMPUTED_VALUE"""),"Uncle Sams Cider (04/04/2023)")</f>
        <v>Uncle Sams Cider (04/04/2023)</v>
      </c>
      <c r="H860" s="19"/>
    </row>
    <row r="861">
      <c r="A861" s="9"/>
      <c r="B861" s="15"/>
      <c r="C861" s="9">
        <f>IFERROR(__xludf.DUMMYFUNCTION("""COMPUTED_VALUE"""),45135.6545186689)</f>
        <v>45135.65452</v>
      </c>
      <c r="D861" s="15">
        <f>IFERROR(__xludf.DUMMYFUNCTION("""COMPUTED_VALUE"""),1.003)</f>
        <v>1.003</v>
      </c>
      <c r="E861" s="16">
        <f>IFERROR(__xludf.DUMMYFUNCTION("""COMPUTED_VALUE"""),74.0)</f>
        <v>74</v>
      </c>
      <c r="F861" s="19" t="str">
        <f>IFERROR(__xludf.DUMMYFUNCTION("""COMPUTED_VALUE"""),"BLACK")</f>
        <v>BLACK</v>
      </c>
      <c r="G861" s="20" t="str">
        <f>IFERROR(__xludf.DUMMYFUNCTION("""COMPUTED_VALUE"""),"Uncle Sams Cider (04/04/2023)")</f>
        <v>Uncle Sams Cider (04/04/2023)</v>
      </c>
      <c r="H861" s="19"/>
    </row>
    <row r="862">
      <c r="A862" s="9"/>
      <c r="B862" s="15"/>
      <c r="C862" s="9">
        <f>IFERROR(__xludf.DUMMYFUNCTION("""COMPUTED_VALUE"""),45135.6440861226)</f>
        <v>45135.64409</v>
      </c>
      <c r="D862" s="15">
        <f>IFERROR(__xludf.DUMMYFUNCTION("""COMPUTED_VALUE"""),1.003)</f>
        <v>1.003</v>
      </c>
      <c r="E862" s="16">
        <f>IFERROR(__xludf.DUMMYFUNCTION("""COMPUTED_VALUE"""),74.0)</f>
        <v>74</v>
      </c>
      <c r="F862" s="19" t="str">
        <f>IFERROR(__xludf.DUMMYFUNCTION("""COMPUTED_VALUE"""),"BLACK")</f>
        <v>BLACK</v>
      </c>
      <c r="G862" s="20" t="str">
        <f>IFERROR(__xludf.DUMMYFUNCTION("""COMPUTED_VALUE"""),"Uncle Sams Cider (04/04/2023)")</f>
        <v>Uncle Sams Cider (04/04/2023)</v>
      </c>
      <c r="H862" s="19"/>
    </row>
    <row r="863">
      <c r="A863" s="9"/>
      <c r="B863" s="15"/>
      <c r="C863" s="9">
        <f>IFERROR(__xludf.DUMMYFUNCTION("""COMPUTED_VALUE"""),45135.6336516319)</f>
        <v>45135.63365</v>
      </c>
      <c r="D863" s="15">
        <f>IFERROR(__xludf.DUMMYFUNCTION("""COMPUTED_VALUE"""),1.003)</f>
        <v>1.003</v>
      </c>
      <c r="E863" s="16">
        <f>IFERROR(__xludf.DUMMYFUNCTION("""COMPUTED_VALUE"""),74.0)</f>
        <v>74</v>
      </c>
      <c r="F863" s="19" t="str">
        <f>IFERROR(__xludf.DUMMYFUNCTION("""COMPUTED_VALUE"""),"BLACK")</f>
        <v>BLACK</v>
      </c>
      <c r="G863" s="20" t="str">
        <f>IFERROR(__xludf.DUMMYFUNCTION("""COMPUTED_VALUE"""),"Uncle Sams Cider (04/04/2023)")</f>
        <v>Uncle Sams Cider (04/04/2023)</v>
      </c>
      <c r="H863" s="19"/>
    </row>
    <row r="864">
      <c r="A864" s="9"/>
      <c r="B864" s="15"/>
      <c r="C864" s="9">
        <f>IFERROR(__xludf.DUMMYFUNCTION("""COMPUTED_VALUE"""),45135.6232293287)</f>
        <v>45135.62323</v>
      </c>
      <c r="D864" s="15">
        <f>IFERROR(__xludf.DUMMYFUNCTION("""COMPUTED_VALUE"""),1.003)</f>
        <v>1.003</v>
      </c>
      <c r="E864" s="16">
        <f>IFERROR(__xludf.DUMMYFUNCTION("""COMPUTED_VALUE"""),74.0)</f>
        <v>74</v>
      </c>
      <c r="F864" s="19" t="str">
        <f>IFERROR(__xludf.DUMMYFUNCTION("""COMPUTED_VALUE"""),"BLACK")</f>
        <v>BLACK</v>
      </c>
      <c r="G864" s="20" t="str">
        <f>IFERROR(__xludf.DUMMYFUNCTION("""COMPUTED_VALUE"""),"Uncle Sams Cider (04/04/2023)")</f>
        <v>Uncle Sams Cider (04/04/2023)</v>
      </c>
      <c r="H864" s="19"/>
    </row>
    <row r="865">
      <c r="A865" s="9"/>
      <c r="B865" s="15"/>
      <c r="C865" s="9">
        <f>IFERROR(__xludf.DUMMYFUNCTION("""COMPUTED_VALUE"""),45135.6128073726)</f>
        <v>45135.61281</v>
      </c>
      <c r="D865" s="15">
        <f>IFERROR(__xludf.DUMMYFUNCTION("""COMPUTED_VALUE"""),1.003)</f>
        <v>1.003</v>
      </c>
      <c r="E865" s="16">
        <f>IFERROR(__xludf.DUMMYFUNCTION("""COMPUTED_VALUE"""),74.0)</f>
        <v>74</v>
      </c>
      <c r="F865" s="19" t="str">
        <f>IFERROR(__xludf.DUMMYFUNCTION("""COMPUTED_VALUE"""),"BLACK")</f>
        <v>BLACK</v>
      </c>
      <c r="G865" s="20" t="str">
        <f>IFERROR(__xludf.DUMMYFUNCTION("""COMPUTED_VALUE"""),"Uncle Sams Cider (04/04/2023)")</f>
        <v>Uncle Sams Cider (04/04/2023)</v>
      </c>
      <c r="H865" s="19"/>
    </row>
    <row r="866">
      <c r="A866" s="9"/>
      <c r="B866" s="15"/>
      <c r="C866" s="9">
        <f>IFERROR(__xludf.DUMMYFUNCTION("""COMPUTED_VALUE"""),45135.6023861689)</f>
        <v>45135.60239</v>
      </c>
      <c r="D866" s="15">
        <f>IFERROR(__xludf.DUMMYFUNCTION("""COMPUTED_VALUE"""),1.003)</f>
        <v>1.003</v>
      </c>
      <c r="E866" s="16">
        <f>IFERROR(__xludf.DUMMYFUNCTION("""COMPUTED_VALUE"""),74.0)</f>
        <v>74</v>
      </c>
      <c r="F866" s="19" t="str">
        <f>IFERROR(__xludf.DUMMYFUNCTION("""COMPUTED_VALUE"""),"BLACK")</f>
        <v>BLACK</v>
      </c>
      <c r="G866" s="20" t="str">
        <f>IFERROR(__xludf.DUMMYFUNCTION("""COMPUTED_VALUE"""),"Uncle Sams Cider (04/04/2023)")</f>
        <v>Uncle Sams Cider (04/04/2023)</v>
      </c>
      <c r="H866" s="19"/>
    </row>
    <row r="867">
      <c r="A867" s="9"/>
      <c r="B867" s="15"/>
      <c r="C867" s="9">
        <f>IFERROR(__xludf.DUMMYFUNCTION("""COMPUTED_VALUE"""),45135.5919645833)</f>
        <v>45135.59196</v>
      </c>
      <c r="D867" s="15">
        <f>IFERROR(__xludf.DUMMYFUNCTION("""COMPUTED_VALUE"""),1.003)</f>
        <v>1.003</v>
      </c>
      <c r="E867" s="16">
        <f>IFERROR(__xludf.DUMMYFUNCTION("""COMPUTED_VALUE"""),74.0)</f>
        <v>74</v>
      </c>
      <c r="F867" s="19" t="str">
        <f>IFERROR(__xludf.DUMMYFUNCTION("""COMPUTED_VALUE"""),"BLACK")</f>
        <v>BLACK</v>
      </c>
      <c r="G867" s="20" t="str">
        <f>IFERROR(__xludf.DUMMYFUNCTION("""COMPUTED_VALUE"""),"Uncle Sams Cider (04/04/2023)")</f>
        <v>Uncle Sams Cider (04/04/2023)</v>
      </c>
      <c r="H867" s="19"/>
    </row>
    <row r="868">
      <c r="A868" s="9"/>
      <c r="B868" s="15"/>
      <c r="C868" s="9">
        <f>IFERROR(__xludf.DUMMYFUNCTION("""COMPUTED_VALUE"""),45135.5815437384)</f>
        <v>45135.58154</v>
      </c>
      <c r="D868" s="15">
        <f>IFERROR(__xludf.DUMMYFUNCTION("""COMPUTED_VALUE"""),1.003)</f>
        <v>1.003</v>
      </c>
      <c r="E868" s="16">
        <f>IFERROR(__xludf.DUMMYFUNCTION("""COMPUTED_VALUE"""),74.0)</f>
        <v>74</v>
      </c>
      <c r="F868" s="19" t="str">
        <f>IFERROR(__xludf.DUMMYFUNCTION("""COMPUTED_VALUE"""),"BLACK")</f>
        <v>BLACK</v>
      </c>
      <c r="G868" s="20" t="str">
        <f>IFERROR(__xludf.DUMMYFUNCTION("""COMPUTED_VALUE"""),"Uncle Sams Cider (04/04/2023)")</f>
        <v>Uncle Sams Cider (04/04/2023)</v>
      </c>
      <c r="H868" s="19"/>
    </row>
    <row r="869">
      <c r="A869" s="9"/>
      <c r="B869" s="15"/>
      <c r="C869" s="9">
        <f>IFERROR(__xludf.DUMMYFUNCTION("""COMPUTED_VALUE"""),45135.5711256713)</f>
        <v>45135.57113</v>
      </c>
      <c r="D869" s="15">
        <f>IFERROR(__xludf.DUMMYFUNCTION("""COMPUTED_VALUE"""),1.003)</f>
        <v>1.003</v>
      </c>
      <c r="E869" s="16">
        <f>IFERROR(__xludf.DUMMYFUNCTION("""COMPUTED_VALUE"""),74.0)</f>
        <v>74</v>
      </c>
      <c r="F869" s="19" t="str">
        <f>IFERROR(__xludf.DUMMYFUNCTION("""COMPUTED_VALUE"""),"BLACK")</f>
        <v>BLACK</v>
      </c>
      <c r="G869" s="20" t="str">
        <f>IFERROR(__xludf.DUMMYFUNCTION("""COMPUTED_VALUE"""),"Uncle Sams Cider (04/04/2023)")</f>
        <v>Uncle Sams Cider (04/04/2023)</v>
      </c>
      <c r="H869" s="19"/>
    </row>
    <row r="870">
      <c r="A870" s="9"/>
      <c r="B870" s="15"/>
      <c r="C870" s="9">
        <f>IFERROR(__xludf.DUMMYFUNCTION("""COMPUTED_VALUE"""),45135.5606938426)</f>
        <v>45135.56069</v>
      </c>
      <c r="D870" s="15">
        <f>IFERROR(__xludf.DUMMYFUNCTION("""COMPUTED_VALUE"""),1.003)</f>
        <v>1.003</v>
      </c>
      <c r="E870" s="16">
        <f>IFERROR(__xludf.DUMMYFUNCTION("""COMPUTED_VALUE"""),74.0)</f>
        <v>74</v>
      </c>
      <c r="F870" s="19" t="str">
        <f>IFERROR(__xludf.DUMMYFUNCTION("""COMPUTED_VALUE"""),"BLACK")</f>
        <v>BLACK</v>
      </c>
      <c r="G870" s="20" t="str">
        <f>IFERROR(__xludf.DUMMYFUNCTION("""COMPUTED_VALUE"""),"Uncle Sams Cider (04/04/2023)")</f>
        <v>Uncle Sams Cider (04/04/2023)</v>
      </c>
      <c r="H870" s="19"/>
    </row>
    <row r="871">
      <c r="A871" s="9"/>
      <c r="B871" s="15"/>
      <c r="C871" s="9">
        <f>IFERROR(__xludf.DUMMYFUNCTION("""COMPUTED_VALUE"""),45135.5502723726)</f>
        <v>45135.55027</v>
      </c>
      <c r="D871" s="15">
        <f>IFERROR(__xludf.DUMMYFUNCTION("""COMPUTED_VALUE"""),1.003)</f>
        <v>1.003</v>
      </c>
      <c r="E871" s="16">
        <f>IFERROR(__xludf.DUMMYFUNCTION("""COMPUTED_VALUE"""),74.0)</f>
        <v>74</v>
      </c>
      <c r="F871" s="19" t="str">
        <f>IFERROR(__xludf.DUMMYFUNCTION("""COMPUTED_VALUE"""),"BLACK")</f>
        <v>BLACK</v>
      </c>
      <c r="G871" s="20" t="str">
        <f>IFERROR(__xludf.DUMMYFUNCTION("""COMPUTED_VALUE"""),"Uncle Sams Cider (04/04/2023)")</f>
        <v>Uncle Sams Cider (04/04/2023)</v>
      </c>
      <c r="H871" s="19"/>
    </row>
    <row r="872">
      <c r="A872" s="9"/>
      <c r="B872" s="15"/>
      <c r="C872" s="9">
        <f>IFERROR(__xludf.DUMMYFUNCTION("""COMPUTED_VALUE"""),45135.5398514699)</f>
        <v>45135.53985</v>
      </c>
      <c r="D872" s="15">
        <f>IFERROR(__xludf.DUMMYFUNCTION("""COMPUTED_VALUE"""),1.003)</f>
        <v>1.003</v>
      </c>
      <c r="E872" s="16">
        <f>IFERROR(__xludf.DUMMYFUNCTION("""COMPUTED_VALUE"""),74.0)</f>
        <v>74</v>
      </c>
      <c r="F872" s="19" t="str">
        <f>IFERROR(__xludf.DUMMYFUNCTION("""COMPUTED_VALUE"""),"BLACK")</f>
        <v>BLACK</v>
      </c>
      <c r="G872" s="20" t="str">
        <f>IFERROR(__xludf.DUMMYFUNCTION("""COMPUTED_VALUE"""),"Uncle Sams Cider (04/04/2023)")</f>
        <v>Uncle Sams Cider (04/04/2023)</v>
      </c>
      <c r="H872" s="19"/>
    </row>
    <row r="873">
      <c r="A873" s="9"/>
      <c r="B873" s="15"/>
      <c r="C873" s="9">
        <f>IFERROR(__xludf.DUMMYFUNCTION("""COMPUTED_VALUE"""),45135.5294300578)</f>
        <v>45135.52943</v>
      </c>
      <c r="D873" s="15">
        <f>IFERROR(__xludf.DUMMYFUNCTION("""COMPUTED_VALUE"""),1.003)</f>
        <v>1.003</v>
      </c>
      <c r="E873" s="16">
        <f>IFERROR(__xludf.DUMMYFUNCTION("""COMPUTED_VALUE"""),74.0)</f>
        <v>74</v>
      </c>
      <c r="F873" s="19" t="str">
        <f>IFERROR(__xludf.DUMMYFUNCTION("""COMPUTED_VALUE"""),"BLACK")</f>
        <v>BLACK</v>
      </c>
      <c r="G873" s="20" t="str">
        <f>IFERROR(__xludf.DUMMYFUNCTION("""COMPUTED_VALUE"""),"Uncle Sams Cider (04/04/2023)")</f>
        <v>Uncle Sams Cider (04/04/2023)</v>
      </c>
      <c r="H873" s="19"/>
    </row>
    <row r="874">
      <c r="A874" s="9"/>
      <c r="B874" s="15"/>
      <c r="C874" s="9">
        <f>IFERROR(__xludf.DUMMYFUNCTION("""COMPUTED_VALUE"""),45135.5190095833)</f>
        <v>45135.51901</v>
      </c>
      <c r="D874" s="15">
        <f>IFERROR(__xludf.DUMMYFUNCTION("""COMPUTED_VALUE"""),1.003)</f>
        <v>1.003</v>
      </c>
      <c r="E874" s="16">
        <f>IFERROR(__xludf.DUMMYFUNCTION("""COMPUTED_VALUE"""),74.0)</f>
        <v>74</v>
      </c>
      <c r="F874" s="19" t="str">
        <f>IFERROR(__xludf.DUMMYFUNCTION("""COMPUTED_VALUE"""),"BLACK")</f>
        <v>BLACK</v>
      </c>
      <c r="G874" s="20" t="str">
        <f>IFERROR(__xludf.DUMMYFUNCTION("""COMPUTED_VALUE"""),"Uncle Sams Cider (04/04/2023)")</f>
        <v>Uncle Sams Cider (04/04/2023)</v>
      </c>
      <c r="H874" s="19"/>
    </row>
    <row r="875">
      <c r="A875" s="9"/>
      <c r="B875" s="15"/>
      <c r="C875" s="9">
        <f>IFERROR(__xludf.DUMMYFUNCTION("""COMPUTED_VALUE"""),45135.5085890162)</f>
        <v>45135.50859</v>
      </c>
      <c r="D875" s="15">
        <f>IFERROR(__xludf.DUMMYFUNCTION("""COMPUTED_VALUE"""),1.003)</f>
        <v>1.003</v>
      </c>
      <c r="E875" s="16">
        <f>IFERROR(__xludf.DUMMYFUNCTION("""COMPUTED_VALUE"""),74.0)</f>
        <v>74</v>
      </c>
      <c r="F875" s="19" t="str">
        <f>IFERROR(__xludf.DUMMYFUNCTION("""COMPUTED_VALUE"""),"BLACK")</f>
        <v>BLACK</v>
      </c>
      <c r="G875" s="20" t="str">
        <f>IFERROR(__xludf.DUMMYFUNCTION("""COMPUTED_VALUE"""),"Uncle Sams Cider (04/04/2023)")</f>
        <v>Uncle Sams Cider (04/04/2023)</v>
      </c>
      <c r="H875" s="19"/>
    </row>
    <row r="876">
      <c r="A876" s="9"/>
      <c r="B876" s="15"/>
      <c r="C876" s="9">
        <f>IFERROR(__xludf.DUMMYFUNCTION("""COMPUTED_VALUE"""),45135.49817)</f>
        <v>45135.49817</v>
      </c>
      <c r="D876" s="15">
        <f>IFERROR(__xludf.DUMMYFUNCTION("""COMPUTED_VALUE"""),1.003)</f>
        <v>1.003</v>
      </c>
      <c r="E876" s="16">
        <f>IFERROR(__xludf.DUMMYFUNCTION("""COMPUTED_VALUE"""),74.0)</f>
        <v>74</v>
      </c>
      <c r="F876" s="19" t="str">
        <f>IFERROR(__xludf.DUMMYFUNCTION("""COMPUTED_VALUE"""),"BLACK")</f>
        <v>BLACK</v>
      </c>
      <c r="G876" s="20" t="str">
        <f>IFERROR(__xludf.DUMMYFUNCTION("""COMPUTED_VALUE"""),"Uncle Sams Cider (04/04/2023)")</f>
        <v>Uncle Sams Cider (04/04/2023)</v>
      </c>
      <c r="H876" s="19"/>
    </row>
    <row r="877">
      <c r="A877" s="9"/>
      <c r="B877" s="15"/>
      <c r="C877" s="9">
        <f>IFERROR(__xludf.DUMMYFUNCTION("""COMPUTED_VALUE"""),45135.4877477662)</f>
        <v>45135.48775</v>
      </c>
      <c r="D877" s="15">
        <f>IFERROR(__xludf.DUMMYFUNCTION("""COMPUTED_VALUE"""),1.003)</f>
        <v>1.003</v>
      </c>
      <c r="E877" s="16">
        <f>IFERROR(__xludf.DUMMYFUNCTION("""COMPUTED_VALUE"""),74.0)</f>
        <v>74</v>
      </c>
      <c r="F877" s="19" t="str">
        <f>IFERROR(__xludf.DUMMYFUNCTION("""COMPUTED_VALUE"""),"BLACK")</f>
        <v>BLACK</v>
      </c>
      <c r="G877" s="20" t="str">
        <f>IFERROR(__xludf.DUMMYFUNCTION("""COMPUTED_VALUE"""),"Uncle Sams Cider (04/04/2023)")</f>
        <v>Uncle Sams Cider (04/04/2023)</v>
      </c>
      <c r="H877" s="19"/>
    </row>
    <row r="878">
      <c r="A878" s="9"/>
      <c r="B878" s="15"/>
      <c r="C878" s="9">
        <f>IFERROR(__xludf.DUMMYFUNCTION("""COMPUTED_VALUE"""),45135.4773274074)</f>
        <v>45135.47733</v>
      </c>
      <c r="D878" s="15">
        <f>IFERROR(__xludf.DUMMYFUNCTION("""COMPUTED_VALUE"""),1.003)</f>
        <v>1.003</v>
      </c>
      <c r="E878" s="16">
        <f>IFERROR(__xludf.DUMMYFUNCTION("""COMPUTED_VALUE"""),74.0)</f>
        <v>74</v>
      </c>
      <c r="F878" s="19" t="str">
        <f>IFERROR(__xludf.DUMMYFUNCTION("""COMPUTED_VALUE"""),"BLACK")</f>
        <v>BLACK</v>
      </c>
      <c r="G878" s="20" t="str">
        <f>IFERROR(__xludf.DUMMYFUNCTION("""COMPUTED_VALUE"""),"Uncle Sams Cider (04/04/2023)")</f>
        <v>Uncle Sams Cider (04/04/2023)</v>
      </c>
      <c r="H878" s="19"/>
    </row>
    <row r="879">
      <c r="A879" s="9"/>
      <c r="B879" s="15"/>
      <c r="C879" s="9">
        <f>IFERROR(__xludf.DUMMYFUNCTION("""COMPUTED_VALUE"""),45135.4669058449)</f>
        <v>45135.46691</v>
      </c>
      <c r="D879" s="15">
        <f>IFERROR(__xludf.DUMMYFUNCTION("""COMPUTED_VALUE"""),1.003)</f>
        <v>1.003</v>
      </c>
      <c r="E879" s="16">
        <f>IFERROR(__xludf.DUMMYFUNCTION("""COMPUTED_VALUE"""),74.0)</f>
        <v>74</v>
      </c>
      <c r="F879" s="19" t="str">
        <f>IFERROR(__xludf.DUMMYFUNCTION("""COMPUTED_VALUE"""),"BLACK")</f>
        <v>BLACK</v>
      </c>
      <c r="G879" s="20" t="str">
        <f>IFERROR(__xludf.DUMMYFUNCTION("""COMPUTED_VALUE"""),"Uncle Sams Cider (04/04/2023)")</f>
        <v>Uncle Sams Cider (04/04/2023)</v>
      </c>
      <c r="H879" s="19"/>
    </row>
    <row r="880">
      <c r="A880" s="9"/>
      <c r="B880" s="15"/>
      <c r="C880" s="9">
        <f>IFERROR(__xludf.DUMMYFUNCTION("""COMPUTED_VALUE"""),45135.4564857175)</f>
        <v>45135.45649</v>
      </c>
      <c r="D880" s="15">
        <f>IFERROR(__xludf.DUMMYFUNCTION("""COMPUTED_VALUE"""),1.003)</f>
        <v>1.003</v>
      </c>
      <c r="E880" s="16">
        <f>IFERROR(__xludf.DUMMYFUNCTION("""COMPUTED_VALUE"""),74.0)</f>
        <v>74</v>
      </c>
      <c r="F880" s="19" t="str">
        <f>IFERROR(__xludf.DUMMYFUNCTION("""COMPUTED_VALUE"""),"BLACK")</f>
        <v>BLACK</v>
      </c>
      <c r="G880" s="20" t="str">
        <f>IFERROR(__xludf.DUMMYFUNCTION("""COMPUTED_VALUE"""),"Uncle Sams Cider (04/04/2023)")</f>
        <v>Uncle Sams Cider (04/04/2023)</v>
      </c>
      <c r="H880" s="19"/>
    </row>
    <row r="881">
      <c r="A881" s="9"/>
      <c r="B881" s="15"/>
      <c r="C881" s="9">
        <f>IFERROR(__xludf.DUMMYFUNCTION("""COMPUTED_VALUE"""),45135.4460643402)</f>
        <v>45135.44606</v>
      </c>
      <c r="D881" s="15">
        <f>IFERROR(__xludf.DUMMYFUNCTION("""COMPUTED_VALUE"""),1.003)</f>
        <v>1.003</v>
      </c>
      <c r="E881" s="16">
        <f>IFERROR(__xludf.DUMMYFUNCTION("""COMPUTED_VALUE"""),74.0)</f>
        <v>74</v>
      </c>
      <c r="F881" s="19" t="str">
        <f>IFERROR(__xludf.DUMMYFUNCTION("""COMPUTED_VALUE"""),"BLACK")</f>
        <v>BLACK</v>
      </c>
      <c r="G881" s="20" t="str">
        <f>IFERROR(__xludf.DUMMYFUNCTION("""COMPUTED_VALUE"""),"Uncle Sams Cider (04/04/2023)")</f>
        <v>Uncle Sams Cider (04/04/2023)</v>
      </c>
      <c r="H881" s="19"/>
    </row>
    <row r="882">
      <c r="A882" s="9"/>
      <c r="B882" s="15"/>
      <c r="C882" s="9">
        <f>IFERROR(__xludf.DUMMYFUNCTION("""COMPUTED_VALUE"""),45135.4356440046)</f>
        <v>45135.43564</v>
      </c>
      <c r="D882" s="15">
        <f>IFERROR(__xludf.DUMMYFUNCTION("""COMPUTED_VALUE"""),1.003)</f>
        <v>1.003</v>
      </c>
      <c r="E882" s="16">
        <f>IFERROR(__xludf.DUMMYFUNCTION("""COMPUTED_VALUE"""),74.0)</f>
        <v>74</v>
      </c>
      <c r="F882" s="19" t="str">
        <f>IFERROR(__xludf.DUMMYFUNCTION("""COMPUTED_VALUE"""),"BLACK")</f>
        <v>BLACK</v>
      </c>
      <c r="G882" s="20" t="str">
        <f>IFERROR(__xludf.DUMMYFUNCTION("""COMPUTED_VALUE"""),"Uncle Sams Cider (04/04/2023)")</f>
        <v>Uncle Sams Cider (04/04/2023)</v>
      </c>
      <c r="H882" s="19"/>
    </row>
    <row r="883">
      <c r="A883" s="9"/>
      <c r="B883" s="15"/>
      <c r="C883" s="9">
        <f>IFERROR(__xludf.DUMMYFUNCTION("""COMPUTED_VALUE"""),45135.4252229513)</f>
        <v>45135.42522</v>
      </c>
      <c r="D883" s="15">
        <f>IFERROR(__xludf.DUMMYFUNCTION("""COMPUTED_VALUE"""),1.003)</f>
        <v>1.003</v>
      </c>
      <c r="E883" s="16">
        <f>IFERROR(__xludf.DUMMYFUNCTION("""COMPUTED_VALUE"""),74.0)</f>
        <v>74</v>
      </c>
      <c r="F883" s="19" t="str">
        <f>IFERROR(__xludf.DUMMYFUNCTION("""COMPUTED_VALUE"""),"BLACK")</f>
        <v>BLACK</v>
      </c>
      <c r="G883" s="20" t="str">
        <f>IFERROR(__xludf.DUMMYFUNCTION("""COMPUTED_VALUE"""),"Uncle Sams Cider (04/04/2023)")</f>
        <v>Uncle Sams Cider (04/04/2023)</v>
      </c>
      <c r="H883" s="19"/>
    </row>
    <row r="884">
      <c r="A884" s="9"/>
      <c r="B884" s="15"/>
      <c r="C884" s="9">
        <f>IFERROR(__xludf.DUMMYFUNCTION("""COMPUTED_VALUE"""),45135.4148022801)</f>
        <v>45135.4148</v>
      </c>
      <c r="D884" s="15">
        <f>IFERROR(__xludf.DUMMYFUNCTION("""COMPUTED_VALUE"""),1.003)</f>
        <v>1.003</v>
      </c>
      <c r="E884" s="16">
        <f>IFERROR(__xludf.DUMMYFUNCTION("""COMPUTED_VALUE"""),74.0)</f>
        <v>74</v>
      </c>
      <c r="F884" s="19" t="str">
        <f>IFERROR(__xludf.DUMMYFUNCTION("""COMPUTED_VALUE"""),"BLACK")</f>
        <v>BLACK</v>
      </c>
      <c r="G884" s="20" t="str">
        <f>IFERROR(__xludf.DUMMYFUNCTION("""COMPUTED_VALUE"""),"Uncle Sams Cider (04/04/2023)")</f>
        <v>Uncle Sams Cider (04/04/2023)</v>
      </c>
      <c r="H884" s="19"/>
    </row>
    <row r="885">
      <c r="A885" s="9"/>
      <c r="B885" s="15"/>
      <c r="C885" s="9">
        <f>IFERROR(__xludf.DUMMYFUNCTION("""COMPUTED_VALUE"""),45135.4043820717)</f>
        <v>45135.40438</v>
      </c>
      <c r="D885" s="15">
        <f>IFERROR(__xludf.DUMMYFUNCTION("""COMPUTED_VALUE"""),1.003)</f>
        <v>1.003</v>
      </c>
      <c r="E885" s="16">
        <f>IFERROR(__xludf.DUMMYFUNCTION("""COMPUTED_VALUE"""),74.0)</f>
        <v>74</v>
      </c>
      <c r="F885" s="19" t="str">
        <f>IFERROR(__xludf.DUMMYFUNCTION("""COMPUTED_VALUE"""),"BLACK")</f>
        <v>BLACK</v>
      </c>
      <c r="G885" s="20" t="str">
        <f>IFERROR(__xludf.DUMMYFUNCTION("""COMPUTED_VALUE"""),"Uncle Sams Cider (04/04/2023)")</f>
        <v>Uncle Sams Cider (04/04/2023)</v>
      </c>
      <c r="H885" s="19"/>
    </row>
    <row r="886">
      <c r="A886" s="9"/>
      <c r="B886" s="15"/>
      <c r="C886" s="9">
        <f>IFERROR(__xludf.DUMMYFUNCTION("""COMPUTED_VALUE"""),45135.3939582175)</f>
        <v>45135.39396</v>
      </c>
      <c r="D886" s="15">
        <f>IFERROR(__xludf.DUMMYFUNCTION("""COMPUTED_VALUE"""),1.003)</f>
        <v>1.003</v>
      </c>
      <c r="E886" s="16">
        <f>IFERROR(__xludf.DUMMYFUNCTION("""COMPUTED_VALUE"""),74.0)</f>
        <v>74</v>
      </c>
      <c r="F886" s="19" t="str">
        <f>IFERROR(__xludf.DUMMYFUNCTION("""COMPUTED_VALUE"""),"BLACK")</f>
        <v>BLACK</v>
      </c>
      <c r="G886" s="20" t="str">
        <f>IFERROR(__xludf.DUMMYFUNCTION("""COMPUTED_VALUE"""),"Uncle Sams Cider (04/04/2023)")</f>
        <v>Uncle Sams Cider (04/04/2023)</v>
      </c>
      <c r="H886" s="19"/>
    </row>
    <row r="887">
      <c r="A887" s="9"/>
      <c r="B887" s="15"/>
      <c r="C887" s="9">
        <f>IFERROR(__xludf.DUMMYFUNCTION("""COMPUTED_VALUE"""),45135.3835263425)</f>
        <v>45135.38353</v>
      </c>
      <c r="D887" s="15">
        <f>IFERROR(__xludf.DUMMYFUNCTION("""COMPUTED_VALUE"""),1.003)</f>
        <v>1.003</v>
      </c>
      <c r="E887" s="16">
        <f>IFERROR(__xludf.DUMMYFUNCTION("""COMPUTED_VALUE"""),74.0)</f>
        <v>74</v>
      </c>
      <c r="F887" s="19" t="str">
        <f>IFERROR(__xludf.DUMMYFUNCTION("""COMPUTED_VALUE"""),"BLACK")</f>
        <v>BLACK</v>
      </c>
      <c r="G887" s="20" t="str">
        <f>IFERROR(__xludf.DUMMYFUNCTION("""COMPUTED_VALUE"""),"Uncle Sams Cider (04/04/2023)")</f>
        <v>Uncle Sams Cider (04/04/2023)</v>
      </c>
      <c r="H887" s="19"/>
    </row>
    <row r="888">
      <c r="A888" s="9"/>
      <c r="B888" s="15"/>
      <c r="C888" s="9">
        <f>IFERROR(__xludf.DUMMYFUNCTION("""COMPUTED_VALUE"""),45135.3731042361)</f>
        <v>45135.3731</v>
      </c>
      <c r="D888" s="15">
        <f>IFERROR(__xludf.DUMMYFUNCTION("""COMPUTED_VALUE"""),1.003)</f>
        <v>1.003</v>
      </c>
      <c r="E888" s="16">
        <f>IFERROR(__xludf.DUMMYFUNCTION("""COMPUTED_VALUE"""),74.0)</f>
        <v>74</v>
      </c>
      <c r="F888" s="19" t="str">
        <f>IFERROR(__xludf.DUMMYFUNCTION("""COMPUTED_VALUE"""),"BLACK")</f>
        <v>BLACK</v>
      </c>
      <c r="G888" s="20" t="str">
        <f>IFERROR(__xludf.DUMMYFUNCTION("""COMPUTED_VALUE"""),"Uncle Sams Cider (04/04/2023)")</f>
        <v>Uncle Sams Cider (04/04/2023)</v>
      </c>
      <c r="H888" s="19"/>
    </row>
    <row r="889">
      <c r="A889" s="9"/>
      <c r="B889" s="15"/>
      <c r="C889" s="9">
        <f>IFERROR(__xludf.DUMMYFUNCTION("""COMPUTED_VALUE"""),45135.3626821412)</f>
        <v>45135.36268</v>
      </c>
      <c r="D889" s="15">
        <f>IFERROR(__xludf.DUMMYFUNCTION("""COMPUTED_VALUE"""),1.003)</f>
        <v>1.003</v>
      </c>
      <c r="E889" s="16">
        <f>IFERROR(__xludf.DUMMYFUNCTION("""COMPUTED_VALUE"""),74.0)</f>
        <v>74</v>
      </c>
      <c r="F889" s="19" t="str">
        <f>IFERROR(__xludf.DUMMYFUNCTION("""COMPUTED_VALUE"""),"BLACK")</f>
        <v>BLACK</v>
      </c>
      <c r="G889" s="20" t="str">
        <f>IFERROR(__xludf.DUMMYFUNCTION("""COMPUTED_VALUE"""),"Uncle Sams Cider (04/04/2023)")</f>
        <v>Uncle Sams Cider (04/04/2023)</v>
      </c>
      <c r="H889" s="19"/>
    </row>
    <row r="890">
      <c r="A890" s="9"/>
      <c r="B890" s="15"/>
      <c r="C890" s="9">
        <f>IFERROR(__xludf.DUMMYFUNCTION("""COMPUTED_VALUE"""),45135.3522605902)</f>
        <v>45135.35226</v>
      </c>
      <c r="D890" s="15">
        <f>IFERROR(__xludf.DUMMYFUNCTION("""COMPUTED_VALUE"""),1.003)</f>
        <v>1.003</v>
      </c>
      <c r="E890" s="16">
        <f>IFERROR(__xludf.DUMMYFUNCTION("""COMPUTED_VALUE"""),74.0)</f>
        <v>74</v>
      </c>
      <c r="F890" s="19" t="str">
        <f>IFERROR(__xludf.DUMMYFUNCTION("""COMPUTED_VALUE"""),"BLACK")</f>
        <v>BLACK</v>
      </c>
      <c r="G890" s="20" t="str">
        <f>IFERROR(__xludf.DUMMYFUNCTION("""COMPUTED_VALUE"""),"Uncle Sams Cider (04/04/2023)")</f>
        <v>Uncle Sams Cider (04/04/2023)</v>
      </c>
      <c r="H890" s="19"/>
    </row>
    <row r="891">
      <c r="A891" s="9"/>
      <c r="B891" s="15"/>
      <c r="C891" s="9">
        <f>IFERROR(__xludf.DUMMYFUNCTION("""COMPUTED_VALUE"""),45135.3418395254)</f>
        <v>45135.34184</v>
      </c>
      <c r="D891" s="15">
        <f>IFERROR(__xludf.DUMMYFUNCTION("""COMPUTED_VALUE"""),1.003)</f>
        <v>1.003</v>
      </c>
      <c r="E891" s="16">
        <f>IFERROR(__xludf.DUMMYFUNCTION("""COMPUTED_VALUE"""),74.0)</f>
        <v>74</v>
      </c>
      <c r="F891" s="19" t="str">
        <f>IFERROR(__xludf.DUMMYFUNCTION("""COMPUTED_VALUE"""),"BLACK")</f>
        <v>BLACK</v>
      </c>
      <c r="G891" s="20" t="str">
        <f>IFERROR(__xludf.DUMMYFUNCTION("""COMPUTED_VALUE"""),"Uncle Sams Cider (04/04/2023)")</f>
        <v>Uncle Sams Cider (04/04/2023)</v>
      </c>
      <c r="H891" s="19"/>
    </row>
    <row r="892">
      <c r="A892" s="9"/>
      <c r="B892" s="15"/>
      <c r="C892" s="9">
        <f>IFERROR(__xludf.DUMMYFUNCTION("""COMPUTED_VALUE"""),45135.3314180324)</f>
        <v>45135.33142</v>
      </c>
      <c r="D892" s="15">
        <f>IFERROR(__xludf.DUMMYFUNCTION("""COMPUTED_VALUE"""),1.003)</f>
        <v>1.003</v>
      </c>
      <c r="E892" s="16">
        <f>IFERROR(__xludf.DUMMYFUNCTION("""COMPUTED_VALUE"""),74.0)</f>
        <v>74</v>
      </c>
      <c r="F892" s="19" t="str">
        <f>IFERROR(__xludf.DUMMYFUNCTION("""COMPUTED_VALUE"""),"BLACK")</f>
        <v>BLACK</v>
      </c>
      <c r="G892" s="20" t="str">
        <f>IFERROR(__xludf.DUMMYFUNCTION("""COMPUTED_VALUE"""),"Uncle Sams Cider (04/04/2023)")</f>
        <v>Uncle Sams Cider (04/04/2023)</v>
      </c>
      <c r="H892" s="19"/>
    </row>
    <row r="893">
      <c r="A893" s="9"/>
      <c r="B893" s="15"/>
      <c r="C893" s="9">
        <f>IFERROR(__xludf.DUMMYFUNCTION("""COMPUTED_VALUE"""),45135.3209952314)</f>
        <v>45135.321</v>
      </c>
      <c r="D893" s="15">
        <f>IFERROR(__xludf.DUMMYFUNCTION("""COMPUTED_VALUE"""),1.003)</f>
        <v>1.003</v>
      </c>
      <c r="E893" s="16">
        <f>IFERROR(__xludf.DUMMYFUNCTION("""COMPUTED_VALUE"""),74.0)</f>
        <v>74</v>
      </c>
      <c r="F893" s="19" t="str">
        <f>IFERROR(__xludf.DUMMYFUNCTION("""COMPUTED_VALUE"""),"BLACK")</f>
        <v>BLACK</v>
      </c>
      <c r="G893" s="20" t="str">
        <f>IFERROR(__xludf.DUMMYFUNCTION("""COMPUTED_VALUE"""),"Uncle Sams Cider (04/04/2023)")</f>
        <v>Uncle Sams Cider (04/04/2023)</v>
      </c>
      <c r="H893" s="19"/>
    </row>
    <row r="894">
      <c r="A894" s="9"/>
      <c r="B894" s="15"/>
      <c r="C894" s="9">
        <f>IFERROR(__xludf.DUMMYFUNCTION("""COMPUTED_VALUE"""),45135.3105734375)</f>
        <v>45135.31057</v>
      </c>
      <c r="D894" s="15">
        <f>IFERROR(__xludf.DUMMYFUNCTION("""COMPUTED_VALUE"""),1.003)</f>
        <v>1.003</v>
      </c>
      <c r="E894" s="16">
        <f>IFERROR(__xludf.DUMMYFUNCTION("""COMPUTED_VALUE"""),74.0)</f>
        <v>74</v>
      </c>
      <c r="F894" s="19" t="str">
        <f>IFERROR(__xludf.DUMMYFUNCTION("""COMPUTED_VALUE"""),"BLACK")</f>
        <v>BLACK</v>
      </c>
      <c r="G894" s="20" t="str">
        <f>IFERROR(__xludf.DUMMYFUNCTION("""COMPUTED_VALUE"""),"Uncle Sams Cider (04/04/2023)")</f>
        <v>Uncle Sams Cider (04/04/2023)</v>
      </c>
      <c r="H894" s="19"/>
    </row>
    <row r="895">
      <c r="A895" s="9"/>
      <c r="B895" s="15"/>
      <c r="C895" s="9">
        <f>IFERROR(__xludf.DUMMYFUNCTION("""COMPUTED_VALUE"""),45135.300152118)</f>
        <v>45135.30015</v>
      </c>
      <c r="D895" s="15">
        <f>IFERROR(__xludf.DUMMYFUNCTION("""COMPUTED_VALUE"""),1.003)</f>
        <v>1.003</v>
      </c>
      <c r="E895" s="16">
        <f>IFERROR(__xludf.DUMMYFUNCTION("""COMPUTED_VALUE"""),74.0)</f>
        <v>74</v>
      </c>
      <c r="F895" s="19" t="str">
        <f>IFERROR(__xludf.DUMMYFUNCTION("""COMPUTED_VALUE"""),"BLACK")</f>
        <v>BLACK</v>
      </c>
      <c r="G895" s="20" t="str">
        <f>IFERROR(__xludf.DUMMYFUNCTION("""COMPUTED_VALUE"""),"Uncle Sams Cider (04/04/2023)")</f>
        <v>Uncle Sams Cider (04/04/2023)</v>
      </c>
      <c r="H895" s="19"/>
    </row>
    <row r="896">
      <c r="A896" s="9"/>
      <c r="B896" s="15"/>
      <c r="C896" s="9">
        <f>IFERROR(__xludf.DUMMYFUNCTION("""COMPUTED_VALUE"""),45135.289730324)</f>
        <v>45135.28973</v>
      </c>
      <c r="D896" s="15">
        <f>IFERROR(__xludf.DUMMYFUNCTION("""COMPUTED_VALUE"""),1.003)</f>
        <v>1.003</v>
      </c>
      <c r="E896" s="16">
        <f>IFERROR(__xludf.DUMMYFUNCTION("""COMPUTED_VALUE"""),74.0)</f>
        <v>74</v>
      </c>
      <c r="F896" s="19" t="str">
        <f>IFERROR(__xludf.DUMMYFUNCTION("""COMPUTED_VALUE"""),"BLACK")</f>
        <v>BLACK</v>
      </c>
      <c r="G896" s="20" t="str">
        <f>IFERROR(__xludf.DUMMYFUNCTION("""COMPUTED_VALUE"""),"Uncle Sams Cider (04/04/2023)")</f>
        <v>Uncle Sams Cider (04/04/2023)</v>
      </c>
      <c r="H896" s="19"/>
    </row>
    <row r="897">
      <c r="A897" s="9"/>
      <c r="B897" s="15"/>
      <c r="C897" s="9">
        <f>IFERROR(__xludf.DUMMYFUNCTION("""COMPUTED_VALUE"""),45135.2793089814)</f>
        <v>45135.27931</v>
      </c>
      <c r="D897" s="15">
        <f>IFERROR(__xludf.DUMMYFUNCTION("""COMPUTED_VALUE"""),1.003)</f>
        <v>1.003</v>
      </c>
      <c r="E897" s="16">
        <f>IFERROR(__xludf.DUMMYFUNCTION("""COMPUTED_VALUE"""),74.0)</f>
        <v>74</v>
      </c>
      <c r="F897" s="19" t="str">
        <f>IFERROR(__xludf.DUMMYFUNCTION("""COMPUTED_VALUE"""),"BLACK")</f>
        <v>BLACK</v>
      </c>
      <c r="G897" s="20" t="str">
        <f>IFERROR(__xludf.DUMMYFUNCTION("""COMPUTED_VALUE"""),"Uncle Sams Cider (04/04/2023)")</f>
        <v>Uncle Sams Cider (04/04/2023)</v>
      </c>
      <c r="H897" s="19"/>
    </row>
    <row r="898">
      <c r="A898" s="9"/>
      <c r="B898" s="15"/>
      <c r="C898" s="9">
        <f>IFERROR(__xludf.DUMMYFUNCTION("""COMPUTED_VALUE"""),45135.2688759027)</f>
        <v>45135.26888</v>
      </c>
      <c r="D898" s="15">
        <f>IFERROR(__xludf.DUMMYFUNCTION("""COMPUTED_VALUE"""),1.003)</f>
        <v>1.003</v>
      </c>
      <c r="E898" s="16">
        <f>IFERROR(__xludf.DUMMYFUNCTION("""COMPUTED_VALUE"""),74.0)</f>
        <v>74</v>
      </c>
      <c r="F898" s="19" t="str">
        <f>IFERROR(__xludf.DUMMYFUNCTION("""COMPUTED_VALUE"""),"BLACK")</f>
        <v>BLACK</v>
      </c>
      <c r="G898" s="20" t="str">
        <f>IFERROR(__xludf.DUMMYFUNCTION("""COMPUTED_VALUE"""),"Uncle Sams Cider (04/04/2023)")</f>
        <v>Uncle Sams Cider (04/04/2023)</v>
      </c>
      <c r="H898" s="19"/>
    </row>
    <row r="899">
      <c r="A899" s="9"/>
      <c r="B899" s="15"/>
      <c r="C899" s="9">
        <f>IFERROR(__xludf.DUMMYFUNCTION("""COMPUTED_VALUE"""),45135.2584545601)</f>
        <v>45135.25845</v>
      </c>
      <c r="D899" s="15">
        <f>IFERROR(__xludf.DUMMYFUNCTION("""COMPUTED_VALUE"""),1.003)</f>
        <v>1.003</v>
      </c>
      <c r="E899" s="16">
        <f>IFERROR(__xludf.DUMMYFUNCTION("""COMPUTED_VALUE"""),74.0)</f>
        <v>74</v>
      </c>
      <c r="F899" s="19" t="str">
        <f>IFERROR(__xludf.DUMMYFUNCTION("""COMPUTED_VALUE"""),"BLACK")</f>
        <v>BLACK</v>
      </c>
      <c r="G899" s="20" t="str">
        <f>IFERROR(__xludf.DUMMYFUNCTION("""COMPUTED_VALUE"""),"Uncle Sams Cider (04/04/2023)")</f>
        <v>Uncle Sams Cider (04/04/2023)</v>
      </c>
      <c r="H899" s="19"/>
    </row>
    <row r="900">
      <c r="A900" s="9"/>
      <c r="B900" s="15"/>
      <c r="C900" s="9">
        <f>IFERROR(__xludf.DUMMYFUNCTION("""COMPUTED_VALUE"""),45135.2480234143)</f>
        <v>45135.24802</v>
      </c>
      <c r="D900" s="15">
        <f>IFERROR(__xludf.DUMMYFUNCTION("""COMPUTED_VALUE"""),1.003)</f>
        <v>1.003</v>
      </c>
      <c r="E900" s="16">
        <f>IFERROR(__xludf.DUMMYFUNCTION("""COMPUTED_VALUE"""),74.0)</f>
        <v>74</v>
      </c>
      <c r="F900" s="19" t="str">
        <f>IFERROR(__xludf.DUMMYFUNCTION("""COMPUTED_VALUE"""),"BLACK")</f>
        <v>BLACK</v>
      </c>
      <c r="G900" s="20" t="str">
        <f>IFERROR(__xludf.DUMMYFUNCTION("""COMPUTED_VALUE"""),"Uncle Sams Cider (04/04/2023)")</f>
        <v>Uncle Sams Cider (04/04/2023)</v>
      </c>
      <c r="H900" s="19"/>
    </row>
    <row r="901">
      <c r="A901" s="9"/>
      <c r="B901" s="15"/>
      <c r="C901" s="9">
        <f>IFERROR(__xludf.DUMMYFUNCTION("""COMPUTED_VALUE"""),45135.2376020023)</f>
        <v>45135.2376</v>
      </c>
      <c r="D901" s="15">
        <f>IFERROR(__xludf.DUMMYFUNCTION("""COMPUTED_VALUE"""),1.003)</f>
        <v>1.003</v>
      </c>
      <c r="E901" s="16">
        <f>IFERROR(__xludf.DUMMYFUNCTION("""COMPUTED_VALUE"""),74.0)</f>
        <v>74</v>
      </c>
      <c r="F901" s="19" t="str">
        <f>IFERROR(__xludf.DUMMYFUNCTION("""COMPUTED_VALUE"""),"BLACK")</f>
        <v>BLACK</v>
      </c>
      <c r="G901" s="20" t="str">
        <f>IFERROR(__xludf.DUMMYFUNCTION("""COMPUTED_VALUE"""),"Uncle Sams Cider (04/04/2023)")</f>
        <v>Uncle Sams Cider (04/04/2023)</v>
      </c>
      <c r="H901" s="19"/>
    </row>
    <row r="902">
      <c r="A902" s="9"/>
      <c r="B902" s="15"/>
      <c r="C902" s="9">
        <f>IFERROR(__xludf.DUMMYFUNCTION("""COMPUTED_VALUE"""),45135.22718125)</f>
        <v>45135.22718</v>
      </c>
      <c r="D902" s="15">
        <f>IFERROR(__xludf.DUMMYFUNCTION("""COMPUTED_VALUE"""),1.003)</f>
        <v>1.003</v>
      </c>
      <c r="E902" s="16">
        <f>IFERROR(__xludf.DUMMYFUNCTION("""COMPUTED_VALUE"""),74.0)</f>
        <v>74</v>
      </c>
      <c r="F902" s="19" t="str">
        <f>IFERROR(__xludf.DUMMYFUNCTION("""COMPUTED_VALUE"""),"BLACK")</f>
        <v>BLACK</v>
      </c>
      <c r="G902" s="20" t="str">
        <f>IFERROR(__xludf.DUMMYFUNCTION("""COMPUTED_VALUE"""),"Uncle Sams Cider (04/04/2023)")</f>
        <v>Uncle Sams Cider (04/04/2023)</v>
      </c>
      <c r="H902" s="19"/>
    </row>
    <row r="903">
      <c r="A903" s="9"/>
      <c r="B903" s="15"/>
      <c r="C903" s="9">
        <f>IFERROR(__xludf.DUMMYFUNCTION("""COMPUTED_VALUE"""),45135.2167595833)</f>
        <v>45135.21676</v>
      </c>
      <c r="D903" s="15">
        <f>IFERROR(__xludf.DUMMYFUNCTION("""COMPUTED_VALUE"""),1.003)</f>
        <v>1.003</v>
      </c>
      <c r="E903" s="16">
        <f>IFERROR(__xludf.DUMMYFUNCTION("""COMPUTED_VALUE"""),74.0)</f>
        <v>74</v>
      </c>
      <c r="F903" s="19" t="str">
        <f>IFERROR(__xludf.DUMMYFUNCTION("""COMPUTED_VALUE"""),"BLACK")</f>
        <v>BLACK</v>
      </c>
      <c r="G903" s="20" t="str">
        <f>IFERROR(__xludf.DUMMYFUNCTION("""COMPUTED_VALUE"""),"Uncle Sams Cider (04/04/2023)")</f>
        <v>Uncle Sams Cider (04/04/2023)</v>
      </c>
      <c r="H903" s="19"/>
    </row>
    <row r="904">
      <c r="A904" s="9"/>
      <c r="B904" s="15"/>
      <c r="C904" s="9">
        <f>IFERROR(__xludf.DUMMYFUNCTION("""COMPUTED_VALUE"""),45135.2063366782)</f>
        <v>45135.20634</v>
      </c>
      <c r="D904" s="15">
        <f>IFERROR(__xludf.DUMMYFUNCTION("""COMPUTED_VALUE"""),1.003)</f>
        <v>1.003</v>
      </c>
      <c r="E904" s="16">
        <f>IFERROR(__xludf.DUMMYFUNCTION("""COMPUTED_VALUE"""),74.0)</f>
        <v>74</v>
      </c>
      <c r="F904" s="19" t="str">
        <f>IFERROR(__xludf.DUMMYFUNCTION("""COMPUTED_VALUE"""),"BLACK")</f>
        <v>BLACK</v>
      </c>
      <c r="G904" s="20" t="str">
        <f>IFERROR(__xludf.DUMMYFUNCTION("""COMPUTED_VALUE"""),"Uncle Sams Cider (04/04/2023)")</f>
        <v>Uncle Sams Cider (04/04/2023)</v>
      </c>
      <c r="H904" s="19"/>
    </row>
    <row r="905">
      <c r="A905" s="9"/>
      <c r="B905" s="15"/>
      <c r="C905" s="9">
        <f>IFERROR(__xludf.DUMMYFUNCTION("""COMPUTED_VALUE"""),45135.1959159953)</f>
        <v>45135.19592</v>
      </c>
      <c r="D905" s="15">
        <f>IFERROR(__xludf.DUMMYFUNCTION("""COMPUTED_VALUE"""),1.003)</f>
        <v>1.003</v>
      </c>
      <c r="E905" s="16">
        <f>IFERROR(__xludf.DUMMYFUNCTION("""COMPUTED_VALUE"""),74.0)</f>
        <v>74</v>
      </c>
      <c r="F905" s="19" t="str">
        <f>IFERROR(__xludf.DUMMYFUNCTION("""COMPUTED_VALUE"""),"BLACK")</f>
        <v>BLACK</v>
      </c>
      <c r="G905" s="20" t="str">
        <f>IFERROR(__xludf.DUMMYFUNCTION("""COMPUTED_VALUE"""),"Uncle Sams Cider (04/04/2023)")</f>
        <v>Uncle Sams Cider (04/04/2023)</v>
      </c>
      <c r="H905" s="19"/>
    </row>
    <row r="906">
      <c r="A906" s="9"/>
      <c r="B906" s="15"/>
      <c r="C906" s="9">
        <f>IFERROR(__xludf.DUMMYFUNCTION("""COMPUTED_VALUE"""),45135.1854961805)</f>
        <v>45135.1855</v>
      </c>
      <c r="D906" s="15">
        <f>IFERROR(__xludf.DUMMYFUNCTION("""COMPUTED_VALUE"""),1.003)</f>
        <v>1.003</v>
      </c>
      <c r="E906" s="16">
        <f>IFERROR(__xludf.DUMMYFUNCTION("""COMPUTED_VALUE"""),74.0)</f>
        <v>74</v>
      </c>
      <c r="F906" s="19" t="str">
        <f>IFERROR(__xludf.DUMMYFUNCTION("""COMPUTED_VALUE"""),"BLACK")</f>
        <v>BLACK</v>
      </c>
      <c r="G906" s="20" t="str">
        <f>IFERROR(__xludf.DUMMYFUNCTION("""COMPUTED_VALUE"""),"Uncle Sams Cider (04/04/2023)")</f>
        <v>Uncle Sams Cider (04/04/2023)</v>
      </c>
      <c r="H906" s="19"/>
    </row>
    <row r="907">
      <c r="A907" s="9"/>
      <c r="B907" s="15"/>
      <c r="C907" s="9">
        <f>IFERROR(__xludf.DUMMYFUNCTION("""COMPUTED_VALUE"""),45135.1750740162)</f>
        <v>45135.17507</v>
      </c>
      <c r="D907" s="15">
        <f>IFERROR(__xludf.DUMMYFUNCTION("""COMPUTED_VALUE"""),1.003)</f>
        <v>1.003</v>
      </c>
      <c r="E907" s="16">
        <f>IFERROR(__xludf.DUMMYFUNCTION("""COMPUTED_VALUE"""),74.0)</f>
        <v>74</v>
      </c>
      <c r="F907" s="19" t="str">
        <f>IFERROR(__xludf.DUMMYFUNCTION("""COMPUTED_VALUE"""),"BLACK")</f>
        <v>BLACK</v>
      </c>
      <c r="G907" s="20" t="str">
        <f>IFERROR(__xludf.DUMMYFUNCTION("""COMPUTED_VALUE"""),"Uncle Sams Cider (04/04/2023)")</f>
        <v>Uncle Sams Cider (04/04/2023)</v>
      </c>
      <c r="H907" s="19"/>
    </row>
    <row r="908">
      <c r="A908" s="9"/>
      <c r="B908" s="15"/>
      <c r="C908" s="9">
        <f>IFERROR(__xludf.DUMMYFUNCTION("""COMPUTED_VALUE"""),45135.1646526157)</f>
        <v>45135.16465</v>
      </c>
      <c r="D908" s="15">
        <f>IFERROR(__xludf.DUMMYFUNCTION("""COMPUTED_VALUE"""),1.003)</f>
        <v>1.003</v>
      </c>
      <c r="E908" s="16">
        <f>IFERROR(__xludf.DUMMYFUNCTION("""COMPUTED_VALUE"""),74.0)</f>
        <v>74</v>
      </c>
      <c r="F908" s="19" t="str">
        <f>IFERROR(__xludf.DUMMYFUNCTION("""COMPUTED_VALUE"""),"BLACK")</f>
        <v>BLACK</v>
      </c>
      <c r="G908" s="20" t="str">
        <f>IFERROR(__xludf.DUMMYFUNCTION("""COMPUTED_VALUE"""),"Uncle Sams Cider (04/04/2023)")</f>
        <v>Uncle Sams Cider (04/04/2023)</v>
      </c>
      <c r="H908" s="19"/>
    </row>
    <row r="909">
      <c r="A909" s="9"/>
      <c r="B909" s="15"/>
      <c r="C909" s="9">
        <f>IFERROR(__xludf.DUMMYFUNCTION("""COMPUTED_VALUE"""),45135.1542311921)</f>
        <v>45135.15423</v>
      </c>
      <c r="D909" s="15">
        <f>IFERROR(__xludf.DUMMYFUNCTION("""COMPUTED_VALUE"""),1.003)</f>
        <v>1.003</v>
      </c>
      <c r="E909" s="16">
        <f>IFERROR(__xludf.DUMMYFUNCTION("""COMPUTED_VALUE"""),74.0)</f>
        <v>74</v>
      </c>
      <c r="F909" s="19" t="str">
        <f>IFERROR(__xludf.DUMMYFUNCTION("""COMPUTED_VALUE"""),"BLACK")</f>
        <v>BLACK</v>
      </c>
      <c r="G909" s="20" t="str">
        <f>IFERROR(__xludf.DUMMYFUNCTION("""COMPUTED_VALUE"""),"Uncle Sams Cider (04/04/2023)")</f>
        <v>Uncle Sams Cider (04/04/2023)</v>
      </c>
      <c r="H909" s="19"/>
    </row>
    <row r="910">
      <c r="A910" s="9"/>
      <c r="B910" s="15"/>
      <c r="C910" s="9">
        <f>IFERROR(__xludf.DUMMYFUNCTION("""COMPUTED_VALUE"""),45135.1438102314)</f>
        <v>45135.14381</v>
      </c>
      <c r="D910" s="15">
        <f>IFERROR(__xludf.DUMMYFUNCTION("""COMPUTED_VALUE"""),1.003)</f>
        <v>1.003</v>
      </c>
      <c r="E910" s="16">
        <f>IFERROR(__xludf.DUMMYFUNCTION("""COMPUTED_VALUE"""),74.0)</f>
        <v>74</v>
      </c>
      <c r="F910" s="19" t="str">
        <f>IFERROR(__xludf.DUMMYFUNCTION("""COMPUTED_VALUE"""),"BLACK")</f>
        <v>BLACK</v>
      </c>
      <c r="G910" s="20" t="str">
        <f>IFERROR(__xludf.DUMMYFUNCTION("""COMPUTED_VALUE"""),"Uncle Sams Cider (04/04/2023)")</f>
        <v>Uncle Sams Cider (04/04/2023)</v>
      </c>
      <c r="H910" s="19"/>
    </row>
    <row r="911">
      <c r="A911" s="9"/>
      <c r="B911" s="15"/>
      <c r="C911" s="9">
        <f>IFERROR(__xludf.DUMMYFUNCTION("""COMPUTED_VALUE"""),45135.13338853)</f>
        <v>45135.13339</v>
      </c>
      <c r="D911" s="15">
        <f>IFERROR(__xludf.DUMMYFUNCTION("""COMPUTED_VALUE"""),1.003)</f>
        <v>1.003</v>
      </c>
      <c r="E911" s="16">
        <f>IFERROR(__xludf.DUMMYFUNCTION("""COMPUTED_VALUE"""),74.0)</f>
        <v>74</v>
      </c>
      <c r="F911" s="19" t="str">
        <f>IFERROR(__xludf.DUMMYFUNCTION("""COMPUTED_VALUE"""),"BLACK")</f>
        <v>BLACK</v>
      </c>
      <c r="G911" s="20" t="str">
        <f>IFERROR(__xludf.DUMMYFUNCTION("""COMPUTED_VALUE"""),"Uncle Sams Cider (04/04/2023)")</f>
        <v>Uncle Sams Cider (04/04/2023)</v>
      </c>
      <c r="H911" s="19"/>
    </row>
    <row r="912">
      <c r="A912" s="9"/>
      <c r="B912" s="15"/>
      <c r="C912" s="9">
        <f>IFERROR(__xludf.DUMMYFUNCTION("""COMPUTED_VALUE"""),45135.1229672106)</f>
        <v>45135.12297</v>
      </c>
      <c r="D912" s="15">
        <f>IFERROR(__xludf.DUMMYFUNCTION("""COMPUTED_VALUE"""),1.003)</f>
        <v>1.003</v>
      </c>
      <c r="E912" s="16">
        <f>IFERROR(__xludf.DUMMYFUNCTION("""COMPUTED_VALUE"""),74.0)</f>
        <v>74</v>
      </c>
      <c r="F912" s="19" t="str">
        <f>IFERROR(__xludf.DUMMYFUNCTION("""COMPUTED_VALUE"""),"BLACK")</f>
        <v>BLACK</v>
      </c>
      <c r="G912" s="20" t="str">
        <f>IFERROR(__xludf.DUMMYFUNCTION("""COMPUTED_VALUE"""),"Uncle Sams Cider (04/04/2023)")</f>
        <v>Uncle Sams Cider (04/04/2023)</v>
      </c>
      <c r="H912" s="19"/>
    </row>
    <row r="913">
      <c r="A913" s="9"/>
      <c r="B913" s="15"/>
      <c r="C913" s="9">
        <f>IFERROR(__xludf.DUMMYFUNCTION("""COMPUTED_VALUE"""),45135.11254625)</f>
        <v>45135.11255</v>
      </c>
      <c r="D913" s="15">
        <f>IFERROR(__xludf.DUMMYFUNCTION("""COMPUTED_VALUE"""),1.003)</f>
        <v>1.003</v>
      </c>
      <c r="E913" s="16">
        <f>IFERROR(__xludf.DUMMYFUNCTION("""COMPUTED_VALUE"""),74.0)</f>
        <v>74</v>
      </c>
      <c r="F913" s="19" t="str">
        <f>IFERROR(__xludf.DUMMYFUNCTION("""COMPUTED_VALUE"""),"BLACK")</f>
        <v>BLACK</v>
      </c>
      <c r="G913" s="20" t="str">
        <f>IFERROR(__xludf.DUMMYFUNCTION("""COMPUTED_VALUE"""),"Uncle Sams Cider (04/04/2023)")</f>
        <v>Uncle Sams Cider (04/04/2023)</v>
      </c>
      <c r="H913" s="19"/>
    </row>
    <row r="914">
      <c r="A914" s="9"/>
      <c r="B914" s="15"/>
      <c r="C914" s="9">
        <f>IFERROR(__xludf.DUMMYFUNCTION("""COMPUTED_VALUE"""),45135.1021135879)</f>
        <v>45135.10211</v>
      </c>
      <c r="D914" s="15">
        <f>IFERROR(__xludf.DUMMYFUNCTION("""COMPUTED_VALUE"""),1.003)</f>
        <v>1.003</v>
      </c>
      <c r="E914" s="16">
        <f>IFERROR(__xludf.DUMMYFUNCTION("""COMPUTED_VALUE"""),74.0)</f>
        <v>74</v>
      </c>
      <c r="F914" s="19" t="str">
        <f>IFERROR(__xludf.DUMMYFUNCTION("""COMPUTED_VALUE"""),"BLACK")</f>
        <v>BLACK</v>
      </c>
      <c r="G914" s="20" t="str">
        <f>IFERROR(__xludf.DUMMYFUNCTION("""COMPUTED_VALUE"""),"Uncle Sams Cider (04/04/2023)")</f>
        <v>Uncle Sams Cider (04/04/2023)</v>
      </c>
      <c r="H914" s="19"/>
    </row>
    <row r="915">
      <c r="A915" s="9"/>
      <c r="B915" s="15"/>
      <c r="C915" s="9">
        <f>IFERROR(__xludf.DUMMYFUNCTION("""COMPUTED_VALUE"""),45135.0916930555)</f>
        <v>45135.09169</v>
      </c>
      <c r="D915" s="15">
        <f>IFERROR(__xludf.DUMMYFUNCTION("""COMPUTED_VALUE"""),1.003)</f>
        <v>1.003</v>
      </c>
      <c r="E915" s="16">
        <f>IFERROR(__xludf.DUMMYFUNCTION("""COMPUTED_VALUE"""),74.0)</f>
        <v>74</v>
      </c>
      <c r="F915" s="19" t="str">
        <f>IFERROR(__xludf.DUMMYFUNCTION("""COMPUTED_VALUE"""),"BLACK")</f>
        <v>BLACK</v>
      </c>
      <c r="G915" s="20" t="str">
        <f>IFERROR(__xludf.DUMMYFUNCTION("""COMPUTED_VALUE"""),"Uncle Sams Cider (04/04/2023)")</f>
        <v>Uncle Sams Cider (04/04/2023)</v>
      </c>
      <c r="H915" s="19"/>
    </row>
    <row r="916">
      <c r="A916" s="9"/>
      <c r="B916" s="15"/>
      <c r="C916" s="9">
        <f>IFERROR(__xludf.DUMMYFUNCTION("""COMPUTED_VALUE"""),45135.0812719907)</f>
        <v>45135.08127</v>
      </c>
      <c r="D916" s="15">
        <f>IFERROR(__xludf.DUMMYFUNCTION("""COMPUTED_VALUE"""),1.003)</f>
        <v>1.003</v>
      </c>
      <c r="E916" s="16">
        <f>IFERROR(__xludf.DUMMYFUNCTION("""COMPUTED_VALUE"""),74.0)</f>
        <v>74</v>
      </c>
      <c r="F916" s="19" t="str">
        <f>IFERROR(__xludf.DUMMYFUNCTION("""COMPUTED_VALUE"""),"BLACK")</f>
        <v>BLACK</v>
      </c>
      <c r="G916" s="20" t="str">
        <f>IFERROR(__xludf.DUMMYFUNCTION("""COMPUTED_VALUE"""),"Uncle Sams Cider (04/04/2023)")</f>
        <v>Uncle Sams Cider (04/04/2023)</v>
      </c>
      <c r="H916" s="19"/>
    </row>
    <row r="917">
      <c r="A917" s="9"/>
      <c r="B917" s="15"/>
      <c r="C917" s="9">
        <f>IFERROR(__xludf.DUMMYFUNCTION("""COMPUTED_VALUE"""),45135.0708406481)</f>
        <v>45135.07084</v>
      </c>
      <c r="D917" s="15">
        <f>IFERROR(__xludf.DUMMYFUNCTION("""COMPUTED_VALUE"""),1.003)</f>
        <v>1.003</v>
      </c>
      <c r="E917" s="16">
        <f>IFERROR(__xludf.DUMMYFUNCTION("""COMPUTED_VALUE"""),74.0)</f>
        <v>74</v>
      </c>
      <c r="F917" s="19" t="str">
        <f>IFERROR(__xludf.DUMMYFUNCTION("""COMPUTED_VALUE"""),"BLACK")</f>
        <v>BLACK</v>
      </c>
      <c r="G917" s="20" t="str">
        <f>IFERROR(__xludf.DUMMYFUNCTION("""COMPUTED_VALUE"""),"Uncle Sams Cider (04/04/2023)")</f>
        <v>Uncle Sams Cider (04/04/2023)</v>
      </c>
      <c r="H917" s="19"/>
    </row>
    <row r="918">
      <c r="A918" s="9"/>
      <c r="B918" s="15"/>
      <c r="C918" s="9">
        <f>IFERROR(__xludf.DUMMYFUNCTION("""COMPUTED_VALUE"""),45135.0604190856)</f>
        <v>45135.06042</v>
      </c>
      <c r="D918" s="15">
        <f>IFERROR(__xludf.DUMMYFUNCTION("""COMPUTED_VALUE"""),1.003)</f>
        <v>1.003</v>
      </c>
      <c r="E918" s="16">
        <f>IFERROR(__xludf.DUMMYFUNCTION("""COMPUTED_VALUE"""),74.0)</f>
        <v>74</v>
      </c>
      <c r="F918" s="19" t="str">
        <f>IFERROR(__xludf.DUMMYFUNCTION("""COMPUTED_VALUE"""),"BLACK")</f>
        <v>BLACK</v>
      </c>
      <c r="G918" s="20" t="str">
        <f>IFERROR(__xludf.DUMMYFUNCTION("""COMPUTED_VALUE"""),"Uncle Sams Cider (04/04/2023)")</f>
        <v>Uncle Sams Cider (04/04/2023)</v>
      </c>
      <c r="H918" s="19"/>
    </row>
    <row r="919">
      <c r="A919" s="9"/>
      <c r="B919" s="15"/>
      <c r="C919" s="9">
        <f>IFERROR(__xludf.DUMMYFUNCTION("""COMPUTED_VALUE"""),45135.0499986689)</f>
        <v>45135.05</v>
      </c>
      <c r="D919" s="15">
        <f>IFERROR(__xludf.DUMMYFUNCTION("""COMPUTED_VALUE"""),1.003)</f>
        <v>1.003</v>
      </c>
      <c r="E919" s="16">
        <f>IFERROR(__xludf.DUMMYFUNCTION("""COMPUTED_VALUE"""),74.0)</f>
        <v>74</v>
      </c>
      <c r="F919" s="19" t="str">
        <f>IFERROR(__xludf.DUMMYFUNCTION("""COMPUTED_VALUE"""),"BLACK")</f>
        <v>BLACK</v>
      </c>
      <c r="G919" s="20" t="str">
        <f>IFERROR(__xludf.DUMMYFUNCTION("""COMPUTED_VALUE"""),"Uncle Sams Cider (04/04/2023)")</f>
        <v>Uncle Sams Cider (04/04/2023)</v>
      </c>
      <c r="H919" s="19"/>
    </row>
    <row r="920">
      <c r="A920" s="9"/>
      <c r="B920" s="15"/>
      <c r="C920" s="9">
        <f>IFERROR(__xludf.DUMMYFUNCTION("""COMPUTED_VALUE"""),45135.0395651157)</f>
        <v>45135.03957</v>
      </c>
      <c r="D920" s="15">
        <f>IFERROR(__xludf.DUMMYFUNCTION("""COMPUTED_VALUE"""),1.003)</f>
        <v>1.003</v>
      </c>
      <c r="E920" s="16">
        <f>IFERROR(__xludf.DUMMYFUNCTION("""COMPUTED_VALUE"""),74.0)</f>
        <v>74</v>
      </c>
      <c r="F920" s="19" t="str">
        <f>IFERROR(__xludf.DUMMYFUNCTION("""COMPUTED_VALUE"""),"BLACK")</f>
        <v>BLACK</v>
      </c>
      <c r="G920" s="20" t="str">
        <f>IFERROR(__xludf.DUMMYFUNCTION("""COMPUTED_VALUE"""),"Uncle Sams Cider (04/04/2023)")</f>
        <v>Uncle Sams Cider (04/04/2023)</v>
      </c>
      <c r="H920" s="19"/>
    </row>
    <row r="921">
      <c r="A921" s="9"/>
      <c r="B921" s="15"/>
      <c r="C921" s="9">
        <f>IFERROR(__xludf.DUMMYFUNCTION("""COMPUTED_VALUE"""),45135.0291431018)</f>
        <v>45135.02914</v>
      </c>
      <c r="D921" s="15">
        <f>IFERROR(__xludf.DUMMYFUNCTION("""COMPUTED_VALUE"""),1.003)</f>
        <v>1.003</v>
      </c>
      <c r="E921" s="16">
        <f>IFERROR(__xludf.DUMMYFUNCTION("""COMPUTED_VALUE"""),74.0)</f>
        <v>74</v>
      </c>
      <c r="F921" s="19" t="str">
        <f>IFERROR(__xludf.DUMMYFUNCTION("""COMPUTED_VALUE"""),"BLACK")</f>
        <v>BLACK</v>
      </c>
      <c r="G921" s="20" t="str">
        <f>IFERROR(__xludf.DUMMYFUNCTION("""COMPUTED_VALUE"""),"Uncle Sams Cider (04/04/2023)")</f>
        <v>Uncle Sams Cider (04/04/2023)</v>
      </c>
      <c r="H921" s="19"/>
    </row>
    <row r="922">
      <c r="A922" s="9"/>
      <c r="B922" s="15"/>
      <c r="C922" s="9">
        <f>IFERROR(__xludf.DUMMYFUNCTION("""COMPUTED_VALUE"""),45135.0187214004)</f>
        <v>45135.01872</v>
      </c>
      <c r="D922" s="15">
        <f>IFERROR(__xludf.DUMMYFUNCTION("""COMPUTED_VALUE"""),1.003)</f>
        <v>1.003</v>
      </c>
      <c r="E922" s="16">
        <f>IFERROR(__xludf.DUMMYFUNCTION("""COMPUTED_VALUE"""),74.0)</f>
        <v>74</v>
      </c>
      <c r="F922" s="19" t="str">
        <f>IFERROR(__xludf.DUMMYFUNCTION("""COMPUTED_VALUE"""),"BLACK")</f>
        <v>BLACK</v>
      </c>
      <c r="G922" s="20" t="str">
        <f>IFERROR(__xludf.DUMMYFUNCTION("""COMPUTED_VALUE"""),"Uncle Sams Cider (04/04/2023)")</f>
        <v>Uncle Sams Cider (04/04/2023)</v>
      </c>
      <c r="H922" s="19"/>
    </row>
    <row r="923">
      <c r="A923" s="9"/>
      <c r="B923" s="15"/>
      <c r="C923" s="9">
        <f>IFERROR(__xludf.DUMMYFUNCTION("""COMPUTED_VALUE"""),45135.0083010879)</f>
        <v>45135.0083</v>
      </c>
      <c r="D923" s="15">
        <f>IFERROR(__xludf.DUMMYFUNCTION("""COMPUTED_VALUE"""),1.003)</f>
        <v>1.003</v>
      </c>
      <c r="E923" s="16">
        <f>IFERROR(__xludf.DUMMYFUNCTION("""COMPUTED_VALUE"""),74.0)</f>
        <v>74</v>
      </c>
      <c r="F923" s="19" t="str">
        <f>IFERROR(__xludf.DUMMYFUNCTION("""COMPUTED_VALUE"""),"BLACK")</f>
        <v>BLACK</v>
      </c>
      <c r="G923" s="20" t="str">
        <f>IFERROR(__xludf.DUMMYFUNCTION("""COMPUTED_VALUE"""),"Uncle Sams Cider (04/04/2023)")</f>
        <v>Uncle Sams Cider (04/04/2023)</v>
      </c>
      <c r="H923" s="19"/>
    </row>
    <row r="924">
      <c r="A924" s="9"/>
      <c r="B924" s="15"/>
      <c r="C924" s="9">
        <f>IFERROR(__xludf.DUMMYFUNCTION("""COMPUTED_VALUE"""),45134.9978801736)</f>
        <v>45134.99788</v>
      </c>
      <c r="D924" s="15">
        <f>IFERROR(__xludf.DUMMYFUNCTION("""COMPUTED_VALUE"""),1.003)</f>
        <v>1.003</v>
      </c>
      <c r="E924" s="16">
        <f>IFERROR(__xludf.DUMMYFUNCTION("""COMPUTED_VALUE"""),74.0)</f>
        <v>74</v>
      </c>
      <c r="F924" s="19" t="str">
        <f>IFERROR(__xludf.DUMMYFUNCTION("""COMPUTED_VALUE"""),"BLACK")</f>
        <v>BLACK</v>
      </c>
      <c r="G924" s="20" t="str">
        <f>IFERROR(__xludf.DUMMYFUNCTION("""COMPUTED_VALUE"""),"Uncle Sams Cider (04/04/2023)")</f>
        <v>Uncle Sams Cider (04/04/2023)</v>
      </c>
      <c r="H924" s="19"/>
    </row>
    <row r="925">
      <c r="A925" s="9"/>
      <c r="B925" s="15"/>
      <c r="C925" s="9">
        <f>IFERROR(__xludf.DUMMYFUNCTION("""COMPUTED_VALUE"""),45134.9874574537)</f>
        <v>45134.98746</v>
      </c>
      <c r="D925" s="15">
        <f>IFERROR(__xludf.DUMMYFUNCTION("""COMPUTED_VALUE"""),1.003)</f>
        <v>1.003</v>
      </c>
      <c r="E925" s="16">
        <f>IFERROR(__xludf.DUMMYFUNCTION("""COMPUTED_VALUE"""),74.0)</f>
        <v>74</v>
      </c>
      <c r="F925" s="19" t="str">
        <f>IFERROR(__xludf.DUMMYFUNCTION("""COMPUTED_VALUE"""),"BLACK")</f>
        <v>BLACK</v>
      </c>
      <c r="G925" s="20" t="str">
        <f>IFERROR(__xludf.DUMMYFUNCTION("""COMPUTED_VALUE"""),"Uncle Sams Cider (04/04/2023)")</f>
        <v>Uncle Sams Cider (04/04/2023)</v>
      </c>
      <c r="H925" s="19"/>
    </row>
    <row r="926">
      <c r="A926" s="9"/>
      <c r="B926" s="15"/>
      <c r="C926" s="9">
        <f>IFERROR(__xludf.DUMMYFUNCTION("""COMPUTED_VALUE"""),45134.9770238541)</f>
        <v>45134.97702</v>
      </c>
      <c r="D926" s="15">
        <f>IFERROR(__xludf.DUMMYFUNCTION("""COMPUTED_VALUE"""),1.003)</f>
        <v>1.003</v>
      </c>
      <c r="E926" s="16">
        <f>IFERROR(__xludf.DUMMYFUNCTION("""COMPUTED_VALUE"""),74.0)</f>
        <v>74</v>
      </c>
      <c r="F926" s="19" t="str">
        <f>IFERROR(__xludf.DUMMYFUNCTION("""COMPUTED_VALUE"""),"BLACK")</f>
        <v>BLACK</v>
      </c>
      <c r="G926" s="20" t="str">
        <f>IFERROR(__xludf.DUMMYFUNCTION("""COMPUTED_VALUE"""),"Uncle Sams Cider (04/04/2023)")</f>
        <v>Uncle Sams Cider (04/04/2023)</v>
      </c>
      <c r="H926" s="19"/>
    </row>
    <row r="927">
      <c r="A927" s="9"/>
      <c r="B927" s="15"/>
      <c r="C927" s="9">
        <f>IFERROR(__xludf.DUMMYFUNCTION("""COMPUTED_VALUE"""),45134.9666029282)</f>
        <v>45134.9666</v>
      </c>
      <c r="D927" s="15">
        <f>IFERROR(__xludf.DUMMYFUNCTION("""COMPUTED_VALUE"""),1.003)</f>
        <v>1.003</v>
      </c>
      <c r="E927" s="16">
        <f>IFERROR(__xludf.DUMMYFUNCTION("""COMPUTED_VALUE"""),74.0)</f>
        <v>74</v>
      </c>
      <c r="F927" s="19" t="str">
        <f>IFERROR(__xludf.DUMMYFUNCTION("""COMPUTED_VALUE"""),"BLACK")</f>
        <v>BLACK</v>
      </c>
      <c r="G927" s="20" t="str">
        <f>IFERROR(__xludf.DUMMYFUNCTION("""COMPUTED_VALUE"""),"Uncle Sams Cider (04/04/2023)")</f>
        <v>Uncle Sams Cider (04/04/2023)</v>
      </c>
      <c r="H927" s="19"/>
    </row>
    <row r="928">
      <c r="A928" s="9"/>
      <c r="B928" s="15"/>
      <c r="C928" s="9">
        <f>IFERROR(__xludf.DUMMYFUNCTION("""COMPUTED_VALUE"""),45134.9561809027)</f>
        <v>45134.95618</v>
      </c>
      <c r="D928" s="15">
        <f>IFERROR(__xludf.DUMMYFUNCTION("""COMPUTED_VALUE"""),1.003)</f>
        <v>1.003</v>
      </c>
      <c r="E928" s="16">
        <f>IFERROR(__xludf.DUMMYFUNCTION("""COMPUTED_VALUE"""),74.0)</f>
        <v>74</v>
      </c>
      <c r="F928" s="19" t="str">
        <f>IFERROR(__xludf.DUMMYFUNCTION("""COMPUTED_VALUE"""),"BLACK")</f>
        <v>BLACK</v>
      </c>
      <c r="G928" s="20" t="str">
        <f>IFERROR(__xludf.DUMMYFUNCTION("""COMPUTED_VALUE"""),"Uncle Sams Cider (04/04/2023)")</f>
        <v>Uncle Sams Cider (04/04/2023)</v>
      </c>
      <c r="H928" s="19"/>
    </row>
    <row r="929">
      <c r="A929" s="9"/>
      <c r="B929" s="15"/>
      <c r="C929" s="9">
        <f>IFERROR(__xludf.DUMMYFUNCTION("""COMPUTED_VALUE"""),45134.9457488773)</f>
        <v>45134.94575</v>
      </c>
      <c r="D929" s="15">
        <f>IFERROR(__xludf.DUMMYFUNCTION("""COMPUTED_VALUE"""),1.003)</f>
        <v>1.003</v>
      </c>
      <c r="E929" s="16">
        <f>IFERROR(__xludf.DUMMYFUNCTION("""COMPUTED_VALUE"""),74.0)</f>
        <v>74</v>
      </c>
      <c r="F929" s="19" t="str">
        <f>IFERROR(__xludf.DUMMYFUNCTION("""COMPUTED_VALUE"""),"BLACK")</f>
        <v>BLACK</v>
      </c>
      <c r="G929" s="20" t="str">
        <f>IFERROR(__xludf.DUMMYFUNCTION("""COMPUTED_VALUE"""),"Uncle Sams Cider (04/04/2023)")</f>
        <v>Uncle Sams Cider (04/04/2023)</v>
      </c>
      <c r="H929" s="19"/>
    </row>
    <row r="930">
      <c r="A930" s="9"/>
      <c r="B930" s="15"/>
      <c r="C930" s="9">
        <f>IFERROR(__xludf.DUMMYFUNCTION("""COMPUTED_VALUE"""),45134.9353273726)</f>
        <v>45134.93533</v>
      </c>
      <c r="D930" s="15">
        <f>IFERROR(__xludf.DUMMYFUNCTION("""COMPUTED_VALUE"""),1.003)</f>
        <v>1.003</v>
      </c>
      <c r="E930" s="16">
        <f>IFERROR(__xludf.DUMMYFUNCTION("""COMPUTED_VALUE"""),74.0)</f>
        <v>74</v>
      </c>
      <c r="F930" s="19" t="str">
        <f>IFERROR(__xludf.DUMMYFUNCTION("""COMPUTED_VALUE"""),"BLACK")</f>
        <v>BLACK</v>
      </c>
      <c r="G930" s="20" t="str">
        <f>IFERROR(__xludf.DUMMYFUNCTION("""COMPUTED_VALUE"""),"Uncle Sams Cider (04/04/2023)")</f>
        <v>Uncle Sams Cider (04/04/2023)</v>
      </c>
      <c r="H930" s="19"/>
    </row>
    <row r="931">
      <c r="A931" s="9"/>
      <c r="B931" s="15"/>
      <c r="C931" s="9">
        <f>IFERROR(__xludf.DUMMYFUNCTION("""COMPUTED_VALUE"""),45134.9249056365)</f>
        <v>45134.92491</v>
      </c>
      <c r="D931" s="15">
        <f>IFERROR(__xludf.DUMMYFUNCTION("""COMPUTED_VALUE"""),1.003)</f>
        <v>1.003</v>
      </c>
      <c r="E931" s="16">
        <f>IFERROR(__xludf.DUMMYFUNCTION("""COMPUTED_VALUE"""),74.0)</f>
        <v>74</v>
      </c>
      <c r="F931" s="19" t="str">
        <f>IFERROR(__xludf.DUMMYFUNCTION("""COMPUTED_VALUE"""),"BLACK")</f>
        <v>BLACK</v>
      </c>
      <c r="G931" s="20" t="str">
        <f>IFERROR(__xludf.DUMMYFUNCTION("""COMPUTED_VALUE"""),"Uncle Sams Cider (04/04/2023)")</f>
        <v>Uncle Sams Cider (04/04/2023)</v>
      </c>
      <c r="H931" s="19"/>
    </row>
    <row r="932">
      <c r="A932" s="9"/>
      <c r="B932" s="15"/>
      <c r="C932" s="9">
        <f>IFERROR(__xludf.DUMMYFUNCTION("""COMPUTED_VALUE"""),45134.9144855439)</f>
        <v>45134.91449</v>
      </c>
      <c r="D932" s="15">
        <f>IFERROR(__xludf.DUMMYFUNCTION("""COMPUTED_VALUE"""),1.003)</f>
        <v>1.003</v>
      </c>
      <c r="E932" s="16">
        <f>IFERROR(__xludf.DUMMYFUNCTION("""COMPUTED_VALUE"""),74.0)</f>
        <v>74</v>
      </c>
      <c r="F932" s="19" t="str">
        <f>IFERROR(__xludf.DUMMYFUNCTION("""COMPUTED_VALUE"""),"BLACK")</f>
        <v>BLACK</v>
      </c>
      <c r="G932" s="20" t="str">
        <f>IFERROR(__xludf.DUMMYFUNCTION("""COMPUTED_VALUE"""),"Uncle Sams Cider (04/04/2023)")</f>
        <v>Uncle Sams Cider (04/04/2023)</v>
      </c>
      <c r="H932" s="19"/>
    </row>
    <row r="933">
      <c r="A933" s="9"/>
      <c r="B933" s="15"/>
      <c r="C933" s="9">
        <f>IFERROR(__xludf.DUMMYFUNCTION("""COMPUTED_VALUE"""),45134.9040653703)</f>
        <v>45134.90407</v>
      </c>
      <c r="D933" s="15">
        <f>IFERROR(__xludf.DUMMYFUNCTION("""COMPUTED_VALUE"""),1.003)</f>
        <v>1.003</v>
      </c>
      <c r="E933" s="16">
        <f>IFERROR(__xludf.DUMMYFUNCTION("""COMPUTED_VALUE"""),74.0)</f>
        <v>74</v>
      </c>
      <c r="F933" s="19" t="str">
        <f>IFERROR(__xludf.DUMMYFUNCTION("""COMPUTED_VALUE"""),"BLACK")</f>
        <v>BLACK</v>
      </c>
      <c r="G933" s="20" t="str">
        <f>IFERROR(__xludf.DUMMYFUNCTION("""COMPUTED_VALUE"""),"Uncle Sams Cider (04/04/2023)")</f>
        <v>Uncle Sams Cider (04/04/2023)</v>
      </c>
      <c r="H933" s="19"/>
    </row>
    <row r="934">
      <c r="A934" s="9"/>
      <c r="B934" s="15"/>
      <c r="C934" s="9">
        <f>IFERROR(__xludf.DUMMYFUNCTION("""COMPUTED_VALUE"""),45134.8936442013)</f>
        <v>45134.89364</v>
      </c>
      <c r="D934" s="15">
        <f>IFERROR(__xludf.DUMMYFUNCTION("""COMPUTED_VALUE"""),1.003)</f>
        <v>1.003</v>
      </c>
      <c r="E934" s="16">
        <f>IFERROR(__xludf.DUMMYFUNCTION("""COMPUTED_VALUE"""),74.0)</f>
        <v>74</v>
      </c>
      <c r="F934" s="19" t="str">
        <f>IFERROR(__xludf.DUMMYFUNCTION("""COMPUTED_VALUE"""),"BLACK")</f>
        <v>BLACK</v>
      </c>
      <c r="G934" s="20" t="str">
        <f>IFERROR(__xludf.DUMMYFUNCTION("""COMPUTED_VALUE"""),"Uncle Sams Cider (04/04/2023)")</f>
        <v>Uncle Sams Cider (04/04/2023)</v>
      </c>
      <c r="H934" s="19"/>
    </row>
    <row r="935">
      <c r="A935" s="9"/>
      <c r="B935" s="15"/>
      <c r="C935" s="9">
        <f>IFERROR(__xludf.DUMMYFUNCTION("""COMPUTED_VALUE"""),45134.8917709259)</f>
        <v>45134.89177</v>
      </c>
      <c r="D935" s="15">
        <f>IFERROR(__xludf.DUMMYFUNCTION("""COMPUTED_VALUE"""),1.003)</f>
        <v>1.003</v>
      </c>
      <c r="E935" s="16">
        <f>IFERROR(__xludf.DUMMYFUNCTION("""COMPUTED_VALUE"""),74.0)</f>
        <v>74</v>
      </c>
      <c r="F935" s="19" t="str">
        <f>IFERROR(__xludf.DUMMYFUNCTION("""COMPUTED_VALUE"""),"BLACK")</f>
        <v>BLACK</v>
      </c>
      <c r="G935" s="20" t="str">
        <f>IFERROR(__xludf.DUMMYFUNCTION("""COMPUTED_VALUE"""),"Uncle Sams Cider (04/04/2023)")</f>
        <v>Uncle Sams Cider (04/04/2023)</v>
      </c>
      <c r="H935" s="19"/>
    </row>
    <row r="936">
      <c r="A936" s="9"/>
      <c r="B936" s="15"/>
      <c r="C936" s="9">
        <f>IFERROR(__xludf.DUMMYFUNCTION("""COMPUTED_VALUE"""),45134.8813493402)</f>
        <v>45134.88135</v>
      </c>
      <c r="D936" s="15">
        <f>IFERROR(__xludf.DUMMYFUNCTION("""COMPUTED_VALUE"""),1.003)</f>
        <v>1.003</v>
      </c>
      <c r="E936" s="16">
        <f>IFERROR(__xludf.DUMMYFUNCTION("""COMPUTED_VALUE"""),74.0)</f>
        <v>74</v>
      </c>
      <c r="F936" s="19" t="str">
        <f>IFERROR(__xludf.DUMMYFUNCTION("""COMPUTED_VALUE"""),"BLACK")</f>
        <v>BLACK</v>
      </c>
      <c r="G936" s="20" t="str">
        <f>IFERROR(__xludf.DUMMYFUNCTION("""COMPUTED_VALUE"""),"Uncle Sams Cider (04/04/2023)")</f>
        <v>Uncle Sams Cider (04/04/2023)</v>
      </c>
      <c r="H936" s="19"/>
    </row>
    <row r="937">
      <c r="A937" s="9"/>
      <c r="B937" s="15"/>
      <c r="C937" s="9">
        <f>IFERROR(__xludf.DUMMYFUNCTION("""COMPUTED_VALUE"""),45134.8709148032)</f>
        <v>45134.87091</v>
      </c>
      <c r="D937" s="15">
        <f>IFERROR(__xludf.DUMMYFUNCTION("""COMPUTED_VALUE"""),1.003)</f>
        <v>1.003</v>
      </c>
      <c r="E937" s="16">
        <f>IFERROR(__xludf.DUMMYFUNCTION("""COMPUTED_VALUE"""),74.0)</f>
        <v>74</v>
      </c>
      <c r="F937" s="19" t="str">
        <f>IFERROR(__xludf.DUMMYFUNCTION("""COMPUTED_VALUE"""),"BLACK")</f>
        <v>BLACK</v>
      </c>
      <c r="G937" s="20" t="str">
        <f>IFERROR(__xludf.DUMMYFUNCTION("""COMPUTED_VALUE"""),"Uncle Sams Cider (04/04/2023)")</f>
        <v>Uncle Sams Cider (04/04/2023)</v>
      </c>
      <c r="H937" s="19"/>
    </row>
    <row r="938">
      <c r="A938" s="9"/>
      <c r="B938" s="15"/>
      <c r="C938" s="9">
        <f>IFERROR(__xludf.DUMMYFUNCTION("""COMPUTED_VALUE"""),45134.8604935185)</f>
        <v>45134.86049</v>
      </c>
      <c r="D938" s="15">
        <f>IFERROR(__xludf.DUMMYFUNCTION("""COMPUTED_VALUE"""),1.003)</f>
        <v>1.003</v>
      </c>
      <c r="E938" s="16">
        <f>IFERROR(__xludf.DUMMYFUNCTION("""COMPUTED_VALUE"""),74.0)</f>
        <v>74</v>
      </c>
      <c r="F938" s="19" t="str">
        <f>IFERROR(__xludf.DUMMYFUNCTION("""COMPUTED_VALUE"""),"BLACK")</f>
        <v>BLACK</v>
      </c>
      <c r="G938" s="20" t="str">
        <f>IFERROR(__xludf.DUMMYFUNCTION("""COMPUTED_VALUE"""),"Uncle Sams Cider (04/04/2023)")</f>
        <v>Uncle Sams Cider (04/04/2023)</v>
      </c>
      <c r="H938" s="19"/>
    </row>
    <row r="939">
      <c r="A939" s="9"/>
      <c r="B939" s="15"/>
      <c r="C939" s="9">
        <f>IFERROR(__xludf.DUMMYFUNCTION("""COMPUTED_VALUE"""),45134.850071875)</f>
        <v>45134.85007</v>
      </c>
      <c r="D939" s="15">
        <f>IFERROR(__xludf.DUMMYFUNCTION("""COMPUTED_VALUE"""),1.003)</f>
        <v>1.003</v>
      </c>
      <c r="E939" s="16">
        <f>IFERROR(__xludf.DUMMYFUNCTION("""COMPUTED_VALUE"""),74.0)</f>
        <v>74</v>
      </c>
      <c r="F939" s="19" t="str">
        <f>IFERROR(__xludf.DUMMYFUNCTION("""COMPUTED_VALUE"""),"BLACK")</f>
        <v>BLACK</v>
      </c>
      <c r="G939" s="20" t="str">
        <f>IFERROR(__xludf.DUMMYFUNCTION("""COMPUTED_VALUE"""),"Uncle Sams Cider (04/04/2023)")</f>
        <v>Uncle Sams Cider (04/04/2023)</v>
      </c>
      <c r="H939" s="19"/>
    </row>
    <row r="940">
      <c r="A940" s="9"/>
      <c r="B940" s="15"/>
      <c r="C940" s="9">
        <f>IFERROR(__xludf.DUMMYFUNCTION("""COMPUTED_VALUE"""),45134.8396511921)</f>
        <v>45134.83965</v>
      </c>
      <c r="D940" s="15">
        <f>IFERROR(__xludf.DUMMYFUNCTION("""COMPUTED_VALUE"""),1.003)</f>
        <v>1.003</v>
      </c>
      <c r="E940" s="16">
        <f>IFERROR(__xludf.DUMMYFUNCTION("""COMPUTED_VALUE"""),74.0)</f>
        <v>74</v>
      </c>
      <c r="F940" s="19" t="str">
        <f>IFERROR(__xludf.DUMMYFUNCTION("""COMPUTED_VALUE"""),"BLACK")</f>
        <v>BLACK</v>
      </c>
      <c r="G940" s="20" t="str">
        <f>IFERROR(__xludf.DUMMYFUNCTION("""COMPUTED_VALUE"""),"Uncle Sams Cider (04/04/2023)")</f>
        <v>Uncle Sams Cider (04/04/2023)</v>
      </c>
      <c r="H940" s="19"/>
    </row>
    <row r="941">
      <c r="A941" s="9"/>
      <c r="B941" s="15"/>
      <c r="C941" s="9">
        <f>IFERROR(__xludf.DUMMYFUNCTION("""COMPUTED_VALUE"""),45134.8292309722)</f>
        <v>45134.82923</v>
      </c>
      <c r="D941" s="15">
        <f>IFERROR(__xludf.DUMMYFUNCTION("""COMPUTED_VALUE"""),1.003)</f>
        <v>1.003</v>
      </c>
      <c r="E941" s="16">
        <f>IFERROR(__xludf.DUMMYFUNCTION("""COMPUTED_VALUE"""),74.0)</f>
        <v>74</v>
      </c>
      <c r="F941" s="19" t="str">
        <f>IFERROR(__xludf.DUMMYFUNCTION("""COMPUTED_VALUE"""),"BLACK")</f>
        <v>BLACK</v>
      </c>
      <c r="G941" s="20" t="str">
        <f>IFERROR(__xludf.DUMMYFUNCTION("""COMPUTED_VALUE"""),"Uncle Sams Cider (04/04/2023)")</f>
        <v>Uncle Sams Cider (04/04/2023)</v>
      </c>
      <c r="H941" s="19"/>
    </row>
    <row r="942">
      <c r="A942" s="9"/>
      <c r="B942" s="15"/>
      <c r="C942" s="9">
        <f>IFERROR(__xludf.DUMMYFUNCTION("""COMPUTED_VALUE"""),45134.8187882986)</f>
        <v>45134.81879</v>
      </c>
      <c r="D942" s="15">
        <f>IFERROR(__xludf.DUMMYFUNCTION("""COMPUTED_VALUE"""),1.003)</f>
        <v>1.003</v>
      </c>
      <c r="E942" s="16">
        <f>IFERROR(__xludf.DUMMYFUNCTION("""COMPUTED_VALUE"""),74.0)</f>
        <v>74</v>
      </c>
      <c r="F942" s="19" t="str">
        <f>IFERROR(__xludf.DUMMYFUNCTION("""COMPUTED_VALUE"""),"BLACK")</f>
        <v>BLACK</v>
      </c>
      <c r="G942" s="20" t="str">
        <f>IFERROR(__xludf.DUMMYFUNCTION("""COMPUTED_VALUE"""),"Uncle Sams Cider (04/04/2023)")</f>
        <v>Uncle Sams Cider (04/04/2023)</v>
      </c>
      <c r="H942" s="19"/>
    </row>
    <row r="943">
      <c r="A943" s="9"/>
      <c r="B943" s="15"/>
      <c r="C943" s="9">
        <f>IFERROR(__xludf.DUMMYFUNCTION("""COMPUTED_VALUE"""),45134.8083672338)</f>
        <v>45134.80837</v>
      </c>
      <c r="D943" s="15">
        <f>IFERROR(__xludf.DUMMYFUNCTION("""COMPUTED_VALUE"""),1.003)</f>
        <v>1.003</v>
      </c>
      <c r="E943" s="16">
        <f>IFERROR(__xludf.DUMMYFUNCTION("""COMPUTED_VALUE"""),74.0)</f>
        <v>74</v>
      </c>
      <c r="F943" s="19" t="str">
        <f>IFERROR(__xludf.DUMMYFUNCTION("""COMPUTED_VALUE"""),"BLACK")</f>
        <v>BLACK</v>
      </c>
      <c r="G943" s="20" t="str">
        <f>IFERROR(__xludf.DUMMYFUNCTION("""COMPUTED_VALUE"""),"Uncle Sams Cider (04/04/2023)")</f>
        <v>Uncle Sams Cider (04/04/2023)</v>
      </c>
      <c r="H943" s="19"/>
    </row>
    <row r="944">
      <c r="A944" s="9"/>
      <c r="B944" s="15"/>
      <c r="C944" s="9">
        <f>IFERROR(__xludf.DUMMYFUNCTION("""COMPUTED_VALUE"""),45134.7979350463)</f>
        <v>45134.79794</v>
      </c>
      <c r="D944" s="15">
        <f>IFERROR(__xludf.DUMMYFUNCTION("""COMPUTED_VALUE"""),1.003)</f>
        <v>1.003</v>
      </c>
      <c r="E944" s="16">
        <f>IFERROR(__xludf.DUMMYFUNCTION("""COMPUTED_VALUE"""),74.0)</f>
        <v>74</v>
      </c>
      <c r="F944" s="19" t="str">
        <f>IFERROR(__xludf.DUMMYFUNCTION("""COMPUTED_VALUE"""),"BLACK")</f>
        <v>BLACK</v>
      </c>
      <c r="G944" s="20" t="str">
        <f>IFERROR(__xludf.DUMMYFUNCTION("""COMPUTED_VALUE"""),"Uncle Sams Cider (04/04/2023)")</f>
        <v>Uncle Sams Cider (04/04/2023)</v>
      </c>
      <c r="H944" s="19"/>
    </row>
    <row r="945">
      <c r="A945" s="9"/>
      <c r="B945" s="15"/>
      <c r="C945" s="9">
        <f>IFERROR(__xludf.DUMMYFUNCTION("""COMPUTED_VALUE"""),45134.7875152314)</f>
        <v>45134.78752</v>
      </c>
      <c r="D945" s="15">
        <f>IFERROR(__xludf.DUMMYFUNCTION("""COMPUTED_VALUE"""),1.003)</f>
        <v>1.003</v>
      </c>
      <c r="E945" s="16">
        <f>IFERROR(__xludf.DUMMYFUNCTION("""COMPUTED_VALUE"""),74.0)</f>
        <v>74</v>
      </c>
      <c r="F945" s="19" t="str">
        <f>IFERROR(__xludf.DUMMYFUNCTION("""COMPUTED_VALUE"""),"BLACK")</f>
        <v>BLACK</v>
      </c>
      <c r="G945" s="20" t="str">
        <f>IFERROR(__xludf.DUMMYFUNCTION("""COMPUTED_VALUE"""),"Uncle Sams Cider (04/04/2023)")</f>
        <v>Uncle Sams Cider (04/04/2023)</v>
      </c>
      <c r="H945" s="19"/>
    </row>
    <row r="946">
      <c r="A946" s="9"/>
      <c r="B946" s="15"/>
      <c r="C946" s="9">
        <f>IFERROR(__xludf.DUMMYFUNCTION("""COMPUTED_VALUE"""),45134.7770942013)</f>
        <v>45134.77709</v>
      </c>
      <c r="D946" s="15">
        <f>IFERROR(__xludf.DUMMYFUNCTION("""COMPUTED_VALUE"""),1.003)</f>
        <v>1.003</v>
      </c>
      <c r="E946" s="16">
        <f>IFERROR(__xludf.DUMMYFUNCTION("""COMPUTED_VALUE"""),74.0)</f>
        <v>74</v>
      </c>
      <c r="F946" s="19" t="str">
        <f>IFERROR(__xludf.DUMMYFUNCTION("""COMPUTED_VALUE"""),"BLACK")</f>
        <v>BLACK</v>
      </c>
      <c r="G946" s="20" t="str">
        <f>IFERROR(__xludf.DUMMYFUNCTION("""COMPUTED_VALUE"""),"Uncle Sams Cider (04/04/2023)")</f>
        <v>Uncle Sams Cider (04/04/2023)</v>
      </c>
      <c r="H946" s="19"/>
    </row>
    <row r="947">
      <c r="A947" s="9"/>
      <c r="B947" s="15"/>
      <c r="C947" s="9">
        <f>IFERROR(__xludf.DUMMYFUNCTION("""COMPUTED_VALUE"""),45134.7666728819)</f>
        <v>45134.76667</v>
      </c>
      <c r="D947" s="15">
        <f>IFERROR(__xludf.DUMMYFUNCTION("""COMPUTED_VALUE"""),1.003)</f>
        <v>1.003</v>
      </c>
      <c r="E947" s="16">
        <f>IFERROR(__xludf.DUMMYFUNCTION("""COMPUTED_VALUE"""),74.0)</f>
        <v>74</v>
      </c>
      <c r="F947" s="19" t="str">
        <f>IFERROR(__xludf.DUMMYFUNCTION("""COMPUTED_VALUE"""),"BLACK")</f>
        <v>BLACK</v>
      </c>
      <c r="G947" s="20" t="str">
        <f>IFERROR(__xludf.DUMMYFUNCTION("""COMPUTED_VALUE"""),"Uncle Sams Cider (04/04/2023)")</f>
        <v>Uncle Sams Cider (04/04/2023)</v>
      </c>
      <c r="H947" s="19"/>
    </row>
    <row r="948">
      <c r="A948" s="9"/>
      <c r="B948" s="15"/>
      <c r="C948" s="9">
        <f>IFERROR(__xludf.DUMMYFUNCTION("""COMPUTED_VALUE"""),45134.7562398148)</f>
        <v>45134.75624</v>
      </c>
      <c r="D948" s="15">
        <f>IFERROR(__xludf.DUMMYFUNCTION("""COMPUTED_VALUE"""),1.003)</f>
        <v>1.003</v>
      </c>
      <c r="E948" s="16">
        <f>IFERROR(__xludf.DUMMYFUNCTION("""COMPUTED_VALUE"""),74.0)</f>
        <v>74</v>
      </c>
      <c r="F948" s="19" t="str">
        <f>IFERROR(__xludf.DUMMYFUNCTION("""COMPUTED_VALUE"""),"BLACK")</f>
        <v>BLACK</v>
      </c>
      <c r="G948" s="20" t="str">
        <f>IFERROR(__xludf.DUMMYFUNCTION("""COMPUTED_VALUE"""),"Uncle Sams Cider (04/04/2023)")</f>
        <v>Uncle Sams Cider (04/04/2023)</v>
      </c>
      <c r="H948" s="19"/>
    </row>
    <row r="949">
      <c r="A949" s="9"/>
      <c r="B949" s="15"/>
      <c r="C949" s="9">
        <f>IFERROR(__xludf.DUMMYFUNCTION("""COMPUTED_VALUE"""),45134.7458188773)</f>
        <v>45134.74582</v>
      </c>
      <c r="D949" s="15">
        <f>IFERROR(__xludf.DUMMYFUNCTION("""COMPUTED_VALUE"""),1.003)</f>
        <v>1.003</v>
      </c>
      <c r="E949" s="16">
        <f>IFERROR(__xludf.DUMMYFUNCTION("""COMPUTED_VALUE"""),74.0)</f>
        <v>74</v>
      </c>
      <c r="F949" s="19" t="str">
        <f>IFERROR(__xludf.DUMMYFUNCTION("""COMPUTED_VALUE"""),"BLACK")</f>
        <v>BLACK</v>
      </c>
      <c r="G949" s="20" t="str">
        <f>IFERROR(__xludf.DUMMYFUNCTION("""COMPUTED_VALUE"""),"Uncle Sams Cider (04/04/2023)")</f>
        <v>Uncle Sams Cider (04/04/2023)</v>
      </c>
      <c r="H949" s="19"/>
    </row>
    <row r="950">
      <c r="A950" s="9"/>
      <c r="B950" s="15"/>
      <c r="C950" s="9">
        <f>IFERROR(__xludf.DUMMYFUNCTION("""COMPUTED_VALUE"""),45134.7353987152)</f>
        <v>45134.7354</v>
      </c>
      <c r="D950" s="15">
        <f>IFERROR(__xludf.DUMMYFUNCTION("""COMPUTED_VALUE"""),1.003)</f>
        <v>1.003</v>
      </c>
      <c r="E950" s="16">
        <f>IFERROR(__xludf.DUMMYFUNCTION("""COMPUTED_VALUE"""),74.0)</f>
        <v>74</v>
      </c>
      <c r="F950" s="19" t="str">
        <f>IFERROR(__xludf.DUMMYFUNCTION("""COMPUTED_VALUE"""),"BLACK")</f>
        <v>BLACK</v>
      </c>
      <c r="G950" s="20" t="str">
        <f>IFERROR(__xludf.DUMMYFUNCTION("""COMPUTED_VALUE"""),"Uncle Sams Cider (04/04/2023)")</f>
        <v>Uncle Sams Cider (04/04/2023)</v>
      </c>
      <c r="H950" s="19"/>
    </row>
    <row r="951">
      <c r="A951" s="9"/>
      <c r="B951" s="15"/>
      <c r="C951" s="9">
        <f>IFERROR(__xludf.DUMMYFUNCTION("""COMPUTED_VALUE"""),45134.7249770254)</f>
        <v>45134.72498</v>
      </c>
      <c r="D951" s="15">
        <f>IFERROR(__xludf.DUMMYFUNCTION("""COMPUTED_VALUE"""),1.003)</f>
        <v>1.003</v>
      </c>
      <c r="E951" s="16">
        <f>IFERROR(__xludf.DUMMYFUNCTION("""COMPUTED_VALUE"""),74.0)</f>
        <v>74</v>
      </c>
      <c r="F951" s="19" t="str">
        <f>IFERROR(__xludf.DUMMYFUNCTION("""COMPUTED_VALUE"""),"BLACK")</f>
        <v>BLACK</v>
      </c>
      <c r="G951" s="20" t="str">
        <f>IFERROR(__xludf.DUMMYFUNCTION("""COMPUTED_VALUE"""),"Uncle Sams Cider (04/04/2023)")</f>
        <v>Uncle Sams Cider (04/04/2023)</v>
      </c>
      <c r="H951" s="19"/>
    </row>
    <row r="952">
      <c r="A952" s="9"/>
      <c r="B952" s="15"/>
      <c r="C952" s="9">
        <f>IFERROR(__xludf.DUMMYFUNCTION("""COMPUTED_VALUE"""),45134.7145570949)</f>
        <v>45134.71456</v>
      </c>
      <c r="D952" s="15">
        <f>IFERROR(__xludf.DUMMYFUNCTION("""COMPUTED_VALUE"""),1.003)</f>
        <v>1.003</v>
      </c>
      <c r="E952" s="16">
        <f>IFERROR(__xludf.DUMMYFUNCTION("""COMPUTED_VALUE"""),74.0)</f>
        <v>74</v>
      </c>
      <c r="F952" s="19" t="str">
        <f>IFERROR(__xludf.DUMMYFUNCTION("""COMPUTED_VALUE"""),"BLACK")</f>
        <v>BLACK</v>
      </c>
      <c r="G952" s="20" t="str">
        <f>IFERROR(__xludf.DUMMYFUNCTION("""COMPUTED_VALUE"""),"Uncle Sams Cider (04/04/2023)")</f>
        <v>Uncle Sams Cider (04/04/2023)</v>
      </c>
      <c r="H952" s="19"/>
    </row>
    <row r="953">
      <c r="A953" s="9"/>
      <c r="B953" s="15"/>
      <c r="C953" s="9">
        <f>IFERROR(__xludf.DUMMYFUNCTION("""COMPUTED_VALUE"""),45134.7041363888)</f>
        <v>45134.70414</v>
      </c>
      <c r="D953" s="15">
        <f>IFERROR(__xludf.DUMMYFUNCTION("""COMPUTED_VALUE"""),1.003)</f>
        <v>1.003</v>
      </c>
      <c r="E953" s="16">
        <f>IFERROR(__xludf.DUMMYFUNCTION("""COMPUTED_VALUE"""),74.0)</f>
        <v>74</v>
      </c>
      <c r="F953" s="19" t="str">
        <f>IFERROR(__xludf.DUMMYFUNCTION("""COMPUTED_VALUE"""),"BLACK")</f>
        <v>BLACK</v>
      </c>
      <c r="G953" s="20" t="str">
        <f>IFERROR(__xludf.DUMMYFUNCTION("""COMPUTED_VALUE"""),"Uncle Sams Cider (04/04/2023)")</f>
        <v>Uncle Sams Cider (04/04/2023)</v>
      </c>
      <c r="H953" s="19"/>
    </row>
    <row r="954">
      <c r="A954" s="9"/>
      <c r="B954" s="15"/>
      <c r="C954" s="9">
        <f>IFERROR(__xludf.DUMMYFUNCTION("""COMPUTED_VALUE"""),45134.6937144328)</f>
        <v>45134.69371</v>
      </c>
      <c r="D954" s="15">
        <f>IFERROR(__xludf.DUMMYFUNCTION("""COMPUTED_VALUE"""),1.003)</f>
        <v>1.003</v>
      </c>
      <c r="E954" s="16">
        <f>IFERROR(__xludf.DUMMYFUNCTION("""COMPUTED_VALUE"""),74.0)</f>
        <v>74</v>
      </c>
      <c r="F954" s="19" t="str">
        <f>IFERROR(__xludf.DUMMYFUNCTION("""COMPUTED_VALUE"""),"BLACK")</f>
        <v>BLACK</v>
      </c>
      <c r="G954" s="20" t="str">
        <f>IFERROR(__xludf.DUMMYFUNCTION("""COMPUTED_VALUE"""),"Uncle Sams Cider (04/04/2023)")</f>
        <v>Uncle Sams Cider (04/04/2023)</v>
      </c>
      <c r="H954" s="19"/>
    </row>
    <row r="955">
      <c r="A955" s="9"/>
      <c r="B955" s="15"/>
      <c r="C955" s="9">
        <f>IFERROR(__xludf.DUMMYFUNCTION("""COMPUTED_VALUE"""),45134.6832831597)</f>
        <v>45134.68328</v>
      </c>
      <c r="D955" s="15">
        <f>IFERROR(__xludf.DUMMYFUNCTION("""COMPUTED_VALUE"""),1.003)</f>
        <v>1.003</v>
      </c>
      <c r="E955" s="16">
        <f>IFERROR(__xludf.DUMMYFUNCTION("""COMPUTED_VALUE"""),74.0)</f>
        <v>74</v>
      </c>
      <c r="F955" s="19" t="str">
        <f>IFERROR(__xludf.DUMMYFUNCTION("""COMPUTED_VALUE"""),"BLACK")</f>
        <v>BLACK</v>
      </c>
      <c r="G955" s="20" t="str">
        <f>IFERROR(__xludf.DUMMYFUNCTION("""COMPUTED_VALUE"""),"Uncle Sams Cider (04/04/2023)")</f>
        <v>Uncle Sams Cider (04/04/2023)</v>
      </c>
      <c r="H955" s="19"/>
    </row>
    <row r="956">
      <c r="A956" s="9"/>
      <c r="B956" s="15"/>
      <c r="C956" s="9">
        <f>IFERROR(__xludf.DUMMYFUNCTION("""COMPUTED_VALUE"""),45134.6728615393)</f>
        <v>45134.67286</v>
      </c>
      <c r="D956" s="15">
        <f>IFERROR(__xludf.DUMMYFUNCTION("""COMPUTED_VALUE"""),1.003)</f>
        <v>1.003</v>
      </c>
      <c r="E956" s="16">
        <f>IFERROR(__xludf.DUMMYFUNCTION("""COMPUTED_VALUE"""),74.0)</f>
        <v>74</v>
      </c>
      <c r="F956" s="19" t="str">
        <f>IFERROR(__xludf.DUMMYFUNCTION("""COMPUTED_VALUE"""),"BLACK")</f>
        <v>BLACK</v>
      </c>
      <c r="G956" s="20" t="str">
        <f>IFERROR(__xludf.DUMMYFUNCTION("""COMPUTED_VALUE"""),"Uncle Sams Cider (04/04/2023)")</f>
        <v>Uncle Sams Cider (04/04/2023)</v>
      </c>
      <c r="H956" s="19"/>
    </row>
    <row r="957">
      <c r="A957" s="9"/>
      <c r="B957" s="15"/>
      <c r="C957" s="9">
        <f>IFERROR(__xludf.DUMMYFUNCTION("""COMPUTED_VALUE"""),45134.6624414236)</f>
        <v>45134.66244</v>
      </c>
      <c r="D957" s="15">
        <f>IFERROR(__xludf.DUMMYFUNCTION("""COMPUTED_VALUE"""),1.003)</f>
        <v>1.003</v>
      </c>
      <c r="E957" s="16">
        <f>IFERROR(__xludf.DUMMYFUNCTION("""COMPUTED_VALUE"""),74.0)</f>
        <v>74</v>
      </c>
      <c r="F957" s="19" t="str">
        <f>IFERROR(__xludf.DUMMYFUNCTION("""COMPUTED_VALUE"""),"BLACK")</f>
        <v>BLACK</v>
      </c>
      <c r="G957" s="20" t="str">
        <f>IFERROR(__xludf.DUMMYFUNCTION("""COMPUTED_VALUE"""),"Uncle Sams Cider (04/04/2023)")</f>
        <v>Uncle Sams Cider (04/04/2023)</v>
      </c>
      <c r="H957" s="19"/>
    </row>
    <row r="958">
      <c r="A958" s="9"/>
      <c r="B958" s="15"/>
      <c r="C958" s="9">
        <f>IFERROR(__xludf.DUMMYFUNCTION("""COMPUTED_VALUE"""),45134.6520196064)</f>
        <v>45134.65202</v>
      </c>
      <c r="D958" s="15">
        <f>IFERROR(__xludf.DUMMYFUNCTION("""COMPUTED_VALUE"""),1.003)</f>
        <v>1.003</v>
      </c>
      <c r="E958" s="16">
        <f>IFERROR(__xludf.DUMMYFUNCTION("""COMPUTED_VALUE"""),74.0)</f>
        <v>74</v>
      </c>
      <c r="F958" s="19" t="str">
        <f>IFERROR(__xludf.DUMMYFUNCTION("""COMPUTED_VALUE"""),"BLACK")</f>
        <v>BLACK</v>
      </c>
      <c r="G958" s="20" t="str">
        <f>IFERROR(__xludf.DUMMYFUNCTION("""COMPUTED_VALUE"""),"Uncle Sams Cider (04/04/2023)")</f>
        <v>Uncle Sams Cider (04/04/2023)</v>
      </c>
      <c r="H958" s="19"/>
    </row>
    <row r="959">
      <c r="A959" s="9"/>
      <c r="B959" s="15"/>
      <c r="C959" s="9">
        <f>IFERROR(__xludf.DUMMYFUNCTION("""COMPUTED_VALUE"""),45134.6415992592)</f>
        <v>45134.6416</v>
      </c>
      <c r="D959" s="15">
        <f>IFERROR(__xludf.DUMMYFUNCTION("""COMPUTED_VALUE"""),1.003)</f>
        <v>1.003</v>
      </c>
      <c r="E959" s="16">
        <f>IFERROR(__xludf.DUMMYFUNCTION("""COMPUTED_VALUE"""),74.0)</f>
        <v>74</v>
      </c>
      <c r="F959" s="19" t="str">
        <f>IFERROR(__xludf.DUMMYFUNCTION("""COMPUTED_VALUE"""),"BLACK")</f>
        <v>BLACK</v>
      </c>
      <c r="G959" s="20" t="str">
        <f>IFERROR(__xludf.DUMMYFUNCTION("""COMPUTED_VALUE"""),"Uncle Sams Cider (04/04/2023)")</f>
        <v>Uncle Sams Cider (04/04/2023)</v>
      </c>
      <c r="H959" s="19"/>
    </row>
    <row r="960">
      <c r="A960" s="9"/>
      <c r="B960" s="15"/>
      <c r="C960" s="9">
        <f>IFERROR(__xludf.DUMMYFUNCTION("""COMPUTED_VALUE"""),45134.6311780902)</f>
        <v>45134.63118</v>
      </c>
      <c r="D960" s="15">
        <f>IFERROR(__xludf.DUMMYFUNCTION("""COMPUTED_VALUE"""),1.003)</f>
        <v>1.003</v>
      </c>
      <c r="E960" s="16">
        <f>IFERROR(__xludf.DUMMYFUNCTION("""COMPUTED_VALUE"""),74.0)</f>
        <v>74</v>
      </c>
      <c r="F960" s="19" t="str">
        <f>IFERROR(__xludf.DUMMYFUNCTION("""COMPUTED_VALUE"""),"BLACK")</f>
        <v>BLACK</v>
      </c>
      <c r="G960" s="20" t="str">
        <f>IFERROR(__xludf.DUMMYFUNCTION("""COMPUTED_VALUE"""),"Uncle Sams Cider (04/04/2023)")</f>
        <v>Uncle Sams Cider (04/04/2023)</v>
      </c>
      <c r="H960" s="19"/>
    </row>
    <row r="961">
      <c r="A961" s="9"/>
      <c r="B961" s="15"/>
      <c r="C961" s="9">
        <f>IFERROR(__xludf.DUMMYFUNCTION("""COMPUTED_VALUE"""),45134.6207567939)</f>
        <v>45134.62076</v>
      </c>
      <c r="D961" s="15">
        <f>IFERROR(__xludf.DUMMYFUNCTION("""COMPUTED_VALUE"""),1.003)</f>
        <v>1.003</v>
      </c>
      <c r="E961" s="16">
        <f>IFERROR(__xludf.DUMMYFUNCTION("""COMPUTED_VALUE"""),74.0)</f>
        <v>74</v>
      </c>
      <c r="F961" s="19" t="str">
        <f>IFERROR(__xludf.DUMMYFUNCTION("""COMPUTED_VALUE"""),"BLACK")</f>
        <v>BLACK</v>
      </c>
      <c r="G961" s="20" t="str">
        <f>IFERROR(__xludf.DUMMYFUNCTION("""COMPUTED_VALUE"""),"Uncle Sams Cider (04/04/2023)")</f>
        <v>Uncle Sams Cider (04/04/2023)</v>
      </c>
      <c r="H961" s="19"/>
    </row>
    <row r="962">
      <c r="A962" s="9"/>
      <c r="B962" s="15"/>
      <c r="C962" s="9">
        <f>IFERROR(__xludf.DUMMYFUNCTION("""COMPUTED_VALUE"""),45134.6103354861)</f>
        <v>45134.61034</v>
      </c>
      <c r="D962" s="15">
        <f>IFERROR(__xludf.DUMMYFUNCTION("""COMPUTED_VALUE"""),1.003)</f>
        <v>1.003</v>
      </c>
      <c r="E962" s="16">
        <f>IFERROR(__xludf.DUMMYFUNCTION("""COMPUTED_VALUE"""),74.0)</f>
        <v>74</v>
      </c>
      <c r="F962" s="19" t="str">
        <f>IFERROR(__xludf.DUMMYFUNCTION("""COMPUTED_VALUE"""),"BLACK")</f>
        <v>BLACK</v>
      </c>
      <c r="G962" s="20" t="str">
        <f>IFERROR(__xludf.DUMMYFUNCTION("""COMPUTED_VALUE"""),"Uncle Sams Cider (04/04/2023)")</f>
        <v>Uncle Sams Cider (04/04/2023)</v>
      </c>
      <c r="H962" s="19"/>
    </row>
    <row r="963">
      <c r="A963" s="9"/>
      <c r="B963" s="15"/>
      <c r="C963" s="9">
        <f>IFERROR(__xludf.DUMMYFUNCTION("""COMPUTED_VALUE"""),45134.5999149305)</f>
        <v>45134.59991</v>
      </c>
      <c r="D963" s="15">
        <f>IFERROR(__xludf.DUMMYFUNCTION("""COMPUTED_VALUE"""),1.003)</f>
        <v>1.003</v>
      </c>
      <c r="E963" s="16">
        <f>IFERROR(__xludf.DUMMYFUNCTION("""COMPUTED_VALUE"""),74.0)</f>
        <v>74</v>
      </c>
      <c r="F963" s="19" t="str">
        <f>IFERROR(__xludf.DUMMYFUNCTION("""COMPUTED_VALUE"""),"BLACK")</f>
        <v>BLACK</v>
      </c>
      <c r="G963" s="20" t="str">
        <f>IFERROR(__xludf.DUMMYFUNCTION("""COMPUTED_VALUE"""),"Uncle Sams Cider (04/04/2023)")</f>
        <v>Uncle Sams Cider (04/04/2023)</v>
      </c>
      <c r="H963" s="19"/>
    </row>
    <row r="964">
      <c r="A964" s="9"/>
      <c r="B964" s="15"/>
      <c r="C964" s="9">
        <f>IFERROR(__xludf.DUMMYFUNCTION("""COMPUTED_VALUE"""),45134.5894821759)</f>
        <v>45134.58948</v>
      </c>
      <c r="D964" s="15">
        <f>IFERROR(__xludf.DUMMYFUNCTION("""COMPUTED_VALUE"""),1.003)</f>
        <v>1.003</v>
      </c>
      <c r="E964" s="16">
        <f>IFERROR(__xludf.DUMMYFUNCTION("""COMPUTED_VALUE"""),74.0)</f>
        <v>74</v>
      </c>
      <c r="F964" s="19" t="str">
        <f>IFERROR(__xludf.DUMMYFUNCTION("""COMPUTED_VALUE"""),"BLACK")</f>
        <v>BLACK</v>
      </c>
      <c r="G964" s="20" t="str">
        <f>IFERROR(__xludf.DUMMYFUNCTION("""COMPUTED_VALUE"""),"Uncle Sams Cider (04/04/2023)")</f>
        <v>Uncle Sams Cider (04/04/2023)</v>
      </c>
      <c r="H964" s="19"/>
    </row>
    <row r="965">
      <c r="A965" s="9"/>
      <c r="B965" s="15"/>
      <c r="C965" s="9">
        <f>IFERROR(__xludf.DUMMYFUNCTION("""COMPUTED_VALUE"""),45134.5790616666)</f>
        <v>45134.57906</v>
      </c>
      <c r="D965" s="15">
        <f>IFERROR(__xludf.DUMMYFUNCTION("""COMPUTED_VALUE"""),1.003)</f>
        <v>1.003</v>
      </c>
      <c r="E965" s="16">
        <f>IFERROR(__xludf.DUMMYFUNCTION("""COMPUTED_VALUE"""),74.0)</f>
        <v>74</v>
      </c>
      <c r="F965" s="19" t="str">
        <f>IFERROR(__xludf.DUMMYFUNCTION("""COMPUTED_VALUE"""),"BLACK")</f>
        <v>BLACK</v>
      </c>
      <c r="G965" s="20" t="str">
        <f>IFERROR(__xludf.DUMMYFUNCTION("""COMPUTED_VALUE"""),"Uncle Sams Cider (04/04/2023)")</f>
        <v>Uncle Sams Cider (04/04/2023)</v>
      </c>
      <c r="H965" s="19"/>
    </row>
    <row r="966">
      <c r="A966" s="9"/>
      <c r="B966" s="15"/>
      <c r="C966" s="9">
        <f>IFERROR(__xludf.DUMMYFUNCTION("""COMPUTED_VALUE"""),45134.5686413888)</f>
        <v>45134.56864</v>
      </c>
      <c r="D966" s="15">
        <f>IFERROR(__xludf.DUMMYFUNCTION("""COMPUTED_VALUE"""),1.003)</f>
        <v>1.003</v>
      </c>
      <c r="E966" s="16">
        <f>IFERROR(__xludf.DUMMYFUNCTION("""COMPUTED_VALUE"""),74.0)</f>
        <v>74</v>
      </c>
      <c r="F966" s="19" t="str">
        <f>IFERROR(__xludf.DUMMYFUNCTION("""COMPUTED_VALUE"""),"BLACK")</f>
        <v>BLACK</v>
      </c>
      <c r="G966" s="20" t="str">
        <f>IFERROR(__xludf.DUMMYFUNCTION("""COMPUTED_VALUE"""),"Uncle Sams Cider (04/04/2023)")</f>
        <v>Uncle Sams Cider (04/04/2023)</v>
      </c>
      <c r="H966" s="19"/>
    </row>
    <row r="967">
      <c r="A967" s="9"/>
      <c r="B967" s="15"/>
      <c r="C967" s="9">
        <f>IFERROR(__xludf.DUMMYFUNCTION("""COMPUTED_VALUE"""),45134.5582213078)</f>
        <v>45134.55822</v>
      </c>
      <c r="D967" s="15">
        <f>IFERROR(__xludf.DUMMYFUNCTION("""COMPUTED_VALUE"""),1.003)</f>
        <v>1.003</v>
      </c>
      <c r="E967" s="16">
        <f>IFERROR(__xludf.DUMMYFUNCTION("""COMPUTED_VALUE"""),74.0)</f>
        <v>74</v>
      </c>
      <c r="F967" s="19" t="str">
        <f>IFERROR(__xludf.DUMMYFUNCTION("""COMPUTED_VALUE"""),"BLACK")</f>
        <v>BLACK</v>
      </c>
      <c r="G967" s="20" t="str">
        <f>IFERROR(__xludf.DUMMYFUNCTION("""COMPUTED_VALUE"""),"Uncle Sams Cider (04/04/2023)")</f>
        <v>Uncle Sams Cider (04/04/2023)</v>
      </c>
      <c r="H967" s="19"/>
    </row>
    <row r="968">
      <c r="A968" s="9"/>
      <c r="B968" s="15"/>
      <c r="C968" s="9">
        <f>IFERROR(__xludf.DUMMYFUNCTION("""COMPUTED_VALUE"""),45134.5477991435)</f>
        <v>45134.5478</v>
      </c>
      <c r="D968" s="15">
        <f>IFERROR(__xludf.DUMMYFUNCTION("""COMPUTED_VALUE"""),1.003)</f>
        <v>1.003</v>
      </c>
      <c r="E968" s="16">
        <f>IFERROR(__xludf.DUMMYFUNCTION("""COMPUTED_VALUE"""),74.0)</f>
        <v>74</v>
      </c>
      <c r="F968" s="19" t="str">
        <f>IFERROR(__xludf.DUMMYFUNCTION("""COMPUTED_VALUE"""),"BLACK")</f>
        <v>BLACK</v>
      </c>
      <c r="G968" s="20" t="str">
        <f>IFERROR(__xludf.DUMMYFUNCTION("""COMPUTED_VALUE"""),"Uncle Sams Cider (04/04/2023)")</f>
        <v>Uncle Sams Cider (04/04/2023)</v>
      </c>
      <c r="H968" s="19"/>
    </row>
    <row r="969">
      <c r="A969" s="9"/>
      <c r="B969" s="15"/>
      <c r="C969" s="9">
        <f>IFERROR(__xludf.DUMMYFUNCTION("""COMPUTED_VALUE"""),45134.5373796759)</f>
        <v>45134.53738</v>
      </c>
      <c r="D969" s="15">
        <f>IFERROR(__xludf.DUMMYFUNCTION("""COMPUTED_VALUE"""),1.003)</f>
        <v>1.003</v>
      </c>
      <c r="E969" s="16">
        <f>IFERROR(__xludf.DUMMYFUNCTION("""COMPUTED_VALUE"""),74.0)</f>
        <v>74</v>
      </c>
      <c r="F969" s="19" t="str">
        <f>IFERROR(__xludf.DUMMYFUNCTION("""COMPUTED_VALUE"""),"BLACK")</f>
        <v>BLACK</v>
      </c>
      <c r="G969" s="20" t="str">
        <f>IFERROR(__xludf.DUMMYFUNCTION("""COMPUTED_VALUE"""),"Uncle Sams Cider (04/04/2023)")</f>
        <v>Uncle Sams Cider (04/04/2023)</v>
      </c>
      <c r="H969" s="19"/>
    </row>
    <row r="970">
      <c r="A970" s="9"/>
      <c r="B970" s="15"/>
      <c r="C970" s="9">
        <f>IFERROR(__xludf.DUMMYFUNCTION("""COMPUTED_VALUE"""),45134.5269480902)</f>
        <v>45134.52695</v>
      </c>
      <c r="D970" s="15">
        <f>IFERROR(__xludf.DUMMYFUNCTION("""COMPUTED_VALUE"""),1.003)</f>
        <v>1.003</v>
      </c>
      <c r="E970" s="16">
        <f>IFERROR(__xludf.DUMMYFUNCTION("""COMPUTED_VALUE"""),74.0)</f>
        <v>74</v>
      </c>
      <c r="F970" s="19" t="str">
        <f>IFERROR(__xludf.DUMMYFUNCTION("""COMPUTED_VALUE"""),"BLACK")</f>
        <v>BLACK</v>
      </c>
      <c r="G970" s="20" t="str">
        <f>IFERROR(__xludf.DUMMYFUNCTION("""COMPUTED_VALUE"""),"Uncle Sams Cider (04/04/2023)")</f>
        <v>Uncle Sams Cider (04/04/2023)</v>
      </c>
      <c r="H970" s="19"/>
    </row>
    <row r="971">
      <c r="A971" s="9"/>
      <c r="B971" s="15"/>
      <c r="C971" s="9">
        <f>IFERROR(__xludf.DUMMYFUNCTION("""COMPUTED_VALUE"""),45134.5165278472)</f>
        <v>45134.51653</v>
      </c>
      <c r="D971" s="15">
        <f>IFERROR(__xludf.DUMMYFUNCTION("""COMPUTED_VALUE"""),1.003)</f>
        <v>1.003</v>
      </c>
      <c r="E971" s="16">
        <f>IFERROR(__xludf.DUMMYFUNCTION("""COMPUTED_VALUE"""),74.0)</f>
        <v>74</v>
      </c>
      <c r="F971" s="19" t="str">
        <f>IFERROR(__xludf.DUMMYFUNCTION("""COMPUTED_VALUE"""),"BLACK")</f>
        <v>BLACK</v>
      </c>
      <c r="G971" s="20" t="str">
        <f>IFERROR(__xludf.DUMMYFUNCTION("""COMPUTED_VALUE"""),"Uncle Sams Cider (04/04/2023)")</f>
        <v>Uncle Sams Cider (04/04/2023)</v>
      </c>
      <c r="H971" s="19"/>
    </row>
    <row r="972">
      <c r="A972" s="9"/>
      <c r="B972" s="15"/>
      <c r="C972" s="9">
        <f>IFERROR(__xludf.DUMMYFUNCTION("""COMPUTED_VALUE"""),45134.5061067592)</f>
        <v>45134.50611</v>
      </c>
      <c r="D972" s="15">
        <f>IFERROR(__xludf.DUMMYFUNCTION("""COMPUTED_VALUE"""),1.003)</f>
        <v>1.003</v>
      </c>
      <c r="E972" s="16">
        <f>IFERROR(__xludf.DUMMYFUNCTION("""COMPUTED_VALUE"""),74.0)</f>
        <v>74</v>
      </c>
      <c r="F972" s="19" t="str">
        <f>IFERROR(__xludf.DUMMYFUNCTION("""COMPUTED_VALUE"""),"BLACK")</f>
        <v>BLACK</v>
      </c>
      <c r="G972" s="20" t="str">
        <f>IFERROR(__xludf.DUMMYFUNCTION("""COMPUTED_VALUE"""),"Uncle Sams Cider (04/04/2023)")</f>
        <v>Uncle Sams Cider (04/04/2023)</v>
      </c>
      <c r="H972" s="19"/>
    </row>
    <row r="973">
      <c r="A973" s="9"/>
      <c r="B973" s="15"/>
      <c r="C973" s="9">
        <f>IFERROR(__xludf.DUMMYFUNCTION("""COMPUTED_VALUE"""),45134.4956852314)</f>
        <v>45134.49569</v>
      </c>
      <c r="D973" s="15">
        <f>IFERROR(__xludf.DUMMYFUNCTION("""COMPUTED_VALUE"""),1.003)</f>
        <v>1.003</v>
      </c>
      <c r="E973" s="16">
        <f>IFERROR(__xludf.DUMMYFUNCTION("""COMPUTED_VALUE"""),74.0)</f>
        <v>74</v>
      </c>
      <c r="F973" s="19" t="str">
        <f>IFERROR(__xludf.DUMMYFUNCTION("""COMPUTED_VALUE"""),"BLACK")</f>
        <v>BLACK</v>
      </c>
      <c r="G973" s="20" t="str">
        <f>IFERROR(__xludf.DUMMYFUNCTION("""COMPUTED_VALUE"""),"Uncle Sams Cider (04/04/2023)")</f>
        <v>Uncle Sams Cider (04/04/2023)</v>
      </c>
      <c r="H973" s="19"/>
    </row>
    <row r="974">
      <c r="A974" s="9"/>
      <c r="B974" s="15"/>
      <c r="C974" s="9">
        <f>IFERROR(__xludf.DUMMYFUNCTION("""COMPUTED_VALUE"""),45134.4852503819)</f>
        <v>45134.48525</v>
      </c>
      <c r="D974" s="15">
        <f>IFERROR(__xludf.DUMMYFUNCTION("""COMPUTED_VALUE"""),1.003)</f>
        <v>1.003</v>
      </c>
      <c r="E974" s="16">
        <f>IFERROR(__xludf.DUMMYFUNCTION("""COMPUTED_VALUE"""),74.0)</f>
        <v>74</v>
      </c>
      <c r="F974" s="19" t="str">
        <f>IFERROR(__xludf.DUMMYFUNCTION("""COMPUTED_VALUE"""),"BLACK")</f>
        <v>BLACK</v>
      </c>
      <c r="G974" s="20" t="str">
        <f>IFERROR(__xludf.DUMMYFUNCTION("""COMPUTED_VALUE"""),"Uncle Sams Cider (04/04/2023)")</f>
        <v>Uncle Sams Cider (04/04/2023)</v>
      </c>
      <c r="H974" s="19"/>
    </row>
    <row r="975">
      <c r="A975" s="9"/>
      <c r="B975" s="15"/>
      <c r="C975" s="9">
        <f>IFERROR(__xludf.DUMMYFUNCTION("""COMPUTED_VALUE"""),45134.4748278819)</f>
        <v>45134.47483</v>
      </c>
      <c r="D975" s="15">
        <f>IFERROR(__xludf.DUMMYFUNCTION("""COMPUTED_VALUE"""),1.003)</f>
        <v>1.003</v>
      </c>
      <c r="E975" s="16">
        <f>IFERROR(__xludf.DUMMYFUNCTION("""COMPUTED_VALUE"""),74.0)</f>
        <v>74</v>
      </c>
      <c r="F975" s="19" t="str">
        <f>IFERROR(__xludf.DUMMYFUNCTION("""COMPUTED_VALUE"""),"BLACK")</f>
        <v>BLACK</v>
      </c>
      <c r="G975" s="20" t="str">
        <f>IFERROR(__xludf.DUMMYFUNCTION("""COMPUTED_VALUE"""),"Uncle Sams Cider (04/04/2023)")</f>
        <v>Uncle Sams Cider (04/04/2023)</v>
      </c>
      <c r="H975" s="19"/>
    </row>
    <row r="976">
      <c r="A976" s="9"/>
      <c r="B976" s="15"/>
      <c r="C976" s="9">
        <f>IFERROR(__xludf.DUMMYFUNCTION("""COMPUTED_VALUE"""),45134.4644071527)</f>
        <v>45134.46441</v>
      </c>
      <c r="D976" s="15">
        <f>IFERROR(__xludf.DUMMYFUNCTION("""COMPUTED_VALUE"""),1.003)</f>
        <v>1.003</v>
      </c>
      <c r="E976" s="16">
        <f>IFERROR(__xludf.DUMMYFUNCTION("""COMPUTED_VALUE"""),74.0)</f>
        <v>74</v>
      </c>
      <c r="F976" s="19" t="str">
        <f>IFERROR(__xludf.DUMMYFUNCTION("""COMPUTED_VALUE"""),"BLACK")</f>
        <v>BLACK</v>
      </c>
      <c r="G976" s="20" t="str">
        <f>IFERROR(__xludf.DUMMYFUNCTION("""COMPUTED_VALUE"""),"Uncle Sams Cider (04/04/2023)")</f>
        <v>Uncle Sams Cider (04/04/2023)</v>
      </c>
      <c r="H976" s="19"/>
    </row>
    <row r="977">
      <c r="A977" s="9"/>
      <c r="B977" s="15"/>
      <c r="C977" s="9">
        <f>IFERROR(__xludf.DUMMYFUNCTION("""COMPUTED_VALUE"""),45134.4539853703)</f>
        <v>45134.45399</v>
      </c>
      <c r="D977" s="15">
        <f>IFERROR(__xludf.DUMMYFUNCTION("""COMPUTED_VALUE"""),1.003)</f>
        <v>1.003</v>
      </c>
      <c r="E977" s="16">
        <f>IFERROR(__xludf.DUMMYFUNCTION("""COMPUTED_VALUE"""),74.0)</f>
        <v>74</v>
      </c>
      <c r="F977" s="19" t="str">
        <f>IFERROR(__xludf.DUMMYFUNCTION("""COMPUTED_VALUE"""),"BLACK")</f>
        <v>BLACK</v>
      </c>
      <c r="G977" s="20" t="str">
        <f>IFERROR(__xludf.DUMMYFUNCTION("""COMPUTED_VALUE"""),"Uncle Sams Cider (04/04/2023)")</f>
        <v>Uncle Sams Cider (04/04/2023)</v>
      </c>
      <c r="H977" s="19"/>
    </row>
    <row r="978">
      <c r="A978" s="9"/>
      <c r="B978" s="15"/>
      <c r="C978" s="9">
        <f>IFERROR(__xludf.DUMMYFUNCTION("""COMPUTED_VALUE"""),45134.4435630324)</f>
        <v>45134.44356</v>
      </c>
      <c r="D978" s="15">
        <f>IFERROR(__xludf.DUMMYFUNCTION("""COMPUTED_VALUE"""),1.003)</f>
        <v>1.003</v>
      </c>
      <c r="E978" s="16">
        <f>IFERROR(__xludf.DUMMYFUNCTION("""COMPUTED_VALUE"""),74.0)</f>
        <v>74</v>
      </c>
      <c r="F978" s="19" t="str">
        <f>IFERROR(__xludf.DUMMYFUNCTION("""COMPUTED_VALUE"""),"BLACK")</f>
        <v>BLACK</v>
      </c>
      <c r="G978" s="20" t="str">
        <f>IFERROR(__xludf.DUMMYFUNCTION("""COMPUTED_VALUE"""),"Uncle Sams Cider (04/04/2023)")</f>
        <v>Uncle Sams Cider (04/04/2023)</v>
      </c>
      <c r="H978" s="19"/>
    </row>
    <row r="979">
      <c r="A979" s="9"/>
      <c r="B979" s="15"/>
      <c r="C979" s="9">
        <f>IFERROR(__xludf.DUMMYFUNCTION("""COMPUTED_VALUE"""),45134.4226963078)</f>
        <v>45134.4227</v>
      </c>
      <c r="D979" s="15">
        <f>IFERROR(__xludf.DUMMYFUNCTION("""COMPUTED_VALUE"""),1.003)</f>
        <v>1.003</v>
      </c>
      <c r="E979" s="16">
        <f>IFERROR(__xludf.DUMMYFUNCTION("""COMPUTED_VALUE"""),74.0)</f>
        <v>74</v>
      </c>
      <c r="F979" s="19" t="str">
        <f>IFERROR(__xludf.DUMMYFUNCTION("""COMPUTED_VALUE"""),"BLACK")</f>
        <v>BLACK</v>
      </c>
      <c r="G979" s="20" t="str">
        <f>IFERROR(__xludf.DUMMYFUNCTION("""COMPUTED_VALUE"""),"Uncle Sams Cider (04/04/2023)")</f>
        <v>Uncle Sams Cider (04/04/2023)</v>
      </c>
      <c r="H979" s="19"/>
    </row>
    <row r="980">
      <c r="A980" s="9"/>
      <c r="B980" s="15"/>
      <c r="C980" s="9">
        <f>IFERROR(__xludf.DUMMYFUNCTION("""COMPUTED_VALUE"""),45134.4122739467)</f>
        <v>45134.41227</v>
      </c>
      <c r="D980" s="15">
        <f>IFERROR(__xludf.DUMMYFUNCTION("""COMPUTED_VALUE"""),1.003)</f>
        <v>1.003</v>
      </c>
      <c r="E980" s="16">
        <f>IFERROR(__xludf.DUMMYFUNCTION("""COMPUTED_VALUE"""),73.0)</f>
        <v>73</v>
      </c>
      <c r="F980" s="19" t="str">
        <f>IFERROR(__xludf.DUMMYFUNCTION("""COMPUTED_VALUE"""),"BLACK")</f>
        <v>BLACK</v>
      </c>
      <c r="G980" s="20" t="str">
        <f>IFERROR(__xludf.DUMMYFUNCTION("""COMPUTED_VALUE"""),"Uncle Sams Cider (04/04/2023)")</f>
        <v>Uncle Sams Cider (04/04/2023)</v>
      </c>
      <c r="H980" s="19"/>
    </row>
    <row r="981">
      <c r="A981" s="9"/>
      <c r="B981" s="15"/>
      <c r="C981" s="9">
        <f>IFERROR(__xludf.DUMMYFUNCTION("""COMPUTED_VALUE"""),45134.4018523726)</f>
        <v>45134.40185</v>
      </c>
      <c r="D981" s="15">
        <f>IFERROR(__xludf.DUMMYFUNCTION("""COMPUTED_VALUE"""),1.003)</f>
        <v>1.003</v>
      </c>
      <c r="E981" s="16">
        <f>IFERROR(__xludf.DUMMYFUNCTION("""COMPUTED_VALUE"""),74.0)</f>
        <v>74</v>
      </c>
      <c r="F981" s="19" t="str">
        <f>IFERROR(__xludf.DUMMYFUNCTION("""COMPUTED_VALUE"""),"BLACK")</f>
        <v>BLACK</v>
      </c>
      <c r="G981" s="20" t="str">
        <f>IFERROR(__xludf.DUMMYFUNCTION("""COMPUTED_VALUE"""),"Uncle Sams Cider (04/04/2023)")</f>
        <v>Uncle Sams Cider (04/04/2023)</v>
      </c>
      <c r="H981" s="19"/>
    </row>
    <row r="982">
      <c r="A982" s="9"/>
      <c r="B982" s="15"/>
      <c r="C982" s="9">
        <f>IFERROR(__xludf.DUMMYFUNCTION("""COMPUTED_VALUE"""),45134.3914188657)</f>
        <v>45134.39142</v>
      </c>
      <c r="D982" s="15">
        <f>IFERROR(__xludf.DUMMYFUNCTION("""COMPUTED_VALUE"""),1.003)</f>
        <v>1.003</v>
      </c>
      <c r="E982" s="16">
        <f>IFERROR(__xludf.DUMMYFUNCTION("""COMPUTED_VALUE"""),74.0)</f>
        <v>74</v>
      </c>
      <c r="F982" s="19" t="str">
        <f>IFERROR(__xludf.DUMMYFUNCTION("""COMPUTED_VALUE"""),"BLACK")</f>
        <v>BLACK</v>
      </c>
      <c r="G982" s="20" t="str">
        <f>IFERROR(__xludf.DUMMYFUNCTION("""COMPUTED_VALUE"""),"Uncle Sams Cider (04/04/2023)")</f>
        <v>Uncle Sams Cider (04/04/2023)</v>
      </c>
      <c r="H982" s="19"/>
    </row>
    <row r="983">
      <c r="A983" s="9"/>
      <c r="B983" s="15"/>
      <c r="C983" s="9">
        <f>IFERROR(__xludf.DUMMYFUNCTION("""COMPUTED_VALUE"""),45134.3810000463)</f>
        <v>45134.381</v>
      </c>
      <c r="D983" s="15">
        <f>IFERROR(__xludf.DUMMYFUNCTION("""COMPUTED_VALUE"""),1.003)</f>
        <v>1.003</v>
      </c>
      <c r="E983" s="16">
        <f>IFERROR(__xludf.DUMMYFUNCTION("""COMPUTED_VALUE"""),74.0)</f>
        <v>74</v>
      </c>
      <c r="F983" s="19" t="str">
        <f>IFERROR(__xludf.DUMMYFUNCTION("""COMPUTED_VALUE"""),"BLACK")</f>
        <v>BLACK</v>
      </c>
      <c r="G983" s="20" t="str">
        <f>IFERROR(__xludf.DUMMYFUNCTION("""COMPUTED_VALUE"""),"Uncle Sams Cider (04/04/2023)")</f>
        <v>Uncle Sams Cider (04/04/2023)</v>
      </c>
      <c r="H983" s="19"/>
    </row>
    <row r="984">
      <c r="A984" s="9"/>
      <c r="B984" s="15"/>
      <c r="C984" s="9">
        <f>IFERROR(__xludf.DUMMYFUNCTION("""COMPUTED_VALUE"""),45134.3705804166)</f>
        <v>45134.37058</v>
      </c>
      <c r="D984" s="15">
        <f>IFERROR(__xludf.DUMMYFUNCTION("""COMPUTED_VALUE"""),1.003)</f>
        <v>1.003</v>
      </c>
      <c r="E984" s="16">
        <f>IFERROR(__xludf.DUMMYFUNCTION("""COMPUTED_VALUE"""),74.0)</f>
        <v>74</v>
      </c>
      <c r="F984" s="19" t="str">
        <f>IFERROR(__xludf.DUMMYFUNCTION("""COMPUTED_VALUE"""),"BLACK")</f>
        <v>BLACK</v>
      </c>
      <c r="G984" s="20" t="str">
        <f>IFERROR(__xludf.DUMMYFUNCTION("""COMPUTED_VALUE"""),"Uncle Sams Cider (04/04/2023)")</f>
        <v>Uncle Sams Cider (04/04/2023)</v>
      </c>
      <c r="H984" s="19"/>
    </row>
    <row r="985">
      <c r="A985" s="9"/>
      <c r="B985" s="15"/>
      <c r="C985" s="9">
        <f>IFERROR(__xludf.DUMMYFUNCTION("""COMPUTED_VALUE"""),45134.3601591666)</f>
        <v>45134.36016</v>
      </c>
      <c r="D985" s="15">
        <f>IFERROR(__xludf.DUMMYFUNCTION("""COMPUTED_VALUE"""),1.003)</f>
        <v>1.003</v>
      </c>
      <c r="E985" s="16">
        <f>IFERROR(__xludf.DUMMYFUNCTION("""COMPUTED_VALUE"""),74.0)</f>
        <v>74</v>
      </c>
      <c r="F985" s="19" t="str">
        <f>IFERROR(__xludf.DUMMYFUNCTION("""COMPUTED_VALUE"""),"BLACK")</f>
        <v>BLACK</v>
      </c>
      <c r="G985" s="20" t="str">
        <f>IFERROR(__xludf.DUMMYFUNCTION("""COMPUTED_VALUE"""),"Uncle Sams Cider (04/04/2023)")</f>
        <v>Uncle Sams Cider (04/04/2023)</v>
      </c>
      <c r="H985" s="19"/>
    </row>
    <row r="986">
      <c r="A986" s="9"/>
      <c r="B986" s="15"/>
      <c r="C986" s="9">
        <f>IFERROR(__xludf.DUMMYFUNCTION("""COMPUTED_VALUE"""),45134.3497392476)</f>
        <v>45134.34974</v>
      </c>
      <c r="D986" s="15">
        <f>IFERROR(__xludf.DUMMYFUNCTION("""COMPUTED_VALUE"""),1.003)</f>
        <v>1.003</v>
      </c>
      <c r="E986" s="16">
        <f>IFERROR(__xludf.DUMMYFUNCTION("""COMPUTED_VALUE"""),74.0)</f>
        <v>74</v>
      </c>
      <c r="F986" s="19" t="str">
        <f>IFERROR(__xludf.DUMMYFUNCTION("""COMPUTED_VALUE"""),"BLACK")</f>
        <v>BLACK</v>
      </c>
      <c r="G986" s="20" t="str">
        <f>IFERROR(__xludf.DUMMYFUNCTION("""COMPUTED_VALUE"""),"Uncle Sams Cider (04/04/2023)")</f>
        <v>Uncle Sams Cider (04/04/2023)</v>
      </c>
      <c r="H986" s="19"/>
    </row>
    <row r="987">
      <c r="A987" s="9"/>
      <c r="B987" s="15"/>
      <c r="C987" s="9">
        <f>IFERROR(__xludf.DUMMYFUNCTION("""COMPUTED_VALUE"""),45134.3393184375)</f>
        <v>45134.33932</v>
      </c>
      <c r="D987" s="15">
        <f>IFERROR(__xludf.DUMMYFUNCTION("""COMPUTED_VALUE"""),1.003)</f>
        <v>1.003</v>
      </c>
      <c r="E987" s="16">
        <f>IFERROR(__xludf.DUMMYFUNCTION("""COMPUTED_VALUE"""),74.0)</f>
        <v>74</v>
      </c>
      <c r="F987" s="19" t="str">
        <f>IFERROR(__xludf.DUMMYFUNCTION("""COMPUTED_VALUE"""),"BLACK")</f>
        <v>BLACK</v>
      </c>
      <c r="G987" s="20" t="str">
        <f>IFERROR(__xludf.DUMMYFUNCTION("""COMPUTED_VALUE"""),"Uncle Sams Cider (04/04/2023)")</f>
        <v>Uncle Sams Cider (04/04/2023)</v>
      </c>
      <c r="H987" s="19"/>
    </row>
    <row r="988">
      <c r="A988" s="9"/>
      <c r="B988" s="15"/>
      <c r="C988" s="9">
        <f>IFERROR(__xludf.DUMMYFUNCTION("""COMPUTED_VALUE"""),45134.3288869212)</f>
        <v>45134.32889</v>
      </c>
      <c r="D988" s="15">
        <f>IFERROR(__xludf.DUMMYFUNCTION("""COMPUTED_VALUE"""),1.003)</f>
        <v>1.003</v>
      </c>
      <c r="E988" s="16">
        <f>IFERROR(__xludf.DUMMYFUNCTION("""COMPUTED_VALUE"""),74.0)</f>
        <v>74</v>
      </c>
      <c r="F988" s="19" t="str">
        <f>IFERROR(__xludf.DUMMYFUNCTION("""COMPUTED_VALUE"""),"BLACK")</f>
        <v>BLACK</v>
      </c>
      <c r="G988" s="20" t="str">
        <f>IFERROR(__xludf.DUMMYFUNCTION("""COMPUTED_VALUE"""),"Uncle Sams Cider (04/04/2023)")</f>
        <v>Uncle Sams Cider (04/04/2023)</v>
      </c>
      <c r="H988" s="19"/>
    </row>
    <row r="989">
      <c r="A989" s="9"/>
      <c r="B989" s="15"/>
      <c r="C989" s="9">
        <f>IFERROR(__xludf.DUMMYFUNCTION("""COMPUTED_VALUE"""),45134.318467199)</f>
        <v>45134.31847</v>
      </c>
      <c r="D989" s="15">
        <f>IFERROR(__xludf.DUMMYFUNCTION("""COMPUTED_VALUE"""),1.003)</f>
        <v>1.003</v>
      </c>
      <c r="E989" s="16">
        <f>IFERROR(__xludf.DUMMYFUNCTION("""COMPUTED_VALUE"""),74.0)</f>
        <v>74</v>
      </c>
      <c r="F989" s="19" t="str">
        <f>IFERROR(__xludf.DUMMYFUNCTION("""COMPUTED_VALUE"""),"BLACK")</f>
        <v>BLACK</v>
      </c>
      <c r="G989" s="20" t="str">
        <f>IFERROR(__xludf.DUMMYFUNCTION("""COMPUTED_VALUE"""),"Uncle Sams Cider (04/04/2023)")</f>
        <v>Uncle Sams Cider (04/04/2023)</v>
      </c>
      <c r="H989" s="19"/>
    </row>
    <row r="990">
      <c r="A990" s="9"/>
      <c r="B990" s="15"/>
      <c r="C990" s="9">
        <f>IFERROR(__xludf.DUMMYFUNCTION("""COMPUTED_VALUE"""),45134.3080339467)</f>
        <v>45134.30803</v>
      </c>
      <c r="D990" s="15">
        <f>IFERROR(__xludf.DUMMYFUNCTION("""COMPUTED_VALUE"""),1.003)</f>
        <v>1.003</v>
      </c>
      <c r="E990" s="16">
        <f>IFERROR(__xludf.DUMMYFUNCTION("""COMPUTED_VALUE"""),74.0)</f>
        <v>74</v>
      </c>
      <c r="F990" s="19" t="str">
        <f>IFERROR(__xludf.DUMMYFUNCTION("""COMPUTED_VALUE"""),"BLACK")</f>
        <v>BLACK</v>
      </c>
      <c r="G990" s="20" t="str">
        <f>IFERROR(__xludf.DUMMYFUNCTION("""COMPUTED_VALUE"""),"Uncle Sams Cider (04/04/2023)")</f>
        <v>Uncle Sams Cider (04/04/2023)</v>
      </c>
      <c r="H990" s="19"/>
    </row>
    <row r="991">
      <c r="A991" s="9"/>
      <c r="B991" s="15"/>
      <c r="C991" s="9">
        <f>IFERROR(__xludf.DUMMYFUNCTION("""COMPUTED_VALUE"""),45134.2976005787)</f>
        <v>45134.2976</v>
      </c>
      <c r="D991" s="15">
        <f>IFERROR(__xludf.DUMMYFUNCTION("""COMPUTED_VALUE"""),1.003)</f>
        <v>1.003</v>
      </c>
      <c r="E991" s="16">
        <f>IFERROR(__xludf.DUMMYFUNCTION("""COMPUTED_VALUE"""),74.0)</f>
        <v>74</v>
      </c>
      <c r="F991" s="19" t="str">
        <f>IFERROR(__xludf.DUMMYFUNCTION("""COMPUTED_VALUE"""),"BLACK")</f>
        <v>BLACK</v>
      </c>
      <c r="G991" s="20" t="str">
        <f>IFERROR(__xludf.DUMMYFUNCTION("""COMPUTED_VALUE"""),"Uncle Sams Cider (04/04/2023)")</f>
        <v>Uncle Sams Cider (04/04/2023)</v>
      </c>
      <c r="H991" s="19"/>
    </row>
    <row r="992">
      <c r="A992" s="9"/>
      <c r="B992" s="15"/>
      <c r="C992" s="9">
        <f>IFERROR(__xludf.DUMMYFUNCTION("""COMPUTED_VALUE"""),45134.2871777662)</f>
        <v>45134.28718</v>
      </c>
      <c r="D992" s="15">
        <f>IFERROR(__xludf.DUMMYFUNCTION("""COMPUTED_VALUE"""),1.003)</f>
        <v>1.003</v>
      </c>
      <c r="E992" s="16">
        <f>IFERROR(__xludf.DUMMYFUNCTION("""COMPUTED_VALUE"""),73.0)</f>
        <v>73</v>
      </c>
      <c r="F992" s="19" t="str">
        <f>IFERROR(__xludf.DUMMYFUNCTION("""COMPUTED_VALUE"""),"BLACK")</f>
        <v>BLACK</v>
      </c>
      <c r="G992" s="20" t="str">
        <f>IFERROR(__xludf.DUMMYFUNCTION("""COMPUTED_VALUE"""),"Uncle Sams Cider (04/04/2023)")</f>
        <v>Uncle Sams Cider (04/04/2023)</v>
      </c>
      <c r="H992" s="19"/>
    </row>
    <row r="993">
      <c r="A993" s="9"/>
      <c r="B993" s="15"/>
      <c r="C993" s="9">
        <f>IFERROR(__xludf.DUMMYFUNCTION("""COMPUTED_VALUE"""),45134.2767569097)</f>
        <v>45134.27676</v>
      </c>
      <c r="D993" s="15">
        <f>IFERROR(__xludf.DUMMYFUNCTION("""COMPUTED_VALUE"""),1.003)</f>
        <v>1.003</v>
      </c>
      <c r="E993" s="16">
        <f>IFERROR(__xludf.DUMMYFUNCTION("""COMPUTED_VALUE"""),74.0)</f>
        <v>74</v>
      </c>
      <c r="F993" s="19" t="str">
        <f>IFERROR(__xludf.DUMMYFUNCTION("""COMPUTED_VALUE"""),"BLACK")</f>
        <v>BLACK</v>
      </c>
      <c r="G993" s="20" t="str">
        <f>IFERROR(__xludf.DUMMYFUNCTION("""COMPUTED_VALUE"""),"Uncle Sams Cider (04/04/2023)")</f>
        <v>Uncle Sams Cider (04/04/2023)</v>
      </c>
      <c r="H993" s="19"/>
    </row>
    <row r="994">
      <c r="A994" s="9"/>
      <c r="B994" s="15"/>
      <c r="C994" s="9">
        <f>IFERROR(__xludf.DUMMYFUNCTION("""COMPUTED_VALUE"""),45134.2663354629)</f>
        <v>45134.26634</v>
      </c>
      <c r="D994" s="15">
        <f>IFERROR(__xludf.DUMMYFUNCTION("""COMPUTED_VALUE"""),1.003)</f>
        <v>1.003</v>
      </c>
      <c r="E994" s="16">
        <f>IFERROR(__xludf.DUMMYFUNCTION("""COMPUTED_VALUE"""),74.0)</f>
        <v>74</v>
      </c>
      <c r="F994" s="19" t="str">
        <f>IFERROR(__xludf.DUMMYFUNCTION("""COMPUTED_VALUE"""),"BLACK")</f>
        <v>BLACK</v>
      </c>
      <c r="G994" s="20" t="str">
        <f>IFERROR(__xludf.DUMMYFUNCTION("""COMPUTED_VALUE"""),"Uncle Sams Cider (04/04/2023)")</f>
        <v>Uncle Sams Cider (04/04/2023)</v>
      </c>
      <c r="H994" s="19"/>
    </row>
    <row r="995">
      <c r="A995" s="9"/>
      <c r="B995" s="15"/>
      <c r="C995" s="9">
        <f>IFERROR(__xludf.DUMMYFUNCTION("""COMPUTED_VALUE"""),45134.2559144676)</f>
        <v>45134.25591</v>
      </c>
      <c r="D995" s="15">
        <f>IFERROR(__xludf.DUMMYFUNCTION("""COMPUTED_VALUE"""),1.003)</f>
        <v>1.003</v>
      </c>
      <c r="E995" s="16">
        <f>IFERROR(__xludf.DUMMYFUNCTION("""COMPUTED_VALUE"""),73.0)</f>
        <v>73</v>
      </c>
      <c r="F995" s="19" t="str">
        <f>IFERROR(__xludf.DUMMYFUNCTION("""COMPUTED_VALUE"""),"BLACK")</f>
        <v>BLACK</v>
      </c>
      <c r="G995" s="20" t="str">
        <f>IFERROR(__xludf.DUMMYFUNCTION("""COMPUTED_VALUE"""),"Uncle Sams Cider (04/04/2023)")</f>
        <v>Uncle Sams Cider (04/04/2023)</v>
      </c>
      <c r="H995" s="19"/>
    </row>
    <row r="996">
      <c r="A996" s="9"/>
      <c r="B996" s="15"/>
      <c r="C996" s="9">
        <f>IFERROR(__xludf.DUMMYFUNCTION("""COMPUTED_VALUE"""),45134.2454935416)</f>
        <v>45134.24549</v>
      </c>
      <c r="D996" s="15">
        <f>IFERROR(__xludf.DUMMYFUNCTION("""COMPUTED_VALUE"""),1.003)</f>
        <v>1.003</v>
      </c>
      <c r="E996" s="16">
        <f>IFERROR(__xludf.DUMMYFUNCTION("""COMPUTED_VALUE"""),74.0)</f>
        <v>74</v>
      </c>
      <c r="F996" s="19" t="str">
        <f>IFERROR(__xludf.DUMMYFUNCTION("""COMPUTED_VALUE"""),"BLACK")</f>
        <v>BLACK</v>
      </c>
      <c r="G996" s="20" t="str">
        <f>IFERROR(__xludf.DUMMYFUNCTION("""COMPUTED_VALUE"""),"Uncle Sams Cider (04/04/2023)")</f>
        <v>Uncle Sams Cider (04/04/2023)</v>
      </c>
      <c r="H996" s="19"/>
    </row>
    <row r="997">
      <c r="A997" s="9"/>
      <c r="B997" s="15"/>
      <c r="C997" s="9">
        <f>IFERROR(__xludf.DUMMYFUNCTION("""COMPUTED_VALUE"""),45134.2350717708)</f>
        <v>45134.23507</v>
      </c>
      <c r="D997" s="15">
        <f>IFERROR(__xludf.DUMMYFUNCTION("""COMPUTED_VALUE"""),1.003)</f>
        <v>1.003</v>
      </c>
      <c r="E997" s="16">
        <f>IFERROR(__xludf.DUMMYFUNCTION("""COMPUTED_VALUE"""),73.0)</f>
        <v>73</v>
      </c>
      <c r="F997" s="19" t="str">
        <f>IFERROR(__xludf.DUMMYFUNCTION("""COMPUTED_VALUE"""),"BLACK")</f>
        <v>BLACK</v>
      </c>
      <c r="G997" s="20" t="str">
        <f>IFERROR(__xludf.DUMMYFUNCTION("""COMPUTED_VALUE"""),"Uncle Sams Cider (04/04/2023)")</f>
        <v>Uncle Sams Cider (04/04/2023)</v>
      </c>
      <c r="H997" s="19"/>
    </row>
    <row r="998">
      <c r="A998" s="9"/>
      <c r="B998" s="15"/>
      <c r="C998" s="9">
        <f>IFERROR(__xludf.DUMMYFUNCTION("""COMPUTED_VALUE"""),45134.2246497106)</f>
        <v>45134.22465</v>
      </c>
      <c r="D998" s="15">
        <f>IFERROR(__xludf.DUMMYFUNCTION("""COMPUTED_VALUE"""),1.003)</f>
        <v>1.003</v>
      </c>
      <c r="E998" s="16">
        <f>IFERROR(__xludf.DUMMYFUNCTION("""COMPUTED_VALUE"""),74.0)</f>
        <v>74</v>
      </c>
      <c r="F998" s="19" t="str">
        <f>IFERROR(__xludf.DUMMYFUNCTION("""COMPUTED_VALUE"""),"BLACK")</f>
        <v>BLACK</v>
      </c>
      <c r="G998" s="20" t="str">
        <f>IFERROR(__xludf.DUMMYFUNCTION("""COMPUTED_VALUE"""),"Uncle Sams Cider (04/04/2023)")</f>
        <v>Uncle Sams Cider (04/04/2023)</v>
      </c>
      <c r="H998" s="19"/>
    </row>
    <row r="999">
      <c r="A999" s="9"/>
      <c r="B999" s="15"/>
      <c r="C999" s="9">
        <f>IFERROR(__xludf.DUMMYFUNCTION("""COMPUTED_VALUE"""),45134.2142270601)</f>
        <v>45134.21423</v>
      </c>
      <c r="D999" s="15">
        <f>IFERROR(__xludf.DUMMYFUNCTION("""COMPUTED_VALUE"""),1.003)</f>
        <v>1.003</v>
      </c>
      <c r="E999" s="16">
        <f>IFERROR(__xludf.DUMMYFUNCTION("""COMPUTED_VALUE"""),73.0)</f>
        <v>73</v>
      </c>
      <c r="F999" s="19" t="str">
        <f>IFERROR(__xludf.DUMMYFUNCTION("""COMPUTED_VALUE"""),"BLACK")</f>
        <v>BLACK</v>
      </c>
      <c r="G999" s="20" t="str">
        <f>IFERROR(__xludf.DUMMYFUNCTION("""COMPUTED_VALUE"""),"Uncle Sams Cider (04/04/2023)")</f>
        <v>Uncle Sams Cider (04/04/2023)</v>
      </c>
      <c r="H999" s="19"/>
    </row>
    <row r="1000">
      <c r="A1000" s="9"/>
      <c r="B1000" s="15"/>
      <c r="C1000" s="9">
        <f>IFERROR(__xludf.DUMMYFUNCTION("""COMPUTED_VALUE"""),45134.2037826736)</f>
        <v>45134.20378</v>
      </c>
      <c r="D1000" s="15">
        <f>IFERROR(__xludf.DUMMYFUNCTION("""COMPUTED_VALUE"""),1.003)</f>
        <v>1.003</v>
      </c>
      <c r="E1000" s="16">
        <f>IFERROR(__xludf.DUMMYFUNCTION("""COMPUTED_VALUE"""),74.0)</f>
        <v>74</v>
      </c>
      <c r="F1000" s="19" t="str">
        <f>IFERROR(__xludf.DUMMYFUNCTION("""COMPUTED_VALUE"""),"BLACK")</f>
        <v>BLACK</v>
      </c>
      <c r="G1000" s="20" t="str">
        <f>IFERROR(__xludf.DUMMYFUNCTION("""COMPUTED_VALUE"""),"Uncle Sams Cider (04/04/2023)")</f>
        <v>Uncle Sams Cider (04/04/2023)</v>
      </c>
      <c r="H1000" s="19"/>
    </row>
    <row r="1001">
      <c r="A1001" s="9"/>
      <c r="B1001" s="15"/>
      <c r="C1001" s="9">
        <f>IFERROR(__xludf.DUMMYFUNCTION("""COMPUTED_VALUE"""),45134.1933626273)</f>
        <v>45134.19336</v>
      </c>
      <c r="D1001" s="15">
        <f>IFERROR(__xludf.DUMMYFUNCTION("""COMPUTED_VALUE"""),1.003)</f>
        <v>1.003</v>
      </c>
      <c r="E1001" s="16">
        <f>IFERROR(__xludf.DUMMYFUNCTION("""COMPUTED_VALUE"""),73.0)</f>
        <v>73</v>
      </c>
      <c r="F1001" s="19" t="str">
        <f>IFERROR(__xludf.DUMMYFUNCTION("""COMPUTED_VALUE"""),"BLACK")</f>
        <v>BLACK</v>
      </c>
      <c r="G1001" s="20" t="str">
        <f>IFERROR(__xludf.DUMMYFUNCTION("""COMPUTED_VALUE"""),"Uncle Sams Cider (04/04/2023)")</f>
        <v>Uncle Sams Cider (04/04/2023)</v>
      </c>
      <c r="H1001" s="19"/>
    </row>
    <row r="1002">
      <c r="A1002" s="9"/>
      <c r="B1002" s="15"/>
      <c r="C1002" s="9">
        <f>IFERROR(__xludf.DUMMYFUNCTION("""COMPUTED_VALUE"""),45134.1829422222)</f>
        <v>45134.18294</v>
      </c>
      <c r="D1002" s="15">
        <f>IFERROR(__xludf.DUMMYFUNCTION("""COMPUTED_VALUE"""),1.003)</f>
        <v>1.003</v>
      </c>
      <c r="E1002" s="16">
        <f>IFERROR(__xludf.DUMMYFUNCTION("""COMPUTED_VALUE"""),73.0)</f>
        <v>73</v>
      </c>
      <c r="F1002" s="19" t="str">
        <f>IFERROR(__xludf.DUMMYFUNCTION("""COMPUTED_VALUE"""),"BLACK")</f>
        <v>BLACK</v>
      </c>
      <c r="G1002" s="20" t="str">
        <f>IFERROR(__xludf.DUMMYFUNCTION("""COMPUTED_VALUE"""),"Uncle Sams Cider (04/04/2023)")</f>
        <v>Uncle Sams Cider (04/04/2023)</v>
      </c>
      <c r="H1002" s="19"/>
    </row>
    <row r="1003">
      <c r="A1003" s="9"/>
      <c r="B1003" s="15"/>
      <c r="C1003" s="9">
        <f>IFERROR(__xludf.DUMMYFUNCTION("""COMPUTED_VALUE"""),45134.1725211574)</f>
        <v>45134.17252</v>
      </c>
      <c r="D1003" s="15">
        <f>IFERROR(__xludf.DUMMYFUNCTION("""COMPUTED_VALUE"""),1.003)</f>
        <v>1.003</v>
      </c>
      <c r="E1003" s="16">
        <f>IFERROR(__xludf.DUMMYFUNCTION("""COMPUTED_VALUE"""),74.0)</f>
        <v>74</v>
      </c>
      <c r="F1003" s="19" t="str">
        <f>IFERROR(__xludf.DUMMYFUNCTION("""COMPUTED_VALUE"""),"BLACK")</f>
        <v>BLACK</v>
      </c>
      <c r="G1003" s="20" t="str">
        <f>IFERROR(__xludf.DUMMYFUNCTION("""COMPUTED_VALUE"""),"Uncle Sams Cider (04/04/2023)")</f>
        <v>Uncle Sams Cider (04/04/2023)</v>
      </c>
      <c r="H1003" s="19"/>
    </row>
    <row r="1004">
      <c r="A1004" s="9"/>
      <c r="B1004" s="15"/>
      <c r="C1004" s="9">
        <f>IFERROR(__xludf.DUMMYFUNCTION("""COMPUTED_VALUE"""),45134.1621006713)</f>
        <v>45134.1621</v>
      </c>
      <c r="D1004" s="15">
        <f>IFERROR(__xludf.DUMMYFUNCTION("""COMPUTED_VALUE"""),1.003)</f>
        <v>1.003</v>
      </c>
      <c r="E1004" s="16">
        <f>IFERROR(__xludf.DUMMYFUNCTION("""COMPUTED_VALUE"""),74.0)</f>
        <v>74</v>
      </c>
      <c r="F1004" s="19" t="str">
        <f>IFERROR(__xludf.DUMMYFUNCTION("""COMPUTED_VALUE"""),"BLACK")</f>
        <v>BLACK</v>
      </c>
      <c r="G1004" s="20" t="str">
        <f>IFERROR(__xludf.DUMMYFUNCTION("""COMPUTED_VALUE"""),"Uncle Sams Cider (04/04/2023)")</f>
        <v>Uncle Sams Cider (04/04/2023)</v>
      </c>
      <c r="H1004" s="19"/>
    </row>
    <row r="1005">
      <c r="A1005" s="9"/>
      <c r="B1005" s="15"/>
      <c r="C1005" s="9">
        <f>IFERROR(__xludf.DUMMYFUNCTION("""COMPUTED_VALUE"""),45134.151678993)</f>
        <v>45134.15168</v>
      </c>
      <c r="D1005" s="15">
        <f>IFERROR(__xludf.DUMMYFUNCTION("""COMPUTED_VALUE"""),1.003)</f>
        <v>1.003</v>
      </c>
      <c r="E1005" s="16">
        <f>IFERROR(__xludf.DUMMYFUNCTION("""COMPUTED_VALUE"""),73.0)</f>
        <v>73</v>
      </c>
      <c r="F1005" s="19" t="str">
        <f>IFERROR(__xludf.DUMMYFUNCTION("""COMPUTED_VALUE"""),"BLACK")</f>
        <v>BLACK</v>
      </c>
      <c r="G1005" s="20" t="str">
        <f>IFERROR(__xludf.DUMMYFUNCTION("""COMPUTED_VALUE"""),"Uncle Sams Cider (04/04/2023)")</f>
        <v>Uncle Sams Cider (04/04/2023)</v>
      </c>
      <c r="H1005" s="19"/>
    </row>
    <row r="1006">
      <c r="A1006" s="9"/>
      <c r="B1006" s="15"/>
      <c r="C1006" s="9">
        <f>IFERROR(__xludf.DUMMYFUNCTION("""COMPUTED_VALUE"""),45134.1412584953)</f>
        <v>45134.14126</v>
      </c>
      <c r="D1006" s="15">
        <f>IFERROR(__xludf.DUMMYFUNCTION("""COMPUTED_VALUE"""),1.003)</f>
        <v>1.003</v>
      </c>
      <c r="E1006" s="16">
        <f>IFERROR(__xludf.DUMMYFUNCTION("""COMPUTED_VALUE"""),73.0)</f>
        <v>73</v>
      </c>
      <c r="F1006" s="19" t="str">
        <f>IFERROR(__xludf.DUMMYFUNCTION("""COMPUTED_VALUE"""),"BLACK")</f>
        <v>BLACK</v>
      </c>
      <c r="G1006" s="20" t="str">
        <f>IFERROR(__xludf.DUMMYFUNCTION("""COMPUTED_VALUE"""),"Uncle Sams Cider (04/04/2023)")</f>
        <v>Uncle Sams Cider (04/04/2023)</v>
      </c>
      <c r="H1006" s="19"/>
    </row>
    <row r="1007">
      <c r="A1007" s="9"/>
      <c r="B1007" s="15"/>
      <c r="C1007" s="9">
        <f>IFERROR(__xludf.DUMMYFUNCTION("""COMPUTED_VALUE"""),45134.1308377083)</f>
        <v>45134.13084</v>
      </c>
      <c r="D1007" s="15">
        <f>IFERROR(__xludf.DUMMYFUNCTION("""COMPUTED_VALUE"""),1.003)</f>
        <v>1.003</v>
      </c>
      <c r="E1007" s="16">
        <f>IFERROR(__xludf.DUMMYFUNCTION("""COMPUTED_VALUE"""),73.0)</f>
        <v>73</v>
      </c>
      <c r="F1007" s="19" t="str">
        <f>IFERROR(__xludf.DUMMYFUNCTION("""COMPUTED_VALUE"""),"BLACK")</f>
        <v>BLACK</v>
      </c>
      <c r="G1007" s="20" t="str">
        <f>IFERROR(__xludf.DUMMYFUNCTION("""COMPUTED_VALUE"""),"Uncle Sams Cider (04/04/2023)")</f>
        <v>Uncle Sams Cider (04/04/2023)</v>
      </c>
      <c r="H1007" s="19"/>
    </row>
    <row r="1008">
      <c r="A1008" s="9"/>
      <c r="B1008" s="15"/>
      <c r="C1008" s="9">
        <f>IFERROR(__xludf.DUMMYFUNCTION("""COMPUTED_VALUE"""),45134.1204156597)</f>
        <v>45134.12042</v>
      </c>
      <c r="D1008" s="15">
        <f>IFERROR(__xludf.DUMMYFUNCTION("""COMPUTED_VALUE"""),1.003)</f>
        <v>1.003</v>
      </c>
      <c r="E1008" s="16">
        <f>IFERROR(__xludf.DUMMYFUNCTION("""COMPUTED_VALUE"""),73.0)</f>
        <v>73</v>
      </c>
      <c r="F1008" s="19" t="str">
        <f>IFERROR(__xludf.DUMMYFUNCTION("""COMPUTED_VALUE"""),"BLACK")</f>
        <v>BLACK</v>
      </c>
      <c r="G1008" s="20" t="str">
        <f>IFERROR(__xludf.DUMMYFUNCTION("""COMPUTED_VALUE"""),"Uncle Sams Cider (04/04/2023)")</f>
        <v>Uncle Sams Cider (04/04/2023)</v>
      </c>
      <c r="H1008" s="19"/>
    </row>
    <row r="1009">
      <c r="A1009" s="9"/>
      <c r="B1009" s="15"/>
      <c r="C1009" s="9">
        <f>IFERROR(__xludf.DUMMYFUNCTION("""COMPUTED_VALUE"""),45134.1099935185)</f>
        <v>45134.10999</v>
      </c>
      <c r="D1009" s="15">
        <f>IFERROR(__xludf.DUMMYFUNCTION("""COMPUTED_VALUE"""),1.003)</f>
        <v>1.003</v>
      </c>
      <c r="E1009" s="16">
        <f>IFERROR(__xludf.DUMMYFUNCTION("""COMPUTED_VALUE"""),73.0)</f>
        <v>73</v>
      </c>
      <c r="F1009" s="19" t="str">
        <f>IFERROR(__xludf.DUMMYFUNCTION("""COMPUTED_VALUE"""),"BLACK")</f>
        <v>BLACK</v>
      </c>
      <c r="G1009" s="20" t="str">
        <f>IFERROR(__xludf.DUMMYFUNCTION("""COMPUTED_VALUE"""),"Uncle Sams Cider (04/04/2023)")</f>
        <v>Uncle Sams Cider (04/04/2023)</v>
      </c>
      <c r="H1009" s="19"/>
    </row>
    <row r="1010">
      <c r="A1010" s="9"/>
      <c r="B1010" s="15"/>
      <c r="C1010" s="9">
        <f>IFERROR(__xludf.DUMMYFUNCTION("""COMPUTED_VALUE"""),45134.0995717129)</f>
        <v>45134.09957</v>
      </c>
      <c r="D1010" s="15">
        <f>IFERROR(__xludf.DUMMYFUNCTION("""COMPUTED_VALUE"""),1.003)</f>
        <v>1.003</v>
      </c>
      <c r="E1010" s="16">
        <f>IFERROR(__xludf.DUMMYFUNCTION("""COMPUTED_VALUE"""),73.0)</f>
        <v>73</v>
      </c>
      <c r="F1010" s="19" t="str">
        <f>IFERROR(__xludf.DUMMYFUNCTION("""COMPUTED_VALUE"""),"BLACK")</f>
        <v>BLACK</v>
      </c>
      <c r="G1010" s="20" t="str">
        <f>IFERROR(__xludf.DUMMYFUNCTION("""COMPUTED_VALUE"""),"Uncle Sams Cider (04/04/2023)")</f>
        <v>Uncle Sams Cider (04/04/2023)</v>
      </c>
      <c r="H1010" s="19"/>
    </row>
    <row r="1011">
      <c r="A1011" s="9"/>
      <c r="B1011" s="15"/>
      <c r="C1011" s="9">
        <f>IFERROR(__xludf.DUMMYFUNCTION("""COMPUTED_VALUE"""),45134.0891536226)</f>
        <v>45134.08915</v>
      </c>
      <c r="D1011" s="15">
        <f>IFERROR(__xludf.DUMMYFUNCTION("""COMPUTED_VALUE"""),1.003)</f>
        <v>1.003</v>
      </c>
      <c r="E1011" s="16">
        <f>IFERROR(__xludf.DUMMYFUNCTION("""COMPUTED_VALUE"""),73.0)</f>
        <v>73</v>
      </c>
      <c r="F1011" s="19" t="str">
        <f>IFERROR(__xludf.DUMMYFUNCTION("""COMPUTED_VALUE"""),"BLACK")</f>
        <v>BLACK</v>
      </c>
      <c r="G1011" s="20" t="str">
        <f>IFERROR(__xludf.DUMMYFUNCTION("""COMPUTED_VALUE"""),"Uncle Sams Cider (04/04/2023)")</f>
        <v>Uncle Sams Cider (04/04/2023)</v>
      </c>
      <c r="H1011" s="19"/>
    </row>
    <row r="1012">
      <c r="A1012" s="9"/>
      <c r="B1012" s="15"/>
      <c r="C1012" s="9">
        <f>IFERROR(__xludf.DUMMYFUNCTION("""COMPUTED_VALUE"""),45134.0787201388)</f>
        <v>45134.07872</v>
      </c>
      <c r="D1012" s="15">
        <f>IFERROR(__xludf.DUMMYFUNCTION("""COMPUTED_VALUE"""),1.003)</f>
        <v>1.003</v>
      </c>
      <c r="E1012" s="16">
        <f>IFERROR(__xludf.DUMMYFUNCTION("""COMPUTED_VALUE"""),73.0)</f>
        <v>73</v>
      </c>
      <c r="F1012" s="19" t="str">
        <f>IFERROR(__xludf.DUMMYFUNCTION("""COMPUTED_VALUE"""),"BLACK")</f>
        <v>BLACK</v>
      </c>
      <c r="G1012" s="20" t="str">
        <f>IFERROR(__xludf.DUMMYFUNCTION("""COMPUTED_VALUE"""),"Uncle Sams Cider (04/04/2023)")</f>
        <v>Uncle Sams Cider (04/04/2023)</v>
      </c>
      <c r="H1012" s="19"/>
    </row>
    <row r="1013">
      <c r="A1013" s="9"/>
      <c r="B1013" s="15"/>
      <c r="C1013" s="9">
        <f>IFERROR(__xludf.DUMMYFUNCTION("""COMPUTED_VALUE"""),45134.0682983912)</f>
        <v>45134.0683</v>
      </c>
      <c r="D1013" s="15">
        <f>IFERROR(__xludf.DUMMYFUNCTION("""COMPUTED_VALUE"""),1.003)</f>
        <v>1.003</v>
      </c>
      <c r="E1013" s="16">
        <f>IFERROR(__xludf.DUMMYFUNCTION("""COMPUTED_VALUE"""),73.0)</f>
        <v>73</v>
      </c>
      <c r="F1013" s="19" t="str">
        <f>IFERROR(__xludf.DUMMYFUNCTION("""COMPUTED_VALUE"""),"BLACK")</f>
        <v>BLACK</v>
      </c>
      <c r="G1013" s="20" t="str">
        <f>IFERROR(__xludf.DUMMYFUNCTION("""COMPUTED_VALUE"""),"Uncle Sams Cider (04/04/2023)")</f>
        <v>Uncle Sams Cider (04/04/2023)</v>
      </c>
      <c r="H1013" s="19"/>
    </row>
    <row r="1014">
      <c r="A1014" s="9"/>
      <c r="B1014" s="15"/>
      <c r="C1014" s="9">
        <f>IFERROR(__xludf.DUMMYFUNCTION("""COMPUTED_VALUE"""),45134.0474576851)</f>
        <v>45134.04746</v>
      </c>
      <c r="D1014" s="15">
        <f>IFERROR(__xludf.DUMMYFUNCTION("""COMPUTED_VALUE"""),1.003)</f>
        <v>1.003</v>
      </c>
      <c r="E1014" s="16">
        <f>IFERROR(__xludf.DUMMYFUNCTION("""COMPUTED_VALUE"""),73.0)</f>
        <v>73</v>
      </c>
      <c r="F1014" s="19" t="str">
        <f>IFERROR(__xludf.DUMMYFUNCTION("""COMPUTED_VALUE"""),"BLACK")</f>
        <v>BLACK</v>
      </c>
      <c r="G1014" s="20" t="str">
        <f>IFERROR(__xludf.DUMMYFUNCTION("""COMPUTED_VALUE"""),"Uncle Sams Cider (04/04/2023)")</f>
        <v>Uncle Sams Cider (04/04/2023)</v>
      </c>
      <c r="H1014" s="19"/>
    </row>
    <row r="1015">
      <c r="A1015" s="9"/>
      <c r="B1015" s="15"/>
      <c r="C1015" s="9">
        <f>IFERROR(__xludf.DUMMYFUNCTION("""COMPUTED_VALUE"""),45134.0370237037)</f>
        <v>45134.03702</v>
      </c>
      <c r="D1015" s="15">
        <f>IFERROR(__xludf.DUMMYFUNCTION("""COMPUTED_VALUE"""),1.003)</f>
        <v>1.003</v>
      </c>
      <c r="E1015" s="16">
        <f>IFERROR(__xludf.DUMMYFUNCTION("""COMPUTED_VALUE"""),73.0)</f>
        <v>73</v>
      </c>
      <c r="F1015" s="19" t="str">
        <f>IFERROR(__xludf.DUMMYFUNCTION("""COMPUTED_VALUE"""),"BLACK")</f>
        <v>BLACK</v>
      </c>
      <c r="G1015" s="20" t="str">
        <f>IFERROR(__xludf.DUMMYFUNCTION("""COMPUTED_VALUE"""),"Uncle Sams Cider (04/04/2023)")</f>
        <v>Uncle Sams Cider (04/04/2023)</v>
      </c>
      <c r="H1015" s="19"/>
    </row>
    <row r="1016">
      <c r="A1016" s="9"/>
      <c r="B1016" s="15"/>
      <c r="C1016" s="9">
        <f>IFERROR(__xludf.DUMMYFUNCTION("""COMPUTED_VALUE"""),45134.0266031597)</f>
        <v>45134.0266</v>
      </c>
      <c r="D1016" s="15">
        <f>IFERROR(__xludf.DUMMYFUNCTION("""COMPUTED_VALUE"""),1.003)</f>
        <v>1.003</v>
      </c>
      <c r="E1016" s="16">
        <f>IFERROR(__xludf.DUMMYFUNCTION("""COMPUTED_VALUE"""),73.0)</f>
        <v>73</v>
      </c>
      <c r="F1016" s="19" t="str">
        <f>IFERROR(__xludf.DUMMYFUNCTION("""COMPUTED_VALUE"""),"BLACK")</f>
        <v>BLACK</v>
      </c>
      <c r="G1016" s="20" t="str">
        <f>IFERROR(__xludf.DUMMYFUNCTION("""COMPUTED_VALUE"""),"Uncle Sams Cider (04/04/2023)")</f>
        <v>Uncle Sams Cider (04/04/2023)</v>
      </c>
      <c r="H1016" s="19"/>
    </row>
    <row r="1017">
      <c r="A1017" s="9"/>
      <c r="B1017" s="15"/>
      <c r="C1017" s="9">
        <f>IFERROR(__xludf.DUMMYFUNCTION("""COMPUTED_VALUE"""),45134.0161720138)</f>
        <v>45134.01617</v>
      </c>
      <c r="D1017" s="15">
        <f>IFERROR(__xludf.DUMMYFUNCTION("""COMPUTED_VALUE"""),1.003)</f>
        <v>1.003</v>
      </c>
      <c r="E1017" s="16">
        <f>IFERROR(__xludf.DUMMYFUNCTION("""COMPUTED_VALUE"""),73.0)</f>
        <v>73</v>
      </c>
      <c r="F1017" s="19" t="str">
        <f>IFERROR(__xludf.DUMMYFUNCTION("""COMPUTED_VALUE"""),"BLACK")</f>
        <v>BLACK</v>
      </c>
      <c r="G1017" s="20" t="str">
        <f>IFERROR(__xludf.DUMMYFUNCTION("""COMPUTED_VALUE"""),"Uncle Sams Cider (04/04/2023)")</f>
        <v>Uncle Sams Cider (04/04/2023)</v>
      </c>
      <c r="H1017" s="19"/>
    </row>
    <row r="1018">
      <c r="A1018" s="9"/>
      <c r="B1018" s="15"/>
      <c r="C1018" s="9">
        <f>IFERROR(__xludf.DUMMYFUNCTION("""COMPUTED_VALUE"""),45134.0057496643)</f>
        <v>45134.00575</v>
      </c>
      <c r="D1018" s="15">
        <f>IFERROR(__xludf.DUMMYFUNCTION("""COMPUTED_VALUE"""),1.003)</f>
        <v>1.003</v>
      </c>
      <c r="E1018" s="16">
        <f>IFERROR(__xludf.DUMMYFUNCTION("""COMPUTED_VALUE"""),73.0)</f>
        <v>73</v>
      </c>
      <c r="F1018" s="19" t="str">
        <f>IFERROR(__xludf.DUMMYFUNCTION("""COMPUTED_VALUE"""),"BLACK")</f>
        <v>BLACK</v>
      </c>
      <c r="G1018" s="20" t="str">
        <f>IFERROR(__xludf.DUMMYFUNCTION("""COMPUTED_VALUE"""),"Uncle Sams Cider (04/04/2023)")</f>
        <v>Uncle Sams Cider (04/04/2023)</v>
      </c>
      <c r="H1018" s="19"/>
    </row>
    <row r="1019">
      <c r="A1019" s="9"/>
      <c r="B1019" s="15"/>
      <c r="C1019" s="9">
        <f>IFERROR(__xludf.DUMMYFUNCTION("""COMPUTED_VALUE"""),45133.9953277083)</f>
        <v>45133.99533</v>
      </c>
      <c r="D1019" s="15">
        <f>IFERROR(__xludf.DUMMYFUNCTION("""COMPUTED_VALUE"""),1.003)</f>
        <v>1.003</v>
      </c>
      <c r="E1019" s="16">
        <f>IFERROR(__xludf.DUMMYFUNCTION("""COMPUTED_VALUE"""),73.0)</f>
        <v>73</v>
      </c>
      <c r="F1019" s="19" t="str">
        <f>IFERROR(__xludf.DUMMYFUNCTION("""COMPUTED_VALUE"""),"BLACK")</f>
        <v>BLACK</v>
      </c>
      <c r="G1019" s="20" t="str">
        <f>IFERROR(__xludf.DUMMYFUNCTION("""COMPUTED_VALUE"""),"Uncle Sams Cider (04/04/2023)")</f>
        <v>Uncle Sams Cider (04/04/2023)</v>
      </c>
      <c r="H1019" s="19"/>
    </row>
    <row r="1020">
      <c r="A1020" s="9"/>
      <c r="B1020" s="15"/>
      <c r="C1020" s="9">
        <f>IFERROR(__xludf.DUMMYFUNCTION("""COMPUTED_VALUE"""),45133.9848941203)</f>
        <v>45133.98489</v>
      </c>
      <c r="D1020" s="15">
        <f>IFERROR(__xludf.DUMMYFUNCTION("""COMPUTED_VALUE"""),1.003)</f>
        <v>1.003</v>
      </c>
      <c r="E1020" s="16">
        <f>IFERROR(__xludf.DUMMYFUNCTION("""COMPUTED_VALUE"""),73.0)</f>
        <v>73</v>
      </c>
      <c r="F1020" s="19" t="str">
        <f>IFERROR(__xludf.DUMMYFUNCTION("""COMPUTED_VALUE"""),"BLACK")</f>
        <v>BLACK</v>
      </c>
      <c r="G1020" s="20" t="str">
        <f>IFERROR(__xludf.DUMMYFUNCTION("""COMPUTED_VALUE"""),"Uncle Sams Cider (04/04/2023)")</f>
        <v>Uncle Sams Cider (04/04/2023)</v>
      </c>
      <c r="H1020" s="19"/>
    </row>
    <row r="1021">
      <c r="A1021" s="9"/>
      <c r="B1021" s="15"/>
      <c r="C1021" s="9">
        <f>IFERROR(__xludf.DUMMYFUNCTION("""COMPUTED_VALUE"""),45133.9744701388)</f>
        <v>45133.97447</v>
      </c>
      <c r="D1021" s="15">
        <f>IFERROR(__xludf.DUMMYFUNCTION("""COMPUTED_VALUE"""),1.003)</f>
        <v>1.003</v>
      </c>
      <c r="E1021" s="16">
        <f>IFERROR(__xludf.DUMMYFUNCTION("""COMPUTED_VALUE"""),73.0)</f>
        <v>73</v>
      </c>
      <c r="F1021" s="19" t="str">
        <f>IFERROR(__xludf.DUMMYFUNCTION("""COMPUTED_VALUE"""),"BLACK")</f>
        <v>BLACK</v>
      </c>
      <c r="G1021" s="20" t="str">
        <f>IFERROR(__xludf.DUMMYFUNCTION("""COMPUTED_VALUE"""),"Uncle Sams Cider (04/04/2023)")</f>
        <v>Uncle Sams Cider (04/04/2023)</v>
      </c>
      <c r="H1021" s="19"/>
    </row>
    <row r="1022">
      <c r="A1022" s="9"/>
      <c r="B1022" s="15"/>
      <c r="C1022" s="9">
        <f>IFERROR(__xludf.DUMMYFUNCTION("""COMPUTED_VALUE"""),45133.9640496064)</f>
        <v>45133.96405</v>
      </c>
      <c r="D1022" s="15">
        <f>IFERROR(__xludf.DUMMYFUNCTION("""COMPUTED_VALUE"""),1.003)</f>
        <v>1.003</v>
      </c>
      <c r="E1022" s="16">
        <f>IFERROR(__xludf.DUMMYFUNCTION("""COMPUTED_VALUE"""),73.0)</f>
        <v>73</v>
      </c>
      <c r="F1022" s="19" t="str">
        <f>IFERROR(__xludf.DUMMYFUNCTION("""COMPUTED_VALUE"""),"BLACK")</f>
        <v>BLACK</v>
      </c>
      <c r="G1022" s="20" t="str">
        <f>IFERROR(__xludf.DUMMYFUNCTION("""COMPUTED_VALUE"""),"Uncle Sams Cider (04/04/2023)")</f>
        <v>Uncle Sams Cider (04/04/2023)</v>
      </c>
      <c r="H1022" s="19"/>
    </row>
    <row r="1023">
      <c r="A1023" s="9"/>
      <c r="B1023" s="15"/>
      <c r="C1023" s="9">
        <f>IFERROR(__xludf.DUMMYFUNCTION("""COMPUTED_VALUE"""),45133.9536276388)</f>
        <v>45133.95363</v>
      </c>
      <c r="D1023" s="15">
        <f>IFERROR(__xludf.DUMMYFUNCTION("""COMPUTED_VALUE"""),1.003)</f>
        <v>1.003</v>
      </c>
      <c r="E1023" s="16">
        <f>IFERROR(__xludf.DUMMYFUNCTION("""COMPUTED_VALUE"""),73.0)</f>
        <v>73</v>
      </c>
      <c r="F1023" s="19" t="str">
        <f>IFERROR(__xludf.DUMMYFUNCTION("""COMPUTED_VALUE"""),"BLACK")</f>
        <v>BLACK</v>
      </c>
      <c r="G1023" s="20" t="str">
        <f>IFERROR(__xludf.DUMMYFUNCTION("""COMPUTED_VALUE"""),"Uncle Sams Cider (04/04/2023)")</f>
        <v>Uncle Sams Cider (04/04/2023)</v>
      </c>
      <c r="H1023" s="19"/>
    </row>
    <row r="1024">
      <c r="A1024" s="9"/>
      <c r="B1024" s="15"/>
      <c r="C1024" s="9">
        <f>IFERROR(__xludf.DUMMYFUNCTION("""COMPUTED_VALUE"""),45133.9432075347)</f>
        <v>45133.94321</v>
      </c>
      <c r="D1024" s="15">
        <f>IFERROR(__xludf.DUMMYFUNCTION("""COMPUTED_VALUE"""),1.003)</f>
        <v>1.003</v>
      </c>
      <c r="E1024" s="16">
        <f>IFERROR(__xludf.DUMMYFUNCTION("""COMPUTED_VALUE"""),73.0)</f>
        <v>73</v>
      </c>
      <c r="F1024" s="19" t="str">
        <f>IFERROR(__xludf.DUMMYFUNCTION("""COMPUTED_VALUE"""),"BLACK")</f>
        <v>BLACK</v>
      </c>
      <c r="G1024" s="20" t="str">
        <f>IFERROR(__xludf.DUMMYFUNCTION("""COMPUTED_VALUE"""),"Uncle Sams Cider (04/04/2023)")</f>
        <v>Uncle Sams Cider (04/04/2023)</v>
      </c>
      <c r="H1024" s="19"/>
    </row>
    <row r="1025">
      <c r="A1025" s="9"/>
      <c r="B1025" s="15"/>
      <c r="C1025" s="9">
        <f>IFERROR(__xludf.DUMMYFUNCTION("""COMPUTED_VALUE"""),45133.9327863773)</f>
        <v>45133.93279</v>
      </c>
      <c r="D1025" s="15">
        <f>IFERROR(__xludf.DUMMYFUNCTION("""COMPUTED_VALUE"""),1.003)</f>
        <v>1.003</v>
      </c>
      <c r="E1025" s="16">
        <f>IFERROR(__xludf.DUMMYFUNCTION("""COMPUTED_VALUE"""),73.0)</f>
        <v>73</v>
      </c>
      <c r="F1025" s="19" t="str">
        <f>IFERROR(__xludf.DUMMYFUNCTION("""COMPUTED_VALUE"""),"BLACK")</f>
        <v>BLACK</v>
      </c>
      <c r="G1025" s="20" t="str">
        <f>IFERROR(__xludf.DUMMYFUNCTION("""COMPUTED_VALUE"""),"Uncle Sams Cider (04/04/2023)")</f>
        <v>Uncle Sams Cider (04/04/2023)</v>
      </c>
      <c r="H1025" s="19"/>
    </row>
    <row r="1026">
      <c r="A1026" s="9"/>
      <c r="B1026" s="15"/>
      <c r="C1026" s="9">
        <f>IFERROR(__xludf.DUMMYFUNCTION("""COMPUTED_VALUE"""),45133.9223645138)</f>
        <v>45133.92236</v>
      </c>
      <c r="D1026" s="15">
        <f>IFERROR(__xludf.DUMMYFUNCTION("""COMPUTED_VALUE"""),1.003)</f>
        <v>1.003</v>
      </c>
      <c r="E1026" s="16">
        <f>IFERROR(__xludf.DUMMYFUNCTION("""COMPUTED_VALUE"""),73.0)</f>
        <v>73</v>
      </c>
      <c r="F1026" s="19" t="str">
        <f>IFERROR(__xludf.DUMMYFUNCTION("""COMPUTED_VALUE"""),"BLACK")</f>
        <v>BLACK</v>
      </c>
      <c r="G1026" s="20" t="str">
        <f>IFERROR(__xludf.DUMMYFUNCTION("""COMPUTED_VALUE"""),"Uncle Sams Cider (04/04/2023)")</f>
        <v>Uncle Sams Cider (04/04/2023)</v>
      </c>
      <c r="H1026" s="19"/>
    </row>
    <row r="1027">
      <c r="A1027" s="9"/>
      <c r="B1027" s="15"/>
      <c r="C1027" s="9">
        <f>IFERROR(__xludf.DUMMYFUNCTION("""COMPUTED_VALUE"""),45133.9119423032)</f>
        <v>45133.91194</v>
      </c>
      <c r="D1027" s="15">
        <f>IFERROR(__xludf.DUMMYFUNCTION("""COMPUTED_VALUE"""),1.003)</f>
        <v>1.003</v>
      </c>
      <c r="E1027" s="16">
        <f>IFERROR(__xludf.DUMMYFUNCTION("""COMPUTED_VALUE"""),73.0)</f>
        <v>73</v>
      </c>
      <c r="F1027" s="19" t="str">
        <f>IFERROR(__xludf.DUMMYFUNCTION("""COMPUTED_VALUE"""),"BLACK")</f>
        <v>BLACK</v>
      </c>
      <c r="G1027" s="20" t="str">
        <f>IFERROR(__xludf.DUMMYFUNCTION("""COMPUTED_VALUE"""),"Uncle Sams Cider (04/04/2023)")</f>
        <v>Uncle Sams Cider (04/04/2023)</v>
      </c>
      <c r="H1027" s="19"/>
    </row>
    <row r="1028">
      <c r="A1028" s="9"/>
      <c r="B1028" s="15"/>
      <c r="C1028" s="9">
        <f>IFERROR(__xludf.DUMMYFUNCTION("""COMPUTED_VALUE"""),45133.9015215162)</f>
        <v>45133.90152</v>
      </c>
      <c r="D1028" s="15">
        <f>IFERROR(__xludf.DUMMYFUNCTION("""COMPUTED_VALUE"""),1.003)</f>
        <v>1.003</v>
      </c>
      <c r="E1028" s="16">
        <f>IFERROR(__xludf.DUMMYFUNCTION("""COMPUTED_VALUE"""),73.0)</f>
        <v>73</v>
      </c>
      <c r="F1028" s="19" t="str">
        <f>IFERROR(__xludf.DUMMYFUNCTION("""COMPUTED_VALUE"""),"BLACK")</f>
        <v>BLACK</v>
      </c>
      <c r="G1028" s="20" t="str">
        <f>IFERROR(__xludf.DUMMYFUNCTION("""COMPUTED_VALUE"""),"Uncle Sams Cider (04/04/2023)")</f>
        <v>Uncle Sams Cider (04/04/2023)</v>
      </c>
      <c r="H1028" s="19"/>
    </row>
    <row r="1029">
      <c r="A1029" s="9"/>
      <c r="B1029" s="15"/>
      <c r="C1029" s="9">
        <f>IFERROR(__xludf.DUMMYFUNCTION("""COMPUTED_VALUE"""),45133.8910995601)</f>
        <v>45133.8911</v>
      </c>
      <c r="D1029" s="15">
        <f>IFERROR(__xludf.DUMMYFUNCTION("""COMPUTED_VALUE"""),1.003)</f>
        <v>1.003</v>
      </c>
      <c r="E1029" s="16">
        <f>IFERROR(__xludf.DUMMYFUNCTION("""COMPUTED_VALUE"""),73.0)</f>
        <v>73</v>
      </c>
      <c r="F1029" s="19" t="str">
        <f>IFERROR(__xludf.DUMMYFUNCTION("""COMPUTED_VALUE"""),"BLACK")</f>
        <v>BLACK</v>
      </c>
      <c r="G1029" s="20" t="str">
        <f>IFERROR(__xludf.DUMMYFUNCTION("""COMPUTED_VALUE"""),"Uncle Sams Cider (04/04/2023)")</f>
        <v>Uncle Sams Cider (04/04/2023)</v>
      </c>
      <c r="H1029" s="19"/>
    </row>
    <row r="1030">
      <c r="A1030" s="9"/>
      <c r="B1030" s="15"/>
      <c r="C1030" s="9">
        <f>IFERROR(__xludf.DUMMYFUNCTION("""COMPUTED_VALUE"""),45133.8806796412)</f>
        <v>45133.88068</v>
      </c>
      <c r="D1030" s="15">
        <f>IFERROR(__xludf.DUMMYFUNCTION("""COMPUTED_VALUE"""),1.003)</f>
        <v>1.003</v>
      </c>
      <c r="E1030" s="16">
        <f>IFERROR(__xludf.DUMMYFUNCTION("""COMPUTED_VALUE"""),73.0)</f>
        <v>73</v>
      </c>
      <c r="F1030" s="19" t="str">
        <f>IFERROR(__xludf.DUMMYFUNCTION("""COMPUTED_VALUE"""),"BLACK")</f>
        <v>BLACK</v>
      </c>
      <c r="G1030" s="20" t="str">
        <f>IFERROR(__xludf.DUMMYFUNCTION("""COMPUTED_VALUE"""),"Uncle Sams Cider (04/04/2023)")</f>
        <v>Uncle Sams Cider (04/04/2023)</v>
      </c>
      <c r="H1030" s="19"/>
    </row>
    <row r="1031">
      <c r="A1031" s="9"/>
      <c r="B1031" s="15"/>
      <c r="C1031" s="9">
        <f>IFERROR(__xludf.DUMMYFUNCTION("""COMPUTED_VALUE"""),45133.8702567592)</f>
        <v>45133.87026</v>
      </c>
      <c r="D1031" s="15">
        <f>IFERROR(__xludf.DUMMYFUNCTION("""COMPUTED_VALUE"""),1.003)</f>
        <v>1.003</v>
      </c>
      <c r="E1031" s="16">
        <f>IFERROR(__xludf.DUMMYFUNCTION("""COMPUTED_VALUE"""),73.0)</f>
        <v>73</v>
      </c>
      <c r="F1031" s="19" t="str">
        <f>IFERROR(__xludf.DUMMYFUNCTION("""COMPUTED_VALUE"""),"BLACK")</f>
        <v>BLACK</v>
      </c>
      <c r="G1031" s="20" t="str">
        <f>IFERROR(__xludf.DUMMYFUNCTION("""COMPUTED_VALUE"""),"Uncle Sams Cider (04/04/2023)")</f>
        <v>Uncle Sams Cider (04/04/2023)</v>
      </c>
      <c r="H1031" s="19"/>
    </row>
    <row r="1032">
      <c r="A1032" s="9"/>
      <c r="B1032" s="15"/>
      <c r="C1032" s="9">
        <f>IFERROR(__xludf.DUMMYFUNCTION("""COMPUTED_VALUE"""),45133.8598333564)</f>
        <v>45133.85983</v>
      </c>
      <c r="D1032" s="15">
        <f>IFERROR(__xludf.DUMMYFUNCTION("""COMPUTED_VALUE"""),1.003)</f>
        <v>1.003</v>
      </c>
      <c r="E1032" s="16">
        <f>IFERROR(__xludf.DUMMYFUNCTION("""COMPUTED_VALUE"""),73.0)</f>
        <v>73</v>
      </c>
      <c r="F1032" s="19" t="str">
        <f>IFERROR(__xludf.DUMMYFUNCTION("""COMPUTED_VALUE"""),"BLACK")</f>
        <v>BLACK</v>
      </c>
      <c r="G1032" s="20" t="str">
        <f>IFERROR(__xludf.DUMMYFUNCTION("""COMPUTED_VALUE"""),"Uncle Sams Cider (04/04/2023)")</f>
        <v>Uncle Sams Cider (04/04/2023)</v>
      </c>
      <c r="H1032" s="19"/>
    </row>
    <row r="1033">
      <c r="A1033" s="9"/>
      <c r="B1033" s="15"/>
      <c r="C1033" s="9">
        <f>IFERROR(__xludf.DUMMYFUNCTION("""COMPUTED_VALUE"""),45133.8494123726)</f>
        <v>45133.84941</v>
      </c>
      <c r="D1033" s="15">
        <f>IFERROR(__xludf.DUMMYFUNCTION("""COMPUTED_VALUE"""),1.003)</f>
        <v>1.003</v>
      </c>
      <c r="E1033" s="16">
        <f>IFERROR(__xludf.DUMMYFUNCTION("""COMPUTED_VALUE"""),73.0)</f>
        <v>73</v>
      </c>
      <c r="F1033" s="19" t="str">
        <f>IFERROR(__xludf.DUMMYFUNCTION("""COMPUTED_VALUE"""),"BLACK")</f>
        <v>BLACK</v>
      </c>
      <c r="G1033" s="20" t="str">
        <f>IFERROR(__xludf.DUMMYFUNCTION("""COMPUTED_VALUE"""),"Uncle Sams Cider (04/04/2023)")</f>
        <v>Uncle Sams Cider (04/04/2023)</v>
      </c>
      <c r="H1033" s="19"/>
    </row>
    <row r="1034">
      <c r="A1034" s="9"/>
      <c r="B1034" s="15"/>
      <c r="C1034" s="9">
        <f>IFERROR(__xludf.DUMMYFUNCTION("""COMPUTED_VALUE"""),45133.8389915625)</f>
        <v>45133.83899</v>
      </c>
      <c r="D1034" s="15">
        <f>IFERROR(__xludf.DUMMYFUNCTION("""COMPUTED_VALUE"""),1.003)</f>
        <v>1.003</v>
      </c>
      <c r="E1034" s="16">
        <f>IFERROR(__xludf.DUMMYFUNCTION("""COMPUTED_VALUE"""),73.0)</f>
        <v>73</v>
      </c>
      <c r="F1034" s="19" t="str">
        <f>IFERROR(__xludf.DUMMYFUNCTION("""COMPUTED_VALUE"""),"BLACK")</f>
        <v>BLACK</v>
      </c>
      <c r="G1034" s="20" t="str">
        <f>IFERROR(__xludf.DUMMYFUNCTION("""COMPUTED_VALUE"""),"Uncle Sams Cider (04/04/2023)")</f>
        <v>Uncle Sams Cider (04/04/2023)</v>
      </c>
      <c r="H1034" s="19"/>
    </row>
    <row r="1035">
      <c r="A1035" s="9"/>
      <c r="B1035" s="15"/>
      <c r="C1035" s="9">
        <f>IFERROR(__xludf.DUMMYFUNCTION("""COMPUTED_VALUE"""),45133.8285703819)</f>
        <v>45133.82857</v>
      </c>
      <c r="D1035" s="15">
        <f>IFERROR(__xludf.DUMMYFUNCTION("""COMPUTED_VALUE"""),1.003)</f>
        <v>1.003</v>
      </c>
      <c r="E1035" s="16">
        <f>IFERROR(__xludf.DUMMYFUNCTION("""COMPUTED_VALUE"""),73.0)</f>
        <v>73</v>
      </c>
      <c r="F1035" s="19" t="str">
        <f>IFERROR(__xludf.DUMMYFUNCTION("""COMPUTED_VALUE"""),"BLACK")</f>
        <v>BLACK</v>
      </c>
      <c r="G1035" s="20" t="str">
        <f>IFERROR(__xludf.DUMMYFUNCTION("""COMPUTED_VALUE"""),"Uncle Sams Cider (04/04/2023)")</f>
        <v>Uncle Sams Cider (04/04/2023)</v>
      </c>
      <c r="H1035" s="19"/>
    </row>
    <row r="1036">
      <c r="A1036" s="9"/>
      <c r="B1036" s="15"/>
      <c r="C1036" s="9">
        <f>IFERROR(__xludf.DUMMYFUNCTION("""COMPUTED_VALUE"""),45133.8181499421)</f>
        <v>45133.81815</v>
      </c>
      <c r="D1036" s="15">
        <f>IFERROR(__xludf.DUMMYFUNCTION("""COMPUTED_VALUE"""),1.003)</f>
        <v>1.003</v>
      </c>
      <c r="E1036" s="16">
        <f>IFERROR(__xludf.DUMMYFUNCTION("""COMPUTED_VALUE"""),73.0)</f>
        <v>73</v>
      </c>
      <c r="F1036" s="19" t="str">
        <f>IFERROR(__xludf.DUMMYFUNCTION("""COMPUTED_VALUE"""),"BLACK")</f>
        <v>BLACK</v>
      </c>
      <c r="G1036" s="20" t="str">
        <f>IFERROR(__xludf.DUMMYFUNCTION("""COMPUTED_VALUE"""),"Uncle Sams Cider (04/04/2023)")</f>
        <v>Uncle Sams Cider (04/04/2023)</v>
      </c>
      <c r="H1036" s="19"/>
    </row>
    <row r="1037">
      <c r="A1037" s="9"/>
      <c r="B1037" s="15"/>
      <c r="C1037" s="9">
        <f>IFERROR(__xludf.DUMMYFUNCTION("""COMPUTED_VALUE"""),45133.8077159838)</f>
        <v>45133.80772</v>
      </c>
      <c r="D1037" s="15">
        <f>IFERROR(__xludf.DUMMYFUNCTION("""COMPUTED_VALUE"""),1.003)</f>
        <v>1.003</v>
      </c>
      <c r="E1037" s="16">
        <f>IFERROR(__xludf.DUMMYFUNCTION("""COMPUTED_VALUE"""),73.0)</f>
        <v>73</v>
      </c>
      <c r="F1037" s="19" t="str">
        <f>IFERROR(__xludf.DUMMYFUNCTION("""COMPUTED_VALUE"""),"BLACK")</f>
        <v>BLACK</v>
      </c>
      <c r="G1037" s="20" t="str">
        <f>IFERROR(__xludf.DUMMYFUNCTION("""COMPUTED_VALUE"""),"Uncle Sams Cider (04/04/2023)")</f>
        <v>Uncle Sams Cider (04/04/2023)</v>
      </c>
      <c r="H1037" s="19"/>
    </row>
    <row r="1038">
      <c r="A1038" s="9"/>
      <c r="B1038" s="15"/>
      <c r="C1038" s="9">
        <f>IFERROR(__xludf.DUMMYFUNCTION("""COMPUTED_VALUE"""),45133.7972970601)</f>
        <v>45133.7973</v>
      </c>
      <c r="D1038" s="15">
        <f>IFERROR(__xludf.DUMMYFUNCTION("""COMPUTED_VALUE"""),1.003)</f>
        <v>1.003</v>
      </c>
      <c r="E1038" s="16">
        <f>IFERROR(__xludf.DUMMYFUNCTION("""COMPUTED_VALUE"""),73.0)</f>
        <v>73</v>
      </c>
      <c r="F1038" s="19" t="str">
        <f>IFERROR(__xludf.DUMMYFUNCTION("""COMPUTED_VALUE"""),"BLACK")</f>
        <v>BLACK</v>
      </c>
      <c r="G1038" s="20" t="str">
        <f>IFERROR(__xludf.DUMMYFUNCTION("""COMPUTED_VALUE"""),"Uncle Sams Cider (04/04/2023)")</f>
        <v>Uncle Sams Cider (04/04/2023)</v>
      </c>
      <c r="H1038" s="19"/>
    </row>
    <row r="1039">
      <c r="A1039" s="9"/>
      <c r="B1039" s="15"/>
      <c r="C1039" s="9">
        <f>IFERROR(__xludf.DUMMYFUNCTION("""COMPUTED_VALUE"""),45133.786873912)</f>
        <v>45133.78687</v>
      </c>
      <c r="D1039" s="15">
        <f>IFERROR(__xludf.DUMMYFUNCTION("""COMPUTED_VALUE"""),1.003)</f>
        <v>1.003</v>
      </c>
      <c r="E1039" s="16">
        <f>IFERROR(__xludf.DUMMYFUNCTION("""COMPUTED_VALUE"""),73.0)</f>
        <v>73</v>
      </c>
      <c r="F1039" s="19" t="str">
        <f>IFERROR(__xludf.DUMMYFUNCTION("""COMPUTED_VALUE"""),"BLACK")</f>
        <v>BLACK</v>
      </c>
      <c r="G1039" s="20" t="str">
        <f>IFERROR(__xludf.DUMMYFUNCTION("""COMPUTED_VALUE"""),"Uncle Sams Cider (04/04/2023)")</f>
        <v>Uncle Sams Cider (04/04/2023)</v>
      </c>
      <c r="H1039" s="19"/>
    </row>
    <row r="1040">
      <c r="A1040" s="9"/>
      <c r="B1040" s="15"/>
      <c r="C1040" s="9">
        <f>IFERROR(__xludf.DUMMYFUNCTION("""COMPUTED_VALUE"""),45133.7764512384)</f>
        <v>45133.77645</v>
      </c>
      <c r="D1040" s="15">
        <f>IFERROR(__xludf.DUMMYFUNCTION("""COMPUTED_VALUE"""),1.003)</f>
        <v>1.003</v>
      </c>
      <c r="E1040" s="16">
        <f>IFERROR(__xludf.DUMMYFUNCTION("""COMPUTED_VALUE"""),73.0)</f>
        <v>73</v>
      </c>
      <c r="F1040" s="19" t="str">
        <f>IFERROR(__xludf.DUMMYFUNCTION("""COMPUTED_VALUE"""),"BLACK")</f>
        <v>BLACK</v>
      </c>
      <c r="G1040" s="20" t="str">
        <f>IFERROR(__xludf.DUMMYFUNCTION("""COMPUTED_VALUE"""),"Uncle Sams Cider (04/04/2023)")</f>
        <v>Uncle Sams Cider (04/04/2023)</v>
      </c>
      <c r="H1040" s="19"/>
    </row>
    <row r="1041">
      <c r="A1041" s="9"/>
      <c r="B1041" s="15"/>
      <c r="C1041" s="9">
        <f>IFERROR(__xludf.DUMMYFUNCTION("""COMPUTED_VALUE"""),45133.7660292939)</f>
        <v>45133.76603</v>
      </c>
      <c r="D1041" s="15">
        <f>IFERROR(__xludf.DUMMYFUNCTION("""COMPUTED_VALUE"""),1.003)</f>
        <v>1.003</v>
      </c>
      <c r="E1041" s="16">
        <f>IFERROR(__xludf.DUMMYFUNCTION("""COMPUTED_VALUE"""),73.0)</f>
        <v>73</v>
      </c>
      <c r="F1041" s="19" t="str">
        <f>IFERROR(__xludf.DUMMYFUNCTION("""COMPUTED_VALUE"""),"BLACK")</f>
        <v>BLACK</v>
      </c>
      <c r="G1041" s="20" t="str">
        <f>IFERROR(__xludf.DUMMYFUNCTION("""COMPUTED_VALUE"""),"Uncle Sams Cider (04/04/2023)")</f>
        <v>Uncle Sams Cider (04/04/2023)</v>
      </c>
      <c r="H1041" s="19"/>
    </row>
    <row r="1042">
      <c r="A1042" s="9"/>
      <c r="B1042" s="15"/>
      <c r="C1042" s="9">
        <f>IFERROR(__xludf.DUMMYFUNCTION("""COMPUTED_VALUE"""),45133.7555980324)</f>
        <v>45133.7556</v>
      </c>
      <c r="D1042" s="15">
        <f>IFERROR(__xludf.DUMMYFUNCTION("""COMPUTED_VALUE"""),1.003)</f>
        <v>1.003</v>
      </c>
      <c r="E1042" s="16">
        <f>IFERROR(__xludf.DUMMYFUNCTION("""COMPUTED_VALUE"""),73.0)</f>
        <v>73</v>
      </c>
      <c r="F1042" s="19" t="str">
        <f>IFERROR(__xludf.DUMMYFUNCTION("""COMPUTED_VALUE"""),"BLACK")</f>
        <v>BLACK</v>
      </c>
      <c r="G1042" s="20" t="str">
        <f>IFERROR(__xludf.DUMMYFUNCTION("""COMPUTED_VALUE"""),"Uncle Sams Cider (04/04/2023)")</f>
        <v>Uncle Sams Cider (04/04/2023)</v>
      </c>
      <c r="H1042" s="19"/>
    </row>
    <row r="1043">
      <c r="A1043" s="9"/>
      <c r="B1043" s="15"/>
      <c r="C1043" s="9">
        <f>IFERROR(__xludf.DUMMYFUNCTION("""COMPUTED_VALUE"""),45133.7451774305)</f>
        <v>45133.74518</v>
      </c>
      <c r="D1043" s="15">
        <f>IFERROR(__xludf.DUMMYFUNCTION("""COMPUTED_VALUE"""),1.003)</f>
        <v>1.003</v>
      </c>
      <c r="E1043" s="16">
        <f>IFERROR(__xludf.DUMMYFUNCTION("""COMPUTED_VALUE"""),73.0)</f>
        <v>73</v>
      </c>
      <c r="F1043" s="19" t="str">
        <f>IFERROR(__xludf.DUMMYFUNCTION("""COMPUTED_VALUE"""),"BLACK")</f>
        <v>BLACK</v>
      </c>
      <c r="G1043" s="20" t="str">
        <f>IFERROR(__xludf.DUMMYFUNCTION("""COMPUTED_VALUE"""),"Uncle Sams Cider (04/04/2023)")</f>
        <v>Uncle Sams Cider (04/04/2023)</v>
      </c>
      <c r="H1043" s="19"/>
    </row>
    <row r="1044">
      <c r="A1044" s="9"/>
      <c r="B1044" s="15"/>
      <c r="C1044" s="9">
        <f>IFERROR(__xludf.DUMMYFUNCTION("""COMPUTED_VALUE"""),45133.7347561226)</f>
        <v>45133.73476</v>
      </c>
      <c r="D1044" s="15">
        <f>IFERROR(__xludf.DUMMYFUNCTION("""COMPUTED_VALUE"""),1.003)</f>
        <v>1.003</v>
      </c>
      <c r="E1044" s="16">
        <f>IFERROR(__xludf.DUMMYFUNCTION("""COMPUTED_VALUE"""),73.0)</f>
        <v>73</v>
      </c>
      <c r="F1044" s="19" t="str">
        <f>IFERROR(__xludf.DUMMYFUNCTION("""COMPUTED_VALUE"""),"BLACK")</f>
        <v>BLACK</v>
      </c>
      <c r="G1044" s="20" t="str">
        <f>IFERROR(__xludf.DUMMYFUNCTION("""COMPUTED_VALUE"""),"Uncle Sams Cider (04/04/2023)")</f>
        <v>Uncle Sams Cider (04/04/2023)</v>
      </c>
      <c r="H1044" s="19"/>
    </row>
    <row r="1045">
      <c r="A1045" s="9"/>
      <c r="B1045" s="15"/>
      <c r="C1045" s="9">
        <f>IFERROR(__xludf.DUMMYFUNCTION("""COMPUTED_VALUE"""),45133.7243231944)</f>
        <v>45133.72432</v>
      </c>
      <c r="D1045" s="15">
        <f>IFERROR(__xludf.DUMMYFUNCTION("""COMPUTED_VALUE"""),1.003)</f>
        <v>1.003</v>
      </c>
      <c r="E1045" s="16">
        <f>IFERROR(__xludf.DUMMYFUNCTION("""COMPUTED_VALUE"""),73.0)</f>
        <v>73</v>
      </c>
      <c r="F1045" s="19" t="str">
        <f>IFERROR(__xludf.DUMMYFUNCTION("""COMPUTED_VALUE"""),"BLACK")</f>
        <v>BLACK</v>
      </c>
      <c r="G1045" s="20" t="str">
        <f>IFERROR(__xludf.DUMMYFUNCTION("""COMPUTED_VALUE"""),"Uncle Sams Cider (04/04/2023)")</f>
        <v>Uncle Sams Cider (04/04/2023)</v>
      </c>
      <c r="H1045" s="19"/>
    </row>
    <row r="1046">
      <c r="A1046" s="9"/>
      <c r="B1046" s="15"/>
      <c r="C1046" s="9">
        <f>IFERROR(__xludf.DUMMYFUNCTION("""COMPUTED_VALUE"""),45133.7139017939)</f>
        <v>45133.7139</v>
      </c>
      <c r="D1046" s="15">
        <f>IFERROR(__xludf.DUMMYFUNCTION("""COMPUTED_VALUE"""),1.003)</f>
        <v>1.003</v>
      </c>
      <c r="E1046" s="16">
        <f>IFERROR(__xludf.DUMMYFUNCTION("""COMPUTED_VALUE"""),73.0)</f>
        <v>73</v>
      </c>
      <c r="F1046" s="19" t="str">
        <f>IFERROR(__xludf.DUMMYFUNCTION("""COMPUTED_VALUE"""),"BLACK")</f>
        <v>BLACK</v>
      </c>
      <c r="G1046" s="20" t="str">
        <f>IFERROR(__xludf.DUMMYFUNCTION("""COMPUTED_VALUE"""),"Uncle Sams Cider (04/04/2023)")</f>
        <v>Uncle Sams Cider (04/04/2023)</v>
      </c>
      <c r="H1046" s="19"/>
    </row>
    <row r="1047">
      <c r="A1047" s="9"/>
      <c r="B1047" s="15"/>
      <c r="C1047" s="9">
        <f>IFERROR(__xludf.DUMMYFUNCTION("""COMPUTED_VALUE"""),45133.703468125)</f>
        <v>45133.70347</v>
      </c>
      <c r="D1047" s="15">
        <f>IFERROR(__xludf.DUMMYFUNCTION("""COMPUTED_VALUE"""),1.003)</f>
        <v>1.003</v>
      </c>
      <c r="E1047" s="16">
        <f>IFERROR(__xludf.DUMMYFUNCTION("""COMPUTED_VALUE"""),73.0)</f>
        <v>73</v>
      </c>
      <c r="F1047" s="19" t="str">
        <f>IFERROR(__xludf.DUMMYFUNCTION("""COMPUTED_VALUE"""),"BLACK")</f>
        <v>BLACK</v>
      </c>
      <c r="G1047" s="20" t="str">
        <f>IFERROR(__xludf.DUMMYFUNCTION("""COMPUTED_VALUE"""),"Uncle Sams Cider (04/04/2023)")</f>
        <v>Uncle Sams Cider (04/04/2023)</v>
      </c>
      <c r="H1047" s="19"/>
    </row>
    <row r="1048">
      <c r="A1048" s="9"/>
      <c r="B1048" s="15"/>
      <c r="C1048" s="9">
        <f>IFERROR(__xludf.DUMMYFUNCTION("""COMPUTED_VALUE"""),45133.6930467476)</f>
        <v>45133.69305</v>
      </c>
      <c r="D1048" s="15">
        <f>IFERROR(__xludf.DUMMYFUNCTION("""COMPUTED_VALUE"""),1.003)</f>
        <v>1.003</v>
      </c>
      <c r="E1048" s="16">
        <f>IFERROR(__xludf.DUMMYFUNCTION("""COMPUTED_VALUE"""),73.0)</f>
        <v>73</v>
      </c>
      <c r="F1048" s="19" t="str">
        <f>IFERROR(__xludf.DUMMYFUNCTION("""COMPUTED_VALUE"""),"BLACK")</f>
        <v>BLACK</v>
      </c>
      <c r="G1048" s="20" t="str">
        <f>IFERROR(__xludf.DUMMYFUNCTION("""COMPUTED_VALUE"""),"Uncle Sams Cider (04/04/2023)")</f>
        <v>Uncle Sams Cider (04/04/2023)</v>
      </c>
      <c r="H1048" s="19"/>
    </row>
    <row r="1049">
      <c r="A1049" s="9"/>
      <c r="B1049" s="15"/>
      <c r="C1049" s="9">
        <f>IFERROR(__xludf.DUMMYFUNCTION("""COMPUTED_VALUE"""),45133.6826255787)</f>
        <v>45133.68263</v>
      </c>
      <c r="D1049" s="15">
        <f>IFERROR(__xludf.DUMMYFUNCTION("""COMPUTED_VALUE"""),1.003)</f>
        <v>1.003</v>
      </c>
      <c r="E1049" s="16">
        <f>IFERROR(__xludf.DUMMYFUNCTION("""COMPUTED_VALUE"""),73.0)</f>
        <v>73</v>
      </c>
      <c r="F1049" s="19" t="str">
        <f>IFERROR(__xludf.DUMMYFUNCTION("""COMPUTED_VALUE"""),"BLACK")</f>
        <v>BLACK</v>
      </c>
      <c r="G1049" s="20" t="str">
        <f>IFERROR(__xludf.DUMMYFUNCTION("""COMPUTED_VALUE"""),"Uncle Sams Cider (04/04/2023)")</f>
        <v>Uncle Sams Cider (04/04/2023)</v>
      </c>
      <c r="H1049" s="19"/>
    </row>
    <row r="1050">
      <c r="A1050" s="9"/>
      <c r="B1050" s="15"/>
      <c r="C1050" s="9">
        <f>IFERROR(__xludf.DUMMYFUNCTION("""COMPUTED_VALUE"""),45133.6722030902)</f>
        <v>45133.6722</v>
      </c>
      <c r="D1050" s="15">
        <f>IFERROR(__xludf.DUMMYFUNCTION("""COMPUTED_VALUE"""),1.003)</f>
        <v>1.003</v>
      </c>
      <c r="E1050" s="16">
        <f>IFERROR(__xludf.DUMMYFUNCTION("""COMPUTED_VALUE"""),73.0)</f>
        <v>73</v>
      </c>
      <c r="F1050" s="19" t="str">
        <f>IFERROR(__xludf.DUMMYFUNCTION("""COMPUTED_VALUE"""),"BLACK")</f>
        <v>BLACK</v>
      </c>
      <c r="G1050" s="20" t="str">
        <f>IFERROR(__xludf.DUMMYFUNCTION("""COMPUTED_VALUE"""),"Uncle Sams Cider (04/04/2023)")</f>
        <v>Uncle Sams Cider (04/04/2023)</v>
      </c>
      <c r="H1050" s="19"/>
    </row>
    <row r="1051">
      <c r="A1051" s="9"/>
      <c r="B1051" s="15"/>
      <c r="C1051" s="9">
        <f>IFERROR(__xludf.DUMMYFUNCTION("""COMPUTED_VALUE"""),45133.6617815972)</f>
        <v>45133.66178</v>
      </c>
      <c r="D1051" s="15">
        <f>IFERROR(__xludf.DUMMYFUNCTION("""COMPUTED_VALUE"""),1.003)</f>
        <v>1.003</v>
      </c>
      <c r="E1051" s="16">
        <f>IFERROR(__xludf.DUMMYFUNCTION("""COMPUTED_VALUE"""),73.0)</f>
        <v>73</v>
      </c>
      <c r="F1051" s="19" t="str">
        <f>IFERROR(__xludf.DUMMYFUNCTION("""COMPUTED_VALUE"""),"BLACK")</f>
        <v>BLACK</v>
      </c>
      <c r="G1051" s="20" t="str">
        <f>IFERROR(__xludf.DUMMYFUNCTION("""COMPUTED_VALUE"""),"Uncle Sams Cider (04/04/2023)")</f>
        <v>Uncle Sams Cider (04/04/2023)</v>
      </c>
      <c r="H1051" s="19"/>
    </row>
    <row r="1052">
      <c r="A1052" s="9"/>
      <c r="B1052" s="15"/>
      <c r="C1052" s="9">
        <f>IFERROR(__xludf.DUMMYFUNCTION("""COMPUTED_VALUE"""),45133.6513487615)</f>
        <v>45133.65135</v>
      </c>
      <c r="D1052" s="15">
        <f>IFERROR(__xludf.DUMMYFUNCTION("""COMPUTED_VALUE"""),1.003)</f>
        <v>1.003</v>
      </c>
      <c r="E1052" s="16">
        <f>IFERROR(__xludf.DUMMYFUNCTION("""COMPUTED_VALUE"""),73.0)</f>
        <v>73</v>
      </c>
      <c r="F1052" s="19" t="str">
        <f>IFERROR(__xludf.DUMMYFUNCTION("""COMPUTED_VALUE"""),"BLACK")</f>
        <v>BLACK</v>
      </c>
      <c r="G1052" s="20" t="str">
        <f>IFERROR(__xludf.DUMMYFUNCTION("""COMPUTED_VALUE"""),"Uncle Sams Cider (04/04/2023)")</f>
        <v>Uncle Sams Cider (04/04/2023)</v>
      </c>
      <c r="H1052" s="19"/>
    </row>
    <row r="1053">
      <c r="A1053" s="9"/>
      <c r="B1053" s="15"/>
      <c r="C1053" s="9">
        <f>IFERROR(__xludf.DUMMYFUNCTION("""COMPUTED_VALUE"""),45133.6409266319)</f>
        <v>45133.64093</v>
      </c>
      <c r="D1053" s="15">
        <f>IFERROR(__xludf.DUMMYFUNCTION("""COMPUTED_VALUE"""),1.003)</f>
        <v>1.003</v>
      </c>
      <c r="E1053" s="16">
        <f>IFERROR(__xludf.DUMMYFUNCTION("""COMPUTED_VALUE"""),73.0)</f>
        <v>73</v>
      </c>
      <c r="F1053" s="19" t="str">
        <f>IFERROR(__xludf.DUMMYFUNCTION("""COMPUTED_VALUE"""),"BLACK")</f>
        <v>BLACK</v>
      </c>
      <c r="G1053" s="20" t="str">
        <f>IFERROR(__xludf.DUMMYFUNCTION("""COMPUTED_VALUE"""),"Uncle Sams Cider (04/04/2023)")</f>
        <v>Uncle Sams Cider (04/04/2023)</v>
      </c>
      <c r="H1053" s="19"/>
    </row>
    <row r="1054">
      <c r="A1054" s="9"/>
      <c r="B1054" s="15"/>
      <c r="C1054" s="9">
        <f>IFERROR(__xludf.DUMMYFUNCTION("""COMPUTED_VALUE"""),45133.6305053935)</f>
        <v>45133.63051</v>
      </c>
      <c r="D1054" s="15">
        <f>IFERROR(__xludf.DUMMYFUNCTION("""COMPUTED_VALUE"""),1.003)</f>
        <v>1.003</v>
      </c>
      <c r="E1054" s="16">
        <f>IFERROR(__xludf.DUMMYFUNCTION("""COMPUTED_VALUE"""),73.0)</f>
        <v>73</v>
      </c>
      <c r="F1054" s="19" t="str">
        <f>IFERROR(__xludf.DUMMYFUNCTION("""COMPUTED_VALUE"""),"BLACK")</f>
        <v>BLACK</v>
      </c>
      <c r="G1054" s="20" t="str">
        <f>IFERROR(__xludf.DUMMYFUNCTION("""COMPUTED_VALUE"""),"Uncle Sams Cider (04/04/2023)")</f>
        <v>Uncle Sams Cider (04/04/2023)</v>
      </c>
      <c r="H1054" s="19"/>
    </row>
    <row r="1055">
      <c r="A1055" s="9"/>
      <c r="B1055" s="15"/>
      <c r="C1055" s="9">
        <f>IFERROR(__xludf.DUMMYFUNCTION("""COMPUTED_VALUE"""),45133.6200836342)</f>
        <v>45133.62008</v>
      </c>
      <c r="D1055" s="15">
        <f>IFERROR(__xludf.DUMMYFUNCTION("""COMPUTED_VALUE"""),1.003)</f>
        <v>1.003</v>
      </c>
      <c r="E1055" s="16">
        <f>IFERROR(__xludf.DUMMYFUNCTION("""COMPUTED_VALUE"""),73.0)</f>
        <v>73</v>
      </c>
      <c r="F1055" s="19" t="str">
        <f>IFERROR(__xludf.DUMMYFUNCTION("""COMPUTED_VALUE"""),"BLACK")</f>
        <v>BLACK</v>
      </c>
      <c r="G1055" s="20" t="str">
        <f>IFERROR(__xludf.DUMMYFUNCTION("""COMPUTED_VALUE"""),"Uncle Sams Cider (04/04/2023)")</f>
        <v>Uncle Sams Cider (04/04/2023)</v>
      </c>
      <c r="H1055" s="19"/>
    </row>
    <row r="1056">
      <c r="A1056" s="9"/>
      <c r="B1056" s="15"/>
      <c r="C1056" s="9">
        <f>IFERROR(__xludf.DUMMYFUNCTION("""COMPUTED_VALUE"""),45133.6096392129)</f>
        <v>45133.60964</v>
      </c>
      <c r="D1056" s="15">
        <f>IFERROR(__xludf.DUMMYFUNCTION("""COMPUTED_VALUE"""),1.003)</f>
        <v>1.003</v>
      </c>
      <c r="E1056" s="16">
        <f>IFERROR(__xludf.DUMMYFUNCTION("""COMPUTED_VALUE"""),73.0)</f>
        <v>73</v>
      </c>
      <c r="F1056" s="19" t="str">
        <f>IFERROR(__xludf.DUMMYFUNCTION("""COMPUTED_VALUE"""),"BLACK")</f>
        <v>BLACK</v>
      </c>
      <c r="G1056" s="20" t="str">
        <f>IFERROR(__xludf.DUMMYFUNCTION("""COMPUTED_VALUE"""),"Uncle Sams Cider (04/04/2023)")</f>
        <v>Uncle Sams Cider (04/04/2023)</v>
      </c>
      <c r="H1056" s="19"/>
    </row>
    <row r="1057">
      <c r="A1057" s="9"/>
      <c r="B1057" s="15"/>
      <c r="C1057" s="9">
        <f>IFERROR(__xludf.DUMMYFUNCTION("""COMPUTED_VALUE"""),45133.5992196296)</f>
        <v>45133.59922</v>
      </c>
      <c r="D1057" s="15">
        <f>IFERROR(__xludf.DUMMYFUNCTION("""COMPUTED_VALUE"""),1.003)</f>
        <v>1.003</v>
      </c>
      <c r="E1057" s="16">
        <f>IFERROR(__xludf.DUMMYFUNCTION("""COMPUTED_VALUE"""),73.0)</f>
        <v>73</v>
      </c>
      <c r="F1057" s="19" t="str">
        <f>IFERROR(__xludf.DUMMYFUNCTION("""COMPUTED_VALUE"""),"BLACK")</f>
        <v>BLACK</v>
      </c>
      <c r="G1057" s="20" t="str">
        <f>IFERROR(__xludf.DUMMYFUNCTION("""COMPUTED_VALUE"""),"Uncle Sams Cider (04/04/2023)")</f>
        <v>Uncle Sams Cider (04/04/2023)</v>
      </c>
      <c r="H1057" s="19"/>
    </row>
    <row r="1058">
      <c r="A1058" s="9"/>
      <c r="B1058" s="15"/>
      <c r="C1058" s="9">
        <f>IFERROR(__xludf.DUMMYFUNCTION("""COMPUTED_VALUE"""),45133.5887993171)</f>
        <v>45133.5888</v>
      </c>
      <c r="D1058" s="15">
        <f>IFERROR(__xludf.DUMMYFUNCTION("""COMPUTED_VALUE"""),1.003)</f>
        <v>1.003</v>
      </c>
      <c r="E1058" s="16">
        <f>IFERROR(__xludf.DUMMYFUNCTION("""COMPUTED_VALUE"""),73.0)</f>
        <v>73</v>
      </c>
      <c r="F1058" s="19" t="str">
        <f>IFERROR(__xludf.DUMMYFUNCTION("""COMPUTED_VALUE"""),"BLACK")</f>
        <v>BLACK</v>
      </c>
      <c r="G1058" s="20" t="str">
        <f>IFERROR(__xludf.DUMMYFUNCTION("""COMPUTED_VALUE"""),"Uncle Sams Cider (04/04/2023)")</f>
        <v>Uncle Sams Cider (04/04/2023)</v>
      </c>
      <c r="H1058" s="19"/>
    </row>
    <row r="1059">
      <c r="A1059" s="9"/>
      <c r="B1059" s="15"/>
      <c r="C1059" s="9">
        <f>IFERROR(__xludf.DUMMYFUNCTION("""COMPUTED_VALUE"""),45133.5783789004)</f>
        <v>45133.57838</v>
      </c>
      <c r="D1059" s="15">
        <f>IFERROR(__xludf.DUMMYFUNCTION("""COMPUTED_VALUE"""),1.003)</f>
        <v>1.003</v>
      </c>
      <c r="E1059" s="16">
        <f>IFERROR(__xludf.DUMMYFUNCTION("""COMPUTED_VALUE"""),73.0)</f>
        <v>73</v>
      </c>
      <c r="F1059" s="19" t="str">
        <f>IFERROR(__xludf.DUMMYFUNCTION("""COMPUTED_VALUE"""),"BLACK")</f>
        <v>BLACK</v>
      </c>
      <c r="G1059" s="20" t="str">
        <f>IFERROR(__xludf.DUMMYFUNCTION("""COMPUTED_VALUE"""),"Uncle Sams Cider (04/04/2023)")</f>
        <v>Uncle Sams Cider (04/04/2023)</v>
      </c>
      <c r="H1059" s="19"/>
    </row>
    <row r="1060">
      <c r="A1060" s="9"/>
      <c r="B1060" s="15"/>
      <c r="C1060" s="9">
        <f>IFERROR(__xludf.DUMMYFUNCTION("""COMPUTED_VALUE"""),45133.5679466551)</f>
        <v>45133.56795</v>
      </c>
      <c r="D1060" s="15">
        <f>IFERROR(__xludf.DUMMYFUNCTION("""COMPUTED_VALUE"""),1.003)</f>
        <v>1.003</v>
      </c>
      <c r="E1060" s="16">
        <f>IFERROR(__xludf.DUMMYFUNCTION("""COMPUTED_VALUE"""),73.0)</f>
        <v>73</v>
      </c>
      <c r="F1060" s="19" t="str">
        <f>IFERROR(__xludf.DUMMYFUNCTION("""COMPUTED_VALUE"""),"BLACK")</f>
        <v>BLACK</v>
      </c>
      <c r="G1060" s="20" t="str">
        <f>IFERROR(__xludf.DUMMYFUNCTION("""COMPUTED_VALUE"""),"Uncle Sams Cider (04/04/2023)")</f>
        <v>Uncle Sams Cider (04/04/2023)</v>
      </c>
      <c r="H1060" s="19"/>
    </row>
    <row r="1061">
      <c r="A1061" s="9"/>
      <c r="B1061" s="15"/>
      <c r="C1061" s="9">
        <f>IFERROR(__xludf.DUMMYFUNCTION("""COMPUTED_VALUE"""),45133.5575269676)</f>
        <v>45133.55753</v>
      </c>
      <c r="D1061" s="15">
        <f>IFERROR(__xludf.DUMMYFUNCTION("""COMPUTED_VALUE"""),1.003)</f>
        <v>1.003</v>
      </c>
      <c r="E1061" s="16">
        <f>IFERROR(__xludf.DUMMYFUNCTION("""COMPUTED_VALUE"""),73.0)</f>
        <v>73</v>
      </c>
      <c r="F1061" s="19" t="str">
        <f>IFERROR(__xludf.DUMMYFUNCTION("""COMPUTED_VALUE"""),"BLACK")</f>
        <v>BLACK</v>
      </c>
      <c r="G1061" s="20" t="str">
        <f>IFERROR(__xludf.DUMMYFUNCTION("""COMPUTED_VALUE"""),"Uncle Sams Cider (04/04/2023)")</f>
        <v>Uncle Sams Cider (04/04/2023)</v>
      </c>
      <c r="H1061" s="19"/>
    </row>
    <row r="1062">
      <c r="A1062" s="9"/>
      <c r="B1062" s="15"/>
      <c r="C1062" s="9">
        <f>IFERROR(__xludf.DUMMYFUNCTION("""COMPUTED_VALUE"""),45133.5471065277)</f>
        <v>45133.54711</v>
      </c>
      <c r="D1062" s="15">
        <f>IFERROR(__xludf.DUMMYFUNCTION("""COMPUTED_VALUE"""),1.003)</f>
        <v>1.003</v>
      </c>
      <c r="E1062" s="16">
        <f>IFERROR(__xludf.DUMMYFUNCTION("""COMPUTED_VALUE"""),73.0)</f>
        <v>73</v>
      </c>
      <c r="F1062" s="19" t="str">
        <f>IFERROR(__xludf.DUMMYFUNCTION("""COMPUTED_VALUE"""),"BLACK")</f>
        <v>BLACK</v>
      </c>
      <c r="G1062" s="20" t="str">
        <f>IFERROR(__xludf.DUMMYFUNCTION("""COMPUTED_VALUE"""),"Uncle Sams Cider (04/04/2023)")</f>
        <v>Uncle Sams Cider (04/04/2023)</v>
      </c>
      <c r="H1062" s="19"/>
    </row>
    <row r="1063">
      <c r="A1063" s="9"/>
      <c r="B1063" s="15"/>
      <c r="C1063" s="9">
        <f>IFERROR(__xludf.DUMMYFUNCTION("""COMPUTED_VALUE"""),45133.5366740509)</f>
        <v>45133.53667</v>
      </c>
      <c r="D1063" s="15">
        <f>IFERROR(__xludf.DUMMYFUNCTION("""COMPUTED_VALUE"""),1.003)</f>
        <v>1.003</v>
      </c>
      <c r="E1063" s="16">
        <f>IFERROR(__xludf.DUMMYFUNCTION("""COMPUTED_VALUE"""),73.0)</f>
        <v>73</v>
      </c>
      <c r="F1063" s="19" t="str">
        <f>IFERROR(__xludf.DUMMYFUNCTION("""COMPUTED_VALUE"""),"BLACK")</f>
        <v>BLACK</v>
      </c>
      <c r="G1063" s="20" t="str">
        <f>IFERROR(__xludf.DUMMYFUNCTION("""COMPUTED_VALUE"""),"Uncle Sams Cider (04/04/2023)")</f>
        <v>Uncle Sams Cider (04/04/2023)</v>
      </c>
      <c r="H1063" s="19"/>
    </row>
    <row r="1064">
      <c r="A1064" s="9"/>
      <c r="B1064" s="15"/>
      <c r="C1064" s="9">
        <f>IFERROR(__xludf.DUMMYFUNCTION("""COMPUTED_VALUE"""),45133.5262539467)</f>
        <v>45133.52625</v>
      </c>
      <c r="D1064" s="15">
        <f>IFERROR(__xludf.DUMMYFUNCTION("""COMPUTED_VALUE"""),1.003)</f>
        <v>1.003</v>
      </c>
      <c r="E1064" s="16">
        <f>IFERROR(__xludf.DUMMYFUNCTION("""COMPUTED_VALUE"""),73.0)</f>
        <v>73</v>
      </c>
      <c r="F1064" s="19" t="str">
        <f>IFERROR(__xludf.DUMMYFUNCTION("""COMPUTED_VALUE"""),"BLACK")</f>
        <v>BLACK</v>
      </c>
      <c r="G1064" s="20" t="str">
        <f>IFERROR(__xludf.DUMMYFUNCTION("""COMPUTED_VALUE"""),"Uncle Sams Cider (04/04/2023)")</f>
        <v>Uncle Sams Cider (04/04/2023)</v>
      </c>
      <c r="H1064" s="19"/>
    </row>
    <row r="1065">
      <c r="A1065" s="9"/>
      <c r="B1065" s="15"/>
      <c r="C1065" s="9">
        <f>IFERROR(__xludf.DUMMYFUNCTION("""COMPUTED_VALUE"""),45133.5158317361)</f>
        <v>45133.51583</v>
      </c>
      <c r="D1065" s="15">
        <f>IFERROR(__xludf.DUMMYFUNCTION("""COMPUTED_VALUE"""),1.003)</f>
        <v>1.003</v>
      </c>
      <c r="E1065" s="16">
        <f>IFERROR(__xludf.DUMMYFUNCTION("""COMPUTED_VALUE"""),73.0)</f>
        <v>73</v>
      </c>
      <c r="F1065" s="19" t="str">
        <f>IFERROR(__xludf.DUMMYFUNCTION("""COMPUTED_VALUE"""),"BLACK")</f>
        <v>BLACK</v>
      </c>
      <c r="G1065" s="20" t="str">
        <f>IFERROR(__xludf.DUMMYFUNCTION("""COMPUTED_VALUE"""),"Uncle Sams Cider (04/04/2023)")</f>
        <v>Uncle Sams Cider (04/04/2023)</v>
      </c>
      <c r="H1065" s="19"/>
    </row>
    <row r="1066">
      <c r="A1066" s="9"/>
      <c r="B1066" s="15"/>
      <c r="C1066" s="9">
        <f>IFERROR(__xludf.DUMMYFUNCTION("""COMPUTED_VALUE"""),45133.5054093865)</f>
        <v>45133.50541</v>
      </c>
      <c r="D1066" s="15">
        <f>IFERROR(__xludf.DUMMYFUNCTION("""COMPUTED_VALUE"""),1.003)</f>
        <v>1.003</v>
      </c>
      <c r="E1066" s="16">
        <f>IFERROR(__xludf.DUMMYFUNCTION("""COMPUTED_VALUE"""),73.0)</f>
        <v>73</v>
      </c>
      <c r="F1066" s="19" t="str">
        <f>IFERROR(__xludf.DUMMYFUNCTION("""COMPUTED_VALUE"""),"BLACK")</f>
        <v>BLACK</v>
      </c>
      <c r="G1066" s="20" t="str">
        <f>IFERROR(__xludf.DUMMYFUNCTION("""COMPUTED_VALUE"""),"Uncle Sams Cider (04/04/2023)")</f>
        <v>Uncle Sams Cider (04/04/2023)</v>
      </c>
      <c r="H1066" s="19"/>
    </row>
    <row r="1067">
      <c r="A1067" s="9"/>
      <c r="B1067" s="15"/>
      <c r="C1067" s="9">
        <f>IFERROR(__xludf.DUMMYFUNCTION("""COMPUTED_VALUE"""),45133.4949881365)</f>
        <v>45133.49499</v>
      </c>
      <c r="D1067" s="15">
        <f>IFERROR(__xludf.DUMMYFUNCTION("""COMPUTED_VALUE"""),1.003)</f>
        <v>1.003</v>
      </c>
      <c r="E1067" s="16">
        <f>IFERROR(__xludf.DUMMYFUNCTION("""COMPUTED_VALUE"""),73.0)</f>
        <v>73</v>
      </c>
      <c r="F1067" s="19" t="str">
        <f>IFERROR(__xludf.DUMMYFUNCTION("""COMPUTED_VALUE"""),"BLACK")</f>
        <v>BLACK</v>
      </c>
      <c r="G1067" s="20" t="str">
        <f>IFERROR(__xludf.DUMMYFUNCTION("""COMPUTED_VALUE"""),"Uncle Sams Cider (04/04/2023)")</f>
        <v>Uncle Sams Cider (04/04/2023)</v>
      </c>
      <c r="H1067" s="19"/>
    </row>
    <row r="1068">
      <c r="A1068" s="9"/>
      <c r="B1068" s="15"/>
      <c r="C1068" s="9">
        <f>IFERROR(__xludf.DUMMYFUNCTION("""COMPUTED_VALUE"""),45133.4845553472)</f>
        <v>45133.48456</v>
      </c>
      <c r="D1068" s="15">
        <f>IFERROR(__xludf.DUMMYFUNCTION("""COMPUTED_VALUE"""),1.003)</f>
        <v>1.003</v>
      </c>
      <c r="E1068" s="16">
        <f>IFERROR(__xludf.DUMMYFUNCTION("""COMPUTED_VALUE"""),73.0)</f>
        <v>73</v>
      </c>
      <c r="F1068" s="19" t="str">
        <f>IFERROR(__xludf.DUMMYFUNCTION("""COMPUTED_VALUE"""),"BLACK")</f>
        <v>BLACK</v>
      </c>
      <c r="G1068" s="20" t="str">
        <f>IFERROR(__xludf.DUMMYFUNCTION("""COMPUTED_VALUE"""),"Uncle Sams Cider (04/04/2023)")</f>
        <v>Uncle Sams Cider (04/04/2023)</v>
      </c>
      <c r="H1068" s="19"/>
    </row>
    <row r="1069">
      <c r="A1069" s="9"/>
      <c r="B1069" s="15"/>
      <c r="C1069" s="9">
        <f>IFERROR(__xludf.DUMMYFUNCTION("""COMPUTED_VALUE"""),45133.4741342708)</f>
        <v>45133.47413</v>
      </c>
      <c r="D1069" s="15">
        <f>IFERROR(__xludf.DUMMYFUNCTION("""COMPUTED_VALUE"""),1.003)</f>
        <v>1.003</v>
      </c>
      <c r="E1069" s="16">
        <f>IFERROR(__xludf.DUMMYFUNCTION("""COMPUTED_VALUE"""),73.0)</f>
        <v>73</v>
      </c>
      <c r="F1069" s="19" t="str">
        <f>IFERROR(__xludf.DUMMYFUNCTION("""COMPUTED_VALUE"""),"BLACK")</f>
        <v>BLACK</v>
      </c>
      <c r="G1069" s="20" t="str">
        <f>IFERROR(__xludf.DUMMYFUNCTION("""COMPUTED_VALUE"""),"Uncle Sams Cider (04/04/2023)")</f>
        <v>Uncle Sams Cider (04/04/2023)</v>
      </c>
      <c r="H1069" s="19"/>
    </row>
    <row r="1070">
      <c r="A1070" s="9"/>
      <c r="B1070" s="15"/>
      <c r="C1070" s="9">
        <f>IFERROR(__xludf.DUMMYFUNCTION("""COMPUTED_VALUE"""),45133.4636901041)</f>
        <v>45133.46369</v>
      </c>
      <c r="D1070" s="15">
        <f>IFERROR(__xludf.DUMMYFUNCTION("""COMPUTED_VALUE"""),1.003)</f>
        <v>1.003</v>
      </c>
      <c r="E1070" s="16">
        <f>IFERROR(__xludf.DUMMYFUNCTION("""COMPUTED_VALUE"""),73.0)</f>
        <v>73</v>
      </c>
      <c r="F1070" s="19" t="str">
        <f>IFERROR(__xludf.DUMMYFUNCTION("""COMPUTED_VALUE"""),"BLACK")</f>
        <v>BLACK</v>
      </c>
      <c r="G1070" s="20" t="str">
        <f>IFERROR(__xludf.DUMMYFUNCTION("""COMPUTED_VALUE"""),"Uncle Sams Cider (04/04/2023)")</f>
        <v>Uncle Sams Cider (04/04/2023)</v>
      </c>
      <c r="H1070" s="19"/>
    </row>
    <row r="1071">
      <c r="A1071" s="9"/>
      <c r="B1071" s="15"/>
      <c r="C1071" s="9">
        <f>IFERROR(__xludf.DUMMYFUNCTION("""COMPUTED_VALUE"""),45133.4532711689)</f>
        <v>45133.45327</v>
      </c>
      <c r="D1071" s="15">
        <f>IFERROR(__xludf.DUMMYFUNCTION("""COMPUTED_VALUE"""),1.003)</f>
        <v>1.003</v>
      </c>
      <c r="E1071" s="16">
        <f>IFERROR(__xludf.DUMMYFUNCTION("""COMPUTED_VALUE"""),73.0)</f>
        <v>73</v>
      </c>
      <c r="F1071" s="19" t="str">
        <f>IFERROR(__xludf.DUMMYFUNCTION("""COMPUTED_VALUE"""),"BLACK")</f>
        <v>BLACK</v>
      </c>
      <c r="G1071" s="20" t="str">
        <f>IFERROR(__xludf.DUMMYFUNCTION("""COMPUTED_VALUE"""),"Uncle Sams Cider (04/04/2023)")</f>
        <v>Uncle Sams Cider (04/04/2023)</v>
      </c>
      <c r="H1071" s="19"/>
    </row>
    <row r="1072">
      <c r="A1072" s="9"/>
      <c r="B1072" s="15"/>
      <c r="C1072" s="9">
        <f>IFERROR(__xludf.DUMMYFUNCTION("""COMPUTED_VALUE"""),45133.4428506481)</f>
        <v>45133.44285</v>
      </c>
      <c r="D1072" s="15">
        <f>IFERROR(__xludf.DUMMYFUNCTION("""COMPUTED_VALUE"""),1.003)</f>
        <v>1.003</v>
      </c>
      <c r="E1072" s="16">
        <f>IFERROR(__xludf.DUMMYFUNCTION("""COMPUTED_VALUE"""),73.0)</f>
        <v>73</v>
      </c>
      <c r="F1072" s="19" t="str">
        <f>IFERROR(__xludf.DUMMYFUNCTION("""COMPUTED_VALUE"""),"BLACK")</f>
        <v>BLACK</v>
      </c>
      <c r="G1072" s="20" t="str">
        <f>IFERROR(__xludf.DUMMYFUNCTION("""COMPUTED_VALUE"""),"Uncle Sams Cider (04/04/2023)")</f>
        <v>Uncle Sams Cider (04/04/2023)</v>
      </c>
      <c r="H1072" s="19"/>
    </row>
    <row r="1073">
      <c r="A1073" s="9"/>
      <c r="B1073" s="15"/>
      <c r="C1073" s="9">
        <f>IFERROR(__xludf.DUMMYFUNCTION("""COMPUTED_VALUE"""),45133.4324286458)</f>
        <v>45133.43243</v>
      </c>
      <c r="D1073" s="15">
        <f>IFERROR(__xludf.DUMMYFUNCTION("""COMPUTED_VALUE"""),1.003)</f>
        <v>1.003</v>
      </c>
      <c r="E1073" s="16">
        <f>IFERROR(__xludf.DUMMYFUNCTION("""COMPUTED_VALUE"""),73.0)</f>
        <v>73</v>
      </c>
      <c r="F1073" s="19" t="str">
        <f>IFERROR(__xludf.DUMMYFUNCTION("""COMPUTED_VALUE"""),"BLACK")</f>
        <v>BLACK</v>
      </c>
      <c r="G1073" s="20" t="str">
        <f>IFERROR(__xludf.DUMMYFUNCTION("""COMPUTED_VALUE"""),"Uncle Sams Cider (04/04/2023)")</f>
        <v>Uncle Sams Cider (04/04/2023)</v>
      </c>
      <c r="H1073" s="19"/>
    </row>
    <row r="1074">
      <c r="A1074" s="9"/>
      <c r="B1074" s="15"/>
      <c r="C1074" s="9">
        <f>IFERROR(__xludf.DUMMYFUNCTION("""COMPUTED_VALUE"""),45133.4220074421)</f>
        <v>45133.42201</v>
      </c>
      <c r="D1074" s="15">
        <f>IFERROR(__xludf.DUMMYFUNCTION("""COMPUTED_VALUE"""),1.003)</f>
        <v>1.003</v>
      </c>
      <c r="E1074" s="16">
        <f>IFERROR(__xludf.DUMMYFUNCTION("""COMPUTED_VALUE"""),73.0)</f>
        <v>73</v>
      </c>
      <c r="F1074" s="19" t="str">
        <f>IFERROR(__xludf.DUMMYFUNCTION("""COMPUTED_VALUE"""),"BLACK")</f>
        <v>BLACK</v>
      </c>
      <c r="G1074" s="20" t="str">
        <f>IFERROR(__xludf.DUMMYFUNCTION("""COMPUTED_VALUE"""),"Uncle Sams Cider (04/04/2023)")</f>
        <v>Uncle Sams Cider (04/04/2023)</v>
      </c>
      <c r="H1074" s="19"/>
    </row>
    <row r="1075">
      <c r="A1075" s="9"/>
      <c r="B1075" s="15"/>
      <c r="C1075" s="9">
        <f>IFERROR(__xludf.DUMMYFUNCTION("""COMPUTED_VALUE"""),45133.4115868518)</f>
        <v>45133.41159</v>
      </c>
      <c r="D1075" s="15">
        <f>IFERROR(__xludf.DUMMYFUNCTION("""COMPUTED_VALUE"""),1.003)</f>
        <v>1.003</v>
      </c>
      <c r="E1075" s="16">
        <f>IFERROR(__xludf.DUMMYFUNCTION("""COMPUTED_VALUE"""),73.0)</f>
        <v>73</v>
      </c>
      <c r="F1075" s="19" t="str">
        <f>IFERROR(__xludf.DUMMYFUNCTION("""COMPUTED_VALUE"""),"BLACK")</f>
        <v>BLACK</v>
      </c>
      <c r="G1075" s="20" t="str">
        <f>IFERROR(__xludf.DUMMYFUNCTION("""COMPUTED_VALUE"""),"Uncle Sams Cider (04/04/2023)")</f>
        <v>Uncle Sams Cider (04/04/2023)</v>
      </c>
      <c r="H1075" s="19"/>
    </row>
    <row r="1076">
      <c r="A1076" s="9"/>
      <c r="B1076" s="15"/>
      <c r="C1076" s="9">
        <f>IFERROR(__xludf.DUMMYFUNCTION("""COMPUTED_VALUE"""),45133.4011649652)</f>
        <v>45133.40116</v>
      </c>
      <c r="D1076" s="15">
        <f>IFERROR(__xludf.DUMMYFUNCTION("""COMPUTED_VALUE"""),1.003)</f>
        <v>1.003</v>
      </c>
      <c r="E1076" s="16">
        <f>IFERROR(__xludf.DUMMYFUNCTION("""COMPUTED_VALUE"""),73.0)</f>
        <v>73</v>
      </c>
      <c r="F1076" s="19" t="str">
        <f>IFERROR(__xludf.DUMMYFUNCTION("""COMPUTED_VALUE"""),"BLACK")</f>
        <v>BLACK</v>
      </c>
      <c r="G1076" s="20" t="str">
        <f>IFERROR(__xludf.DUMMYFUNCTION("""COMPUTED_VALUE"""),"Uncle Sams Cider (04/04/2023)")</f>
        <v>Uncle Sams Cider (04/04/2023)</v>
      </c>
      <c r="H1076" s="19"/>
    </row>
    <row r="1077">
      <c r="A1077" s="9"/>
      <c r="B1077" s="15"/>
      <c r="C1077" s="9">
        <f>IFERROR(__xludf.DUMMYFUNCTION("""COMPUTED_VALUE"""),45133.3907454629)</f>
        <v>45133.39075</v>
      </c>
      <c r="D1077" s="15">
        <f>IFERROR(__xludf.DUMMYFUNCTION("""COMPUTED_VALUE"""),1.003)</f>
        <v>1.003</v>
      </c>
      <c r="E1077" s="16">
        <f>IFERROR(__xludf.DUMMYFUNCTION("""COMPUTED_VALUE"""),73.0)</f>
        <v>73</v>
      </c>
      <c r="F1077" s="19" t="str">
        <f>IFERROR(__xludf.DUMMYFUNCTION("""COMPUTED_VALUE"""),"BLACK")</f>
        <v>BLACK</v>
      </c>
      <c r="G1077" s="20" t="str">
        <f>IFERROR(__xludf.DUMMYFUNCTION("""COMPUTED_VALUE"""),"Uncle Sams Cider (04/04/2023)")</f>
        <v>Uncle Sams Cider (04/04/2023)</v>
      </c>
      <c r="H1077" s="19"/>
    </row>
    <row r="1078">
      <c r="A1078" s="9"/>
      <c r="B1078" s="15"/>
      <c r="C1078" s="9">
        <f>IFERROR(__xludf.DUMMYFUNCTION("""COMPUTED_VALUE"""),45133.3803228356)</f>
        <v>45133.38032</v>
      </c>
      <c r="D1078" s="15">
        <f>IFERROR(__xludf.DUMMYFUNCTION("""COMPUTED_VALUE"""),1.003)</f>
        <v>1.003</v>
      </c>
      <c r="E1078" s="16">
        <f>IFERROR(__xludf.DUMMYFUNCTION("""COMPUTED_VALUE"""),73.0)</f>
        <v>73</v>
      </c>
      <c r="F1078" s="19" t="str">
        <f>IFERROR(__xludf.DUMMYFUNCTION("""COMPUTED_VALUE"""),"BLACK")</f>
        <v>BLACK</v>
      </c>
      <c r="G1078" s="20" t="str">
        <f>IFERROR(__xludf.DUMMYFUNCTION("""COMPUTED_VALUE"""),"Uncle Sams Cider (04/04/2023)")</f>
        <v>Uncle Sams Cider (04/04/2023)</v>
      </c>
      <c r="H1078" s="19"/>
    </row>
    <row r="1079">
      <c r="A1079" s="9"/>
      <c r="B1079" s="15"/>
      <c r="C1079" s="9">
        <f>IFERROR(__xludf.DUMMYFUNCTION("""COMPUTED_VALUE"""),45133.3698907175)</f>
        <v>45133.36989</v>
      </c>
      <c r="D1079" s="15">
        <f>IFERROR(__xludf.DUMMYFUNCTION("""COMPUTED_VALUE"""),1.003)</f>
        <v>1.003</v>
      </c>
      <c r="E1079" s="16">
        <f>IFERROR(__xludf.DUMMYFUNCTION("""COMPUTED_VALUE"""),73.0)</f>
        <v>73</v>
      </c>
      <c r="F1079" s="19" t="str">
        <f>IFERROR(__xludf.DUMMYFUNCTION("""COMPUTED_VALUE"""),"BLACK")</f>
        <v>BLACK</v>
      </c>
      <c r="G1079" s="20" t="str">
        <f>IFERROR(__xludf.DUMMYFUNCTION("""COMPUTED_VALUE"""),"Uncle Sams Cider (04/04/2023)")</f>
        <v>Uncle Sams Cider (04/04/2023)</v>
      </c>
      <c r="H1079" s="19"/>
    </row>
    <row r="1080">
      <c r="A1080" s="9"/>
      <c r="B1080" s="15"/>
      <c r="C1080" s="9">
        <f>IFERROR(__xludf.DUMMYFUNCTION("""COMPUTED_VALUE"""),45133.3594586458)</f>
        <v>45133.35946</v>
      </c>
      <c r="D1080" s="15">
        <f>IFERROR(__xludf.DUMMYFUNCTION("""COMPUTED_VALUE"""),1.003)</f>
        <v>1.003</v>
      </c>
      <c r="E1080" s="16">
        <f>IFERROR(__xludf.DUMMYFUNCTION("""COMPUTED_VALUE"""),73.0)</f>
        <v>73</v>
      </c>
      <c r="F1080" s="19" t="str">
        <f>IFERROR(__xludf.DUMMYFUNCTION("""COMPUTED_VALUE"""),"BLACK")</f>
        <v>BLACK</v>
      </c>
      <c r="G1080" s="20" t="str">
        <f>IFERROR(__xludf.DUMMYFUNCTION("""COMPUTED_VALUE"""),"Uncle Sams Cider (04/04/2023)")</f>
        <v>Uncle Sams Cider (04/04/2023)</v>
      </c>
      <c r="H1080" s="19"/>
    </row>
    <row r="1081">
      <c r="A1081" s="9"/>
      <c r="B1081" s="15"/>
      <c r="C1081" s="9">
        <f>IFERROR(__xludf.DUMMYFUNCTION("""COMPUTED_VALUE"""),45133.3490130555)</f>
        <v>45133.34901</v>
      </c>
      <c r="D1081" s="15">
        <f>IFERROR(__xludf.DUMMYFUNCTION("""COMPUTED_VALUE"""),1.003)</f>
        <v>1.003</v>
      </c>
      <c r="E1081" s="16">
        <f>IFERROR(__xludf.DUMMYFUNCTION("""COMPUTED_VALUE"""),73.0)</f>
        <v>73</v>
      </c>
      <c r="F1081" s="19" t="str">
        <f>IFERROR(__xludf.DUMMYFUNCTION("""COMPUTED_VALUE"""),"BLACK")</f>
        <v>BLACK</v>
      </c>
      <c r="G1081" s="20" t="str">
        <f>IFERROR(__xludf.DUMMYFUNCTION("""COMPUTED_VALUE"""),"Uncle Sams Cider (04/04/2023)")</f>
        <v>Uncle Sams Cider (04/04/2023)</v>
      </c>
      <c r="H1081" s="19"/>
    </row>
    <row r="1082">
      <c r="A1082" s="9"/>
      <c r="B1082" s="15"/>
      <c r="C1082" s="9">
        <f>IFERROR(__xludf.DUMMYFUNCTION("""COMPUTED_VALUE"""),45133.3385915277)</f>
        <v>45133.33859</v>
      </c>
      <c r="D1082" s="15">
        <f>IFERROR(__xludf.DUMMYFUNCTION("""COMPUTED_VALUE"""),1.003)</f>
        <v>1.003</v>
      </c>
      <c r="E1082" s="16">
        <f>IFERROR(__xludf.DUMMYFUNCTION("""COMPUTED_VALUE"""),73.0)</f>
        <v>73</v>
      </c>
      <c r="F1082" s="19" t="str">
        <f>IFERROR(__xludf.DUMMYFUNCTION("""COMPUTED_VALUE"""),"BLACK")</f>
        <v>BLACK</v>
      </c>
      <c r="G1082" s="20" t="str">
        <f>IFERROR(__xludf.DUMMYFUNCTION("""COMPUTED_VALUE"""),"Uncle Sams Cider (04/04/2023)")</f>
        <v>Uncle Sams Cider (04/04/2023)</v>
      </c>
      <c r="H1082" s="19"/>
    </row>
    <row r="1083">
      <c r="A1083" s="9"/>
      <c r="B1083" s="15"/>
      <c r="C1083" s="9">
        <f>IFERROR(__xludf.DUMMYFUNCTION("""COMPUTED_VALUE"""),45133.3281693518)</f>
        <v>45133.32817</v>
      </c>
      <c r="D1083" s="15">
        <f>IFERROR(__xludf.DUMMYFUNCTION("""COMPUTED_VALUE"""),1.003)</f>
        <v>1.003</v>
      </c>
      <c r="E1083" s="16">
        <f>IFERROR(__xludf.DUMMYFUNCTION("""COMPUTED_VALUE"""),73.0)</f>
        <v>73</v>
      </c>
      <c r="F1083" s="19" t="str">
        <f>IFERROR(__xludf.DUMMYFUNCTION("""COMPUTED_VALUE"""),"BLACK")</f>
        <v>BLACK</v>
      </c>
      <c r="G1083" s="20" t="str">
        <f>IFERROR(__xludf.DUMMYFUNCTION("""COMPUTED_VALUE"""),"Uncle Sams Cider (04/04/2023)")</f>
        <v>Uncle Sams Cider (04/04/2023)</v>
      </c>
      <c r="H1083" s="19"/>
    </row>
    <row r="1084">
      <c r="A1084" s="9"/>
      <c r="B1084" s="15"/>
      <c r="C1084" s="9">
        <f>IFERROR(__xludf.DUMMYFUNCTION("""COMPUTED_VALUE"""),45133.3177374189)</f>
        <v>45133.31774</v>
      </c>
      <c r="D1084" s="15">
        <f>IFERROR(__xludf.DUMMYFUNCTION("""COMPUTED_VALUE"""),1.003)</f>
        <v>1.003</v>
      </c>
      <c r="E1084" s="16">
        <f>IFERROR(__xludf.DUMMYFUNCTION("""COMPUTED_VALUE"""),73.0)</f>
        <v>73</v>
      </c>
      <c r="F1084" s="19" t="str">
        <f>IFERROR(__xludf.DUMMYFUNCTION("""COMPUTED_VALUE"""),"BLACK")</f>
        <v>BLACK</v>
      </c>
      <c r="G1084" s="20" t="str">
        <f>IFERROR(__xludf.DUMMYFUNCTION("""COMPUTED_VALUE"""),"Uncle Sams Cider (04/04/2023)")</f>
        <v>Uncle Sams Cider (04/04/2023)</v>
      </c>
      <c r="H1084" s="19"/>
    </row>
    <row r="1085">
      <c r="A1085" s="9"/>
      <c r="B1085" s="15"/>
      <c r="C1085" s="9">
        <f>IFERROR(__xludf.DUMMYFUNCTION("""COMPUTED_VALUE"""),45133.3073162152)</f>
        <v>45133.30732</v>
      </c>
      <c r="D1085" s="15">
        <f>IFERROR(__xludf.DUMMYFUNCTION("""COMPUTED_VALUE"""),1.003)</f>
        <v>1.003</v>
      </c>
      <c r="E1085" s="16">
        <f>IFERROR(__xludf.DUMMYFUNCTION("""COMPUTED_VALUE"""),73.0)</f>
        <v>73</v>
      </c>
      <c r="F1085" s="19" t="str">
        <f>IFERROR(__xludf.DUMMYFUNCTION("""COMPUTED_VALUE"""),"BLACK")</f>
        <v>BLACK</v>
      </c>
      <c r="G1085" s="20" t="str">
        <f>IFERROR(__xludf.DUMMYFUNCTION("""COMPUTED_VALUE"""),"Uncle Sams Cider (04/04/2023)")</f>
        <v>Uncle Sams Cider (04/04/2023)</v>
      </c>
      <c r="H1085" s="19"/>
    </row>
    <row r="1086">
      <c r="A1086" s="9"/>
      <c r="B1086" s="15"/>
      <c r="C1086" s="9">
        <f>IFERROR(__xludf.DUMMYFUNCTION("""COMPUTED_VALUE"""),45133.2968953356)</f>
        <v>45133.2969</v>
      </c>
      <c r="D1086" s="15">
        <f>IFERROR(__xludf.DUMMYFUNCTION("""COMPUTED_VALUE"""),1.003)</f>
        <v>1.003</v>
      </c>
      <c r="E1086" s="16">
        <f>IFERROR(__xludf.DUMMYFUNCTION("""COMPUTED_VALUE"""),73.0)</f>
        <v>73</v>
      </c>
      <c r="F1086" s="19" t="str">
        <f>IFERROR(__xludf.DUMMYFUNCTION("""COMPUTED_VALUE"""),"BLACK")</f>
        <v>BLACK</v>
      </c>
      <c r="G1086" s="20" t="str">
        <f>IFERROR(__xludf.DUMMYFUNCTION("""COMPUTED_VALUE"""),"Uncle Sams Cider (04/04/2023)")</f>
        <v>Uncle Sams Cider (04/04/2023)</v>
      </c>
      <c r="H1086" s="19"/>
    </row>
    <row r="1087">
      <c r="A1087" s="9"/>
      <c r="B1087" s="15"/>
      <c r="C1087" s="9">
        <f>IFERROR(__xludf.DUMMYFUNCTION("""COMPUTED_VALUE"""),45133.2864736226)</f>
        <v>45133.28647</v>
      </c>
      <c r="D1087" s="15">
        <f>IFERROR(__xludf.DUMMYFUNCTION("""COMPUTED_VALUE"""),1.003)</f>
        <v>1.003</v>
      </c>
      <c r="E1087" s="16">
        <f>IFERROR(__xludf.DUMMYFUNCTION("""COMPUTED_VALUE"""),73.0)</f>
        <v>73</v>
      </c>
      <c r="F1087" s="19" t="str">
        <f>IFERROR(__xludf.DUMMYFUNCTION("""COMPUTED_VALUE"""),"BLACK")</f>
        <v>BLACK</v>
      </c>
      <c r="G1087" s="20" t="str">
        <f>IFERROR(__xludf.DUMMYFUNCTION("""COMPUTED_VALUE"""),"Uncle Sams Cider (04/04/2023)")</f>
        <v>Uncle Sams Cider (04/04/2023)</v>
      </c>
      <c r="H1087" s="19"/>
    </row>
    <row r="1088">
      <c r="A1088" s="9"/>
      <c r="B1088" s="15"/>
      <c r="C1088" s="9">
        <f>IFERROR(__xludf.DUMMYFUNCTION("""COMPUTED_VALUE"""),45133.2760535763)</f>
        <v>45133.27605</v>
      </c>
      <c r="D1088" s="15">
        <f>IFERROR(__xludf.DUMMYFUNCTION("""COMPUTED_VALUE"""),1.003)</f>
        <v>1.003</v>
      </c>
      <c r="E1088" s="16">
        <f>IFERROR(__xludf.DUMMYFUNCTION("""COMPUTED_VALUE"""),73.0)</f>
        <v>73</v>
      </c>
      <c r="F1088" s="19" t="str">
        <f>IFERROR(__xludf.DUMMYFUNCTION("""COMPUTED_VALUE"""),"BLACK")</f>
        <v>BLACK</v>
      </c>
      <c r="G1088" s="20" t="str">
        <f>IFERROR(__xludf.DUMMYFUNCTION("""COMPUTED_VALUE"""),"Uncle Sams Cider (04/04/2023)")</f>
        <v>Uncle Sams Cider (04/04/2023)</v>
      </c>
      <c r="H1088" s="19"/>
    </row>
    <row r="1089">
      <c r="A1089" s="9"/>
      <c r="B1089" s="15"/>
      <c r="C1089" s="9">
        <f>IFERROR(__xludf.DUMMYFUNCTION("""COMPUTED_VALUE"""),45133.2656199652)</f>
        <v>45133.26562</v>
      </c>
      <c r="D1089" s="15">
        <f>IFERROR(__xludf.DUMMYFUNCTION("""COMPUTED_VALUE"""),1.003)</f>
        <v>1.003</v>
      </c>
      <c r="E1089" s="16">
        <f>IFERROR(__xludf.DUMMYFUNCTION("""COMPUTED_VALUE"""),73.0)</f>
        <v>73</v>
      </c>
      <c r="F1089" s="19" t="str">
        <f>IFERROR(__xludf.DUMMYFUNCTION("""COMPUTED_VALUE"""),"BLACK")</f>
        <v>BLACK</v>
      </c>
      <c r="G1089" s="20" t="str">
        <f>IFERROR(__xludf.DUMMYFUNCTION("""COMPUTED_VALUE"""),"Uncle Sams Cider (04/04/2023)")</f>
        <v>Uncle Sams Cider (04/04/2023)</v>
      </c>
      <c r="H1089" s="19"/>
    </row>
    <row r="1090">
      <c r="A1090" s="9"/>
      <c r="B1090" s="15"/>
      <c r="C1090" s="9">
        <f>IFERROR(__xludf.DUMMYFUNCTION("""COMPUTED_VALUE"""),45133.2551872916)</f>
        <v>45133.25519</v>
      </c>
      <c r="D1090" s="15">
        <f>IFERROR(__xludf.DUMMYFUNCTION("""COMPUTED_VALUE"""),1.003)</f>
        <v>1.003</v>
      </c>
      <c r="E1090" s="16">
        <f>IFERROR(__xludf.DUMMYFUNCTION("""COMPUTED_VALUE"""),73.0)</f>
        <v>73</v>
      </c>
      <c r="F1090" s="19" t="str">
        <f>IFERROR(__xludf.DUMMYFUNCTION("""COMPUTED_VALUE"""),"BLACK")</f>
        <v>BLACK</v>
      </c>
      <c r="G1090" s="20" t="str">
        <f>IFERROR(__xludf.DUMMYFUNCTION("""COMPUTED_VALUE"""),"Uncle Sams Cider (04/04/2023)")</f>
        <v>Uncle Sams Cider (04/04/2023)</v>
      </c>
      <c r="H1090" s="19"/>
    </row>
    <row r="1091">
      <c r="A1091" s="9"/>
      <c r="B1091" s="15"/>
      <c r="C1091" s="9">
        <f>IFERROR(__xludf.DUMMYFUNCTION("""COMPUTED_VALUE"""),45133.2447697106)</f>
        <v>45133.24477</v>
      </c>
      <c r="D1091" s="15">
        <f>IFERROR(__xludf.DUMMYFUNCTION("""COMPUTED_VALUE"""),1.003)</f>
        <v>1.003</v>
      </c>
      <c r="E1091" s="16">
        <f>IFERROR(__xludf.DUMMYFUNCTION("""COMPUTED_VALUE"""),73.0)</f>
        <v>73</v>
      </c>
      <c r="F1091" s="19" t="str">
        <f>IFERROR(__xludf.DUMMYFUNCTION("""COMPUTED_VALUE"""),"BLACK")</f>
        <v>BLACK</v>
      </c>
      <c r="G1091" s="20" t="str">
        <f>IFERROR(__xludf.DUMMYFUNCTION("""COMPUTED_VALUE"""),"Uncle Sams Cider (04/04/2023)")</f>
        <v>Uncle Sams Cider (04/04/2023)</v>
      </c>
      <c r="H1091" s="19"/>
    </row>
    <row r="1092">
      <c r="A1092" s="9"/>
      <c r="B1092" s="15"/>
      <c r="C1092" s="9">
        <f>IFERROR(__xludf.DUMMYFUNCTION("""COMPUTED_VALUE"""),45133.2343496296)</f>
        <v>45133.23435</v>
      </c>
      <c r="D1092" s="15">
        <f>IFERROR(__xludf.DUMMYFUNCTION("""COMPUTED_VALUE"""),1.003)</f>
        <v>1.003</v>
      </c>
      <c r="E1092" s="16">
        <f>IFERROR(__xludf.DUMMYFUNCTION("""COMPUTED_VALUE"""),73.0)</f>
        <v>73</v>
      </c>
      <c r="F1092" s="19" t="str">
        <f>IFERROR(__xludf.DUMMYFUNCTION("""COMPUTED_VALUE"""),"BLACK")</f>
        <v>BLACK</v>
      </c>
      <c r="G1092" s="20" t="str">
        <f>IFERROR(__xludf.DUMMYFUNCTION("""COMPUTED_VALUE"""),"Uncle Sams Cider (04/04/2023)")</f>
        <v>Uncle Sams Cider (04/04/2023)</v>
      </c>
      <c r="H1092" s="19"/>
    </row>
    <row r="1093">
      <c r="A1093" s="9"/>
      <c r="B1093" s="15"/>
      <c r="C1093" s="9">
        <f>IFERROR(__xludf.DUMMYFUNCTION("""COMPUTED_VALUE"""),45133.2239160532)</f>
        <v>45133.22392</v>
      </c>
      <c r="D1093" s="15">
        <f>IFERROR(__xludf.DUMMYFUNCTION("""COMPUTED_VALUE"""),1.003)</f>
        <v>1.003</v>
      </c>
      <c r="E1093" s="16">
        <f>IFERROR(__xludf.DUMMYFUNCTION("""COMPUTED_VALUE"""),73.0)</f>
        <v>73</v>
      </c>
      <c r="F1093" s="19" t="str">
        <f>IFERROR(__xludf.DUMMYFUNCTION("""COMPUTED_VALUE"""),"BLACK")</f>
        <v>BLACK</v>
      </c>
      <c r="G1093" s="20" t="str">
        <f>IFERROR(__xludf.DUMMYFUNCTION("""COMPUTED_VALUE"""),"Uncle Sams Cider (04/04/2023)")</f>
        <v>Uncle Sams Cider (04/04/2023)</v>
      </c>
      <c r="H1093" s="19"/>
    </row>
    <row r="1094">
      <c r="A1094" s="9"/>
      <c r="B1094" s="15"/>
      <c r="C1094" s="9">
        <f>IFERROR(__xludf.DUMMYFUNCTION("""COMPUTED_VALUE"""),45133.2134953703)</f>
        <v>45133.2135</v>
      </c>
      <c r="D1094" s="15">
        <f>IFERROR(__xludf.DUMMYFUNCTION("""COMPUTED_VALUE"""),1.003)</f>
        <v>1.003</v>
      </c>
      <c r="E1094" s="16">
        <f>IFERROR(__xludf.DUMMYFUNCTION("""COMPUTED_VALUE"""),73.0)</f>
        <v>73</v>
      </c>
      <c r="F1094" s="19" t="str">
        <f>IFERROR(__xludf.DUMMYFUNCTION("""COMPUTED_VALUE"""),"BLACK")</f>
        <v>BLACK</v>
      </c>
      <c r="G1094" s="20" t="str">
        <f>IFERROR(__xludf.DUMMYFUNCTION("""COMPUTED_VALUE"""),"Uncle Sams Cider (04/04/2023)")</f>
        <v>Uncle Sams Cider (04/04/2023)</v>
      </c>
      <c r="H1094" s="19"/>
    </row>
    <row r="1095">
      <c r="A1095" s="9"/>
      <c r="B1095" s="15"/>
      <c r="C1095" s="9">
        <f>IFERROR(__xludf.DUMMYFUNCTION("""COMPUTED_VALUE"""),45133.2030726504)</f>
        <v>45133.20307</v>
      </c>
      <c r="D1095" s="15">
        <f>IFERROR(__xludf.DUMMYFUNCTION("""COMPUTED_VALUE"""),1.003)</f>
        <v>1.003</v>
      </c>
      <c r="E1095" s="16">
        <f>IFERROR(__xludf.DUMMYFUNCTION("""COMPUTED_VALUE"""),73.0)</f>
        <v>73</v>
      </c>
      <c r="F1095" s="19" t="str">
        <f>IFERROR(__xludf.DUMMYFUNCTION("""COMPUTED_VALUE"""),"BLACK")</f>
        <v>BLACK</v>
      </c>
      <c r="G1095" s="20" t="str">
        <f>IFERROR(__xludf.DUMMYFUNCTION("""COMPUTED_VALUE"""),"Uncle Sams Cider (04/04/2023)")</f>
        <v>Uncle Sams Cider (04/04/2023)</v>
      </c>
      <c r="H1095" s="19"/>
    </row>
    <row r="1096">
      <c r="A1096" s="9"/>
      <c r="B1096" s="15"/>
      <c r="C1096" s="9">
        <f>IFERROR(__xludf.DUMMYFUNCTION("""COMPUTED_VALUE"""),45133.1926519097)</f>
        <v>45133.19265</v>
      </c>
      <c r="D1096" s="15">
        <f>IFERROR(__xludf.DUMMYFUNCTION("""COMPUTED_VALUE"""),1.003)</f>
        <v>1.003</v>
      </c>
      <c r="E1096" s="16">
        <f>IFERROR(__xludf.DUMMYFUNCTION("""COMPUTED_VALUE"""),73.0)</f>
        <v>73</v>
      </c>
      <c r="F1096" s="19" t="str">
        <f>IFERROR(__xludf.DUMMYFUNCTION("""COMPUTED_VALUE"""),"BLACK")</f>
        <v>BLACK</v>
      </c>
      <c r="G1096" s="20" t="str">
        <f>IFERROR(__xludf.DUMMYFUNCTION("""COMPUTED_VALUE"""),"Uncle Sams Cider (04/04/2023)")</f>
        <v>Uncle Sams Cider (04/04/2023)</v>
      </c>
      <c r="H1096" s="19"/>
    </row>
    <row r="1097">
      <c r="A1097" s="9"/>
      <c r="B1097" s="15"/>
      <c r="C1097" s="9">
        <f>IFERROR(__xludf.DUMMYFUNCTION("""COMPUTED_VALUE"""),45133.182230162)</f>
        <v>45133.18223</v>
      </c>
      <c r="D1097" s="15">
        <f>IFERROR(__xludf.DUMMYFUNCTION("""COMPUTED_VALUE"""),1.003)</f>
        <v>1.003</v>
      </c>
      <c r="E1097" s="16">
        <f>IFERROR(__xludf.DUMMYFUNCTION("""COMPUTED_VALUE"""),73.0)</f>
        <v>73</v>
      </c>
      <c r="F1097" s="19" t="str">
        <f>IFERROR(__xludf.DUMMYFUNCTION("""COMPUTED_VALUE"""),"BLACK")</f>
        <v>BLACK</v>
      </c>
      <c r="G1097" s="20" t="str">
        <f>IFERROR(__xludf.DUMMYFUNCTION("""COMPUTED_VALUE"""),"Uncle Sams Cider (04/04/2023)")</f>
        <v>Uncle Sams Cider (04/04/2023)</v>
      </c>
      <c r="H1097" s="19"/>
    </row>
    <row r="1098">
      <c r="A1098" s="9"/>
      <c r="B1098" s="15"/>
      <c r="C1098" s="9">
        <f>IFERROR(__xludf.DUMMYFUNCTION("""COMPUTED_VALUE"""),45133.1717979166)</f>
        <v>45133.1718</v>
      </c>
      <c r="D1098" s="15">
        <f>IFERROR(__xludf.DUMMYFUNCTION("""COMPUTED_VALUE"""),1.003)</f>
        <v>1.003</v>
      </c>
      <c r="E1098" s="16">
        <f>IFERROR(__xludf.DUMMYFUNCTION("""COMPUTED_VALUE"""),73.0)</f>
        <v>73</v>
      </c>
      <c r="F1098" s="19" t="str">
        <f>IFERROR(__xludf.DUMMYFUNCTION("""COMPUTED_VALUE"""),"BLACK")</f>
        <v>BLACK</v>
      </c>
      <c r="G1098" s="20" t="str">
        <f>IFERROR(__xludf.DUMMYFUNCTION("""COMPUTED_VALUE"""),"Uncle Sams Cider (04/04/2023)")</f>
        <v>Uncle Sams Cider (04/04/2023)</v>
      </c>
      <c r="H1098" s="19"/>
    </row>
    <row r="1099">
      <c r="A1099" s="9"/>
      <c r="B1099" s="15"/>
      <c r="C1099" s="9">
        <f>IFERROR(__xludf.DUMMYFUNCTION("""COMPUTED_VALUE"""),45133.1613648726)</f>
        <v>45133.16136</v>
      </c>
      <c r="D1099" s="15">
        <f>IFERROR(__xludf.DUMMYFUNCTION("""COMPUTED_VALUE"""),1.003)</f>
        <v>1.003</v>
      </c>
      <c r="E1099" s="16">
        <f>IFERROR(__xludf.DUMMYFUNCTION("""COMPUTED_VALUE"""),73.0)</f>
        <v>73</v>
      </c>
      <c r="F1099" s="19" t="str">
        <f>IFERROR(__xludf.DUMMYFUNCTION("""COMPUTED_VALUE"""),"BLACK")</f>
        <v>BLACK</v>
      </c>
      <c r="G1099" s="20" t="str">
        <f>IFERROR(__xludf.DUMMYFUNCTION("""COMPUTED_VALUE"""),"Uncle Sams Cider (04/04/2023)")</f>
        <v>Uncle Sams Cider (04/04/2023)</v>
      </c>
      <c r="H1099" s="19"/>
    </row>
    <row r="1100">
      <c r="A1100" s="9"/>
      <c r="B1100" s="15"/>
      <c r="C1100" s="9">
        <f>IFERROR(__xludf.DUMMYFUNCTION("""COMPUTED_VALUE"""),45133.1509422569)</f>
        <v>45133.15094</v>
      </c>
      <c r="D1100" s="15">
        <f>IFERROR(__xludf.DUMMYFUNCTION("""COMPUTED_VALUE"""),1.003)</f>
        <v>1.003</v>
      </c>
      <c r="E1100" s="16">
        <f>IFERROR(__xludf.DUMMYFUNCTION("""COMPUTED_VALUE"""),73.0)</f>
        <v>73</v>
      </c>
      <c r="F1100" s="19" t="str">
        <f>IFERROR(__xludf.DUMMYFUNCTION("""COMPUTED_VALUE"""),"BLACK")</f>
        <v>BLACK</v>
      </c>
      <c r="G1100" s="20" t="str">
        <f>IFERROR(__xludf.DUMMYFUNCTION("""COMPUTED_VALUE"""),"Uncle Sams Cider (04/04/2023)")</f>
        <v>Uncle Sams Cider (04/04/2023)</v>
      </c>
      <c r="H1100" s="19"/>
    </row>
    <row r="1101">
      <c r="A1101" s="9"/>
      <c r="B1101" s="15"/>
      <c r="C1101" s="9">
        <f>IFERROR(__xludf.DUMMYFUNCTION("""COMPUTED_VALUE"""),45133.1405218865)</f>
        <v>45133.14052</v>
      </c>
      <c r="D1101" s="15">
        <f>IFERROR(__xludf.DUMMYFUNCTION("""COMPUTED_VALUE"""),1.003)</f>
        <v>1.003</v>
      </c>
      <c r="E1101" s="16">
        <f>IFERROR(__xludf.DUMMYFUNCTION("""COMPUTED_VALUE"""),73.0)</f>
        <v>73</v>
      </c>
      <c r="F1101" s="19" t="str">
        <f>IFERROR(__xludf.DUMMYFUNCTION("""COMPUTED_VALUE"""),"BLACK")</f>
        <v>BLACK</v>
      </c>
      <c r="G1101" s="20" t="str">
        <f>IFERROR(__xludf.DUMMYFUNCTION("""COMPUTED_VALUE"""),"Uncle Sams Cider (04/04/2023)")</f>
        <v>Uncle Sams Cider (04/04/2023)</v>
      </c>
      <c r="H1101" s="19"/>
    </row>
    <row r="1102">
      <c r="A1102" s="9"/>
      <c r="B1102" s="15"/>
      <c r="C1102" s="9">
        <f>IFERROR(__xludf.DUMMYFUNCTION("""COMPUTED_VALUE"""),45133.1301014004)</f>
        <v>45133.1301</v>
      </c>
      <c r="D1102" s="15">
        <f>IFERROR(__xludf.DUMMYFUNCTION("""COMPUTED_VALUE"""),1.003)</f>
        <v>1.003</v>
      </c>
      <c r="E1102" s="16">
        <f>IFERROR(__xludf.DUMMYFUNCTION("""COMPUTED_VALUE"""),73.0)</f>
        <v>73</v>
      </c>
      <c r="F1102" s="19" t="str">
        <f>IFERROR(__xludf.DUMMYFUNCTION("""COMPUTED_VALUE"""),"BLACK")</f>
        <v>BLACK</v>
      </c>
      <c r="G1102" s="20" t="str">
        <f>IFERROR(__xludf.DUMMYFUNCTION("""COMPUTED_VALUE"""),"Uncle Sams Cider (04/04/2023)")</f>
        <v>Uncle Sams Cider (04/04/2023)</v>
      </c>
      <c r="H1102" s="19"/>
    </row>
    <row r="1103">
      <c r="A1103" s="9"/>
      <c r="B1103" s="15"/>
      <c r="C1103" s="9">
        <f>IFERROR(__xludf.DUMMYFUNCTION("""COMPUTED_VALUE"""),45133.1196801388)</f>
        <v>45133.11968</v>
      </c>
      <c r="D1103" s="15">
        <f>IFERROR(__xludf.DUMMYFUNCTION("""COMPUTED_VALUE"""),1.003)</f>
        <v>1.003</v>
      </c>
      <c r="E1103" s="16">
        <f>IFERROR(__xludf.DUMMYFUNCTION("""COMPUTED_VALUE"""),73.0)</f>
        <v>73</v>
      </c>
      <c r="F1103" s="19" t="str">
        <f>IFERROR(__xludf.DUMMYFUNCTION("""COMPUTED_VALUE"""),"BLACK")</f>
        <v>BLACK</v>
      </c>
      <c r="G1103" s="20" t="str">
        <f>IFERROR(__xludf.DUMMYFUNCTION("""COMPUTED_VALUE"""),"Uncle Sams Cider (04/04/2023)")</f>
        <v>Uncle Sams Cider (04/04/2023)</v>
      </c>
      <c r="H1103" s="19"/>
    </row>
    <row r="1104">
      <c r="A1104" s="9"/>
      <c r="B1104" s="15"/>
      <c r="C1104" s="9">
        <f>IFERROR(__xludf.DUMMYFUNCTION("""COMPUTED_VALUE"""),45133.1092594675)</f>
        <v>45133.10926</v>
      </c>
      <c r="D1104" s="15">
        <f>IFERROR(__xludf.DUMMYFUNCTION("""COMPUTED_VALUE"""),1.003)</f>
        <v>1.003</v>
      </c>
      <c r="E1104" s="16">
        <f>IFERROR(__xludf.DUMMYFUNCTION("""COMPUTED_VALUE"""),73.0)</f>
        <v>73</v>
      </c>
      <c r="F1104" s="19" t="str">
        <f>IFERROR(__xludf.DUMMYFUNCTION("""COMPUTED_VALUE"""),"BLACK")</f>
        <v>BLACK</v>
      </c>
      <c r="G1104" s="20" t="str">
        <f>IFERROR(__xludf.DUMMYFUNCTION("""COMPUTED_VALUE"""),"Uncle Sams Cider (04/04/2023)")</f>
        <v>Uncle Sams Cider (04/04/2023)</v>
      </c>
      <c r="H1104" s="19"/>
    </row>
    <row r="1105">
      <c r="A1105" s="9"/>
      <c r="B1105" s="15"/>
      <c r="C1105" s="9">
        <f>IFERROR(__xludf.DUMMYFUNCTION("""COMPUTED_VALUE"""),45133.0988266435)</f>
        <v>45133.09883</v>
      </c>
      <c r="D1105" s="15">
        <f>IFERROR(__xludf.DUMMYFUNCTION("""COMPUTED_VALUE"""),1.003)</f>
        <v>1.003</v>
      </c>
      <c r="E1105" s="16">
        <f>IFERROR(__xludf.DUMMYFUNCTION("""COMPUTED_VALUE"""),73.0)</f>
        <v>73</v>
      </c>
      <c r="F1105" s="19" t="str">
        <f>IFERROR(__xludf.DUMMYFUNCTION("""COMPUTED_VALUE"""),"BLACK")</f>
        <v>BLACK</v>
      </c>
      <c r="G1105" s="20" t="str">
        <f>IFERROR(__xludf.DUMMYFUNCTION("""COMPUTED_VALUE"""),"Uncle Sams Cider (04/04/2023)")</f>
        <v>Uncle Sams Cider (04/04/2023)</v>
      </c>
      <c r="H1105" s="19"/>
    </row>
    <row r="1106">
      <c r="A1106" s="9"/>
      <c r="B1106" s="15"/>
      <c r="C1106" s="9">
        <f>IFERROR(__xludf.DUMMYFUNCTION("""COMPUTED_VALUE"""),45133.0884053125)</f>
        <v>45133.08841</v>
      </c>
      <c r="D1106" s="15">
        <f>IFERROR(__xludf.DUMMYFUNCTION("""COMPUTED_VALUE"""),1.003)</f>
        <v>1.003</v>
      </c>
      <c r="E1106" s="16">
        <f>IFERROR(__xludf.DUMMYFUNCTION("""COMPUTED_VALUE"""),73.0)</f>
        <v>73</v>
      </c>
      <c r="F1106" s="19" t="str">
        <f>IFERROR(__xludf.DUMMYFUNCTION("""COMPUTED_VALUE"""),"BLACK")</f>
        <v>BLACK</v>
      </c>
      <c r="G1106" s="20" t="str">
        <f>IFERROR(__xludf.DUMMYFUNCTION("""COMPUTED_VALUE"""),"Uncle Sams Cider (04/04/2023)")</f>
        <v>Uncle Sams Cider (04/04/2023)</v>
      </c>
      <c r="H1106" s="19"/>
    </row>
    <row r="1107">
      <c r="A1107" s="9"/>
      <c r="B1107" s="15"/>
      <c r="C1107" s="9">
        <f>IFERROR(__xludf.DUMMYFUNCTION("""COMPUTED_VALUE"""),45133.0779846643)</f>
        <v>45133.07798</v>
      </c>
      <c r="D1107" s="15">
        <f>IFERROR(__xludf.DUMMYFUNCTION("""COMPUTED_VALUE"""),1.003)</f>
        <v>1.003</v>
      </c>
      <c r="E1107" s="16">
        <f>IFERROR(__xludf.DUMMYFUNCTION("""COMPUTED_VALUE"""),73.0)</f>
        <v>73</v>
      </c>
      <c r="F1107" s="19" t="str">
        <f>IFERROR(__xludf.DUMMYFUNCTION("""COMPUTED_VALUE"""),"BLACK")</f>
        <v>BLACK</v>
      </c>
      <c r="G1107" s="20" t="str">
        <f>IFERROR(__xludf.DUMMYFUNCTION("""COMPUTED_VALUE"""),"Uncle Sams Cider (04/04/2023)")</f>
        <v>Uncle Sams Cider (04/04/2023)</v>
      </c>
      <c r="H1107" s="19"/>
    </row>
    <row r="1108">
      <c r="A1108" s="9"/>
      <c r="B1108" s="15"/>
      <c r="C1108" s="9">
        <f>IFERROR(__xludf.DUMMYFUNCTION("""COMPUTED_VALUE"""),45133.0675524189)</f>
        <v>45133.06755</v>
      </c>
      <c r="D1108" s="15">
        <f>IFERROR(__xludf.DUMMYFUNCTION("""COMPUTED_VALUE"""),1.003)</f>
        <v>1.003</v>
      </c>
      <c r="E1108" s="16">
        <f>IFERROR(__xludf.DUMMYFUNCTION("""COMPUTED_VALUE"""),73.0)</f>
        <v>73</v>
      </c>
      <c r="F1108" s="19" t="str">
        <f>IFERROR(__xludf.DUMMYFUNCTION("""COMPUTED_VALUE"""),"BLACK")</f>
        <v>BLACK</v>
      </c>
      <c r="G1108" s="20" t="str">
        <f>IFERROR(__xludf.DUMMYFUNCTION("""COMPUTED_VALUE"""),"Uncle Sams Cider (04/04/2023)")</f>
        <v>Uncle Sams Cider (04/04/2023)</v>
      </c>
      <c r="H1108" s="19"/>
    </row>
    <row r="1109">
      <c r="A1109" s="9"/>
      <c r="B1109" s="15"/>
      <c r="C1109" s="9">
        <f>IFERROR(__xludf.DUMMYFUNCTION("""COMPUTED_VALUE"""),45133.0571312037)</f>
        <v>45133.05713</v>
      </c>
      <c r="D1109" s="15">
        <f>IFERROR(__xludf.DUMMYFUNCTION("""COMPUTED_VALUE"""),1.003)</f>
        <v>1.003</v>
      </c>
      <c r="E1109" s="16">
        <f>IFERROR(__xludf.DUMMYFUNCTION("""COMPUTED_VALUE"""),73.0)</f>
        <v>73</v>
      </c>
      <c r="F1109" s="19" t="str">
        <f>IFERROR(__xludf.DUMMYFUNCTION("""COMPUTED_VALUE"""),"BLACK")</f>
        <v>BLACK</v>
      </c>
      <c r="G1109" s="20" t="str">
        <f>IFERROR(__xludf.DUMMYFUNCTION("""COMPUTED_VALUE"""),"Uncle Sams Cider (04/04/2023)")</f>
        <v>Uncle Sams Cider (04/04/2023)</v>
      </c>
      <c r="H1109" s="19"/>
    </row>
    <row r="1110">
      <c r="A1110" s="9"/>
      <c r="B1110" s="15"/>
      <c r="C1110" s="9">
        <f>IFERROR(__xludf.DUMMYFUNCTION("""COMPUTED_VALUE"""),45133.0467099189)</f>
        <v>45133.04671</v>
      </c>
      <c r="D1110" s="15">
        <f>IFERROR(__xludf.DUMMYFUNCTION("""COMPUTED_VALUE"""),1.003)</f>
        <v>1.003</v>
      </c>
      <c r="E1110" s="16">
        <f>IFERROR(__xludf.DUMMYFUNCTION("""COMPUTED_VALUE"""),73.0)</f>
        <v>73</v>
      </c>
      <c r="F1110" s="19" t="str">
        <f>IFERROR(__xludf.DUMMYFUNCTION("""COMPUTED_VALUE"""),"BLACK")</f>
        <v>BLACK</v>
      </c>
      <c r="G1110" s="20" t="str">
        <f>IFERROR(__xludf.DUMMYFUNCTION("""COMPUTED_VALUE"""),"Uncle Sams Cider (04/04/2023)")</f>
        <v>Uncle Sams Cider (04/04/2023)</v>
      </c>
      <c r="H1110" s="19"/>
    </row>
    <row r="1111">
      <c r="A1111" s="9"/>
      <c r="B1111" s="15"/>
      <c r="C1111" s="9">
        <f>IFERROR(__xludf.DUMMYFUNCTION("""COMPUTED_VALUE"""),45133.0362891782)</f>
        <v>45133.03629</v>
      </c>
      <c r="D1111" s="15">
        <f>IFERROR(__xludf.DUMMYFUNCTION("""COMPUTED_VALUE"""),1.003)</f>
        <v>1.003</v>
      </c>
      <c r="E1111" s="16">
        <f>IFERROR(__xludf.DUMMYFUNCTION("""COMPUTED_VALUE"""),73.0)</f>
        <v>73</v>
      </c>
      <c r="F1111" s="19" t="str">
        <f>IFERROR(__xludf.DUMMYFUNCTION("""COMPUTED_VALUE"""),"BLACK")</f>
        <v>BLACK</v>
      </c>
      <c r="G1111" s="20" t="str">
        <f>IFERROR(__xludf.DUMMYFUNCTION("""COMPUTED_VALUE"""),"Uncle Sams Cider (04/04/2023)")</f>
        <v>Uncle Sams Cider (04/04/2023)</v>
      </c>
      <c r="H1111" s="19"/>
    </row>
    <row r="1112">
      <c r="A1112" s="9"/>
      <c r="B1112" s="15"/>
      <c r="C1112" s="9">
        <f>IFERROR(__xludf.DUMMYFUNCTION("""COMPUTED_VALUE"""),45133.0258461111)</f>
        <v>45133.02585</v>
      </c>
      <c r="D1112" s="15">
        <f>IFERROR(__xludf.DUMMYFUNCTION("""COMPUTED_VALUE"""),1.003)</f>
        <v>1.003</v>
      </c>
      <c r="E1112" s="16">
        <f>IFERROR(__xludf.DUMMYFUNCTION("""COMPUTED_VALUE"""),73.0)</f>
        <v>73</v>
      </c>
      <c r="F1112" s="19" t="str">
        <f>IFERROR(__xludf.DUMMYFUNCTION("""COMPUTED_VALUE"""),"BLACK")</f>
        <v>BLACK</v>
      </c>
      <c r="G1112" s="20" t="str">
        <f>IFERROR(__xludf.DUMMYFUNCTION("""COMPUTED_VALUE"""),"Uncle Sams Cider (04/04/2023)")</f>
        <v>Uncle Sams Cider (04/04/2023)</v>
      </c>
      <c r="H1112" s="19"/>
    </row>
    <row r="1113">
      <c r="A1113" s="9"/>
      <c r="B1113" s="15"/>
      <c r="C1113" s="9">
        <f>IFERROR(__xludf.DUMMYFUNCTION("""COMPUTED_VALUE"""),45133.0154132407)</f>
        <v>45133.01541</v>
      </c>
      <c r="D1113" s="15">
        <f>IFERROR(__xludf.DUMMYFUNCTION("""COMPUTED_VALUE"""),1.004)</f>
        <v>1.004</v>
      </c>
      <c r="E1113" s="16">
        <f>IFERROR(__xludf.DUMMYFUNCTION("""COMPUTED_VALUE"""),73.0)</f>
        <v>73</v>
      </c>
      <c r="F1113" s="19" t="str">
        <f>IFERROR(__xludf.DUMMYFUNCTION("""COMPUTED_VALUE"""),"BLACK")</f>
        <v>BLACK</v>
      </c>
      <c r="G1113" s="20" t="str">
        <f>IFERROR(__xludf.DUMMYFUNCTION("""COMPUTED_VALUE"""),"Uncle Sams Cider (04/04/2023)")</f>
        <v>Uncle Sams Cider (04/04/2023)</v>
      </c>
      <c r="H1113" s="19"/>
    </row>
    <row r="1114">
      <c r="A1114" s="9"/>
      <c r="B1114" s="15"/>
      <c r="C1114" s="9">
        <f>IFERROR(__xludf.DUMMYFUNCTION("""COMPUTED_VALUE"""),45133.0049925)</f>
        <v>45133.00499</v>
      </c>
      <c r="D1114" s="15">
        <f>IFERROR(__xludf.DUMMYFUNCTION("""COMPUTED_VALUE"""),1.003)</f>
        <v>1.003</v>
      </c>
      <c r="E1114" s="16">
        <f>IFERROR(__xludf.DUMMYFUNCTION("""COMPUTED_VALUE"""),73.0)</f>
        <v>73</v>
      </c>
      <c r="F1114" s="19" t="str">
        <f>IFERROR(__xludf.DUMMYFUNCTION("""COMPUTED_VALUE"""),"BLACK")</f>
        <v>BLACK</v>
      </c>
      <c r="G1114" s="20" t="str">
        <f>IFERROR(__xludf.DUMMYFUNCTION("""COMPUTED_VALUE"""),"Uncle Sams Cider (04/04/2023)")</f>
        <v>Uncle Sams Cider (04/04/2023)</v>
      </c>
      <c r="H1114" s="19"/>
    </row>
    <row r="1115">
      <c r="A1115" s="9"/>
      <c r="B1115" s="15"/>
      <c r="C1115" s="9">
        <f>IFERROR(__xludf.DUMMYFUNCTION("""COMPUTED_VALUE"""),45132.9945702777)</f>
        <v>45132.99457</v>
      </c>
      <c r="D1115" s="15">
        <f>IFERROR(__xludf.DUMMYFUNCTION("""COMPUTED_VALUE"""),1.003)</f>
        <v>1.003</v>
      </c>
      <c r="E1115" s="16">
        <f>IFERROR(__xludf.DUMMYFUNCTION("""COMPUTED_VALUE"""),73.0)</f>
        <v>73</v>
      </c>
      <c r="F1115" s="19" t="str">
        <f>IFERROR(__xludf.DUMMYFUNCTION("""COMPUTED_VALUE"""),"BLACK")</f>
        <v>BLACK</v>
      </c>
      <c r="G1115" s="20" t="str">
        <f>IFERROR(__xludf.DUMMYFUNCTION("""COMPUTED_VALUE"""),"Uncle Sams Cider (04/04/2023)")</f>
        <v>Uncle Sams Cider (04/04/2023)</v>
      </c>
      <c r="H1115" s="19"/>
    </row>
    <row r="1116">
      <c r="A1116" s="9"/>
      <c r="B1116" s="15"/>
      <c r="C1116" s="9">
        <f>IFERROR(__xludf.DUMMYFUNCTION("""COMPUTED_VALUE"""),45132.9841388425)</f>
        <v>45132.98414</v>
      </c>
      <c r="D1116" s="15">
        <f>IFERROR(__xludf.DUMMYFUNCTION("""COMPUTED_VALUE"""),1.003)</f>
        <v>1.003</v>
      </c>
      <c r="E1116" s="16">
        <f>IFERROR(__xludf.DUMMYFUNCTION("""COMPUTED_VALUE"""),73.0)</f>
        <v>73</v>
      </c>
      <c r="F1116" s="19" t="str">
        <f>IFERROR(__xludf.DUMMYFUNCTION("""COMPUTED_VALUE"""),"BLACK")</f>
        <v>BLACK</v>
      </c>
      <c r="G1116" s="20" t="str">
        <f>IFERROR(__xludf.DUMMYFUNCTION("""COMPUTED_VALUE"""),"Uncle Sams Cider (04/04/2023)")</f>
        <v>Uncle Sams Cider (04/04/2023)</v>
      </c>
      <c r="H1116" s="19"/>
    </row>
    <row r="1117">
      <c r="A1117" s="9"/>
      <c r="B1117" s="15"/>
      <c r="C1117" s="9">
        <f>IFERROR(__xludf.DUMMYFUNCTION("""COMPUTED_VALUE"""),45132.9737079513)</f>
        <v>45132.97371</v>
      </c>
      <c r="D1117" s="15">
        <f>IFERROR(__xludf.DUMMYFUNCTION("""COMPUTED_VALUE"""),1.003)</f>
        <v>1.003</v>
      </c>
      <c r="E1117" s="16">
        <f>IFERROR(__xludf.DUMMYFUNCTION("""COMPUTED_VALUE"""),73.0)</f>
        <v>73</v>
      </c>
      <c r="F1117" s="19" t="str">
        <f>IFERROR(__xludf.DUMMYFUNCTION("""COMPUTED_VALUE"""),"BLACK")</f>
        <v>BLACK</v>
      </c>
      <c r="G1117" s="20" t="str">
        <f>IFERROR(__xludf.DUMMYFUNCTION("""COMPUTED_VALUE"""),"Uncle Sams Cider (04/04/2023)")</f>
        <v>Uncle Sams Cider (04/04/2023)</v>
      </c>
      <c r="H1117" s="19"/>
    </row>
    <row r="1118">
      <c r="A1118" s="9"/>
      <c r="B1118" s="15"/>
      <c r="C1118" s="9">
        <f>IFERROR(__xludf.DUMMYFUNCTION("""COMPUTED_VALUE"""),45132.9632868518)</f>
        <v>45132.96329</v>
      </c>
      <c r="D1118" s="15">
        <f>IFERROR(__xludf.DUMMYFUNCTION("""COMPUTED_VALUE"""),1.003)</f>
        <v>1.003</v>
      </c>
      <c r="E1118" s="16">
        <f>IFERROR(__xludf.DUMMYFUNCTION("""COMPUTED_VALUE"""),73.0)</f>
        <v>73</v>
      </c>
      <c r="F1118" s="19" t="str">
        <f>IFERROR(__xludf.DUMMYFUNCTION("""COMPUTED_VALUE"""),"BLACK")</f>
        <v>BLACK</v>
      </c>
      <c r="G1118" s="20" t="str">
        <f>IFERROR(__xludf.DUMMYFUNCTION("""COMPUTED_VALUE"""),"Uncle Sams Cider (04/04/2023)")</f>
        <v>Uncle Sams Cider (04/04/2023)</v>
      </c>
      <c r="H1118" s="19"/>
    </row>
    <row r="1119">
      <c r="A1119" s="9"/>
      <c r="B1119" s="15"/>
      <c r="C1119" s="9">
        <f>IFERROR(__xludf.DUMMYFUNCTION("""COMPUTED_VALUE"""),45132.9528421643)</f>
        <v>45132.95284</v>
      </c>
      <c r="D1119" s="15">
        <f>IFERROR(__xludf.DUMMYFUNCTION("""COMPUTED_VALUE"""),1.003)</f>
        <v>1.003</v>
      </c>
      <c r="E1119" s="16">
        <f>IFERROR(__xludf.DUMMYFUNCTION("""COMPUTED_VALUE"""),73.0)</f>
        <v>73</v>
      </c>
      <c r="F1119" s="19" t="str">
        <f>IFERROR(__xludf.DUMMYFUNCTION("""COMPUTED_VALUE"""),"BLACK")</f>
        <v>BLACK</v>
      </c>
      <c r="G1119" s="20" t="str">
        <f>IFERROR(__xludf.DUMMYFUNCTION("""COMPUTED_VALUE"""),"Uncle Sams Cider (04/04/2023)")</f>
        <v>Uncle Sams Cider (04/04/2023)</v>
      </c>
      <c r="H1119" s="19"/>
    </row>
    <row r="1120">
      <c r="A1120" s="9"/>
      <c r="B1120" s="15"/>
      <c r="C1120" s="9">
        <f>IFERROR(__xludf.DUMMYFUNCTION("""COMPUTED_VALUE"""),45132.9424212037)</f>
        <v>45132.94242</v>
      </c>
      <c r="D1120" s="15">
        <f>IFERROR(__xludf.DUMMYFUNCTION("""COMPUTED_VALUE"""),1.003)</f>
        <v>1.003</v>
      </c>
      <c r="E1120" s="16">
        <f>IFERROR(__xludf.DUMMYFUNCTION("""COMPUTED_VALUE"""),73.0)</f>
        <v>73</v>
      </c>
      <c r="F1120" s="19" t="str">
        <f>IFERROR(__xludf.DUMMYFUNCTION("""COMPUTED_VALUE"""),"BLACK")</f>
        <v>BLACK</v>
      </c>
      <c r="G1120" s="20" t="str">
        <f>IFERROR(__xludf.DUMMYFUNCTION("""COMPUTED_VALUE"""),"Uncle Sams Cider (04/04/2023)")</f>
        <v>Uncle Sams Cider (04/04/2023)</v>
      </c>
      <c r="H1120" s="19"/>
    </row>
    <row r="1121">
      <c r="A1121" s="9"/>
      <c r="B1121" s="15"/>
      <c r="C1121" s="9">
        <f>IFERROR(__xludf.DUMMYFUNCTION("""COMPUTED_VALUE"""),45132.9319979513)</f>
        <v>45132.932</v>
      </c>
      <c r="D1121" s="15">
        <f>IFERROR(__xludf.DUMMYFUNCTION("""COMPUTED_VALUE"""),1.003)</f>
        <v>1.003</v>
      </c>
      <c r="E1121" s="16">
        <f>IFERROR(__xludf.DUMMYFUNCTION("""COMPUTED_VALUE"""),73.0)</f>
        <v>73</v>
      </c>
      <c r="F1121" s="19" t="str">
        <f>IFERROR(__xludf.DUMMYFUNCTION("""COMPUTED_VALUE"""),"BLACK")</f>
        <v>BLACK</v>
      </c>
      <c r="G1121" s="20" t="str">
        <f>IFERROR(__xludf.DUMMYFUNCTION("""COMPUTED_VALUE"""),"Uncle Sams Cider (04/04/2023)")</f>
        <v>Uncle Sams Cider (04/04/2023)</v>
      </c>
      <c r="H1121" s="19"/>
    </row>
    <row r="1122">
      <c r="A1122" s="9"/>
      <c r="B1122" s="15"/>
      <c r="C1122" s="9">
        <f>IFERROR(__xludf.DUMMYFUNCTION("""COMPUTED_VALUE"""),45132.9215751157)</f>
        <v>45132.92158</v>
      </c>
      <c r="D1122" s="15">
        <f>IFERROR(__xludf.DUMMYFUNCTION("""COMPUTED_VALUE"""),1.003)</f>
        <v>1.003</v>
      </c>
      <c r="E1122" s="16">
        <f>IFERROR(__xludf.DUMMYFUNCTION("""COMPUTED_VALUE"""),73.0)</f>
        <v>73</v>
      </c>
      <c r="F1122" s="19" t="str">
        <f>IFERROR(__xludf.DUMMYFUNCTION("""COMPUTED_VALUE"""),"BLACK")</f>
        <v>BLACK</v>
      </c>
      <c r="G1122" s="20" t="str">
        <f>IFERROR(__xludf.DUMMYFUNCTION("""COMPUTED_VALUE"""),"Uncle Sams Cider (04/04/2023)")</f>
        <v>Uncle Sams Cider (04/04/2023)</v>
      </c>
      <c r="H1122" s="19"/>
    </row>
    <row r="1123">
      <c r="A1123" s="9"/>
      <c r="B1123" s="15"/>
      <c r="C1123" s="9">
        <f>IFERROR(__xludf.DUMMYFUNCTION("""COMPUTED_VALUE"""),45132.9111545023)</f>
        <v>45132.91115</v>
      </c>
      <c r="D1123" s="15">
        <f>IFERROR(__xludf.DUMMYFUNCTION("""COMPUTED_VALUE"""),1.003)</f>
        <v>1.003</v>
      </c>
      <c r="E1123" s="16">
        <f>IFERROR(__xludf.DUMMYFUNCTION("""COMPUTED_VALUE"""),73.0)</f>
        <v>73</v>
      </c>
      <c r="F1123" s="19" t="str">
        <f>IFERROR(__xludf.DUMMYFUNCTION("""COMPUTED_VALUE"""),"BLACK")</f>
        <v>BLACK</v>
      </c>
      <c r="G1123" s="20" t="str">
        <f>IFERROR(__xludf.DUMMYFUNCTION("""COMPUTED_VALUE"""),"Uncle Sams Cider (04/04/2023)")</f>
        <v>Uncle Sams Cider (04/04/2023)</v>
      </c>
      <c r="H1123" s="19"/>
    </row>
    <row r="1124">
      <c r="A1124" s="9"/>
      <c r="B1124" s="15"/>
      <c r="C1124" s="9">
        <f>IFERROR(__xludf.DUMMYFUNCTION("""COMPUTED_VALUE"""),45132.9007332638)</f>
        <v>45132.90073</v>
      </c>
      <c r="D1124" s="15">
        <f>IFERROR(__xludf.DUMMYFUNCTION("""COMPUTED_VALUE"""),1.003)</f>
        <v>1.003</v>
      </c>
      <c r="E1124" s="16">
        <f>IFERROR(__xludf.DUMMYFUNCTION("""COMPUTED_VALUE"""),73.0)</f>
        <v>73</v>
      </c>
      <c r="F1124" s="19" t="str">
        <f>IFERROR(__xludf.DUMMYFUNCTION("""COMPUTED_VALUE"""),"BLACK")</f>
        <v>BLACK</v>
      </c>
      <c r="G1124" s="20" t="str">
        <f>IFERROR(__xludf.DUMMYFUNCTION("""COMPUTED_VALUE"""),"Uncle Sams Cider (04/04/2023)")</f>
        <v>Uncle Sams Cider (04/04/2023)</v>
      </c>
      <c r="H1124" s="19"/>
    </row>
    <row r="1125">
      <c r="A1125" s="9"/>
      <c r="B1125" s="15"/>
      <c r="C1125" s="9">
        <f>IFERROR(__xludf.DUMMYFUNCTION("""COMPUTED_VALUE"""),45132.8903131713)</f>
        <v>45132.89031</v>
      </c>
      <c r="D1125" s="15">
        <f>IFERROR(__xludf.DUMMYFUNCTION("""COMPUTED_VALUE"""),1.003)</f>
        <v>1.003</v>
      </c>
      <c r="E1125" s="16">
        <f>IFERROR(__xludf.DUMMYFUNCTION("""COMPUTED_VALUE"""),73.0)</f>
        <v>73</v>
      </c>
      <c r="F1125" s="19" t="str">
        <f>IFERROR(__xludf.DUMMYFUNCTION("""COMPUTED_VALUE"""),"BLACK")</f>
        <v>BLACK</v>
      </c>
      <c r="G1125" s="20" t="str">
        <f>IFERROR(__xludf.DUMMYFUNCTION("""COMPUTED_VALUE"""),"Uncle Sams Cider (04/04/2023)")</f>
        <v>Uncle Sams Cider (04/04/2023)</v>
      </c>
      <c r="H1125" s="19"/>
    </row>
    <row r="1126">
      <c r="A1126" s="9"/>
      <c r="B1126" s="15"/>
      <c r="C1126" s="9">
        <f>IFERROR(__xludf.DUMMYFUNCTION("""COMPUTED_VALUE"""),45132.8798928935)</f>
        <v>45132.87989</v>
      </c>
      <c r="D1126" s="15">
        <f>IFERROR(__xludf.DUMMYFUNCTION("""COMPUTED_VALUE"""),1.003)</f>
        <v>1.003</v>
      </c>
      <c r="E1126" s="16">
        <f>IFERROR(__xludf.DUMMYFUNCTION("""COMPUTED_VALUE"""),73.0)</f>
        <v>73</v>
      </c>
      <c r="F1126" s="19" t="str">
        <f>IFERROR(__xludf.DUMMYFUNCTION("""COMPUTED_VALUE"""),"BLACK")</f>
        <v>BLACK</v>
      </c>
      <c r="G1126" s="20" t="str">
        <f>IFERROR(__xludf.DUMMYFUNCTION("""COMPUTED_VALUE"""),"Uncle Sams Cider (04/04/2023)")</f>
        <v>Uncle Sams Cider (04/04/2023)</v>
      </c>
      <c r="H1126" s="19"/>
    </row>
    <row r="1127">
      <c r="A1127" s="9"/>
      <c r="B1127" s="15"/>
      <c r="C1127" s="9">
        <f>IFERROR(__xludf.DUMMYFUNCTION("""COMPUTED_VALUE"""),45132.8694596527)</f>
        <v>45132.86946</v>
      </c>
      <c r="D1127" s="15">
        <f>IFERROR(__xludf.DUMMYFUNCTION("""COMPUTED_VALUE"""),1.003)</f>
        <v>1.003</v>
      </c>
      <c r="E1127" s="16">
        <f>IFERROR(__xludf.DUMMYFUNCTION("""COMPUTED_VALUE"""),73.0)</f>
        <v>73</v>
      </c>
      <c r="F1127" s="19" t="str">
        <f>IFERROR(__xludf.DUMMYFUNCTION("""COMPUTED_VALUE"""),"BLACK")</f>
        <v>BLACK</v>
      </c>
      <c r="G1127" s="20" t="str">
        <f>IFERROR(__xludf.DUMMYFUNCTION("""COMPUTED_VALUE"""),"Uncle Sams Cider (04/04/2023)")</f>
        <v>Uncle Sams Cider (04/04/2023)</v>
      </c>
      <c r="H1127" s="19"/>
    </row>
    <row r="1128">
      <c r="A1128" s="9"/>
      <c r="B1128" s="15"/>
      <c r="C1128" s="9">
        <f>IFERROR(__xludf.DUMMYFUNCTION("""COMPUTED_VALUE"""),45132.8590391898)</f>
        <v>45132.85904</v>
      </c>
      <c r="D1128" s="15">
        <f>IFERROR(__xludf.DUMMYFUNCTION("""COMPUTED_VALUE"""),1.004)</f>
        <v>1.004</v>
      </c>
      <c r="E1128" s="16">
        <f>IFERROR(__xludf.DUMMYFUNCTION("""COMPUTED_VALUE"""),73.0)</f>
        <v>73</v>
      </c>
      <c r="F1128" s="19" t="str">
        <f>IFERROR(__xludf.DUMMYFUNCTION("""COMPUTED_VALUE"""),"BLACK")</f>
        <v>BLACK</v>
      </c>
      <c r="G1128" s="20" t="str">
        <f>IFERROR(__xludf.DUMMYFUNCTION("""COMPUTED_VALUE"""),"Uncle Sams Cider (04/04/2023)")</f>
        <v>Uncle Sams Cider (04/04/2023)</v>
      </c>
      <c r="H1128" s="19"/>
    </row>
    <row r="1129">
      <c r="A1129" s="9"/>
      <c r="B1129" s="15"/>
      <c r="C1129" s="9">
        <f>IFERROR(__xludf.DUMMYFUNCTION("""COMPUTED_VALUE"""),45132.8486185879)</f>
        <v>45132.84862</v>
      </c>
      <c r="D1129" s="15">
        <f>IFERROR(__xludf.DUMMYFUNCTION("""COMPUTED_VALUE"""),1.003)</f>
        <v>1.003</v>
      </c>
      <c r="E1129" s="16">
        <f>IFERROR(__xludf.DUMMYFUNCTION("""COMPUTED_VALUE"""),73.0)</f>
        <v>73</v>
      </c>
      <c r="F1129" s="19" t="str">
        <f>IFERROR(__xludf.DUMMYFUNCTION("""COMPUTED_VALUE"""),"BLACK")</f>
        <v>BLACK</v>
      </c>
      <c r="G1129" s="20" t="str">
        <f>IFERROR(__xludf.DUMMYFUNCTION("""COMPUTED_VALUE"""),"Uncle Sams Cider (04/04/2023)")</f>
        <v>Uncle Sams Cider (04/04/2023)</v>
      </c>
      <c r="H1129" s="19"/>
    </row>
    <row r="1130">
      <c r="A1130" s="9"/>
      <c r="B1130" s="15"/>
      <c r="C1130" s="9">
        <f>IFERROR(__xludf.DUMMYFUNCTION("""COMPUTED_VALUE"""),45132.8381864583)</f>
        <v>45132.83819</v>
      </c>
      <c r="D1130" s="15">
        <f>IFERROR(__xludf.DUMMYFUNCTION("""COMPUTED_VALUE"""),1.003)</f>
        <v>1.003</v>
      </c>
      <c r="E1130" s="16">
        <f>IFERROR(__xludf.DUMMYFUNCTION("""COMPUTED_VALUE"""),73.0)</f>
        <v>73</v>
      </c>
      <c r="F1130" s="19" t="str">
        <f>IFERROR(__xludf.DUMMYFUNCTION("""COMPUTED_VALUE"""),"BLACK")</f>
        <v>BLACK</v>
      </c>
      <c r="G1130" s="20" t="str">
        <f>IFERROR(__xludf.DUMMYFUNCTION("""COMPUTED_VALUE"""),"Uncle Sams Cider (04/04/2023)")</f>
        <v>Uncle Sams Cider (04/04/2023)</v>
      </c>
      <c r="H1130" s="19"/>
    </row>
    <row r="1131">
      <c r="A1131" s="9"/>
      <c r="B1131" s="15"/>
      <c r="C1131" s="9">
        <f>IFERROR(__xludf.DUMMYFUNCTION("""COMPUTED_VALUE"""),45132.8277659143)</f>
        <v>45132.82777</v>
      </c>
      <c r="D1131" s="15">
        <f>IFERROR(__xludf.DUMMYFUNCTION("""COMPUTED_VALUE"""),1.003)</f>
        <v>1.003</v>
      </c>
      <c r="E1131" s="16">
        <f>IFERROR(__xludf.DUMMYFUNCTION("""COMPUTED_VALUE"""),73.0)</f>
        <v>73</v>
      </c>
      <c r="F1131" s="19" t="str">
        <f>IFERROR(__xludf.DUMMYFUNCTION("""COMPUTED_VALUE"""),"BLACK")</f>
        <v>BLACK</v>
      </c>
      <c r="G1131" s="20" t="str">
        <f>IFERROR(__xludf.DUMMYFUNCTION("""COMPUTED_VALUE"""),"Uncle Sams Cider (04/04/2023)")</f>
        <v>Uncle Sams Cider (04/04/2023)</v>
      </c>
      <c r="H1131" s="19"/>
    </row>
    <row r="1132">
      <c r="A1132" s="9"/>
      <c r="B1132" s="15"/>
      <c r="C1132" s="9">
        <f>IFERROR(__xludf.DUMMYFUNCTION("""COMPUTED_VALUE"""),45132.8173342245)</f>
        <v>45132.81733</v>
      </c>
      <c r="D1132" s="15">
        <f>IFERROR(__xludf.DUMMYFUNCTION("""COMPUTED_VALUE"""),1.003)</f>
        <v>1.003</v>
      </c>
      <c r="E1132" s="16">
        <f>IFERROR(__xludf.DUMMYFUNCTION("""COMPUTED_VALUE"""),73.0)</f>
        <v>73</v>
      </c>
      <c r="F1132" s="19" t="str">
        <f>IFERROR(__xludf.DUMMYFUNCTION("""COMPUTED_VALUE"""),"BLACK")</f>
        <v>BLACK</v>
      </c>
      <c r="G1132" s="20" t="str">
        <f>IFERROR(__xludf.DUMMYFUNCTION("""COMPUTED_VALUE"""),"Uncle Sams Cider (04/04/2023)")</f>
        <v>Uncle Sams Cider (04/04/2023)</v>
      </c>
      <c r="H1132" s="19"/>
    </row>
    <row r="1133">
      <c r="A1133" s="9"/>
      <c r="B1133" s="15"/>
      <c r="C1133" s="9">
        <f>IFERROR(__xludf.DUMMYFUNCTION("""COMPUTED_VALUE"""),45132.8069140972)</f>
        <v>45132.80691</v>
      </c>
      <c r="D1133" s="15">
        <f>IFERROR(__xludf.DUMMYFUNCTION("""COMPUTED_VALUE"""),1.004)</f>
        <v>1.004</v>
      </c>
      <c r="E1133" s="16">
        <f>IFERROR(__xludf.DUMMYFUNCTION("""COMPUTED_VALUE"""),73.0)</f>
        <v>73</v>
      </c>
      <c r="F1133" s="19" t="str">
        <f>IFERROR(__xludf.DUMMYFUNCTION("""COMPUTED_VALUE"""),"BLACK")</f>
        <v>BLACK</v>
      </c>
      <c r="G1133" s="20" t="str">
        <f>IFERROR(__xludf.DUMMYFUNCTION("""COMPUTED_VALUE"""),"Uncle Sams Cider (04/04/2023)")</f>
        <v>Uncle Sams Cider (04/04/2023)</v>
      </c>
      <c r="H1133" s="19"/>
    </row>
    <row r="1134">
      <c r="A1134" s="9"/>
      <c r="B1134" s="15"/>
      <c r="C1134" s="9">
        <f>IFERROR(__xludf.DUMMYFUNCTION("""COMPUTED_VALUE"""),45132.7860698495)</f>
        <v>45132.78607</v>
      </c>
      <c r="D1134" s="15">
        <f>IFERROR(__xludf.DUMMYFUNCTION("""COMPUTED_VALUE"""),1.003)</f>
        <v>1.003</v>
      </c>
      <c r="E1134" s="16">
        <f>IFERROR(__xludf.DUMMYFUNCTION("""COMPUTED_VALUE"""),73.0)</f>
        <v>73</v>
      </c>
      <c r="F1134" s="19" t="str">
        <f>IFERROR(__xludf.DUMMYFUNCTION("""COMPUTED_VALUE"""),"BLACK")</f>
        <v>BLACK</v>
      </c>
      <c r="G1134" s="20" t="str">
        <f>IFERROR(__xludf.DUMMYFUNCTION("""COMPUTED_VALUE"""),"Uncle Sams Cider (04/04/2023)")</f>
        <v>Uncle Sams Cider (04/04/2023)</v>
      </c>
      <c r="H1134" s="19"/>
    </row>
    <row r="1135">
      <c r="A1135" s="9"/>
      <c r="B1135" s="15"/>
      <c r="C1135" s="9">
        <f>IFERROR(__xludf.DUMMYFUNCTION("""COMPUTED_VALUE"""),45132.7756363773)</f>
        <v>45132.77564</v>
      </c>
      <c r="D1135" s="15">
        <f>IFERROR(__xludf.DUMMYFUNCTION("""COMPUTED_VALUE"""),1.003)</f>
        <v>1.003</v>
      </c>
      <c r="E1135" s="16">
        <f>IFERROR(__xludf.DUMMYFUNCTION("""COMPUTED_VALUE"""),73.0)</f>
        <v>73</v>
      </c>
      <c r="F1135" s="19" t="str">
        <f>IFERROR(__xludf.DUMMYFUNCTION("""COMPUTED_VALUE"""),"BLACK")</f>
        <v>BLACK</v>
      </c>
      <c r="G1135" s="20" t="str">
        <f>IFERROR(__xludf.DUMMYFUNCTION("""COMPUTED_VALUE"""),"Uncle Sams Cider (04/04/2023)")</f>
        <v>Uncle Sams Cider (04/04/2023)</v>
      </c>
      <c r="H1135" s="19"/>
    </row>
    <row r="1136">
      <c r="A1136" s="9"/>
      <c r="B1136" s="15"/>
      <c r="C1136" s="9">
        <f>IFERROR(__xludf.DUMMYFUNCTION("""COMPUTED_VALUE"""),45132.7652150347)</f>
        <v>45132.76522</v>
      </c>
      <c r="D1136" s="15">
        <f>IFERROR(__xludf.DUMMYFUNCTION("""COMPUTED_VALUE"""),1.003)</f>
        <v>1.003</v>
      </c>
      <c r="E1136" s="16">
        <f>IFERROR(__xludf.DUMMYFUNCTION("""COMPUTED_VALUE"""),73.0)</f>
        <v>73</v>
      </c>
      <c r="F1136" s="19" t="str">
        <f>IFERROR(__xludf.DUMMYFUNCTION("""COMPUTED_VALUE"""),"BLACK")</f>
        <v>BLACK</v>
      </c>
      <c r="G1136" s="20" t="str">
        <f>IFERROR(__xludf.DUMMYFUNCTION("""COMPUTED_VALUE"""),"Uncle Sams Cider (04/04/2023)")</f>
        <v>Uncle Sams Cider (04/04/2023)</v>
      </c>
      <c r="H1136" s="19"/>
    </row>
    <row r="1137">
      <c r="A1137" s="9"/>
      <c r="B1137" s="15"/>
      <c r="C1137" s="9">
        <f>IFERROR(__xludf.DUMMYFUNCTION("""COMPUTED_VALUE"""),45132.7547834259)</f>
        <v>45132.75478</v>
      </c>
      <c r="D1137" s="15">
        <f>IFERROR(__xludf.DUMMYFUNCTION("""COMPUTED_VALUE"""),1.003)</f>
        <v>1.003</v>
      </c>
      <c r="E1137" s="16">
        <f>IFERROR(__xludf.DUMMYFUNCTION("""COMPUTED_VALUE"""),73.0)</f>
        <v>73</v>
      </c>
      <c r="F1137" s="19" t="str">
        <f>IFERROR(__xludf.DUMMYFUNCTION("""COMPUTED_VALUE"""),"BLACK")</f>
        <v>BLACK</v>
      </c>
      <c r="G1137" s="20" t="str">
        <f>IFERROR(__xludf.DUMMYFUNCTION("""COMPUTED_VALUE"""),"Uncle Sams Cider (04/04/2023)")</f>
        <v>Uncle Sams Cider (04/04/2023)</v>
      </c>
      <c r="H1137" s="19"/>
    </row>
    <row r="1138">
      <c r="A1138" s="9"/>
      <c r="B1138" s="15"/>
      <c r="C1138" s="9">
        <f>IFERROR(__xludf.DUMMYFUNCTION("""COMPUTED_VALUE"""),45132.744361412)</f>
        <v>45132.74436</v>
      </c>
      <c r="D1138" s="15">
        <f>IFERROR(__xludf.DUMMYFUNCTION("""COMPUTED_VALUE"""),1.003)</f>
        <v>1.003</v>
      </c>
      <c r="E1138" s="16">
        <f>IFERROR(__xludf.DUMMYFUNCTION("""COMPUTED_VALUE"""),73.0)</f>
        <v>73</v>
      </c>
      <c r="F1138" s="19" t="str">
        <f>IFERROR(__xludf.DUMMYFUNCTION("""COMPUTED_VALUE"""),"BLACK")</f>
        <v>BLACK</v>
      </c>
      <c r="G1138" s="20" t="str">
        <f>IFERROR(__xludf.DUMMYFUNCTION("""COMPUTED_VALUE"""),"Uncle Sams Cider (04/04/2023)")</f>
        <v>Uncle Sams Cider (04/04/2023)</v>
      </c>
      <c r="H1138" s="19"/>
    </row>
    <row r="1139">
      <c r="A1139" s="9"/>
      <c r="B1139" s="15"/>
      <c r="C1139" s="9">
        <f>IFERROR(__xludf.DUMMYFUNCTION("""COMPUTED_VALUE"""),45132.7339279861)</f>
        <v>45132.73393</v>
      </c>
      <c r="D1139" s="15">
        <f>IFERROR(__xludf.DUMMYFUNCTION("""COMPUTED_VALUE"""),1.003)</f>
        <v>1.003</v>
      </c>
      <c r="E1139" s="16">
        <f>IFERROR(__xludf.DUMMYFUNCTION("""COMPUTED_VALUE"""),73.0)</f>
        <v>73</v>
      </c>
      <c r="F1139" s="19" t="str">
        <f>IFERROR(__xludf.DUMMYFUNCTION("""COMPUTED_VALUE"""),"BLACK")</f>
        <v>BLACK</v>
      </c>
      <c r="G1139" s="20" t="str">
        <f>IFERROR(__xludf.DUMMYFUNCTION("""COMPUTED_VALUE"""),"Uncle Sams Cider (04/04/2023)")</f>
        <v>Uncle Sams Cider (04/04/2023)</v>
      </c>
      <c r="H1139" s="19"/>
    </row>
    <row r="1140">
      <c r="A1140" s="9"/>
      <c r="B1140" s="15"/>
      <c r="C1140" s="9">
        <f>IFERROR(__xludf.DUMMYFUNCTION("""COMPUTED_VALUE"""),45132.723484618)</f>
        <v>45132.72348</v>
      </c>
      <c r="D1140" s="15">
        <f>IFERROR(__xludf.DUMMYFUNCTION("""COMPUTED_VALUE"""),1.003)</f>
        <v>1.003</v>
      </c>
      <c r="E1140" s="16">
        <f>IFERROR(__xludf.DUMMYFUNCTION("""COMPUTED_VALUE"""),73.0)</f>
        <v>73</v>
      </c>
      <c r="F1140" s="19" t="str">
        <f>IFERROR(__xludf.DUMMYFUNCTION("""COMPUTED_VALUE"""),"BLACK")</f>
        <v>BLACK</v>
      </c>
      <c r="G1140" s="20" t="str">
        <f>IFERROR(__xludf.DUMMYFUNCTION("""COMPUTED_VALUE"""),"Uncle Sams Cider (04/04/2023)")</f>
        <v>Uncle Sams Cider (04/04/2023)</v>
      </c>
      <c r="H1140" s="19"/>
    </row>
    <row r="1141">
      <c r="A1141" s="9"/>
      <c r="B1141" s="15"/>
      <c r="C1141" s="9">
        <f>IFERROR(__xludf.DUMMYFUNCTION("""COMPUTED_VALUE"""),45132.713062581)</f>
        <v>45132.71306</v>
      </c>
      <c r="D1141" s="15">
        <f>IFERROR(__xludf.DUMMYFUNCTION("""COMPUTED_VALUE"""),1.003)</f>
        <v>1.003</v>
      </c>
      <c r="E1141" s="16">
        <f>IFERROR(__xludf.DUMMYFUNCTION("""COMPUTED_VALUE"""),73.0)</f>
        <v>73</v>
      </c>
      <c r="F1141" s="19" t="str">
        <f>IFERROR(__xludf.DUMMYFUNCTION("""COMPUTED_VALUE"""),"BLACK")</f>
        <v>BLACK</v>
      </c>
      <c r="G1141" s="20" t="str">
        <f>IFERROR(__xludf.DUMMYFUNCTION("""COMPUTED_VALUE"""),"Uncle Sams Cider (04/04/2023)")</f>
        <v>Uncle Sams Cider (04/04/2023)</v>
      </c>
      <c r="H1141" s="19"/>
    </row>
    <row r="1142">
      <c r="A1142" s="9"/>
      <c r="B1142" s="15"/>
      <c r="C1142" s="9">
        <f>IFERROR(__xludf.DUMMYFUNCTION("""COMPUTED_VALUE"""),45132.7026305324)</f>
        <v>45132.70263</v>
      </c>
      <c r="D1142" s="15">
        <f>IFERROR(__xludf.DUMMYFUNCTION("""COMPUTED_VALUE"""),1.003)</f>
        <v>1.003</v>
      </c>
      <c r="E1142" s="16">
        <f>IFERROR(__xludf.DUMMYFUNCTION("""COMPUTED_VALUE"""),73.0)</f>
        <v>73</v>
      </c>
      <c r="F1142" s="19" t="str">
        <f>IFERROR(__xludf.DUMMYFUNCTION("""COMPUTED_VALUE"""),"BLACK")</f>
        <v>BLACK</v>
      </c>
      <c r="G1142" s="20" t="str">
        <f>IFERROR(__xludf.DUMMYFUNCTION("""COMPUTED_VALUE"""),"Uncle Sams Cider (04/04/2023)")</f>
        <v>Uncle Sams Cider (04/04/2023)</v>
      </c>
      <c r="H1142" s="19"/>
    </row>
    <row r="1143">
      <c r="A1143" s="9"/>
      <c r="B1143" s="15"/>
      <c r="C1143" s="9">
        <f>IFERROR(__xludf.DUMMYFUNCTION("""COMPUTED_VALUE"""),45132.6922091088)</f>
        <v>45132.69221</v>
      </c>
      <c r="D1143" s="15">
        <f>IFERROR(__xludf.DUMMYFUNCTION("""COMPUTED_VALUE"""),1.003)</f>
        <v>1.003</v>
      </c>
      <c r="E1143" s="16">
        <f>IFERROR(__xludf.DUMMYFUNCTION("""COMPUTED_VALUE"""),73.0)</f>
        <v>73</v>
      </c>
      <c r="F1143" s="19" t="str">
        <f>IFERROR(__xludf.DUMMYFUNCTION("""COMPUTED_VALUE"""),"BLACK")</f>
        <v>BLACK</v>
      </c>
      <c r="G1143" s="20" t="str">
        <f>IFERROR(__xludf.DUMMYFUNCTION("""COMPUTED_VALUE"""),"Uncle Sams Cider (04/04/2023)")</f>
        <v>Uncle Sams Cider (04/04/2023)</v>
      </c>
      <c r="H1143" s="19"/>
    </row>
    <row r="1144">
      <c r="A1144" s="9"/>
      <c r="B1144" s="15"/>
      <c r="C1144" s="9">
        <f>IFERROR(__xludf.DUMMYFUNCTION("""COMPUTED_VALUE"""),45132.6817647106)</f>
        <v>45132.68176</v>
      </c>
      <c r="D1144" s="15">
        <f>IFERROR(__xludf.DUMMYFUNCTION("""COMPUTED_VALUE"""),1.003)</f>
        <v>1.003</v>
      </c>
      <c r="E1144" s="16">
        <f>IFERROR(__xludf.DUMMYFUNCTION("""COMPUTED_VALUE"""),73.0)</f>
        <v>73</v>
      </c>
      <c r="F1144" s="19" t="str">
        <f>IFERROR(__xludf.DUMMYFUNCTION("""COMPUTED_VALUE"""),"BLACK")</f>
        <v>BLACK</v>
      </c>
      <c r="G1144" s="20" t="str">
        <f>IFERROR(__xludf.DUMMYFUNCTION("""COMPUTED_VALUE"""),"Uncle Sams Cider (04/04/2023)")</f>
        <v>Uncle Sams Cider (04/04/2023)</v>
      </c>
      <c r="H1144" s="19"/>
    </row>
    <row r="1145">
      <c r="A1145" s="9"/>
      <c r="B1145" s="15"/>
      <c r="C1145" s="9">
        <f>IFERROR(__xludf.DUMMYFUNCTION("""COMPUTED_VALUE"""),45132.6713434143)</f>
        <v>45132.67134</v>
      </c>
      <c r="D1145" s="15">
        <f>IFERROR(__xludf.DUMMYFUNCTION("""COMPUTED_VALUE"""),1.003)</f>
        <v>1.003</v>
      </c>
      <c r="E1145" s="16">
        <f>IFERROR(__xludf.DUMMYFUNCTION("""COMPUTED_VALUE"""),73.0)</f>
        <v>73</v>
      </c>
      <c r="F1145" s="19" t="str">
        <f>IFERROR(__xludf.DUMMYFUNCTION("""COMPUTED_VALUE"""),"BLACK")</f>
        <v>BLACK</v>
      </c>
      <c r="G1145" s="20" t="str">
        <f>IFERROR(__xludf.DUMMYFUNCTION("""COMPUTED_VALUE"""),"Uncle Sams Cider (04/04/2023)")</f>
        <v>Uncle Sams Cider (04/04/2023)</v>
      </c>
      <c r="H1145" s="19"/>
    </row>
    <row r="1146">
      <c r="A1146" s="9"/>
      <c r="B1146" s="15"/>
      <c r="C1146" s="9">
        <f>IFERROR(__xludf.DUMMYFUNCTION("""COMPUTED_VALUE"""),45132.6609211805)</f>
        <v>45132.66092</v>
      </c>
      <c r="D1146" s="15">
        <f>IFERROR(__xludf.DUMMYFUNCTION("""COMPUTED_VALUE"""),1.003)</f>
        <v>1.003</v>
      </c>
      <c r="E1146" s="16">
        <f>IFERROR(__xludf.DUMMYFUNCTION("""COMPUTED_VALUE"""),73.0)</f>
        <v>73</v>
      </c>
      <c r="F1146" s="19" t="str">
        <f>IFERROR(__xludf.DUMMYFUNCTION("""COMPUTED_VALUE"""),"BLACK")</f>
        <v>BLACK</v>
      </c>
      <c r="G1146" s="20" t="str">
        <f>IFERROR(__xludf.DUMMYFUNCTION("""COMPUTED_VALUE"""),"Uncle Sams Cider (04/04/2023)")</f>
        <v>Uncle Sams Cider (04/04/2023)</v>
      </c>
      <c r="H1146" s="19"/>
    </row>
    <row r="1147">
      <c r="A1147" s="9"/>
      <c r="B1147" s="15"/>
      <c r="C1147" s="9">
        <f>IFERROR(__xludf.DUMMYFUNCTION("""COMPUTED_VALUE"""),45132.6505005324)</f>
        <v>45132.6505</v>
      </c>
      <c r="D1147" s="15">
        <f>IFERROR(__xludf.DUMMYFUNCTION("""COMPUTED_VALUE"""),1.003)</f>
        <v>1.003</v>
      </c>
      <c r="E1147" s="16">
        <f>IFERROR(__xludf.DUMMYFUNCTION("""COMPUTED_VALUE"""),73.0)</f>
        <v>73</v>
      </c>
      <c r="F1147" s="19" t="str">
        <f>IFERROR(__xludf.DUMMYFUNCTION("""COMPUTED_VALUE"""),"BLACK")</f>
        <v>BLACK</v>
      </c>
      <c r="G1147" s="20" t="str">
        <f>IFERROR(__xludf.DUMMYFUNCTION("""COMPUTED_VALUE"""),"Uncle Sams Cider (04/04/2023)")</f>
        <v>Uncle Sams Cider (04/04/2023)</v>
      </c>
      <c r="H1147" s="19"/>
    </row>
    <row r="1148">
      <c r="A1148" s="9"/>
      <c r="B1148" s="15"/>
      <c r="C1148" s="9">
        <f>IFERROR(__xludf.DUMMYFUNCTION("""COMPUTED_VALUE"""),45132.640080324)</f>
        <v>45132.64008</v>
      </c>
      <c r="D1148" s="15">
        <f>IFERROR(__xludf.DUMMYFUNCTION("""COMPUTED_VALUE"""),1.003)</f>
        <v>1.003</v>
      </c>
      <c r="E1148" s="16">
        <f>IFERROR(__xludf.DUMMYFUNCTION("""COMPUTED_VALUE"""),73.0)</f>
        <v>73</v>
      </c>
      <c r="F1148" s="19" t="str">
        <f>IFERROR(__xludf.DUMMYFUNCTION("""COMPUTED_VALUE"""),"BLACK")</f>
        <v>BLACK</v>
      </c>
      <c r="G1148" s="20" t="str">
        <f>IFERROR(__xludf.DUMMYFUNCTION("""COMPUTED_VALUE"""),"Uncle Sams Cider (04/04/2023)")</f>
        <v>Uncle Sams Cider (04/04/2023)</v>
      </c>
      <c r="H1148" s="19"/>
    </row>
    <row r="1149">
      <c r="A1149" s="9"/>
      <c r="B1149" s="15"/>
      <c r="C1149" s="9">
        <f>IFERROR(__xludf.DUMMYFUNCTION("""COMPUTED_VALUE"""),45132.6296471527)</f>
        <v>45132.62965</v>
      </c>
      <c r="D1149" s="15">
        <f>IFERROR(__xludf.DUMMYFUNCTION("""COMPUTED_VALUE"""),1.003)</f>
        <v>1.003</v>
      </c>
      <c r="E1149" s="16">
        <f>IFERROR(__xludf.DUMMYFUNCTION("""COMPUTED_VALUE"""),73.0)</f>
        <v>73</v>
      </c>
      <c r="F1149" s="19" t="str">
        <f>IFERROR(__xludf.DUMMYFUNCTION("""COMPUTED_VALUE"""),"BLACK")</f>
        <v>BLACK</v>
      </c>
      <c r="G1149" s="20" t="str">
        <f>IFERROR(__xludf.DUMMYFUNCTION("""COMPUTED_VALUE"""),"Uncle Sams Cider (04/04/2023)")</f>
        <v>Uncle Sams Cider (04/04/2023)</v>
      </c>
      <c r="H1149" s="19"/>
    </row>
    <row r="1150">
      <c r="A1150" s="9"/>
      <c r="B1150" s="15"/>
      <c r="C1150" s="9">
        <f>IFERROR(__xludf.DUMMYFUNCTION("""COMPUTED_VALUE"""),45132.6192261111)</f>
        <v>45132.61923</v>
      </c>
      <c r="D1150" s="15">
        <f>IFERROR(__xludf.DUMMYFUNCTION("""COMPUTED_VALUE"""),1.003)</f>
        <v>1.003</v>
      </c>
      <c r="E1150" s="16">
        <f>IFERROR(__xludf.DUMMYFUNCTION("""COMPUTED_VALUE"""),73.0)</f>
        <v>73</v>
      </c>
      <c r="F1150" s="19" t="str">
        <f>IFERROR(__xludf.DUMMYFUNCTION("""COMPUTED_VALUE"""),"BLACK")</f>
        <v>BLACK</v>
      </c>
      <c r="G1150" s="20" t="str">
        <f>IFERROR(__xludf.DUMMYFUNCTION("""COMPUTED_VALUE"""),"Uncle Sams Cider (04/04/2023)")</f>
        <v>Uncle Sams Cider (04/04/2023)</v>
      </c>
      <c r="H1150" s="19"/>
    </row>
    <row r="1151">
      <c r="A1151" s="9"/>
      <c r="B1151" s="15"/>
      <c r="C1151" s="9">
        <f>IFERROR(__xludf.DUMMYFUNCTION("""COMPUTED_VALUE"""),45132.6087935185)</f>
        <v>45132.60879</v>
      </c>
      <c r="D1151" s="15">
        <f>IFERROR(__xludf.DUMMYFUNCTION("""COMPUTED_VALUE"""),1.003)</f>
        <v>1.003</v>
      </c>
      <c r="E1151" s="16">
        <f>IFERROR(__xludf.DUMMYFUNCTION("""COMPUTED_VALUE"""),73.0)</f>
        <v>73</v>
      </c>
      <c r="F1151" s="19" t="str">
        <f>IFERROR(__xludf.DUMMYFUNCTION("""COMPUTED_VALUE"""),"BLACK")</f>
        <v>BLACK</v>
      </c>
      <c r="G1151" s="20" t="str">
        <f>IFERROR(__xludf.DUMMYFUNCTION("""COMPUTED_VALUE"""),"Uncle Sams Cider (04/04/2023)")</f>
        <v>Uncle Sams Cider (04/04/2023)</v>
      </c>
      <c r="H1151" s="19"/>
    </row>
    <row r="1152">
      <c r="A1152" s="9"/>
      <c r="B1152" s="15"/>
      <c r="C1152" s="9">
        <f>IFERROR(__xludf.DUMMYFUNCTION("""COMPUTED_VALUE"""),45132.598348368)</f>
        <v>45132.59835</v>
      </c>
      <c r="D1152" s="15">
        <f>IFERROR(__xludf.DUMMYFUNCTION("""COMPUTED_VALUE"""),1.003)</f>
        <v>1.003</v>
      </c>
      <c r="E1152" s="16">
        <f>IFERROR(__xludf.DUMMYFUNCTION("""COMPUTED_VALUE"""),73.0)</f>
        <v>73</v>
      </c>
      <c r="F1152" s="19" t="str">
        <f>IFERROR(__xludf.DUMMYFUNCTION("""COMPUTED_VALUE"""),"BLACK")</f>
        <v>BLACK</v>
      </c>
      <c r="G1152" s="20" t="str">
        <f>IFERROR(__xludf.DUMMYFUNCTION("""COMPUTED_VALUE"""),"Uncle Sams Cider (04/04/2023)")</f>
        <v>Uncle Sams Cider (04/04/2023)</v>
      </c>
      <c r="H1152" s="19"/>
    </row>
    <row r="1153">
      <c r="A1153" s="9"/>
      <c r="B1153" s="15"/>
      <c r="C1153" s="9">
        <f>IFERROR(__xludf.DUMMYFUNCTION("""COMPUTED_VALUE"""),45132.5879257754)</f>
        <v>45132.58793</v>
      </c>
      <c r="D1153" s="15">
        <f>IFERROR(__xludf.DUMMYFUNCTION("""COMPUTED_VALUE"""),1.003)</f>
        <v>1.003</v>
      </c>
      <c r="E1153" s="16">
        <f>IFERROR(__xludf.DUMMYFUNCTION("""COMPUTED_VALUE"""),73.0)</f>
        <v>73</v>
      </c>
      <c r="F1153" s="19" t="str">
        <f>IFERROR(__xludf.DUMMYFUNCTION("""COMPUTED_VALUE"""),"BLACK")</f>
        <v>BLACK</v>
      </c>
      <c r="G1153" s="20" t="str">
        <f>IFERROR(__xludf.DUMMYFUNCTION("""COMPUTED_VALUE"""),"Uncle Sams Cider (04/04/2023)")</f>
        <v>Uncle Sams Cider (04/04/2023)</v>
      </c>
      <c r="H1153" s="19"/>
    </row>
    <row r="1154">
      <c r="A1154" s="9"/>
      <c r="B1154" s="15"/>
      <c r="C1154" s="9">
        <f>IFERROR(__xludf.DUMMYFUNCTION("""COMPUTED_VALUE"""),45132.5774922453)</f>
        <v>45132.57749</v>
      </c>
      <c r="D1154" s="15">
        <f>IFERROR(__xludf.DUMMYFUNCTION("""COMPUTED_VALUE"""),1.003)</f>
        <v>1.003</v>
      </c>
      <c r="E1154" s="16">
        <f>IFERROR(__xludf.DUMMYFUNCTION("""COMPUTED_VALUE"""),73.0)</f>
        <v>73</v>
      </c>
      <c r="F1154" s="19" t="str">
        <f>IFERROR(__xludf.DUMMYFUNCTION("""COMPUTED_VALUE"""),"BLACK")</f>
        <v>BLACK</v>
      </c>
      <c r="G1154" s="20" t="str">
        <f>IFERROR(__xludf.DUMMYFUNCTION("""COMPUTED_VALUE"""),"Uncle Sams Cider (04/04/2023)")</f>
        <v>Uncle Sams Cider (04/04/2023)</v>
      </c>
      <c r="H1154" s="19"/>
    </row>
    <row r="1155">
      <c r="A1155" s="9"/>
      <c r="B1155" s="15"/>
      <c r="C1155" s="9">
        <f>IFERROR(__xludf.DUMMYFUNCTION("""COMPUTED_VALUE"""),45132.5670714004)</f>
        <v>45132.56707</v>
      </c>
      <c r="D1155" s="15">
        <f>IFERROR(__xludf.DUMMYFUNCTION("""COMPUTED_VALUE"""),1.003)</f>
        <v>1.003</v>
      </c>
      <c r="E1155" s="16">
        <f>IFERROR(__xludf.DUMMYFUNCTION("""COMPUTED_VALUE"""),73.0)</f>
        <v>73</v>
      </c>
      <c r="F1155" s="19" t="str">
        <f>IFERROR(__xludf.DUMMYFUNCTION("""COMPUTED_VALUE"""),"BLACK")</f>
        <v>BLACK</v>
      </c>
      <c r="G1155" s="20" t="str">
        <f>IFERROR(__xludf.DUMMYFUNCTION("""COMPUTED_VALUE"""),"Uncle Sams Cider (04/04/2023)")</f>
        <v>Uncle Sams Cider (04/04/2023)</v>
      </c>
      <c r="H1155" s="19"/>
    </row>
    <row r="1156">
      <c r="A1156" s="9"/>
      <c r="B1156" s="15"/>
      <c r="C1156" s="9">
        <f>IFERROR(__xludf.DUMMYFUNCTION("""COMPUTED_VALUE"""),45132.5566506134)</f>
        <v>45132.55665</v>
      </c>
      <c r="D1156" s="15">
        <f>IFERROR(__xludf.DUMMYFUNCTION("""COMPUTED_VALUE"""),1.003)</f>
        <v>1.003</v>
      </c>
      <c r="E1156" s="16">
        <f>IFERROR(__xludf.DUMMYFUNCTION("""COMPUTED_VALUE"""),73.0)</f>
        <v>73</v>
      </c>
      <c r="F1156" s="19" t="str">
        <f>IFERROR(__xludf.DUMMYFUNCTION("""COMPUTED_VALUE"""),"BLACK")</f>
        <v>BLACK</v>
      </c>
      <c r="G1156" s="20" t="str">
        <f>IFERROR(__xludf.DUMMYFUNCTION("""COMPUTED_VALUE"""),"Uncle Sams Cider (04/04/2023)")</f>
        <v>Uncle Sams Cider (04/04/2023)</v>
      </c>
      <c r="H1156" s="19"/>
    </row>
    <row r="1157">
      <c r="A1157" s="9"/>
      <c r="B1157" s="15"/>
      <c r="C1157" s="9">
        <f>IFERROR(__xludf.DUMMYFUNCTION("""COMPUTED_VALUE"""),45132.5462287731)</f>
        <v>45132.54623</v>
      </c>
      <c r="D1157" s="15">
        <f>IFERROR(__xludf.DUMMYFUNCTION("""COMPUTED_VALUE"""),1.003)</f>
        <v>1.003</v>
      </c>
      <c r="E1157" s="16">
        <f>IFERROR(__xludf.DUMMYFUNCTION("""COMPUTED_VALUE"""),73.0)</f>
        <v>73</v>
      </c>
      <c r="F1157" s="19" t="str">
        <f>IFERROR(__xludf.DUMMYFUNCTION("""COMPUTED_VALUE"""),"BLACK")</f>
        <v>BLACK</v>
      </c>
      <c r="G1157" s="20" t="str">
        <f>IFERROR(__xludf.DUMMYFUNCTION("""COMPUTED_VALUE"""),"Uncle Sams Cider (04/04/2023)")</f>
        <v>Uncle Sams Cider (04/04/2023)</v>
      </c>
      <c r="H1157" s="19"/>
    </row>
    <row r="1158">
      <c r="A1158" s="9"/>
      <c r="B1158" s="15"/>
      <c r="C1158" s="9">
        <f>IFERROR(__xludf.DUMMYFUNCTION("""COMPUTED_VALUE"""),45132.5358072916)</f>
        <v>45132.53581</v>
      </c>
      <c r="D1158" s="15">
        <f>IFERROR(__xludf.DUMMYFUNCTION("""COMPUTED_VALUE"""),1.003)</f>
        <v>1.003</v>
      </c>
      <c r="E1158" s="16">
        <f>IFERROR(__xludf.DUMMYFUNCTION("""COMPUTED_VALUE"""),73.0)</f>
        <v>73</v>
      </c>
      <c r="F1158" s="19" t="str">
        <f>IFERROR(__xludf.DUMMYFUNCTION("""COMPUTED_VALUE"""),"BLACK")</f>
        <v>BLACK</v>
      </c>
      <c r="G1158" s="20" t="str">
        <f>IFERROR(__xludf.DUMMYFUNCTION("""COMPUTED_VALUE"""),"Uncle Sams Cider (04/04/2023)")</f>
        <v>Uncle Sams Cider (04/04/2023)</v>
      </c>
      <c r="H1158" s="19"/>
    </row>
    <row r="1159">
      <c r="A1159" s="9"/>
      <c r="B1159" s="15"/>
      <c r="C1159" s="9">
        <f>IFERROR(__xludf.DUMMYFUNCTION("""COMPUTED_VALUE"""),45132.5253866435)</f>
        <v>45132.52539</v>
      </c>
      <c r="D1159" s="15">
        <f>IFERROR(__xludf.DUMMYFUNCTION("""COMPUTED_VALUE"""),1.003)</f>
        <v>1.003</v>
      </c>
      <c r="E1159" s="16">
        <f>IFERROR(__xludf.DUMMYFUNCTION("""COMPUTED_VALUE"""),73.0)</f>
        <v>73</v>
      </c>
      <c r="F1159" s="19" t="str">
        <f>IFERROR(__xludf.DUMMYFUNCTION("""COMPUTED_VALUE"""),"BLACK")</f>
        <v>BLACK</v>
      </c>
      <c r="G1159" s="20" t="str">
        <f>IFERROR(__xludf.DUMMYFUNCTION("""COMPUTED_VALUE"""),"Uncle Sams Cider (04/04/2023)")</f>
        <v>Uncle Sams Cider (04/04/2023)</v>
      </c>
      <c r="H1159" s="19"/>
    </row>
    <row r="1160">
      <c r="A1160" s="9"/>
      <c r="B1160" s="15"/>
      <c r="C1160" s="9">
        <f>IFERROR(__xludf.DUMMYFUNCTION("""COMPUTED_VALUE"""),45132.514965324)</f>
        <v>45132.51497</v>
      </c>
      <c r="D1160" s="15">
        <f>IFERROR(__xludf.DUMMYFUNCTION("""COMPUTED_VALUE"""),1.003)</f>
        <v>1.003</v>
      </c>
      <c r="E1160" s="16">
        <f>IFERROR(__xludf.DUMMYFUNCTION("""COMPUTED_VALUE"""),73.0)</f>
        <v>73</v>
      </c>
      <c r="F1160" s="19" t="str">
        <f>IFERROR(__xludf.DUMMYFUNCTION("""COMPUTED_VALUE"""),"BLACK")</f>
        <v>BLACK</v>
      </c>
      <c r="G1160" s="20" t="str">
        <f>IFERROR(__xludf.DUMMYFUNCTION("""COMPUTED_VALUE"""),"Uncle Sams Cider (04/04/2023)")</f>
        <v>Uncle Sams Cider (04/04/2023)</v>
      </c>
      <c r="H1160" s="19"/>
    </row>
    <row r="1161">
      <c r="A1161" s="9"/>
      <c r="B1161" s="15"/>
      <c r="C1161" s="9">
        <f>IFERROR(__xludf.DUMMYFUNCTION("""COMPUTED_VALUE"""),45132.5045435416)</f>
        <v>45132.50454</v>
      </c>
      <c r="D1161" s="15">
        <f>IFERROR(__xludf.DUMMYFUNCTION("""COMPUTED_VALUE"""),1.003)</f>
        <v>1.003</v>
      </c>
      <c r="E1161" s="16">
        <f>IFERROR(__xludf.DUMMYFUNCTION("""COMPUTED_VALUE"""),73.0)</f>
        <v>73</v>
      </c>
      <c r="F1161" s="19" t="str">
        <f>IFERROR(__xludf.DUMMYFUNCTION("""COMPUTED_VALUE"""),"BLACK")</f>
        <v>BLACK</v>
      </c>
      <c r="G1161" s="20" t="str">
        <f>IFERROR(__xludf.DUMMYFUNCTION("""COMPUTED_VALUE"""),"Uncle Sams Cider (04/04/2023)")</f>
        <v>Uncle Sams Cider (04/04/2023)</v>
      </c>
      <c r="H1161" s="19"/>
    </row>
    <row r="1162">
      <c r="A1162" s="9"/>
      <c r="B1162" s="15"/>
      <c r="C1162" s="9">
        <f>IFERROR(__xludf.DUMMYFUNCTION("""COMPUTED_VALUE"""),45132.4941112152)</f>
        <v>45132.49411</v>
      </c>
      <c r="D1162" s="15">
        <f>IFERROR(__xludf.DUMMYFUNCTION("""COMPUTED_VALUE"""),1.003)</f>
        <v>1.003</v>
      </c>
      <c r="E1162" s="16">
        <f>IFERROR(__xludf.DUMMYFUNCTION("""COMPUTED_VALUE"""),73.0)</f>
        <v>73</v>
      </c>
      <c r="F1162" s="19" t="str">
        <f>IFERROR(__xludf.DUMMYFUNCTION("""COMPUTED_VALUE"""),"BLACK")</f>
        <v>BLACK</v>
      </c>
      <c r="G1162" s="20" t="str">
        <f>IFERROR(__xludf.DUMMYFUNCTION("""COMPUTED_VALUE"""),"Uncle Sams Cider (04/04/2023)")</f>
        <v>Uncle Sams Cider (04/04/2023)</v>
      </c>
      <c r="H1162" s="19"/>
    </row>
    <row r="1163">
      <c r="A1163" s="9"/>
      <c r="B1163" s="15"/>
      <c r="C1163" s="9">
        <f>IFERROR(__xludf.DUMMYFUNCTION("""COMPUTED_VALUE"""),45132.4836910995)</f>
        <v>45132.48369</v>
      </c>
      <c r="D1163" s="15">
        <f>IFERROR(__xludf.DUMMYFUNCTION("""COMPUTED_VALUE"""),1.003)</f>
        <v>1.003</v>
      </c>
      <c r="E1163" s="16">
        <f>IFERROR(__xludf.DUMMYFUNCTION("""COMPUTED_VALUE"""),73.0)</f>
        <v>73</v>
      </c>
      <c r="F1163" s="19" t="str">
        <f>IFERROR(__xludf.DUMMYFUNCTION("""COMPUTED_VALUE"""),"BLACK")</f>
        <v>BLACK</v>
      </c>
      <c r="G1163" s="20" t="str">
        <f>IFERROR(__xludf.DUMMYFUNCTION("""COMPUTED_VALUE"""),"Uncle Sams Cider (04/04/2023)")</f>
        <v>Uncle Sams Cider (04/04/2023)</v>
      </c>
      <c r="H1163" s="19"/>
    </row>
    <row r="1164">
      <c r="A1164" s="9"/>
      <c r="B1164" s="15"/>
      <c r="C1164" s="9">
        <f>IFERROR(__xludf.DUMMYFUNCTION("""COMPUTED_VALUE"""),45132.4732703703)</f>
        <v>45132.47327</v>
      </c>
      <c r="D1164" s="15">
        <f>IFERROR(__xludf.DUMMYFUNCTION("""COMPUTED_VALUE"""),1.003)</f>
        <v>1.003</v>
      </c>
      <c r="E1164" s="16">
        <f>IFERROR(__xludf.DUMMYFUNCTION("""COMPUTED_VALUE"""),73.0)</f>
        <v>73</v>
      </c>
      <c r="F1164" s="19" t="str">
        <f>IFERROR(__xludf.DUMMYFUNCTION("""COMPUTED_VALUE"""),"BLACK")</f>
        <v>BLACK</v>
      </c>
      <c r="G1164" s="20" t="str">
        <f>IFERROR(__xludf.DUMMYFUNCTION("""COMPUTED_VALUE"""),"Uncle Sams Cider (04/04/2023)")</f>
        <v>Uncle Sams Cider (04/04/2023)</v>
      </c>
      <c r="H1164" s="19"/>
    </row>
    <row r="1165">
      <c r="A1165" s="9"/>
      <c r="B1165" s="15"/>
      <c r="C1165" s="9">
        <f>IFERROR(__xludf.DUMMYFUNCTION("""COMPUTED_VALUE"""),45132.4628351273)</f>
        <v>45132.46284</v>
      </c>
      <c r="D1165" s="15">
        <f>IFERROR(__xludf.DUMMYFUNCTION("""COMPUTED_VALUE"""),1.003)</f>
        <v>1.003</v>
      </c>
      <c r="E1165" s="16">
        <f>IFERROR(__xludf.DUMMYFUNCTION("""COMPUTED_VALUE"""),73.0)</f>
        <v>73</v>
      </c>
      <c r="F1165" s="19" t="str">
        <f>IFERROR(__xludf.DUMMYFUNCTION("""COMPUTED_VALUE"""),"BLACK")</f>
        <v>BLACK</v>
      </c>
      <c r="G1165" s="20" t="str">
        <f>IFERROR(__xludf.DUMMYFUNCTION("""COMPUTED_VALUE"""),"Uncle Sams Cider (04/04/2023)")</f>
        <v>Uncle Sams Cider (04/04/2023)</v>
      </c>
      <c r="H1165" s="19"/>
    </row>
    <row r="1166">
      <c r="A1166" s="9"/>
      <c r="B1166" s="15"/>
      <c r="C1166" s="9">
        <f>IFERROR(__xludf.DUMMYFUNCTION("""COMPUTED_VALUE"""),45132.4524148611)</f>
        <v>45132.45241</v>
      </c>
      <c r="D1166" s="15">
        <f>IFERROR(__xludf.DUMMYFUNCTION("""COMPUTED_VALUE"""),1.003)</f>
        <v>1.003</v>
      </c>
      <c r="E1166" s="16">
        <f>IFERROR(__xludf.DUMMYFUNCTION("""COMPUTED_VALUE"""),73.0)</f>
        <v>73</v>
      </c>
      <c r="F1166" s="19" t="str">
        <f>IFERROR(__xludf.DUMMYFUNCTION("""COMPUTED_VALUE"""),"BLACK")</f>
        <v>BLACK</v>
      </c>
      <c r="G1166" s="20" t="str">
        <f>IFERROR(__xludf.DUMMYFUNCTION("""COMPUTED_VALUE"""),"Uncle Sams Cider (04/04/2023)")</f>
        <v>Uncle Sams Cider (04/04/2023)</v>
      </c>
      <c r="H1166" s="19"/>
    </row>
    <row r="1167">
      <c r="A1167" s="9"/>
      <c r="B1167" s="15"/>
      <c r="C1167" s="9">
        <f>IFERROR(__xludf.DUMMYFUNCTION("""COMPUTED_VALUE"""),45132.4419914351)</f>
        <v>45132.44199</v>
      </c>
      <c r="D1167" s="15">
        <f>IFERROR(__xludf.DUMMYFUNCTION("""COMPUTED_VALUE"""),1.003)</f>
        <v>1.003</v>
      </c>
      <c r="E1167" s="16">
        <f>IFERROR(__xludf.DUMMYFUNCTION("""COMPUTED_VALUE"""),73.0)</f>
        <v>73</v>
      </c>
      <c r="F1167" s="19" t="str">
        <f>IFERROR(__xludf.DUMMYFUNCTION("""COMPUTED_VALUE"""),"BLACK")</f>
        <v>BLACK</v>
      </c>
      <c r="G1167" s="20" t="str">
        <f>IFERROR(__xludf.DUMMYFUNCTION("""COMPUTED_VALUE"""),"Uncle Sams Cider (04/04/2023)")</f>
        <v>Uncle Sams Cider (04/04/2023)</v>
      </c>
      <c r="H1167" s="19"/>
    </row>
    <row r="1168">
      <c r="A1168" s="9"/>
      <c r="B1168" s="15"/>
      <c r="C1168" s="9">
        <f>IFERROR(__xludf.DUMMYFUNCTION("""COMPUTED_VALUE"""),45132.4315711689)</f>
        <v>45132.43157</v>
      </c>
      <c r="D1168" s="15">
        <f>IFERROR(__xludf.DUMMYFUNCTION("""COMPUTED_VALUE"""),1.003)</f>
        <v>1.003</v>
      </c>
      <c r="E1168" s="16">
        <f>IFERROR(__xludf.DUMMYFUNCTION("""COMPUTED_VALUE"""),73.0)</f>
        <v>73</v>
      </c>
      <c r="F1168" s="19" t="str">
        <f>IFERROR(__xludf.DUMMYFUNCTION("""COMPUTED_VALUE"""),"BLACK")</f>
        <v>BLACK</v>
      </c>
      <c r="G1168" s="20" t="str">
        <f>IFERROR(__xludf.DUMMYFUNCTION("""COMPUTED_VALUE"""),"Uncle Sams Cider (04/04/2023)")</f>
        <v>Uncle Sams Cider (04/04/2023)</v>
      </c>
      <c r="H1168" s="19"/>
    </row>
    <row r="1169">
      <c r="A1169" s="9"/>
      <c r="B1169" s="15"/>
      <c r="C1169" s="9">
        <f>IFERROR(__xludf.DUMMYFUNCTION("""COMPUTED_VALUE"""),45132.4211488888)</f>
        <v>45132.42115</v>
      </c>
      <c r="D1169" s="15">
        <f>IFERROR(__xludf.DUMMYFUNCTION("""COMPUTED_VALUE"""),1.003)</f>
        <v>1.003</v>
      </c>
      <c r="E1169" s="16">
        <f>IFERROR(__xludf.DUMMYFUNCTION("""COMPUTED_VALUE"""),73.0)</f>
        <v>73</v>
      </c>
      <c r="F1169" s="19" t="str">
        <f>IFERROR(__xludf.DUMMYFUNCTION("""COMPUTED_VALUE"""),"BLACK")</f>
        <v>BLACK</v>
      </c>
      <c r="G1169" s="20" t="str">
        <f>IFERROR(__xludf.DUMMYFUNCTION("""COMPUTED_VALUE"""),"Uncle Sams Cider (04/04/2023)")</f>
        <v>Uncle Sams Cider (04/04/2023)</v>
      </c>
      <c r="H1169" s="19"/>
    </row>
    <row r="1170">
      <c r="A1170" s="9"/>
      <c r="B1170" s="15"/>
      <c r="C1170" s="9">
        <f>IFERROR(__xludf.DUMMYFUNCTION("""COMPUTED_VALUE"""),45132.4107272453)</f>
        <v>45132.41073</v>
      </c>
      <c r="D1170" s="15">
        <f>IFERROR(__xludf.DUMMYFUNCTION("""COMPUTED_VALUE"""),1.003)</f>
        <v>1.003</v>
      </c>
      <c r="E1170" s="16">
        <f>IFERROR(__xludf.DUMMYFUNCTION("""COMPUTED_VALUE"""),73.0)</f>
        <v>73</v>
      </c>
      <c r="F1170" s="19" t="str">
        <f>IFERROR(__xludf.DUMMYFUNCTION("""COMPUTED_VALUE"""),"BLACK")</f>
        <v>BLACK</v>
      </c>
      <c r="G1170" s="20" t="str">
        <f>IFERROR(__xludf.DUMMYFUNCTION("""COMPUTED_VALUE"""),"Uncle Sams Cider (04/04/2023)")</f>
        <v>Uncle Sams Cider (04/04/2023)</v>
      </c>
      <c r="H1170" s="19"/>
    </row>
    <row r="1171">
      <c r="A1171" s="9"/>
      <c r="B1171" s="15"/>
      <c r="C1171" s="9">
        <f>IFERROR(__xludf.DUMMYFUNCTION("""COMPUTED_VALUE"""),45132.4002957986)</f>
        <v>45132.4003</v>
      </c>
      <c r="D1171" s="15">
        <f>IFERROR(__xludf.DUMMYFUNCTION("""COMPUTED_VALUE"""),1.003)</f>
        <v>1.003</v>
      </c>
      <c r="E1171" s="16">
        <f>IFERROR(__xludf.DUMMYFUNCTION("""COMPUTED_VALUE"""),73.0)</f>
        <v>73</v>
      </c>
      <c r="F1171" s="19" t="str">
        <f>IFERROR(__xludf.DUMMYFUNCTION("""COMPUTED_VALUE"""),"BLACK")</f>
        <v>BLACK</v>
      </c>
      <c r="G1171" s="20" t="str">
        <f>IFERROR(__xludf.DUMMYFUNCTION("""COMPUTED_VALUE"""),"Uncle Sams Cider (04/04/2023)")</f>
        <v>Uncle Sams Cider (04/04/2023)</v>
      </c>
      <c r="H1171" s="19"/>
    </row>
    <row r="1172">
      <c r="A1172" s="9"/>
      <c r="B1172" s="15"/>
      <c r="C1172" s="9">
        <f>IFERROR(__xludf.DUMMYFUNCTION("""COMPUTED_VALUE"""),45132.3898745254)</f>
        <v>45132.38987</v>
      </c>
      <c r="D1172" s="15">
        <f>IFERROR(__xludf.DUMMYFUNCTION("""COMPUTED_VALUE"""),1.003)</f>
        <v>1.003</v>
      </c>
      <c r="E1172" s="16">
        <f>IFERROR(__xludf.DUMMYFUNCTION("""COMPUTED_VALUE"""),73.0)</f>
        <v>73</v>
      </c>
      <c r="F1172" s="19" t="str">
        <f>IFERROR(__xludf.DUMMYFUNCTION("""COMPUTED_VALUE"""),"BLACK")</f>
        <v>BLACK</v>
      </c>
      <c r="G1172" s="20" t="str">
        <f>IFERROR(__xludf.DUMMYFUNCTION("""COMPUTED_VALUE"""),"Uncle Sams Cider (04/04/2023)")</f>
        <v>Uncle Sams Cider (04/04/2023)</v>
      </c>
      <c r="H1172" s="19"/>
    </row>
    <row r="1173">
      <c r="A1173" s="9"/>
      <c r="B1173" s="15"/>
      <c r="C1173" s="9">
        <f>IFERROR(__xludf.DUMMYFUNCTION("""COMPUTED_VALUE"""),45132.3794541666)</f>
        <v>45132.37945</v>
      </c>
      <c r="D1173" s="15">
        <f>IFERROR(__xludf.DUMMYFUNCTION("""COMPUTED_VALUE"""),1.003)</f>
        <v>1.003</v>
      </c>
      <c r="E1173" s="16">
        <f>IFERROR(__xludf.DUMMYFUNCTION("""COMPUTED_VALUE"""),73.0)</f>
        <v>73</v>
      </c>
      <c r="F1173" s="19" t="str">
        <f>IFERROR(__xludf.DUMMYFUNCTION("""COMPUTED_VALUE"""),"BLACK")</f>
        <v>BLACK</v>
      </c>
      <c r="G1173" s="20" t="str">
        <f>IFERROR(__xludf.DUMMYFUNCTION("""COMPUTED_VALUE"""),"Uncle Sams Cider (04/04/2023)")</f>
        <v>Uncle Sams Cider (04/04/2023)</v>
      </c>
      <c r="H1173" s="19"/>
    </row>
    <row r="1174">
      <c r="A1174" s="9"/>
      <c r="B1174" s="15"/>
      <c r="C1174" s="9">
        <f>IFERROR(__xludf.DUMMYFUNCTION("""COMPUTED_VALUE"""),45132.3690328125)</f>
        <v>45132.36903</v>
      </c>
      <c r="D1174" s="15">
        <f>IFERROR(__xludf.DUMMYFUNCTION("""COMPUTED_VALUE"""),1.003)</f>
        <v>1.003</v>
      </c>
      <c r="E1174" s="16">
        <f>IFERROR(__xludf.DUMMYFUNCTION("""COMPUTED_VALUE"""),73.0)</f>
        <v>73</v>
      </c>
      <c r="F1174" s="19" t="str">
        <f>IFERROR(__xludf.DUMMYFUNCTION("""COMPUTED_VALUE"""),"BLACK")</f>
        <v>BLACK</v>
      </c>
      <c r="G1174" s="20" t="str">
        <f>IFERROR(__xludf.DUMMYFUNCTION("""COMPUTED_VALUE"""),"Uncle Sams Cider (04/04/2023)")</f>
        <v>Uncle Sams Cider (04/04/2023)</v>
      </c>
      <c r="H1174" s="19"/>
    </row>
    <row r="1175">
      <c r="A1175" s="9"/>
      <c r="B1175" s="15"/>
      <c r="C1175" s="9">
        <f>IFERROR(__xludf.DUMMYFUNCTION("""COMPUTED_VALUE"""),45132.3586130439)</f>
        <v>45132.35861</v>
      </c>
      <c r="D1175" s="15">
        <f>IFERROR(__xludf.DUMMYFUNCTION("""COMPUTED_VALUE"""),1.003)</f>
        <v>1.003</v>
      </c>
      <c r="E1175" s="16">
        <f>IFERROR(__xludf.DUMMYFUNCTION("""COMPUTED_VALUE"""),73.0)</f>
        <v>73</v>
      </c>
      <c r="F1175" s="19" t="str">
        <f>IFERROR(__xludf.DUMMYFUNCTION("""COMPUTED_VALUE"""),"BLACK")</f>
        <v>BLACK</v>
      </c>
      <c r="G1175" s="20" t="str">
        <f>IFERROR(__xludf.DUMMYFUNCTION("""COMPUTED_VALUE"""),"Uncle Sams Cider (04/04/2023)")</f>
        <v>Uncle Sams Cider (04/04/2023)</v>
      </c>
      <c r="H1175" s="19"/>
    </row>
    <row r="1176">
      <c r="A1176" s="9"/>
      <c r="B1176" s="15"/>
      <c r="C1176" s="9">
        <f>IFERROR(__xludf.DUMMYFUNCTION("""COMPUTED_VALUE"""),45132.3481914351)</f>
        <v>45132.34819</v>
      </c>
      <c r="D1176" s="15">
        <f>IFERROR(__xludf.DUMMYFUNCTION("""COMPUTED_VALUE"""),1.003)</f>
        <v>1.003</v>
      </c>
      <c r="E1176" s="16">
        <f>IFERROR(__xludf.DUMMYFUNCTION("""COMPUTED_VALUE"""),73.0)</f>
        <v>73</v>
      </c>
      <c r="F1176" s="19" t="str">
        <f>IFERROR(__xludf.DUMMYFUNCTION("""COMPUTED_VALUE"""),"BLACK")</f>
        <v>BLACK</v>
      </c>
      <c r="G1176" s="20" t="str">
        <f>IFERROR(__xludf.DUMMYFUNCTION("""COMPUTED_VALUE"""),"Uncle Sams Cider (04/04/2023)")</f>
        <v>Uncle Sams Cider (04/04/2023)</v>
      </c>
      <c r="H1176" s="19"/>
    </row>
    <row r="1177">
      <c r="A1177" s="9"/>
      <c r="B1177" s="15"/>
      <c r="C1177" s="9">
        <f>IFERROR(__xludf.DUMMYFUNCTION("""COMPUTED_VALUE"""),45132.3377694444)</f>
        <v>45132.33777</v>
      </c>
      <c r="D1177" s="15">
        <f>IFERROR(__xludf.DUMMYFUNCTION("""COMPUTED_VALUE"""),1.003)</f>
        <v>1.003</v>
      </c>
      <c r="E1177" s="16">
        <f>IFERROR(__xludf.DUMMYFUNCTION("""COMPUTED_VALUE"""),73.0)</f>
        <v>73</v>
      </c>
      <c r="F1177" s="19" t="str">
        <f>IFERROR(__xludf.DUMMYFUNCTION("""COMPUTED_VALUE"""),"BLACK")</f>
        <v>BLACK</v>
      </c>
      <c r="G1177" s="20" t="str">
        <f>IFERROR(__xludf.DUMMYFUNCTION("""COMPUTED_VALUE"""),"Uncle Sams Cider (04/04/2023)")</f>
        <v>Uncle Sams Cider (04/04/2023)</v>
      </c>
      <c r="H1177" s="19"/>
    </row>
    <row r="1178">
      <c r="A1178" s="9"/>
      <c r="B1178" s="15"/>
      <c r="C1178" s="9">
        <f>IFERROR(__xludf.DUMMYFUNCTION("""COMPUTED_VALUE"""),45132.3273482175)</f>
        <v>45132.32735</v>
      </c>
      <c r="D1178" s="15">
        <f>IFERROR(__xludf.DUMMYFUNCTION("""COMPUTED_VALUE"""),1.003)</f>
        <v>1.003</v>
      </c>
      <c r="E1178" s="16">
        <f>IFERROR(__xludf.DUMMYFUNCTION("""COMPUTED_VALUE"""),73.0)</f>
        <v>73</v>
      </c>
      <c r="F1178" s="19" t="str">
        <f>IFERROR(__xludf.DUMMYFUNCTION("""COMPUTED_VALUE"""),"BLACK")</f>
        <v>BLACK</v>
      </c>
      <c r="G1178" s="20" t="str">
        <f>IFERROR(__xludf.DUMMYFUNCTION("""COMPUTED_VALUE"""),"Uncle Sams Cider (04/04/2023)")</f>
        <v>Uncle Sams Cider (04/04/2023)</v>
      </c>
      <c r="H1178" s="19"/>
    </row>
    <row r="1179">
      <c r="A1179" s="9"/>
      <c r="B1179" s="15"/>
      <c r="C1179" s="9">
        <f>IFERROR(__xludf.DUMMYFUNCTION("""COMPUTED_VALUE"""),45132.3168910879)</f>
        <v>45132.31689</v>
      </c>
      <c r="D1179" s="15">
        <f>IFERROR(__xludf.DUMMYFUNCTION("""COMPUTED_VALUE"""),1.003)</f>
        <v>1.003</v>
      </c>
      <c r="E1179" s="16">
        <f>IFERROR(__xludf.DUMMYFUNCTION("""COMPUTED_VALUE"""),73.0)</f>
        <v>73</v>
      </c>
      <c r="F1179" s="19" t="str">
        <f>IFERROR(__xludf.DUMMYFUNCTION("""COMPUTED_VALUE"""),"BLACK")</f>
        <v>BLACK</v>
      </c>
      <c r="G1179" s="20" t="str">
        <f>IFERROR(__xludf.DUMMYFUNCTION("""COMPUTED_VALUE"""),"Uncle Sams Cider (04/04/2023)")</f>
        <v>Uncle Sams Cider (04/04/2023)</v>
      </c>
      <c r="H1179" s="19"/>
    </row>
    <row r="1180">
      <c r="A1180" s="9"/>
      <c r="B1180" s="15"/>
      <c r="C1180" s="9">
        <f>IFERROR(__xludf.DUMMYFUNCTION("""COMPUTED_VALUE"""),45132.3064696527)</f>
        <v>45132.30647</v>
      </c>
      <c r="D1180" s="15">
        <f>IFERROR(__xludf.DUMMYFUNCTION("""COMPUTED_VALUE"""),1.003)</f>
        <v>1.003</v>
      </c>
      <c r="E1180" s="16">
        <f>IFERROR(__xludf.DUMMYFUNCTION("""COMPUTED_VALUE"""),73.0)</f>
        <v>73</v>
      </c>
      <c r="F1180" s="19" t="str">
        <f>IFERROR(__xludf.DUMMYFUNCTION("""COMPUTED_VALUE"""),"BLACK")</f>
        <v>BLACK</v>
      </c>
      <c r="G1180" s="20" t="str">
        <f>IFERROR(__xludf.DUMMYFUNCTION("""COMPUTED_VALUE"""),"Uncle Sams Cider (04/04/2023)")</f>
        <v>Uncle Sams Cider (04/04/2023)</v>
      </c>
      <c r="H1180" s="19"/>
    </row>
    <row r="1181">
      <c r="A1181" s="9"/>
      <c r="B1181" s="15"/>
      <c r="C1181" s="9">
        <f>IFERROR(__xludf.DUMMYFUNCTION("""COMPUTED_VALUE"""),45132.2960492129)</f>
        <v>45132.29605</v>
      </c>
      <c r="D1181" s="15">
        <f>IFERROR(__xludf.DUMMYFUNCTION("""COMPUTED_VALUE"""),1.003)</f>
        <v>1.003</v>
      </c>
      <c r="E1181" s="16">
        <f>IFERROR(__xludf.DUMMYFUNCTION("""COMPUTED_VALUE"""),73.0)</f>
        <v>73</v>
      </c>
      <c r="F1181" s="19" t="str">
        <f>IFERROR(__xludf.DUMMYFUNCTION("""COMPUTED_VALUE"""),"BLACK")</f>
        <v>BLACK</v>
      </c>
      <c r="G1181" s="20" t="str">
        <f>IFERROR(__xludf.DUMMYFUNCTION("""COMPUTED_VALUE"""),"Uncle Sams Cider (04/04/2023)")</f>
        <v>Uncle Sams Cider (04/04/2023)</v>
      </c>
      <c r="H1181" s="19"/>
    </row>
    <row r="1182">
      <c r="A1182" s="9"/>
      <c r="B1182" s="15"/>
      <c r="C1182" s="9">
        <f>IFERROR(__xludf.DUMMYFUNCTION("""COMPUTED_VALUE"""),45132.2856284838)</f>
        <v>45132.28563</v>
      </c>
      <c r="D1182" s="15">
        <f>IFERROR(__xludf.DUMMYFUNCTION("""COMPUTED_VALUE"""),1.003)</f>
        <v>1.003</v>
      </c>
      <c r="E1182" s="16">
        <f>IFERROR(__xludf.DUMMYFUNCTION("""COMPUTED_VALUE"""),73.0)</f>
        <v>73</v>
      </c>
      <c r="F1182" s="19" t="str">
        <f>IFERROR(__xludf.DUMMYFUNCTION("""COMPUTED_VALUE"""),"BLACK")</f>
        <v>BLACK</v>
      </c>
      <c r="G1182" s="20" t="str">
        <f>IFERROR(__xludf.DUMMYFUNCTION("""COMPUTED_VALUE"""),"Uncle Sams Cider (04/04/2023)")</f>
        <v>Uncle Sams Cider (04/04/2023)</v>
      </c>
      <c r="H1182" s="19"/>
    </row>
    <row r="1183">
      <c r="A1183" s="9"/>
      <c r="B1183" s="15"/>
      <c r="C1183" s="9">
        <f>IFERROR(__xludf.DUMMYFUNCTION("""COMPUTED_VALUE"""),45132.2752070601)</f>
        <v>45132.27521</v>
      </c>
      <c r="D1183" s="15">
        <f>IFERROR(__xludf.DUMMYFUNCTION("""COMPUTED_VALUE"""),1.003)</f>
        <v>1.003</v>
      </c>
      <c r="E1183" s="16">
        <f>IFERROR(__xludf.DUMMYFUNCTION("""COMPUTED_VALUE"""),73.0)</f>
        <v>73</v>
      </c>
      <c r="F1183" s="19" t="str">
        <f>IFERROR(__xludf.DUMMYFUNCTION("""COMPUTED_VALUE"""),"BLACK")</f>
        <v>BLACK</v>
      </c>
      <c r="G1183" s="20" t="str">
        <f>IFERROR(__xludf.DUMMYFUNCTION("""COMPUTED_VALUE"""),"Uncle Sams Cider (04/04/2023)")</f>
        <v>Uncle Sams Cider (04/04/2023)</v>
      </c>
      <c r="H1183" s="19"/>
    </row>
    <row r="1184">
      <c r="A1184" s="9"/>
      <c r="B1184" s="15"/>
      <c r="C1184" s="9">
        <f>IFERROR(__xludf.DUMMYFUNCTION("""COMPUTED_VALUE"""),45132.2647865509)</f>
        <v>45132.26479</v>
      </c>
      <c r="D1184" s="15">
        <f>IFERROR(__xludf.DUMMYFUNCTION("""COMPUTED_VALUE"""),1.003)</f>
        <v>1.003</v>
      </c>
      <c r="E1184" s="16">
        <f>IFERROR(__xludf.DUMMYFUNCTION("""COMPUTED_VALUE"""),73.0)</f>
        <v>73</v>
      </c>
      <c r="F1184" s="19" t="str">
        <f>IFERROR(__xludf.DUMMYFUNCTION("""COMPUTED_VALUE"""),"BLACK")</f>
        <v>BLACK</v>
      </c>
      <c r="G1184" s="20" t="str">
        <f>IFERROR(__xludf.DUMMYFUNCTION("""COMPUTED_VALUE"""),"Uncle Sams Cider (04/04/2023)")</f>
        <v>Uncle Sams Cider (04/04/2023)</v>
      </c>
      <c r="H1184" s="19"/>
    </row>
    <row r="1185">
      <c r="A1185" s="9"/>
      <c r="B1185" s="15"/>
      <c r="C1185" s="9">
        <f>IFERROR(__xludf.DUMMYFUNCTION("""COMPUTED_VALUE"""),45132.2543658333)</f>
        <v>45132.25437</v>
      </c>
      <c r="D1185" s="15">
        <f>IFERROR(__xludf.DUMMYFUNCTION("""COMPUTED_VALUE"""),1.003)</f>
        <v>1.003</v>
      </c>
      <c r="E1185" s="16">
        <f>IFERROR(__xludf.DUMMYFUNCTION("""COMPUTED_VALUE"""),73.0)</f>
        <v>73</v>
      </c>
      <c r="F1185" s="19" t="str">
        <f>IFERROR(__xludf.DUMMYFUNCTION("""COMPUTED_VALUE"""),"BLACK")</f>
        <v>BLACK</v>
      </c>
      <c r="G1185" s="20" t="str">
        <f>IFERROR(__xludf.DUMMYFUNCTION("""COMPUTED_VALUE"""),"Uncle Sams Cider (04/04/2023)")</f>
        <v>Uncle Sams Cider (04/04/2023)</v>
      </c>
      <c r="H1185" s="19"/>
    </row>
    <row r="1186">
      <c r="A1186" s="9"/>
      <c r="B1186" s="15"/>
      <c r="C1186" s="9">
        <f>IFERROR(__xludf.DUMMYFUNCTION("""COMPUTED_VALUE"""),45132.243945787)</f>
        <v>45132.24395</v>
      </c>
      <c r="D1186" s="15">
        <f>IFERROR(__xludf.DUMMYFUNCTION("""COMPUTED_VALUE"""),1.003)</f>
        <v>1.003</v>
      </c>
      <c r="E1186" s="16">
        <f>IFERROR(__xludf.DUMMYFUNCTION("""COMPUTED_VALUE"""),73.0)</f>
        <v>73</v>
      </c>
      <c r="F1186" s="19" t="str">
        <f>IFERROR(__xludf.DUMMYFUNCTION("""COMPUTED_VALUE"""),"BLACK")</f>
        <v>BLACK</v>
      </c>
      <c r="G1186" s="20" t="str">
        <f>IFERROR(__xludf.DUMMYFUNCTION("""COMPUTED_VALUE"""),"Uncle Sams Cider (04/04/2023)")</f>
        <v>Uncle Sams Cider (04/04/2023)</v>
      </c>
      <c r="H1186" s="19"/>
    </row>
    <row r="1187">
      <c r="A1187" s="9"/>
      <c r="B1187" s="15"/>
      <c r="C1187" s="9">
        <f>IFERROR(__xludf.DUMMYFUNCTION("""COMPUTED_VALUE"""),45132.2335233912)</f>
        <v>45132.23352</v>
      </c>
      <c r="D1187" s="15">
        <f>IFERROR(__xludf.DUMMYFUNCTION("""COMPUTED_VALUE"""),1.003)</f>
        <v>1.003</v>
      </c>
      <c r="E1187" s="16">
        <f>IFERROR(__xludf.DUMMYFUNCTION("""COMPUTED_VALUE"""),73.0)</f>
        <v>73</v>
      </c>
      <c r="F1187" s="19" t="str">
        <f>IFERROR(__xludf.DUMMYFUNCTION("""COMPUTED_VALUE"""),"BLACK")</f>
        <v>BLACK</v>
      </c>
      <c r="G1187" s="20" t="str">
        <f>IFERROR(__xludf.DUMMYFUNCTION("""COMPUTED_VALUE"""),"Uncle Sams Cider (04/04/2023)")</f>
        <v>Uncle Sams Cider (04/04/2023)</v>
      </c>
      <c r="H1187" s="19"/>
    </row>
    <row r="1188">
      <c r="A1188" s="9"/>
      <c r="B1188" s="15"/>
      <c r="C1188" s="9">
        <f>IFERROR(__xludf.DUMMYFUNCTION("""COMPUTED_VALUE"""),45132.2231033564)</f>
        <v>45132.2231</v>
      </c>
      <c r="D1188" s="15">
        <f>IFERROR(__xludf.DUMMYFUNCTION("""COMPUTED_VALUE"""),1.003)</f>
        <v>1.003</v>
      </c>
      <c r="E1188" s="16">
        <f>IFERROR(__xludf.DUMMYFUNCTION("""COMPUTED_VALUE"""),73.0)</f>
        <v>73</v>
      </c>
      <c r="F1188" s="19" t="str">
        <f>IFERROR(__xludf.DUMMYFUNCTION("""COMPUTED_VALUE"""),"BLACK")</f>
        <v>BLACK</v>
      </c>
      <c r="G1188" s="20" t="str">
        <f>IFERROR(__xludf.DUMMYFUNCTION("""COMPUTED_VALUE"""),"Uncle Sams Cider (04/04/2023)")</f>
        <v>Uncle Sams Cider (04/04/2023)</v>
      </c>
      <c r="H1188" s="19"/>
    </row>
    <row r="1189">
      <c r="A1189" s="9"/>
      <c r="B1189" s="15"/>
      <c r="C1189" s="9">
        <f>IFERROR(__xludf.DUMMYFUNCTION("""COMPUTED_VALUE"""),45132.2126826736)</f>
        <v>45132.21268</v>
      </c>
      <c r="D1189" s="15">
        <f>IFERROR(__xludf.DUMMYFUNCTION("""COMPUTED_VALUE"""),1.003)</f>
        <v>1.003</v>
      </c>
      <c r="E1189" s="16">
        <f>IFERROR(__xludf.DUMMYFUNCTION("""COMPUTED_VALUE"""),73.0)</f>
        <v>73</v>
      </c>
      <c r="F1189" s="19" t="str">
        <f>IFERROR(__xludf.DUMMYFUNCTION("""COMPUTED_VALUE"""),"BLACK")</f>
        <v>BLACK</v>
      </c>
      <c r="G1189" s="20" t="str">
        <f>IFERROR(__xludf.DUMMYFUNCTION("""COMPUTED_VALUE"""),"Uncle Sams Cider (04/04/2023)")</f>
        <v>Uncle Sams Cider (04/04/2023)</v>
      </c>
      <c r="H1189" s="19"/>
    </row>
    <row r="1190">
      <c r="A1190" s="9"/>
      <c r="B1190" s="15"/>
      <c r="C1190" s="9">
        <f>IFERROR(__xludf.DUMMYFUNCTION("""COMPUTED_VALUE"""),45132.2022611689)</f>
        <v>45132.20226</v>
      </c>
      <c r="D1190" s="15">
        <f>IFERROR(__xludf.DUMMYFUNCTION("""COMPUTED_VALUE"""),1.003)</f>
        <v>1.003</v>
      </c>
      <c r="E1190" s="16">
        <f>IFERROR(__xludf.DUMMYFUNCTION("""COMPUTED_VALUE"""),73.0)</f>
        <v>73</v>
      </c>
      <c r="F1190" s="19" t="str">
        <f>IFERROR(__xludf.DUMMYFUNCTION("""COMPUTED_VALUE"""),"BLACK")</f>
        <v>BLACK</v>
      </c>
      <c r="G1190" s="20" t="str">
        <f>IFERROR(__xludf.DUMMYFUNCTION("""COMPUTED_VALUE"""),"Uncle Sams Cider (04/04/2023)")</f>
        <v>Uncle Sams Cider (04/04/2023)</v>
      </c>
      <c r="H1190" s="19"/>
    </row>
    <row r="1191">
      <c r="A1191" s="9"/>
      <c r="B1191" s="15"/>
      <c r="C1191" s="9">
        <f>IFERROR(__xludf.DUMMYFUNCTION("""COMPUTED_VALUE"""),45132.1918415162)</f>
        <v>45132.19184</v>
      </c>
      <c r="D1191" s="15">
        <f>IFERROR(__xludf.DUMMYFUNCTION("""COMPUTED_VALUE"""),1.003)</f>
        <v>1.003</v>
      </c>
      <c r="E1191" s="16">
        <f>IFERROR(__xludf.DUMMYFUNCTION("""COMPUTED_VALUE"""),73.0)</f>
        <v>73</v>
      </c>
      <c r="F1191" s="19" t="str">
        <f>IFERROR(__xludf.DUMMYFUNCTION("""COMPUTED_VALUE"""),"BLACK")</f>
        <v>BLACK</v>
      </c>
      <c r="G1191" s="20" t="str">
        <f>IFERROR(__xludf.DUMMYFUNCTION("""COMPUTED_VALUE"""),"Uncle Sams Cider (04/04/2023)")</f>
        <v>Uncle Sams Cider (04/04/2023)</v>
      </c>
      <c r="H1191" s="19"/>
    </row>
    <row r="1192">
      <c r="A1192" s="9"/>
      <c r="B1192" s="15"/>
      <c r="C1192" s="9">
        <f>IFERROR(__xludf.DUMMYFUNCTION("""COMPUTED_VALUE"""),45132.1814221527)</f>
        <v>45132.18142</v>
      </c>
      <c r="D1192" s="15">
        <f>IFERROR(__xludf.DUMMYFUNCTION("""COMPUTED_VALUE"""),1.003)</f>
        <v>1.003</v>
      </c>
      <c r="E1192" s="16">
        <f>IFERROR(__xludf.DUMMYFUNCTION("""COMPUTED_VALUE"""),73.0)</f>
        <v>73</v>
      </c>
      <c r="F1192" s="19" t="str">
        <f>IFERROR(__xludf.DUMMYFUNCTION("""COMPUTED_VALUE"""),"BLACK")</f>
        <v>BLACK</v>
      </c>
      <c r="G1192" s="20" t="str">
        <f>IFERROR(__xludf.DUMMYFUNCTION("""COMPUTED_VALUE"""),"Uncle Sams Cider (04/04/2023)")</f>
        <v>Uncle Sams Cider (04/04/2023)</v>
      </c>
      <c r="H1192" s="19"/>
    </row>
    <row r="1193">
      <c r="A1193" s="9"/>
      <c r="B1193" s="15"/>
      <c r="C1193" s="9">
        <f>IFERROR(__xludf.DUMMYFUNCTION("""COMPUTED_VALUE"""),45132.1709994791)</f>
        <v>45132.171</v>
      </c>
      <c r="D1193" s="15">
        <f>IFERROR(__xludf.DUMMYFUNCTION("""COMPUTED_VALUE"""),1.003)</f>
        <v>1.003</v>
      </c>
      <c r="E1193" s="16">
        <f>IFERROR(__xludf.DUMMYFUNCTION("""COMPUTED_VALUE"""),73.0)</f>
        <v>73</v>
      </c>
      <c r="F1193" s="19" t="str">
        <f>IFERROR(__xludf.DUMMYFUNCTION("""COMPUTED_VALUE"""),"BLACK")</f>
        <v>BLACK</v>
      </c>
      <c r="G1193" s="20" t="str">
        <f>IFERROR(__xludf.DUMMYFUNCTION("""COMPUTED_VALUE"""),"Uncle Sams Cider (04/04/2023)")</f>
        <v>Uncle Sams Cider (04/04/2023)</v>
      </c>
      <c r="H1193" s="19"/>
    </row>
    <row r="1194">
      <c r="A1194" s="9"/>
      <c r="B1194" s="15"/>
      <c r="C1194" s="9">
        <f>IFERROR(__xludf.DUMMYFUNCTION("""COMPUTED_VALUE"""),45132.1605784143)</f>
        <v>45132.16058</v>
      </c>
      <c r="D1194" s="15">
        <f>IFERROR(__xludf.DUMMYFUNCTION("""COMPUTED_VALUE"""),1.003)</f>
        <v>1.003</v>
      </c>
      <c r="E1194" s="16">
        <f>IFERROR(__xludf.DUMMYFUNCTION("""COMPUTED_VALUE"""),73.0)</f>
        <v>73</v>
      </c>
      <c r="F1194" s="19" t="str">
        <f>IFERROR(__xludf.DUMMYFUNCTION("""COMPUTED_VALUE"""),"BLACK")</f>
        <v>BLACK</v>
      </c>
      <c r="G1194" s="20" t="str">
        <f>IFERROR(__xludf.DUMMYFUNCTION("""COMPUTED_VALUE"""),"Uncle Sams Cider (04/04/2023)")</f>
        <v>Uncle Sams Cider (04/04/2023)</v>
      </c>
      <c r="H1194" s="19"/>
    </row>
    <row r="1195">
      <c r="A1195" s="9"/>
      <c r="B1195" s="15"/>
      <c r="C1195" s="9">
        <f>IFERROR(__xludf.DUMMYFUNCTION("""COMPUTED_VALUE"""),45132.1501573842)</f>
        <v>45132.15016</v>
      </c>
      <c r="D1195" s="15">
        <f>IFERROR(__xludf.DUMMYFUNCTION("""COMPUTED_VALUE"""),1.003)</f>
        <v>1.003</v>
      </c>
      <c r="E1195" s="16">
        <f>IFERROR(__xludf.DUMMYFUNCTION("""COMPUTED_VALUE"""),73.0)</f>
        <v>73</v>
      </c>
      <c r="F1195" s="19" t="str">
        <f>IFERROR(__xludf.DUMMYFUNCTION("""COMPUTED_VALUE"""),"BLACK")</f>
        <v>BLACK</v>
      </c>
      <c r="G1195" s="20" t="str">
        <f>IFERROR(__xludf.DUMMYFUNCTION("""COMPUTED_VALUE"""),"Uncle Sams Cider (04/04/2023)")</f>
        <v>Uncle Sams Cider (04/04/2023)</v>
      </c>
      <c r="H1195" s="19"/>
    </row>
    <row r="1196">
      <c r="A1196" s="9"/>
      <c r="B1196" s="15"/>
      <c r="C1196" s="9">
        <f>IFERROR(__xludf.DUMMYFUNCTION("""COMPUTED_VALUE"""),45132.1397349652)</f>
        <v>45132.13973</v>
      </c>
      <c r="D1196" s="15">
        <f>IFERROR(__xludf.DUMMYFUNCTION("""COMPUTED_VALUE"""),1.003)</f>
        <v>1.003</v>
      </c>
      <c r="E1196" s="16">
        <f>IFERROR(__xludf.DUMMYFUNCTION("""COMPUTED_VALUE"""),73.0)</f>
        <v>73</v>
      </c>
      <c r="F1196" s="19" t="str">
        <f>IFERROR(__xludf.DUMMYFUNCTION("""COMPUTED_VALUE"""),"BLACK")</f>
        <v>BLACK</v>
      </c>
      <c r="G1196" s="20" t="str">
        <f>IFERROR(__xludf.DUMMYFUNCTION("""COMPUTED_VALUE"""),"Uncle Sams Cider (04/04/2023)")</f>
        <v>Uncle Sams Cider (04/04/2023)</v>
      </c>
      <c r="H1196" s="19"/>
    </row>
    <row r="1197">
      <c r="A1197" s="9"/>
      <c r="B1197" s="15"/>
      <c r="C1197" s="9">
        <f>IFERROR(__xludf.DUMMYFUNCTION("""COMPUTED_VALUE"""),45132.129314155)</f>
        <v>45132.12931</v>
      </c>
      <c r="D1197" s="15">
        <f>IFERROR(__xludf.DUMMYFUNCTION("""COMPUTED_VALUE"""),1.003)</f>
        <v>1.003</v>
      </c>
      <c r="E1197" s="16">
        <f>IFERROR(__xludf.DUMMYFUNCTION("""COMPUTED_VALUE"""),73.0)</f>
        <v>73</v>
      </c>
      <c r="F1197" s="19" t="str">
        <f>IFERROR(__xludf.DUMMYFUNCTION("""COMPUTED_VALUE"""),"BLACK")</f>
        <v>BLACK</v>
      </c>
      <c r="G1197" s="20" t="str">
        <f>IFERROR(__xludf.DUMMYFUNCTION("""COMPUTED_VALUE"""),"Uncle Sams Cider (04/04/2023)")</f>
        <v>Uncle Sams Cider (04/04/2023)</v>
      </c>
      <c r="H1197" s="19"/>
    </row>
    <row r="1198">
      <c r="A1198" s="9"/>
      <c r="B1198" s="15"/>
      <c r="C1198" s="9">
        <f>IFERROR(__xludf.DUMMYFUNCTION("""COMPUTED_VALUE"""),45132.1188926273)</f>
        <v>45132.11889</v>
      </c>
      <c r="D1198" s="15">
        <f>IFERROR(__xludf.DUMMYFUNCTION("""COMPUTED_VALUE"""),1.003)</f>
        <v>1.003</v>
      </c>
      <c r="E1198" s="16">
        <f>IFERROR(__xludf.DUMMYFUNCTION("""COMPUTED_VALUE"""),73.0)</f>
        <v>73</v>
      </c>
      <c r="F1198" s="19" t="str">
        <f>IFERROR(__xludf.DUMMYFUNCTION("""COMPUTED_VALUE"""),"BLACK")</f>
        <v>BLACK</v>
      </c>
      <c r="G1198" s="20" t="str">
        <f>IFERROR(__xludf.DUMMYFUNCTION("""COMPUTED_VALUE"""),"Uncle Sams Cider (04/04/2023)")</f>
        <v>Uncle Sams Cider (04/04/2023)</v>
      </c>
      <c r="H1198" s="19"/>
    </row>
    <row r="1199">
      <c r="A1199" s="9"/>
      <c r="B1199" s="15"/>
      <c r="C1199" s="9">
        <f>IFERROR(__xludf.DUMMYFUNCTION("""COMPUTED_VALUE"""),45132.1084717013)</f>
        <v>45132.10847</v>
      </c>
      <c r="D1199" s="15">
        <f>IFERROR(__xludf.DUMMYFUNCTION("""COMPUTED_VALUE"""),1.003)</f>
        <v>1.003</v>
      </c>
      <c r="E1199" s="16">
        <f>IFERROR(__xludf.DUMMYFUNCTION("""COMPUTED_VALUE"""),73.0)</f>
        <v>73</v>
      </c>
      <c r="F1199" s="19" t="str">
        <f>IFERROR(__xludf.DUMMYFUNCTION("""COMPUTED_VALUE"""),"BLACK")</f>
        <v>BLACK</v>
      </c>
      <c r="G1199" s="20" t="str">
        <f>IFERROR(__xludf.DUMMYFUNCTION("""COMPUTED_VALUE"""),"Uncle Sams Cider (04/04/2023)")</f>
        <v>Uncle Sams Cider (04/04/2023)</v>
      </c>
      <c r="H1199" s="19"/>
    </row>
    <row r="1200">
      <c r="A1200" s="9"/>
      <c r="B1200" s="15"/>
      <c r="C1200" s="9">
        <f>IFERROR(__xludf.DUMMYFUNCTION("""COMPUTED_VALUE"""),45132.0980498263)</f>
        <v>45132.09805</v>
      </c>
      <c r="D1200" s="15">
        <f>IFERROR(__xludf.DUMMYFUNCTION("""COMPUTED_VALUE"""),1.003)</f>
        <v>1.003</v>
      </c>
      <c r="E1200" s="16">
        <f>IFERROR(__xludf.DUMMYFUNCTION("""COMPUTED_VALUE"""),73.0)</f>
        <v>73</v>
      </c>
      <c r="F1200" s="19" t="str">
        <f>IFERROR(__xludf.DUMMYFUNCTION("""COMPUTED_VALUE"""),"BLACK")</f>
        <v>BLACK</v>
      </c>
      <c r="G1200" s="20" t="str">
        <f>IFERROR(__xludf.DUMMYFUNCTION("""COMPUTED_VALUE"""),"Uncle Sams Cider (04/04/2023)")</f>
        <v>Uncle Sams Cider (04/04/2023)</v>
      </c>
      <c r="H1200" s="19"/>
    </row>
    <row r="1201">
      <c r="A1201" s="9"/>
      <c r="B1201" s="15"/>
      <c r="C1201" s="9">
        <f>IFERROR(__xludf.DUMMYFUNCTION("""COMPUTED_VALUE"""),45132.0876176041)</f>
        <v>45132.08762</v>
      </c>
      <c r="D1201" s="15">
        <f>IFERROR(__xludf.DUMMYFUNCTION("""COMPUTED_VALUE"""),1.003)</f>
        <v>1.003</v>
      </c>
      <c r="E1201" s="16">
        <f>IFERROR(__xludf.DUMMYFUNCTION("""COMPUTED_VALUE"""),73.0)</f>
        <v>73</v>
      </c>
      <c r="F1201" s="19" t="str">
        <f>IFERROR(__xludf.DUMMYFUNCTION("""COMPUTED_VALUE"""),"BLACK")</f>
        <v>BLACK</v>
      </c>
      <c r="G1201" s="20" t="str">
        <f>IFERROR(__xludf.DUMMYFUNCTION("""COMPUTED_VALUE"""),"Uncle Sams Cider (04/04/2023)")</f>
        <v>Uncle Sams Cider (04/04/2023)</v>
      </c>
      <c r="H1201" s="19"/>
    </row>
    <row r="1202">
      <c r="A1202" s="9"/>
      <c r="B1202" s="15"/>
      <c r="C1202" s="9">
        <f>IFERROR(__xludf.DUMMYFUNCTION("""COMPUTED_VALUE"""),45132.0771973958)</f>
        <v>45132.0772</v>
      </c>
      <c r="D1202" s="15">
        <f>IFERROR(__xludf.DUMMYFUNCTION("""COMPUTED_VALUE"""),1.003)</f>
        <v>1.003</v>
      </c>
      <c r="E1202" s="16">
        <f>IFERROR(__xludf.DUMMYFUNCTION("""COMPUTED_VALUE"""),73.0)</f>
        <v>73</v>
      </c>
      <c r="F1202" s="19" t="str">
        <f>IFERROR(__xludf.DUMMYFUNCTION("""COMPUTED_VALUE"""),"BLACK")</f>
        <v>BLACK</v>
      </c>
      <c r="G1202" s="20" t="str">
        <f>IFERROR(__xludf.DUMMYFUNCTION("""COMPUTED_VALUE"""),"Uncle Sams Cider (04/04/2023)")</f>
        <v>Uncle Sams Cider (04/04/2023)</v>
      </c>
      <c r="H1202" s="19"/>
    </row>
    <row r="1203">
      <c r="A1203" s="9"/>
      <c r="B1203" s="15"/>
      <c r="C1203" s="9">
        <f>IFERROR(__xludf.DUMMYFUNCTION("""COMPUTED_VALUE"""),45132.0667765509)</f>
        <v>45132.06678</v>
      </c>
      <c r="D1203" s="15">
        <f>IFERROR(__xludf.DUMMYFUNCTION("""COMPUTED_VALUE"""),1.003)</f>
        <v>1.003</v>
      </c>
      <c r="E1203" s="16">
        <f>IFERROR(__xludf.DUMMYFUNCTION("""COMPUTED_VALUE"""),73.0)</f>
        <v>73</v>
      </c>
      <c r="F1203" s="19" t="str">
        <f>IFERROR(__xludf.DUMMYFUNCTION("""COMPUTED_VALUE"""),"BLACK")</f>
        <v>BLACK</v>
      </c>
      <c r="G1203" s="20" t="str">
        <f>IFERROR(__xludf.DUMMYFUNCTION("""COMPUTED_VALUE"""),"Uncle Sams Cider (04/04/2023)")</f>
        <v>Uncle Sams Cider (04/04/2023)</v>
      </c>
      <c r="H1203" s="19"/>
    </row>
    <row r="1204">
      <c r="A1204" s="9"/>
      <c r="B1204" s="15"/>
      <c r="C1204" s="9">
        <f>IFERROR(__xludf.DUMMYFUNCTION("""COMPUTED_VALUE"""),45132.0563559143)</f>
        <v>45132.05636</v>
      </c>
      <c r="D1204" s="15">
        <f>IFERROR(__xludf.DUMMYFUNCTION("""COMPUTED_VALUE"""),1.003)</f>
        <v>1.003</v>
      </c>
      <c r="E1204" s="16">
        <f>IFERROR(__xludf.DUMMYFUNCTION("""COMPUTED_VALUE"""),73.0)</f>
        <v>73</v>
      </c>
      <c r="F1204" s="19" t="str">
        <f>IFERROR(__xludf.DUMMYFUNCTION("""COMPUTED_VALUE"""),"BLACK")</f>
        <v>BLACK</v>
      </c>
      <c r="G1204" s="20" t="str">
        <f>IFERROR(__xludf.DUMMYFUNCTION("""COMPUTED_VALUE"""),"Uncle Sams Cider (04/04/2023)")</f>
        <v>Uncle Sams Cider (04/04/2023)</v>
      </c>
      <c r="H1204" s="19"/>
    </row>
    <row r="1205">
      <c r="A1205" s="9"/>
      <c r="B1205" s="15"/>
      <c r="C1205" s="9">
        <f>IFERROR(__xludf.DUMMYFUNCTION("""COMPUTED_VALUE"""),45132.0459338773)</f>
        <v>45132.04593</v>
      </c>
      <c r="D1205" s="15">
        <f>IFERROR(__xludf.DUMMYFUNCTION("""COMPUTED_VALUE"""),1.003)</f>
        <v>1.003</v>
      </c>
      <c r="E1205" s="16">
        <f>IFERROR(__xludf.DUMMYFUNCTION("""COMPUTED_VALUE"""),73.0)</f>
        <v>73</v>
      </c>
      <c r="F1205" s="19" t="str">
        <f>IFERROR(__xludf.DUMMYFUNCTION("""COMPUTED_VALUE"""),"BLACK")</f>
        <v>BLACK</v>
      </c>
      <c r="G1205" s="20" t="str">
        <f>IFERROR(__xludf.DUMMYFUNCTION("""COMPUTED_VALUE"""),"Uncle Sams Cider (04/04/2023)")</f>
        <v>Uncle Sams Cider (04/04/2023)</v>
      </c>
      <c r="H1205" s="19"/>
    </row>
    <row r="1206">
      <c r="A1206" s="9"/>
      <c r="B1206" s="15"/>
      <c r="C1206" s="9">
        <f>IFERROR(__xludf.DUMMYFUNCTION("""COMPUTED_VALUE"""),45132.0355011921)</f>
        <v>45132.0355</v>
      </c>
      <c r="D1206" s="15">
        <f>IFERROR(__xludf.DUMMYFUNCTION("""COMPUTED_VALUE"""),1.003)</f>
        <v>1.003</v>
      </c>
      <c r="E1206" s="16">
        <f>IFERROR(__xludf.DUMMYFUNCTION("""COMPUTED_VALUE"""),73.0)</f>
        <v>73</v>
      </c>
      <c r="F1206" s="19" t="str">
        <f>IFERROR(__xludf.DUMMYFUNCTION("""COMPUTED_VALUE"""),"BLACK")</f>
        <v>BLACK</v>
      </c>
      <c r="G1206" s="20" t="str">
        <f>IFERROR(__xludf.DUMMYFUNCTION("""COMPUTED_VALUE"""),"Uncle Sams Cider (04/04/2023)")</f>
        <v>Uncle Sams Cider (04/04/2023)</v>
      </c>
      <c r="H1206" s="19"/>
    </row>
    <row r="1207">
      <c r="A1207" s="9"/>
      <c r="B1207" s="15"/>
      <c r="C1207" s="9">
        <f>IFERROR(__xludf.DUMMYFUNCTION("""COMPUTED_VALUE"""),45132.0250809375)</f>
        <v>45132.02508</v>
      </c>
      <c r="D1207" s="15">
        <f>IFERROR(__xludf.DUMMYFUNCTION("""COMPUTED_VALUE"""),1.003)</f>
        <v>1.003</v>
      </c>
      <c r="E1207" s="16">
        <f>IFERROR(__xludf.DUMMYFUNCTION("""COMPUTED_VALUE"""),73.0)</f>
        <v>73</v>
      </c>
      <c r="F1207" s="19" t="str">
        <f>IFERROR(__xludf.DUMMYFUNCTION("""COMPUTED_VALUE"""),"BLACK")</f>
        <v>BLACK</v>
      </c>
      <c r="G1207" s="20" t="str">
        <f>IFERROR(__xludf.DUMMYFUNCTION("""COMPUTED_VALUE"""),"Uncle Sams Cider (04/04/2023)")</f>
        <v>Uncle Sams Cider (04/04/2023)</v>
      </c>
      <c r="H1207" s="19"/>
    </row>
    <row r="1208">
      <c r="A1208" s="9"/>
      <c r="B1208" s="15"/>
      <c r="C1208" s="9">
        <f>IFERROR(__xludf.DUMMYFUNCTION("""COMPUTED_VALUE"""),45132.0146483217)</f>
        <v>45132.01465</v>
      </c>
      <c r="D1208" s="15">
        <f>IFERROR(__xludf.DUMMYFUNCTION("""COMPUTED_VALUE"""),1.003)</f>
        <v>1.003</v>
      </c>
      <c r="E1208" s="16">
        <f>IFERROR(__xludf.DUMMYFUNCTION("""COMPUTED_VALUE"""),73.0)</f>
        <v>73</v>
      </c>
      <c r="F1208" s="19" t="str">
        <f>IFERROR(__xludf.DUMMYFUNCTION("""COMPUTED_VALUE"""),"BLACK")</f>
        <v>BLACK</v>
      </c>
      <c r="G1208" s="20" t="str">
        <f>IFERROR(__xludf.DUMMYFUNCTION("""COMPUTED_VALUE"""),"Uncle Sams Cider (04/04/2023)")</f>
        <v>Uncle Sams Cider (04/04/2023)</v>
      </c>
      <c r="H1208" s="19"/>
    </row>
    <row r="1209">
      <c r="A1209" s="9"/>
      <c r="B1209" s="15"/>
      <c r="C1209" s="9">
        <f>IFERROR(__xludf.DUMMYFUNCTION("""COMPUTED_VALUE"""),45132.0042272685)</f>
        <v>45132.00423</v>
      </c>
      <c r="D1209" s="15">
        <f>IFERROR(__xludf.DUMMYFUNCTION("""COMPUTED_VALUE"""),1.003)</f>
        <v>1.003</v>
      </c>
      <c r="E1209" s="16">
        <f>IFERROR(__xludf.DUMMYFUNCTION("""COMPUTED_VALUE"""),73.0)</f>
        <v>73</v>
      </c>
      <c r="F1209" s="19" t="str">
        <f>IFERROR(__xludf.DUMMYFUNCTION("""COMPUTED_VALUE"""),"BLACK")</f>
        <v>BLACK</v>
      </c>
      <c r="G1209" s="20" t="str">
        <f>IFERROR(__xludf.DUMMYFUNCTION("""COMPUTED_VALUE"""),"Uncle Sams Cider (04/04/2023)")</f>
        <v>Uncle Sams Cider (04/04/2023)</v>
      </c>
      <c r="H1209" s="19"/>
    </row>
    <row r="1210">
      <c r="A1210" s="9"/>
      <c r="B1210" s="15"/>
      <c r="C1210" s="9">
        <f>IFERROR(__xludf.DUMMYFUNCTION("""COMPUTED_VALUE"""),45131.993805)</f>
        <v>45131.99381</v>
      </c>
      <c r="D1210" s="15">
        <f>IFERROR(__xludf.DUMMYFUNCTION("""COMPUTED_VALUE"""),1.003)</f>
        <v>1.003</v>
      </c>
      <c r="E1210" s="16">
        <f>IFERROR(__xludf.DUMMYFUNCTION("""COMPUTED_VALUE"""),73.0)</f>
        <v>73</v>
      </c>
      <c r="F1210" s="19" t="str">
        <f>IFERROR(__xludf.DUMMYFUNCTION("""COMPUTED_VALUE"""),"BLACK")</f>
        <v>BLACK</v>
      </c>
      <c r="G1210" s="20" t="str">
        <f>IFERROR(__xludf.DUMMYFUNCTION("""COMPUTED_VALUE"""),"Uncle Sams Cider (04/04/2023)")</f>
        <v>Uncle Sams Cider (04/04/2023)</v>
      </c>
      <c r="H1210" s="19"/>
    </row>
    <row r="1211">
      <c r="A1211" s="9"/>
      <c r="B1211" s="15"/>
      <c r="C1211" s="9">
        <f>IFERROR(__xludf.DUMMYFUNCTION("""COMPUTED_VALUE"""),45131.9833833217)</f>
        <v>45131.98338</v>
      </c>
      <c r="D1211" s="15">
        <f>IFERROR(__xludf.DUMMYFUNCTION("""COMPUTED_VALUE"""),1.003)</f>
        <v>1.003</v>
      </c>
      <c r="E1211" s="16">
        <f>IFERROR(__xludf.DUMMYFUNCTION("""COMPUTED_VALUE"""),73.0)</f>
        <v>73</v>
      </c>
      <c r="F1211" s="19" t="str">
        <f>IFERROR(__xludf.DUMMYFUNCTION("""COMPUTED_VALUE"""),"BLACK")</f>
        <v>BLACK</v>
      </c>
      <c r="G1211" s="20" t="str">
        <f>IFERROR(__xludf.DUMMYFUNCTION("""COMPUTED_VALUE"""),"Uncle Sams Cider (04/04/2023)")</f>
        <v>Uncle Sams Cider (04/04/2023)</v>
      </c>
      <c r="H1211" s="19"/>
    </row>
    <row r="1212">
      <c r="A1212" s="9"/>
      <c r="B1212" s="15"/>
      <c r="C1212" s="9">
        <f>IFERROR(__xludf.DUMMYFUNCTION("""COMPUTED_VALUE"""),45131.9729619676)</f>
        <v>45131.97296</v>
      </c>
      <c r="D1212" s="15">
        <f>IFERROR(__xludf.DUMMYFUNCTION("""COMPUTED_VALUE"""),1.003)</f>
        <v>1.003</v>
      </c>
      <c r="E1212" s="16">
        <f>IFERROR(__xludf.DUMMYFUNCTION("""COMPUTED_VALUE"""),73.0)</f>
        <v>73</v>
      </c>
      <c r="F1212" s="19" t="str">
        <f>IFERROR(__xludf.DUMMYFUNCTION("""COMPUTED_VALUE"""),"BLACK")</f>
        <v>BLACK</v>
      </c>
      <c r="G1212" s="20" t="str">
        <f>IFERROR(__xludf.DUMMYFUNCTION("""COMPUTED_VALUE"""),"Uncle Sams Cider (04/04/2023)")</f>
        <v>Uncle Sams Cider (04/04/2023)</v>
      </c>
      <c r="H1212" s="19"/>
    </row>
    <row r="1213">
      <c r="A1213" s="9"/>
      <c r="B1213" s="15"/>
      <c r="C1213" s="9">
        <f>IFERROR(__xludf.DUMMYFUNCTION("""COMPUTED_VALUE"""),45131.9625403935)</f>
        <v>45131.96254</v>
      </c>
      <c r="D1213" s="15">
        <f>IFERROR(__xludf.DUMMYFUNCTION("""COMPUTED_VALUE"""),1.003)</f>
        <v>1.003</v>
      </c>
      <c r="E1213" s="16">
        <f>IFERROR(__xludf.DUMMYFUNCTION("""COMPUTED_VALUE"""),73.0)</f>
        <v>73</v>
      </c>
      <c r="F1213" s="19" t="str">
        <f>IFERROR(__xludf.DUMMYFUNCTION("""COMPUTED_VALUE"""),"BLACK")</f>
        <v>BLACK</v>
      </c>
      <c r="G1213" s="20" t="str">
        <f>IFERROR(__xludf.DUMMYFUNCTION("""COMPUTED_VALUE"""),"Uncle Sams Cider (04/04/2023)")</f>
        <v>Uncle Sams Cider (04/04/2023)</v>
      </c>
      <c r="H1213" s="19"/>
    </row>
    <row r="1214">
      <c r="A1214" s="9"/>
      <c r="B1214" s="15"/>
      <c r="C1214" s="9">
        <f>IFERROR(__xludf.DUMMYFUNCTION("""COMPUTED_VALUE"""),45131.9521208333)</f>
        <v>45131.95212</v>
      </c>
      <c r="D1214" s="15">
        <f>IFERROR(__xludf.DUMMYFUNCTION("""COMPUTED_VALUE"""),1.003)</f>
        <v>1.003</v>
      </c>
      <c r="E1214" s="16">
        <f>IFERROR(__xludf.DUMMYFUNCTION("""COMPUTED_VALUE"""),73.0)</f>
        <v>73</v>
      </c>
      <c r="F1214" s="19" t="str">
        <f>IFERROR(__xludf.DUMMYFUNCTION("""COMPUTED_VALUE"""),"BLACK")</f>
        <v>BLACK</v>
      </c>
      <c r="G1214" s="20" t="str">
        <f>IFERROR(__xludf.DUMMYFUNCTION("""COMPUTED_VALUE"""),"Uncle Sams Cider (04/04/2023)")</f>
        <v>Uncle Sams Cider (04/04/2023)</v>
      </c>
      <c r="H1214" s="19"/>
    </row>
    <row r="1215">
      <c r="A1215" s="9"/>
      <c r="B1215" s="15"/>
      <c r="C1215" s="9">
        <f>IFERROR(__xludf.DUMMYFUNCTION("""COMPUTED_VALUE"""),45131.9416989236)</f>
        <v>45131.9417</v>
      </c>
      <c r="D1215" s="15">
        <f>IFERROR(__xludf.DUMMYFUNCTION("""COMPUTED_VALUE"""),1.003)</f>
        <v>1.003</v>
      </c>
      <c r="E1215" s="16">
        <f>IFERROR(__xludf.DUMMYFUNCTION("""COMPUTED_VALUE"""),73.0)</f>
        <v>73</v>
      </c>
      <c r="F1215" s="19" t="str">
        <f>IFERROR(__xludf.DUMMYFUNCTION("""COMPUTED_VALUE"""),"BLACK")</f>
        <v>BLACK</v>
      </c>
      <c r="G1215" s="20" t="str">
        <f>IFERROR(__xludf.DUMMYFUNCTION("""COMPUTED_VALUE"""),"Uncle Sams Cider (04/04/2023)")</f>
        <v>Uncle Sams Cider (04/04/2023)</v>
      </c>
      <c r="H1215" s="19"/>
    </row>
    <row r="1216">
      <c r="A1216" s="9"/>
      <c r="B1216" s="15"/>
      <c r="C1216" s="9">
        <f>IFERROR(__xludf.DUMMYFUNCTION("""COMPUTED_VALUE"""),45131.9312774652)</f>
        <v>45131.93128</v>
      </c>
      <c r="D1216" s="15">
        <f>IFERROR(__xludf.DUMMYFUNCTION("""COMPUTED_VALUE"""),1.003)</f>
        <v>1.003</v>
      </c>
      <c r="E1216" s="16">
        <f>IFERROR(__xludf.DUMMYFUNCTION("""COMPUTED_VALUE"""),73.0)</f>
        <v>73</v>
      </c>
      <c r="F1216" s="19" t="str">
        <f>IFERROR(__xludf.DUMMYFUNCTION("""COMPUTED_VALUE"""),"BLACK")</f>
        <v>BLACK</v>
      </c>
      <c r="G1216" s="20" t="str">
        <f>IFERROR(__xludf.DUMMYFUNCTION("""COMPUTED_VALUE"""),"Uncle Sams Cider (04/04/2023)")</f>
        <v>Uncle Sams Cider (04/04/2023)</v>
      </c>
      <c r="H1216" s="19"/>
    </row>
    <row r="1217">
      <c r="A1217" s="9"/>
      <c r="B1217" s="15"/>
      <c r="C1217" s="9">
        <f>IFERROR(__xludf.DUMMYFUNCTION("""COMPUTED_VALUE"""),45131.920856493)</f>
        <v>45131.92086</v>
      </c>
      <c r="D1217" s="15">
        <f>IFERROR(__xludf.DUMMYFUNCTION("""COMPUTED_VALUE"""),1.003)</f>
        <v>1.003</v>
      </c>
      <c r="E1217" s="16">
        <f>IFERROR(__xludf.DUMMYFUNCTION("""COMPUTED_VALUE"""),73.0)</f>
        <v>73</v>
      </c>
      <c r="F1217" s="19" t="str">
        <f>IFERROR(__xludf.DUMMYFUNCTION("""COMPUTED_VALUE"""),"BLACK")</f>
        <v>BLACK</v>
      </c>
      <c r="G1217" s="20" t="str">
        <f>IFERROR(__xludf.DUMMYFUNCTION("""COMPUTED_VALUE"""),"Uncle Sams Cider (04/04/2023)")</f>
        <v>Uncle Sams Cider (04/04/2023)</v>
      </c>
      <c r="H1217" s="19"/>
    </row>
    <row r="1218">
      <c r="A1218" s="9"/>
      <c r="B1218" s="15"/>
      <c r="C1218" s="9">
        <f>IFERROR(__xludf.DUMMYFUNCTION("""COMPUTED_VALUE"""),45131.9104350694)</f>
        <v>45131.91044</v>
      </c>
      <c r="D1218" s="15">
        <f>IFERROR(__xludf.DUMMYFUNCTION("""COMPUTED_VALUE"""),1.003)</f>
        <v>1.003</v>
      </c>
      <c r="E1218" s="16">
        <f>IFERROR(__xludf.DUMMYFUNCTION("""COMPUTED_VALUE"""),73.0)</f>
        <v>73</v>
      </c>
      <c r="F1218" s="19" t="str">
        <f>IFERROR(__xludf.DUMMYFUNCTION("""COMPUTED_VALUE"""),"BLACK")</f>
        <v>BLACK</v>
      </c>
      <c r="G1218" s="20" t="str">
        <f>IFERROR(__xludf.DUMMYFUNCTION("""COMPUTED_VALUE"""),"Uncle Sams Cider (04/04/2023)")</f>
        <v>Uncle Sams Cider (04/04/2023)</v>
      </c>
      <c r="H1218" s="19"/>
    </row>
    <row r="1219">
      <c r="A1219" s="9"/>
      <c r="B1219" s="15"/>
      <c r="C1219" s="9">
        <f>IFERROR(__xludf.DUMMYFUNCTION("""COMPUTED_VALUE"""),45131.9000130439)</f>
        <v>45131.90001</v>
      </c>
      <c r="D1219" s="15">
        <f>IFERROR(__xludf.DUMMYFUNCTION("""COMPUTED_VALUE"""),1.003)</f>
        <v>1.003</v>
      </c>
      <c r="E1219" s="16">
        <f>IFERROR(__xludf.DUMMYFUNCTION("""COMPUTED_VALUE"""),73.0)</f>
        <v>73</v>
      </c>
      <c r="F1219" s="19" t="str">
        <f>IFERROR(__xludf.DUMMYFUNCTION("""COMPUTED_VALUE"""),"BLACK")</f>
        <v>BLACK</v>
      </c>
      <c r="G1219" s="20" t="str">
        <f>IFERROR(__xludf.DUMMYFUNCTION("""COMPUTED_VALUE"""),"Uncle Sams Cider (04/04/2023)")</f>
        <v>Uncle Sams Cider (04/04/2023)</v>
      </c>
      <c r="H1219" s="19"/>
    </row>
    <row r="1220">
      <c r="A1220" s="9"/>
      <c r="B1220" s="15"/>
      <c r="C1220" s="9">
        <f>IFERROR(__xludf.DUMMYFUNCTION("""COMPUTED_VALUE"""),45131.8895911921)</f>
        <v>45131.88959</v>
      </c>
      <c r="D1220" s="15">
        <f>IFERROR(__xludf.DUMMYFUNCTION("""COMPUTED_VALUE"""),1.003)</f>
        <v>1.003</v>
      </c>
      <c r="E1220" s="16">
        <f>IFERROR(__xludf.DUMMYFUNCTION("""COMPUTED_VALUE"""),73.0)</f>
        <v>73</v>
      </c>
      <c r="F1220" s="19" t="str">
        <f>IFERROR(__xludf.DUMMYFUNCTION("""COMPUTED_VALUE"""),"BLACK")</f>
        <v>BLACK</v>
      </c>
      <c r="G1220" s="20" t="str">
        <f>IFERROR(__xludf.DUMMYFUNCTION("""COMPUTED_VALUE"""),"Uncle Sams Cider (04/04/2023)")</f>
        <v>Uncle Sams Cider (04/04/2023)</v>
      </c>
      <c r="H1220" s="19"/>
    </row>
    <row r="1221">
      <c r="A1221" s="9"/>
      <c r="B1221" s="15"/>
      <c r="C1221" s="9">
        <f>IFERROR(__xludf.DUMMYFUNCTION("""COMPUTED_VALUE"""),45131.8791714004)</f>
        <v>45131.87917</v>
      </c>
      <c r="D1221" s="15">
        <f>IFERROR(__xludf.DUMMYFUNCTION("""COMPUTED_VALUE"""),1.003)</f>
        <v>1.003</v>
      </c>
      <c r="E1221" s="16">
        <f>IFERROR(__xludf.DUMMYFUNCTION("""COMPUTED_VALUE"""),73.0)</f>
        <v>73</v>
      </c>
      <c r="F1221" s="19" t="str">
        <f>IFERROR(__xludf.DUMMYFUNCTION("""COMPUTED_VALUE"""),"BLACK")</f>
        <v>BLACK</v>
      </c>
      <c r="G1221" s="20" t="str">
        <f>IFERROR(__xludf.DUMMYFUNCTION("""COMPUTED_VALUE"""),"Uncle Sams Cider (04/04/2023)")</f>
        <v>Uncle Sams Cider (04/04/2023)</v>
      </c>
      <c r="H1221" s="19"/>
    </row>
    <row r="1222">
      <c r="A1222" s="9"/>
      <c r="B1222" s="15"/>
      <c r="C1222" s="9">
        <f>IFERROR(__xludf.DUMMYFUNCTION("""COMPUTED_VALUE"""),45131.868750081)</f>
        <v>45131.86875</v>
      </c>
      <c r="D1222" s="15">
        <f>IFERROR(__xludf.DUMMYFUNCTION("""COMPUTED_VALUE"""),1.003)</f>
        <v>1.003</v>
      </c>
      <c r="E1222" s="16">
        <f>IFERROR(__xludf.DUMMYFUNCTION("""COMPUTED_VALUE"""),73.0)</f>
        <v>73</v>
      </c>
      <c r="F1222" s="19" t="str">
        <f>IFERROR(__xludf.DUMMYFUNCTION("""COMPUTED_VALUE"""),"BLACK")</f>
        <v>BLACK</v>
      </c>
      <c r="G1222" s="20" t="str">
        <f>IFERROR(__xludf.DUMMYFUNCTION("""COMPUTED_VALUE"""),"Uncle Sams Cider (04/04/2023)")</f>
        <v>Uncle Sams Cider (04/04/2023)</v>
      </c>
      <c r="H1222" s="19"/>
    </row>
    <row r="1223">
      <c r="A1223" s="9"/>
      <c r="B1223" s="15"/>
      <c r="C1223" s="9">
        <f>IFERROR(__xludf.DUMMYFUNCTION("""COMPUTED_VALUE"""),45131.8583307638)</f>
        <v>45131.85833</v>
      </c>
      <c r="D1223" s="15">
        <f>IFERROR(__xludf.DUMMYFUNCTION("""COMPUTED_VALUE"""),1.003)</f>
        <v>1.003</v>
      </c>
      <c r="E1223" s="16">
        <f>IFERROR(__xludf.DUMMYFUNCTION("""COMPUTED_VALUE"""),73.0)</f>
        <v>73</v>
      </c>
      <c r="F1223" s="19" t="str">
        <f>IFERROR(__xludf.DUMMYFUNCTION("""COMPUTED_VALUE"""),"BLACK")</f>
        <v>BLACK</v>
      </c>
      <c r="G1223" s="20" t="str">
        <f>IFERROR(__xludf.DUMMYFUNCTION("""COMPUTED_VALUE"""),"Uncle Sams Cider (04/04/2023)")</f>
        <v>Uncle Sams Cider (04/04/2023)</v>
      </c>
      <c r="H1223" s="19"/>
    </row>
    <row r="1224">
      <c r="A1224" s="9"/>
      <c r="B1224" s="15"/>
      <c r="C1224" s="9">
        <f>IFERROR(__xludf.DUMMYFUNCTION("""COMPUTED_VALUE"""),45131.8479111458)</f>
        <v>45131.84791</v>
      </c>
      <c r="D1224" s="15">
        <f>IFERROR(__xludf.DUMMYFUNCTION("""COMPUTED_VALUE"""),1.003)</f>
        <v>1.003</v>
      </c>
      <c r="E1224" s="16">
        <f>IFERROR(__xludf.DUMMYFUNCTION("""COMPUTED_VALUE"""),73.0)</f>
        <v>73</v>
      </c>
      <c r="F1224" s="19" t="str">
        <f>IFERROR(__xludf.DUMMYFUNCTION("""COMPUTED_VALUE"""),"BLACK")</f>
        <v>BLACK</v>
      </c>
      <c r="G1224" s="20" t="str">
        <f>IFERROR(__xludf.DUMMYFUNCTION("""COMPUTED_VALUE"""),"Uncle Sams Cider (04/04/2023)")</f>
        <v>Uncle Sams Cider (04/04/2023)</v>
      </c>
      <c r="H1224" s="19"/>
    </row>
    <row r="1225">
      <c r="A1225" s="9"/>
      <c r="B1225" s="15"/>
      <c r="C1225" s="9">
        <f>IFERROR(__xludf.DUMMYFUNCTION("""COMPUTED_VALUE"""),45131.8374890277)</f>
        <v>45131.83749</v>
      </c>
      <c r="D1225" s="15">
        <f>IFERROR(__xludf.DUMMYFUNCTION("""COMPUTED_VALUE"""),1.003)</f>
        <v>1.003</v>
      </c>
      <c r="E1225" s="16">
        <f>IFERROR(__xludf.DUMMYFUNCTION("""COMPUTED_VALUE"""),73.0)</f>
        <v>73</v>
      </c>
      <c r="F1225" s="19" t="str">
        <f>IFERROR(__xludf.DUMMYFUNCTION("""COMPUTED_VALUE"""),"BLACK")</f>
        <v>BLACK</v>
      </c>
      <c r="G1225" s="20" t="str">
        <f>IFERROR(__xludf.DUMMYFUNCTION("""COMPUTED_VALUE"""),"Uncle Sams Cider (04/04/2023)")</f>
        <v>Uncle Sams Cider (04/04/2023)</v>
      </c>
      <c r="H1225" s="19"/>
    </row>
    <row r="1226">
      <c r="A1226" s="9"/>
      <c r="B1226" s="15"/>
      <c r="C1226" s="9">
        <f>IFERROR(__xludf.DUMMYFUNCTION("""COMPUTED_VALUE"""),45131.8270684606)</f>
        <v>45131.82707</v>
      </c>
      <c r="D1226" s="15">
        <f>IFERROR(__xludf.DUMMYFUNCTION("""COMPUTED_VALUE"""),1.003)</f>
        <v>1.003</v>
      </c>
      <c r="E1226" s="16">
        <f>IFERROR(__xludf.DUMMYFUNCTION("""COMPUTED_VALUE"""),73.0)</f>
        <v>73</v>
      </c>
      <c r="F1226" s="19" t="str">
        <f>IFERROR(__xludf.DUMMYFUNCTION("""COMPUTED_VALUE"""),"BLACK")</f>
        <v>BLACK</v>
      </c>
      <c r="G1226" s="20" t="str">
        <f>IFERROR(__xludf.DUMMYFUNCTION("""COMPUTED_VALUE"""),"Uncle Sams Cider (04/04/2023)")</f>
        <v>Uncle Sams Cider (04/04/2023)</v>
      </c>
      <c r="H1226" s="19"/>
    </row>
    <row r="1227">
      <c r="A1227" s="9"/>
      <c r="B1227" s="15"/>
      <c r="C1227" s="9">
        <f>IFERROR(__xludf.DUMMYFUNCTION("""COMPUTED_VALUE"""),45131.8166478009)</f>
        <v>45131.81665</v>
      </c>
      <c r="D1227" s="15">
        <f>IFERROR(__xludf.DUMMYFUNCTION("""COMPUTED_VALUE"""),1.003)</f>
        <v>1.003</v>
      </c>
      <c r="E1227" s="16">
        <f>IFERROR(__xludf.DUMMYFUNCTION("""COMPUTED_VALUE"""),73.0)</f>
        <v>73</v>
      </c>
      <c r="F1227" s="19" t="str">
        <f>IFERROR(__xludf.DUMMYFUNCTION("""COMPUTED_VALUE"""),"BLACK")</f>
        <v>BLACK</v>
      </c>
      <c r="G1227" s="20" t="str">
        <f>IFERROR(__xludf.DUMMYFUNCTION("""COMPUTED_VALUE"""),"Uncle Sams Cider (04/04/2023)")</f>
        <v>Uncle Sams Cider (04/04/2023)</v>
      </c>
      <c r="H1227" s="19"/>
    </row>
    <row r="1228">
      <c r="A1228" s="9"/>
      <c r="B1228" s="15"/>
      <c r="C1228" s="9">
        <f>IFERROR(__xludf.DUMMYFUNCTION("""COMPUTED_VALUE"""),45131.8062278125)</f>
        <v>45131.80623</v>
      </c>
      <c r="D1228" s="15">
        <f>IFERROR(__xludf.DUMMYFUNCTION("""COMPUTED_VALUE"""),1.003)</f>
        <v>1.003</v>
      </c>
      <c r="E1228" s="16">
        <f>IFERROR(__xludf.DUMMYFUNCTION("""COMPUTED_VALUE"""),73.0)</f>
        <v>73</v>
      </c>
      <c r="F1228" s="19" t="str">
        <f>IFERROR(__xludf.DUMMYFUNCTION("""COMPUTED_VALUE"""),"BLACK")</f>
        <v>BLACK</v>
      </c>
      <c r="G1228" s="20" t="str">
        <f>IFERROR(__xludf.DUMMYFUNCTION("""COMPUTED_VALUE"""),"Uncle Sams Cider (04/04/2023)")</f>
        <v>Uncle Sams Cider (04/04/2023)</v>
      </c>
      <c r="H1228" s="19"/>
    </row>
    <row r="1229">
      <c r="A1229" s="9"/>
      <c r="B1229" s="15"/>
      <c r="C1229" s="9">
        <f>IFERROR(__xludf.DUMMYFUNCTION("""COMPUTED_VALUE"""),45131.7957954745)</f>
        <v>45131.7958</v>
      </c>
      <c r="D1229" s="15">
        <f>IFERROR(__xludf.DUMMYFUNCTION("""COMPUTED_VALUE"""),1.003)</f>
        <v>1.003</v>
      </c>
      <c r="E1229" s="16">
        <f>IFERROR(__xludf.DUMMYFUNCTION("""COMPUTED_VALUE"""),73.0)</f>
        <v>73</v>
      </c>
      <c r="F1229" s="19" t="str">
        <f>IFERROR(__xludf.DUMMYFUNCTION("""COMPUTED_VALUE"""),"BLACK")</f>
        <v>BLACK</v>
      </c>
      <c r="G1229" s="20" t="str">
        <f>IFERROR(__xludf.DUMMYFUNCTION("""COMPUTED_VALUE"""),"Uncle Sams Cider (04/04/2023)")</f>
        <v>Uncle Sams Cider (04/04/2023)</v>
      </c>
      <c r="H1229" s="19"/>
    </row>
    <row r="1230">
      <c r="A1230" s="9"/>
      <c r="B1230" s="15"/>
      <c r="C1230" s="9">
        <f>IFERROR(__xludf.DUMMYFUNCTION("""COMPUTED_VALUE"""),45131.7853738888)</f>
        <v>45131.78537</v>
      </c>
      <c r="D1230" s="15">
        <f>IFERROR(__xludf.DUMMYFUNCTION("""COMPUTED_VALUE"""),1.003)</f>
        <v>1.003</v>
      </c>
      <c r="E1230" s="16">
        <f>IFERROR(__xludf.DUMMYFUNCTION("""COMPUTED_VALUE"""),73.0)</f>
        <v>73</v>
      </c>
      <c r="F1230" s="19" t="str">
        <f>IFERROR(__xludf.DUMMYFUNCTION("""COMPUTED_VALUE"""),"BLACK")</f>
        <v>BLACK</v>
      </c>
      <c r="G1230" s="20" t="str">
        <f>IFERROR(__xludf.DUMMYFUNCTION("""COMPUTED_VALUE"""),"Uncle Sams Cider (04/04/2023)")</f>
        <v>Uncle Sams Cider (04/04/2023)</v>
      </c>
      <c r="H1230" s="19"/>
    </row>
    <row r="1231">
      <c r="A1231" s="9"/>
      <c r="B1231" s="15"/>
      <c r="C1231" s="9">
        <f>IFERROR(__xludf.DUMMYFUNCTION("""COMPUTED_VALUE"""),45131.7749403472)</f>
        <v>45131.77494</v>
      </c>
      <c r="D1231" s="15">
        <f>IFERROR(__xludf.DUMMYFUNCTION("""COMPUTED_VALUE"""),1.003)</f>
        <v>1.003</v>
      </c>
      <c r="E1231" s="16">
        <f>IFERROR(__xludf.DUMMYFUNCTION("""COMPUTED_VALUE"""),73.0)</f>
        <v>73</v>
      </c>
      <c r="F1231" s="19" t="str">
        <f>IFERROR(__xludf.DUMMYFUNCTION("""COMPUTED_VALUE"""),"BLACK")</f>
        <v>BLACK</v>
      </c>
      <c r="G1231" s="20" t="str">
        <f>IFERROR(__xludf.DUMMYFUNCTION("""COMPUTED_VALUE"""),"Uncle Sams Cider (04/04/2023)")</f>
        <v>Uncle Sams Cider (04/04/2023)</v>
      </c>
      <c r="H1231" s="19"/>
    </row>
    <row r="1232">
      <c r="A1232" s="9"/>
      <c r="B1232" s="15"/>
      <c r="C1232" s="9">
        <f>IFERROR(__xludf.DUMMYFUNCTION("""COMPUTED_VALUE"""),45131.7645194328)</f>
        <v>45131.76452</v>
      </c>
      <c r="D1232" s="15">
        <f>IFERROR(__xludf.DUMMYFUNCTION("""COMPUTED_VALUE"""),1.003)</f>
        <v>1.003</v>
      </c>
      <c r="E1232" s="16">
        <f>IFERROR(__xludf.DUMMYFUNCTION("""COMPUTED_VALUE"""),73.0)</f>
        <v>73</v>
      </c>
      <c r="F1232" s="19" t="str">
        <f>IFERROR(__xludf.DUMMYFUNCTION("""COMPUTED_VALUE"""),"BLACK")</f>
        <v>BLACK</v>
      </c>
      <c r="G1232" s="20" t="str">
        <f>IFERROR(__xludf.DUMMYFUNCTION("""COMPUTED_VALUE"""),"Uncle Sams Cider (04/04/2023)")</f>
        <v>Uncle Sams Cider (04/04/2023)</v>
      </c>
      <c r="H1232" s="19"/>
    </row>
    <row r="1233">
      <c r="A1233" s="9"/>
      <c r="B1233" s="15"/>
      <c r="C1233" s="9">
        <f>IFERROR(__xludf.DUMMYFUNCTION("""COMPUTED_VALUE"""),45131.7540855671)</f>
        <v>45131.75409</v>
      </c>
      <c r="D1233" s="15">
        <f>IFERROR(__xludf.DUMMYFUNCTION("""COMPUTED_VALUE"""),1.003)</f>
        <v>1.003</v>
      </c>
      <c r="E1233" s="16">
        <f>IFERROR(__xludf.DUMMYFUNCTION("""COMPUTED_VALUE"""),73.0)</f>
        <v>73</v>
      </c>
      <c r="F1233" s="19" t="str">
        <f>IFERROR(__xludf.DUMMYFUNCTION("""COMPUTED_VALUE"""),"BLACK")</f>
        <v>BLACK</v>
      </c>
      <c r="G1233" s="20" t="str">
        <f>IFERROR(__xludf.DUMMYFUNCTION("""COMPUTED_VALUE"""),"Uncle Sams Cider (04/04/2023)")</f>
        <v>Uncle Sams Cider (04/04/2023)</v>
      </c>
      <c r="H1233" s="19"/>
    </row>
    <row r="1234">
      <c r="A1234" s="9"/>
      <c r="B1234" s="15"/>
      <c r="C1234" s="9">
        <f>IFERROR(__xludf.DUMMYFUNCTION("""COMPUTED_VALUE"""),45131.7436525694)</f>
        <v>45131.74365</v>
      </c>
      <c r="D1234" s="15">
        <f>IFERROR(__xludf.DUMMYFUNCTION("""COMPUTED_VALUE"""),1.003)</f>
        <v>1.003</v>
      </c>
      <c r="E1234" s="16">
        <f>IFERROR(__xludf.DUMMYFUNCTION("""COMPUTED_VALUE"""),73.0)</f>
        <v>73</v>
      </c>
      <c r="F1234" s="19" t="str">
        <f>IFERROR(__xludf.DUMMYFUNCTION("""COMPUTED_VALUE"""),"BLACK")</f>
        <v>BLACK</v>
      </c>
      <c r="G1234" s="20" t="str">
        <f>IFERROR(__xludf.DUMMYFUNCTION("""COMPUTED_VALUE"""),"Uncle Sams Cider (04/04/2023)")</f>
        <v>Uncle Sams Cider (04/04/2023)</v>
      </c>
      <c r="H1234" s="19"/>
    </row>
    <row r="1235">
      <c r="A1235" s="9"/>
      <c r="B1235" s="15"/>
      <c r="C1235" s="9">
        <f>IFERROR(__xludf.DUMMYFUNCTION("""COMPUTED_VALUE"""),45131.7332299884)</f>
        <v>45131.73323</v>
      </c>
      <c r="D1235" s="15">
        <f>IFERROR(__xludf.DUMMYFUNCTION("""COMPUTED_VALUE"""),1.004)</f>
        <v>1.004</v>
      </c>
      <c r="E1235" s="16">
        <f>IFERROR(__xludf.DUMMYFUNCTION("""COMPUTED_VALUE"""),73.0)</f>
        <v>73</v>
      </c>
      <c r="F1235" s="19" t="str">
        <f>IFERROR(__xludf.DUMMYFUNCTION("""COMPUTED_VALUE"""),"BLACK")</f>
        <v>BLACK</v>
      </c>
      <c r="G1235" s="20" t="str">
        <f>IFERROR(__xludf.DUMMYFUNCTION("""COMPUTED_VALUE"""),"Uncle Sams Cider (04/04/2023)")</f>
        <v>Uncle Sams Cider (04/04/2023)</v>
      </c>
      <c r="H1235" s="19"/>
    </row>
    <row r="1236">
      <c r="A1236" s="9"/>
      <c r="B1236" s="15"/>
      <c r="C1236" s="9">
        <f>IFERROR(__xludf.DUMMYFUNCTION("""COMPUTED_VALUE"""),45131.7228074652)</f>
        <v>45131.72281</v>
      </c>
      <c r="D1236" s="15">
        <f>IFERROR(__xludf.DUMMYFUNCTION("""COMPUTED_VALUE"""),1.003)</f>
        <v>1.003</v>
      </c>
      <c r="E1236" s="16">
        <f>IFERROR(__xludf.DUMMYFUNCTION("""COMPUTED_VALUE"""),73.0)</f>
        <v>73</v>
      </c>
      <c r="F1236" s="19" t="str">
        <f>IFERROR(__xludf.DUMMYFUNCTION("""COMPUTED_VALUE"""),"BLACK")</f>
        <v>BLACK</v>
      </c>
      <c r="G1236" s="20" t="str">
        <f>IFERROR(__xludf.DUMMYFUNCTION("""COMPUTED_VALUE"""),"Uncle Sams Cider (04/04/2023)")</f>
        <v>Uncle Sams Cider (04/04/2023)</v>
      </c>
      <c r="H1236" s="19"/>
    </row>
    <row r="1237">
      <c r="A1237" s="9"/>
      <c r="B1237" s="15"/>
      <c r="C1237" s="9">
        <f>IFERROR(__xludf.DUMMYFUNCTION("""COMPUTED_VALUE"""),45131.7123724652)</f>
        <v>45131.71237</v>
      </c>
      <c r="D1237" s="15">
        <f>IFERROR(__xludf.DUMMYFUNCTION("""COMPUTED_VALUE"""),1.003)</f>
        <v>1.003</v>
      </c>
      <c r="E1237" s="16">
        <f>IFERROR(__xludf.DUMMYFUNCTION("""COMPUTED_VALUE"""),73.0)</f>
        <v>73</v>
      </c>
      <c r="F1237" s="19" t="str">
        <f>IFERROR(__xludf.DUMMYFUNCTION("""COMPUTED_VALUE"""),"BLACK")</f>
        <v>BLACK</v>
      </c>
      <c r="G1237" s="20" t="str">
        <f>IFERROR(__xludf.DUMMYFUNCTION("""COMPUTED_VALUE"""),"Uncle Sams Cider (04/04/2023)")</f>
        <v>Uncle Sams Cider (04/04/2023)</v>
      </c>
      <c r="H1237" s="19"/>
    </row>
    <row r="1238">
      <c r="A1238" s="9"/>
      <c r="B1238" s="15"/>
      <c r="C1238" s="9">
        <f>IFERROR(__xludf.DUMMYFUNCTION("""COMPUTED_VALUE"""),45131.7019492013)</f>
        <v>45131.70195</v>
      </c>
      <c r="D1238" s="15">
        <f>IFERROR(__xludf.DUMMYFUNCTION("""COMPUTED_VALUE"""),1.003)</f>
        <v>1.003</v>
      </c>
      <c r="E1238" s="16">
        <f>IFERROR(__xludf.DUMMYFUNCTION("""COMPUTED_VALUE"""),73.0)</f>
        <v>73</v>
      </c>
      <c r="F1238" s="19" t="str">
        <f>IFERROR(__xludf.DUMMYFUNCTION("""COMPUTED_VALUE"""),"BLACK")</f>
        <v>BLACK</v>
      </c>
      <c r="G1238" s="20" t="str">
        <f>IFERROR(__xludf.DUMMYFUNCTION("""COMPUTED_VALUE"""),"Uncle Sams Cider (04/04/2023)")</f>
        <v>Uncle Sams Cider (04/04/2023)</v>
      </c>
      <c r="H1238" s="19"/>
    </row>
    <row r="1239">
      <c r="A1239" s="9"/>
      <c r="B1239" s="15"/>
      <c r="C1239" s="9">
        <f>IFERROR(__xludf.DUMMYFUNCTION("""COMPUTED_VALUE"""),45131.6915155208)</f>
        <v>45131.69152</v>
      </c>
      <c r="D1239" s="15">
        <f>IFERROR(__xludf.DUMMYFUNCTION("""COMPUTED_VALUE"""),1.003)</f>
        <v>1.003</v>
      </c>
      <c r="E1239" s="16">
        <f>IFERROR(__xludf.DUMMYFUNCTION("""COMPUTED_VALUE"""),73.0)</f>
        <v>73</v>
      </c>
      <c r="F1239" s="19" t="str">
        <f>IFERROR(__xludf.DUMMYFUNCTION("""COMPUTED_VALUE"""),"BLACK")</f>
        <v>BLACK</v>
      </c>
      <c r="G1239" s="20" t="str">
        <f>IFERROR(__xludf.DUMMYFUNCTION("""COMPUTED_VALUE"""),"Uncle Sams Cider (04/04/2023)")</f>
        <v>Uncle Sams Cider (04/04/2023)</v>
      </c>
      <c r="H1239" s="19"/>
    </row>
    <row r="1240">
      <c r="A1240" s="9"/>
      <c r="B1240" s="15"/>
      <c r="C1240" s="9">
        <f>IFERROR(__xludf.DUMMYFUNCTION("""COMPUTED_VALUE"""),45131.6810827083)</f>
        <v>45131.68108</v>
      </c>
      <c r="D1240" s="15">
        <f>IFERROR(__xludf.DUMMYFUNCTION("""COMPUTED_VALUE"""),1.004)</f>
        <v>1.004</v>
      </c>
      <c r="E1240" s="16">
        <f>IFERROR(__xludf.DUMMYFUNCTION("""COMPUTED_VALUE"""),73.0)</f>
        <v>73</v>
      </c>
      <c r="F1240" s="19" t="str">
        <f>IFERROR(__xludf.DUMMYFUNCTION("""COMPUTED_VALUE"""),"BLACK")</f>
        <v>BLACK</v>
      </c>
      <c r="G1240" s="20" t="str">
        <f>IFERROR(__xludf.DUMMYFUNCTION("""COMPUTED_VALUE"""),"Uncle Sams Cider (04/04/2023)")</f>
        <v>Uncle Sams Cider (04/04/2023)</v>
      </c>
      <c r="H1240" s="19"/>
    </row>
    <row r="1241">
      <c r="A1241" s="9"/>
      <c r="B1241" s="15"/>
      <c r="C1241" s="9">
        <f>IFERROR(__xludf.DUMMYFUNCTION("""COMPUTED_VALUE"""),45131.6706389351)</f>
        <v>45131.67064</v>
      </c>
      <c r="D1241" s="15">
        <f>IFERROR(__xludf.DUMMYFUNCTION("""COMPUTED_VALUE"""),1.003)</f>
        <v>1.003</v>
      </c>
      <c r="E1241" s="16">
        <f>IFERROR(__xludf.DUMMYFUNCTION("""COMPUTED_VALUE"""),73.0)</f>
        <v>73</v>
      </c>
      <c r="F1241" s="19" t="str">
        <f>IFERROR(__xludf.DUMMYFUNCTION("""COMPUTED_VALUE"""),"BLACK")</f>
        <v>BLACK</v>
      </c>
      <c r="G1241" s="20" t="str">
        <f>IFERROR(__xludf.DUMMYFUNCTION("""COMPUTED_VALUE"""),"Uncle Sams Cider (04/04/2023)")</f>
        <v>Uncle Sams Cider (04/04/2023)</v>
      </c>
      <c r="H1241" s="19"/>
    </row>
    <row r="1242">
      <c r="A1242" s="9"/>
      <c r="B1242" s="15"/>
      <c r="C1242" s="9">
        <f>IFERROR(__xludf.DUMMYFUNCTION("""COMPUTED_VALUE"""),45131.6602162384)</f>
        <v>45131.66022</v>
      </c>
      <c r="D1242" s="15">
        <f>IFERROR(__xludf.DUMMYFUNCTION("""COMPUTED_VALUE"""),1.003)</f>
        <v>1.003</v>
      </c>
      <c r="E1242" s="16">
        <f>IFERROR(__xludf.DUMMYFUNCTION("""COMPUTED_VALUE"""),73.0)</f>
        <v>73</v>
      </c>
      <c r="F1242" s="19" t="str">
        <f>IFERROR(__xludf.DUMMYFUNCTION("""COMPUTED_VALUE"""),"BLACK")</f>
        <v>BLACK</v>
      </c>
      <c r="G1242" s="20" t="str">
        <f>IFERROR(__xludf.DUMMYFUNCTION("""COMPUTED_VALUE"""),"Uncle Sams Cider (04/04/2023)")</f>
        <v>Uncle Sams Cider (04/04/2023)</v>
      </c>
      <c r="H1242" s="19"/>
    </row>
    <row r="1243">
      <c r="A1243" s="9"/>
      <c r="B1243" s="15"/>
      <c r="C1243" s="9">
        <f>IFERROR(__xludf.DUMMYFUNCTION("""COMPUTED_VALUE"""),45131.6497939467)</f>
        <v>45131.64979</v>
      </c>
      <c r="D1243" s="15">
        <f>IFERROR(__xludf.DUMMYFUNCTION("""COMPUTED_VALUE"""),1.003)</f>
        <v>1.003</v>
      </c>
      <c r="E1243" s="16">
        <f>IFERROR(__xludf.DUMMYFUNCTION("""COMPUTED_VALUE"""),73.0)</f>
        <v>73</v>
      </c>
      <c r="F1243" s="19" t="str">
        <f>IFERROR(__xludf.DUMMYFUNCTION("""COMPUTED_VALUE"""),"BLACK")</f>
        <v>BLACK</v>
      </c>
      <c r="G1243" s="20" t="str">
        <f>IFERROR(__xludf.DUMMYFUNCTION("""COMPUTED_VALUE"""),"Uncle Sams Cider (04/04/2023)")</f>
        <v>Uncle Sams Cider (04/04/2023)</v>
      </c>
      <c r="H1243" s="19"/>
    </row>
    <row r="1244">
      <c r="A1244" s="9"/>
      <c r="B1244" s="15"/>
      <c r="C1244" s="9">
        <f>IFERROR(__xludf.DUMMYFUNCTION("""COMPUTED_VALUE"""),45131.6393738888)</f>
        <v>45131.63937</v>
      </c>
      <c r="D1244" s="15">
        <f>IFERROR(__xludf.DUMMYFUNCTION("""COMPUTED_VALUE"""),1.003)</f>
        <v>1.003</v>
      </c>
      <c r="E1244" s="16">
        <f>IFERROR(__xludf.DUMMYFUNCTION("""COMPUTED_VALUE"""),73.0)</f>
        <v>73</v>
      </c>
      <c r="F1244" s="19" t="str">
        <f>IFERROR(__xludf.DUMMYFUNCTION("""COMPUTED_VALUE"""),"BLACK")</f>
        <v>BLACK</v>
      </c>
      <c r="G1244" s="20" t="str">
        <f>IFERROR(__xludf.DUMMYFUNCTION("""COMPUTED_VALUE"""),"Uncle Sams Cider (04/04/2023)")</f>
        <v>Uncle Sams Cider (04/04/2023)</v>
      </c>
      <c r="H1244" s="19"/>
    </row>
    <row r="1245">
      <c r="A1245" s="9"/>
      <c r="B1245" s="15"/>
      <c r="C1245" s="9">
        <f>IFERROR(__xludf.DUMMYFUNCTION("""COMPUTED_VALUE"""),45131.6289536921)</f>
        <v>45131.62895</v>
      </c>
      <c r="D1245" s="15">
        <f>IFERROR(__xludf.DUMMYFUNCTION("""COMPUTED_VALUE"""),1.003)</f>
        <v>1.003</v>
      </c>
      <c r="E1245" s="16">
        <f>IFERROR(__xludf.DUMMYFUNCTION("""COMPUTED_VALUE"""),73.0)</f>
        <v>73</v>
      </c>
      <c r="F1245" s="19" t="str">
        <f>IFERROR(__xludf.DUMMYFUNCTION("""COMPUTED_VALUE"""),"BLACK")</f>
        <v>BLACK</v>
      </c>
      <c r="G1245" s="20" t="str">
        <f>IFERROR(__xludf.DUMMYFUNCTION("""COMPUTED_VALUE"""),"Uncle Sams Cider (04/04/2023)")</f>
        <v>Uncle Sams Cider (04/04/2023)</v>
      </c>
      <c r="H1245" s="19"/>
    </row>
    <row r="1246">
      <c r="A1246" s="9"/>
      <c r="B1246" s="15"/>
      <c r="C1246" s="9">
        <f>IFERROR(__xludf.DUMMYFUNCTION("""COMPUTED_VALUE"""),45131.6185312963)</f>
        <v>45131.61853</v>
      </c>
      <c r="D1246" s="15">
        <f>IFERROR(__xludf.DUMMYFUNCTION("""COMPUTED_VALUE"""),1.003)</f>
        <v>1.003</v>
      </c>
      <c r="E1246" s="16">
        <f>IFERROR(__xludf.DUMMYFUNCTION("""COMPUTED_VALUE"""),73.0)</f>
        <v>73</v>
      </c>
      <c r="F1246" s="19" t="str">
        <f>IFERROR(__xludf.DUMMYFUNCTION("""COMPUTED_VALUE"""),"BLACK")</f>
        <v>BLACK</v>
      </c>
      <c r="G1246" s="20" t="str">
        <f>IFERROR(__xludf.DUMMYFUNCTION("""COMPUTED_VALUE"""),"Uncle Sams Cider (04/04/2023)")</f>
        <v>Uncle Sams Cider (04/04/2023)</v>
      </c>
      <c r="H1246" s="19"/>
    </row>
    <row r="1247">
      <c r="A1247" s="9"/>
      <c r="B1247" s="15"/>
      <c r="C1247" s="9">
        <f>IFERROR(__xludf.DUMMYFUNCTION("""COMPUTED_VALUE"""),45131.6080977546)</f>
        <v>45131.6081</v>
      </c>
      <c r="D1247" s="15">
        <f>IFERROR(__xludf.DUMMYFUNCTION("""COMPUTED_VALUE"""),1.003)</f>
        <v>1.003</v>
      </c>
      <c r="E1247" s="16">
        <f>IFERROR(__xludf.DUMMYFUNCTION("""COMPUTED_VALUE"""),73.0)</f>
        <v>73</v>
      </c>
      <c r="F1247" s="19" t="str">
        <f>IFERROR(__xludf.DUMMYFUNCTION("""COMPUTED_VALUE"""),"BLACK")</f>
        <v>BLACK</v>
      </c>
      <c r="G1247" s="20" t="str">
        <f>IFERROR(__xludf.DUMMYFUNCTION("""COMPUTED_VALUE"""),"Uncle Sams Cider (04/04/2023)")</f>
        <v>Uncle Sams Cider (04/04/2023)</v>
      </c>
      <c r="H1247" s="19"/>
    </row>
    <row r="1248">
      <c r="A1248" s="9"/>
      <c r="B1248" s="15"/>
      <c r="C1248" s="9">
        <f>IFERROR(__xludf.DUMMYFUNCTION("""COMPUTED_VALUE"""),45131.597677037)</f>
        <v>45131.59768</v>
      </c>
      <c r="D1248" s="15">
        <f>IFERROR(__xludf.DUMMYFUNCTION("""COMPUTED_VALUE"""),1.003)</f>
        <v>1.003</v>
      </c>
      <c r="E1248" s="16">
        <f>IFERROR(__xludf.DUMMYFUNCTION("""COMPUTED_VALUE"""),73.0)</f>
        <v>73</v>
      </c>
      <c r="F1248" s="19" t="str">
        <f>IFERROR(__xludf.DUMMYFUNCTION("""COMPUTED_VALUE"""),"BLACK")</f>
        <v>BLACK</v>
      </c>
      <c r="G1248" s="20" t="str">
        <f>IFERROR(__xludf.DUMMYFUNCTION("""COMPUTED_VALUE"""),"Uncle Sams Cider (04/04/2023)")</f>
        <v>Uncle Sams Cider (04/04/2023)</v>
      </c>
      <c r="H1248" s="19"/>
    </row>
    <row r="1249">
      <c r="A1249" s="9"/>
      <c r="B1249" s="15"/>
      <c r="C1249" s="9">
        <f>IFERROR(__xludf.DUMMYFUNCTION("""COMPUTED_VALUE"""),45131.5872437268)</f>
        <v>45131.58724</v>
      </c>
      <c r="D1249" s="15">
        <f>IFERROR(__xludf.DUMMYFUNCTION("""COMPUTED_VALUE"""),1.003)</f>
        <v>1.003</v>
      </c>
      <c r="E1249" s="16">
        <f>IFERROR(__xludf.DUMMYFUNCTION("""COMPUTED_VALUE"""),73.0)</f>
        <v>73</v>
      </c>
      <c r="F1249" s="19" t="str">
        <f>IFERROR(__xludf.DUMMYFUNCTION("""COMPUTED_VALUE"""),"BLACK")</f>
        <v>BLACK</v>
      </c>
      <c r="G1249" s="20" t="str">
        <f>IFERROR(__xludf.DUMMYFUNCTION("""COMPUTED_VALUE"""),"Uncle Sams Cider (04/04/2023)")</f>
        <v>Uncle Sams Cider (04/04/2023)</v>
      </c>
      <c r="H1249" s="19"/>
    </row>
    <row r="1250">
      <c r="A1250" s="9"/>
      <c r="B1250" s="15"/>
      <c r="C1250" s="9">
        <f>IFERROR(__xludf.DUMMYFUNCTION("""COMPUTED_VALUE"""),45131.5768236458)</f>
        <v>45131.57682</v>
      </c>
      <c r="D1250" s="15">
        <f>IFERROR(__xludf.DUMMYFUNCTION("""COMPUTED_VALUE"""),1.003)</f>
        <v>1.003</v>
      </c>
      <c r="E1250" s="16">
        <f>IFERROR(__xludf.DUMMYFUNCTION("""COMPUTED_VALUE"""),73.0)</f>
        <v>73</v>
      </c>
      <c r="F1250" s="19" t="str">
        <f>IFERROR(__xludf.DUMMYFUNCTION("""COMPUTED_VALUE"""),"BLACK")</f>
        <v>BLACK</v>
      </c>
      <c r="G1250" s="20" t="str">
        <f>IFERROR(__xludf.DUMMYFUNCTION("""COMPUTED_VALUE"""),"Uncle Sams Cider (04/04/2023)")</f>
        <v>Uncle Sams Cider (04/04/2023)</v>
      </c>
      <c r="H1250" s="19"/>
    </row>
    <row r="1251">
      <c r="A1251" s="9"/>
      <c r="B1251" s="15"/>
      <c r="C1251" s="9">
        <f>IFERROR(__xludf.DUMMYFUNCTION("""COMPUTED_VALUE"""),45131.5664017824)</f>
        <v>45131.5664</v>
      </c>
      <c r="D1251" s="15">
        <f>IFERROR(__xludf.DUMMYFUNCTION("""COMPUTED_VALUE"""),1.003)</f>
        <v>1.003</v>
      </c>
      <c r="E1251" s="16">
        <f>IFERROR(__xludf.DUMMYFUNCTION("""COMPUTED_VALUE"""),73.0)</f>
        <v>73</v>
      </c>
      <c r="F1251" s="19" t="str">
        <f>IFERROR(__xludf.DUMMYFUNCTION("""COMPUTED_VALUE"""),"BLACK")</f>
        <v>BLACK</v>
      </c>
      <c r="G1251" s="20" t="str">
        <f>IFERROR(__xludf.DUMMYFUNCTION("""COMPUTED_VALUE"""),"Uncle Sams Cider (04/04/2023)")</f>
        <v>Uncle Sams Cider (04/04/2023)</v>
      </c>
      <c r="H1251" s="19"/>
    </row>
    <row r="1252">
      <c r="A1252" s="9"/>
      <c r="B1252" s="15"/>
      <c r="C1252" s="9">
        <f>IFERROR(__xludf.DUMMYFUNCTION("""COMPUTED_VALUE"""),45131.5559681481)</f>
        <v>45131.55597</v>
      </c>
      <c r="D1252" s="15">
        <f>IFERROR(__xludf.DUMMYFUNCTION("""COMPUTED_VALUE"""),1.003)</f>
        <v>1.003</v>
      </c>
      <c r="E1252" s="16">
        <f>IFERROR(__xludf.DUMMYFUNCTION("""COMPUTED_VALUE"""),73.0)</f>
        <v>73</v>
      </c>
      <c r="F1252" s="19" t="str">
        <f>IFERROR(__xludf.DUMMYFUNCTION("""COMPUTED_VALUE"""),"BLACK")</f>
        <v>BLACK</v>
      </c>
      <c r="G1252" s="20" t="str">
        <f>IFERROR(__xludf.DUMMYFUNCTION("""COMPUTED_VALUE"""),"Uncle Sams Cider (04/04/2023)")</f>
        <v>Uncle Sams Cider (04/04/2023)</v>
      </c>
      <c r="H1252" s="19"/>
    </row>
    <row r="1253">
      <c r="A1253" s="9"/>
      <c r="B1253" s="15"/>
      <c r="C1253" s="9">
        <f>IFERROR(__xludf.DUMMYFUNCTION("""COMPUTED_VALUE"""),45131.545547581)</f>
        <v>45131.54555</v>
      </c>
      <c r="D1253" s="15">
        <f>IFERROR(__xludf.DUMMYFUNCTION("""COMPUTED_VALUE"""),1.003)</f>
        <v>1.003</v>
      </c>
      <c r="E1253" s="16">
        <f>IFERROR(__xludf.DUMMYFUNCTION("""COMPUTED_VALUE"""),73.0)</f>
        <v>73</v>
      </c>
      <c r="F1253" s="19" t="str">
        <f>IFERROR(__xludf.DUMMYFUNCTION("""COMPUTED_VALUE"""),"BLACK")</f>
        <v>BLACK</v>
      </c>
      <c r="G1253" s="20" t="str">
        <f>IFERROR(__xludf.DUMMYFUNCTION("""COMPUTED_VALUE"""),"Uncle Sams Cider (04/04/2023)")</f>
        <v>Uncle Sams Cider (04/04/2023)</v>
      </c>
      <c r="H1253" s="19"/>
    </row>
    <row r="1254">
      <c r="A1254" s="9"/>
      <c r="B1254" s="15"/>
      <c r="C1254" s="9">
        <f>IFERROR(__xludf.DUMMYFUNCTION("""COMPUTED_VALUE"""),45131.5351159953)</f>
        <v>45131.53512</v>
      </c>
      <c r="D1254" s="15">
        <f>IFERROR(__xludf.DUMMYFUNCTION("""COMPUTED_VALUE"""),1.003)</f>
        <v>1.003</v>
      </c>
      <c r="E1254" s="16">
        <f>IFERROR(__xludf.DUMMYFUNCTION("""COMPUTED_VALUE"""),73.0)</f>
        <v>73</v>
      </c>
      <c r="F1254" s="19" t="str">
        <f>IFERROR(__xludf.DUMMYFUNCTION("""COMPUTED_VALUE"""),"BLACK")</f>
        <v>BLACK</v>
      </c>
      <c r="G1254" s="20" t="str">
        <f>IFERROR(__xludf.DUMMYFUNCTION("""COMPUTED_VALUE"""),"Uncle Sams Cider (04/04/2023)")</f>
        <v>Uncle Sams Cider (04/04/2023)</v>
      </c>
      <c r="H1254" s="19"/>
    </row>
    <row r="1255">
      <c r="A1255" s="9"/>
      <c r="B1255" s="15"/>
      <c r="C1255" s="9">
        <f>IFERROR(__xludf.DUMMYFUNCTION("""COMPUTED_VALUE"""),45131.5246966203)</f>
        <v>45131.5247</v>
      </c>
      <c r="D1255" s="15">
        <f>IFERROR(__xludf.DUMMYFUNCTION("""COMPUTED_VALUE"""),1.004)</f>
        <v>1.004</v>
      </c>
      <c r="E1255" s="16">
        <f>IFERROR(__xludf.DUMMYFUNCTION("""COMPUTED_VALUE"""),73.0)</f>
        <v>73</v>
      </c>
      <c r="F1255" s="19" t="str">
        <f>IFERROR(__xludf.DUMMYFUNCTION("""COMPUTED_VALUE"""),"BLACK")</f>
        <v>BLACK</v>
      </c>
      <c r="G1255" s="20" t="str">
        <f>IFERROR(__xludf.DUMMYFUNCTION("""COMPUTED_VALUE"""),"Uncle Sams Cider (04/04/2023)")</f>
        <v>Uncle Sams Cider (04/04/2023)</v>
      </c>
      <c r="H1255" s="19"/>
    </row>
    <row r="1256">
      <c r="A1256" s="9"/>
      <c r="B1256" s="15"/>
      <c r="C1256" s="9">
        <f>IFERROR(__xludf.DUMMYFUNCTION("""COMPUTED_VALUE"""),45131.5142748726)</f>
        <v>45131.51427</v>
      </c>
      <c r="D1256" s="15">
        <f>IFERROR(__xludf.DUMMYFUNCTION("""COMPUTED_VALUE"""),1.003)</f>
        <v>1.003</v>
      </c>
      <c r="E1256" s="16">
        <f>IFERROR(__xludf.DUMMYFUNCTION("""COMPUTED_VALUE"""),73.0)</f>
        <v>73</v>
      </c>
      <c r="F1256" s="19" t="str">
        <f>IFERROR(__xludf.DUMMYFUNCTION("""COMPUTED_VALUE"""),"BLACK")</f>
        <v>BLACK</v>
      </c>
      <c r="G1256" s="20" t="str">
        <f>IFERROR(__xludf.DUMMYFUNCTION("""COMPUTED_VALUE"""),"Uncle Sams Cider (04/04/2023)")</f>
        <v>Uncle Sams Cider (04/04/2023)</v>
      </c>
      <c r="H1256" s="19"/>
    </row>
    <row r="1257">
      <c r="A1257" s="9"/>
      <c r="B1257" s="15"/>
      <c r="C1257" s="9">
        <f>IFERROR(__xludf.DUMMYFUNCTION("""COMPUTED_VALUE"""),45131.503854074)</f>
        <v>45131.50385</v>
      </c>
      <c r="D1257" s="15">
        <f>IFERROR(__xludf.DUMMYFUNCTION("""COMPUTED_VALUE"""),1.003)</f>
        <v>1.003</v>
      </c>
      <c r="E1257" s="16">
        <f>IFERROR(__xludf.DUMMYFUNCTION("""COMPUTED_VALUE"""),73.0)</f>
        <v>73</v>
      </c>
      <c r="F1257" s="19" t="str">
        <f>IFERROR(__xludf.DUMMYFUNCTION("""COMPUTED_VALUE"""),"BLACK")</f>
        <v>BLACK</v>
      </c>
      <c r="G1257" s="20" t="str">
        <f>IFERROR(__xludf.DUMMYFUNCTION("""COMPUTED_VALUE"""),"Uncle Sams Cider (04/04/2023)")</f>
        <v>Uncle Sams Cider (04/04/2023)</v>
      </c>
      <c r="H1257" s="19"/>
    </row>
    <row r="1258">
      <c r="A1258" s="9"/>
      <c r="B1258" s="15"/>
      <c r="C1258" s="9">
        <f>IFERROR(__xludf.DUMMYFUNCTION("""COMPUTED_VALUE"""),45131.4934332986)</f>
        <v>45131.49343</v>
      </c>
      <c r="D1258" s="15">
        <f>IFERROR(__xludf.DUMMYFUNCTION("""COMPUTED_VALUE"""),1.003)</f>
        <v>1.003</v>
      </c>
      <c r="E1258" s="16">
        <f>IFERROR(__xludf.DUMMYFUNCTION("""COMPUTED_VALUE"""),73.0)</f>
        <v>73</v>
      </c>
      <c r="F1258" s="19" t="str">
        <f>IFERROR(__xludf.DUMMYFUNCTION("""COMPUTED_VALUE"""),"BLACK")</f>
        <v>BLACK</v>
      </c>
      <c r="G1258" s="20" t="str">
        <f>IFERROR(__xludf.DUMMYFUNCTION("""COMPUTED_VALUE"""),"Uncle Sams Cider (04/04/2023)")</f>
        <v>Uncle Sams Cider (04/04/2023)</v>
      </c>
      <c r="H1258" s="19"/>
    </row>
    <row r="1259">
      <c r="A1259" s="9"/>
      <c r="B1259" s="15"/>
      <c r="C1259" s="9">
        <f>IFERROR(__xludf.DUMMYFUNCTION("""COMPUTED_VALUE"""),45131.4830115162)</f>
        <v>45131.48301</v>
      </c>
      <c r="D1259" s="15">
        <f>IFERROR(__xludf.DUMMYFUNCTION("""COMPUTED_VALUE"""),1.003)</f>
        <v>1.003</v>
      </c>
      <c r="E1259" s="16">
        <f>IFERROR(__xludf.DUMMYFUNCTION("""COMPUTED_VALUE"""),73.0)</f>
        <v>73</v>
      </c>
      <c r="F1259" s="19" t="str">
        <f>IFERROR(__xludf.DUMMYFUNCTION("""COMPUTED_VALUE"""),"BLACK")</f>
        <v>BLACK</v>
      </c>
      <c r="G1259" s="20" t="str">
        <f>IFERROR(__xludf.DUMMYFUNCTION("""COMPUTED_VALUE"""),"Uncle Sams Cider (04/04/2023)")</f>
        <v>Uncle Sams Cider (04/04/2023)</v>
      </c>
      <c r="H1259" s="19"/>
    </row>
    <row r="1260">
      <c r="A1260" s="9"/>
      <c r="B1260" s="15"/>
      <c r="C1260" s="9">
        <f>IFERROR(__xludf.DUMMYFUNCTION("""COMPUTED_VALUE"""),45131.4725904976)</f>
        <v>45131.47259</v>
      </c>
      <c r="D1260" s="15">
        <f>IFERROR(__xludf.DUMMYFUNCTION("""COMPUTED_VALUE"""),1.003)</f>
        <v>1.003</v>
      </c>
      <c r="E1260" s="16">
        <f>IFERROR(__xludf.DUMMYFUNCTION("""COMPUTED_VALUE"""),73.0)</f>
        <v>73</v>
      </c>
      <c r="F1260" s="19" t="str">
        <f>IFERROR(__xludf.DUMMYFUNCTION("""COMPUTED_VALUE"""),"BLACK")</f>
        <v>BLACK</v>
      </c>
      <c r="G1260" s="20" t="str">
        <f>IFERROR(__xludf.DUMMYFUNCTION("""COMPUTED_VALUE"""),"Uncle Sams Cider (04/04/2023)")</f>
        <v>Uncle Sams Cider (04/04/2023)</v>
      </c>
      <c r="H1260" s="19"/>
    </row>
    <row r="1261">
      <c r="A1261" s="9"/>
      <c r="B1261" s="15"/>
      <c r="C1261" s="9">
        <f>IFERROR(__xludf.DUMMYFUNCTION("""COMPUTED_VALUE"""),45131.462169155)</f>
        <v>45131.46217</v>
      </c>
      <c r="D1261" s="15">
        <f>IFERROR(__xludf.DUMMYFUNCTION("""COMPUTED_VALUE"""),1.003)</f>
        <v>1.003</v>
      </c>
      <c r="E1261" s="16">
        <f>IFERROR(__xludf.DUMMYFUNCTION("""COMPUTED_VALUE"""),73.0)</f>
        <v>73</v>
      </c>
      <c r="F1261" s="19" t="str">
        <f>IFERROR(__xludf.DUMMYFUNCTION("""COMPUTED_VALUE"""),"BLACK")</f>
        <v>BLACK</v>
      </c>
      <c r="G1261" s="20" t="str">
        <f>IFERROR(__xludf.DUMMYFUNCTION("""COMPUTED_VALUE"""),"Uncle Sams Cider (04/04/2023)")</f>
        <v>Uncle Sams Cider (04/04/2023)</v>
      </c>
      <c r="H1261" s="19"/>
    </row>
    <row r="1262">
      <c r="A1262" s="9"/>
      <c r="B1262" s="15"/>
      <c r="C1262" s="9">
        <f>IFERROR(__xludf.DUMMYFUNCTION("""COMPUTED_VALUE"""),45131.4517463425)</f>
        <v>45131.45175</v>
      </c>
      <c r="D1262" s="15">
        <f>IFERROR(__xludf.DUMMYFUNCTION("""COMPUTED_VALUE"""),1.003)</f>
        <v>1.003</v>
      </c>
      <c r="E1262" s="16">
        <f>IFERROR(__xludf.DUMMYFUNCTION("""COMPUTED_VALUE"""),73.0)</f>
        <v>73</v>
      </c>
      <c r="F1262" s="19" t="str">
        <f>IFERROR(__xludf.DUMMYFUNCTION("""COMPUTED_VALUE"""),"BLACK")</f>
        <v>BLACK</v>
      </c>
      <c r="G1262" s="20" t="str">
        <f>IFERROR(__xludf.DUMMYFUNCTION("""COMPUTED_VALUE"""),"Uncle Sams Cider (04/04/2023)")</f>
        <v>Uncle Sams Cider (04/04/2023)</v>
      </c>
      <c r="H1262" s="19"/>
    </row>
    <row r="1263">
      <c r="A1263" s="9"/>
      <c r="B1263" s="15"/>
      <c r="C1263" s="9">
        <f>IFERROR(__xludf.DUMMYFUNCTION("""COMPUTED_VALUE"""),45131.4413128935)</f>
        <v>45131.44131</v>
      </c>
      <c r="D1263" s="15">
        <f>IFERROR(__xludf.DUMMYFUNCTION("""COMPUTED_VALUE"""),1.003)</f>
        <v>1.003</v>
      </c>
      <c r="E1263" s="16">
        <f>IFERROR(__xludf.DUMMYFUNCTION("""COMPUTED_VALUE"""),73.0)</f>
        <v>73</v>
      </c>
      <c r="F1263" s="19" t="str">
        <f>IFERROR(__xludf.DUMMYFUNCTION("""COMPUTED_VALUE"""),"BLACK")</f>
        <v>BLACK</v>
      </c>
      <c r="G1263" s="20" t="str">
        <f>IFERROR(__xludf.DUMMYFUNCTION("""COMPUTED_VALUE"""),"Uncle Sams Cider (04/04/2023)")</f>
        <v>Uncle Sams Cider (04/04/2023)</v>
      </c>
      <c r="H1263" s="19"/>
    </row>
    <row r="1264">
      <c r="A1264" s="9"/>
      <c r="B1264" s="15"/>
      <c r="C1264" s="9">
        <f>IFERROR(__xludf.DUMMYFUNCTION("""COMPUTED_VALUE"""),45131.4308933333)</f>
        <v>45131.43089</v>
      </c>
      <c r="D1264" s="15">
        <f>IFERROR(__xludf.DUMMYFUNCTION("""COMPUTED_VALUE"""),1.003)</f>
        <v>1.003</v>
      </c>
      <c r="E1264" s="16">
        <f>IFERROR(__xludf.DUMMYFUNCTION("""COMPUTED_VALUE"""),73.0)</f>
        <v>73</v>
      </c>
      <c r="F1264" s="19" t="str">
        <f>IFERROR(__xludf.DUMMYFUNCTION("""COMPUTED_VALUE"""),"BLACK")</f>
        <v>BLACK</v>
      </c>
      <c r="G1264" s="20" t="str">
        <f>IFERROR(__xludf.DUMMYFUNCTION("""COMPUTED_VALUE"""),"Uncle Sams Cider (04/04/2023)")</f>
        <v>Uncle Sams Cider (04/04/2023)</v>
      </c>
      <c r="H1264" s="19"/>
    </row>
    <row r="1265">
      <c r="A1265" s="9"/>
      <c r="B1265" s="15"/>
      <c r="C1265" s="9">
        <f>IFERROR(__xludf.DUMMYFUNCTION("""COMPUTED_VALUE"""),45131.4204718287)</f>
        <v>45131.42047</v>
      </c>
      <c r="D1265" s="15">
        <f>IFERROR(__xludf.DUMMYFUNCTION("""COMPUTED_VALUE"""),1.003)</f>
        <v>1.003</v>
      </c>
      <c r="E1265" s="16">
        <f>IFERROR(__xludf.DUMMYFUNCTION("""COMPUTED_VALUE"""),73.0)</f>
        <v>73</v>
      </c>
      <c r="F1265" s="19" t="str">
        <f>IFERROR(__xludf.DUMMYFUNCTION("""COMPUTED_VALUE"""),"BLACK")</f>
        <v>BLACK</v>
      </c>
      <c r="G1265" s="20" t="str">
        <f>IFERROR(__xludf.DUMMYFUNCTION("""COMPUTED_VALUE"""),"Uncle Sams Cider (04/04/2023)")</f>
        <v>Uncle Sams Cider (04/04/2023)</v>
      </c>
      <c r="H1265" s="19"/>
    </row>
    <row r="1266">
      <c r="A1266" s="9"/>
      <c r="B1266" s="15"/>
      <c r="C1266" s="9">
        <f>IFERROR(__xludf.DUMMYFUNCTION("""COMPUTED_VALUE"""),45131.4100474074)</f>
        <v>45131.41005</v>
      </c>
      <c r="D1266" s="15">
        <f>IFERROR(__xludf.DUMMYFUNCTION("""COMPUTED_VALUE"""),1.003)</f>
        <v>1.003</v>
      </c>
      <c r="E1266" s="16">
        <f>IFERROR(__xludf.DUMMYFUNCTION("""COMPUTED_VALUE"""),73.0)</f>
        <v>73</v>
      </c>
      <c r="F1266" s="19" t="str">
        <f>IFERROR(__xludf.DUMMYFUNCTION("""COMPUTED_VALUE"""),"BLACK")</f>
        <v>BLACK</v>
      </c>
      <c r="G1266" s="20" t="str">
        <f>IFERROR(__xludf.DUMMYFUNCTION("""COMPUTED_VALUE"""),"Uncle Sams Cider (04/04/2023)")</f>
        <v>Uncle Sams Cider (04/04/2023)</v>
      </c>
      <c r="H1266" s="19"/>
    </row>
    <row r="1267">
      <c r="A1267" s="9"/>
      <c r="B1267" s="15"/>
      <c r="C1267" s="9">
        <f>IFERROR(__xludf.DUMMYFUNCTION("""COMPUTED_VALUE"""),45131.3996252893)</f>
        <v>45131.39963</v>
      </c>
      <c r="D1267" s="15">
        <f>IFERROR(__xludf.DUMMYFUNCTION("""COMPUTED_VALUE"""),1.003)</f>
        <v>1.003</v>
      </c>
      <c r="E1267" s="16">
        <f>IFERROR(__xludf.DUMMYFUNCTION("""COMPUTED_VALUE"""),73.0)</f>
        <v>73</v>
      </c>
      <c r="F1267" s="19" t="str">
        <f>IFERROR(__xludf.DUMMYFUNCTION("""COMPUTED_VALUE"""),"BLACK")</f>
        <v>BLACK</v>
      </c>
      <c r="G1267" s="20" t="str">
        <f>IFERROR(__xludf.DUMMYFUNCTION("""COMPUTED_VALUE"""),"Uncle Sams Cider (04/04/2023)")</f>
        <v>Uncle Sams Cider (04/04/2023)</v>
      </c>
      <c r="H1267" s="19"/>
    </row>
    <row r="1268">
      <c r="A1268" s="9"/>
      <c r="B1268" s="15"/>
      <c r="C1268" s="9">
        <f>IFERROR(__xludf.DUMMYFUNCTION("""COMPUTED_VALUE"""),45131.3892037615)</f>
        <v>45131.3892</v>
      </c>
      <c r="D1268" s="15">
        <f>IFERROR(__xludf.DUMMYFUNCTION("""COMPUTED_VALUE"""),1.003)</f>
        <v>1.003</v>
      </c>
      <c r="E1268" s="16">
        <f>IFERROR(__xludf.DUMMYFUNCTION("""COMPUTED_VALUE"""),73.0)</f>
        <v>73</v>
      </c>
      <c r="F1268" s="19" t="str">
        <f>IFERROR(__xludf.DUMMYFUNCTION("""COMPUTED_VALUE"""),"BLACK")</f>
        <v>BLACK</v>
      </c>
      <c r="G1268" s="20" t="str">
        <f>IFERROR(__xludf.DUMMYFUNCTION("""COMPUTED_VALUE"""),"Uncle Sams Cider (04/04/2023)")</f>
        <v>Uncle Sams Cider (04/04/2023)</v>
      </c>
      <c r="H1268" s="19"/>
    </row>
    <row r="1269">
      <c r="A1269" s="9"/>
      <c r="B1269" s="15"/>
      <c r="C1269" s="9">
        <f>IFERROR(__xludf.DUMMYFUNCTION("""COMPUTED_VALUE"""),45131.378782662)</f>
        <v>45131.37878</v>
      </c>
      <c r="D1269" s="15">
        <f>IFERROR(__xludf.DUMMYFUNCTION("""COMPUTED_VALUE"""),1.003)</f>
        <v>1.003</v>
      </c>
      <c r="E1269" s="16">
        <f>IFERROR(__xludf.DUMMYFUNCTION("""COMPUTED_VALUE"""),73.0)</f>
        <v>73</v>
      </c>
      <c r="F1269" s="19" t="str">
        <f>IFERROR(__xludf.DUMMYFUNCTION("""COMPUTED_VALUE"""),"BLACK")</f>
        <v>BLACK</v>
      </c>
      <c r="G1269" s="20" t="str">
        <f>IFERROR(__xludf.DUMMYFUNCTION("""COMPUTED_VALUE"""),"Uncle Sams Cider (04/04/2023)")</f>
        <v>Uncle Sams Cider (04/04/2023)</v>
      </c>
      <c r="H1269" s="19"/>
    </row>
    <row r="1270">
      <c r="A1270" s="9"/>
      <c r="B1270" s="15"/>
      <c r="C1270" s="9">
        <f>IFERROR(__xludf.DUMMYFUNCTION("""COMPUTED_VALUE"""),45131.3683614583)</f>
        <v>45131.36836</v>
      </c>
      <c r="D1270" s="15">
        <f>IFERROR(__xludf.DUMMYFUNCTION("""COMPUTED_VALUE"""),1.003)</f>
        <v>1.003</v>
      </c>
      <c r="E1270" s="16">
        <f>IFERROR(__xludf.DUMMYFUNCTION("""COMPUTED_VALUE"""),73.0)</f>
        <v>73</v>
      </c>
      <c r="F1270" s="19" t="str">
        <f>IFERROR(__xludf.DUMMYFUNCTION("""COMPUTED_VALUE"""),"BLACK")</f>
        <v>BLACK</v>
      </c>
      <c r="G1270" s="20" t="str">
        <f>IFERROR(__xludf.DUMMYFUNCTION("""COMPUTED_VALUE"""),"Uncle Sams Cider (04/04/2023)")</f>
        <v>Uncle Sams Cider (04/04/2023)</v>
      </c>
      <c r="H1270" s="19"/>
    </row>
    <row r="1271">
      <c r="A1271" s="9"/>
      <c r="B1271" s="15"/>
      <c r="C1271" s="9">
        <f>IFERROR(__xludf.DUMMYFUNCTION("""COMPUTED_VALUE"""),45131.3579420833)</f>
        <v>45131.35794</v>
      </c>
      <c r="D1271" s="15">
        <f>IFERROR(__xludf.DUMMYFUNCTION("""COMPUTED_VALUE"""),1.003)</f>
        <v>1.003</v>
      </c>
      <c r="E1271" s="16">
        <f>IFERROR(__xludf.DUMMYFUNCTION("""COMPUTED_VALUE"""),73.0)</f>
        <v>73</v>
      </c>
      <c r="F1271" s="19" t="str">
        <f>IFERROR(__xludf.DUMMYFUNCTION("""COMPUTED_VALUE"""),"BLACK")</f>
        <v>BLACK</v>
      </c>
      <c r="G1271" s="20" t="str">
        <f>IFERROR(__xludf.DUMMYFUNCTION("""COMPUTED_VALUE"""),"Uncle Sams Cider (04/04/2023)")</f>
        <v>Uncle Sams Cider (04/04/2023)</v>
      </c>
      <c r="H1271" s="19"/>
    </row>
    <row r="1272">
      <c r="A1272" s="9"/>
      <c r="B1272" s="15"/>
      <c r="C1272" s="9">
        <f>IFERROR(__xludf.DUMMYFUNCTION("""COMPUTED_VALUE"""),45131.3475226157)</f>
        <v>45131.34752</v>
      </c>
      <c r="D1272" s="15">
        <f>IFERROR(__xludf.DUMMYFUNCTION("""COMPUTED_VALUE"""),1.003)</f>
        <v>1.003</v>
      </c>
      <c r="E1272" s="16">
        <f>IFERROR(__xludf.DUMMYFUNCTION("""COMPUTED_VALUE"""),73.0)</f>
        <v>73</v>
      </c>
      <c r="F1272" s="19" t="str">
        <f>IFERROR(__xludf.DUMMYFUNCTION("""COMPUTED_VALUE"""),"BLACK")</f>
        <v>BLACK</v>
      </c>
      <c r="G1272" s="20" t="str">
        <f>IFERROR(__xludf.DUMMYFUNCTION("""COMPUTED_VALUE"""),"Uncle Sams Cider (04/04/2023)")</f>
        <v>Uncle Sams Cider (04/04/2023)</v>
      </c>
      <c r="H1272" s="19"/>
    </row>
    <row r="1273">
      <c r="A1273" s="9"/>
      <c r="B1273" s="15"/>
      <c r="C1273" s="9">
        <f>IFERROR(__xludf.DUMMYFUNCTION("""COMPUTED_VALUE"""),45131.3370893287)</f>
        <v>45131.33709</v>
      </c>
      <c r="D1273" s="15">
        <f>IFERROR(__xludf.DUMMYFUNCTION("""COMPUTED_VALUE"""),1.003)</f>
        <v>1.003</v>
      </c>
      <c r="E1273" s="16">
        <f>IFERROR(__xludf.DUMMYFUNCTION("""COMPUTED_VALUE"""),73.0)</f>
        <v>73</v>
      </c>
      <c r="F1273" s="19" t="str">
        <f>IFERROR(__xludf.DUMMYFUNCTION("""COMPUTED_VALUE"""),"BLACK")</f>
        <v>BLACK</v>
      </c>
      <c r="G1273" s="20" t="str">
        <f>IFERROR(__xludf.DUMMYFUNCTION("""COMPUTED_VALUE"""),"Uncle Sams Cider (04/04/2023)")</f>
        <v>Uncle Sams Cider (04/04/2023)</v>
      </c>
      <c r="H1273" s="19"/>
    </row>
    <row r="1274">
      <c r="A1274" s="9"/>
      <c r="B1274" s="15"/>
      <c r="C1274" s="9">
        <f>IFERROR(__xludf.DUMMYFUNCTION("""COMPUTED_VALUE"""),45131.3266684027)</f>
        <v>45131.32667</v>
      </c>
      <c r="D1274" s="15">
        <f>IFERROR(__xludf.DUMMYFUNCTION("""COMPUTED_VALUE"""),1.003)</f>
        <v>1.003</v>
      </c>
      <c r="E1274" s="16">
        <f>IFERROR(__xludf.DUMMYFUNCTION("""COMPUTED_VALUE"""),73.0)</f>
        <v>73</v>
      </c>
      <c r="F1274" s="19" t="str">
        <f>IFERROR(__xludf.DUMMYFUNCTION("""COMPUTED_VALUE"""),"BLACK")</f>
        <v>BLACK</v>
      </c>
      <c r="G1274" s="20" t="str">
        <f>IFERROR(__xludf.DUMMYFUNCTION("""COMPUTED_VALUE"""),"Uncle Sams Cider (04/04/2023)")</f>
        <v>Uncle Sams Cider (04/04/2023)</v>
      </c>
      <c r="H1274" s="19"/>
    </row>
    <row r="1275">
      <c r="A1275" s="9"/>
      <c r="B1275" s="15"/>
      <c r="C1275" s="9">
        <f>IFERROR(__xludf.DUMMYFUNCTION("""COMPUTED_VALUE"""),45131.3162472569)</f>
        <v>45131.31625</v>
      </c>
      <c r="D1275" s="15">
        <f>IFERROR(__xludf.DUMMYFUNCTION("""COMPUTED_VALUE"""),1.003)</f>
        <v>1.003</v>
      </c>
      <c r="E1275" s="16">
        <f>IFERROR(__xludf.DUMMYFUNCTION("""COMPUTED_VALUE"""),73.0)</f>
        <v>73</v>
      </c>
      <c r="F1275" s="19" t="str">
        <f>IFERROR(__xludf.DUMMYFUNCTION("""COMPUTED_VALUE"""),"BLACK")</f>
        <v>BLACK</v>
      </c>
      <c r="G1275" s="20" t="str">
        <f>IFERROR(__xludf.DUMMYFUNCTION("""COMPUTED_VALUE"""),"Uncle Sams Cider (04/04/2023)")</f>
        <v>Uncle Sams Cider (04/04/2023)</v>
      </c>
      <c r="H1275" s="19"/>
    </row>
    <row r="1276">
      <c r="A1276" s="9"/>
      <c r="B1276" s="15"/>
      <c r="C1276" s="9">
        <f>IFERROR(__xludf.DUMMYFUNCTION("""COMPUTED_VALUE"""),45131.3058262847)</f>
        <v>45131.30583</v>
      </c>
      <c r="D1276" s="15">
        <f>IFERROR(__xludf.DUMMYFUNCTION("""COMPUTED_VALUE"""),1.003)</f>
        <v>1.003</v>
      </c>
      <c r="E1276" s="16">
        <f>IFERROR(__xludf.DUMMYFUNCTION("""COMPUTED_VALUE"""),73.0)</f>
        <v>73</v>
      </c>
      <c r="F1276" s="19" t="str">
        <f>IFERROR(__xludf.DUMMYFUNCTION("""COMPUTED_VALUE"""),"BLACK")</f>
        <v>BLACK</v>
      </c>
      <c r="G1276" s="20" t="str">
        <f>IFERROR(__xludf.DUMMYFUNCTION("""COMPUTED_VALUE"""),"Uncle Sams Cider (04/04/2023)")</f>
        <v>Uncle Sams Cider (04/04/2023)</v>
      </c>
      <c r="H1276" s="19"/>
    </row>
    <row r="1277">
      <c r="A1277" s="9"/>
      <c r="B1277" s="15"/>
      <c r="C1277" s="9">
        <f>IFERROR(__xludf.DUMMYFUNCTION("""COMPUTED_VALUE"""),45131.2954054166)</f>
        <v>45131.29541</v>
      </c>
      <c r="D1277" s="15">
        <f>IFERROR(__xludf.DUMMYFUNCTION("""COMPUTED_VALUE"""),1.003)</f>
        <v>1.003</v>
      </c>
      <c r="E1277" s="16">
        <f>IFERROR(__xludf.DUMMYFUNCTION("""COMPUTED_VALUE"""),73.0)</f>
        <v>73</v>
      </c>
      <c r="F1277" s="19" t="str">
        <f>IFERROR(__xludf.DUMMYFUNCTION("""COMPUTED_VALUE"""),"BLACK")</f>
        <v>BLACK</v>
      </c>
      <c r="G1277" s="20" t="str">
        <f>IFERROR(__xludf.DUMMYFUNCTION("""COMPUTED_VALUE"""),"Uncle Sams Cider (04/04/2023)")</f>
        <v>Uncle Sams Cider (04/04/2023)</v>
      </c>
      <c r="H1277" s="19"/>
    </row>
    <row r="1278">
      <c r="A1278" s="9"/>
      <c r="B1278" s="15"/>
      <c r="C1278" s="9">
        <f>IFERROR(__xludf.DUMMYFUNCTION("""COMPUTED_VALUE"""),45131.284984456)</f>
        <v>45131.28498</v>
      </c>
      <c r="D1278" s="15">
        <f>IFERROR(__xludf.DUMMYFUNCTION("""COMPUTED_VALUE"""),1.003)</f>
        <v>1.003</v>
      </c>
      <c r="E1278" s="16">
        <f>IFERROR(__xludf.DUMMYFUNCTION("""COMPUTED_VALUE"""),73.0)</f>
        <v>73</v>
      </c>
      <c r="F1278" s="19" t="str">
        <f>IFERROR(__xludf.DUMMYFUNCTION("""COMPUTED_VALUE"""),"BLACK")</f>
        <v>BLACK</v>
      </c>
      <c r="G1278" s="20" t="str">
        <f>IFERROR(__xludf.DUMMYFUNCTION("""COMPUTED_VALUE"""),"Uncle Sams Cider (04/04/2023)")</f>
        <v>Uncle Sams Cider (04/04/2023)</v>
      </c>
      <c r="H1278" s="19"/>
    </row>
    <row r="1279">
      <c r="A1279" s="9"/>
      <c r="B1279" s="15"/>
      <c r="C1279" s="9">
        <f>IFERROR(__xludf.DUMMYFUNCTION("""COMPUTED_VALUE"""),45131.2745632754)</f>
        <v>45131.27456</v>
      </c>
      <c r="D1279" s="15">
        <f>IFERROR(__xludf.DUMMYFUNCTION("""COMPUTED_VALUE"""),1.003)</f>
        <v>1.003</v>
      </c>
      <c r="E1279" s="16">
        <f>IFERROR(__xludf.DUMMYFUNCTION("""COMPUTED_VALUE"""),73.0)</f>
        <v>73</v>
      </c>
      <c r="F1279" s="19" t="str">
        <f>IFERROR(__xludf.DUMMYFUNCTION("""COMPUTED_VALUE"""),"BLACK")</f>
        <v>BLACK</v>
      </c>
      <c r="G1279" s="20" t="str">
        <f>IFERROR(__xludf.DUMMYFUNCTION("""COMPUTED_VALUE"""),"Uncle Sams Cider (04/04/2023)")</f>
        <v>Uncle Sams Cider (04/04/2023)</v>
      </c>
      <c r="H1279" s="19"/>
    </row>
    <row r="1280">
      <c r="A1280" s="9"/>
      <c r="B1280" s="15"/>
      <c r="C1280" s="9">
        <f>IFERROR(__xludf.DUMMYFUNCTION("""COMPUTED_VALUE"""),45131.2641423032)</f>
        <v>45131.26414</v>
      </c>
      <c r="D1280" s="15">
        <f>IFERROR(__xludf.DUMMYFUNCTION("""COMPUTED_VALUE"""),1.003)</f>
        <v>1.003</v>
      </c>
      <c r="E1280" s="16">
        <f>IFERROR(__xludf.DUMMYFUNCTION("""COMPUTED_VALUE"""),73.0)</f>
        <v>73</v>
      </c>
      <c r="F1280" s="19" t="str">
        <f>IFERROR(__xludf.DUMMYFUNCTION("""COMPUTED_VALUE"""),"BLACK")</f>
        <v>BLACK</v>
      </c>
      <c r="G1280" s="20" t="str">
        <f>IFERROR(__xludf.DUMMYFUNCTION("""COMPUTED_VALUE"""),"Uncle Sams Cider (04/04/2023)")</f>
        <v>Uncle Sams Cider (04/04/2023)</v>
      </c>
      <c r="H1280" s="19"/>
    </row>
    <row r="1281">
      <c r="A1281" s="9"/>
      <c r="B1281" s="15"/>
      <c r="C1281" s="9">
        <f>IFERROR(__xludf.DUMMYFUNCTION("""COMPUTED_VALUE"""),45131.2537214814)</f>
        <v>45131.25372</v>
      </c>
      <c r="D1281" s="15">
        <f>IFERROR(__xludf.DUMMYFUNCTION("""COMPUTED_VALUE"""),1.003)</f>
        <v>1.003</v>
      </c>
      <c r="E1281" s="16">
        <f>IFERROR(__xludf.DUMMYFUNCTION("""COMPUTED_VALUE"""),73.0)</f>
        <v>73</v>
      </c>
      <c r="F1281" s="19" t="str">
        <f>IFERROR(__xludf.DUMMYFUNCTION("""COMPUTED_VALUE"""),"BLACK")</f>
        <v>BLACK</v>
      </c>
      <c r="G1281" s="20" t="str">
        <f>IFERROR(__xludf.DUMMYFUNCTION("""COMPUTED_VALUE"""),"Uncle Sams Cider (04/04/2023)")</f>
        <v>Uncle Sams Cider (04/04/2023)</v>
      </c>
      <c r="H1281" s="19"/>
    </row>
    <row r="1282">
      <c r="A1282" s="9"/>
      <c r="B1282" s="15"/>
      <c r="C1282" s="9">
        <f>IFERROR(__xludf.DUMMYFUNCTION("""COMPUTED_VALUE"""),45131.2433011226)</f>
        <v>45131.2433</v>
      </c>
      <c r="D1282" s="15">
        <f>IFERROR(__xludf.DUMMYFUNCTION("""COMPUTED_VALUE"""),1.003)</f>
        <v>1.003</v>
      </c>
      <c r="E1282" s="16">
        <f>IFERROR(__xludf.DUMMYFUNCTION("""COMPUTED_VALUE"""),73.0)</f>
        <v>73</v>
      </c>
      <c r="F1282" s="19" t="str">
        <f>IFERROR(__xludf.DUMMYFUNCTION("""COMPUTED_VALUE"""),"BLACK")</f>
        <v>BLACK</v>
      </c>
      <c r="G1282" s="20" t="str">
        <f>IFERROR(__xludf.DUMMYFUNCTION("""COMPUTED_VALUE"""),"Uncle Sams Cider (04/04/2023)")</f>
        <v>Uncle Sams Cider (04/04/2023)</v>
      </c>
      <c r="H1282" s="19"/>
    </row>
    <row r="1283">
      <c r="A1283" s="9"/>
      <c r="B1283" s="15"/>
      <c r="C1283" s="9">
        <f>IFERROR(__xludf.DUMMYFUNCTION("""COMPUTED_VALUE"""),45131.2328798379)</f>
        <v>45131.23288</v>
      </c>
      <c r="D1283" s="15">
        <f>IFERROR(__xludf.DUMMYFUNCTION("""COMPUTED_VALUE"""),1.003)</f>
        <v>1.003</v>
      </c>
      <c r="E1283" s="16">
        <f>IFERROR(__xludf.DUMMYFUNCTION("""COMPUTED_VALUE"""),73.0)</f>
        <v>73</v>
      </c>
      <c r="F1283" s="19" t="str">
        <f>IFERROR(__xludf.DUMMYFUNCTION("""COMPUTED_VALUE"""),"BLACK")</f>
        <v>BLACK</v>
      </c>
      <c r="G1283" s="20" t="str">
        <f>IFERROR(__xludf.DUMMYFUNCTION("""COMPUTED_VALUE"""),"Uncle Sams Cider (04/04/2023)")</f>
        <v>Uncle Sams Cider (04/04/2023)</v>
      </c>
      <c r="H1283" s="19"/>
    </row>
    <row r="1284">
      <c r="A1284" s="9"/>
      <c r="B1284" s="15"/>
      <c r="C1284" s="9">
        <f>IFERROR(__xludf.DUMMYFUNCTION("""COMPUTED_VALUE"""),45131.2224579398)</f>
        <v>45131.22246</v>
      </c>
      <c r="D1284" s="15">
        <f>IFERROR(__xludf.DUMMYFUNCTION("""COMPUTED_VALUE"""),1.003)</f>
        <v>1.003</v>
      </c>
      <c r="E1284" s="16">
        <f>IFERROR(__xludf.DUMMYFUNCTION("""COMPUTED_VALUE"""),73.0)</f>
        <v>73</v>
      </c>
      <c r="F1284" s="19" t="str">
        <f>IFERROR(__xludf.DUMMYFUNCTION("""COMPUTED_VALUE"""),"BLACK")</f>
        <v>BLACK</v>
      </c>
      <c r="G1284" s="20" t="str">
        <f>IFERROR(__xludf.DUMMYFUNCTION("""COMPUTED_VALUE"""),"Uncle Sams Cider (04/04/2023)")</f>
        <v>Uncle Sams Cider (04/04/2023)</v>
      </c>
      <c r="H1284" s="19"/>
    </row>
    <row r="1285">
      <c r="A1285" s="9"/>
      <c r="B1285" s="15"/>
      <c r="C1285" s="9">
        <f>IFERROR(__xludf.DUMMYFUNCTION("""COMPUTED_VALUE"""),45131.2120362037)</f>
        <v>45131.21204</v>
      </c>
      <c r="D1285" s="15">
        <f>IFERROR(__xludf.DUMMYFUNCTION("""COMPUTED_VALUE"""),1.003)</f>
        <v>1.003</v>
      </c>
      <c r="E1285" s="16">
        <f>IFERROR(__xludf.DUMMYFUNCTION("""COMPUTED_VALUE"""),73.0)</f>
        <v>73</v>
      </c>
      <c r="F1285" s="19" t="str">
        <f>IFERROR(__xludf.DUMMYFUNCTION("""COMPUTED_VALUE"""),"BLACK")</f>
        <v>BLACK</v>
      </c>
      <c r="G1285" s="20" t="str">
        <f>IFERROR(__xludf.DUMMYFUNCTION("""COMPUTED_VALUE"""),"Uncle Sams Cider (04/04/2023)")</f>
        <v>Uncle Sams Cider (04/04/2023)</v>
      </c>
      <c r="H1285" s="19"/>
    </row>
    <row r="1286">
      <c r="A1286" s="9"/>
      <c r="B1286" s="15"/>
      <c r="C1286" s="9">
        <f>IFERROR(__xludf.DUMMYFUNCTION("""COMPUTED_VALUE"""),45131.2016040972)</f>
        <v>45131.2016</v>
      </c>
      <c r="D1286" s="15">
        <f>IFERROR(__xludf.DUMMYFUNCTION("""COMPUTED_VALUE"""),1.003)</f>
        <v>1.003</v>
      </c>
      <c r="E1286" s="16">
        <f>IFERROR(__xludf.DUMMYFUNCTION("""COMPUTED_VALUE"""),73.0)</f>
        <v>73</v>
      </c>
      <c r="F1286" s="19" t="str">
        <f>IFERROR(__xludf.DUMMYFUNCTION("""COMPUTED_VALUE"""),"BLACK")</f>
        <v>BLACK</v>
      </c>
      <c r="G1286" s="20" t="str">
        <f>IFERROR(__xludf.DUMMYFUNCTION("""COMPUTED_VALUE"""),"Uncle Sams Cider (04/04/2023)")</f>
        <v>Uncle Sams Cider (04/04/2023)</v>
      </c>
      <c r="H1286" s="19"/>
    </row>
    <row r="1287">
      <c r="A1287" s="9"/>
      <c r="B1287" s="15"/>
      <c r="C1287" s="9">
        <f>IFERROR(__xludf.DUMMYFUNCTION("""COMPUTED_VALUE"""),45131.1911707754)</f>
        <v>45131.19117</v>
      </c>
      <c r="D1287" s="15">
        <f>IFERROR(__xludf.DUMMYFUNCTION("""COMPUTED_VALUE"""),1.003)</f>
        <v>1.003</v>
      </c>
      <c r="E1287" s="16">
        <f>IFERROR(__xludf.DUMMYFUNCTION("""COMPUTED_VALUE"""),73.0)</f>
        <v>73</v>
      </c>
      <c r="F1287" s="19" t="str">
        <f>IFERROR(__xludf.DUMMYFUNCTION("""COMPUTED_VALUE"""),"BLACK")</f>
        <v>BLACK</v>
      </c>
      <c r="G1287" s="20" t="str">
        <f>IFERROR(__xludf.DUMMYFUNCTION("""COMPUTED_VALUE"""),"Uncle Sams Cider (04/04/2023)")</f>
        <v>Uncle Sams Cider (04/04/2023)</v>
      </c>
      <c r="H1287" s="19"/>
    </row>
    <row r="1288">
      <c r="A1288" s="9"/>
      <c r="B1288" s="15"/>
      <c r="C1288" s="9">
        <f>IFERROR(__xludf.DUMMYFUNCTION("""COMPUTED_VALUE"""),45131.1807497801)</f>
        <v>45131.18075</v>
      </c>
      <c r="D1288" s="15">
        <f>IFERROR(__xludf.DUMMYFUNCTION("""COMPUTED_VALUE"""),1.003)</f>
        <v>1.003</v>
      </c>
      <c r="E1288" s="16">
        <f>IFERROR(__xludf.DUMMYFUNCTION("""COMPUTED_VALUE"""),73.0)</f>
        <v>73</v>
      </c>
      <c r="F1288" s="19" t="str">
        <f>IFERROR(__xludf.DUMMYFUNCTION("""COMPUTED_VALUE"""),"BLACK")</f>
        <v>BLACK</v>
      </c>
      <c r="G1288" s="20" t="str">
        <f>IFERROR(__xludf.DUMMYFUNCTION("""COMPUTED_VALUE"""),"Uncle Sams Cider (04/04/2023)")</f>
        <v>Uncle Sams Cider (04/04/2023)</v>
      </c>
      <c r="H1288" s="19"/>
    </row>
    <row r="1289">
      <c r="A1289" s="9"/>
      <c r="B1289" s="15"/>
      <c r="C1289" s="9">
        <f>IFERROR(__xludf.DUMMYFUNCTION("""COMPUTED_VALUE"""),45131.1703305208)</f>
        <v>45131.17033</v>
      </c>
      <c r="D1289" s="15">
        <f>IFERROR(__xludf.DUMMYFUNCTION("""COMPUTED_VALUE"""),1.003)</f>
        <v>1.003</v>
      </c>
      <c r="E1289" s="16">
        <f>IFERROR(__xludf.DUMMYFUNCTION("""COMPUTED_VALUE"""),73.0)</f>
        <v>73</v>
      </c>
      <c r="F1289" s="19" t="str">
        <f>IFERROR(__xludf.DUMMYFUNCTION("""COMPUTED_VALUE"""),"BLACK")</f>
        <v>BLACK</v>
      </c>
      <c r="G1289" s="20" t="str">
        <f>IFERROR(__xludf.DUMMYFUNCTION("""COMPUTED_VALUE"""),"Uncle Sams Cider (04/04/2023)")</f>
        <v>Uncle Sams Cider (04/04/2023)</v>
      </c>
      <c r="H1289" s="19"/>
    </row>
    <row r="1290">
      <c r="A1290" s="9"/>
      <c r="B1290" s="15"/>
      <c r="C1290" s="9">
        <f>IFERROR(__xludf.DUMMYFUNCTION("""COMPUTED_VALUE"""),45131.1598966435)</f>
        <v>45131.1599</v>
      </c>
      <c r="D1290" s="15">
        <f>IFERROR(__xludf.DUMMYFUNCTION("""COMPUTED_VALUE"""),1.004)</f>
        <v>1.004</v>
      </c>
      <c r="E1290" s="16">
        <f>IFERROR(__xludf.DUMMYFUNCTION("""COMPUTED_VALUE"""),73.0)</f>
        <v>73</v>
      </c>
      <c r="F1290" s="19" t="str">
        <f>IFERROR(__xludf.DUMMYFUNCTION("""COMPUTED_VALUE"""),"BLACK")</f>
        <v>BLACK</v>
      </c>
      <c r="G1290" s="20" t="str">
        <f>IFERROR(__xludf.DUMMYFUNCTION("""COMPUTED_VALUE"""),"Uncle Sams Cider (04/04/2023)")</f>
        <v>Uncle Sams Cider (04/04/2023)</v>
      </c>
      <c r="H1290" s="19"/>
    </row>
    <row r="1291">
      <c r="A1291" s="9"/>
      <c r="B1291" s="15"/>
      <c r="C1291" s="9">
        <f>IFERROR(__xludf.DUMMYFUNCTION("""COMPUTED_VALUE"""),45131.1494627777)</f>
        <v>45131.14946</v>
      </c>
      <c r="D1291" s="15">
        <f>IFERROR(__xludf.DUMMYFUNCTION("""COMPUTED_VALUE"""),1.003)</f>
        <v>1.003</v>
      </c>
      <c r="E1291" s="16">
        <f>IFERROR(__xludf.DUMMYFUNCTION("""COMPUTED_VALUE"""),73.0)</f>
        <v>73</v>
      </c>
      <c r="F1291" s="19" t="str">
        <f>IFERROR(__xludf.DUMMYFUNCTION("""COMPUTED_VALUE"""),"BLACK")</f>
        <v>BLACK</v>
      </c>
      <c r="G1291" s="20" t="str">
        <f>IFERROR(__xludf.DUMMYFUNCTION("""COMPUTED_VALUE"""),"Uncle Sams Cider (04/04/2023)")</f>
        <v>Uncle Sams Cider (04/04/2023)</v>
      </c>
      <c r="H1291" s="19"/>
    </row>
    <row r="1292">
      <c r="A1292" s="9"/>
      <c r="B1292" s="15"/>
      <c r="C1292" s="9">
        <f>IFERROR(__xludf.DUMMYFUNCTION("""COMPUTED_VALUE"""),45131.1390423842)</f>
        <v>45131.13904</v>
      </c>
      <c r="D1292" s="15">
        <f>IFERROR(__xludf.DUMMYFUNCTION("""COMPUTED_VALUE"""),1.003)</f>
        <v>1.003</v>
      </c>
      <c r="E1292" s="16">
        <f>IFERROR(__xludf.DUMMYFUNCTION("""COMPUTED_VALUE"""),73.0)</f>
        <v>73</v>
      </c>
      <c r="F1292" s="19" t="str">
        <f>IFERROR(__xludf.DUMMYFUNCTION("""COMPUTED_VALUE"""),"BLACK")</f>
        <v>BLACK</v>
      </c>
      <c r="G1292" s="20" t="str">
        <f>IFERROR(__xludf.DUMMYFUNCTION("""COMPUTED_VALUE"""),"Uncle Sams Cider (04/04/2023)")</f>
        <v>Uncle Sams Cider (04/04/2023)</v>
      </c>
      <c r="H1292" s="19"/>
    </row>
    <row r="1293">
      <c r="A1293" s="9"/>
      <c r="B1293" s="15"/>
      <c r="C1293" s="9">
        <f>IFERROR(__xludf.DUMMYFUNCTION("""COMPUTED_VALUE"""),45131.1286210185)</f>
        <v>45131.12862</v>
      </c>
      <c r="D1293" s="15">
        <f>IFERROR(__xludf.DUMMYFUNCTION("""COMPUTED_VALUE"""),1.003)</f>
        <v>1.003</v>
      </c>
      <c r="E1293" s="16">
        <f>IFERROR(__xludf.DUMMYFUNCTION("""COMPUTED_VALUE"""),73.0)</f>
        <v>73</v>
      </c>
      <c r="F1293" s="19" t="str">
        <f>IFERROR(__xludf.DUMMYFUNCTION("""COMPUTED_VALUE"""),"BLACK")</f>
        <v>BLACK</v>
      </c>
      <c r="G1293" s="20" t="str">
        <f>IFERROR(__xludf.DUMMYFUNCTION("""COMPUTED_VALUE"""),"Uncle Sams Cider (04/04/2023)")</f>
        <v>Uncle Sams Cider (04/04/2023)</v>
      </c>
      <c r="H1293" s="19"/>
    </row>
    <row r="1294">
      <c r="A1294" s="9"/>
      <c r="B1294" s="15"/>
      <c r="C1294" s="9">
        <f>IFERROR(__xludf.DUMMYFUNCTION("""COMPUTED_VALUE"""),45131.1181997222)</f>
        <v>45131.1182</v>
      </c>
      <c r="D1294" s="15">
        <f>IFERROR(__xludf.DUMMYFUNCTION("""COMPUTED_VALUE"""),1.003)</f>
        <v>1.003</v>
      </c>
      <c r="E1294" s="16">
        <f>IFERROR(__xludf.DUMMYFUNCTION("""COMPUTED_VALUE"""),73.0)</f>
        <v>73</v>
      </c>
      <c r="F1294" s="19" t="str">
        <f>IFERROR(__xludf.DUMMYFUNCTION("""COMPUTED_VALUE"""),"BLACK")</f>
        <v>BLACK</v>
      </c>
      <c r="G1294" s="20" t="str">
        <f>IFERROR(__xludf.DUMMYFUNCTION("""COMPUTED_VALUE"""),"Uncle Sams Cider (04/04/2023)")</f>
        <v>Uncle Sams Cider (04/04/2023)</v>
      </c>
      <c r="H1294" s="19"/>
    </row>
    <row r="1295">
      <c r="A1295" s="9"/>
      <c r="B1295" s="15"/>
      <c r="C1295" s="9">
        <f>IFERROR(__xludf.DUMMYFUNCTION("""COMPUTED_VALUE"""),45131.107780081)</f>
        <v>45131.10778</v>
      </c>
      <c r="D1295" s="15">
        <f>IFERROR(__xludf.DUMMYFUNCTION("""COMPUTED_VALUE"""),1.003)</f>
        <v>1.003</v>
      </c>
      <c r="E1295" s="16">
        <f>IFERROR(__xludf.DUMMYFUNCTION("""COMPUTED_VALUE"""),73.0)</f>
        <v>73</v>
      </c>
      <c r="F1295" s="19" t="str">
        <f>IFERROR(__xludf.DUMMYFUNCTION("""COMPUTED_VALUE"""),"BLACK")</f>
        <v>BLACK</v>
      </c>
      <c r="G1295" s="20" t="str">
        <f>IFERROR(__xludf.DUMMYFUNCTION("""COMPUTED_VALUE"""),"Uncle Sams Cider (04/04/2023)")</f>
        <v>Uncle Sams Cider (04/04/2023)</v>
      </c>
      <c r="H1295" s="19"/>
    </row>
    <row r="1296">
      <c r="A1296" s="9"/>
      <c r="B1296" s="15"/>
      <c r="C1296" s="9">
        <f>IFERROR(__xludf.DUMMYFUNCTION("""COMPUTED_VALUE"""),45131.0973586805)</f>
        <v>45131.09736</v>
      </c>
      <c r="D1296" s="15">
        <f>IFERROR(__xludf.DUMMYFUNCTION("""COMPUTED_VALUE"""),1.003)</f>
        <v>1.003</v>
      </c>
      <c r="E1296" s="16">
        <f>IFERROR(__xludf.DUMMYFUNCTION("""COMPUTED_VALUE"""),73.0)</f>
        <v>73</v>
      </c>
      <c r="F1296" s="19" t="str">
        <f>IFERROR(__xludf.DUMMYFUNCTION("""COMPUTED_VALUE"""),"BLACK")</f>
        <v>BLACK</v>
      </c>
      <c r="G1296" s="20" t="str">
        <f>IFERROR(__xludf.DUMMYFUNCTION("""COMPUTED_VALUE"""),"Uncle Sams Cider (04/04/2023)")</f>
        <v>Uncle Sams Cider (04/04/2023)</v>
      </c>
      <c r="H1296" s="19"/>
    </row>
    <row r="1297">
      <c r="A1297" s="9"/>
      <c r="B1297" s="15"/>
      <c r="C1297" s="9">
        <f>IFERROR(__xludf.DUMMYFUNCTION("""COMPUTED_VALUE"""),45131.0869279629)</f>
        <v>45131.08693</v>
      </c>
      <c r="D1297" s="15">
        <f>IFERROR(__xludf.DUMMYFUNCTION("""COMPUTED_VALUE"""),1.003)</f>
        <v>1.003</v>
      </c>
      <c r="E1297" s="16">
        <f>IFERROR(__xludf.DUMMYFUNCTION("""COMPUTED_VALUE"""),73.0)</f>
        <v>73</v>
      </c>
      <c r="F1297" s="19" t="str">
        <f>IFERROR(__xludf.DUMMYFUNCTION("""COMPUTED_VALUE"""),"BLACK")</f>
        <v>BLACK</v>
      </c>
      <c r="G1297" s="20" t="str">
        <f>IFERROR(__xludf.DUMMYFUNCTION("""COMPUTED_VALUE"""),"Uncle Sams Cider (04/04/2023)")</f>
        <v>Uncle Sams Cider (04/04/2023)</v>
      </c>
      <c r="H1297" s="19"/>
    </row>
    <row r="1298">
      <c r="A1298" s="9"/>
      <c r="B1298" s="15"/>
      <c r="C1298" s="9">
        <f>IFERROR(__xludf.DUMMYFUNCTION("""COMPUTED_VALUE"""),45131.0765065046)</f>
        <v>45131.07651</v>
      </c>
      <c r="D1298" s="15">
        <f>IFERROR(__xludf.DUMMYFUNCTION("""COMPUTED_VALUE"""),1.003)</f>
        <v>1.003</v>
      </c>
      <c r="E1298" s="16">
        <f>IFERROR(__xludf.DUMMYFUNCTION("""COMPUTED_VALUE"""),73.0)</f>
        <v>73</v>
      </c>
      <c r="F1298" s="19" t="str">
        <f>IFERROR(__xludf.DUMMYFUNCTION("""COMPUTED_VALUE"""),"BLACK")</f>
        <v>BLACK</v>
      </c>
      <c r="G1298" s="20" t="str">
        <f>IFERROR(__xludf.DUMMYFUNCTION("""COMPUTED_VALUE"""),"Uncle Sams Cider (04/04/2023)")</f>
        <v>Uncle Sams Cider (04/04/2023)</v>
      </c>
      <c r="H1298" s="19"/>
    </row>
    <row r="1299">
      <c r="A1299" s="9"/>
      <c r="B1299" s="15"/>
      <c r="C1299" s="9">
        <f>IFERROR(__xludf.DUMMYFUNCTION("""COMPUTED_VALUE"""),45131.0660872453)</f>
        <v>45131.06609</v>
      </c>
      <c r="D1299" s="15">
        <f>IFERROR(__xludf.DUMMYFUNCTION("""COMPUTED_VALUE"""),1.003)</f>
        <v>1.003</v>
      </c>
      <c r="E1299" s="16">
        <f>IFERROR(__xludf.DUMMYFUNCTION("""COMPUTED_VALUE"""),73.0)</f>
        <v>73</v>
      </c>
      <c r="F1299" s="19" t="str">
        <f>IFERROR(__xludf.DUMMYFUNCTION("""COMPUTED_VALUE"""),"BLACK")</f>
        <v>BLACK</v>
      </c>
      <c r="G1299" s="20" t="str">
        <f>IFERROR(__xludf.DUMMYFUNCTION("""COMPUTED_VALUE"""),"Uncle Sams Cider (04/04/2023)")</f>
        <v>Uncle Sams Cider (04/04/2023)</v>
      </c>
      <c r="H1299" s="19"/>
    </row>
    <row r="1300">
      <c r="A1300" s="9"/>
      <c r="B1300" s="15"/>
      <c r="C1300" s="9">
        <f>IFERROR(__xludf.DUMMYFUNCTION("""COMPUTED_VALUE"""),45131.0556678935)</f>
        <v>45131.05567</v>
      </c>
      <c r="D1300" s="15">
        <f>IFERROR(__xludf.DUMMYFUNCTION("""COMPUTED_VALUE"""),1.003)</f>
        <v>1.003</v>
      </c>
      <c r="E1300" s="16">
        <f>IFERROR(__xludf.DUMMYFUNCTION("""COMPUTED_VALUE"""),73.0)</f>
        <v>73</v>
      </c>
      <c r="F1300" s="19" t="str">
        <f>IFERROR(__xludf.DUMMYFUNCTION("""COMPUTED_VALUE"""),"BLACK")</f>
        <v>BLACK</v>
      </c>
      <c r="G1300" s="20" t="str">
        <f>IFERROR(__xludf.DUMMYFUNCTION("""COMPUTED_VALUE"""),"Uncle Sams Cider (04/04/2023)")</f>
        <v>Uncle Sams Cider (04/04/2023)</v>
      </c>
      <c r="H1300" s="19"/>
    </row>
    <row r="1301">
      <c r="A1301" s="9"/>
      <c r="B1301" s="15"/>
      <c r="C1301" s="9">
        <f>IFERROR(__xludf.DUMMYFUNCTION("""COMPUTED_VALUE"""),45131.045248206)</f>
        <v>45131.04525</v>
      </c>
      <c r="D1301" s="15">
        <f>IFERROR(__xludf.DUMMYFUNCTION("""COMPUTED_VALUE"""),1.003)</f>
        <v>1.003</v>
      </c>
      <c r="E1301" s="16">
        <f>IFERROR(__xludf.DUMMYFUNCTION("""COMPUTED_VALUE"""),73.0)</f>
        <v>73</v>
      </c>
      <c r="F1301" s="19" t="str">
        <f>IFERROR(__xludf.DUMMYFUNCTION("""COMPUTED_VALUE"""),"BLACK")</f>
        <v>BLACK</v>
      </c>
      <c r="G1301" s="20" t="str">
        <f>IFERROR(__xludf.DUMMYFUNCTION("""COMPUTED_VALUE"""),"Uncle Sams Cider (04/04/2023)")</f>
        <v>Uncle Sams Cider (04/04/2023)</v>
      </c>
      <c r="H1301" s="19"/>
    </row>
    <row r="1302">
      <c r="A1302" s="9"/>
      <c r="B1302" s="15"/>
      <c r="C1302" s="9">
        <f>IFERROR(__xludf.DUMMYFUNCTION("""COMPUTED_VALUE"""),45131.0348278703)</f>
        <v>45131.03483</v>
      </c>
      <c r="D1302" s="15">
        <f>IFERROR(__xludf.DUMMYFUNCTION("""COMPUTED_VALUE"""),1.003)</f>
        <v>1.003</v>
      </c>
      <c r="E1302" s="16">
        <f>IFERROR(__xludf.DUMMYFUNCTION("""COMPUTED_VALUE"""),73.0)</f>
        <v>73</v>
      </c>
      <c r="F1302" s="19" t="str">
        <f>IFERROR(__xludf.DUMMYFUNCTION("""COMPUTED_VALUE"""),"BLACK")</f>
        <v>BLACK</v>
      </c>
      <c r="G1302" s="20" t="str">
        <f>IFERROR(__xludf.DUMMYFUNCTION("""COMPUTED_VALUE"""),"Uncle Sams Cider (04/04/2023)")</f>
        <v>Uncle Sams Cider (04/04/2023)</v>
      </c>
      <c r="H1302" s="19"/>
    </row>
    <row r="1303">
      <c r="A1303" s="9"/>
      <c r="B1303" s="15"/>
      <c r="C1303" s="9">
        <f>IFERROR(__xludf.DUMMYFUNCTION("""COMPUTED_VALUE"""),45131.0244061689)</f>
        <v>45131.02441</v>
      </c>
      <c r="D1303" s="15">
        <f>IFERROR(__xludf.DUMMYFUNCTION("""COMPUTED_VALUE"""),1.003)</f>
        <v>1.003</v>
      </c>
      <c r="E1303" s="16">
        <f>IFERROR(__xludf.DUMMYFUNCTION("""COMPUTED_VALUE"""),73.0)</f>
        <v>73</v>
      </c>
      <c r="F1303" s="19" t="str">
        <f>IFERROR(__xludf.DUMMYFUNCTION("""COMPUTED_VALUE"""),"BLACK")</f>
        <v>BLACK</v>
      </c>
      <c r="G1303" s="20" t="str">
        <f>IFERROR(__xludf.DUMMYFUNCTION("""COMPUTED_VALUE"""),"Uncle Sams Cider (04/04/2023)")</f>
        <v>Uncle Sams Cider (04/04/2023)</v>
      </c>
      <c r="H1303" s="19"/>
    </row>
    <row r="1304">
      <c r="A1304" s="9"/>
      <c r="B1304" s="15"/>
      <c r="C1304" s="9">
        <f>IFERROR(__xludf.DUMMYFUNCTION("""COMPUTED_VALUE"""),45131.0139836458)</f>
        <v>45131.01398</v>
      </c>
      <c r="D1304" s="15">
        <f>IFERROR(__xludf.DUMMYFUNCTION("""COMPUTED_VALUE"""),1.003)</f>
        <v>1.003</v>
      </c>
      <c r="E1304" s="16">
        <f>IFERROR(__xludf.DUMMYFUNCTION("""COMPUTED_VALUE"""),73.0)</f>
        <v>73</v>
      </c>
      <c r="F1304" s="19" t="str">
        <f>IFERROR(__xludf.DUMMYFUNCTION("""COMPUTED_VALUE"""),"BLACK")</f>
        <v>BLACK</v>
      </c>
      <c r="G1304" s="20" t="str">
        <f>IFERROR(__xludf.DUMMYFUNCTION("""COMPUTED_VALUE"""),"Uncle Sams Cider (04/04/2023)")</f>
        <v>Uncle Sams Cider (04/04/2023)</v>
      </c>
      <c r="H1304" s="19"/>
    </row>
    <row r="1305">
      <c r="A1305" s="9"/>
      <c r="B1305" s="15"/>
      <c r="C1305" s="9">
        <f>IFERROR(__xludf.DUMMYFUNCTION("""COMPUTED_VALUE"""),45131.0035621643)</f>
        <v>45131.00356</v>
      </c>
      <c r="D1305" s="15">
        <f>IFERROR(__xludf.DUMMYFUNCTION("""COMPUTED_VALUE"""),1.003)</f>
        <v>1.003</v>
      </c>
      <c r="E1305" s="16">
        <f>IFERROR(__xludf.DUMMYFUNCTION("""COMPUTED_VALUE"""),73.0)</f>
        <v>73</v>
      </c>
      <c r="F1305" s="19" t="str">
        <f>IFERROR(__xludf.DUMMYFUNCTION("""COMPUTED_VALUE"""),"BLACK")</f>
        <v>BLACK</v>
      </c>
      <c r="G1305" s="20" t="str">
        <f>IFERROR(__xludf.DUMMYFUNCTION("""COMPUTED_VALUE"""),"Uncle Sams Cider (04/04/2023)")</f>
        <v>Uncle Sams Cider (04/04/2023)</v>
      </c>
      <c r="H1305" s="19"/>
    </row>
    <row r="1306">
      <c r="A1306" s="9"/>
      <c r="B1306" s="15"/>
      <c r="C1306" s="9">
        <f>IFERROR(__xludf.DUMMYFUNCTION("""COMPUTED_VALUE"""),45130.9931409606)</f>
        <v>45130.99314</v>
      </c>
      <c r="D1306" s="15">
        <f>IFERROR(__xludf.DUMMYFUNCTION("""COMPUTED_VALUE"""),1.003)</f>
        <v>1.003</v>
      </c>
      <c r="E1306" s="16">
        <f>IFERROR(__xludf.DUMMYFUNCTION("""COMPUTED_VALUE"""),73.0)</f>
        <v>73</v>
      </c>
      <c r="F1306" s="19" t="str">
        <f>IFERROR(__xludf.DUMMYFUNCTION("""COMPUTED_VALUE"""),"BLACK")</f>
        <v>BLACK</v>
      </c>
      <c r="G1306" s="20" t="str">
        <f>IFERROR(__xludf.DUMMYFUNCTION("""COMPUTED_VALUE"""),"Uncle Sams Cider (04/04/2023)")</f>
        <v>Uncle Sams Cider (04/04/2023)</v>
      </c>
      <c r="H1306" s="19"/>
    </row>
    <row r="1307">
      <c r="A1307" s="9"/>
      <c r="B1307" s="15"/>
      <c r="C1307" s="9">
        <f>IFERROR(__xludf.DUMMYFUNCTION("""COMPUTED_VALUE"""),45130.9827183564)</f>
        <v>45130.98272</v>
      </c>
      <c r="D1307" s="15">
        <f>IFERROR(__xludf.DUMMYFUNCTION("""COMPUTED_VALUE"""),1.003)</f>
        <v>1.003</v>
      </c>
      <c r="E1307" s="16">
        <f>IFERROR(__xludf.DUMMYFUNCTION("""COMPUTED_VALUE"""),73.0)</f>
        <v>73</v>
      </c>
      <c r="F1307" s="19" t="str">
        <f>IFERROR(__xludf.DUMMYFUNCTION("""COMPUTED_VALUE"""),"BLACK")</f>
        <v>BLACK</v>
      </c>
      <c r="G1307" s="20" t="str">
        <f>IFERROR(__xludf.DUMMYFUNCTION("""COMPUTED_VALUE"""),"Uncle Sams Cider (04/04/2023)")</f>
        <v>Uncle Sams Cider (04/04/2023)</v>
      </c>
      <c r="H1307" s="19"/>
    </row>
    <row r="1308">
      <c r="A1308" s="9"/>
      <c r="B1308" s="15"/>
      <c r="C1308" s="9">
        <f>IFERROR(__xludf.DUMMYFUNCTION("""COMPUTED_VALUE"""),45130.972298449)</f>
        <v>45130.9723</v>
      </c>
      <c r="D1308" s="15">
        <f>IFERROR(__xludf.DUMMYFUNCTION("""COMPUTED_VALUE"""),1.003)</f>
        <v>1.003</v>
      </c>
      <c r="E1308" s="16">
        <f>IFERROR(__xludf.DUMMYFUNCTION("""COMPUTED_VALUE"""),73.0)</f>
        <v>73</v>
      </c>
      <c r="F1308" s="19" t="str">
        <f>IFERROR(__xludf.DUMMYFUNCTION("""COMPUTED_VALUE"""),"BLACK")</f>
        <v>BLACK</v>
      </c>
      <c r="G1308" s="20" t="str">
        <f>IFERROR(__xludf.DUMMYFUNCTION("""COMPUTED_VALUE"""),"Uncle Sams Cider (04/04/2023)")</f>
        <v>Uncle Sams Cider (04/04/2023)</v>
      </c>
      <c r="H1308" s="19"/>
    </row>
    <row r="1309">
      <c r="A1309" s="9"/>
      <c r="B1309" s="15"/>
      <c r="C1309" s="9">
        <f>IFERROR(__xludf.DUMMYFUNCTION("""COMPUTED_VALUE"""),45130.9618769675)</f>
        <v>45130.96188</v>
      </c>
      <c r="D1309" s="15">
        <f>IFERROR(__xludf.DUMMYFUNCTION("""COMPUTED_VALUE"""),1.004)</f>
        <v>1.004</v>
      </c>
      <c r="E1309" s="16">
        <f>IFERROR(__xludf.DUMMYFUNCTION("""COMPUTED_VALUE"""),73.0)</f>
        <v>73</v>
      </c>
      <c r="F1309" s="19" t="str">
        <f>IFERROR(__xludf.DUMMYFUNCTION("""COMPUTED_VALUE"""),"BLACK")</f>
        <v>BLACK</v>
      </c>
      <c r="G1309" s="20" t="str">
        <f>IFERROR(__xludf.DUMMYFUNCTION("""COMPUTED_VALUE"""),"Uncle Sams Cider (04/04/2023)")</f>
        <v>Uncle Sams Cider (04/04/2023)</v>
      </c>
      <c r="H1309" s="19"/>
    </row>
    <row r="1310">
      <c r="A1310" s="9"/>
      <c r="B1310" s="15"/>
      <c r="C1310" s="9">
        <f>IFERROR(__xludf.DUMMYFUNCTION("""COMPUTED_VALUE"""),45130.9514558101)</f>
        <v>45130.95146</v>
      </c>
      <c r="D1310" s="15">
        <f>IFERROR(__xludf.DUMMYFUNCTION("""COMPUTED_VALUE"""),1.003)</f>
        <v>1.003</v>
      </c>
      <c r="E1310" s="16">
        <f>IFERROR(__xludf.DUMMYFUNCTION("""COMPUTED_VALUE"""),73.0)</f>
        <v>73</v>
      </c>
      <c r="F1310" s="19" t="str">
        <f>IFERROR(__xludf.DUMMYFUNCTION("""COMPUTED_VALUE"""),"BLACK")</f>
        <v>BLACK</v>
      </c>
      <c r="G1310" s="20" t="str">
        <f>IFERROR(__xludf.DUMMYFUNCTION("""COMPUTED_VALUE"""),"Uncle Sams Cider (04/04/2023)")</f>
        <v>Uncle Sams Cider (04/04/2023)</v>
      </c>
      <c r="H1310" s="19"/>
    </row>
    <row r="1311">
      <c r="A1311" s="9"/>
      <c r="B1311" s="15"/>
      <c r="C1311" s="9">
        <f>IFERROR(__xludf.DUMMYFUNCTION("""COMPUTED_VALUE"""),45130.9410121412)</f>
        <v>45130.94101</v>
      </c>
      <c r="D1311" s="15">
        <f>IFERROR(__xludf.DUMMYFUNCTION("""COMPUTED_VALUE"""),1.003)</f>
        <v>1.003</v>
      </c>
      <c r="E1311" s="16">
        <f>IFERROR(__xludf.DUMMYFUNCTION("""COMPUTED_VALUE"""),73.0)</f>
        <v>73</v>
      </c>
      <c r="F1311" s="19" t="str">
        <f>IFERROR(__xludf.DUMMYFUNCTION("""COMPUTED_VALUE"""),"BLACK")</f>
        <v>BLACK</v>
      </c>
      <c r="G1311" s="20" t="str">
        <f>IFERROR(__xludf.DUMMYFUNCTION("""COMPUTED_VALUE"""),"Uncle Sams Cider (04/04/2023)")</f>
        <v>Uncle Sams Cider (04/04/2023)</v>
      </c>
      <c r="H1311" s="19"/>
    </row>
    <row r="1312">
      <c r="A1312" s="9"/>
      <c r="B1312" s="15"/>
      <c r="C1312" s="9">
        <f>IFERROR(__xludf.DUMMYFUNCTION("""COMPUTED_VALUE"""),45130.9305902546)</f>
        <v>45130.93059</v>
      </c>
      <c r="D1312" s="15">
        <f>IFERROR(__xludf.DUMMYFUNCTION("""COMPUTED_VALUE"""),1.003)</f>
        <v>1.003</v>
      </c>
      <c r="E1312" s="16">
        <f>IFERROR(__xludf.DUMMYFUNCTION("""COMPUTED_VALUE"""),73.0)</f>
        <v>73</v>
      </c>
      <c r="F1312" s="19" t="str">
        <f>IFERROR(__xludf.DUMMYFUNCTION("""COMPUTED_VALUE"""),"BLACK")</f>
        <v>BLACK</v>
      </c>
      <c r="G1312" s="20" t="str">
        <f>IFERROR(__xludf.DUMMYFUNCTION("""COMPUTED_VALUE"""),"Uncle Sams Cider (04/04/2023)")</f>
        <v>Uncle Sams Cider (04/04/2023)</v>
      </c>
      <c r="H1312" s="19"/>
    </row>
    <row r="1313">
      <c r="A1313" s="9"/>
      <c r="B1313" s="15"/>
      <c r="C1313" s="9">
        <f>IFERROR(__xludf.DUMMYFUNCTION("""COMPUTED_VALUE"""),45130.9201694675)</f>
        <v>45130.92017</v>
      </c>
      <c r="D1313" s="15">
        <f>IFERROR(__xludf.DUMMYFUNCTION("""COMPUTED_VALUE"""),1.003)</f>
        <v>1.003</v>
      </c>
      <c r="E1313" s="16">
        <f>IFERROR(__xludf.DUMMYFUNCTION("""COMPUTED_VALUE"""),73.0)</f>
        <v>73</v>
      </c>
      <c r="F1313" s="19" t="str">
        <f>IFERROR(__xludf.DUMMYFUNCTION("""COMPUTED_VALUE"""),"BLACK")</f>
        <v>BLACK</v>
      </c>
      <c r="G1313" s="20" t="str">
        <f>IFERROR(__xludf.DUMMYFUNCTION("""COMPUTED_VALUE"""),"Uncle Sams Cider (04/04/2023)")</f>
        <v>Uncle Sams Cider (04/04/2023)</v>
      </c>
      <c r="H1313" s="19"/>
    </row>
    <row r="1314">
      <c r="A1314" s="9"/>
      <c r="B1314" s="15"/>
      <c r="C1314" s="9">
        <f>IFERROR(__xludf.DUMMYFUNCTION("""COMPUTED_VALUE"""),45130.9097486111)</f>
        <v>45130.90975</v>
      </c>
      <c r="D1314" s="15">
        <f>IFERROR(__xludf.DUMMYFUNCTION("""COMPUTED_VALUE"""),1.003)</f>
        <v>1.003</v>
      </c>
      <c r="E1314" s="16">
        <f>IFERROR(__xludf.DUMMYFUNCTION("""COMPUTED_VALUE"""),73.0)</f>
        <v>73</v>
      </c>
      <c r="F1314" s="19" t="str">
        <f>IFERROR(__xludf.DUMMYFUNCTION("""COMPUTED_VALUE"""),"BLACK")</f>
        <v>BLACK</v>
      </c>
      <c r="G1314" s="20" t="str">
        <f>IFERROR(__xludf.DUMMYFUNCTION("""COMPUTED_VALUE"""),"Uncle Sams Cider (04/04/2023)")</f>
        <v>Uncle Sams Cider (04/04/2023)</v>
      </c>
      <c r="H1314" s="19"/>
    </row>
    <row r="1315">
      <c r="A1315" s="9"/>
      <c r="B1315" s="15"/>
      <c r="C1315" s="9">
        <f>IFERROR(__xludf.DUMMYFUNCTION("""COMPUTED_VALUE"""),45130.8993274768)</f>
        <v>45130.89933</v>
      </c>
      <c r="D1315" s="15">
        <f>IFERROR(__xludf.DUMMYFUNCTION("""COMPUTED_VALUE"""),1.003)</f>
        <v>1.003</v>
      </c>
      <c r="E1315" s="16">
        <f>IFERROR(__xludf.DUMMYFUNCTION("""COMPUTED_VALUE"""),73.0)</f>
        <v>73</v>
      </c>
      <c r="F1315" s="19" t="str">
        <f>IFERROR(__xludf.DUMMYFUNCTION("""COMPUTED_VALUE"""),"BLACK")</f>
        <v>BLACK</v>
      </c>
      <c r="G1315" s="20" t="str">
        <f>IFERROR(__xludf.DUMMYFUNCTION("""COMPUTED_VALUE"""),"Uncle Sams Cider (04/04/2023)")</f>
        <v>Uncle Sams Cider (04/04/2023)</v>
      </c>
      <c r="H1315" s="19"/>
    </row>
    <row r="1316">
      <c r="A1316" s="9"/>
      <c r="B1316" s="15"/>
      <c r="C1316" s="9">
        <f>IFERROR(__xludf.DUMMYFUNCTION("""COMPUTED_VALUE"""),45130.8889069444)</f>
        <v>45130.88891</v>
      </c>
      <c r="D1316" s="15">
        <f>IFERROR(__xludf.DUMMYFUNCTION("""COMPUTED_VALUE"""),1.003)</f>
        <v>1.003</v>
      </c>
      <c r="E1316" s="16">
        <f>IFERROR(__xludf.DUMMYFUNCTION("""COMPUTED_VALUE"""),73.0)</f>
        <v>73</v>
      </c>
      <c r="F1316" s="19" t="str">
        <f>IFERROR(__xludf.DUMMYFUNCTION("""COMPUTED_VALUE"""),"BLACK")</f>
        <v>BLACK</v>
      </c>
      <c r="G1316" s="20" t="str">
        <f>IFERROR(__xludf.DUMMYFUNCTION("""COMPUTED_VALUE"""),"Uncle Sams Cider (04/04/2023)")</f>
        <v>Uncle Sams Cider (04/04/2023)</v>
      </c>
      <c r="H1316" s="19"/>
    </row>
    <row r="1317">
      <c r="A1317" s="9"/>
      <c r="B1317" s="15"/>
      <c r="C1317" s="9">
        <f>IFERROR(__xludf.DUMMYFUNCTION("""COMPUTED_VALUE"""),45130.8784751157)</f>
        <v>45130.87848</v>
      </c>
      <c r="D1317" s="15">
        <f>IFERROR(__xludf.DUMMYFUNCTION("""COMPUTED_VALUE"""),1.003)</f>
        <v>1.003</v>
      </c>
      <c r="E1317" s="16">
        <f>IFERROR(__xludf.DUMMYFUNCTION("""COMPUTED_VALUE"""),73.0)</f>
        <v>73</v>
      </c>
      <c r="F1317" s="19" t="str">
        <f>IFERROR(__xludf.DUMMYFUNCTION("""COMPUTED_VALUE"""),"BLACK")</f>
        <v>BLACK</v>
      </c>
      <c r="G1317" s="20" t="str">
        <f>IFERROR(__xludf.DUMMYFUNCTION("""COMPUTED_VALUE"""),"Uncle Sams Cider (04/04/2023)")</f>
        <v>Uncle Sams Cider (04/04/2023)</v>
      </c>
      <c r="H1317" s="19"/>
    </row>
    <row r="1318">
      <c r="A1318" s="9"/>
      <c r="B1318" s="15"/>
      <c r="C1318" s="9">
        <f>IFERROR(__xludf.DUMMYFUNCTION("""COMPUTED_VALUE"""),45130.8680530324)</f>
        <v>45130.86805</v>
      </c>
      <c r="D1318" s="15">
        <f>IFERROR(__xludf.DUMMYFUNCTION("""COMPUTED_VALUE"""),1.003)</f>
        <v>1.003</v>
      </c>
      <c r="E1318" s="16">
        <f>IFERROR(__xludf.DUMMYFUNCTION("""COMPUTED_VALUE"""),73.0)</f>
        <v>73</v>
      </c>
      <c r="F1318" s="19" t="str">
        <f>IFERROR(__xludf.DUMMYFUNCTION("""COMPUTED_VALUE"""),"BLACK")</f>
        <v>BLACK</v>
      </c>
      <c r="G1318" s="20" t="str">
        <f>IFERROR(__xludf.DUMMYFUNCTION("""COMPUTED_VALUE"""),"Uncle Sams Cider (04/04/2023)")</f>
        <v>Uncle Sams Cider (04/04/2023)</v>
      </c>
      <c r="H1318" s="19"/>
    </row>
    <row r="1319">
      <c r="A1319" s="9"/>
      <c r="B1319" s="15"/>
      <c r="C1319" s="9">
        <f>IFERROR(__xludf.DUMMYFUNCTION("""COMPUTED_VALUE"""),45130.8576301967)</f>
        <v>45130.85763</v>
      </c>
      <c r="D1319" s="15">
        <f>IFERROR(__xludf.DUMMYFUNCTION("""COMPUTED_VALUE"""),1.003)</f>
        <v>1.003</v>
      </c>
      <c r="E1319" s="16">
        <f>IFERROR(__xludf.DUMMYFUNCTION("""COMPUTED_VALUE"""),73.0)</f>
        <v>73</v>
      </c>
      <c r="F1319" s="19" t="str">
        <f>IFERROR(__xludf.DUMMYFUNCTION("""COMPUTED_VALUE"""),"BLACK")</f>
        <v>BLACK</v>
      </c>
      <c r="G1319" s="20" t="str">
        <f>IFERROR(__xludf.DUMMYFUNCTION("""COMPUTED_VALUE"""),"Uncle Sams Cider (04/04/2023)")</f>
        <v>Uncle Sams Cider (04/04/2023)</v>
      </c>
      <c r="H1319" s="19"/>
    </row>
    <row r="1320">
      <c r="A1320" s="9"/>
      <c r="B1320" s="15"/>
      <c r="C1320" s="9">
        <f>IFERROR(__xludf.DUMMYFUNCTION("""COMPUTED_VALUE"""),45130.8472092476)</f>
        <v>45130.84721</v>
      </c>
      <c r="D1320" s="15">
        <f>IFERROR(__xludf.DUMMYFUNCTION("""COMPUTED_VALUE"""),1.003)</f>
        <v>1.003</v>
      </c>
      <c r="E1320" s="16">
        <f>IFERROR(__xludf.DUMMYFUNCTION("""COMPUTED_VALUE"""),73.0)</f>
        <v>73</v>
      </c>
      <c r="F1320" s="19" t="str">
        <f>IFERROR(__xludf.DUMMYFUNCTION("""COMPUTED_VALUE"""),"BLACK")</f>
        <v>BLACK</v>
      </c>
      <c r="G1320" s="20" t="str">
        <f>IFERROR(__xludf.DUMMYFUNCTION("""COMPUTED_VALUE"""),"Uncle Sams Cider (04/04/2023)")</f>
        <v>Uncle Sams Cider (04/04/2023)</v>
      </c>
      <c r="H1320" s="19"/>
    </row>
    <row r="1321">
      <c r="A1321" s="9"/>
      <c r="B1321" s="15"/>
      <c r="C1321" s="9">
        <f>IFERROR(__xludf.DUMMYFUNCTION("""COMPUTED_VALUE"""),45130.8367886921)</f>
        <v>45130.83679</v>
      </c>
      <c r="D1321" s="15">
        <f>IFERROR(__xludf.DUMMYFUNCTION("""COMPUTED_VALUE"""),1.003)</f>
        <v>1.003</v>
      </c>
      <c r="E1321" s="16">
        <f>IFERROR(__xludf.DUMMYFUNCTION("""COMPUTED_VALUE"""),73.0)</f>
        <v>73</v>
      </c>
      <c r="F1321" s="19" t="str">
        <f>IFERROR(__xludf.DUMMYFUNCTION("""COMPUTED_VALUE"""),"BLACK")</f>
        <v>BLACK</v>
      </c>
      <c r="G1321" s="20" t="str">
        <f>IFERROR(__xludf.DUMMYFUNCTION("""COMPUTED_VALUE"""),"Uncle Sams Cider (04/04/2023)")</f>
        <v>Uncle Sams Cider (04/04/2023)</v>
      </c>
      <c r="H1321" s="19"/>
    </row>
    <row r="1322">
      <c r="A1322" s="9"/>
      <c r="B1322" s="15"/>
      <c r="C1322" s="9">
        <f>IFERROR(__xludf.DUMMYFUNCTION("""COMPUTED_VALUE"""),45130.8263664583)</f>
        <v>45130.82637</v>
      </c>
      <c r="D1322" s="15">
        <f>IFERROR(__xludf.DUMMYFUNCTION("""COMPUTED_VALUE"""),1.003)</f>
        <v>1.003</v>
      </c>
      <c r="E1322" s="16">
        <f>IFERROR(__xludf.DUMMYFUNCTION("""COMPUTED_VALUE"""),73.0)</f>
        <v>73</v>
      </c>
      <c r="F1322" s="19" t="str">
        <f>IFERROR(__xludf.DUMMYFUNCTION("""COMPUTED_VALUE"""),"BLACK")</f>
        <v>BLACK</v>
      </c>
      <c r="G1322" s="20" t="str">
        <f>IFERROR(__xludf.DUMMYFUNCTION("""COMPUTED_VALUE"""),"Uncle Sams Cider (04/04/2023)")</f>
        <v>Uncle Sams Cider (04/04/2023)</v>
      </c>
      <c r="H1322" s="19"/>
    </row>
    <row r="1323">
      <c r="A1323" s="9"/>
      <c r="B1323" s="15"/>
      <c r="C1323" s="9">
        <f>IFERROR(__xludf.DUMMYFUNCTION("""COMPUTED_VALUE"""),45130.8159332754)</f>
        <v>45130.81593</v>
      </c>
      <c r="D1323" s="15">
        <f>IFERROR(__xludf.DUMMYFUNCTION("""COMPUTED_VALUE"""),1.003)</f>
        <v>1.003</v>
      </c>
      <c r="E1323" s="16">
        <f>IFERROR(__xludf.DUMMYFUNCTION("""COMPUTED_VALUE"""),73.0)</f>
        <v>73</v>
      </c>
      <c r="F1323" s="19" t="str">
        <f>IFERROR(__xludf.DUMMYFUNCTION("""COMPUTED_VALUE"""),"BLACK")</f>
        <v>BLACK</v>
      </c>
      <c r="G1323" s="20" t="str">
        <f>IFERROR(__xludf.DUMMYFUNCTION("""COMPUTED_VALUE"""),"Uncle Sams Cider (04/04/2023)")</f>
        <v>Uncle Sams Cider (04/04/2023)</v>
      </c>
      <c r="H1323" s="19"/>
    </row>
    <row r="1324">
      <c r="A1324" s="9"/>
      <c r="B1324" s="15"/>
      <c r="C1324" s="9">
        <f>IFERROR(__xludf.DUMMYFUNCTION("""COMPUTED_VALUE"""),45130.8055104166)</f>
        <v>45130.80551</v>
      </c>
      <c r="D1324" s="15">
        <f>IFERROR(__xludf.DUMMYFUNCTION("""COMPUTED_VALUE"""),1.003)</f>
        <v>1.003</v>
      </c>
      <c r="E1324" s="16">
        <f>IFERROR(__xludf.DUMMYFUNCTION("""COMPUTED_VALUE"""),73.0)</f>
        <v>73</v>
      </c>
      <c r="F1324" s="19" t="str">
        <f>IFERROR(__xludf.DUMMYFUNCTION("""COMPUTED_VALUE"""),"BLACK")</f>
        <v>BLACK</v>
      </c>
      <c r="G1324" s="20" t="str">
        <f>IFERROR(__xludf.DUMMYFUNCTION("""COMPUTED_VALUE"""),"Uncle Sams Cider (04/04/2023)")</f>
        <v>Uncle Sams Cider (04/04/2023)</v>
      </c>
      <c r="H1324" s="19"/>
    </row>
    <row r="1325">
      <c r="A1325" s="9"/>
      <c r="B1325" s="15"/>
      <c r="C1325" s="9">
        <f>IFERROR(__xludf.DUMMYFUNCTION("""COMPUTED_VALUE"""),45130.7950878819)</f>
        <v>45130.79509</v>
      </c>
      <c r="D1325" s="15">
        <f>IFERROR(__xludf.DUMMYFUNCTION("""COMPUTED_VALUE"""),1.003)</f>
        <v>1.003</v>
      </c>
      <c r="E1325" s="16">
        <f>IFERROR(__xludf.DUMMYFUNCTION("""COMPUTED_VALUE"""),73.0)</f>
        <v>73</v>
      </c>
      <c r="F1325" s="19" t="str">
        <f>IFERROR(__xludf.DUMMYFUNCTION("""COMPUTED_VALUE"""),"BLACK")</f>
        <v>BLACK</v>
      </c>
      <c r="G1325" s="20" t="str">
        <f>IFERROR(__xludf.DUMMYFUNCTION("""COMPUTED_VALUE"""),"Uncle Sams Cider (04/04/2023)")</f>
        <v>Uncle Sams Cider (04/04/2023)</v>
      </c>
      <c r="H1325" s="19"/>
    </row>
    <row r="1326">
      <c r="A1326" s="9"/>
      <c r="B1326" s="15"/>
      <c r="C1326" s="9">
        <f>IFERROR(__xludf.DUMMYFUNCTION("""COMPUTED_VALUE"""),45130.7846658333)</f>
        <v>45130.78467</v>
      </c>
      <c r="D1326" s="15">
        <f>IFERROR(__xludf.DUMMYFUNCTION("""COMPUTED_VALUE"""),1.003)</f>
        <v>1.003</v>
      </c>
      <c r="E1326" s="16">
        <f>IFERROR(__xludf.DUMMYFUNCTION("""COMPUTED_VALUE"""),72.0)</f>
        <v>72</v>
      </c>
      <c r="F1326" s="19" t="str">
        <f>IFERROR(__xludf.DUMMYFUNCTION("""COMPUTED_VALUE"""),"BLACK")</f>
        <v>BLACK</v>
      </c>
      <c r="G1326" s="20" t="str">
        <f>IFERROR(__xludf.DUMMYFUNCTION("""COMPUTED_VALUE"""),"Uncle Sams Cider (04/04/2023)")</f>
        <v>Uncle Sams Cider (04/04/2023)</v>
      </c>
      <c r="H1326" s="19"/>
    </row>
    <row r="1327">
      <c r="A1327" s="9"/>
      <c r="B1327" s="15"/>
      <c r="C1327" s="9">
        <f>IFERROR(__xludf.DUMMYFUNCTION("""COMPUTED_VALUE"""),45130.7742441319)</f>
        <v>45130.77424</v>
      </c>
      <c r="D1327" s="15">
        <f>IFERROR(__xludf.DUMMYFUNCTION("""COMPUTED_VALUE"""),1.003)</f>
        <v>1.003</v>
      </c>
      <c r="E1327" s="16">
        <f>IFERROR(__xludf.DUMMYFUNCTION("""COMPUTED_VALUE"""),73.0)</f>
        <v>73</v>
      </c>
      <c r="F1327" s="19" t="str">
        <f>IFERROR(__xludf.DUMMYFUNCTION("""COMPUTED_VALUE"""),"BLACK")</f>
        <v>BLACK</v>
      </c>
      <c r="G1327" s="20" t="str">
        <f>IFERROR(__xludf.DUMMYFUNCTION("""COMPUTED_VALUE"""),"Uncle Sams Cider (04/04/2023)")</f>
        <v>Uncle Sams Cider (04/04/2023)</v>
      </c>
      <c r="H1327" s="19"/>
    </row>
    <row r="1328">
      <c r="A1328" s="9"/>
      <c r="B1328" s="15"/>
      <c r="C1328" s="9">
        <f>IFERROR(__xludf.DUMMYFUNCTION("""COMPUTED_VALUE"""),45130.7638118981)</f>
        <v>45130.76381</v>
      </c>
      <c r="D1328" s="15">
        <f>IFERROR(__xludf.DUMMYFUNCTION("""COMPUTED_VALUE"""),1.003)</f>
        <v>1.003</v>
      </c>
      <c r="E1328" s="16">
        <f>IFERROR(__xludf.DUMMYFUNCTION("""COMPUTED_VALUE"""),72.0)</f>
        <v>72</v>
      </c>
      <c r="F1328" s="19" t="str">
        <f>IFERROR(__xludf.DUMMYFUNCTION("""COMPUTED_VALUE"""),"BLACK")</f>
        <v>BLACK</v>
      </c>
      <c r="G1328" s="20" t="str">
        <f>IFERROR(__xludf.DUMMYFUNCTION("""COMPUTED_VALUE"""),"Uncle Sams Cider (04/04/2023)")</f>
        <v>Uncle Sams Cider (04/04/2023)</v>
      </c>
      <c r="H1328" s="19"/>
    </row>
    <row r="1329">
      <c r="A1329" s="9"/>
      <c r="B1329" s="15"/>
      <c r="C1329" s="9">
        <f>IFERROR(__xludf.DUMMYFUNCTION("""COMPUTED_VALUE"""),45130.7533909143)</f>
        <v>45130.75339</v>
      </c>
      <c r="D1329" s="15">
        <f>IFERROR(__xludf.DUMMYFUNCTION("""COMPUTED_VALUE"""),1.003)</f>
        <v>1.003</v>
      </c>
      <c r="E1329" s="16">
        <f>IFERROR(__xludf.DUMMYFUNCTION("""COMPUTED_VALUE"""),72.0)</f>
        <v>72</v>
      </c>
      <c r="F1329" s="19" t="str">
        <f>IFERROR(__xludf.DUMMYFUNCTION("""COMPUTED_VALUE"""),"BLACK")</f>
        <v>BLACK</v>
      </c>
      <c r="G1329" s="20" t="str">
        <f>IFERROR(__xludf.DUMMYFUNCTION("""COMPUTED_VALUE"""),"Uncle Sams Cider (04/04/2023)")</f>
        <v>Uncle Sams Cider (04/04/2023)</v>
      </c>
      <c r="H1329" s="19"/>
    </row>
    <row r="1330">
      <c r="A1330" s="9"/>
      <c r="B1330" s="15"/>
      <c r="C1330" s="9">
        <f>IFERROR(__xludf.DUMMYFUNCTION("""COMPUTED_VALUE"""),45130.7429697453)</f>
        <v>45130.74297</v>
      </c>
      <c r="D1330" s="15">
        <f>IFERROR(__xludf.DUMMYFUNCTION("""COMPUTED_VALUE"""),1.003)</f>
        <v>1.003</v>
      </c>
      <c r="E1330" s="16">
        <f>IFERROR(__xludf.DUMMYFUNCTION("""COMPUTED_VALUE"""),72.0)</f>
        <v>72</v>
      </c>
      <c r="F1330" s="19" t="str">
        <f>IFERROR(__xludf.DUMMYFUNCTION("""COMPUTED_VALUE"""),"BLACK")</f>
        <v>BLACK</v>
      </c>
      <c r="G1330" s="20" t="str">
        <f>IFERROR(__xludf.DUMMYFUNCTION("""COMPUTED_VALUE"""),"Uncle Sams Cider (04/04/2023)")</f>
        <v>Uncle Sams Cider (04/04/2023)</v>
      </c>
      <c r="H1330" s="19"/>
    </row>
    <row r="1331">
      <c r="A1331" s="9"/>
      <c r="B1331" s="15"/>
      <c r="C1331" s="9">
        <f>IFERROR(__xludf.DUMMYFUNCTION("""COMPUTED_VALUE"""),45130.7325497685)</f>
        <v>45130.73255</v>
      </c>
      <c r="D1331" s="15">
        <f>IFERROR(__xludf.DUMMYFUNCTION("""COMPUTED_VALUE"""),1.004)</f>
        <v>1.004</v>
      </c>
      <c r="E1331" s="16">
        <f>IFERROR(__xludf.DUMMYFUNCTION("""COMPUTED_VALUE"""),72.0)</f>
        <v>72</v>
      </c>
      <c r="F1331" s="19" t="str">
        <f>IFERROR(__xludf.DUMMYFUNCTION("""COMPUTED_VALUE"""),"BLACK")</f>
        <v>BLACK</v>
      </c>
      <c r="G1331" s="20" t="str">
        <f>IFERROR(__xludf.DUMMYFUNCTION("""COMPUTED_VALUE"""),"Uncle Sams Cider (04/04/2023)")</f>
        <v>Uncle Sams Cider (04/04/2023)</v>
      </c>
      <c r="H1331" s="19"/>
    </row>
    <row r="1332">
      <c r="A1332" s="9"/>
      <c r="B1332" s="15"/>
      <c r="C1332" s="9">
        <f>IFERROR(__xludf.DUMMYFUNCTION("""COMPUTED_VALUE"""),45130.7221292939)</f>
        <v>45130.72213</v>
      </c>
      <c r="D1332" s="15">
        <f>IFERROR(__xludf.DUMMYFUNCTION("""COMPUTED_VALUE"""),1.003)</f>
        <v>1.003</v>
      </c>
      <c r="E1332" s="16">
        <f>IFERROR(__xludf.DUMMYFUNCTION("""COMPUTED_VALUE"""),72.0)</f>
        <v>72</v>
      </c>
      <c r="F1332" s="19" t="str">
        <f>IFERROR(__xludf.DUMMYFUNCTION("""COMPUTED_VALUE"""),"BLACK")</f>
        <v>BLACK</v>
      </c>
      <c r="G1332" s="20" t="str">
        <f>IFERROR(__xludf.DUMMYFUNCTION("""COMPUTED_VALUE"""),"Uncle Sams Cider (04/04/2023)")</f>
        <v>Uncle Sams Cider (04/04/2023)</v>
      </c>
      <c r="H1332" s="19"/>
    </row>
    <row r="1333">
      <c r="A1333" s="9"/>
      <c r="B1333" s="15"/>
      <c r="C1333" s="9">
        <f>IFERROR(__xludf.DUMMYFUNCTION("""COMPUTED_VALUE"""),45130.7117063541)</f>
        <v>45130.71171</v>
      </c>
      <c r="D1333" s="15">
        <f>IFERROR(__xludf.DUMMYFUNCTION("""COMPUTED_VALUE"""),1.003)</f>
        <v>1.003</v>
      </c>
      <c r="E1333" s="16">
        <f>IFERROR(__xludf.DUMMYFUNCTION("""COMPUTED_VALUE"""),72.0)</f>
        <v>72</v>
      </c>
      <c r="F1333" s="19" t="str">
        <f>IFERROR(__xludf.DUMMYFUNCTION("""COMPUTED_VALUE"""),"BLACK")</f>
        <v>BLACK</v>
      </c>
      <c r="G1333" s="20" t="str">
        <f>IFERROR(__xludf.DUMMYFUNCTION("""COMPUTED_VALUE"""),"Uncle Sams Cider (04/04/2023)")</f>
        <v>Uncle Sams Cider (04/04/2023)</v>
      </c>
      <c r="H1333" s="19"/>
    </row>
    <row r="1334">
      <c r="A1334" s="9"/>
      <c r="B1334" s="15"/>
      <c r="C1334" s="9">
        <f>IFERROR(__xludf.DUMMYFUNCTION("""COMPUTED_VALUE"""),45130.7012723379)</f>
        <v>45130.70127</v>
      </c>
      <c r="D1334" s="15">
        <f>IFERROR(__xludf.DUMMYFUNCTION("""COMPUTED_VALUE"""),1.003)</f>
        <v>1.003</v>
      </c>
      <c r="E1334" s="16">
        <f>IFERROR(__xludf.DUMMYFUNCTION("""COMPUTED_VALUE"""),72.0)</f>
        <v>72</v>
      </c>
      <c r="F1334" s="19" t="str">
        <f>IFERROR(__xludf.DUMMYFUNCTION("""COMPUTED_VALUE"""),"BLACK")</f>
        <v>BLACK</v>
      </c>
      <c r="G1334" s="20" t="str">
        <f>IFERROR(__xludf.DUMMYFUNCTION("""COMPUTED_VALUE"""),"Uncle Sams Cider (04/04/2023)")</f>
        <v>Uncle Sams Cider (04/04/2023)</v>
      </c>
      <c r="H1334" s="19"/>
    </row>
    <row r="1335">
      <c r="A1335" s="9"/>
      <c r="B1335" s="15"/>
      <c r="C1335" s="9">
        <f>IFERROR(__xludf.DUMMYFUNCTION("""COMPUTED_VALUE"""),45130.6908490509)</f>
        <v>45130.69085</v>
      </c>
      <c r="D1335" s="15">
        <f>IFERROR(__xludf.DUMMYFUNCTION("""COMPUTED_VALUE"""),1.003)</f>
        <v>1.003</v>
      </c>
      <c r="E1335" s="16">
        <f>IFERROR(__xludf.DUMMYFUNCTION("""COMPUTED_VALUE"""),72.0)</f>
        <v>72</v>
      </c>
      <c r="F1335" s="19" t="str">
        <f>IFERROR(__xludf.DUMMYFUNCTION("""COMPUTED_VALUE"""),"BLACK")</f>
        <v>BLACK</v>
      </c>
      <c r="G1335" s="20" t="str">
        <f>IFERROR(__xludf.DUMMYFUNCTION("""COMPUTED_VALUE"""),"Uncle Sams Cider (04/04/2023)")</f>
        <v>Uncle Sams Cider (04/04/2023)</v>
      </c>
      <c r="H1335" s="19"/>
    </row>
    <row r="1336">
      <c r="A1336" s="9"/>
      <c r="B1336" s="15"/>
      <c r="C1336" s="9">
        <f>IFERROR(__xludf.DUMMYFUNCTION("""COMPUTED_VALUE"""),45130.6804295486)</f>
        <v>45130.68043</v>
      </c>
      <c r="D1336" s="15">
        <f>IFERROR(__xludf.DUMMYFUNCTION("""COMPUTED_VALUE"""),1.003)</f>
        <v>1.003</v>
      </c>
      <c r="E1336" s="16">
        <f>IFERROR(__xludf.DUMMYFUNCTION("""COMPUTED_VALUE"""),72.0)</f>
        <v>72</v>
      </c>
      <c r="F1336" s="19" t="str">
        <f>IFERROR(__xludf.DUMMYFUNCTION("""COMPUTED_VALUE"""),"BLACK")</f>
        <v>BLACK</v>
      </c>
      <c r="G1336" s="20" t="str">
        <f>IFERROR(__xludf.DUMMYFUNCTION("""COMPUTED_VALUE"""),"Uncle Sams Cider (04/04/2023)")</f>
        <v>Uncle Sams Cider (04/04/2023)</v>
      </c>
      <c r="H1336" s="19"/>
    </row>
    <row r="1337">
      <c r="A1337" s="9"/>
      <c r="B1337" s="15"/>
      <c r="C1337" s="9">
        <f>IFERROR(__xludf.DUMMYFUNCTION("""COMPUTED_VALUE"""),45130.6699958449)</f>
        <v>45130.67</v>
      </c>
      <c r="D1337" s="15">
        <f>IFERROR(__xludf.DUMMYFUNCTION("""COMPUTED_VALUE"""),1.003)</f>
        <v>1.003</v>
      </c>
      <c r="E1337" s="16">
        <f>IFERROR(__xludf.DUMMYFUNCTION("""COMPUTED_VALUE"""),72.0)</f>
        <v>72</v>
      </c>
      <c r="F1337" s="19" t="str">
        <f>IFERROR(__xludf.DUMMYFUNCTION("""COMPUTED_VALUE"""),"BLACK")</f>
        <v>BLACK</v>
      </c>
      <c r="G1337" s="20" t="str">
        <f>IFERROR(__xludf.DUMMYFUNCTION("""COMPUTED_VALUE"""),"Uncle Sams Cider (04/04/2023)")</f>
        <v>Uncle Sams Cider (04/04/2023)</v>
      </c>
      <c r="H1337" s="19"/>
    </row>
    <row r="1338">
      <c r="A1338" s="9"/>
      <c r="B1338" s="15"/>
      <c r="C1338" s="9">
        <f>IFERROR(__xludf.DUMMYFUNCTION("""COMPUTED_VALUE"""),45130.6595751504)</f>
        <v>45130.65958</v>
      </c>
      <c r="D1338" s="15">
        <f>IFERROR(__xludf.DUMMYFUNCTION("""COMPUTED_VALUE"""),1.003)</f>
        <v>1.003</v>
      </c>
      <c r="E1338" s="16">
        <f>IFERROR(__xludf.DUMMYFUNCTION("""COMPUTED_VALUE"""),72.0)</f>
        <v>72</v>
      </c>
      <c r="F1338" s="19" t="str">
        <f>IFERROR(__xludf.DUMMYFUNCTION("""COMPUTED_VALUE"""),"BLACK")</f>
        <v>BLACK</v>
      </c>
      <c r="G1338" s="20" t="str">
        <f>IFERROR(__xludf.DUMMYFUNCTION("""COMPUTED_VALUE"""),"Uncle Sams Cider (04/04/2023)")</f>
        <v>Uncle Sams Cider (04/04/2023)</v>
      </c>
      <c r="H1338" s="19"/>
    </row>
    <row r="1339">
      <c r="A1339" s="9"/>
      <c r="B1339" s="15"/>
      <c r="C1339" s="9">
        <f>IFERROR(__xludf.DUMMYFUNCTION("""COMPUTED_VALUE"""),45130.649153368)</f>
        <v>45130.64915</v>
      </c>
      <c r="D1339" s="15">
        <f>IFERROR(__xludf.DUMMYFUNCTION("""COMPUTED_VALUE"""),1.003)</f>
        <v>1.003</v>
      </c>
      <c r="E1339" s="16">
        <f>IFERROR(__xludf.DUMMYFUNCTION("""COMPUTED_VALUE"""),72.0)</f>
        <v>72</v>
      </c>
      <c r="F1339" s="19" t="str">
        <f>IFERROR(__xludf.DUMMYFUNCTION("""COMPUTED_VALUE"""),"BLACK")</f>
        <v>BLACK</v>
      </c>
      <c r="G1339" s="20" t="str">
        <f>IFERROR(__xludf.DUMMYFUNCTION("""COMPUTED_VALUE"""),"Uncle Sams Cider (04/04/2023)")</f>
        <v>Uncle Sams Cider (04/04/2023)</v>
      </c>
      <c r="H1339" s="19"/>
    </row>
    <row r="1340">
      <c r="A1340" s="9"/>
      <c r="B1340" s="15"/>
      <c r="C1340" s="9">
        <f>IFERROR(__xludf.DUMMYFUNCTION("""COMPUTED_VALUE"""),45130.6387337731)</f>
        <v>45130.63873</v>
      </c>
      <c r="D1340" s="15">
        <f>IFERROR(__xludf.DUMMYFUNCTION("""COMPUTED_VALUE"""),1.003)</f>
        <v>1.003</v>
      </c>
      <c r="E1340" s="16">
        <f>IFERROR(__xludf.DUMMYFUNCTION("""COMPUTED_VALUE"""),72.0)</f>
        <v>72</v>
      </c>
      <c r="F1340" s="19" t="str">
        <f>IFERROR(__xludf.DUMMYFUNCTION("""COMPUTED_VALUE"""),"BLACK")</f>
        <v>BLACK</v>
      </c>
      <c r="G1340" s="20" t="str">
        <f>IFERROR(__xludf.DUMMYFUNCTION("""COMPUTED_VALUE"""),"Uncle Sams Cider (04/04/2023)")</f>
        <v>Uncle Sams Cider (04/04/2023)</v>
      </c>
      <c r="H1340" s="19"/>
    </row>
    <row r="1341">
      <c r="A1341" s="9"/>
      <c r="B1341" s="15"/>
      <c r="C1341" s="9">
        <f>IFERROR(__xludf.DUMMYFUNCTION("""COMPUTED_VALUE"""),45130.6283114583)</f>
        <v>45130.62831</v>
      </c>
      <c r="D1341" s="15">
        <f>IFERROR(__xludf.DUMMYFUNCTION("""COMPUTED_VALUE"""),1.003)</f>
        <v>1.003</v>
      </c>
      <c r="E1341" s="16">
        <f>IFERROR(__xludf.DUMMYFUNCTION("""COMPUTED_VALUE"""),72.0)</f>
        <v>72</v>
      </c>
      <c r="F1341" s="19" t="str">
        <f>IFERROR(__xludf.DUMMYFUNCTION("""COMPUTED_VALUE"""),"BLACK")</f>
        <v>BLACK</v>
      </c>
      <c r="G1341" s="20" t="str">
        <f>IFERROR(__xludf.DUMMYFUNCTION("""COMPUTED_VALUE"""),"Uncle Sams Cider (04/04/2023)")</f>
        <v>Uncle Sams Cider (04/04/2023)</v>
      </c>
      <c r="H1341" s="19"/>
    </row>
    <row r="1342">
      <c r="A1342" s="9"/>
      <c r="B1342" s="15"/>
      <c r="C1342" s="9">
        <f>IFERROR(__xludf.DUMMYFUNCTION("""COMPUTED_VALUE"""),45130.6178890162)</f>
        <v>45130.61789</v>
      </c>
      <c r="D1342" s="15">
        <f>IFERROR(__xludf.DUMMYFUNCTION("""COMPUTED_VALUE"""),1.003)</f>
        <v>1.003</v>
      </c>
      <c r="E1342" s="16">
        <f>IFERROR(__xludf.DUMMYFUNCTION("""COMPUTED_VALUE"""),72.0)</f>
        <v>72</v>
      </c>
      <c r="F1342" s="19" t="str">
        <f>IFERROR(__xludf.DUMMYFUNCTION("""COMPUTED_VALUE"""),"BLACK")</f>
        <v>BLACK</v>
      </c>
      <c r="G1342" s="20" t="str">
        <f>IFERROR(__xludf.DUMMYFUNCTION("""COMPUTED_VALUE"""),"Uncle Sams Cider (04/04/2023)")</f>
        <v>Uncle Sams Cider (04/04/2023)</v>
      </c>
      <c r="H1342" s="19"/>
    </row>
    <row r="1343">
      <c r="A1343" s="9"/>
      <c r="B1343" s="15"/>
      <c r="C1343" s="9">
        <f>IFERROR(__xludf.DUMMYFUNCTION("""COMPUTED_VALUE"""),45130.607468449)</f>
        <v>45130.60747</v>
      </c>
      <c r="D1343" s="15">
        <f>IFERROR(__xludf.DUMMYFUNCTION("""COMPUTED_VALUE"""),1.003)</f>
        <v>1.003</v>
      </c>
      <c r="E1343" s="16">
        <f>IFERROR(__xludf.DUMMYFUNCTION("""COMPUTED_VALUE"""),72.0)</f>
        <v>72</v>
      </c>
      <c r="F1343" s="19" t="str">
        <f>IFERROR(__xludf.DUMMYFUNCTION("""COMPUTED_VALUE"""),"BLACK")</f>
        <v>BLACK</v>
      </c>
      <c r="G1343" s="20" t="str">
        <f>IFERROR(__xludf.DUMMYFUNCTION("""COMPUTED_VALUE"""),"Uncle Sams Cider (04/04/2023)")</f>
        <v>Uncle Sams Cider (04/04/2023)</v>
      </c>
      <c r="H1343" s="19"/>
    </row>
    <row r="1344">
      <c r="A1344" s="9"/>
      <c r="B1344" s="15"/>
      <c r="C1344" s="9">
        <f>IFERROR(__xludf.DUMMYFUNCTION("""COMPUTED_VALUE"""),45130.5970476388)</f>
        <v>45130.59705</v>
      </c>
      <c r="D1344" s="15">
        <f>IFERROR(__xludf.DUMMYFUNCTION("""COMPUTED_VALUE"""),1.003)</f>
        <v>1.003</v>
      </c>
      <c r="E1344" s="16">
        <f>IFERROR(__xludf.DUMMYFUNCTION("""COMPUTED_VALUE"""),72.0)</f>
        <v>72</v>
      </c>
      <c r="F1344" s="19" t="str">
        <f>IFERROR(__xludf.DUMMYFUNCTION("""COMPUTED_VALUE"""),"BLACK")</f>
        <v>BLACK</v>
      </c>
      <c r="G1344" s="20" t="str">
        <f>IFERROR(__xludf.DUMMYFUNCTION("""COMPUTED_VALUE"""),"Uncle Sams Cider (04/04/2023)")</f>
        <v>Uncle Sams Cider (04/04/2023)</v>
      </c>
      <c r="H1344" s="19"/>
    </row>
    <row r="1345">
      <c r="A1345" s="9"/>
      <c r="B1345" s="15"/>
      <c r="C1345" s="9">
        <f>IFERROR(__xludf.DUMMYFUNCTION("""COMPUTED_VALUE"""),45130.5866272453)</f>
        <v>45130.58663</v>
      </c>
      <c r="D1345" s="15">
        <f>IFERROR(__xludf.DUMMYFUNCTION("""COMPUTED_VALUE"""),1.003)</f>
        <v>1.003</v>
      </c>
      <c r="E1345" s="16">
        <f>IFERROR(__xludf.DUMMYFUNCTION("""COMPUTED_VALUE"""),72.0)</f>
        <v>72</v>
      </c>
      <c r="F1345" s="19" t="str">
        <f>IFERROR(__xludf.DUMMYFUNCTION("""COMPUTED_VALUE"""),"BLACK")</f>
        <v>BLACK</v>
      </c>
      <c r="G1345" s="20" t="str">
        <f>IFERROR(__xludf.DUMMYFUNCTION("""COMPUTED_VALUE"""),"Uncle Sams Cider (04/04/2023)")</f>
        <v>Uncle Sams Cider (04/04/2023)</v>
      </c>
      <c r="H1345" s="19"/>
    </row>
    <row r="1346">
      <c r="A1346" s="9"/>
      <c r="B1346" s="15"/>
      <c r="C1346" s="9">
        <f>IFERROR(__xludf.DUMMYFUNCTION("""COMPUTED_VALUE"""),45130.5762069097)</f>
        <v>45130.57621</v>
      </c>
      <c r="D1346" s="15">
        <f>IFERROR(__xludf.DUMMYFUNCTION("""COMPUTED_VALUE"""),1.003)</f>
        <v>1.003</v>
      </c>
      <c r="E1346" s="16">
        <f>IFERROR(__xludf.DUMMYFUNCTION("""COMPUTED_VALUE"""),72.0)</f>
        <v>72</v>
      </c>
      <c r="F1346" s="19" t="str">
        <f>IFERROR(__xludf.DUMMYFUNCTION("""COMPUTED_VALUE"""),"BLACK")</f>
        <v>BLACK</v>
      </c>
      <c r="G1346" s="20" t="str">
        <f>IFERROR(__xludf.DUMMYFUNCTION("""COMPUTED_VALUE"""),"Uncle Sams Cider (04/04/2023)")</f>
        <v>Uncle Sams Cider (04/04/2023)</v>
      </c>
      <c r="H1346" s="19"/>
    </row>
    <row r="1347">
      <c r="A1347" s="9"/>
      <c r="B1347" s="15"/>
      <c r="C1347" s="9">
        <f>IFERROR(__xludf.DUMMYFUNCTION("""COMPUTED_VALUE"""),45130.5657865162)</f>
        <v>45130.56579</v>
      </c>
      <c r="D1347" s="15">
        <f>IFERROR(__xludf.DUMMYFUNCTION("""COMPUTED_VALUE"""),1.003)</f>
        <v>1.003</v>
      </c>
      <c r="E1347" s="16">
        <f>IFERROR(__xludf.DUMMYFUNCTION("""COMPUTED_VALUE"""),72.0)</f>
        <v>72</v>
      </c>
      <c r="F1347" s="19" t="str">
        <f>IFERROR(__xludf.DUMMYFUNCTION("""COMPUTED_VALUE"""),"BLACK")</f>
        <v>BLACK</v>
      </c>
      <c r="G1347" s="20" t="str">
        <f>IFERROR(__xludf.DUMMYFUNCTION("""COMPUTED_VALUE"""),"Uncle Sams Cider (04/04/2023)")</f>
        <v>Uncle Sams Cider (04/04/2023)</v>
      </c>
      <c r="H1347" s="19"/>
    </row>
    <row r="1348">
      <c r="A1348" s="9"/>
      <c r="B1348" s="15"/>
      <c r="C1348" s="9">
        <f>IFERROR(__xludf.DUMMYFUNCTION("""COMPUTED_VALUE"""),45130.5553521875)</f>
        <v>45130.55535</v>
      </c>
      <c r="D1348" s="15">
        <f>IFERROR(__xludf.DUMMYFUNCTION("""COMPUTED_VALUE"""),1.003)</f>
        <v>1.003</v>
      </c>
      <c r="E1348" s="16">
        <f>IFERROR(__xludf.DUMMYFUNCTION("""COMPUTED_VALUE"""),72.0)</f>
        <v>72</v>
      </c>
      <c r="F1348" s="19" t="str">
        <f>IFERROR(__xludf.DUMMYFUNCTION("""COMPUTED_VALUE"""),"BLACK")</f>
        <v>BLACK</v>
      </c>
      <c r="G1348" s="20" t="str">
        <f>IFERROR(__xludf.DUMMYFUNCTION("""COMPUTED_VALUE"""),"Uncle Sams Cider (04/04/2023)")</f>
        <v>Uncle Sams Cider (04/04/2023)</v>
      </c>
      <c r="H1348" s="19"/>
    </row>
    <row r="1349">
      <c r="A1349" s="9"/>
      <c r="B1349" s="15"/>
      <c r="C1349" s="9">
        <f>IFERROR(__xludf.DUMMYFUNCTION("""COMPUTED_VALUE"""),45130.5449180787)</f>
        <v>45130.54492</v>
      </c>
      <c r="D1349" s="15">
        <f>IFERROR(__xludf.DUMMYFUNCTION("""COMPUTED_VALUE"""),1.003)</f>
        <v>1.003</v>
      </c>
      <c r="E1349" s="16">
        <f>IFERROR(__xludf.DUMMYFUNCTION("""COMPUTED_VALUE"""),72.0)</f>
        <v>72</v>
      </c>
      <c r="F1349" s="19" t="str">
        <f>IFERROR(__xludf.DUMMYFUNCTION("""COMPUTED_VALUE"""),"BLACK")</f>
        <v>BLACK</v>
      </c>
      <c r="G1349" s="20" t="str">
        <f>IFERROR(__xludf.DUMMYFUNCTION("""COMPUTED_VALUE"""),"Uncle Sams Cider (04/04/2023)")</f>
        <v>Uncle Sams Cider (04/04/2023)</v>
      </c>
      <c r="H1349" s="19"/>
    </row>
    <row r="1350">
      <c r="A1350" s="9"/>
      <c r="B1350" s="15"/>
      <c r="C1350" s="9">
        <f>IFERROR(__xludf.DUMMYFUNCTION("""COMPUTED_VALUE"""),45130.5344959259)</f>
        <v>45130.5345</v>
      </c>
      <c r="D1350" s="15">
        <f>IFERROR(__xludf.DUMMYFUNCTION("""COMPUTED_VALUE"""),1.003)</f>
        <v>1.003</v>
      </c>
      <c r="E1350" s="16">
        <f>IFERROR(__xludf.DUMMYFUNCTION("""COMPUTED_VALUE"""),72.0)</f>
        <v>72</v>
      </c>
      <c r="F1350" s="19" t="str">
        <f>IFERROR(__xludf.DUMMYFUNCTION("""COMPUTED_VALUE"""),"BLACK")</f>
        <v>BLACK</v>
      </c>
      <c r="G1350" s="20" t="str">
        <f>IFERROR(__xludf.DUMMYFUNCTION("""COMPUTED_VALUE"""),"Uncle Sams Cider (04/04/2023)")</f>
        <v>Uncle Sams Cider (04/04/2023)</v>
      </c>
      <c r="H1350" s="19"/>
    </row>
    <row r="1351">
      <c r="A1351" s="9"/>
      <c r="B1351" s="15"/>
      <c r="C1351" s="9">
        <f>IFERROR(__xludf.DUMMYFUNCTION("""COMPUTED_VALUE"""),45130.52407603)</f>
        <v>45130.52408</v>
      </c>
      <c r="D1351" s="15">
        <f>IFERROR(__xludf.DUMMYFUNCTION("""COMPUTED_VALUE"""),1.003)</f>
        <v>1.003</v>
      </c>
      <c r="E1351" s="16">
        <f>IFERROR(__xludf.DUMMYFUNCTION("""COMPUTED_VALUE"""),72.0)</f>
        <v>72</v>
      </c>
      <c r="F1351" s="19" t="str">
        <f>IFERROR(__xludf.DUMMYFUNCTION("""COMPUTED_VALUE"""),"BLACK")</f>
        <v>BLACK</v>
      </c>
      <c r="G1351" s="20" t="str">
        <f>IFERROR(__xludf.DUMMYFUNCTION("""COMPUTED_VALUE"""),"Uncle Sams Cider (04/04/2023)")</f>
        <v>Uncle Sams Cider (04/04/2023)</v>
      </c>
      <c r="H1351" s="19"/>
    </row>
    <row r="1352">
      <c r="A1352" s="9"/>
      <c r="B1352" s="15"/>
      <c r="C1352" s="9">
        <f>IFERROR(__xludf.DUMMYFUNCTION("""COMPUTED_VALUE"""),45130.5136565509)</f>
        <v>45130.51366</v>
      </c>
      <c r="D1352" s="15">
        <f>IFERROR(__xludf.DUMMYFUNCTION("""COMPUTED_VALUE"""),1.003)</f>
        <v>1.003</v>
      </c>
      <c r="E1352" s="16">
        <f>IFERROR(__xludf.DUMMYFUNCTION("""COMPUTED_VALUE"""),72.0)</f>
        <v>72</v>
      </c>
      <c r="F1352" s="19" t="str">
        <f>IFERROR(__xludf.DUMMYFUNCTION("""COMPUTED_VALUE"""),"BLACK")</f>
        <v>BLACK</v>
      </c>
      <c r="G1352" s="20" t="str">
        <f>IFERROR(__xludf.DUMMYFUNCTION("""COMPUTED_VALUE"""),"Uncle Sams Cider (04/04/2023)")</f>
        <v>Uncle Sams Cider (04/04/2023)</v>
      </c>
      <c r="H1352" s="19"/>
    </row>
    <row r="1353">
      <c r="A1353" s="9"/>
      <c r="B1353" s="15"/>
      <c r="C1353" s="9">
        <f>IFERROR(__xludf.DUMMYFUNCTION("""COMPUTED_VALUE"""),45130.5032353819)</f>
        <v>45130.50324</v>
      </c>
      <c r="D1353" s="15">
        <f>IFERROR(__xludf.DUMMYFUNCTION("""COMPUTED_VALUE"""),1.003)</f>
        <v>1.003</v>
      </c>
      <c r="E1353" s="16">
        <f>IFERROR(__xludf.DUMMYFUNCTION("""COMPUTED_VALUE"""),72.0)</f>
        <v>72</v>
      </c>
      <c r="F1353" s="19" t="str">
        <f>IFERROR(__xludf.DUMMYFUNCTION("""COMPUTED_VALUE"""),"BLACK")</f>
        <v>BLACK</v>
      </c>
      <c r="G1353" s="20" t="str">
        <f>IFERROR(__xludf.DUMMYFUNCTION("""COMPUTED_VALUE"""),"Uncle Sams Cider (04/04/2023)")</f>
        <v>Uncle Sams Cider (04/04/2023)</v>
      </c>
      <c r="H1353" s="19"/>
    </row>
    <row r="1354">
      <c r="A1354" s="9"/>
      <c r="B1354" s="15"/>
      <c r="C1354" s="9">
        <f>IFERROR(__xludf.DUMMYFUNCTION("""COMPUTED_VALUE"""),45130.4928143981)</f>
        <v>45130.49281</v>
      </c>
      <c r="D1354" s="15">
        <f>IFERROR(__xludf.DUMMYFUNCTION("""COMPUTED_VALUE"""),1.003)</f>
        <v>1.003</v>
      </c>
      <c r="E1354" s="16">
        <f>IFERROR(__xludf.DUMMYFUNCTION("""COMPUTED_VALUE"""),72.0)</f>
        <v>72</v>
      </c>
      <c r="F1354" s="19" t="str">
        <f>IFERROR(__xludf.DUMMYFUNCTION("""COMPUTED_VALUE"""),"BLACK")</f>
        <v>BLACK</v>
      </c>
      <c r="G1354" s="20" t="str">
        <f>IFERROR(__xludf.DUMMYFUNCTION("""COMPUTED_VALUE"""),"Uncle Sams Cider (04/04/2023)")</f>
        <v>Uncle Sams Cider (04/04/2023)</v>
      </c>
      <c r="H1354" s="19"/>
    </row>
    <row r="1355">
      <c r="A1355" s="9"/>
      <c r="B1355" s="15"/>
      <c r="C1355" s="9">
        <f>IFERROR(__xludf.DUMMYFUNCTION("""COMPUTED_VALUE"""),45130.4823934722)</f>
        <v>45130.48239</v>
      </c>
      <c r="D1355" s="15">
        <f>IFERROR(__xludf.DUMMYFUNCTION("""COMPUTED_VALUE"""),1.004)</f>
        <v>1.004</v>
      </c>
      <c r="E1355" s="16">
        <f>IFERROR(__xludf.DUMMYFUNCTION("""COMPUTED_VALUE"""),72.0)</f>
        <v>72</v>
      </c>
      <c r="F1355" s="19" t="str">
        <f>IFERROR(__xludf.DUMMYFUNCTION("""COMPUTED_VALUE"""),"BLACK")</f>
        <v>BLACK</v>
      </c>
      <c r="G1355" s="20" t="str">
        <f>IFERROR(__xludf.DUMMYFUNCTION("""COMPUTED_VALUE"""),"Uncle Sams Cider (04/04/2023)")</f>
        <v>Uncle Sams Cider (04/04/2023)</v>
      </c>
      <c r="H1355" s="19"/>
    </row>
    <row r="1356">
      <c r="A1356" s="9"/>
      <c r="B1356" s="15"/>
      <c r="C1356" s="9">
        <f>IFERROR(__xludf.DUMMYFUNCTION("""COMPUTED_VALUE"""),45130.471971875)</f>
        <v>45130.47197</v>
      </c>
      <c r="D1356" s="15">
        <f>IFERROR(__xludf.DUMMYFUNCTION("""COMPUTED_VALUE"""),1.003)</f>
        <v>1.003</v>
      </c>
      <c r="E1356" s="16">
        <f>IFERROR(__xludf.DUMMYFUNCTION("""COMPUTED_VALUE"""),72.0)</f>
        <v>72</v>
      </c>
      <c r="F1356" s="19" t="str">
        <f>IFERROR(__xludf.DUMMYFUNCTION("""COMPUTED_VALUE"""),"BLACK")</f>
        <v>BLACK</v>
      </c>
      <c r="G1356" s="20" t="str">
        <f>IFERROR(__xludf.DUMMYFUNCTION("""COMPUTED_VALUE"""),"Uncle Sams Cider (04/04/2023)")</f>
        <v>Uncle Sams Cider (04/04/2023)</v>
      </c>
      <c r="H1356" s="19"/>
    </row>
    <row r="1357">
      <c r="A1357" s="9"/>
      <c r="B1357" s="15"/>
      <c r="C1357" s="9">
        <f>IFERROR(__xludf.DUMMYFUNCTION("""COMPUTED_VALUE"""),45130.4615401736)</f>
        <v>45130.46154</v>
      </c>
      <c r="D1357" s="15">
        <f>IFERROR(__xludf.DUMMYFUNCTION("""COMPUTED_VALUE"""),1.003)</f>
        <v>1.003</v>
      </c>
      <c r="E1357" s="16">
        <f>IFERROR(__xludf.DUMMYFUNCTION("""COMPUTED_VALUE"""),72.0)</f>
        <v>72</v>
      </c>
      <c r="F1357" s="19" t="str">
        <f>IFERROR(__xludf.DUMMYFUNCTION("""COMPUTED_VALUE"""),"BLACK")</f>
        <v>BLACK</v>
      </c>
      <c r="G1357" s="20" t="str">
        <f>IFERROR(__xludf.DUMMYFUNCTION("""COMPUTED_VALUE"""),"Uncle Sams Cider (04/04/2023)")</f>
        <v>Uncle Sams Cider (04/04/2023)</v>
      </c>
      <c r="H1357" s="19"/>
    </row>
    <row r="1358">
      <c r="A1358" s="9"/>
      <c r="B1358" s="15"/>
      <c r="C1358" s="9">
        <f>IFERROR(__xludf.DUMMYFUNCTION("""COMPUTED_VALUE"""),45130.4511190277)</f>
        <v>45130.45112</v>
      </c>
      <c r="D1358" s="15">
        <f>IFERROR(__xludf.DUMMYFUNCTION("""COMPUTED_VALUE"""),1.003)</f>
        <v>1.003</v>
      </c>
      <c r="E1358" s="16">
        <f>IFERROR(__xludf.DUMMYFUNCTION("""COMPUTED_VALUE"""),72.0)</f>
        <v>72</v>
      </c>
      <c r="F1358" s="19" t="str">
        <f>IFERROR(__xludf.DUMMYFUNCTION("""COMPUTED_VALUE"""),"BLACK")</f>
        <v>BLACK</v>
      </c>
      <c r="G1358" s="20" t="str">
        <f>IFERROR(__xludf.DUMMYFUNCTION("""COMPUTED_VALUE"""),"Uncle Sams Cider (04/04/2023)")</f>
        <v>Uncle Sams Cider (04/04/2023)</v>
      </c>
      <c r="H1358" s="19"/>
    </row>
    <row r="1359">
      <c r="A1359" s="9"/>
      <c r="B1359" s="15"/>
      <c r="C1359" s="9">
        <f>IFERROR(__xludf.DUMMYFUNCTION("""COMPUTED_VALUE"""),45130.4406971875)</f>
        <v>45130.4407</v>
      </c>
      <c r="D1359" s="15">
        <f>IFERROR(__xludf.DUMMYFUNCTION("""COMPUTED_VALUE"""),1.003)</f>
        <v>1.003</v>
      </c>
      <c r="E1359" s="16">
        <f>IFERROR(__xludf.DUMMYFUNCTION("""COMPUTED_VALUE"""),72.0)</f>
        <v>72</v>
      </c>
      <c r="F1359" s="19" t="str">
        <f>IFERROR(__xludf.DUMMYFUNCTION("""COMPUTED_VALUE"""),"BLACK")</f>
        <v>BLACK</v>
      </c>
      <c r="G1359" s="20" t="str">
        <f>IFERROR(__xludf.DUMMYFUNCTION("""COMPUTED_VALUE"""),"Uncle Sams Cider (04/04/2023)")</f>
        <v>Uncle Sams Cider (04/04/2023)</v>
      </c>
      <c r="H1359" s="19"/>
    </row>
    <row r="1360">
      <c r="A1360" s="9"/>
      <c r="B1360" s="15"/>
      <c r="C1360" s="9">
        <f>IFERROR(__xludf.DUMMYFUNCTION("""COMPUTED_VALUE"""),45130.4302752083)</f>
        <v>45130.43028</v>
      </c>
      <c r="D1360" s="15">
        <f>IFERROR(__xludf.DUMMYFUNCTION("""COMPUTED_VALUE"""),1.004)</f>
        <v>1.004</v>
      </c>
      <c r="E1360" s="16">
        <f>IFERROR(__xludf.DUMMYFUNCTION("""COMPUTED_VALUE"""),72.0)</f>
        <v>72</v>
      </c>
      <c r="F1360" s="19" t="str">
        <f>IFERROR(__xludf.DUMMYFUNCTION("""COMPUTED_VALUE"""),"BLACK")</f>
        <v>BLACK</v>
      </c>
      <c r="G1360" s="20" t="str">
        <f>IFERROR(__xludf.DUMMYFUNCTION("""COMPUTED_VALUE"""),"Uncle Sams Cider (04/04/2023)")</f>
        <v>Uncle Sams Cider (04/04/2023)</v>
      </c>
      <c r="H1360" s="19"/>
    </row>
    <row r="1361">
      <c r="A1361" s="9"/>
      <c r="B1361" s="15"/>
      <c r="C1361" s="9">
        <f>IFERROR(__xludf.DUMMYFUNCTION("""COMPUTED_VALUE"""),45130.4198537268)</f>
        <v>45130.41985</v>
      </c>
      <c r="D1361" s="15">
        <f>IFERROR(__xludf.DUMMYFUNCTION("""COMPUTED_VALUE"""),1.003)</f>
        <v>1.003</v>
      </c>
      <c r="E1361" s="16">
        <f>IFERROR(__xludf.DUMMYFUNCTION("""COMPUTED_VALUE"""),72.0)</f>
        <v>72</v>
      </c>
      <c r="F1361" s="19" t="str">
        <f>IFERROR(__xludf.DUMMYFUNCTION("""COMPUTED_VALUE"""),"BLACK")</f>
        <v>BLACK</v>
      </c>
      <c r="G1361" s="20" t="str">
        <f>IFERROR(__xludf.DUMMYFUNCTION("""COMPUTED_VALUE"""),"Uncle Sams Cider (04/04/2023)")</f>
        <v>Uncle Sams Cider (04/04/2023)</v>
      </c>
      <c r="H1361" s="19"/>
    </row>
    <row r="1362">
      <c r="A1362" s="9"/>
      <c r="B1362" s="15"/>
      <c r="C1362" s="9">
        <f>IFERROR(__xludf.DUMMYFUNCTION("""COMPUTED_VALUE"""),45130.4094190046)</f>
        <v>45130.40942</v>
      </c>
      <c r="D1362" s="15">
        <f>IFERROR(__xludf.DUMMYFUNCTION("""COMPUTED_VALUE"""),1.003)</f>
        <v>1.003</v>
      </c>
      <c r="E1362" s="16">
        <f>IFERROR(__xludf.DUMMYFUNCTION("""COMPUTED_VALUE"""),72.0)</f>
        <v>72</v>
      </c>
      <c r="F1362" s="19" t="str">
        <f>IFERROR(__xludf.DUMMYFUNCTION("""COMPUTED_VALUE"""),"BLACK")</f>
        <v>BLACK</v>
      </c>
      <c r="G1362" s="20" t="str">
        <f>IFERROR(__xludf.DUMMYFUNCTION("""COMPUTED_VALUE"""),"Uncle Sams Cider (04/04/2023)")</f>
        <v>Uncle Sams Cider (04/04/2023)</v>
      </c>
      <c r="H1362" s="19"/>
    </row>
    <row r="1363">
      <c r="A1363" s="9"/>
      <c r="B1363" s="15"/>
      <c r="C1363" s="9">
        <f>IFERROR(__xludf.DUMMYFUNCTION("""COMPUTED_VALUE"""),45130.3989974189)</f>
        <v>45130.399</v>
      </c>
      <c r="D1363" s="15">
        <f>IFERROR(__xludf.DUMMYFUNCTION("""COMPUTED_VALUE"""),1.003)</f>
        <v>1.003</v>
      </c>
      <c r="E1363" s="16">
        <f>IFERROR(__xludf.DUMMYFUNCTION("""COMPUTED_VALUE"""),72.0)</f>
        <v>72</v>
      </c>
      <c r="F1363" s="19" t="str">
        <f>IFERROR(__xludf.DUMMYFUNCTION("""COMPUTED_VALUE"""),"BLACK")</f>
        <v>BLACK</v>
      </c>
      <c r="G1363" s="20" t="str">
        <f>IFERROR(__xludf.DUMMYFUNCTION("""COMPUTED_VALUE"""),"Uncle Sams Cider (04/04/2023)")</f>
        <v>Uncle Sams Cider (04/04/2023)</v>
      </c>
      <c r="H1363" s="19"/>
    </row>
    <row r="1364">
      <c r="A1364" s="9"/>
      <c r="B1364" s="15"/>
      <c r="C1364" s="9">
        <f>IFERROR(__xludf.DUMMYFUNCTION("""COMPUTED_VALUE"""),45130.3885770833)</f>
        <v>45130.38858</v>
      </c>
      <c r="D1364" s="15">
        <f>IFERROR(__xludf.DUMMYFUNCTION("""COMPUTED_VALUE"""),1.004)</f>
        <v>1.004</v>
      </c>
      <c r="E1364" s="16">
        <f>IFERROR(__xludf.DUMMYFUNCTION("""COMPUTED_VALUE"""),72.0)</f>
        <v>72</v>
      </c>
      <c r="F1364" s="19" t="str">
        <f>IFERROR(__xludf.DUMMYFUNCTION("""COMPUTED_VALUE"""),"BLACK")</f>
        <v>BLACK</v>
      </c>
      <c r="G1364" s="20" t="str">
        <f>IFERROR(__xludf.DUMMYFUNCTION("""COMPUTED_VALUE"""),"Uncle Sams Cider (04/04/2023)")</f>
        <v>Uncle Sams Cider (04/04/2023)</v>
      </c>
      <c r="H1364" s="19"/>
    </row>
    <row r="1365">
      <c r="A1365" s="9"/>
      <c r="B1365" s="15"/>
      <c r="C1365" s="9">
        <f>IFERROR(__xludf.DUMMYFUNCTION("""COMPUTED_VALUE"""),45130.3781555555)</f>
        <v>45130.37816</v>
      </c>
      <c r="D1365" s="15">
        <f>IFERROR(__xludf.DUMMYFUNCTION("""COMPUTED_VALUE"""),1.003)</f>
        <v>1.003</v>
      </c>
      <c r="E1365" s="16">
        <f>IFERROR(__xludf.DUMMYFUNCTION("""COMPUTED_VALUE"""),72.0)</f>
        <v>72</v>
      </c>
      <c r="F1365" s="19" t="str">
        <f>IFERROR(__xludf.DUMMYFUNCTION("""COMPUTED_VALUE"""),"BLACK")</f>
        <v>BLACK</v>
      </c>
      <c r="G1365" s="20" t="str">
        <f>IFERROR(__xludf.DUMMYFUNCTION("""COMPUTED_VALUE"""),"Uncle Sams Cider (04/04/2023)")</f>
        <v>Uncle Sams Cider (04/04/2023)</v>
      </c>
      <c r="H1365" s="19"/>
    </row>
    <row r="1366">
      <c r="A1366" s="9"/>
      <c r="B1366" s="15"/>
      <c r="C1366" s="9">
        <f>IFERROR(__xludf.DUMMYFUNCTION("""COMPUTED_VALUE"""),45130.3677349189)</f>
        <v>45130.36773</v>
      </c>
      <c r="D1366" s="15">
        <f>IFERROR(__xludf.DUMMYFUNCTION("""COMPUTED_VALUE"""),1.003)</f>
        <v>1.003</v>
      </c>
      <c r="E1366" s="16">
        <f>IFERROR(__xludf.DUMMYFUNCTION("""COMPUTED_VALUE"""),72.0)</f>
        <v>72</v>
      </c>
      <c r="F1366" s="19" t="str">
        <f>IFERROR(__xludf.DUMMYFUNCTION("""COMPUTED_VALUE"""),"BLACK")</f>
        <v>BLACK</v>
      </c>
      <c r="G1366" s="20" t="str">
        <f>IFERROR(__xludf.DUMMYFUNCTION("""COMPUTED_VALUE"""),"Uncle Sams Cider (04/04/2023)")</f>
        <v>Uncle Sams Cider (04/04/2023)</v>
      </c>
      <c r="H1366" s="19"/>
    </row>
    <row r="1367">
      <c r="A1367" s="9"/>
      <c r="B1367" s="15"/>
      <c r="C1367" s="9">
        <f>IFERROR(__xludf.DUMMYFUNCTION("""COMPUTED_VALUE"""),45130.3573124189)</f>
        <v>45130.35731</v>
      </c>
      <c r="D1367" s="15">
        <f>IFERROR(__xludf.DUMMYFUNCTION("""COMPUTED_VALUE"""),1.003)</f>
        <v>1.003</v>
      </c>
      <c r="E1367" s="16">
        <f>IFERROR(__xludf.DUMMYFUNCTION("""COMPUTED_VALUE"""),72.0)</f>
        <v>72</v>
      </c>
      <c r="F1367" s="19" t="str">
        <f>IFERROR(__xludf.DUMMYFUNCTION("""COMPUTED_VALUE"""),"BLACK")</f>
        <v>BLACK</v>
      </c>
      <c r="G1367" s="20" t="str">
        <f>IFERROR(__xludf.DUMMYFUNCTION("""COMPUTED_VALUE"""),"Uncle Sams Cider (04/04/2023)")</f>
        <v>Uncle Sams Cider (04/04/2023)</v>
      </c>
      <c r="H1367" s="19"/>
    </row>
    <row r="1368">
      <c r="A1368" s="9"/>
      <c r="B1368" s="15"/>
      <c r="C1368" s="9">
        <f>IFERROR(__xludf.DUMMYFUNCTION("""COMPUTED_VALUE"""),45130.3468919791)</f>
        <v>45130.34689</v>
      </c>
      <c r="D1368" s="15">
        <f>IFERROR(__xludf.DUMMYFUNCTION("""COMPUTED_VALUE"""),1.003)</f>
        <v>1.003</v>
      </c>
      <c r="E1368" s="16">
        <f>IFERROR(__xludf.DUMMYFUNCTION("""COMPUTED_VALUE"""),72.0)</f>
        <v>72</v>
      </c>
      <c r="F1368" s="19" t="str">
        <f>IFERROR(__xludf.DUMMYFUNCTION("""COMPUTED_VALUE"""),"BLACK")</f>
        <v>BLACK</v>
      </c>
      <c r="G1368" s="20" t="str">
        <f>IFERROR(__xludf.DUMMYFUNCTION("""COMPUTED_VALUE"""),"Uncle Sams Cider (04/04/2023)")</f>
        <v>Uncle Sams Cider (04/04/2023)</v>
      </c>
      <c r="H1368" s="19"/>
    </row>
    <row r="1369">
      <c r="A1369" s="9"/>
      <c r="B1369" s="15"/>
      <c r="C1369" s="9">
        <f>IFERROR(__xludf.DUMMYFUNCTION("""COMPUTED_VALUE"""),45130.3364702893)</f>
        <v>45130.33647</v>
      </c>
      <c r="D1369" s="15">
        <f>IFERROR(__xludf.DUMMYFUNCTION("""COMPUTED_VALUE"""),1.003)</f>
        <v>1.003</v>
      </c>
      <c r="E1369" s="16">
        <f>IFERROR(__xludf.DUMMYFUNCTION("""COMPUTED_VALUE"""),72.0)</f>
        <v>72</v>
      </c>
      <c r="F1369" s="19" t="str">
        <f>IFERROR(__xludf.DUMMYFUNCTION("""COMPUTED_VALUE"""),"BLACK")</f>
        <v>BLACK</v>
      </c>
      <c r="G1369" s="20" t="str">
        <f>IFERROR(__xludf.DUMMYFUNCTION("""COMPUTED_VALUE"""),"Uncle Sams Cider (04/04/2023)")</f>
        <v>Uncle Sams Cider (04/04/2023)</v>
      </c>
      <c r="H1369" s="19"/>
    </row>
    <row r="1370">
      <c r="A1370" s="9"/>
      <c r="B1370" s="15"/>
      <c r="C1370" s="9">
        <f>IFERROR(__xludf.DUMMYFUNCTION("""COMPUTED_VALUE"""),45130.3260494444)</f>
        <v>45130.32605</v>
      </c>
      <c r="D1370" s="15">
        <f>IFERROR(__xludf.DUMMYFUNCTION("""COMPUTED_VALUE"""),1.003)</f>
        <v>1.003</v>
      </c>
      <c r="E1370" s="16">
        <f>IFERROR(__xludf.DUMMYFUNCTION("""COMPUTED_VALUE"""),72.0)</f>
        <v>72</v>
      </c>
      <c r="F1370" s="19" t="str">
        <f>IFERROR(__xludf.DUMMYFUNCTION("""COMPUTED_VALUE"""),"BLACK")</f>
        <v>BLACK</v>
      </c>
      <c r="G1370" s="20" t="str">
        <f>IFERROR(__xludf.DUMMYFUNCTION("""COMPUTED_VALUE"""),"Uncle Sams Cider (04/04/2023)")</f>
        <v>Uncle Sams Cider (04/04/2023)</v>
      </c>
      <c r="H1370" s="19"/>
    </row>
    <row r="1371">
      <c r="A1371" s="9"/>
      <c r="B1371" s="15"/>
      <c r="C1371" s="9">
        <f>IFERROR(__xludf.DUMMYFUNCTION("""COMPUTED_VALUE"""),45130.3156259722)</f>
        <v>45130.31563</v>
      </c>
      <c r="D1371" s="15">
        <f>IFERROR(__xludf.DUMMYFUNCTION("""COMPUTED_VALUE"""),1.003)</f>
        <v>1.003</v>
      </c>
      <c r="E1371" s="16">
        <f>IFERROR(__xludf.DUMMYFUNCTION("""COMPUTED_VALUE"""),72.0)</f>
        <v>72</v>
      </c>
      <c r="F1371" s="19" t="str">
        <f>IFERROR(__xludf.DUMMYFUNCTION("""COMPUTED_VALUE"""),"BLACK")</f>
        <v>BLACK</v>
      </c>
      <c r="G1371" s="20" t="str">
        <f>IFERROR(__xludf.DUMMYFUNCTION("""COMPUTED_VALUE"""),"Uncle Sams Cider (04/04/2023)")</f>
        <v>Uncle Sams Cider (04/04/2023)</v>
      </c>
      <c r="H1371" s="19"/>
    </row>
    <row r="1372">
      <c r="A1372" s="9"/>
      <c r="B1372" s="15"/>
      <c r="C1372" s="9">
        <f>IFERROR(__xludf.DUMMYFUNCTION("""COMPUTED_VALUE"""),45130.3052055439)</f>
        <v>45130.30521</v>
      </c>
      <c r="D1372" s="15">
        <f>IFERROR(__xludf.DUMMYFUNCTION("""COMPUTED_VALUE"""),1.003)</f>
        <v>1.003</v>
      </c>
      <c r="E1372" s="16">
        <f>IFERROR(__xludf.DUMMYFUNCTION("""COMPUTED_VALUE"""),72.0)</f>
        <v>72</v>
      </c>
      <c r="F1372" s="19" t="str">
        <f>IFERROR(__xludf.DUMMYFUNCTION("""COMPUTED_VALUE"""),"BLACK")</f>
        <v>BLACK</v>
      </c>
      <c r="G1372" s="20" t="str">
        <f>IFERROR(__xludf.DUMMYFUNCTION("""COMPUTED_VALUE"""),"Uncle Sams Cider (04/04/2023)")</f>
        <v>Uncle Sams Cider (04/04/2023)</v>
      </c>
      <c r="H1372" s="19"/>
    </row>
    <row r="1373">
      <c r="A1373" s="9"/>
      <c r="B1373" s="15"/>
      <c r="C1373" s="9">
        <f>IFERROR(__xludf.DUMMYFUNCTION("""COMPUTED_VALUE"""),45130.2947840972)</f>
        <v>45130.29478</v>
      </c>
      <c r="D1373" s="15">
        <f>IFERROR(__xludf.DUMMYFUNCTION("""COMPUTED_VALUE"""),1.003)</f>
        <v>1.003</v>
      </c>
      <c r="E1373" s="16">
        <f>IFERROR(__xludf.DUMMYFUNCTION("""COMPUTED_VALUE"""),72.0)</f>
        <v>72</v>
      </c>
      <c r="F1373" s="19" t="str">
        <f>IFERROR(__xludf.DUMMYFUNCTION("""COMPUTED_VALUE"""),"BLACK")</f>
        <v>BLACK</v>
      </c>
      <c r="G1373" s="20" t="str">
        <f>IFERROR(__xludf.DUMMYFUNCTION("""COMPUTED_VALUE"""),"Uncle Sams Cider (04/04/2023)")</f>
        <v>Uncle Sams Cider (04/04/2023)</v>
      </c>
      <c r="H1373" s="19"/>
    </row>
    <row r="1374">
      <c r="A1374" s="9"/>
      <c r="B1374" s="15"/>
      <c r="C1374" s="9">
        <f>IFERROR(__xludf.DUMMYFUNCTION("""COMPUTED_VALUE"""),45130.2843635879)</f>
        <v>45130.28436</v>
      </c>
      <c r="D1374" s="15">
        <f>IFERROR(__xludf.DUMMYFUNCTION("""COMPUTED_VALUE"""),1.003)</f>
        <v>1.003</v>
      </c>
      <c r="E1374" s="16">
        <f>IFERROR(__xludf.DUMMYFUNCTION("""COMPUTED_VALUE"""),72.0)</f>
        <v>72</v>
      </c>
      <c r="F1374" s="19" t="str">
        <f>IFERROR(__xludf.DUMMYFUNCTION("""COMPUTED_VALUE"""),"BLACK")</f>
        <v>BLACK</v>
      </c>
      <c r="G1374" s="20" t="str">
        <f>IFERROR(__xludf.DUMMYFUNCTION("""COMPUTED_VALUE"""),"Uncle Sams Cider (04/04/2023)")</f>
        <v>Uncle Sams Cider (04/04/2023)</v>
      </c>
      <c r="H1374" s="19"/>
    </row>
    <row r="1375">
      <c r="A1375" s="9"/>
      <c r="B1375" s="15"/>
      <c r="C1375" s="9">
        <f>IFERROR(__xludf.DUMMYFUNCTION("""COMPUTED_VALUE"""),45130.2739429976)</f>
        <v>45130.27394</v>
      </c>
      <c r="D1375" s="15">
        <f>IFERROR(__xludf.DUMMYFUNCTION("""COMPUTED_VALUE"""),1.003)</f>
        <v>1.003</v>
      </c>
      <c r="E1375" s="16">
        <f>IFERROR(__xludf.DUMMYFUNCTION("""COMPUTED_VALUE"""),72.0)</f>
        <v>72</v>
      </c>
      <c r="F1375" s="19" t="str">
        <f>IFERROR(__xludf.DUMMYFUNCTION("""COMPUTED_VALUE"""),"BLACK")</f>
        <v>BLACK</v>
      </c>
      <c r="G1375" s="20" t="str">
        <f>IFERROR(__xludf.DUMMYFUNCTION("""COMPUTED_VALUE"""),"Uncle Sams Cider (04/04/2023)")</f>
        <v>Uncle Sams Cider (04/04/2023)</v>
      </c>
      <c r="H1375" s="19"/>
    </row>
    <row r="1376">
      <c r="A1376" s="9"/>
      <c r="B1376" s="15"/>
      <c r="C1376" s="9">
        <f>IFERROR(__xludf.DUMMYFUNCTION("""COMPUTED_VALUE"""),45130.2635205555)</f>
        <v>45130.26352</v>
      </c>
      <c r="D1376" s="15">
        <f>IFERROR(__xludf.DUMMYFUNCTION("""COMPUTED_VALUE"""),1.003)</f>
        <v>1.003</v>
      </c>
      <c r="E1376" s="16">
        <f>IFERROR(__xludf.DUMMYFUNCTION("""COMPUTED_VALUE"""),72.0)</f>
        <v>72</v>
      </c>
      <c r="F1376" s="19" t="str">
        <f>IFERROR(__xludf.DUMMYFUNCTION("""COMPUTED_VALUE"""),"BLACK")</f>
        <v>BLACK</v>
      </c>
      <c r="G1376" s="20" t="str">
        <f>IFERROR(__xludf.DUMMYFUNCTION("""COMPUTED_VALUE"""),"Uncle Sams Cider (04/04/2023)")</f>
        <v>Uncle Sams Cider (04/04/2023)</v>
      </c>
      <c r="H1376" s="19"/>
    </row>
    <row r="1377">
      <c r="A1377" s="9"/>
      <c r="B1377" s="15"/>
      <c r="C1377" s="9">
        <f>IFERROR(__xludf.DUMMYFUNCTION("""COMPUTED_VALUE"""),45130.253099074)</f>
        <v>45130.2531</v>
      </c>
      <c r="D1377" s="15">
        <f>IFERROR(__xludf.DUMMYFUNCTION("""COMPUTED_VALUE"""),1.003)</f>
        <v>1.003</v>
      </c>
      <c r="E1377" s="16">
        <f>IFERROR(__xludf.DUMMYFUNCTION("""COMPUTED_VALUE"""),72.0)</f>
        <v>72</v>
      </c>
      <c r="F1377" s="19" t="str">
        <f>IFERROR(__xludf.DUMMYFUNCTION("""COMPUTED_VALUE"""),"BLACK")</f>
        <v>BLACK</v>
      </c>
      <c r="G1377" s="20" t="str">
        <f>IFERROR(__xludf.DUMMYFUNCTION("""COMPUTED_VALUE"""),"Uncle Sams Cider (04/04/2023)")</f>
        <v>Uncle Sams Cider (04/04/2023)</v>
      </c>
      <c r="H1377" s="19"/>
    </row>
    <row r="1378">
      <c r="A1378" s="9"/>
      <c r="B1378" s="15"/>
      <c r="C1378" s="9">
        <f>IFERROR(__xludf.DUMMYFUNCTION("""COMPUTED_VALUE"""),45130.2426790162)</f>
        <v>45130.24268</v>
      </c>
      <c r="D1378" s="15">
        <f>IFERROR(__xludf.DUMMYFUNCTION("""COMPUTED_VALUE"""),1.003)</f>
        <v>1.003</v>
      </c>
      <c r="E1378" s="16">
        <f>IFERROR(__xludf.DUMMYFUNCTION("""COMPUTED_VALUE"""),72.0)</f>
        <v>72</v>
      </c>
      <c r="F1378" s="19" t="str">
        <f>IFERROR(__xludf.DUMMYFUNCTION("""COMPUTED_VALUE"""),"BLACK")</f>
        <v>BLACK</v>
      </c>
      <c r="G1378" s="20" t="str">
        <f>IFERROR(__xludf.DUMMYFUNCTION("""COMPUTED_VALUE"""),"Uncle Sams Cider (04/04/2023)")</f>
        <v>Uncle Sams Cider (04/04/2023)</v>
      </c>
      <c r="H1378" s="19"/>
    </row>
    <row r="1379">
      <c r="A1379" s="9"/>
      <c r="B1379" s="15"/>
      <c r="C1379" s="9">
        <f>IFERROR(__xludf.DUMMYFUNCTION("""COMPUTED_VALUE"""),45130.232246331)</f>
        <v>45130.23225</v>
      </c>
      <c r="D1379" s="15">
        <f>IFERROR(__xludf.DUMMYFUNCTION("""COMPUTED_VALUE"""),1.004)</f>
        <v>1.004</v>
      </c>
      <c r="E1379" s="16">
        <f>IFERROR(__xludf.DUMMYFUNCTION("""COMPUTED_VALUE"""),72.0)</f>
        <v>72</v>
      </c>
      <c r="F1379" s="19" t="str">
        <f>IFERROR(__xludf.DUMMYFUNCTION("""COMPUTED_VALUE"""),"BLACK")</f>
        <v>BLACK</v>
      </c>
      <c r="G1379" s="20" t="str">
        <f>IFERROR(__xludf.DUMMYFUNCTION("""COMPUTED_VALUE"""),"Uncle Sams Cider (04/04/2023)")</f>
        <v>Uncle Sams Cider (04/04/2023)</v>
      </c>
      <c r="H1379" s="19"/>
    </row>
    <row r="1380">
      <c r="A1380" s="9"/>
      <c r="B1380" s="15"/>
      <c r="C1380" s="9">
        <f>IFERROR(__xludf.DUMMYFUNCTION("""COMPUTED_VALUE"""),45130.2218248495)</f>
        <v>45130.22182</v>
      </c>
      <c r="D1380" s="15">
        <f>IFERROR(__xludf.DUMMYFUNCTION("""COMPUTED_VALUE"""),1.003)</f>
        <v>1.003</v>
      </c>
      <c r="E1380" s="16">
        <f>IFERROR(__xludf.DUMMYFUNCTION("""COMPUTED_VALUE"""),72.0)</f>
        <v>72</v>
      </c>
      <c r="F1380" s="19" t="str">
        <f>IFERROR(__xludf.DUMMYFUNCTION("""COMPUTED_VALUE"""),"BLACK")</f>
        <v>BLACK</v>
      </c>
      <c r="G1380" s="20" t="str">
        <f>IFERROR(__xludf.DUMMYFUNCTION("""COMPUTED_VALUE"""),"Uncle Sams Cider (04/04/2023)")</f>
        <v>Uncle Sams Cider (04/04/2023)</v>
      </c>
      <c r="H1380" s="19"/>
    </row>
    <row r="1381">
      <c r="A1381" s="9"/>
      <c r="B1381" s="15"/>
      <c r="C1381" s="9">
        <f>IFERROR(__xludf.DUMMYFUNCTION("""COMPUTED_VALUE"""),45130.2114031018)</f>
        <v>45130.2114</v>
      </c>
      <c r="D1381" s="15">
        <f>IFERROR(__xludf.DUMMYFUNCTION("""COMPUTED_VALUE"""),1.003)</f>
        <v>1.003</v>
      </c>
      <c r="E1381" s="16">
        <f>IFERROR(__xludf.DUMMYFUNCTION("""COMPUTED_VALUE"""),72.0)</f>
        <v>72</v>
      </c>
      <c r="F1381" s="19" t="str">
        <f>IFERROR(__xludf.DUMMYFUNCTION("""COMPUTED_VALUE"""),"BLACK")</f>
        <v>BLACK</v>
      </c>
      <c r="G1381" s="20" t="str">
        <f>IFERROR(__xludf.DUMMYFUNCTION("""COMPUTED_VALUE"""),"Uncle Sams Cider (04/04/2023)")</f>
        <v>Uncle Sams Cider (04/04/2023)</v>
      </c>
      <c r="H1381" s="19"/>
    </row>
    <row r="1382">
      <c r="A1382" s="9"/>
      <c r="B1382" s="15"/>
      <c r="C1382" s="9">
        <f>IFERROR(__xludf.DUMMYFUNCTION("""COMPUTED_VALUE"""),45130.2009818981)</f>
        <v>45130.20098</v>
      </c>
      <c r="D1382" s="15">
        <f>IFERROR(__xludf.DUMMYFUNCTION("""COMPUTED_VALUE"""),1.003)</f>
        <v>1.003</v>
      </c>
      <c r="E1382" s="16">
        <f>IFERROR(__xludf.DUMMYFUNCTION("""COMPUTED_VALUE"""),72.0)</f>
        <v>72</v>
      </c>
      <c r="F1382" s="19" t="str">
        <f>IFERROR(__xludf.DUMMYFUNCTION("""COMPUTED_VALUE"""),"BLACK")</f>
        <v>BLACK</v>
      </c>
      <c r="G1382" s="20" t="str">
        <f>IFERROR(__xludf.DUMMYFUNCTION("""COMPUTED_VALUE"""),"Uncle Sams Cider (04/04/2023)")</f>
        <v>Uncle Sams Cider (04/04/2023)</v>
      </c>
      <c r="H1382" s="19"/>
    </row>
    <row r="1383">
      <c r="A1383" s="9"/>
      <c r="B1383" s="15"/>
      <c r="C1383" s="9">
        <f>IFERROR(__xludf.DUMMYFUNCTION("""COMPUTED_VALUE"""),45130.1905608333)</f>
        <v>45130.19056</v>
      </c>
      <c r="D1383" s="15">
        <f>IFERROR(__xludf.DUMMYFUNCTION("""COMPUTED_VALUE"""),1.003)</f>
        <v>1.003</v>
      </c>
      <c r="E1383" s="16">
        <f>IFERROR(__xludf.DUMMYFUNCTION("""COMPUTED_VALUE"""),72.0)</f>
        <v>72</v>
      </c>
      <c r="F1383" s="19" t="str">
        <f>IFERROR(__xludf.DUMMYFUNCTION("""COMPUTED_VALUE"""),"BLACK")</f>
        <v>BLACK</v>
      </c>
      <c r="G1383" s="20" t="str">
        <f>IFERROR(__xludf.DUMMYFUNCTION("""COMPUTED_VALUE"""),"Uncle Sams Cider (04/04/2023)")</f>
        <v>Uncle Sams Cider (04/04/2023)</v>
      </c>
      <c r="H1383" s="19"/>
    </row>
    <row r="1384">
      <c r="A1384" s="9"/>
      <c r="B1384" s="15"/>
      <c r="C1384" s="9">
        <f>IFERROR(__xludf.DUMMYFUNCTION("""COMPUTED_VALUE"""),45130.1801161574)</f>
        <v>45130.18012</v>
      </c>
      <c r="D1384" s="15">
        <f>IFERROR(__xludf.DUMMYFUNCTION("""COMPUTED_VALUE"""),1.003)</f>
        <v>1.003</v>
      </c>
      <c r="E1384" s="16">
        <f>IFERROR(__xludf.DUMMYFUNCTION("""COMPUTED_VALUE"""),72.0)</f>
        <v>72</v>
      </c>
      <c r="F1384" s="19" t="str">
        <f>IFERROR(__xludf.DUMMYFUNCTION("""COMPUTED_VALUE"""),"BLACK")</f>
        <v>BLACK</v>
      </c>
      <c r="G1384" s="20" t="str">
        <f>IFERROR(__xludf.DUMMYFUNCTION("""COMPUTED_VALUE"""),"Uncle Sams Cider (04/04/2023)")</f>
        <v>Uncle Sams Cider (04/04/2023)</v>
      </c>
      <c r="H1384" s="19"/>
    </row>
    <row r="1385">
      <c r="A1385" s="9"/>
      <c r="B1385" s="15"/>
      <c r="C1385" s="9">
        <f>IFERROR(__xludf.DUMMYFUNCTION("""COMPUTED_VALUE"""),45130.1696947338)</f>
        <v>45130.16969</v>
      </c>
      <c r="D1385" s="15">
        <f>IFERROR(__xludf.DUMMYFUNCTION("""COMPUTED_VALUE"""),1.003)</f>
        <v>1.003</v>
      </c>
      <c r="E1385" s="16">
        <f>IFERROR(__xludf.DUMMYFUNCTION("""COMPUTED_VALUE"""),72.0)</f>
        <v>72</v>
      </c>
      <c r="F1385" s="19" t="str">
        <f>IFERROR(__xludf.DUMMYFUNCTION("""COMPUTED_VALUE"""),"BLACK")</f>
        <v>BLACK</v>
      </c>
      <c r="G1385" s="20" t="str">
        <f>IFERROR(__xludf.DUMMYFUNCTION("""COMPUTED_VALUE"""),"Uncle Sams Cider (04/04/2023)")</f>
        <v>Uncle Sams Cider (04/04/2023)</v>
      </c>
      <c r="H1385" s="19"/>
    </row>
    <row r="1386">
      <c r="A1386" s="9"/>
      <c r="B1386" s="15"/>
      <c r="C1386" s="9">
        <f>IFERROR(__xludf.DUMMYFUNCTION("""COMPUTED_VALUE"""),45130.1592743518)</f>
        <v>45130.15927</v>
      </c>
      <c r="D1386" s="15">
        <f>IFERROR(__xludf.DUMMYFUNCTION("""COMPUTED_VALUE"""),1.003)</f>
        <v>1.003</v>
      </c>
      <c r="E1386" s="16">
        <f>IFERROR(__xludf.DUMMYFUNCTION("""COMPUTED_VALUE"""),72.0)</f>
        <v>72</v>
      </c>
      <c r="F1386" s="19" t="str">
        <f>IFERROR(__xludf.DUMMYFUNCTION("""COMPUTED_VALUE"""),"BLACK")</f>
        <v>BLACK</v>
      </c>
      <c r="G1386" s="20" t="str">
        <f>IFERROR(__xludf.DUMMYFUNCTION("""COMPUTED_VALUE"""),"Uncle Sams Cider (04/04/2023)")</f>
        <v>Uncle Sams Cider (04/04/2023)</v>
      </c>
      <c r="H1386" s="19"/>
    </row>
    <row r="1387">
      <c r="A1387" s="9"/>
      <c r="B1387" s="15"/>
      <c r="C1387" s="9">
        <f>IFERROR(__xludf.DUMMYFUNCTION("""COMPUTED_VALUE"""),45130.1488538657)</f>
        <v>45130.14885</v>
      </c>
      <c r="D1387" s="15">
        <f>IFERROR(__xludf.DUMMYFUNCTION("""COMPUTED_VALUE"""),1.003)</f>
        <v>1.003</v>
      </c>
      <c r="E1387" s="16">
        <f>IFERROR(__xludf.DUMMYFUNCTION("""COMPUTED_VALUE"""),72.0)</f>
        <v>72</v>
      </c>
      <c r="F1387" s="19" t="str">
        <f>IFERROR(__xludf.DUMMYFUNCTION("""COMPUTED_VALUE"""),"BLACK")</f>
        <v>BLACK</v>
      </c>
      <c r="G1387" s="20" t="str">
        <f>IFERROR(__xludf.DUMMYFUNCTION("""COMPUTED_VALUE"""),"Uncle Sams Cider (04/04/2023)")</f>
        <v>Uncle Sams Cider (04/04/2023)</v>
      </c>
      <c r="H1387" s="19"/>
    </row>
    <row r="1388">
      <c r="A1388" s="9"/>
      <c r="B1388" s="15"/>
      <c r="C1388" s="9">
        <f>IFERROR(__xludf.DUMMYFUNCTION("""COMPUTED_VALUE"""),45130.1384322569)</f>
        <v>45130.13843</v>
      </c>
      <c r="D1388" s="15">
        <f>IFERROR(__xludf.DUMMYFUNCTION("""COMPUTED_VALUE"""),1.003)</f>
        <v>1.003</v>
      </c>
      <c r="E1388" s="16">
        <f>IFERROR(__xludf.DUMMYFUNCTION("""COMPUTED_VALUE"""),72.0)</f>
        <v>72</v>
      </c>
      <c r="F1388" s="19" t="str">
        <f>IFERROR(__xludf.DUMMYFUNCTION("""COMPUTED_VALUE"""),"BLACK")</f>
        <v>BLACK</v>
      </c>
      <c r="G1388" s="20" t="str">
        <f>IFERROR(__xludf.DUMMYFUNCTION("""COMPUTED_VALUE"""),"Uncle Sams Cider (04/04/2023)")</f>
        <v>Uncle Sams Cider (04/04/2023)</v>
      </c>
      <c r="H1388" s="19"/>
    </row>
    <row r="1389">
      <c r="A1389" s="9"/>
      <c r="B1389" s="15"/>
      <c r="C1389" s="9">
        <f>IFERROR(__xludf.DUMMYFUNCTION("""COMPUTED_VALUE"""),45130.1280128819)</f>
        <v>45130.12801</v>
      </c>
      <c r="D1389" s="15">
        <f>IFERROR(__xludf.DUMMYFUNCTION("""COMPUTED_VALUE"""),1.003)</f>
        <v>1.003</v>
      </c>
      <c r="E1389" s="16">
        <f>IFERROR(__xludf.DUMMYFUNCTION("""COMPUTED_VALUE"""),72.0)</f>
        <v>72</v>
      </c>
      <c r="F1389" s="19" t="str">
        <f>IFERROR(__xludf.DUMMYFUNCTION("""COMPUTED_VALUE"""),"BLACK")</f>
        <v>BLACK</v>
      </c>
      <c r="G1389" s="20" t="str">
        <f>IFERROR(__xludf.DUMMYFUNCTION("""COMPUTED_VALUE"""),"Uncle Sams Cider (04/04/2023)")</f>
        <v>Uncle Sams Cider (04/04/2023)</v>
      </c>
      <c r="H1389" s="19"/>
    </row>
    <row r="1390">
      <c r="A1390" s="9"/>
      <c r="B1390" s="15"/>
      <c r="C1390" s="9">
        <f>IFERROR(__xludf.DUMMYFUNCTION("""COMPUTED_VALUE"""),45130.1175914236)</f>
        <v>45130.11759</v>
      </c>
      <c r="D1390" s="15">
        <f>IFERROR(__xludf.DUMMYFUNCTION("""COMPUTED_VALUE"""),1.003)</f>
        <v>1.003</v>
      </c>
      <c r="E1390" s="16">
        <f>IFERROR(__xludf.DUMMYFUNCTION("""COMPUTED_VALUE"""),72.0)</f>
        <v>72</v>
      </c>
      <c r="F1390" s="19" t="str">
        <f>IFERROR(__xludf.DUMMYFUNCTION("""COMPUTED_VALUE"""),"BLACK")</f>
        <v>BLACK</v>
      </c>
      <c r="G1390" s="20" t="str">
        <f>IFERROR(__xludf.DUMMYFUNCTION("""COMPUTED_VALUE"""),"Uncle Sams Cider (04/04/2023)")</f>
        <v>Uncle Sams Cider (04/04/2023)</v>
      </c>
      <c r="H1390" s="19"/>
    </row>
    <row r="1391">
      <c r="A1391" s="9"/>
      <c r="B1391" s="15"/>
      <c r="C1391" s="9">
        <f>IFERROR(__xludf.DUMMYFUNCTION("""COMPUTED_VALUE"""),45130.1071714699)</f>
        <v>45130.10717</v>
      </c>
      <c r="D1391" s="15">
        <f>IFERROR(__xludf.DUMMYFUNCTION("""COMPUTED_VALUE"""),1.004)</f>
        <v>1.004</v>
      </c>
      <c r="E1391" s="16">
        <f>IFERROR(__xludf.DUMMYFUNCTION("""COMPUTED_VALUE"""),72.0)</f>
        <v>72</v>
      </c>
      <c r="F1391" s="19" t="str">
        <f>IFERROR(__xludf.DUMMYFUNCTION("""COMPUTED_VALUE"""),"BLACK")</f>
        <v>BLACK</v>
      </c>
      <c r="G1391" s="20" t="str">
        <f>IFERROR(__xludf.DUMMYFUNCTION("""COMPUTED_VALUE"""),"Uncle Sams Cider (04/04/2023)")</f>
        <v>Uncle Sams Cider (04/04/2023)</v>
      </c>
      <c r="H1391" s="19"/>
    </row>
    <row r="1392">
      <c r="A1392" s="9"/>
      <c r="B1392" s="15"/>
      <c r="C1392" s="9">
        <f>IFERROR(__xludf.DUMMYFUNCTION("""COMPUTED_VALUE"""),45130.0967472916)</f>
        <v>45130.09675</v>
      </c>
      <c r="D1392" s="15">
        <f>IFERROR(__xludf.DUMMYFUNCTION("""COMPUTED_VALUE"""),1.003)</f>
        <v>1.003</v>
      </c>
      <c r="E1392" s="16">
        <f>IFERROR(__xludf.DUMMYFUNCTION("""COMPUTED_VALUE"""),72.0)</f>
        <v>72</v>
      </c>
      <c r="F1392" s="19" t="str">
        <f>IFERROR(__xludf.DUMMYFUNCTION("""COMPUTED_VALUE"""),"BLACK")</f>
        <v>BLACK</v>
      </c>
      <c r="G1392" s="20" t="str">
        <f>IFERROR(__xludf.DUMMYFUNCTION("""COMPUTED_VALUE"""),"Uncle Sams Cider (04/04/2023)")</f>
        <v>Uncle Sams Cider (04/04/2023)</v>
      </c>
      <c r="H1392" s="19"/>
    </row>
    <row r="1393">
      <c r="A1393" s="9"/>
      <c r="B1393" s="15"/>
      <c r="C1393" s="9">
        <f>IFERROR(__xludf.DUMMYFUNCTION("""COMPUTED_VALUE"""),45130.0863157754)</f>
        <v>45130.08632</v>
      </c>
      <c r="D1393" s="15">
        <f>IFERROR(__xludf.DUMMYFUNCTION("""COMPUTED_VALUE"""),1.003)</f>
        <v>1.003</v>
      </c>
      <c r="E1393" s="16">
        <f>IFERROR(__xludf.DUMMYFUNCTION("""COMPUTED_VALUE"""),72.0)</f>
        <v>72</v>
      </c>
      <c r="F1393" s="19" t="str">
        <f>IFERROR(__xludf.DUMMYFUNCTION("""COMPUTED_VALUE"""),"BLACK")</f>
        <v>BLACK</v>
      </c>
      <c r="G1393" s="20" t="str">
        <f>IFERROR(__xludf.DUMMYFUNCTION("""COMPUTED_VALUE"""),"Uncle Sams Cider (04/04/2023)")</f>
        <v>Uncle Sams Cider (04/04/2023)</v>
      </c>
      <c r="H1393" s="19"/>
    </row>
    <row r="1394">
      <c r="A1394" s="9"/>
      <c r="B1394" s="15"/>
      <c r="C1394" s="9">
        <f>IFERROR(__xludf.DUMMYFUNCTION("""COMPUTED_VALUE"""),45130.0758948611)</f>
        <v>45130.07589</v>
      </c>
      <c r="D1394" s="15">
        <f>IFERROR(__xludf.DUMMYFUNCTION("""COMPUTED_VALUE"""),1.003)</f>
        <v>1.003</v>
      </c>
      <c r="E1394" s="16">
        <f>IFERROR(__xludf.DUMMYFUNCTION("""COMPUTED_VALUE"""),72.0)</f>
        <v>72</v>
      </c>
      <c r="F1394" s="19" t="str">
        <f>IFERROR(__xludf.DUMMYFUNCTION("""COMPUTED_VALUE"""),"BLACK")</f>
        <v>BLACK</v>
      </c>
      <c r="G1394" s="20" t="str">
        <f>IFERROR(__xludf.DUMMYFUNCTION("""COMPUTED_VALUE"""),"Uncle Sams Cider (04/04/2023)")</f>
        <v>Uncle Sams Cider (04/04/2023)</v>
      </c>
      <c r="H1394" s="19"/>
    </row>
    <row r="1395">
      <c r="A1395" s="9"/>
      <c r="B1395" s="15"/>
      <c r="C1395" s="9">
        <f>IFERROR(__xludf.DUMMYFUNCTION("""COMPUTED_VALUE"""),45130.065450081)</f>
        <v>45130.06545</v>
      </c>
      <c r="D1395" s="15">
        <f>IFERROR(__xludf.DUMMYFUNCTION("""COMPUTED_VALUE"""),1.003)</f>
        <v>1.003</v>
      </c>
      <c r="E1395" s="16">
        <f>IFERROR(__xludf.DUMMYFUNCTION("""COMPUTED_VALUE"""),72.0)</f>
        <v>72</v>
      </c>
      <c r="F1395" s="19" t="str">
        <f>IFERROR(__xludf.DUMMYFUNCTION("""COMPUTED_VALUE"""),"BLACK")</f>
        <v>BLACK</v>
      </c>
      <c r="G1395" s="20" t="str">
        <f>IFERROR(__xludf.DUMMYFUNCTION("""COMPUTED_VALUE"""),"Uncle Sams Cider (04/04/2023)")</f>
        <v>Uncle Sams Cider (04/04/2023)</v>
      </c>
      <c r="H1395" s="19"/>
    </row>
    <row r="1396">
      <c r="A1396" s="9"/>
      <c r="B1396" s="15"/>
      <c r="C1396" s="9">
        <f>IFERROR(__xludf.DUMMYFUNCTION("""COMPUTED_VALUE"""),45130.0550298148)</f>
        <v>45130.05503</v>
      </c>
      <c r="D1396" s="15">
        <f>IFERROR(__xludf.DUMMYFUNCTION("""COMPUTED_VALUE"""),1.003)</f>
        <v>1.003</v>
      </c>
      <c r="E1396" s="16">
        <f>IFERROR(__xludf.DUMMYFUNCTION("""COMPUTED_VALUE"""),72.0)</f>
        <v>72</v>
      </c>
      <c r="F1396" s="19" t="str">
        <f>IFERROR(__xludf.DUMMYFUNCTION("""COMPUTED_VALUE"""),"BLACK")</f>
        <v>BLACK</v>
      </c>
      <c r="G1396" s="20" t="str">
        <f>IFERROR(__xludf.DUMMYFUNCTION("""COMPUTED_VALUE"""),"Uncle Sams Cider (04/04/2023)")</f>
        <v>Uncle Sams Cider (04/04/2023)</v>
      </c>
      <c r="H1396" s="19"/>
    </row>
    <row r="1397">
      <c r="A1397" s="9"/>
      <c r="B1397" s="15"/>
      <c r="C1397" s="9">
        <f>IFERROR(__xludf.DUMMYFUNCTION("""COMPUTED_VALUE"""),45130.0445961342)</f>
        <v>45130.0446</v>
      </c>
      <c r="D1397" s="15">
        <f>IFERROR(__xludf.DUMMYFUNCTION("""COMPUTED_VALUE"""),1.003)</f>
        <v>1.003</v>
      </c>
      <c r="E1397" s="16">
        <f>IFERROR(__xludf.DUMMYFUNCTION("""COMPUTED_VALUE"""),72.0)</f>
        <v>72</v>
      </c>
      <c r="F1397" s="19" t="str">
        <f>IFERROR(__xludf.DUMMYFUNCTION("""COMPUTED_VALUE"""),"BLACK")</f>
        <v>BLACK</v>
      </c>
      <c r="G1397" s="20" t="str">
        <f>IFERROR(__xludf.DUMMYFUNCTION("""COMPUTED_VALUE"""),"Uncle Sams Cider (04/04/2023)")</f>
        <v>Uncle Sams Cider (04/04/2023)</v>
      </c>
      <c r="H1397" s="19"/>
    </row>
    <row r="1398">
      <c r="A1398" s="9"/>
      <c r="B1398" s="15"/>
      <c r="C1398" s="9">
        <f>IFERROR(__xludf.DUMMYFUNCTION("""COMPUTED_VALUE"""),45130.0341751157)</f>
        <v>45130.03418</v>
      </c>
      <c r="D1398" s="15">
        <f>IFERROR(__xludf.DUMMYFUNCTION("""COMPUTED_VALUE"""),1.003)</f>
        <v>1.003</v>
      </c>
      <c r="E1398" s="16">
        <f>IFERROR(__xludf.DUMMYFUNCTION("""COMPUTED_VALUE"""),72.0)</f>
        <v>72</v>
      </c>
      <c r="F1398" s="19" t="str">
        <f>IFERROR(__xludf.DUMMYFUNCTION("""COMPUTED_VALUE"""),"BLACK")</f>
        <v>BLACK</v>
      </c>
      <c r="G1398" s="20" t="str">
        <f>IFERROR(__xludf.DUMMYFUNCTION("""COMPUTED_VALUE"""),"Uncle Sams Cider (04/04/2023)")</f>
        <v>Uncle Sams Cider (04/04/2023)</v>
      </c>
      <c r="H1398" s="19"/>
    </row>
    <row r="1399">
      <c r="A1399" s="9"/>
      <c r="B1399" s="15"/>
      <c r="C1399" s="9">
        <f>IFERROR(__xludf.DUMMYFUNCTION("""COMPUTED_VALUE"""),45130.0237538078)</f>
        <v>45130.02375</v>
      </c>
      <c r="D1399" s="15">
        <f>IFERROR(__xludf.DUMMYFUNCTION("""COMPUTED_VALUE"""),1.003)</f>
        <v>1.003</v>
      </c>
      <c r="E1399" s="16">
        <f>IFERROR(__xludf.DUMMYFUNCTION("""COMPUTED_VALUE"""),72.0)</f>
        <v>72</v>
      </c>
      <c r="F1399" s="19" t="str">
        <f>IFERROR(__xludf.DUMMYFUNCTION("""COMPUTED_VALUE"""),"BLACK")</f>
        <v>BLACK</v>
      </c>
      <c r="G1399" s="20" t="str">
        <f>IFERROR(__xludf.DUMMYFUNCTION("""COMPUTED_VALUE"""),"Uncle Sams Cider (04/04/2023)")</f>
        <v>Uncle Sams Cider (04/04/2023)</v>
      </c>
      <c r="H1399" s="19"/>
    </row>
    <row r="1400">
      <c r="A1400" s="9"/>
      <c r="B1400" s="15"/>
      <c r="C1400" s="9">
        <f>IFERROR(__xludf.DUMMYFUNCTION("""COMPUTED_VALUE"""),45130.0133325115)</f>
        <v>45130.01333</v>
      </c>
      <c r="D1400" s="15">
        <f>IFERROR(__xludf.DUMMYFUNCTION("""COMPUTED_VALUE"""),1.003)</f>
        <v>1.003</v>
      </c>
      <c r="E1400" s="16">
        <f>IFERROR(__xludf.DUMMYFUNCTION("""COMPUTED_VALUE"""),72.0)</f>
        <v>72</v>
      </c>
      <c r="F1400" s="19" t="str">
        <f>IFERROR(__xludf.DUMMYFUNCTION("""COMPUTED_VALUE"""),"BLACK")</f>
        <v>BLACK</v>
      </c>
      <c r="G1400" s="20" t="str">
        <f>IFERROR(__xludf.DUMMYFUNCTION("""COMPUTED_VALUE"""),"Uncle Sams Cider (04/04/2023)")</f>
        <v>Uncle Sams Cider (04/04/2023)</v>
      </c>
      <c r="H1400" s="19"/>
    </row>
    <row r="1401">
      <c r="A1401" s="9"/>
      <c r="B1401" s="15"/>
      <c r="C1401" s="9">
        <f>IFERROR(__xludf.DUMMYFUNCTION("""COMPUTED_VALUE"""),45130.0029118055)</f>
        <v>45130.00291</v>
      </c>
      <c r="D1401" s="15">
        <f>IFERROR(__xludf.DUMMYFUNCTION("""COMPUTED_VALUE"""),1.003)</f>
        <v>1.003</v>
      </c>
      <c r="E1401" s="16">
        <f>IFERROR(__xludf.DUMMYFUNCTION("""COMPUTED_VALUE"""),72.0)</f>
        <v>72</v>
      </c>
      <c r="F1401" s="19" t="str">
        <f>IFERROR(__xludf.DUMMYFUNCTION("""COMPUTED_VALUE"""),"BLACK")</f>
        <v>BLACK</v>
      </c>
      <c r="G1401" s="20" t="str">
        <f>IFERROR(__xludf.DUMMYFUNCTION("""COMPUTED_VALUE"""),"Uncle Sams Cider (04/04/2023)")</f>
        <v>Uncle Sams Cider (04/04/2023)</v>
      </c>
      <c r="H1401" s="19"/>
    </row>
    <row r="1402">
      <c r="A1402" s="9"/>
      <c r="B1402" s="15"/>
      <c r="C1402" s="9">
        <f>IFERROR(__xludf.DUMMYFUNCTION("""COMPUTED_VALUE"""),45129.9924900578)</f>
        <v>45129.99249</v>
      </c>
      <c r="D1402" s="15">
        <f>IFERROR(__xludf.DUMMYFUNCTION("""COMPUTED_VALUE"""),1.003)</f>
        <v>1.003</v>
      </c>
      <c r="E1402" s="16">
        <f>IFERROR(__xludf.DUMMYFUNCTION("""COMPUTED_VALUE"""),72.0)</f>
        <v>72</v>
      </c>
      <c r="F1402" s="19" t="str">
        <f>IFERROR(__xludf.DUMMYFUNCTION("""COMPUTED_VALUE"""),"BLACK")</f>
        <v>BLACK</v>
      </c>
      <c r="G1402" s="20" t="str">
        <f>IFERROR(__xludf.DUMMYFUNCTION("""COMPUTED_VALUE"""),"Uncle Sams Cider (04/04/2023)")</f>
        <v>Uncle Sams Cider (04/04/2023)</v>
      </c>
      <c r="H1402" s="19"/>
    </row>
    <row r="1403">
      <c r="A1403" s="9"/>
      <c r="B1403" s="15"/>
      <c r="C1403" s="9">
        <f>IFERROR(__xludf.DUMMYFUNCTION("""COMPUTED_VALUE"""),45129.98206853)</f>
        <v>45129.98207</v>
      </c>
      <c r="D1403" s="15">
        <f>IFERROR(__xludf.DUMMYFUNCTION("""COMPUTED_VALUE"""),1.003)</f>
        <v>1.003</v>
      </c>
      <c r="E1403" s="16">
        <f>IFERROR(__xludf.DUMMYFUNCTION("""COMPUTED_VALUE"""),72.0)</f>
        <v>72</v>
      </c>
      <c r="F1403" s="19" t="str">
        <f>IFERROR(__xludf.DUMMYFUNCTION("""COMPUTED_VALUE"""),"BLACK")</f>
        <v>BLACK</v>
      </c>
      <c r="G1403" s="20" t="str">
        <f>IFERROR(__xludf.DUMMYFUNCTION("""COMPUTED_VALUE"""),"Uncle Sams Cider (04/04/2023)")</f>
        <v>Uncle Sams Cider (04/04/2023)</v>
      </c>
      <c r="H1403" s="19"/>
    </row>
    <row r="1404">
      <c r="A1404" s="9"/>
      <c r="B1404" s="15"/>
      <c r="C1404" s="9">
        <f>IFERROR(__xludf.DUMMYFUNCTION("""COMPUTED_VALUE"""),45129.9716481944)</f>
        <v>45129.97165</v>
      </c>
      <c r="D1404" s="15">
        <f>IFERROR(__xludf.DUMMYFUNCTION("""COMPUTED_VALUE"""),1.003)</f>
        <v>1.003</v>
      </c>
      <c r="E1404" s="16">
        <f>IFERROR(__xludf.DUMMYFUNCTION("""COMPUTED_VALUE"""),72.0)</f>
        <v>72</v>
      </c>
      <c r="F1404" s="19" t="str">
        <f>IFERROR(__xludf.DUMMYFUNCTION("""COMPUTED_VALUE"""),"BLACK")</f>
        <v>BLACK</v>
      </c>
      <c r="G1404" s="20" t="str">
        <f>IFERROR(__xludf.DUMMYFUNCTION("""COMPUTED_VALUE"""),"Uncle Sams Cider (04/04/2023)")</f>
        <v>Uncle Sams Cider (04/04/2023)</v>
      </c>
      <c r="H1404" s="19"/>
    </row>
    <row r="1405">
      <c r="A1405" s="9"/>
      <c r="B1405" s="15"/>
      <c r="C1405" s="9">
        <f>IFERROR(__xludf.DUMMYFUNCTION("""COMPUTED_VALUE"""),45129.9612155671)</f>
        <v>45129.96122</v>
      </c>
      <c r="D1405" s="15">
        <f>IFERROR(__xludf.DUMMYFUNCTION("""COMPUTED_VALUE"""),1.003)</f>
        <v>1.003</v>
      </c>
      <c r="E1405" s="16">
        <f>IFERROR(__xludf.DUMMYFUNCTION("""COMPUTED_VALUE"""),72.0)</f>
        <v>72</v>
      </c>
      <c r="F1405" s="19" t="str">
        <f>IFERROR(__xludf.DUMMYFUNCTION("""COMPUTED_VALUE"""),"BLACK")</f>
        <v>BLACK</v>
      </c>
      <c r="G1405" s="20" t="str">
        <f>IFERROR(__xludf.DUMMYFUNCTION("""COMPUTED_VALUE"""),"Uncle Sams Cider (04/04/2023)")</f>
        <v>Uncle Sams Cider (04/04/2023)</v>
      </c>
      <c r="H1405" s="19"/>
    </row>
    <row r="1406">
      <c r="A1406" s="9"/>
      <c r="B1406" s="15"/>
      <c r="C1406" s="9">
        <f>IFERROR(__xludf.DUMMYFUNCTION("""COMPUTED_VALUE"""),45129.9507956134)</f>
        <v>45129.9508</v>
      </c>
      <c r="D1406" s="15">
        <f>IFERROR(__xludf.DUMMYFUNCTION("""COMPUTED_VALUE"""),1.003)</f>
        <v>1.003</v>
      </c>
      <c r="E1406" s="16">
        <f>IFERROR(__xludf.DUMMYFUNCTION("""COMPUTED_VALUE"""),72.0)</f>
        <v>72</v>
      </c>
      <c r="F1406" s="19" t="str">
        <f>IFERROR(__xludf.DUMMYFUNCTION("""COMPUTED_VALUE"""),"BLACK")</f>
        <v>BLACK</v>
      </c>
      <c r="G1406" s="20" t="str">
        <f>IFERROR(__xludf.DUMMYFUNCTION("""COMPUTED_VALUE"""),"Uncle Sams Cider (04/04/2023)")</f>
        <v>Uncle Sams Cider (04/04/2023)</v>
      </c>
      <c r="H1406" s="19"/>
    </row>
    <row r="1407">
      <c r="A1407" s="9"/>
      <c r="B1407" s="15"/>
      <c r="C1407" s="9">
        <f>IFERROR(__xludf.DUMMYFUNCTION("""COMPUTED_VALUE"""),45129.9403752083)</f>
        <v>45129.94038</v>
      </c>
      <c r="D1407" s="15">
        <f>IFERROR(__xludf.DUMMYFUNCTION("""COMPUTED_VALUE"""),1.003)</f>
        <v>1.003</v>
      </c>
      <c r="E1407" s="16">
        <f>IFERROR(__xludf.DUMMYFUNCTION("""COMPUTED_VALUE"""),72.0)</f>
        <v>72</v>
      </c>
      <c r="F1407" s="19" t="str">
        <f>IFERROR(__xludf.DUMMYFUNCTION("""COMPUTED_VALUE"""),"BLACK")</f>
        <v>BLACK</v>
      </c>
      <c r="G1407" s="20" t="str">
        <f>IFERROR(__xludf.DUMMYFUNCTION("""COMPUTED_VALUE"""),"Uncle Sams Cider (04/04/2023)")</f>
        <v>Uncle Sams Cider (04/04/2023)</v>
      </c>
      <c r="H1407" s="19"/>
    </row>
    <row r="1408">
      <c r="A1408" s="9"/>
      <c r="B1408" s="15"/>
      <c r="C1408" s="9">
        <f>IFERROR(__xludf.DUMMYFUNCTION("""COMPUTED_VALUE"""),45129.9299536921)</f>
        <v>45129.92995</v>
      </c>
      <c r="D1408" s="15">
        <f>IFERROR(__xludf.DUMMYFUNCTION("""COMPUTED_VALUE"""),1.003)</f>
        <v>1.003</v>
      </c>
      <c r="E1408" s="16">
        <f>IFERROR(__xludf.DUMMYFUNCTION("""COMPUTED_VALUE"""),72.0)</f>
        <v>72</v>
      </c>
      <c r="F1408" s="19" t="str">
        <f>IFERROR(__xludf.DUMMYFUNCTION("""COMPUTED_VALUE"""),"BLACK")</f>
        <v>BLACK</v>
      </c>
      <c r="G1408" s="20" t="str">
        <f>IFERROR(__xludf.DUMMYFUNCTION("""COMPUTED_VALUE"""),"Uncle Sams Cider (04/04/2023)")</f>
        <v>Uncle Sams Cider (04/04/2023)</v>
      </c>
      <c r="H1408" s="19"/>
    </row>
    <row r="1409">
      <c r="A1409" s="9"/>
      <c r="B1409" s="15"/>
      <c r="C1409" s="9">
        <f>IFERROR(__xludf.DUMMYFUNCTION("""COMPUTED_VALUE"""),45129.9195308796)</f>
        <v>45129.91953</v>
      </c>
      <c r="D1409" s="15">
        <f>IFERROR(__xludf.DUMMYFUNCTION("""COMPUTED_VALUE"""),1.003)</f>
        <v>1.003</v>
      </c>
      <c r="E1409" s="16">
        <f>IFERROR(__xludf.DUMMYFUNCTION("""COMPUTED_VALUE"""),72.0)</f>
        <v>72</v>
      </c>
      <c r="F1409" s="19" t="str">
        <f>IFERROR(__xludf.DUMMYFUNCTION("""COMPUTED_VALUE"""),"BLACK")</f>
        <v>BLACK</v>
      </c>
      <c r="G1409" s="20" t="str">
        <f>IFERROR(__xludf.DUMMYFUNCTION("""COMPUTED_VALUE"""),"Uncle Sams Cider (04/04/2023)")</f>
        <v>Uncle Sams Cider (04/04/2023)</v>
      </c>
      <c r="H1409" s="19"/>
    </row>
    <row r="1410">
      <c r="A1410" s="9"/>
      <c r="B1410" s="15"/>
      <c r="C1410" s="9">
        <f>IFERROR(__xludf.DUMMYFUNCTION("""COMPUTED_VALUE"""),45129.9091083449)</f>
        <v>45129.90911</v>
      </c>
      <c r="D1410" s="15">
        <f>IFERROR(__xludf.DUMMYFUNCTION("""COMPUTED_VALUE"""),1.003)</f>
        <v>1.003</v>
      </c>
      <c r="E1410" s="16">
        <f>IFERROR(__xludf.DUMMYFUNCTION("""COMPUTED_VALUE"""),72.0)</f>
        <v>72</v>
      </c>
      <c r="F1410" s="19" t="str">
        <f>IFERROR(__xludf.DUMMYFUNCTION("""COMPUTED_VALUE"""),"BLACK")</f>
        <v>BLACK</v>
      </c>
      <c r="G1410" s="20" t="str">
        <f>IFERROR(__xludf.DUMMYFUNCTION("""COMPUTED_VALUE"""),"Uncle Sams Cider (04/04/2023)")</f>
        <v>Uncle Sams Cider (04/04/2023)</v>
      </c>
      <c r="H1410" s="19"/>
    </row>
    <row r="1411">
      <c r="A1411" s="9"/>
      <c r="B1411" s="15"/>
      <c r="C1411" s="9">
        <f>IFERROR(__xludf.DUMMYFUNCTION("""COMPUTED_VALUE"""),45129.8986869675)</f>
        <v>45129.89869</v>
      </c>
      <c r="D1411" s="15">
        <f>IFERROR(__xludf.DUMMYFUNCTION("""COMPUTED_VALUE"""),1.003)</f>
        <v>1.003</v>
      </c>
      <c r="E1411" s="16">
        <f>IFERROR(__xludf.DUMMYFUNCTION("""COMPUTED_VALUE"""),72.0)</f>
        <v>72</v>
      </c>
      <c r="F1411" s="19" t="str">
        <f>IFERROR(__xludf.DUMMYFUNCTION("""COMPUTED_VALUE"""),"BLACK")</f>
        <v>BLACK</v>
      </c>
      <c r="G1411" s="20" t="str">
        <f>IFERROR(__xludf.DUMMYFUNCTION("""COMPUTED_VALUE"""),"Uncle Sams Cider (04/04/2023)")</f>
        <v>Uncle Sams Cider (04/04/2023)</v>
      </c>
      <c r="H1411" s="19"/>
    </row>
    <row r="1412">
      <c r="A1412" s="9"/>
      <c r="B1412" s="15"/>
      <c r="C1412" s="9">
        <f>IFERROR(__xludf.DUMMYFUNCTION("""COMPUTED_VALUE"""),45129.8882664004)</f>
        <v>45129.88827</v>
      </c>
      <c r="D1412" s="15">
        <f>IFERROR(__xludf.DUMMYFUNCTION("""COMPUTED_VALUE"""),1.003)</f>
        <v>1.003</v>
      </c>
      <c r="E1412" s="16">
        <f>IFERROR(__xludf.DUMMYFUNCTION("""COMPUTED_VALUE"""),72.0)</f>
        <v>72</v>
      </c>
      <c r="F1412" s="19" t="str">
        <f>IFERROR(__xludf.DUMMYFUNCTION("""COMPUTED_VALUE"""),"BLACK")</f>
        <v>BLACK</v>
      </c>
      <c r="G1412" s="20" t="str">
        <f>IFERROR(__xludf.DUMMYFUNCTION("""COMPUTED_VALUE"""),"Uncle Sams Cider (04/04/2023)")</f>
        <v>Uncle Sams Cider (04/04/2023)</v>
      </c>
      <c r="H1412" s="19"/>
    </row>
    <row r="1413">
      <c r="A1413" s="9"/>
      <c r="B1413" s="15"/>
      <c r="C1413" s="9">
        <f>IFERROR(__xludf.DUMMYFUNCTION("""COMPUTED_VALUE"""),45129.877845162)</f>
        <v>45129.87785</v>
      </c>
      <c r="D1413" s="15">
        <f>IFERROR(__xludf.DUMMYFUNCTION("""COMPUTED_VALUE"""),1.003)</f>
        <v>1.003</v>
      </c>
      <c r="E1413" s="16">
        <f>IFERROR(__xludf.DUMMYFUNCTION("""COMPUTED_VALUE"""),72.0)</f>
        <v>72</v>
      </c>
      <c r="F1413" s="19" t="str">
        <f>IFERROR(__xludf.DUMMYFUNCTION("""COMPUTED_VALUE"""),"BLACK")</f>
        <v>BLACK</v>
      </c>
      <c r="G1413" s="20" t="str">
        <f>IFERROR(__xludf.DUMMYFUNCTION("""COMPUTED_VALUE"""),"Uncle Sams Cider (04/04/2023)")</f>
        <v>Uncle Sams Cider (04/04/2023)</v>
      </c>
      <c r="H1413" s="19"/>
    </row>
    <row r="1414">
      <c r="A1414" s="9"/>
      <c r="B1414" s="15"/>
      <c r="C1414" s="9">
        <f>IFERROR(__xludf.DUMMYFUNCTION("""COMPUTED_VALUE"""),45129.8674240162)</f>
        <v>45129.86742</v>
      </c>
      <c r="D1414" s="15">
        <f>IFERROR(__xludf.DUMMYFUNCTION("""COMPUTED_VALUE"""),1.003)</f>
        <v>1.003</v>
      </c>
      <c r="E1414" s="16">
        <f>IFERROR(__xludf.DUMMYFUNCTION("""COMPUTED_VALUE"""),72.0)</f>
        <v>72</v>
      </c>
      <c r="F1414" s="19" t="str">
        <f>IFERROR(__xludf.DUMMYFUNCTION("""COMPUTED_VALUE"""),"BLACK")</f>
        <v>BLACK</v>
      </c>
      <c r="G1414" s="20" t="str">
        <f>IFERROR(__xludf.DUMMYFUNCTION("""COMPUTED_VALUE"""),"Uncle Sams Cider (04/04/2023)")</f>
        <v>Uncle Sams Cider (04/04/2023)</v>
      </c>
      <c r="H1414" s="19"/>
    </row>
    <row r="1415">
      <c r="A1415" s="9"/>
      <c r="B1415" s="15"/>
      <c r="C1415" s="9">
        <f>IFERROR(__xludf.DUMMYFUNCTION("""COMPUTED_VALUE"""),45129.8569916898)</f>
        <v>45129.85699</v>
      </c>
      <c r="D1415" s="15">
        <f>IFERROR(__xludf.DUMMYFUNCTION("""COMPUTED_VALUE"""),1.003)</f>
        <v>1.003</v>
      </c>
      <c r="E1415" s="16">
        <f>IFERROR(__xludf.DUMMYFUNCTION("""COMPUTED_VALUE"""),72.0)</f>
        <v>72</v>
      </c>
      <c r="F1415" s="19" t="str">
        <f>IFERROR(__xludf.DUMMYFUNCTION("""COMPUTED_VALUE"""),"BLACK")</f>
        <v>BLACK</v>
      </c>
      <c r="G1415" s="20" t="str">
        <f>IFERROR(__xludf.DUMMYFUNCTION("""COMPUTED_VALUE"""),"Uncle Sams Cider (04/04/2023)")</f>
        <v>Uncle Sams Cider (04/04/2023)</v>
      </c>
      <c r="H1415" s="19"/>
    </row>
    <row r="1416">
      <c r="A1416" s="9"/>
      <c r="B1416" s="15"/>
      <c r="C1416" s="9">
        <f>IFERROR(__xludf.DUMMYFUNCTION("""COMPUTED_VALUE"""),45129.8465218865)</f>
        <v>45129.84652</v>
      </c>
      <c r="D1416" s="15">
        <f>IFERROR(__xludf.DUMMYFUNCTION("""COMPUTED_VALUE"""),1.003)</f>
        <v>1.003</v>
      </c>
      <c r="E1416" s="16">
        <f>IFERROR(__xludf.DUMMYFUNCTION("""COMPUTED_VALUE"""),72.0)</f>
        <v>72</v>
      </c>
      <c r="F1416" s="19" t="str">
        <f>IFERROR(__xludf.DUMMYFUNCTION("""COMPUTED_VALUE"""),"BLACK")</f>
        <v>BLACK</v>
      </c>
      <c r="G1416" s="20" t="str">
        <f>IFERROR(__xludf.DUMMYFUNCTION("""COMPUTED_VALUE"""),"Uncle Sams Cider (04/04/2023)")</f>
        <v>Uncle Sams Cider (04/04/2023)</v>
      </c>
      <c r="H1416" s="19"/>
    </row>
    <row r="1417">
      <c r="A1417" s="9"/>
      <c r="B1417" s="15"/>
      <c r="C1417" s="9">
        <f>IFERROR(__xludf.DUMMYFUNCTION("""COMPUTED_VALUE"""),45129.8361010532)</f>
        <v>45129.8361</v>
      </c>
      <c r="D1417" s="15">
        <f>IFERROR(__xludf.DUMMYFUNCTION("""COMPUTED_VALUE"""),1.004)</f>
        <v>1.004</v>
      </c>
      <c r="E1417" s="16">
        <f>IFERROR(__xludf.DUMMYFUNCTION("""COMPUTED_VALUE"""),72.0)</f>
        <v>72</v>
      </c>
      <c r="F1417" s="19" t="str">
        <f>IFERROR(__xludf.DUMMYFUNCTION("""COMPUTED_VALUE"""),"BLACK")</f>
        <v>BLACK</v>
      </c>
      <c r="G1417" s="20" t="str">
        <f>IFERROR(__xludf.DUMMYFUNCTION("""COMPUTED_VALUE"""),"Uncle Sams Cider (04/04/2023)")</f>
        <v>Uncle Sams Cider (04/04/2023)</v>
      </c>
      <c r="H1417" s="19"/>
    </row>
    <row r="1418">
      <c r="A1418" s="9"/>
      <c r="B1418" s="15"/>
      <c r="C1418" s="9">
        <f>IFERROR(__xludf.DUMMYFUNCTION("""COMPUTED_VALUE"""),45129.825667905)</f>
        <v>45129.82567</v>
      </c>
      <c r="D1418" s="15">
        <f>IFERROR(__xludf.DUMMYFUNCTION("""COMPUTED_VALUE"""),1.003)</f>
        <v>1.003</v>
      </c>
      <c r="E1418" s="16">
        <f>IFERROR(__xludf.DUMMYFUNCTION("""COMPUTED_VALUE"""),72.0)</f>
        <v>72</v>
      </c>
      <c r="F1418" s="19" t="str">
        <f>IFERROR(__xludf.DUMMYFUNCTION("""COMPUTED_VALUE"""),"BLACK")</f>
        <v>BLACK</v>
      </c>
      <c r="G1418" s="20" t="str">
        <f>IFERROR(__xludf.DUMMYFUNCTION("""COMPUTED_VALUE"""),"Uncle Sams Cider (04/04/2023)")</f>
        <v>Uncle Sams Cider (04/04/2023)</v>
      </c>
      <c r="H1418" s="19"/>
    </row>
    <row r="1419">
      <c r="A1419" s="9"/>
      <c r="B1419" s="15"/>
      <c r="C1419" s="9">
        <f>IFERROR(__xludf.DUMMYFUNCTION("""COMPUTED_VALUE"""),45129.8152347106)</f>
        <v>45129.81523</v>
      </c>
      <c r="D1419" s="15">
        <f>IFERROR(__xludf.DUMMYFUNCTION("""COMPUTED_VALUE"""),1.003)</f>
        <v>1.003</v>
      </c>
      <c r="E1419" s="16">
        <f>IFERROR(__xludf.DUMMYFUNCTION("""COMPUTED_VALUE"""),72.0)</f>
        <v>72</v>
      </c>
      <c r="F1419" s="19" t="str">
        <f>IFERROR(__xludf.DUMMYFUNCTION("""COMPUTED_VALUE"""),"BLACK")</f>
        <v>BLACK</v>
      </c>
      <c r="G1419" s="20" t="str">
        <f>IFERROR(__xludf.DUMMYFUNCTION("""COMPUTED_VALUE"""),"Uncle Sams Cider (04/04/2023)")</f>
        <v>Uncle Sams Cider (04/04/2023)</v>
      </c>
      <c r="H1419" s="19"/>
    </row>
    <row r="1420">
      <c r="A1420" s="9"/>
      <c r="B1420" s="15"/>
      <c r="C1420" s="9">
        <f>IFERROR(__xludf.DUMMYFUNCTION("""COMPUTED_VALUE"""),45129.8048137268)</f>
        <v>45129.80481</v>
      </c>
      <c r="D1420" s="15">
        <f>IFERROR(__xludf.DUMMYFUNCTION("""COMPUTED_VALUE"""),1.003)</f>
        <v>1.003</v>
      </c>
      <c r="E1420" s="16">
        <f>IFERROR(__xludf.DUMMYFUNCTION("""COMPUTED_VALUE"""),72.0)</f>
        <v>72</v>
      </c>
      <c r="F1420" s="19" t="str">
        <f>IFERROR(__xludf.DUMMYFUNCTION("""COMPUTED_VALUE"""),"BLACK")</f>
        <v>BLACK</v>
      </c>
      <c r="G1420" s="20" t="str">
        <f>IFERROR(__xludf.DUMMYFUNCTION("""COMPUTED_VALUE"""),"Uncle Sams Cider (04/04/2023)")</f>
        <v>Uncle Sams Cider (04/04/2023)</v>
      </c>
      <c r="H1420" s="19"/>
    </row>
    <row r="1421">
      <c r="A1421" s="9"/>
      <c r="B1421" s="15"/>
      <c r="C1421" s="9">
        <f>IFERROR(__xludf.DUMMYFUNCTION("""COMPUTED_VALUE"""),45129.7943810185)</f>
        <v>45129.79438</v>
      </c>
      <c r="D1421" s="15">
        <f>IFERROR(__xludf.DUMMYFUNCTION("""COMPUTED_VALUE"""),1.003)</f>
        <v>1.003</v>
      </c>
      <c r="E1421" s="16">
        <f>IFERROR(__xludf.DUMMYFUNCTION("""COMPUTED_VALUE"""),72.0)</f>
        <v>72</v>
      </c>
      <c r="F1421" s="19" t="str">
        <f>IFERROR(__xludf.DUMMYFUNCTION("""COMPUTED_VALUE"""),"BLACK")</f>
        <v>BLACK</v>
      </c>
      <c r="G1421" s="20" t="str">
        <f>IFERROR(__xludf.DUMMYFUNCTION("""COMPUTED_VALUE"""),"Uncle Sams Cider (04/04/2023)")</f>
        <v>Uncle Sams Cider (04/04/2023)</v>
      </c>
      <c r="H1421" s="19"/>
    </row>
    <row r="1422">
      <c r="A1422" s="9"/>
      <c r="B1422" s="15"/>
      <c r="C1422" s="9">
        <f>IFERROR(__xludf.DUMMYFUNCTION("""COMPUTED_VALUE"""),45129.7839599421)</f>
        <v>45129.78396</v>
      </c>
      <c r="D1422" s="15">
        <f>IFERROR(__xludf.DUMMYFUNCTION("""COMPUTED_VALUE"""),1.003)</f>
        <v>1.003</v>
      </c>
      <c r="E1422" s="16">
        <f>IFERROR(__xludf.DUMMYFUNCTION("""COMPUTED_VALUE"""),72.0)</f>
        <v>72</v>
      </c>
      <c r="F1422" s="19" t="str">
        <f>IFERROR(__xludf.DUMMYFUNCTION("""COMPUTED_VALUE"""),"BLACK")</f>
        <v>BLACK</v>
      </c>
      <c r="G1422" s="20" t="str">
        <f>IFERROR(__xludf.DUMMYFUNCTION("""COMPUTED_VALUE"""),"Uncle Sams Cider (04/04/2023)")</f>
        <v>Uncle Sams Cider (04/04/2023)</v>
      </c>
      <c r="H1422" s="19"/>
    </row>
    <row r="1423">
      <c r="A1423" s="9"/>
      <c r="B1423" s="15"/>
      <c r="C1423" s="9">
        <f>IFERROR(__xludf.DUMMYFUNCTION("""COMPUTED_VALUE"""),45129.7735157638)</f>
        <v>45129.77352</v>
      </c>
      <c r="D1423" s="15">
        <f>IFERROR(__xludf.DUMMYFUNCTION("""COMPUTED_VALUE"""),1.003)</f>
        <v>1.003</v>
      </c>
      <c r="E1423" s="16">
        <f>IFERROR(__xludf.DUMMYFUNCTION("""COMPUTED_VALUE"""),72.0)</f>
        <v>72</v>
      </c>
      <c r="F1423" s="19" t="str">
        <f>IFERROR(__xludf.DUMMYFUNCTION("""COMPUTED_VALUE"""),"BLACK")</f>
        <v>BLACK</v>
      </c>
      <c r="G1423" s="20" t="str">
        <f>IFERROR(__xludf.DUMMYFUNCTION("""COMPUTED_VALUE"""),"Uncle Sams Cider (04/04/2023)")</f>
        <v>Uncle Sams Cider (04/04/2023)</v>
      </c>
      <c r="H1423" s="19"/>
    </row>
    <row r="1424">
      <c r="A1424" s="9"/>
      <c r="B1424" s="15"/>
      <c r="C1424" s="9">
        <f>IFERROR(__xludf.DUMMYFUNCTION("""COMPUTED_VALUE"""),45129.7630952546)</f>
        <v>45129.7631</v>
      </c>
      <c r="D1424" s="15">
        <f>IFERROR(__xludf.DUMMYFUNCTION("""COMPUTED_VALUE"""),1.003)</f>
        <v>1.003</v>
      </c>
      <c r="E1424" s="16">
        <f>IFERROR(__xludf.DUMMYFUNCTION("""COMPUTED_VALUE"""),72.0)</f>
        <v>72</v>
      </c>
      <c r="F1424" s="19" t="str">
        <f>IFERROR(__xludf.DUMMYFUNCTION("""COMPUTED_VALUE"""),"BLACK")</f>
        <v>BLACK</v>
      </c>
      <c r="G1424" s="20" t="str">
        <f>IFERROR(__xludf.DUMMYFUNCTION("""COMPUTED_VALUE"""),"Uncle Sams Cider (04/04/2023)")</f>
        <v>Uncle Sams Cider (04/04/2023)</v>
      </c>
      <c r="H1424" s="19"/>
    </row>
    <row r="1425">
      <c r="A1425" s="9"/>
      <c r="B1425" s="15"/>
      <c r="C1425" s="9">
        <f>IFERROR(__xludf.DUMMYFUNCTION("""COMPUTED_VALUE"""),45129.7526630324)</f>
        <v>45129.75266</v>
      </c>
      <c r="D1425" s="15">
        <f>IFERROR(__xludf.DUMMYFUNCTION("""COMPUTED_VALUE"""),1.003)</f>
        <v>1.003</v>
      </c>
      <c r="E1425" s="16">
        <f>IFERROR(__xludf.DUMMYFUNCTION("""COMPUTED_VALUE"""),72.0)</f>
        <v>72</v>
      </c>
      <c r="F1425" s="19" t="str">
        <f>IFERROR(__xludf.DUMMYFUNCTION("""COMPUTED_VALUE"""),"BLACK")</f>
        <v>BLACK</v>
      </c>
      <c r="G1425" s="20" t="str">
        <f>IFERROR(__xludf.DUMMYFUNCTION("""COMPUTED_VALUE"""),"Uncle Sams Cider (04/04/2023)")</f>
        <v>Uncle Sams Cider (04/04/2023)</v>
      </c>
      <c r="H1425" s="19"/>
    </row>
    <row r="1426">
      <c r="A1426" s="9"/>
      <c r="B1426" s="15"/>
      <c r="C1426" s="9">
        <f>IFERROR(__xludf.DUMMYFUNCTION("""COMPUTED_VALUE"""),45129.7422308217)</f>
        <v>45129.74223</v>
      </c>
      <c r="D1426" s="15">
        <f>IFERROR(__xludf.DUMMYFUNCTION("""COMPUTED_VALUE"""),1.003)</f>
        <v>1.003</v>
      </c>
      <c r="E1426" s="16">
        <f>IFERROR(__xludf.DUMMYFUNCTION("""COMPUTED_VALUE"""),72.0)</f>
        <v>72</v>
      </c>
      <c r="F1426" s="19" t="str">
        <f>IFERROR(__xludf.DUMMYFUNCTION("""COMPUTED_VALUE"""),"BLACK")</f>
        <v>BLACK</v>
      </c>
      <c r="G1426" s="20" t="str">
        <f>IFERROR(__xludf.DUMMYFUNCTION("""COMPUTED_VALUE"""),"Uncle Sams Cider (04/04/2023)")</f>
        <v>Uncle Sams Cider (04/04/2023)</v>
      </c>
      <c r="H1426" s="19"/>
    </row>
    <row r="1427">
      <c r="A1427" s="9"/>
      <c r="B1427" s="15"/>
      <c r="C1427" s="9">
        <f>IFERROR(__xludf.DUMMYFUNCTION("""COMPUTED_VALUE"""),45129.7318095833)</f>
        <v>45129.73181</v>
      </c>
      <c r="D1427" s="15">
        <f>IFERROR(__xludf.DUMMYFUNCTION("""COMPUTED_VALUE"""),1.003)</f>
        <v>1.003</v>
      </c>
      <c r="E1427" s="16">
        <f>IFERROR(__xludf.DUMMYFUNCTION("""COMPUTED_VALUE"""),72.0)</f>
        <v>72</v>
      </c>
      <c r="F1427" s="19" t="str">
        <f>IFERROR(__xludf.DUMMYFUNCTION("""COMPUTED_VALUE"""),"BLACK")</f>
        <v>BLACK</v>
      </c>
      <c r="G1427" s="20" t="str">
        <f>IFERROR(__xludf.DUMMYFUNCTION("""COMPUTED_VALUE"""),"Uncle Sams Cider (04/04/2023)")</f>
        <v>Uncle Sams Cider (04/04/2023)</v>
      </c>
      <c r="H1427" s="19"/>
    </row>
    <row r="1428">
      <c r="A1428" s="9"/>
      <c r="B1428" s="15"/>
      <c r="C1428" s="9">
        <f>IFERROR(__xludf.DUMMYFUNCTION("""COMPUTED_VALUE"""),45129.7213896296)</f>
        <v>45129.72139</v>
      </c>
      <c r="D1428" s="15">
        <f>IFERROR(__xludf.DUMMYFUNCTION("""COMPUTED_VALUE"""),1.003)</f>
        <v>1.003</v>
      </c>
      <c r="E1428" s="16">
        <f>IFERROR(__xludf.DUMMYFUNCTION("""COMPUTED_VALUE"""),72.0)</f>
        <v>72</v>
      </c>
      <c r="F1428" s="19" t="str">
        <f>IFERROR(__xludf.DUMMYFUNCTION("""COMPUTED_VALUE"""),"BLACK")</f>
        <v>BLACK</v>
      </c>
      <c r="G1428" s="20" t="str">
        <f>IFERROR(__xludf.DUMMYFUNCTION("""COMPUTED_VALUE"""),"Uncle Sams Cider (04/04/2023)")</f>
        <v>Uncle Sams Cider (04/04/2023)</v>
      </c>
      <c r="H1428" s="19"/>
    </row>
    <row r="1429">
      <c r="A1429" s="9"/>
      <c r="B1429" s="15"/>
      <c r="C1429" s="9">
        <f>IFERROR(__xludf.DUMMYFUNCTION("""COMPUTED_VALUE"""),45129.7109680902)</f>
        <v>45129.71097</v>
      </c>
      <c r="D1429" s="15">
        <f>IFERROR(__xludf.DUMMYFUNCTION("""COMPUTED_VALUE"""),1.003)</f>
        <v>1.003</v>
      </c>
      <c r="E1429" s="16">
        <f>IFERROR(__xludf.DUMMYFUNCTION("""COMPUTED_VALUE"""),72.0)</f>
        <v>72</v>
      </c>
      <c r="F1429" s="19" t="str">
        <f>IFERROR(__xludf.DUMMYFUNCTION("""COMPUTED_VALUE"""),"BLACK")</f>
        <v>BLACK</v>
      </c>
      <c r="G1429" s="20" t="str">
        <f>IFERROR(__xludf.DUMMYFUNCTION("""COMPUTED_VALUE"""),"Uncle Sams Cider (04/04/2023)")</f>
        <v>Uncle Sams Cider (04/04/2023)</v>
      </c>
      <c r="H1429" s="19"/>
    </row>
    <row r="1430">
      <c r="A1430" s="9"/>
      <c r="B1430" s="15"/>
      <c r="C1430" s="9">
        <f>IFERROR(__xludf.DUMMYFUNCTION("""COMPUTED_VALUE"""),45129.7005473263)</f>
        <v>45129.70055</v>
      </c>
      <c r="D1430" s="15">
        <f>IFERROR(__xludf.DUMMYFUNCTION("""COMPUTED_VALUE"""),1.003)</f>
        <v>1.003</v>
      </c>
      <c r="E1430" s="16">
        <f>IFERROR(__xludf.DUMMYFUNCTION("""COMPUTED_VALUE"""),72.0)</f>
        <v>72</v>
      </c>
      <c r="F1430" s="19" t="str">
        <f>IFERROR(__xludf.DUMMYFUNCTION("""COMPUTED_VALUE"""),"BLACK")</f>
        <v>BLACK</v>
      </c>
      <c r="G1430" s="20" t="str">
        <f>IFERROR(__xludf.DUMMYFUNCTION("""COMPUTED_VALUE"""),"Uncle Sams Cider (04/04/2023)")</f>
        <v>Uncle Sams Cider (04/04/2023)</v>
      </c>
      <c r="H1430" s="19"/>
    </row>
    <row r="1431">
      <c r="A1431" s="9"/>
      <c r="B1431" s="15"/>
      <c r="C1431" s="9">
        <f>IFERROR(__xludf.DUMMYFUNCTION("""COMPUTED_VALUE"""),45129.6901270833)</f>
        <v>45129.69013</v>
      </c>
      <c r="D1431" s="15">
        <f>IFERROR(__xludf.DUMMYFUNCTION("""COMPUTED_VALUE"""),1.003)</f>
        <v>1.003</v>
      </c>
      <c r="E1431" s="16">
        <f>IFERROR(__xludf.DUMMYFUNCTION("""COMPUTED_VALUE"""),72.0)</f>
        <v>72</v>
      </c>
      <c r="F1431" s="19" t="str">
        <f>IFERROR(__xludf.DUMMYFUNCTION("""COMPUTED_VALUE"""),"BLACK")</f>
        <v>BLACK</v>
      </c>
      <c r="G1431" s="20" t="str">
        <f>IFERROR(__xludf.DUMMYFUNCTION("""COMPUTED_VALUE"""),"Uncle Sams Cider (04/04/2023)")</f>
        <v>Uncle Sams Cider (04/04/2023)</v>
      </c>
      <c r="H1431" s="19"/>
    </row>
    <row r="1432">
      <c r="A1432" s="9"/>
      <c r="B1432" s="15"/>
      <c r="C1432" s="9">
        <f>IFERROR(__xludf.DUMMYFUNCTION("""COMPUTED_VALUE"""),45129.6797060879)</f>
        <v>45129.67971</v>
      </c>
      <c r="D1432" s="15">
        <f>IFERROR(__xludf.DUMMYFUNCTION("""COMPUTED_VALUE"""),1.003)</f>
        <v>1.003</v>
      </c>
      <c r="E1432" s="16">
        <f>IFERROR(__xludf.DUMMYFUNCTION("""COMPUTED_VALUE"""),72.0)</f>
        <v>72</v>
      </c>
      <c r="F1432" s="19" t="str">
        <f>IFERROR(__xludf.DUMMYFUNCTION("""COMPUTED_VALUE"""),"BLACK")</f>
        <v>BLACK</v>
      </c>
      <c r="G1432" s="20" t="str">
        <f>IFERROR(__xludf.DUMMYFUNCTION("""COMPUTED_VALUE"""),"Uncle Sams Cider (04/04/2023)")</f>
        <v>Uncle Sams Cider (04/04/2023)</v>
      </c>
      <c r="H1432" s="19"/>
    </row>
    <row r="1433">
      <c r="A1433" s="9"/>
      <c r="B1433" s="15"/>
      <c r="C1433" s="9">
        <f>IFERROR(__xludf.DUMMYFUNCTION("""COMPUTED_VALUE"""),45129.6692866203)</f>
        <v>45129.66929</v>
      </c>
      <c r="D1433" s="15">
        <f>IFERROR(__xludf.DUMMYFUNCTION("""COMPUTED_VALUE"""),1.003)</f>
        <v>1.003</v>
      </c>
      <c r="E1433" s="16">
        <f>IFERROR(__xludf.DUMMYFUNCTION("""COMPUTED_VALUE"""),72.0)</f>
        <v>72</v>
      </c>
      <c r="F1433" s="19" t="str">
        <f>IFERROR(__xludf.DUMMYFUNCTION("""COMPUTED_VALUE"""),"BLACK")</f>
        <v>BLACK</v>
      </c>
      <c r="G1433" s="20" t="str">
        <f>IFERROR(__xludf.DUMMYFUNCTION("""COMPUTED_VALUE"""),"Uncle Sams Cider (04/04/2023)")</f>
        <v>Uncle Sams Cider (04/04/2023)</v>
      </c>
      <c r="H1433" s="19"/>
    </row>
    <row r="1434">
      <c r="A1434" s="9"/>
      <c r="B1434" s="15"/>
      <c r="C1434" s="9">
        <f>IFERROR(__xludf.DUMMYFUNCTION("""COMPUTED_VALUE"""),45129.6588622569)</f>
        <v>45129.65886</v>
      </c>
      <c r="D1434" s="15">
        <f>IFERROR(__xludf.DUMMYFUNCTION("""COMPUTED_VALUE"""),1.003)</f>
        <v>1.003</v>
      </c>
      <c r="E1434" s="16">
        <f>IFERROR(__xludf.DUMMYFUNCTION("""COMPUTED_VALUE"""),72.0)</f>
        <v>72</v>
      </c>
      <c r="F1434" s="19" t="str">
        <f>IFERROR(__xludf.DUMMYFUNCTION("""COMPUTED_VALUE"""),"BLACK")</f>
        <v>BLACK</v>
      </c>
      <c r="G1434" s="20" t="str">
        <f>IFERROR(__xludf.DUMMYFUNCTION("""COMPUTED_VALUE"""),"Uncle Sams Cider (04/04/2023)")</f>
        <v>Uncle Sams Cider (04/04/2023)</v>
      </c>
      <c r="H1434" s="19"/>
    </row>
    <row r="1435">
      <c r="A1435" s="9"/>
      <c r="B1435" s="15"/>
      <c r="C1435" s="9">
        <f>IFERROR(__xludf.DUMMYFUNCTION("""COMPUTED_VALUE"""),45129.6451735763)</f>
        <v>45129.64517</v>
      </c>
      <c r="D1435" s="15">
        <f>IFERROR(__xludf.DUMMYFUNCTION("""COMPUTED_VALUE"""),1.003)</f>
        <v>1.003</v>
      </c>
      <c r="E1435" s="16">
        <f>IFERROR(__xludf.DUMMYFUNCTION("""COMPUTED_VALUE"""),72.0)</f>
        <v>72</v>
      </c>
      <c r="F1435" s="19" t="str">
        <f>IFERROR(__xludf.DUMMYFUNCTION("""COMPUTED_VALUE"""),"BLACK")</f>
        <v>BLACK</v>
      </c>
      <c r="G1435" s="20" t="str">
        <f>IFERROR(__xludf.DUMMYFUNCTION("""COMPUTED_VALUE"""),"Uncle Sams Cider (04/04/2023)")</f>
        <v>Uncle Sams Cider (04/04/2023)</v>
      </c>
      <c r="H1435" s="19"/>
    </row>
    <row r="1436">
      <c r="A1436" s="9"/>
      <c r="B1436" s="15"/>
      <c r="C1436" s="9">
        <f>IFERROR(__xludf.DUMMYFUNCTION("""COMPUTED_VALUE"""),45129.6347432986)</f>
        <v>45129.63474</v>
      </c>
      <c r="D1436" s="15">
        <f>IFERROR(__xludf.DUMMYFUNCTION("""COMPUTED_VALUE"""),1.003)</f>
        <v>1.003</v>
      </c>
      <c r="E1436" s="16">
        <f>IFERROR(__xludf.DUMMYFUNCTION("""COMPUTED_VALUE"""),72.0)</f>
        <v>72</v>
      </c>
      <c r="F1436" s="19" t="str">
        <f>IFERROR(__xludf.DUMMYFUNCTION("""COMPUTED_VALUE"""),"BLACK")</f>
        <v>BLACK</v>
      </c>
      <c r="G1436" s="20" t="str">
        <f>IFERROR(__xludf.DUMMYFUNCTION("""COMPUTED_VALUE"""),"Uncle Sams Cider (04/04/2023)")</f>
        <v>Uncle Sams Cider (04/04/2023)</v>
      </c>
      <c r="H1436" s="19"/>
    </row>
    <row r="1437">
      <c r="A1437" s="9"/>
      <c r="B1437" s="15"/>
      <c r="C1437" s="9">
        <f>IFERROR(__xludf.DUMMYFUNCTION("""COMPUTED_VALUE"""),45129.6243224768)</f>
        <v>45129.62432</v>
      </c>
      <c r="D1437" s="15">
        <f>IFERROR(__xludf.DUMMYFUNCTION("""COMPUTED_VALUE"""),1.003)</f>
        <v>1.003</v>
      </c>
      <c r="E1437" s="16">
        <f>IFERROR(__xludf.DUMMYFUNCTION("""COMPUTED_VALUE"""),72.0)</f>
        <v>72</v>
      </c>
      <c r="F1437" s="19" t="str">
        <f>IFERROR(__xludf.DUMMYFUNCTION("""COMPUTED_VALUE"""),"BLACK")</f>
        <v>BLACK</v>
      </c>
      <c r="G1437" s="20" t="str">
        <f>IFERROR(__xludf.DUMMYFUNCTION("""COMPUTED_VALUE"""),"Uncle Sams Cider (04/04/2023)")</f>
        <v>Uncle Sams Cider (04/04/2023)</v>
      </c>
      <c r="H1437" s="19"/>
    </row>
    <row r="1438">
      <c r="A1438" s="9"/>
      <c r="B1438" s="15"/>
      <c r="C1438" s="9">
        <f>IFERROR(__xludf.DUMMYFUNCTION("""COMPUTED_VALUE"""),45129.6138999074)</f>
        <v>45129.6139</v>
      </c>
      <c r="D1438" s="15">
        <f>IFERROR(__xludf.DUMMYFUNCTION("""COMPUTED_VALUE"""),1.003)</f>
        <v>1.003</v>
      </c>
      <c r="E1438" s="16">
        <f>IFERROR(__xludf.DUMMYFUNCTION("""COMPUTED_VALUE"""),72.0)</f>
        <v>72</v>
      </c>
      <c r="F1438" s="19" t="str">
        <f>IFERROR(__xludf.DUMMYFUNCTION("""COMPUTED_VALUE"""),"BLACK")</f>
        <v>BLACK</v>
      </c>
      <c r="G1438" s="20" t="str">
        <f>IFERROR(__xludf.DUMMYFUNCTION("""COMPUTED_VALUE"""),"Uncle Sams Cider (04/04/2023)")</f>
        <v>Uncle Sams Cider (04/04/2023)</v>
      </c>
      <c r="H1438" s="19"/>
    </row>
    <row r="1439">
      <c r="A1439" s="9"/>
      <c r="B1439" s="15"/>
      <c r="C1439" s="9">
        <f>IFERROR(__xludf.DUMMYFUNCTION("""COMPUTED_VALUE"""),45129.6034792129)</f>
        <v>45129.60348</v>
      </c>
      <c r="D1439" s="15">
        <f>IFERROR(__xludf.DUMMYFUNCTION("""COMPUTED_VALUE"""),1.003)</f>
        <v>1.003</v>
      </c>
      <c r="E1439" s="16">
        <f>IFERROR(__xludf.DUMMYFUNCTION("""COMPUTED_VALUE"""),72.0)</f>
        <v>72</v>
      </c>
      <c r="F1439" s="19" t="str">
        <f>IFERROR(__xludf.DUMMYFUNCTION("""COMPUTED_VALUE"""),"BLACK")</f>
        <v>BLACK</v>
      </c>
      <c r="G1439" s="20" t="str">
        <f>IFERROR(__xludf.DUMMYFUNCTION("""COMPUTED_VALUE"""),"Uncle Sams Cider (04/04/2023)")</f>
        <v>Uncle Sams Cider (04/04/2023)</v>
      </c>
      <c r="H1439" s="19"/>
    </row>
    <row r="1440">
      <c r="A1440" s="9"/>
      <c r="B1440" s="15"/>
      <c r="C1440" s="9">
        <f>IFERROR(__xludf.DUMMYFUNCTION("""COMPUTED_VALUE"""),45129.593047199)</f>
        <v>45129.59305</v>
      </c>
      <c r="D1440" s="15">
        <f>IFERROR(__xludf.DUMMYFUNCTION("""COMPUTED_VALUE"""),1.003)</f>
        <v>1.003</v>
      </c>
      <c r="E1440" s="16">
        <f>IFERROR(__xludf.DUMMYFUNCTION("""COMPUTED_VALUE"""),72.0)</f>
        <v>72</v>
      </c>
      <c r="F1440" s="19" t="str">
        <f>IFERROR(__xludf.DUMMYFUNCTION("""COMPUTED_VALUE"""),"BLACK")</f>
        <v>BLACK</v>
      </c>
      <c r="G1440" s="20" t="str">
        <f>IFERROR(__xludf.DUMMYFUNCTION("""COMPUTED_VALUE"""),"Uncle Sams Cider (04/04/2023)")</f>
        <v>Uncle Sams Cider (04/04/2023)</v>
      </c>
      <c r="H1440" s="19"/>
    </row>
    <row r="1441">
      <c r="A1441" s="9"/>
      <c r="B1441" s="15"/>
      <c r="C1441" s="9">
        <f>IFERROR(__xludf.DUMMYFUNCTION("""COMPUTED_VALUE"""),45129.5826122685)</f>
        <v>45129.58261</v>
      </c>
      <c r="D1441" s="15">
        <f>IFERROR(__xludf.DUMMYFUNCTION("""COMPUTED_VALUE"""),1.003)</f>
        <v>1.003</v>
      </c>
      <c r="E1441" s="16">
        <f>IFERROR(__xludf.DUMMYFUNCTION("""COMPUTED_VALUE"""),72.0)</f>
        <v>72</v>
      </c>
      <c r="F1441" s="19" t="str">
        <f>IFERROR(__xludf.DUMMYFUNCTION("""COMPUTED_VALUE"""),"BLACK")</f>
        <v>BLACK</v>
      </c>
      <c r="G1441" s="20" t="str">
        <f>IFERROR(__xludf.DUMMYFUNCTION("""COMPUTED_VALUE"""),"Uncle Sams Cider (04/04/2023)")</f>
        <v>Uncle Sams Cider (04/04/2023)</v>
      </c>
      <c r="H1441" s="19"/>
    </row>
    <row r="1442">
      <c r="A1442" s="9"/>
      <c r="B1442" s="15"/>
      <c r="C1442" s="9">
        <f>IFERROR(__xludf.DUMMYFUNCTION("""COMPUTED_VALUE"""),45129.5721917129)</f>
        <v>45129.57219</v>
      </c>
      <c r="D1442" s="15">
        <f>IFERROR(__xludf.DUMMYFUNCTION("""COMPUTED_VALUE"""),1.003)</f>
        <v>1.003</v>
      </c>
      <c r="E1442" s="16">
        <f>IFERROR(__xludf.DUMMYFUNCTION("""COMPUTED_VALUE"""),72.0)</f>
        <v>72</v>
      </c>
      <c r="F1442" s="19" t="str">
        <f>IFERROR(__xludf.DUMMYFUNCTION("""COMPUTED_VALUE"""),"BLACK")</f>
        <v>BLACK</v>
      </c>
      <c r="G1442" s="20" t="str">
        <f>IFERROR(__xludf.DUMMYFUNCTION("""COMPUTED_VALUE"""),"Uncle Sams Cider (04/04/2023)")</f>
        <v>Uncle Sams Cider (04/04/2023)</v>
      </c>
      <c r="H1442" s="19"/>
    </row>
    <row r="1443">
      <c r="A1443" s="9"/>
      <c r="B1443" s="15"/>
      <c r="C1443" s="9">
        <f>IFERROR(__xludf.DUMMYFUNCTION("""COMPUTED_VALUE"""),45129.561771493)</f>
        <v>45129.56177</v>
      </c>
      <c r="D1443" s="15">
        <f>IFERROR(__xludf.DUMMYFUNCTION("""COMPUTED_VALUE"""),1.003)</f>
        <v>1.003</v>
      </c>
      <c r="E1443" s="16">
        <f>IFERROR(__xludf.DUMMYFUNCTION("""COMPUTED_VALUE"""),72.0)</f>
        <v>72</v>
      </c>
      <c r="F1443" s="19" t="str">
        <f>IFERROR(__xludf.DUMMYFUNCTION("""COMPUTED_VALUE"""),"BLACK")</f>
        <v>BLACK</v>
      </c>
      <c r="G1443" s="20" t="str">
        <f>IFERROR(__xludf.DUMMYFUNCTION("""COMPUTED_VALUE"""),"Uncle Sams Cider (04/04/2023)")</f>
        <v>Uncle Sams Cider (04/04/2023)</v>
      </c>
      <c r="H1443" s="19"/>
    </row>
    <row r="1444">
      <c r="A1444" s="9"/>
      <c r="B1444" s="15"/>
      <c r="C1444" s="9">
        <f>IFERROR(__xludf.DUMMYFUNCTION("""COMPUTED_VALUE"""),45129.5513488078)</f>
        <v>45129.55135</v>
      </c>
      <c r="D1444" s="15">
        <f>IFERROR(__xludf.DUMMYFUNCTION("""COMPUTED_VALUE"""),1.003)</f>
        <v>1.003</v>
      </c>
      <c r="E1444" s="16">
        <f>IFERROR(__xludf.DUMMYFUNCTION("""COMPUTED_VALUE"""),72.0)</f>
        <v>72</v>
      </c>
      <c r="F1444" s="19" t="str">
        <f>IFERROR(__xludf.DUMMYFUNCTION("""COMPUTED_VALUE"""),"BLACK")</f>
        <v>BLACK</v>
      </c>
      <c r="G1444" s="20" t="str">
        <f>IFERROR(__xludf.DUMMYFUNCTION("""COMPUTED_VALUE"""),"Uncle Sams Cider (04/04/2023)")</f>
        <v>Uncle Sams Cider (04/04/2023)</v>
      </c>
      <c r="H1444" s="19"/>
    </row>
    <row r="1445">
      <c r="A1445" s="9"/>
      <c r="B1445" s="15"/>
      <c r="C1445" s="9">
        <f>IFERROR(__xludf.DUMMYFUNCTION("""COMPUTED_VALUE"""),45129.4790779629)</f>
        <v>45129.47908</v>
      </c>
      <c r="D1445" s="15">
        <f>IFERROR(__xludf.DUMMYFUNCTION("""COMPUTED_VALUE"""),1.003)</f>
        <v>1.003</v>
      </c>
      <c r="E1445" s="16">
        <f>IFERROR(__xludf.DUMMYFUNCTION("""COMPUTED_VALUE"""),72.0)</f>
        <v>72</v>
      </c>
      <c r="F1445" s="19" t="str">
        <f>IFERROR(__xludf.DUMMYFUNCTION("""COMPUTED_VALUE"""),"BLACK")</f>
        <v>BLACK</v>
      </c>
      <c r="G1445" s="20" t="str">
        <f>IFERROR(__xludf.DUMMYFUNCTION("""COMPUTED_VALUE"""),"Uncle Sams Cider (04/04/2023)")</f>
        <v>Uncle Sams Cider (04/04/2023)</v>
      </c>
      <c r="H1445" s="19"/>
    </row>
    <row r="1446">
      <c r="A1446" s="9"/>
      <c r="B1446" s="15"/>
      <c r="C1446" s="9">
        <f>IFERROR(__xludf.DUMMYFUNCTION("""COMPUTED_VALUE"""),45129.468647118)</f>
        <v>45129.46865</v>
      </c>
      <c r="D1446" s="15">
        <f>IFERROR(__xludf.DUMMYFUNCTION("""COMPUTED_VALUE"""),1.003)</f>
        <v>1.003</v>
      </c>
      <c r="E1446" s="16">
        <f>IFERROR(__xludf.DUMMYFUNCTION("""COMPUTED_VALUE"""),72.0)</f>
        <v>72</v>
      </c>
      <c r="F1446" s="19" t="str">
        <f>IFERROR(__xludf.DUMMYFUNCTION("""COMPUTED_VALUE"""),"BLACK")</f>
        <v>BLACK</v>
      </c>
      <c r="G1446" s="20" t="str">
        <f>IFERROR(__xludf.DUMMYFUNCTION("""COMPUTED_VALUE"""),"Uncle Sams Cider (04/04/2023)")</f>
        <v>Uncle Sams Cider (04/04/2023)</v>
      </c>
      <c r="H1446" s="19"/>
    </row>
    <row r="1447">
      <c r="A1447" s="9"/>
      <c r="B1447" s="15"/>
      <c r="C1447" s="9">
        <f>IFERROR(__xludf.DUMMYFUNCTION("""COMPUTED_VALUE"""),45129.458224155)</f>
        <v>45129.45822</v>
      </c>
      <c r="D1447" s="15">
        <f>IFERROR(__xludf.DUMMYFUNCTION("""COMPUTED_VALUE"""),1.003)</f>
        <v>1.003</v>
      </c>
      <c r="E1447" s="16">
        <f>IFERROR(__xludf.DUMMYFUNCTION("""COMPUTED_VALUE"""),72.0)</f>
        <v>72</v>
      </c>
      <c r="F1447" s="19" t="str">
        <f>IFERROR(__xludf.DUMMYFUNCTION("""COMPUTED_VALUE"""),"BLACK")</f>
        <v>BLACK</v>
      </c>
      <c r="G1447" s="20" t="str">
        <f>IFERROR(__xludf.DUMMYFUNCTION("""COMPUTED_VALUE"""),"Uncle Sams Cider (04/04/2023)")</f>
        <v>Uncle Sams Cider (04/04/2023)</v>
      </c>
      <c r="H1447" s="19"/>
    </row>
    <row r="1448">
      <c r="A1448" s="9"/>
      <c r="B1448" s="15"/>
      <c r="C1448" s="9">
        <f>IFERROR(__xludf.DUMMYFUNCTION("""COMPUTED_VALUE"""),45129.4478027083)</f>
        <v>45129.4478</v>
      </c>
      <c r="D1448" s="15">
        <f>IFERROR(__xludf.DUMMYFUNCTION("""COMPUTED_VALUE"""),1.003)</f>
        <v>1.003</v>
      </c>
      <c r="E1448" s="16">
        <f>IFERROR(__xludf.DUMMYFUNCTION("""COMPUTED_VALUE"""),72.0)</f>
        <v>72</v>
      </c>
      <c r="F1448" s="19" t="str">
        <f>IFERROR(__xludf.DUMMYFUNCTION("""COMPUTED_VALUE"""),"BLACK")</f>
        <v>BLACK</v>
      </c>
      <c r="G1448" s="20" t="str">
        <f>IFERROR(__xludf.DUMMYFUNCTION("""COMPUTED_VALUE"""),"Uncle Sams Cider (04/04/2023)")</f>
        <v>Uncle Sams Cider (04/04/2023)</v>
      </c>
      <c r="H1448" s="19"/>
    </row>
    <row r="1449">
      <c r="A1449" s="9"/>
      <c r="B1449" s="15"/>
      <c r="C1449" s="9">
        <f>IFERROR(__xludf.DUMMYFUNCTION("""COMPUTED_VALUE"""),45129.437381956)</f>
        <v>45129.43738</v>
      </c>
      <c r="D1449" s="15">
        <f>IFERROR(__xludf.DUMMYFUNCTION("""COMPUTED_VALUE"""),1.003)</f>
        <v>1.003</v>
      </c>
      <c r="E1449" s="16">
        <f>IFERROR(__xludf.DUMMYFUNCTION("""COMPUTED_VALUE"""),72.0)</f>
        <v>72</v>
      </c>
      <c r="F1449" s="19" t="str">
        <f>IFERROR(__xludf.DUMMYFUNCTION("""COMPUTED_VALUE"""),"BLACK")</f>
        <v>BLACK</v>
      </c>
      <c r="G1449" s="20" t="str">
        <f>IFERROR(__xludf.DUMMYFUNCTION("""COMPUTED_VALUE"""),"Uncle Sams Cider (04/04/2023)")</f>
        <v>Uncle Sams Cider (04/04/2023)</v>
      </c>
      <c r="H1449" s="19"/>
    </row>
    <row r="1450">
      <c r="A1450" s="9"/>
      <c r="B1450" s="15"/>
      <c r="C1450" s="9">
        <f>IFERROR(__xludf.DUMMYFUNCTION("""COMPUTED_VALUE"""),45129.426960706)</f>
        <v>45129.42696</v>
      </c>
      <c r="D1450" s="15">
        <f>IFERROR(__xludf.DUMMYFUNCTION("""COMPUTED_VALUE"""),1.003)</f>
        <v>1.003</v>
      </c>
      <c r="E1450" s="16">
        <f>IFERROR(__xludf.DUMMYFUNCTION("""COMPUTED_VALUE"""),72.0)</f>
        <v>72</v>
      </c>
      <c r="F1450" s="19" t="str">
        <f>IFERROR(__xludf.DUMMYFUNCTION("""COMPUTED_VALUE"""),"BLACK")</f>
        <v>BLACK</v>
      </c>
      <c r="G1450" s="20" t="str">
        <f>IFERROR(__xludf.DUMMYFUNCTION("""COMPUTED_VALUE"""),"Uncle Sams Cider (04/04/2023)")</f>
        <v>Uncle Sams Cider (04/04/2023)</v>
      </c>
      <c r="H1450" s="19"/>
    </row>
    <row r="1451">
      <c r="A1451" s="9"/>
      <c r="B1451" s="15"/>
      <c r="C1451" s="9">
        <f>IFERROR(__xludf.DUMMYFUNCTION("""COMPUTED_VALUE"""),45129.4165392939)</f>
        <v>45129.41654</v>
      </c>
      <c r="D1451" s="15">
        <f>IFERROR(__xludf.DUMMYFUNCTION("""COMPUTED_VALUE"""),1.004)</f>
        <v>1.004</v>
      </c>
      <c r="E1451" s="16">
        <f>IFERROR(__xludf.DUMMYFUNCTION("""COMPUTED_VALUE"""),72.0)</f>
        <v>72</v>
      </c>
      <c r="F1451" s="19" t="str">
        <f>IFERROR(__xludf.DUMMYFUNCTION("""COMPUTED_VALUE"""),"BLACK")</f>
        <v>BLACK</v>
      </c>
      <c r="G1451" s="20" t="str">
        <f>IFERROR(__xludf.DUMMYFUNCTION("""COMPUTED_VALUE"""),"Uncle Sams Cider (04/04/2023)")</f>
        <v>Uncle Sams Cider (04/04/2023)</v>
      </c>
      <c r="H1451" s="19"/>
    </row>
    <row r="1452">
      <c r="A1452" s="9"/>
      <c r="B1452" s="15"/>
      <c r="C1452" s="9">
        <f>IFERROR(__xludf.DUMMYFUNCTION("""COMPUTED_VALUE"""),45129.4060846759)</f>
        <v>45129.40608</v>
      </c>
      <c r="D1452" s="15">
        <f>IFERROR(__xludf.DUMMYFUNCTION("""COMPUTED_VALUE"""),1.003)</f>
        <v>1.003</v>
      </c>
      <c r="E1452" s="16">
        <f>IFERROR(__xludf.DUMMYFUNCTION("""COMPUTED_VALUE"""),72.0)</f>
        <v>72</v>
      </c>
      <c r="F1452" s="19" t="str">
        <f>IFERROR(__xludf.DUMMYFUNCTION("""COMPUTED_VALUE"""),"BLACK")</f>
        <v>BLACK</v>
      </c>
      <c r="G1452" s="20" t="str">
        <f>IFERROR(__xludf.DUMMYFUNCTION("""COMPUTED_VALUE"""),"Uncle Sams Cider (04/04/2023)")</f>
        <v>Uncle Sams Cider (04/04/2023)</v>
      </c>
      <c r="H1452" s="19"/>
    </row>
    <row r="1453">
      <c r="A1453" s="9"/>
      <c r="B1453" s="15"/>
      <c r="C1453" s="9">
        <f>IFERROR(__xludf.DUMMYFUNCTION("""COMPUTED_VALUE"""),45129.3956653009)</f>
        <v>45129.39567</v>
      </c>
      <c r="D1453" s="15">
        <f>IFERROR(__xludf.DUMMYFUNCTION("""COMPUTED_VALUE"""),1.003)</f>
        <v>1.003</v>
      </c>
      <c r="E1453" s="16">
        <f>IFERROR(__xludf.DUMMYFUNCTION("""COMPUTED_VALUE"""),72.0)</f>
        <v>72</v>
      </c>
      <c r="F1453" s="19" t="str">
        <f>IFERROR(__xludf.DUMMYFUNCTION("""COMPUTED_VALUE"""),"BLACK")</f>
        <v>BLACK</v>
      </c>
      <c r="G1453" s="20" t="str">
        <f>IFERROR(__xludf.DUMMYFUNCTION("""COMPUTED_VALUE"""),"Uncle Sams Cider (04/04/2023)")</f>
        <v>Uncle Sams Cider (04/04/2023)</v>
      </c>
      <c r="H1453" s="19"/>
    </row>
    <row r="1454">
      <c r="A1454" s="9"/>
      <c r="B1454" s="15"/>
      <c r="C1454" s="9">
        <f>IFERROR(__xludf.DUMMYFUNCTION("""COMPUTED_VALUE"""),45129.3852191435)</f>
        <v>45129.38522</v>
      </c>
      <c r="D1454" s="15">
        <f>IFERROR(__xludf.DUMMYFUNCTION("""COMPUTED_VALUE"""),1.003)</f>
        <v>1.003</v>
      </c>
      <c r="E1454" s="16">
        <f>IFERROR(__xludf.DUMMYFUNCTION("""COMPUTED_VALUE"""),72.0)</f>
        <v>72</v>
      </c>
      <c r="F1454" s="19" t="str">
        <f>IFERROR(__xludf.DUMMYFUNCTION("""COMPUTED_VALUE"""),"BLACK")</f>
        <v>BLACK</v>
      </c>
      <c r="G1454" s="20" t="str">
        <f>IFERROR(__xludf.DUMMYFUNCTION("""COMPUTED_VALUE"""),"Uncle Sams Cider (04/04/2023)")</f>
        <v>Uncle Sams Cider (04/04/2023)</v>
      </c>
      <c r="H1454" s="19"/>
    </row>
    <row r="1455">
      <c r="A1455" s="9"/>
      <c r="B1455" s="15"/>
      <c r="C1455" s="9">
        <f>IFERROR(__xludf.DUMMYFUNCTION("""COMPUTED_VALUE"""),45129.3747872338)</f>
        <v>45129.37479</v>
      </c>
      <c r="D1455" s="15">
        <f>IFERROR(__xludf.DUMMYFUNCTION("""COMPUTED_VALUE"""),1.003)</f>
        <v>1.003</v>
      </c>
      <c r="E1455" s="16">
        <f>IFERROR(__xludf.DUMMYFUNCTION("""COMPUTED_VALUE"""),72.0)</f>
        <v>72</v>
      </c>
      <c r="F1455" s="19" t="str">
        <f>IFERROR(__xludf.DUMMYFUNCTION("""COMPUTED_VALUE"""),"BLACK")</f>
        <v>BLACK</v>
      </c>
      <c r="G1455" s="20" t="str">
        <f>IFERROR(__xludf.DUMMYFUNCTION("""COMPUTED_VALUE"""),"Uncle Sams Cider (04/04/2023)")</f>
        <v>Uncle Sams Cider (04/04/2023)</v>
      </c>
      <c r="H1455" s="19"/>
    </row>
    <row r="1456">
      <c r="A1456" s="9"/>
      <c r="B1456" s="15"/>
      <c r="C1456" s="9">
        <f>IFERROR(__xludf.DUMMYFUNCTION("""COMPUTED_VALUE"""),45129.3643642708)</f>
        <v>45129.36436</v>
      </c>
      <c r="D1456" s="15">
        <f>IFERROR(__xludf.DUMMYFUNCTION("""COMPUTED_VALUE"""),1.003)</f>
        <v>1.003</v>
      </c>
      <c r="E1456" s="16">
        <f>IFERROR(__xludf.DUMMYFUNCTION("""COMPUTED_VALUE"""),72.0)</f>
        <v>72</v>
      </c>
      <c r="F1456" s="19" t="str">
        <f>IFERROR(__xludf.DUMMYFUNCTION("""COMPUTED_VALUE"""),"BLACK")</f>
        <v>BLACK</v>
      </c>
      <c r="G1456" s="20" t="str">
        <f>IFERROR(__xludf.DUMMYFUNCTION("""COMPUTED_VALUE"""),"Uncle Sams Cider (04/04/2023)")</f>
        <v>Uncle Sams Cider (04/04/2023)</v>
      </c>
      <c r="H1456" s="19"/>
    </row>
    <row r="1457">
      <c r="A1457" s="9"/>
      <c r="B1457" s="15"/>
      <c r="C1457" s="9">
        <f>IFERROR(__xludf.DUMMYFUNCTION("""COMPUTED_VALUE"""),45129.3539302546)</f>
        <v>45129.35393</v>
      </c>
      <c r="D1457" s="15">
        <f>IFERROR(__xludf.DUMMYFUNCTION("""COMPUTED_VALUE"""),1.003)</f>
        <v>1.003</v>
      </c>
      <c r="E1457" s="16">
        <f>IFERROR(__xludf.DUMMYFUNCTION("""COMPUTED_VALUE"""),72.0)</f>
        <v>72</v>
      </c>
      <c r="F1457" s="19" t="str">
        <f>IFERROR(__xludf.DUMMYFUNCTION("""COMPUTED_VALUE"""),"BLACK")</f>
        <v>BLACK</v>
      </c>
      <c r="G1457" s="20" t="str">
        <f>IFERROR(__xludf.DUMMYFUNCTION("""COMPUTED_VALUE"""),"Uncle Sams Cider (04/04/2023)")</f>
        <v>Uncle Sams Cider (04/04/2023)</v>
      </c>
      <c r="H1457" s="19"/>
    </row>
    <row r="1458">
      <c r="A1458" s="9"/>
      <c r="B1458" s="15"/>
      <c r="C1458" s="9">
        <f>IFERROR(__xludf.DUMMYFUNCTION("""COMPUTED_VALUE"""),45129.3435088657)</f>
        <v>45129.34351</v>
      </c>
      <c r="D1458" s="15">
        <f>IFERROR(__xludf.DUMMYFUNCTION("""COMPUTED_VALUE"""),1.003)</f>
        <v>1.003</v>
      </c>
      <c r="E1458" s="16">
        <f>IFERROR(__xludf.DUMMYFUNCTION("""COMPUTED_VALUE"""),72.0)</f>
        <v>72</v>
      </c>
      <c r="F1458" s="19" t="str">
        <f>IFERROR(__xludf.DUMMYFUNCTION("""COMPUTED_VALUE"""),"BLACK")</f>
        <v>BLACK</v>
      </c>
      <c r="G1458" s="20" t="str">
        <f>IFERROR(__xludf.DUMMYFUNCTION("""COMPUTED_VALUE"""),"Uncle Sams Cider (04/04/2023)")</f>
        <v>Uncle Sams Cider (04/04/2023)</v>
      </c>
      <c r="H1458" s="19"/>
    </row>
    <row r="1459">
      <c r="A1459" s="9"/>
      <c r="B1459" s="15"/>
      <c r="C1459" s="9">
        <f>IFERROR(__xludf.DUMMYFUNCTION("""COMPUTED_VALUE"""),45129.3330895601)</f>
        <v>45129.33309</v>
      </c>
      <c r="D1459" s="15">
        <f>IFERROR(__xludf.DUMMYFUNCTION("""COMPUTED_VALUE"""),1.003)</f>
        <v>1.003</v>
      </c>
      <c r="E1459" s="16">
        <f>IFERROR(__xludf.DUMMYFUNCTION("""COMPUTED_VALUE"""),72.0)</f>
        <v>72</v>
      </c>
      <c r="F1459" s="19" t="str">
        <f>IFERROR(__xludf.DUMMYFUNCTION("""COMPUTED_VALUE"""),"BLACK")</f>
        <v>BLACK</v>
      </c>
      <c r="G1459" s="20" t="str">
        <f>IFERROR(__xludf.DUMMYFUNCTION("""COMPUTED_VALUE"""),"Uncle Sams Cider (04/04/2023)")</f>
        <v>Uncle Sams Cider (04/04/2023)</v>
      </c>
      <c r="H1459" s="19"/>
    </row>
    <row r="1460">
      <c r="A1460" s="9"/>
      <c r="B1460" s="15"/>
      <c r="C1460" s="9">
        <f>IFERROR(__xludf.DUMMYFUNCTION("""COMPUTED_VALUE"""),45129.3226568518)</f>
        <v>45129.32266</v>
      </c>
      <c r="D1460" s="15">
        <f>IFERROR(__xludf.DUMMYFUNCTION("""COMPUTED_VALUE"""),1.003)</f>
        <v>1.003</v>
      </c>
      <c r="E1460" s="16">
        <f>IFERROR(__xludf.DUMMYFUNCTION("""COMPUTED_VALUE"""),72.0)</f>
        <v>72</v>
      </c>
      <c r="F1460" s="19" t="str">
        <f>IFERROR(__xludf.DUMMYFUNCTION("""COMPUTED_VALUE"""),"BLACK")</f>
        <v>BLACK</v>
      </c>
      <c r="G1460" s="20" t="str">
        <f>IFERROR(__xludf.DUMMYFUNCTION("""COMPUTED_VALUE"""),"Uncle Sams Cider (04/04/2023)")</f>
        <v>Uncle Sams Cider (04/04/2023)</v>
      </c>
      <c r="H1460" s="19"/>
    </row>
    <row r="1461">
      <c r="A1461" s="9"/>
      <c r="B1461" s="15"/>
      <c r="C1461" s="9">
        <f>IFERROR(__xludf.DUMMYFUNCTION("""COMPUTED_VALUE"""),45129.3122353819)</f>
        <v>45129.31224</v>
      </c>
      <c r="D1461" s="15">
        <f>IFERROR(__xludf.DUMMYFUNCTION("""COMPUTED_VALUE"""),1.003)</f>
        <v>1.003</v>
      </c>
      <c r="E1461" s="16">
        <f>IFERROR(__xludf.DUMMYFUNCTION("""COMPUTED_VALUE"""),72.0)</f>
        <v>72</v>
      </c>
      <c r="F1461" s="19" t="str">
        <f>IFERROR(__xludf.DUMMYFUNCTION("""COMPUTED_VALUE"""),"BLACK")</f>
        <v>BLACK</v>
      </c>
      <c r="G1461" s="20" t="str">
        <f>IFERROR(__xludf.DUMMYFUNCTION("""COMPUTED_VALUE"""),"Uncle Sams Cider (04/04/2023)")</f>
        <v>Uncle Sams Cider (04/04/2023)</v>
      </c>
      <c r="H1461" s="19"/>
    </row>
    <row r="1462">
      <c r="A1462" s="9"/>
      <c r="B1462" s="15"/>
      <c r="C1462" s="9">
        <f>IFERROR(__xludf.DUMMYFUNCTION("""COMPUTED_VALUE"""),45129.3018152546)</f>
        <v>45129.30182</v>
      </c>
      <c r="D1462" s="15">
        <f>IFERROR(__xludf.DUMMYFUNCTION("""COMPUTED_VALUE"""),1.003)</f>
        <v>1.003</v>
      </c>
      <c r="E1462" s="16">
        <f>IFERROR(__xludf.DUMMYFUNCTION("""COMPUTED_VALUE"""),72.0)</f>
        <v>72</v>
      </c>
      <c r="F1462" s="19" t="str">
        <f>IFERROR(__xludf.DUMMYFUNCTION("""COMPUTED_VALUE"""),"BLACK")</f>
        <v>BLACK</v>
      </c>
      <c r="G1462" s="20" t="str">
        <f>IFERROR(__xludf.DUMMYFUNCTION("""COMPUTED_VALUE"""),"Uncle Sams Cider (04/04/2023)")</f>
        <v>Uncle Sams Cider (04/04/2023)</v>
      </c>
      <c r="H1462" s="19"/>
    </row>
    <row r="1463">
      <c r="A1463" s="9"/>
      <c r="B1463" s="15"/>
      <c r="C1463" s="9">
        <f>IFERROR(__xludf.DUMMYFUNCTION("""COMPUTED_VALUE"""),45129.2913831134)</f>
        <v>45129.29138</v>
      </c>
      <c r="D1463" s="15">
        <f>IFERROR(__xludf.DUMMYFUNCTION("""COMPUTED_VALUE"""),1.003)</f>
        <v>1.003</v>
      </c>
      <c r="E1463" s="16">
        <f>IFERROR(__xludf.DUMMYFUNCTION("""COMPUTED_VALUE"""),72.0)</f>
        <v>72</v>
      </c>
      <c r="F1463" s="19" t="str">
        <f>IFERROR(__xludf.DUMMYFUNCTION("""COMPUTED_VALUE"""),"BLACK")</f>
        <v>BLACK</v>
      </c>
      <c r="G1463" s="20" t="str">
        <f>IFERROR(__xludf.DUMMYFUNCTION("""COMPUTED_VALUE"""),"Uncle Sams Cider (04/04/2023)")</f>
        <v>Uncle Sams Cider (04/04/2023)</v>
      </c>
      <c r="H1463" s="19"/>
    </row>
    <row r="1464">
      <c r="A1464" s="9"/>
      <c r="B1464" s="15"/>
      <c r="C1464" s="9">
        <f>IFERROR(__xludf.DUMMYFUNCTION("""COMPUTED_VALUE"""),45129.2809605787)</f>
        <v>45129.28096</v>
      </c>
      <c r="D1464" s="15">
        <f>IFERROR(__xludf.DUMMYFUNCTION("""COMPUTED_VALUE"""),1.003)</f>
        <v>1.003</v>
      </c>
      <c r="E1464" s="16">
        <f>IFERROR(__xludf.DUMMYFUNCTION("""COMPUTED_VALUE"""),72.0)</f>
        <v>72</v>
      </c>
      <c r="F1464" s="19" t="str">
        <f>IFERROR(__xludf.DUMMYFUNCTION("""COMPUTED_VALUE"""),"BLACK")</f>
        <v>BLACK</v>
      </c>
      <c r="G1464" s="20" t="str">
        <f>IFERROR(__xludf.DUMMYFUNCTION("""COMPUTED_VALUE"""),"Uncle Sams Cider (04/04/2023)")</f>
        <v>Uncle Sams Cider (04/04/2023)</v>
      </c>
      <c r="H1464" s="19"/>
    </row>
    <row r="1465">
      <c r="A1465" s="9"/>
      <c r="B1465" s="15"/>
      <c r="C1465" s="9">
        <f>IFERROR(__xludf.DUMMYFUNCTION("""COMPUTED_VALUE"""),45129.2705394444)</f>
        <v>45129.27054</v>
      </c>
      <c r="D1465" s="15">
        <f>IFERROR(__xludf.DUMMYFUNCTION("""COMPUTED_VALUE"""),1.003)</f>
        <v>1.003</v>
      </c>
      <c r="E1465" s="16">
        <f>IFERROR(__xludf.DUMMYFUNCTION("""COMPUTED_VALUE"""),72.0)</f>
        <v>72</v>
      </c>
      <c r="F1465" s="19" t="str">
        <f>IFERROR(__xludf.DUMMYFUNCTION("""COMPUTED_VALUE"""),"BLACK")</f>
        <v>BLACK</v>
      </c>
      <c r="G1465" s="20" t="str">
        <f>IFERROR(__xludf.DUMMYFUNCTION("""COMPUTED_VALUE"""),"Uncle Sams Cider (04/04/2023)")</f>
        <v>Uncle Sams Cider (04/04/2023)</v>
      </c>
      <c r="H1465" s="19"/>
    </row>
    <row r="1466">
      <c r="A1466" s="9"/>
      <c r="B1466" s="15"/>
      <c r="C1466" s="9">
        <f>IFERROR(__xludf.DUMMYFUNCTION("""COMPUTED_VALUE"""),45129.2601179745)</f>
        <v>45129.26012</v>
      </c>
      <c r="D1466" s="15">
        <f>IFERROR(__xludf.DUMMYFUNCTION("""COMPUTED_VALUE"""),1.004)</f>
        <v>1.004</v>
      </c>
      <c r="E1466" s="16">
        <f>IFERROR(__xludf.DUMMYFUNCTION("""COMPUTED_VALUE"""),72.0)</f>
        <v>72</v>
      </c>
      <c r="F1466" s="19" t="str">
        <f>IFERROR(__xludf.DUMMYFUNCTION("""COMPUTED_VALUE"""),"BLACK")</f>
        <v>BLACK</v>
      </c>
      <c r="G1466" s="20" t="str">
        <f>IFERROR(__xludf.DUMMYFUNCTION("""COMPUTED_VALUE"""),"Uncle Sams Cider (04/04/2023)")</f>
        <v>Uncle Sams Cider (04/04/2023)</v>
      </c>
      <c r="H1466" s="19"/>
    </row>
    <row r="1467">
      <c r="A1467" s="9"/>
      <c r="B1467" s="15"/>
      <c r="C1467" s="9">
        <f>IFERROR(__xludf.DUMMYFUNCTION("""COMPUTED_VALUE"""),45129.2496969791)</f>
        <v>45129.2497</v>
      </c>
      <c r="D1467" s="15">
        <f>IFERROR(__xludf.DUMMYFUNCTION("""COMPUTED_VALUE"""),1.004)</f>
        <v>1.004</v>
      </c>
      <c r="E1467" s="16">
        <f>IFERROR(__xludf.DUMMYFUNCTION("""COMPUTED_VALUE"""),72.0)</f>
        <v>72</v>
      </c>
      <c r="F1467" s="19" t="str">
        <f>IFERROR(__xludf.DUMMYFUNCTION("""COMPUTED_VALUE"""),"BLACK")</f>
        <v>BLACK</v>
      </c>
      <c r="G1467" s="20" t="str">
        <f>IFERROR(__xludf.DUMMYFUNCTION("""COMPUTED_VALUE"""),"Uncle Sams Cider (04/04/2023)")</f>
        <v>Uncle Sams Cider (04/04/2023)</v>
      </c>
      <c r="H1467" s="19"/>
    </row>
    <row r="1468">
      <c r="A1468" s="9"/>
      <c r="B1468" s="15"/>
      <c r="C1468" s="9">
        <f>IFERROR(__xludf.DUMMYFUNCTION("""COMPUTED_VALUE"""),45129.2392757638)</f>
        <v>45129.23928</v>
      </c>
      <c r="D1468" s="15">
        <f>IFERROR(__xludf.DUMMYFUNCTION("""COMPUTED_VALUE"""),1.003)</f>
        <v>1.003</v>
      </c>
      <c r="E1468" s="16">
        <f>IFERROR(__xludf.DUMMYFUNCTION("""COMPUTED_VALUE"""),72.0)</f>
        <v>72</v>
      </c>
      <c r="F1468" s="19" t="str">
        <f>IFERROR(__xludf.DUMMYFUNCTION("""COMPUTED_VALUE"""),"BLACK")</f>
        <v>BLACK</v>
      </c>
      <c r="G1468" s="20" t="str">
        <f>IFERROR(__xludf.DUMMYFUNCTION("""COMPUTED_VALUE"""),"Uncle Sams Cider (04/04/2023)")</f>
        <v>Uncle Sams Cider (04/04/2023)</v>
      </c>
      <c r="H1468" s="19"/>
    </row>
    <row r="1469">
      <c r="A1469" s="9"/>
      <c r="B1469" s="15"/>
      <c r="C1469" s="9">
        <f>IFERROR(__xludf.DUMMYFUNCTION("""COMPUTED_VALUE"""),45129.2288555324)</f>
        <v>45129.22886</v>
      </c>
      <c r="D1469" s="15">
        <f>IFERROR(__xludf.DUMMYFUNCTION("""COMPUTED_VALUE"""),1.003)</f>
        <v>1.003</v>
      </c>
      <c r="E1469" s="16">
        <f>IFERROR(__xludf.DUMMYFUNCTION("""COMPUTED_VALUE"""),72.0)</f>
        <v>72</v>
      </c>
      <c r="F1469" s="19" t="str">
        <f>IFERROR(__xludf.DUMMYFUNCTION("""COMPUTED_VALUE"""),"BLACK")</f>
        <v>BLACK</v>
      </c>
      <c r="G1469" s="20" t="str">
        <f>IFERROR(__xludf.DUMMYFUNCTION("""COMPUTED_VALUE"""),"Uncle Sams Cider (04/04/2023)")</f>
        <v>Uncle Sams Cider (04/04/2023)</v>
      </c>
      <c r="H1469" s="19"/>
    </row>
    <row r="1470">
      <c r="A1470" s="9"/>
      <c r="B1470" s="15"/>
      <c r="C1470" s="9">
        <f>IFERROR(__xludf.DUMMYFUNCTION("""COMPUTED_VALUE"""),45129.2184230092)</f>
        <v>45129.21842</v>
      </c>
      <c r="D1470" s="15">
        <f>IFERROR(__xludf.DUMMYFUNCTION("""COMPUTED_VALUE"""),1.003)</f>
        <v>1.003</v>
      </c>
      <c r="E1470" s="16">
        <f>IFERROR(__xludf.DUMMYFUNCTION("""COMPUTED_VALUE"""),72.0)</f>
        <v>72</v>
      </c>
      <c r="F1470" s="19" t="str">
        <f>IFERROR(__xludf.DUMMYFUNCTION("""COMPUTED_VALUE"""),"BLACK")</f>
        <v>BLACK</v>
      </c>
      <c r="G1470" s="20" t="str">
        <f>IFERROR(__xludf.DUMMYFUNCTION("""COMPUTED_VALUE"""),"Uncle Sams Cider (04/04/2023)")</f>
        <v>Uncle Sams Cider (04/04/2023)</v>
      </c>
      <c r="H1470" s="19"/>
    </row>
    <row r="1471">
      <c r="A1471" s="9"/>
      <c r="B1471" s="15"/>
      <c r="C1471" s="9">
        <f>IFERROR(__xludf.DUMMYFUNCTION("""COMPUTED_VALUE"""),45129.2080017824)</f>
        <v>45129.208</v>
      </c>
      <c r="D1471" s="15">
        <f>IFERROR(__xludf.DUMMYFUNCTION("""COMPUTED_VALUE"""),1.003)</f>
        <v>1.003</v>
      </c>
      <c r="E1471" s="16">
        <f>IFERROR(__xludf.DUMMYFUNCTION("""COMPUTED_VALUE"""),72.0)</f>
        <v>72</v>
      </c>
      <c r="F1471" s="19" t="str">
        <f>IFERROR(__xludf.DUMMYFUNCTION("""COMPUTED_VALUE"""),"BLACK")</f>
        <v>BLACK</v>
      </c>
      <c r="G1471" s="20" t="str">
        <f>IFERROR(__xludf.DUMMYFUNCTION("""COMPUTED_VALUE"""),"Uncle Sams Cider (04/04/2023)")</f>
        <v>Uncle Sams Cider (04/04/2023)</v>
      </c>
      <c r="H1471" s="19"/>
    </row>
    <row r="1472">
      <c r="A1472" s="9"/>
      <c r="B1472" s="15"/>
      <c r="C1472" s="9">
        <f>IFERROR(__xludf.DUMMYFUNCTION("""COMPUTED_VALUE"""),45129.1975676273)</f>
        <v>45129.19757</v>
      </c>
      <c r="D1472" s="15">
        <f>IFERROR(__xludf.DUMMYFUNCTION("""COMPUTED_VALUE"""),1.003)</f>
        <v>1.003</v>
      </c>
      <c r="E1472" s="16">
        <f>IFERROR(__xludf.DUMMYFUNCTION("""COMPUTED_VALUE"""),72.0)</f>
        <v>72</v>
      </c>
      <c r="F1472" s="19" t="str">
        <f>IFERROR(__xludf.DUMMYFUNCTION("""COMPUTED_VALUE"""),"BLACK")</f>
        <v>BLACK</v>
      </c>
      <c r="G1472" s="20" t="str">
        <f>IFERROR(__xludf.DUMMYFUNCTION("""COMPUTED_VALUE"""),"Uncle Sams Cider (04/04/2023)")</f>
        <v>Uncle Sams Cider (04/04/2023)</v>
      </c>
      <c r="H1472" s="19"/>
    </row>
    <row r="1473">
      <c r="A1473" s="9"/>
      <c r="B1473" s="15"/>
      <c r="C1473" s="9">
        <f>IFERROR(__xludf.DUMMYFUNCTION("""COMPUTED_VALUE"""),45129.1871468171)</f>
        <v>45129.18715</v>
      </c>
      <c r="D1473" s="15">
        <f>IFERROR(__xludf.DUMMYFUNCTION("""COMPUTED_VALUE"""),1.003)</f>
        <v>1.003</v>
      </c>
      <c r="E1473" s="16">
        <f>IFERROR(__xludf.DUMMYFUNCTION("""COMPUTED_VALUE"""),72.0)</f>
        <v>72</v>
      </c>
      <c r="F1473" s="19" t="str">
        <f>IFERROR(__xludf.DUMMYFUNCTION("""COMPUTED_VALUE"""),"BLACK")</f>
        <v>BLACK</v>
      </c>
      <c r="G1473" s="20" t="str">
        <f>IFERROR(__xludf.DUMMYFUNCTION("""COMPUTED_VALUE"""),"Uncle Sams Cider (04/04/2023)")</f>
        <v>Uncle Sams Cider (04/04/2023)</v>
      </c>
      <c r="H1473" s="19"/>
    </row>
    <row r="1474">
      <c r="A1474" s="9"/>
      <c r="B1474" s="15"/>
      <c r="C1474" s="9">
        <f>IFERROR(__xludf.DUMMYFUNCTION("""COMPUTED_VALUE"""),45129.176726331)</f>
        <v>45129.17673</v>
      </c>
      <c r="D1474" s="15">
        <f>IFERROR(__xludf.DUMMYFUNCTION("""COMPUTED_VALUE"""),1.003)</f>
        <v>1.003</v>
      </c>
      <c r="E1474" s="16">
        <f>IFERROR(__xludf.DUMMYFUNCTION("""COMPUTED_VALUE"""),72.0)</f>
        <v>72</v>
      </c>
      <c r="F1474" s="19" t="str">
        <f>IFERROR(__xludf.DUMMYFUNCTION("""COMPUTED_VALUE"""),"BLACK")</f>
        <v>BLACK</v>
      </c>
      <c r="G1474" s="20" t="str">
        <f>IFERROR(__xludf.DUMMYFUNCTION("""COMPUTED_VALUE"""),"Uncle Sams Cider (04/04/2023)")</f>
        <v>Uncle Sams Cider (04/04/2023)</v>
      </c>
      <c r="H1474" s="19"/>
    </row>
    <row r="1475">
      <c r="A1475" s="9"/>
      <c r="B1475" s="15"/>
      <c r="C1475" s="9">
        <f>IFERROR(__xludf.DUMMYFUNCTION("""COMPUTED_VALUE"""),45129.166306574)</f>
        <v>45129.16631</v>
      </c>
      <c r="D1475" s="15">
        <f>IFERROR(__xludf.DUMMYFUNCTION("""COMPUTED_VALUE"""),1.003)</f>
        <v>1.003</v>
      </c>
      <c r="E1475" s="16">
        <f>IFERROR(__xludf.DUMMYFUNCTION("""COMPUTED_VALUE"""),72.0)</f>
        <v>72</v>
      </c>
      <c r="F1475" s="19" t="str">
        <f>IFERROR(__xludf.DUMMYFUNCTION("""COMPUTED_VALUE"""),"BLACK")</f>
        <v>BLACK</v>
      </c>
      <c r="G1475" s="20" t="str">
        <f>IFERROR(__xludf.DUMMYFUNCTION("""COMPUTED_VALUE"""),"Uncle Sams Cider (04/04/2023)")</f>
        <v>Uncle Sams Cider (04/04/2023)</v>
      </c>
      <c r="H1475" s="19"/>
    </row>
    <row r="1476">
      <c r="A1476" s="9"/>
      <c r="B1476" s="15"/>
      <c r="C1476" s="9">
        <f>IFERROR(__xludf.DUMMYFUNCTION("""COMPUTED_VALUE"""),45129.155873449)</f>
        <v>45129.15587</v>
      </c>
      <c r="D1476" s="15">
        <f>IFERROR(__xludf.DUMMYFUNCTION("""COMPUTED_VALUE"""),1.003)</f>
        <v>1.003</v>
      </c>
      <c r="E1476" s="16">
        <f>IFERROR(__xludf.DUMMYFUNCTION("""COMPUTED_VALUE"""),72.0)</f>
        <v>72</v>
      </c>
      <c r="F1476" s="19" t="str">
        <f>IFERROR(__xludf.DUMMYFUNCTION("""COMPUTED_VALUE"""),"BLACK")</f>
        <v>BLACK</v>
      </c>
      <c r="G1476" s="20" t="str">
        <f>IFERROR(__xludf.DUMMYFUNCTION("""COMPUTED_VALUE"""),"Uncle Sams Cider (04/04/2023)")</f>
        <v>Uncle Sams Cider (04/04/2023)</v>
      </c>
      <c r="H1476" s="19"/>
    </row>
    <row r="1477">
      <c r="A1477" s="9"/>
      <c r="B1477" s="15"/>
      <c r="C1477" s="9">
        <f>IFERROR(__xludf.DUMMYFUNCTION("""COMPUTED_VALUE"""),45129.1454518865)</f>
        <v>45129.14545</v>
      </c>
      <c r="D1477" s="15">
        <f>IFERROR(__xludf.DUMMYFUNCTION("""COMPUTED_VALUE"""),1.003)</f>
        <v>1.003</v>
      </c>
      <c r="E1477" s="16">
        <f>IFERROR(__xludf.DUMMYFUNCTION("""COMPUTED_VALUE"""),72.0)</f>
        <v>72</v>
      </c>
      <c r="F1477" s="19" t="str">
        <f>IFERROR(__xludf.DUMMYFUNCTION("""COMPUTED_VALUE"""),"BLACK")</f>
        <v>BLACK</v>
      </c>
      <c r="G1477" s="20" t="str">
        <f>IFERROR(__xludf.DUMMYFUNCTION("""COMPUTED_VALUE"""),"Uncle Sams Cider (04/04/2023)")</f>
        <v>Uncle Sams Cider (04/04/2023)</v>
      </c>
      <c r="H1477" s="19"/>
    </row>
    <row r="1478">
      <c r="A1478" s="9"/>
      <c r="B1478" s="15"/>
      <c r="C1478" s="9">
        <f>IFERROR(__xludf.DUMMYFUNCTION("""COMPUTED_VALUE"""),45129.1350203125)</f>
        <v>45129.13502</v>
      </c>
      <c r="D1478" s="15">
        <f>IFERROR(__xludf.DUMMYFUNCTION("""COMPUTED_VALUE"""),1.003)</f>
        <v>1.003</v>
      </c>
      <c r="E1478" s="16">
        <f>IFERROR(__xludf.DUMMYFUNCTION("""COMPUTED_VALUE"""),72.0)</f>
        <v>72</v>
      </c>
      <c r="F1478" s="19" t="str">
        <f>IFERROR(__xludf.DUMMYFUNCTION("""COMPUTED_VALUE"""),"BLACK")</f>
        <v>BLACK</v>
      </c>
      <c r="G1478" s="20" t="str">
        <f>IFERROR(__xludf.DUMMYFUNCTION("""COMPUTED_VALUE"""),"Uncle Sams Cider (04/04/2023)")</f>
        <v>Uncle Sams Cider (04/04/2023)</v>
      </c>
      <c r="H1478" s="19"/>
    </row>
    <row r="1479">
      <c r="A1479" s="9"/>
      <c r="B1479" s="15"/>
      <c r="C1479" s="9">
        <f>IFERROR(__xludf.DUMMYFUNCTION("""COMPUTED_VALUE"""),45129.124598449)</f>
        <v>45129.1246</v>
      </c>
      <c r="D1479" s="15">
        <f>IFERROR(__xludf.DUMMYFUNCTION("""COMPUTED_VALUE"""),1.003)</f>
        <v>1.003</v>
      </c>
      <c r="E1479" s="16">
        <f>IFERROR(__xludf.DUMMYFUNCTION("""COMPUTED_VALUE"""),72.0)</f>
        <v>72</v>
      </c>
      <c r="F1479" s="19" t="str">
        <f>IFERROR(__xludf.DUMMYFUNCTION("""COMPUTED_VALUE"""),"BLACK")</f>
        <v>BLACK</v>
      </c>
      <c r="G1479" s="20" t="str">
        <f>IFERROR(__xludf.DUMMYFUNCTION("""COMPUTED_VALUE"""),"Uncle Sams Cider (04/04/2023)")</f>
        <v>Uncle Sams Cider (04/04/2023)</v>
      </c>
      <c r="H1479" s="19"/>
    </row>
    <row r="1480">
      <c r="A1480" s="9"/>
      <c r="B1480" s="15"/>
      <c r="C1480" s="9">
        <f>IFERROR(__xludf.DUMMYFUNCTION("""COMPUTED_VALUE"""),45129.1141793055)</f>
        <v>45129.11418</v>
      </c>
      <c r="D1480" s="15">
        <f>IFERROR(__xludf.DUMMYFUNCTION("""COMPUTED_VALUE"""),1.003)</f>
        <v>1.003</v>
      </c>
      <c r="E1480" s="16">
        <f>IFERROR(__xludf.DUMMYFUNCTION("""COMPUTED_VALUE"""),72.0)</f>
        <v>72</v>
      </c>
      <c r="F1480" s="19" t="str">
        <f>IFERROR(__xludf.DUMMYFUNCTION("""COMPUTED_VALUE"""),"BLACK")</f>
        <v>BLACK</v>
      </c>
      <c r="G1480" s="20" t="str">
        <f>IFERROR(__xludf.DUMMYFUNCTION("""COMPUTED_VALUE"""),"Uncle Sams Cider (04/04/2023)")</f>
        <v>Uncle Sams Cider (04/04/2023)</v>
      </c>
      <c r="H1480" s="19"/>
    </row>
    <row r="1481">
      <c r="A1481" s="9"/>
      <c r="B1481" s="15"/>
      <c r="C1481" s="9">
        <f>IFERROR(__xludf.DUMMYFUNCTION("""COMPUTED_VALUE"""),45129.1037345138)</f>
        <v>45129.10373</v>
      </c>
      <c r="D1481" s="15">
        <f>IFERROR(__xludf.DUMMYFUNCTION("""COMPUTED_VALUE"""),1.003)</f>
        <v>1.003</v>
      </c>
      <c r="E1481" s="16">
        <f>IFERROR(__xludf.DUMMYFUNCTION("""COMPUTED_VALUE"""),72.0)</f>
        <v>72</v>
      </c>
      <c r="F1481" s="19" t="str">
        <f>IFERROR(__xludf.DUMMYFUNCTION("""COMPUTED_VALUE"""),"BLACK")</f>
        <v>BLACK</v>
      </c>
      <c r="G1481" s="20" t="str">
        <f>IFERROR(__xludf.DUMMYFUNCTION("""COMPUTED_VALUE"""),"Uncle Sams Cider (04/04/2023)")</f>
        <v>Uncle Sams Cider (04/04/2023)</v>
      </c>
      <c r="H1481" s="19"/>
    </row>
    <row r="1482">
      <c r="A1482" s="9"/>
      <c r="B1482" s="15"/>
      <c r="C1482" s="9">
        <f>IFERROR(__xludf.DUMMYFUNCTION("""COMPUTED_VALUE"""),45129.0933127314)</f>
        <v>45129.09331</v>
      </c>
      <c r="D1482" s="15">
        <f>IFERROR(__xludf.DUMMYFUNCTION("""COMPUTED_VALUE"""),1.003)</f>
        <v>1.003</v>
      </c>
      <c r="E1482" s="16">
        <f>IFERROR(__xludf.DUMMYFUNCTION("""COMPUTED_VALUE"""),72.0)</f>
        <v>72</v>
      </c>
      <c r="F1482" s="19" t="str">
        <f>IFERROR(__xludf.DUMMYFUNCTION("""COMPUTED_VALUE"""),"BLACK")</f>
        <v>BLACK</v>
      </c>
      <c r="G1482" s="20" t="str">
        <f>IFERROR(__xludf.DUMMYFUNCTION("""COMPUTED_VALUE"""),"Uncle Sams Cider (04/04/2023)")</f>
        <v>Uncle Sams Cider (04/04/2023)</v>
      </c>
      <c r="H1482" s="19"/>
    </row>
    <row r="1483">
      <c r="A1483" s="9"/>
      <c r="B1483" s="15"/>
      <c r="C1483" s="9">
        <f>IFERROR(__xludf.DUMMYFUNCTION("""COMPUTED_VALUE"""),45129.0828924884)</f>
        <v>45129.08289</v>
      </c>
      <c r="D1483" s="15">
        <f>IFERROR(__xludf.DUMMYFUNCTION("""COMPUTED_VALUE"""),1.003)</f>
        <v>1.003</v>
      </c>
      <c r="E1483" s="16">
        <f>IFERROR(__xludf.DUMMYFUNCTION("""COMPUTED_VALUE"""),72.0)</f>
        <v>72</v>
      </c>
      <c r="F1483" s="19" t="str">
        <f>IFERROR(__xludf.DUMMYFUNCTION("""COMPUTED_VALUE"""),"BLACK")</f>
        <v>BLACK</v>
      </c>
      <c r="G1483" s="20" t="str">
        <f>IFERROR(__xludf.DUMMYFUNCTION("""COMPUTED_VALUE"""),"Uncle Sams Cider (04/04/2023)")</f>
        <v>Uncle Sams Cider (04/04/2023)</v>
      </c>
      <c r="H1483" s="19"/>
    </row>
    <row r="1484">
      <c r="A1484" s="9"/>
      <c r="B1484" s="15"/>
      <c r="C1484" s="9">
        <f>IFERROR(__xludf.DUMMYFUNCTION("""COMPUTED_VALUE"""),45129.0724594097)</f>
        <v>45129.07246</v>
      </c>
      <c r="D1484" s="15">
        <f>IFERROR(__xludf.DUMMYFUNCTION("""COMPUTED_VALUE"""),1.003)</f>
        <v>1.003</v>
      </c>
      <c r="E1484" s="16">
        <f>IFERROR(__xludf.DUMMYFUNCTION("""COMPUTED_VALUE"""),72.0)</f>
        <v>72</v>
      </c>
      <c r="F1484" s="19" t="str">
        <f>IFERROR(__xludf.DUMMYFUNCTION("""COMPUTED_VALUE"""),"BLACK")</f>
        <v>BLACK</v>
      </c>
      <c r="G1484" s="20" t="str">
        <f>IFERROR(__xludf.DUMMYFUNCTION("""COMPUTED_VALUE"""),"Uncle Sams Cider (04/04/2023)")</f>
        <v>Uncle Sams Cider (04/04/2023)</v>
      </c>
      <c r="H1484" s="19"/>
    </row>
    <row r="1485">
      <c r="A1485" s="9"/>
      <c r="B1485" s="15"/>
      <c r="C1485" s="9">
        <f>IFERROR(__xludf.DUMMYFUNCTION("""COMPUTED_VALUE"""),45129.0620381944)</f>
        <v>45129.06204</v>
      </c>
      <c r="D1485" s="15">
        <f>IFERROR(__xludf.DUMMYFUNCTION("""COMPUTED_VALUE"""),1.003)</f>
        <v>1.003</v>
      </c>
      <c r="E1485" s="16">
        <f>IFERROR(__xludf.DUMMYFUNCTION("""COMPUTED_VALUE"""),72.0)</f>
        <v>72</v>
      </c>
      <c r="F1485" s="19" t="str">
        <f>IFERROR(__xludf.DUMMYFUNCTION("""COMPUTED_VALUE"""),"BLACK")</f>
        <v>BLACK</v>
      </c>
      <c r="G1485" s="20" t="str">
        <f>IFERROR(__xludf.DUMMYFUNCTION("""COMPUTED_VALUE"""),"Uncle Sams Cider (04/04/2023)")</f>
        <v>Uncle Sams Cider (04/04/2023)</v>
      </c>
      <c r="H1485" s="19"/>
    </row>
    <row r="1486">
      <c r="A1486" s="9"/>
      <c r="B1486" s="15"/>
      <c r="C1486" s="9">
        <f>IFERROR(__xludf.DUMMYFUNCTION("""COMPUTED_VALUE"""),45129.0516188541)</f>
        <v>45129.05162</v>
      </c>
      <c r="D1486" s="15">
        <f>IFERROR(__xludf.DUMMYFUNCTION("""COMPUTED_VALUE"""),1.003)</f>
        <v>1.003</v>
      </c>
      <c r="E1486" s="16">
        <f>IFERROR(__xludf.DUMMYFUNCTION("""COMPUTED_VALUE"""),72.0)</f>
        <v>72</v>
      </c>
      <c r="F1486" s="19" t="str">
        <f>IFERROR(__xludf.DUMMYFUNCTION("""COMPUTED_VALUE"""),"BLACK")</f>
        <v>BLACK</v>
      </c>
      <c r="G1486" s="20" t="str">
        <f>IFERROR(__xludf.DUMMYFUNCTION("""COMPUTED_VALUE"""),"Uncle Sams Cider (04/04/2023)")</f>
        <v>Uncle Sams Cider (04/04/2023)</v>
      </c>
      <c r="H1486" s="19"/>
    </row>
    <row r="1487">
      <c r="A1487" s="9"/>
      <c r="B1487" s="15"/>
      <c r="C1487" s="9">
        <f>IFERROR(__xludf.DUMMYFUNCTION("""COMPUTED_VALUE"""),45129.0411970486)</f>
        <v>45129.0412</v>
      </c>
      <c r="D1487" s="15">
        <f>IFERROR(__xludf.DUMMYFUNCTION("""COMPUTED_VALUE"""),1.003)</f>
        <v>1.003</v>
      </c>
      <c r="E1487" s="16">
        <f>IFERROR(__xludf.DUMMYFUNCTION("""COMPUTED_VALUE"""),72.0)</f>
        <v>72</v>
      </c>
      <c r="F1487" s="19" t="str">
        <f>IFERROR(__xludf.DUMMYFUNCTION("""COMPUTED_VALUE"""),"BLACK")</f>
        <v>BLACK</v>
      </c>
      <c r="G1487" s="20" t="str">
        <f>IFERROR(__xludf.DUMMYFUNCTION("""COMPUTED_VALUE"""),"Uncle Sams Cider (04/04/2023)")</f>
        <v>Uncle Sams Cider (04/04/2023)</v>
      </c>
      <c r="H1487" s="19"/>
    </row>
    <row r="1488">
      <c r="A1488" s="9"/>
      <c r="B1488" s="15"/>
      <c r="C1488" s="9">
        <f>IFERROR(__xludf.DUMMYFUNCTION("""COMPUTED_VALUE"""),45129.030763125)</f>
        <v>45129.03076</v>
      </c>
      <c r="D1488" s="15">
        <f>IFERROR(__xludf.DUMMYFUNCTION("""COMPUTED_VALUE"""),1.003)</f>
        <v>1.003</v>
      </c>
      <c r="E1488" s="16">
        <f>IFERROR(__xludf.DUMMYFUNCTION("""COMPUTED_VALUE"""),72.0)</f>
        <v>72</v>
      </c>
      <c r="F1488" s="19" t="str">
        <f>IFERROR(__xludf.DUMMYFUNCTION("""COMPUTED_VALUE"""),"BLACK")</f>
        <v>BLACK</v>
      </c>
      <c r="G1488" s="20" t="str">
        <f>IFERROR(__xludf.DUMMYFUNCTION("""COMPUTED_VALUE"""),"Uncle Sams Cider (04/04/2023)")</f>
        <v>Uncle Sams Cider (04/04/2023)</v>
      </c>
      <c r="H1488" s="19"/>
    </row>
    <row r="1489">
      <c r="A1489" s="9"/>
      <c r="B1489" s="15"/>
      <c r="C1489" s="9">
        <f>IFERROR(__xludf.DUMMYFUNCTION("""COMPUTED_VALUE"""),45129.020342118)</f>
        <v>45129.02034</v>
      </c>
      <c r="D1489" s="15">
        <f>IFERROR(__xludf.DUMMYFUNCTION("""COMPUTED_VALUE"""),1.003)</f>
        <v>1.003</v>
      </c>
      <c r="E1489" s="16">
        <f>IFERROR(__xludf.DUMMYFUNCTION("""COMPUTED_VALUE"""),72.0)</f>
        <v>72</v>
      </c>
      <c r="F1489" s="19" t="str">
        <f>IFERROR(__xludf.DUMMYFUNCTION("""COMPUTED_VALUE"""),"BLACK")</f>
        <v>BLACK</v>
      </c>
      <c r="G1489" s="20" t="str">
        <f>IFERROR(__xludf.DUMMYFUNCTION("""COMPUTED_VALUE"""),"Uncle Sams Cider (04/04/2023)")</f>
        <v>Uncle Sams Cider (04/04/2023)</v>
      </c>
      <c r="H1489" s="19"/>
    </row>
    <row r="1490">
      <c r="A1490" s="9"/>
      <c r="B1490" s="15"/>
      <c r="C1490" s="9">
        <f>IFERROR(__xludf.DUMMYFUNCTION("""COMPUTED_VALUE"""),45129.009921331)</f>
        <v>45129.00992</v>
      </c>
      <c r="D1490" s="15">
        <f>IFERROR(__xludf.DUMMYFUNCTION("""COMPUTED_VALUE"""),1.003)</f>
        <v>1.003</v>
      </c>
      <c r="E1490" s="16">
        <f>IFERROR(__xludf.DUMMYFUNCTION("""COMPUTED_VALUE"""),72.0)</f>
        <v>72</v>
      </c>
      <c r="F1490" s="19" t="str">
        <f>IFERROR(__xludf.DUMMYFUNCTION("""COMPUTED_VALUE"""),"BLACK")</f>
        <v>BLACK</v>
      </c>
      <c r="G1490" s="20" t="str">
        <f>IFERROR(__xludf.DUMMYFUNCTION("""COMPUTED_VALUE"""),"Uncle Sams Cider (04/04/2023)")</f>
        <v>Uncle Sams Cider (04/04/2023)</v>
      </c>
      <c r="H1490" s="19"/>
    </row>
    <row r="1491">
      <c r="A1491" s="9"/>
      <c r="B1491" s="15"/>
      <c r="C1491" s="9">
        <f>IFERROR(__xludf.DUMMYFUNCTION("""COMPUTED_VALUE"""),45128.9995007407)</f>
        <v>45128.9995</v>
      </c>
      <c r="D1491" s="15">
        <f>IFERROR(__xludf.DUMMYFUNCTION("""COMPUTED_VALUE"""),1.004)</f>
        <v>1.004</v>
      </c>
      <c r="E1491" s="16">
        <f>IFERROR(__xludf.DUMMYFUNCTION("""COMPUTED_VALUE"""),72.0)</f>
        <v>72</v>
      </c>
      <c r="F1491" s="19" t="str">
        <f>IFERROR(__xludf.DUMMYFUNCTION("""COMPUTED_VALUE"""),"BLACK")</f>
        <v>BLACK</v>
      </c>
      <c r="G1491" s="20" t="str">
        <f>IFERROR(__xludf.DUMMYFUNCTION("""COMPUTED_VALUE"""),"Uncle Sams Cider (04/04/2023)")</f>
        <v>Uncle Sams Cider (04/04/2023)</v>
      </c>
      <c r="H1491" s="19"/>
    </row>
    <row r="1492">
      <c r="A1492" s="9"/>
      <c r="B1492" s="15"/>
      <c r="C1492" s="9">
        <f>IFERROR(__xludf.DUMMYFUNCTION("""COMPUTED_VALUE"""),45128.9890790046)</f>
        <v>45128.98908</v>
      </c>
      <c r="D1492" s="15">
        <f>IFERROR(__xludf.DUMMYFUNCTION("""COMPUTED_VALUE"""),1.003)</f>
        <v>1.003</v>
      </c>
      <c r="E1492" s="16">
        <f>IFERROR(__xludf.DUMMYFUNCTION("""COMPUTED_VALUE"""),72.0)</f>
        <v>72</v>
      </c>
      <c r="F1492" s="19" t="str">
        <f>IFERROR(__xludf.DUMMYFUNCTION("""COMPUTED_VALUE"""),"BLACK")</f>
        <v>BLACK</v>
      </c>
      <c r="G1492" s="20" t="str">
        <f>IFERROR(__xludf.DUMMYFUNCTION("""COMPUTED_VALUE"""),"Uncle Sams Cider (04/04/2023)")</f>
        <v>Uncle Sams Cider (04/04/2023)</v>
      </c>
      <c r="H1492" s="19"/>
    </row>
    <row r="1493">
      <c r="A1493" s="9"/>
      <c r="B1493" s="15"/>
      <c r="C1493" s="9">
        <f>IFERROR(__xludf.DUMMYFUNCTION("""COMPUTED_VALUE"""),45128.9786354282)</f>
        <v>45128.97864</v>
      </c>
      <c r="D1493" s="15">
        <f>IFERROR(__xludf.DUMMYFUNCTION("""COMPUTED_VALUE"""),1.003)</f>
        <v>1.003</v>
      </c>
      <c r="E1493" s="16">
        <f>IFERROR(__xludf.DUMMYFUNCTION("""COMPUTED_VALUE"""),72.0)</f>
        <v>72</v>
      </c>
      <c r="F1493" s="19" t="str">
        <f>IFERROR(__xludf.DUMMYFUNCTION("""COMPUTED_VALUE"""),"BLACK")</f>
        <v>BLACK</v>
      </c>
      <c r="G1493" s="20" t="str">
        <f>IFERROR(__xludf.DUMMYFUNCTION("""COMPUTED_VALUE"""),"Uncle Sams Cider (04/04/2023)")</f>
        <v>Uncle Sams Cider (04/04/2023)</v>
      </c>
      <c r="H1493" s="19"/>
    </row>
    <row r="1494">
      <c r="A1494" s="9"/>
      <c r="B1494" s="15"/>
      <c r="C1494" s="9">
        <f>IFERROR(__xludf.DUMMYFUNCTION("""COMPUTED_VALUE"""),45128.9682126736)</f>
        <v>45128.96821</v>
      </c>
      <c r="D1494" s="15">
        <f>IFERROR(__xludf.DUMMYFUNCTION("""COMPUTED_VALUE"""),1.003)</f>
        <v>1.003</v>
      </c>
      <c r="E1494" s="16">
        <f>IFERROR(__xludf.DUMMYFUNCTION("""COMPUTED_VALUE"""),72.0)</f>
        <v>72</v>
      </c>
      <c r="F1494" s="19" t="str">
        <f>IFERROR(__xludf.DUMMYFUNCTION("""COMPUTED_VALUE"""),"BLACK")</f>
        <v>BLACK</v>
      </c>
      <c r="G1494" s="20" t="str">
        <f>IFERROR(__xludf.DUMMYFUNCTION("""COMPUTED_VALUE"""),"Uncle Sams Cider (04/04/2023)")</f>
        <v>Uncle Sams Cider (04/04/2023)</v>
      </c>
      <c r="H1494" s="19"/>
    </row>
    <row r="1495">
      <c r="A1495" s="9"/>
      <c r="B1495" s="15"/>
      <c r="C1495" s="9">
        <f>IFERROR(__xludf.DUMMYFUNCTION("""COMPUTED_VALUE"""),45128.9577798842)</f>
        <v>45128.95778</v>
      </c>
      <c r="D1495" s="15">
        <f>IFERROR(__xludf.DUMMYFUNCTION("""COMPUTED_VALUE"""),1.003)</f>
        <v>1.003</v>
      </c>
      <c r="E1495" s="16">
        <f>IFERROR(__xludf.DUMMYFUNCTION("""COMPUTED_VALUE"""),72.0)</f>
        <v>72</v>
      </c>
      <c r="F1495" s="19" t="str">
        <f>IFERROR(__xludf.DUMMYFUNCTION("""COMPUTED_VALUE"""),"BLACK")</f>
        <v>BLACK</v>
      </c>
      <c r="G1495" s="20" t="str">
        <f>IFERROR(__xludf.DUMMYFUNCTION("""COMPUTED_VALUE"""),"Uncle Sams Cider (04/04/2023)")</f>
        <v>Uncle Sams Cider (04/04/2023)</v>
      </c>
      <c r="H1495" s="19"/>
    </row>
    <row r="1496">
      <c r="A1496" s="9"/>
      <c r="B1496" s="15"/>
      <c r="C1496" s="9">
        <f>IFERROR(__xludf.DUMMYFUNCTION("""COMPUTED_VALUE"""),45128.9473585069)</f>
        <v>45128.94736</v>
      </c>
      <c r="D1496" s="15">
        <f>IFERROR(__xludf.DUMMYFUNCTION("""COMPUTED_VALUE"""),1.003)</f>
        <v>1.003</v>
      </c>
      <c r="E1496" s="16">
        <f>IFERROR(__xludf.DUMMYFUNCTION("""COMPUTED_VALUE"""),72.0)</f>
        <v>72</v>
      </c>
      <c r="F1496" s="19" t="str">
        <f>IFERROR(__xludf.DUMMYFUNCTION("""COMPUTED_VALUE"""),"BLACK")</f>
        <v>BLACK</v>
      </c>
      <c r="G1496" s="20" t="str">
        <f>IFERROR(__xludf.DUMMYFUNCTION("""COMPUTED_VALUE"""),"Uncle Sams Cider (04/04/2023)")</f>
        <v>Uncle Sams Cider (04/04/2023)</v>
      </c>
      <c r="H1496" s="19"/>
    </row>
    <row r="1497">
      <c r="A1497" s="9"/>
      <c r="B1497" s="15"/>
      <c r="C1497" s="9">
        <f>IFERROR(__xludf.DUMMYFUNCTION("""COMPUTED_VALUE"""),45128.9369259375)</f>
        <v>45128.93693</v>
      </c>
      <c r="D1497" s="15">
        <f>IFERROR(__xludf.DUMMYFUNCTION("""COMPUTED_VALUE"""),1.003)</f>
        <v>1.003</v>
      </c>
      <c r="E1497" s="16">
        <f>IFERROR(__xludf.DUMMYFUNCTION("""COMPUTED_VALUE"""),72.0)</f>
        <v>72</v>
      </c>
      <c r="F1497" s="19" t="str">
        <f>IFERROR(__xludf.DUMMYFUNCTION("""COMPUTED_VALUE"""),"BLACK")</f>
        <v>BLACK</v>
      </c>
      <c r="G1497" s="20" t="str">
        <f>IFERROR(__xludf.DUMMYFUNCTION("""COMPUTED_VALUE"""),"Uncle Sams Cider (04/04/2023)")</f>
        <v>Uncle Sams Cider (04/04/2023)</v>
      </c>
      <c r="H1497" s="19"/>
    </row>
    <row r="1498">
      <c r="A1498" s="9"/>
      <c r="B1498" s="15"/>
      <c r="C1498" s="9">
        <f>IFERROR(__xludf.DUMMYFUNCTION("""COMPUTED_VALUE"""),45128.9265041666)</f>
        <v>45128.9265</v>
      </c>
      <c r="D1498" s="15">
        <f>IFERROR(__xludf.DUMMYFUNCTION("""COMPUTED_VALUE"""),1.003)</f>
        <v>1.003</v>
      </c>
      <c r="E1498" s="16">
        <f>IFERROR(__xludf.DUMMYFUNCTION("""COMPUTED_VALUE"""),72.0)</f>
        <v>72</v>
      </c>
      <c r="F1498" s="19" t="str">
        <f>IFERROR(__xludf.DUMMYFUNCTION("""COMPUTED_VALUE"""),"BLACK")</f>
        <v>BLACK</v>
      </c>
      <c r="G1498" s="20" t="str">
        <f>IFERROR(__xludf.DUMMYFUNCTION("""COMPUTED_VALUE"""),"Uncle Sams Cider (04/04/2023)")</f>
        <v>Uncle Sams Cider (04/04/2023)</v>
      </c>
      <c r="H1498" s="19"/>
    </row>
    <row r="1499">
      <c r="A1499" s="9"/>
      <c r="B1499" s="15"/>
      <c r="C1499" s="9">
        <f>IFERROR(__xludf.DUMMYFUNCTION("""COMPUTED_VALUE"""),45128.9160820486)</f>
        <v>45128.91608</v>
      </c>
      <c r="D1499" s="15">
        <f>IFERROR(__xludf.DUMMYFUNCTION("""COMPUTED_VALUE"""),1.003)</f>
        <v>1.003</v>
      </c>
      <c r="E1499" s="16">
        <f>IFERROR(__xludf.DUMMYFUNCTION("""COMPUTED_VALUE"""),72.0)</f>
        <v>72</v>
      </c>
      <c r="F1499" s="19" t="str">
        <f>IFERROR(__xludf.DUMMYFUNCTION("""COMPUTED_VALUE"""),"BLACK")</f>
        <v>BLACK</v>
      </c>
      <c r="G1499" s="20" t="str">
        <f>IFERROR(__xludf.DUMMYFUNCTION("""COMPUTED_VALUE"""),"Uncle Sams Cider (04/04/2023)")</f>
        <v>Uncle Sams Cider (04/04/2023)</v>
      </c>
      <c r="H1499" s="19"/>
    </row>
    <row r="1500">
      <c r="A1500" s="9"/>
      <c r="B1500" s="15"/>
      <c r="C1500" s="9">
        <f>IFERROR(__xludf.DUMMYFUNCTION("""COMPUTED_VALUE"""),45128.9056611458)</f>
        <v>45128.90566</v>
      </c>
      <c r="D1500" s="15">
        <f>IFERROR(__xludf.DUMMYFUNCTION("""COMPUTED_VALUE"""),1.003)</f>
        <v>1.003</v>
      </c>
      <c r="E1500" s="16">
        <f>IFERROR(__xludf.DUMMYFUNCTION("""COMPUTED_VALUE"""),72.0)</f>
        <v>72</v>
      </c>
      <c r="F1500" s="19" t="str">
        <f>IFERROR(__xludf.DUMMYFUNCTION("""COMPUTED_VALUE"""),"BLACK")</f>
        <v>BLACK</v>
      </c>
      <c r="G1500" s="20" t="str">
        <f>IFERROR(__xludf.DUMMYFUNCTION("""COMPUTED_VALUE"""),"Uncle Sams Cider (04/04/2023)")</f>
        <v>Uncle Sams Cider (04/04/2023)</v>
      </c>
      <c r="H1500" s="19"/>
    </row>
    <row r="1501">
      <c r="A1501" s="9"/>
      <c r="B1501" s="15"/>
      <c r="C1501" s="9">
        <f>IFERROR(__xludf.DUMMYFUNCTION("""COMPUTED_VALUE"""),45128.8952398379)</f>
        <v>45128.89524</v>
      </c>
      <c r="D1501" s="15">
        <f>IFERROR(__xludf.DUMMYFUNCTION("""COMPUTED_VALUE"""),1.003)</f>
        <v>1.003</v>
      </c>
      <c r="E1501" s="16">
        <f>IFERROR(__xludf.DUMMYFUNCTION("""COMPUTED_VALUE"""),72.0)</f>
        <v>72</v>
      </c>
      <c r="F1501" s="19" t="str">
        <f>IFERROR(__xludf.DUMMYFUNCTION("""COMPUTED_VALUE"""),"BLACK")</f>
        <v>BLACK</v>
      </c>
      <c r="G1501" s="20" t="str">
        <f>IFERROR(__xludf.DUMMYFUNCTION("""COMPUTED_VALUE"""),"Uncle Sams Cider (04/04/2023)")</f>
        <v>Uncle Sams Cider (04/04/2023)</v>
      </c>
      <c r="H1501" s="19"/>
    </row>
    <row r="1502">
      <c r="A1502" s="9"/>
      <c r="B1502" s="15"/>
      <c r="C1502" s="9">
        <f>IFERROR(__xludf.DUMMYFUNCTION("""COMPUTED_VALUE"""),45128.8848186574)</f>
        <v>45128.88482</v>
      </c>
      <c r="D1502" s="15">
        <f>IFERROR(__xludf.DUMMYFUNCTION("""COMPUTED_VALUE"""),1.003)</f>
        <v>1.003</v>
      </c>
      <c r="E1502" s="16">
        <f>IFERROR(__xludf.DUMMYFUNCTION("""COMPUTED_VALUE"""),72.0)</f>
        <v>72</v>
      </c>
      <c r="F1502" s="19" t="str">
        <f>IFERROR(__xludf.DUMMYFUNCTION("""COMPUTED_VALUE"""),"BLACK")</f>
        <v>BLACK</v>
      </c>
      <c r="G1502" s="20" t="str">
        <f>IFERROR(__xludf.DUMMYFUNCTION("""COMPUTED_VALUE"""),"Uncle Sams Cider (04/04/2023)")</f>
        <v>Uncle Sams Cider (04/04/2023)</v>
      </c>
      <c r="H1502" s="19"/>
    </row>
    <row r="1503">
      <c r="A1503" s="9"/>
      <c r="B1503" s="15"/>
      <c r="C1503" s="9">
        <f>IFERROR(__xludf.DUMMYFUNCTION("""COMPUTED_VALUE"""),45128.8743975694)</f>
        <v>45128.8744</v>
      </c>
      <c r="D1503" s="15">
        <f>IFERROR(__xludf.DUMMYFUNCTION("""COMPUTED_VALUE"""),1.003)</f>
        <v>1.003</v>
      </c>
      <c r="E1503" s="16">
        <f>IFERROR(__xludf.DUMMYFUNCTION("""COMPUTED_VALUE"""),72.0)</f>
        <v>72</v>
      </c>
      <c r="F1503" s="19" t="str">
        <f>IFERROR(__xludf.DUMMYFUNCTION("""COMPUTED_VALUE"""),"BLACK")</f>
        <v>BLACK</v>
      </c>
      <c r="G1503" s="20" t="str">
        <f>IFERROR(__xludf.DUMMYFUNCTION("""COMPUTED_VALUE"""),"Uncle Sams Cider (04/04/2023)")</f>
        <v>Uncle Sams Cider (04/04/2023)</v>
      </c>
      <c r="H1503" s="19"/>
    </row>
    <row r="1504">
      <c r="A1504" s="9"/>
      <c r="B1504" s="15"/>
      <c r="C1504" s="9">
        <f>IFERROR(__xludf.DUMMYFUNCTION("""COMPUTED_VALUE"""),45128.8639665625)</f>
        <v>45128.86397</v>
      </c>
      <c r="D1504" s="15">
        <f>IFERROR(__xludf.DUMMYFUNCTION("""COMPUTED_VALUE"""),1.003)</f>
        <v>1.003</v>
      </c>
      <c r="E1504" s="16">
        <f>IFERROR(__xludf.DUMMYFUNCTION("""COMPUTED_VALUE"""),72.0)</f>
        <v>72</v>
      </c>
      <c r="F1504" s="19" t="str">
        <f>IFERROR(__xludf.DUMMYFUNCTION("""COMPUTED_VALUE"""),"BLACK")</f>
        <v>BLACK</v>
      </c>
      <c r="G1504" s="20" t="str">
        <f>IFERROR(__xludf.DUMMYFUNCTION("""COMPUTED_VALUE"""),"Uncle Sams Cider (04/04/2023)")</f>
        <v>Uncle Sams Cider (04/04/2023)</v>
      </c>
      <c r="H1504" s="19"/>
    </row>
    <row r="1505">
      <c r="A1505" s="9"/>
      <c r="B1505" s="15"/>
      <c r="C1505" s="9">
        <f>IFERROR(__xludf.DUMMYFUNCTION("""COMPUTED_VALUE"""),45128.8535455671)</f>
        <v>45128.85355</v>
      </c>
      <c r="D1505" s="15">
        <f>IFERROR(__xludf.DUMMYFUNCTION("""COMPUTED_VALUE"""),1.003)</f>
        <v>1.003</v>
      </c>
      <c r="E1505" s="16">
        <f>IFERROR(__xludf.DUMMYFUNCTION("""COMPUTED_VALUE"""),72.0)</f>
        <v>72</v>
      </c>
      <c r="F1505" s="19" t="str">
        <f>IFERROR(__xludf.DUMMYFUNCTION("""COMPUTED_VALUE"""),"BLACK")</f>
        <v>BLACK</v>
      </c>
      <c r="G1505" s="20" t="str">
        <f>IFERROR(__xludf.DUMMYFUNCTION("""COMPUTED_VALUE"""),"Uncle Sams Cider (04/04/2023)")</f>
        <v>Uncle Sams Cider (04/04/2023)</v>
      </c>
      <c r="H1505" s="19"/>
    </row>
    <row r="1506">
      <c r="A1506" s="9"/>
      <c r="B1506" s="15"/>
      <c r="C1506" s="9">
        <f>IFERROR(__xludf.DUMMYFUNCTION("""COMPUTED_VALUE"""),45128.843125324)</f>
        <v>45128.84313</v>
      </c>
      <c r="D1506" s="15">
        <f>IFERROR(__xludf.DUMMYFUNCTION("""COMPUTED_VALUE"""),1.003)</f>
        <v>1.003</v>
      </c>
      <c r="E1506" s="16">
        <f>IFERROR(__xludf.DUMMYFUNCTION("""COMPUTED_VALUE"""),72.0)</f>
        <v>72</v>
      </c>
      <c r="F1506" s="19" t="str">
        <f>IFERROR(__xludf.DUMMYFUNCTION("""COMPUTED_VALUE"""),"BLACK")</f>
        <v>BLACK</v>
      </c>
      <c r="G1506" s="20" t="str">
        <f>IFERROR(__xludf.DUMMYFUNCTION("""COMPUTED_VALUE"""),"Uncle Sams Cider (04/04/2023)")</f>
        <v>Uncle Sams Cider (04/04/2023)</v>
      </c>
      <c r="H1506" s="19"/>
    </row>
    <row r="1507">
      <c r="A1507" s="9"/>
      <c r="B1507" s="15"/>
      <c r="C1507" s="9">
        <f>IFERROR(__xludf.DUMMYFUNCTION("""COMPUTED_VALUE"""),45128.8327034953)</f>
        <v>45128.8327</v>
      </c>
      <c r="D1507" s="15">
        <f>IFERROR(__xludf.DUMMYFUNCTION("""COMPUTED_VALUE"""),1.003)</f>
        <v>1.003</v>
      </c>
      <c r="E1507" s="16">
        <f>IFERROR(__xludf.DUMMYFUNCTION("""COMPUTED_VALUE"""),72.0)</f>
        <v>72</v>
      </c>
      <c r="F1507" s="19" t="str">
        <f>IFERROR(__xludf.DUMMYFUNCTION("""COMPUTED_VALUE"""),"BLACK")</f>
        <v>BLACK</v>
      </c>
      <c r="G1507" s="20" t="str">
        <f>IFERROR(__xludf.DUMMYFUNCTION("""COMPUTED_VALUE"""),"Uncle Sams Cider (04/04/2023)")</f>
        <v>Uncle Sams Cider (04/04/2023)</v>
      </c>
      <c r="H1507" s="19"/>
    </row>
    <row r="1508">
      <c r="A1508" s="9"/>
      <c r="B1508" s="15"/>
      <c r="C1508" s="9">
        <f>IFERROR(__xludf.DUMMYFUNCTION("""COMPUTED_VALUE"""),45128.822283831)</f>
        <v>45128.82228</v>
      </c>
      <c r="D1508" s="15">
        <f>IFERROR(__xludf.DUMMYFUNCTION("""COMPUTED_VALUE"""),1.003)</f>
        <v>1.003</v>
      </c>
      <c r="E1508" s="16">
        <f>IFERROR(__xludf.DUMMYFUNCTION("""COMPUTED_VALUE"""),72.0)</f>
        <v>72</v>
      </c>
      <c r="F1508" s="19" t="str">
        <f>IFERROR(__xludf.DUMMYFUNCTION("""COMPUTED_VALUE"""),"BLACK")</f>
        <v>BLACK</v>
      </c>
      <c r="G1508" s="20" t="str">
        <f>IFERROR(__xludf.DUMMYFUNCTION("""COMPUTED_VALUE"""),"Uncle Sams Cider (04/04/2023)")</f>
        <v>Uncle Sams Cider (04/04/2023)</v>
      </c>
      <c r="H1508" s="19"/>
    </row>
    <row r="1509">
      <c r="A1509" s="9"/>
      <c r="B1509" s="15"/>
      <c r="C1509" s="9">
        <f>IFERROR(__xludf.DUMMYFUNCTION("""COMPUTED_VALUE"""),45128.8118616319)</f>
        <v>45128.81186</v>
      </c>
      <c r="D1509" s="15">
        <f>IFERROR(__xludf.DUMMYFUNCTION("""COMPUTED_VALUE"""),1.003)</f>
        <v>1.003</v>
      </c>
      <c r="E1509" s="16">
        <f>IFERROR(__xludf.DUMMYFUNCTION("""COMPUTED_VALUE"""),72.0)</f>
        <v>72</v>
      </c>
      <c r="F1509" s="19" t="str">
        <f>IFERROR(__xludf.DUMMYFUNCTION("""COMPUTED_VALUE"""),"BLACK")</f>
        <v>BLACK</v>
      </c>
      <c r="G1509" s="20" t="str">
        <f>IFERROR(__xludf.DUMMYFUNCTION("""COMPUTED_VALUE"""),"Uncle Sams Cider (04/04/2023)")</f>
        <v>Uncle Sams Cider (04/04/2023)</v>
      </c>
      <c r="H1509" s="19"/>
    </row>
    <row r="1510">
      <c r="A1510" s="9"/>
      <c r="B1510" s="15"/>
      <c r="C1510" s="9">
        <f>IFERROR(__xludf.DUMMYFUNCTION("""COMPUTED_VALUE"""),45128.8014407407)</f>
        <v>45128.80144</v>
      </c>
      <c r="D1510" s="15">
        <f>IFERROR(__xludf.DUMMYFUNCTION("""COMPUTED_VALUE"""),1.003)</f>
        <v>1.003</v>
      </c>
      <c r="E1510" s="16">
        <f>IFERROR(__xludf.DUMMYFUNCTION("""COMPUTED_VALUE"""),72.0)</f>
        <v>72</v>
      </c>
      <c r="F1510" s="19" t="str">
        <f>IFERROR(__xludf.DUMMYFUNCTION("""COMPUTED_VALUE"""),"BLACK")</f>
        <v>BLACK</v>
      </c>
      <c r="G1510" s="20" t="str">
        <f>IFERROR(__xludf.DUMMYFUNCTION("""COMPUTED_VALUE"""),"Uncle Sams Cider (04/04/2023)")</f>
        <v>Uncle Sams Cider (04/04/2023)</v>
      </c>
      <c r="H1510" s="19"/>
    </row>
    <row r="1511">
      <c r="A1511" s="9"/>
      <c r="B1511" s="15"/>
      <c r="C1511" s="9">
        <f>IFERROR(__xludf.DUMMYFUNCTION("""COMPUTED_VALUE"""),45128.7910192708)</f>
        <v>45128.79102</v>
      </c>
      <c r="D1511" s="15">
        <f>IFERROR(__xludf.DUMMYFUNCTION("""COMPUTED_VALUE"""),1.003)</f>
        <v>1.003</v>
      </c>
      <c r="E1511" s="16">
        <f>IFERROR(__xludf.DUMMYFUNCTION("""COMPUTED_VALUE"""),72.0)</f>
        <v>72</v>
      </c>
      <c r="F1511" s="19" t="str">
        <f>IFERROR(__xludf.DUMMYFUNCTION("""COMPUTED_VALUE"""),"BLACK")</f>
        <v>BLACK</v>
      </c>
      <c r="G1511" s="20" t="str">
        <f>IFERROR(__xludf.DUMMYFUNCTION("""COMPUTED_VALUE"""),"Uncle Sams Cider (04/04/2023)")</f>
        <v>Uncle Sams Cider (04/04/2023)</v>
      </c>
      <c r="H1511" s="19"/>
    </row>
    <row r="1512">
      <c r="A1512" s="9"/>
      <c r="B1512" s="15"/>
      <c r="C1512" s="9">
        <f>IFERROR(__xludf.DUMMYFUNCTION("""COMPUTED_VALUE"""),45128.7805872338)</f>
        <v>45128.78059</v>
      </c>
      <c r="D1512" s="15">
        <f>IFERROR(__xludf.DUMMYFUNCTION("""COMPUTED_VALUE"""),1.003)</f>
        <v>1.003</v>
      </c>
      <c r="E1512" s="16">
        <f>IFERROR(__xludf.DUMMYFUNCTION("""COMPUTED_VALUE"""),72.0)</f>
        <v>72</v>
      </c>
      <c r="F1512" s="19" t="str">
        <f>IFERROR(__xludf.DUMMYFUNCTION("""COMPUTED_VALUE"""),"BLACK")</f>
        <v>BLACK</v>
      </c>
      <c r="G1512" s="20" t="str">
        <f>IFERROR(__xludf.DUMMYFUNCTION("""COMPUTED_VALUE"""),"Uncle Sams Cider (04/04/2023)")</f>
        <v>Uncle Sams Cider (04/04/2023)</v>
      </c>
      <c r="H1512" s="19"/>
    </row>
    <row r="1513">
      <c r="A1513" s="9"/>
      <c r="B1513" s="15"/>
      <c r="C1513" s="9">
        <f>IFERROR(__xludf.DUMMYFUNCTION("""COMPUTED_VALUE"""),45128.7701685416)</f>
        <v>45128.77017</v>
      </c>
      <c r="D1513" s="15">
        <f>IFERROR(__xludf.DUMMYFUNCTION("""COMPUTED_VALUE"""),1.003)</f>
        <v>1.003</v>
      </c>
      <c r="E1513" s="16">
        <f>IFERROR(__xludf.DUMMYFUNCTION("""COMPUTED_VALUE"""),72.0)</f>
        <v>72</v>
      </c>
      <c r="F1513" s="19" t="str">
        <f>IFERROR(__xludf.DUMMYFUNCTION("""COMPUTED_VALUE"""),"BLACK")</f>
        <v>BLACK</v>
      </c>
      <c r="G1513" s="20" t="str">
        <f>IFERROR(__xludf.DUMMYFUNCTION("""COMPUTED_VALUE"""),"Uncle Sams Cider (04/04/2023)")</f>
        <v>Uncle Sams Cider (04/04/2023)</v>
      </c>
      <c r="H1513" s="19"/>
    </row>
    <row r="1514">
      <c r="A1514" s="9"/>
      <c r="B1514" s="15"/>
      <c r="C1514" s="9">
        <f>IFERROR(__xludf.DUMMYFUNCTION("""COMPUTED_VALUE"""),45128.7597473032)</f>
        <v>45128.75975</v>
      </c>
      <c r="D1514" s="15">
        <f>IFERROR(__xludf.DUMMYFUNCTION("""COMPUTED_VALUE"""),1.003)</f>
        <v>1.003</v>
      </c>
      <c r="E1514" s="16">
        <f>IFERROR(__xludf.DUMMYFUNCTION("""COMPUTED_VALUE"""),72.0)</f>
        <v>72</v>
      </c>
      <c r="F1514" s="19" t="str">
        <f>IFERROR(__xludf.DUMMYFUNCTION("""COMPUTED_VALUE"""),"BLACK")</f>
        <v>BLACK</v>
      </c>
      <c r="G1514" s="20" t="str">
        <f>IFERROR(__xludf.DUMMYFUNCTION("""COMPUTED_VALUE"""),"Uncle Sams Cider (04/04/2023)")</f>
        <v>Uncle Sams Cider (04/04/2023)</v>
      </c>
      <c r="H1514" s="19"/>
    </row>
    <row r="1515">
      <c r="A1515" s="9"/>
      <c r="B1515" s="15"/>
      <c r="C1515" s="9">
        <f>IFERROR(__xludf.DUMMYFUNCTION("""COMPUTED_VALUE"""),45128.749325706)</f>
        <v>45128.74933</v>
      </c>
      <c r="D1515" s="15">
        <f>IFERROR(__xludf.DUMMYFUNCTION("""COMPUTED_VALUE"""),1.003)</f>
        <v>1.003</v>
      </c>
      <c r="E1515" s="16">
        <f>IFERROR(__xludf.DUMMYFUNCTION("""COMPUTED_VALUE"""),72.0)</f>
        <v>72</v>
      </c>
      <c r="F1515" s="19" t="str">
        <f>IFERROR(__xludf.DUMMYFUNCTION("""COMPUTED_VALUE"""),"BLACK")</f>
        <v>BLACK</v>
      </c>
      <c r="G1515" s="20" t="str">
        <f>IFERROR(__xludf.DUMMYFUNCTION("""COMPUTED_VALUE"""),"Uncle Sams Cider (04/04/2023)")</f>
        <v>Uncle Sams Cider (04/04/2023)</v>
      </c>
      <c r="H1515" s="19"/>
    </row>
    <row r="1516">
      <c r="A1516" s="9"/>
      <c r="B1516" s="15"/>
      <c r="C1516" s="9">
        <f>IFERROR(__xludf.DUMMYFUNCTION("""COMPUTED_VALUE"""),45128.7388933796)</f>
        <v>45128.73889</v>
      </c>
      <c r="D1516" s="15">
        <f>IFERROR(__xludf.DUMMYFUNCTION("""COMPUTED_VALUE"""),1.003)</f>
        <v>1.003</v>
      </c>
      <c r="E1516" s="16">
        <f>IFERROR(__xludf.DUMMYFUNCTION("""COMPUTED_VALUE"""),72.0)</f>
        <v>72</v>
      </c>
      <c r="F1516" s="19" t="str">
        <f>IFERROR(__xludf.DUMMYFUNCTION("""COMPUTED_VALUE"""),"BLACK")</f>
        <v>BLACK</v>
      </c>
      <c r="G1516" s="20" t="str">
        <f>IFERROR(__xludf.DUMMYFUNCTION("""COMPUTED_VALUE"""),"Uncle Sams Cider (04/04/2023)")</f>
        <v>Uncle Sams Cider (04/04/2023)</v>
      </c>
      <c r="H1516" s="19"/>
    </row>
    <row r="1517">
      <c r="A1517" s="9"/>
      <c r="B1517" s="15"/>
      <c r="C1517" s="9">
        <f>IFERROR(__xludf.DUMMYFUNCTION("""COMPUTED_VALUE"""),45128.7284604513)</f>
        <v>45128.72846</v>
      </c>
      <c r="D1517" s="15">
        <f>IFERROR(__xludf.DUMMYFUNCTION("""COMPUTED_VALUE"""),1.003)</f>
        <v>1.003</v>
      </c>
      <c r="E1517" s="16">
        <f>IFERROR(__xludf.DUMMYFUNCTION("""COMPUTED_VALUE"""),72.0)</f>
        <v>72</v>
      </c>
      <c r="F1517" s="19" t="str">
        <f>IFERROR(__xludf.DUMMYFUNCTION("""COMPUTED_VALUE"""),"BLACK")</f>
        <v>BLACK</v>
      </c>
      <c r="G1517" s="20" t="str">
        <f>IFERROR(__xludf.DUMMYFUNCTION("""COMPUTED_VALUE"""),"Uncle Sams Cider (04/04/2023)")</f>
        <v>Uncle Sams Cider (04/04/2023)</v>
      </c>
      <c r="H1517" s="19"/>
    </row>
    <row r="1518">
      <c r="A1518" s="9"/>
      <c r="B1518" s="15"/>
      <c r="C1518" s="9">
        <f>IFERROR(__xludf.DUMMYFUNCTION("""COMPUTED_VALUE"""),45128.7180403472)</f>
        <v>45128.71804</v>
      </c>
      <c r="D1518" s="15">
        <f>IFERROR(__xludf.DUMMYFUNCTION("""COMPUTED_VALUE"""),1.003)</f>
        <v>1.003</v>
      </c>
      <c r="E1518" s="16">
        <f>IFERROR(__xludf.DUMMYFUNCTION("""COMPUTED_VALUE"""),72.0)</f>
        <v>72</v>
      </c>
      <c r="F1518" s="19" t="str">
        <f>IFERROR(__xludf.DUMMYFUNCTION("""COMPUTED_VALUE"""),"BLACK")</f>
        <v>BLACK</v>
      </c>
      <c r="G1518" s="20" t="str">
        <f>IFERROR(__xludf.DUMMYFUNCTION("""COMPUTED_VALUE"""),"Uncle Sams Cider (04/04/2023)")</f>
        <v>Uncle Sams Cider (04/04/2023)</v>
      </c>
      <c r="H1518" s="19"/>
    </row>
    <row r="1519">
      <c r="A1519" s="9"/>
      <c r="B1519" s="15"/>
      <c r="C1519" s="9">
        <f>IFERROR(__xludf.DUMMYFUNCTION("""COMPUTED_VALUE"""),45128.7076184838)</f>
        <v>45128.70762</v>
      </c>
      <c r="D1519" s="15">
        <f>IFERROR(__xludf.DUMMYFUNCTION("""COMPUTED_VALUE"""),1.003)</f>
        <v>1.003</v>
      </c>
      <c r="E1519" s="16">
        <f>IFERROR(__xludf.DUMMYFUNCTION("""COMPUTED_VALUE"""),72.0)</f>
        <v>72</v>
      </c>
      <c r="F1519" s="19" t="str">
        <f>IFERROR(__xludf.DUMMYFUNCTION("""COMPUTED_VALUE"""),"BLACK")</f>
        <v>BLACK</v>
      </c>
      <c r="G1519" s="20" t="str">
        <f>IFERROR(__xludf.DUMMYFUNCTION("""COMPUTED_VALUE"""),"Uncle Sams Cider (04/04/2023)")</f>
        <v>Uncle Sams Cider (04/04/2023)</v>
      </c>
      <c r="H1519" s="19"/>
    </row>
    <row r="1520">
      <c r="A1520" s="9"/>
      <c r="B1520" s="15"/>
      <c r="C1520" s="9">
        <f>IFERROR(__xludf.DUMMYFUNCTION("""COMPUTED_VALUE"""),45128.6971965972)</f>
        <v>45128.6972</v>
      </c>
      <c r="D1520" s="15">
        <f>IFERROR(__xludf.DUMMYFUNCTION("""COMPUTED_VALUE"""),1.003)</f>
        <v>1.003</v>
      </c>
      <c r="E1520" s="16">
        <f>IFERROR(__xludf.DUMMYFUNCTION("""COMPUTED_VALUE"""),72.0)</f>
        <v>72</v>
      </c>
      <c r="F1520" s="19" t="str">
        <f>IFERROR(__xludf.DUMMYFUNCTION("""COMPUTED_VALUE"""),"BLACK")</f>
        <v>BLACK</v>
      </c>
      <c r="G1520" s="20" t="str">
        <f>IFERROR(__xludf.DUMMYFUNCTION("""COMPUTED_VALUE"""),"Uncle Sams Cider (04/04/2023)")</f>
        <v>Uncle Sams Cider (04/04/2023)</v>
      </c>
      <c r="H1520" s="19"/>
    </row>
    <row r="1521">
      <c r="A1521" s="9"/>
      <c r="B1521" s="15"/>
      <c r="C1521" s="9">
        <f>IFERROR(__xludf.DUMMYFUNCTION("""COMPUTED_VALUE"""),45128.6867755092)</f>
        <v>45128.68678</v>
      </c>
      <c r="D1521" s="15">
        <f>IFERROR(__xludf.DUMMYFUNCTION("""COMPUTED_VALUE"""),1.003)</f>
        <v>1.003</v>
      </c>
      <c r="E1521" s="16">
        <f>IFERROR(__xludf.DUMMYFUNCTION("""COMPUTED_VALUE"""),72.0)</f>
        <v>72</v>
      </c>
      <c r="F1521" s="19" t="str">
        <f>IFERROR(__xludf.DUMMYFUNCTION("""COMPUTED_VALUE"""),"BLACK")</f>
        <v>BLACK</v>
      </c>
      <c r="G1521" s="20" t="str">
        <f>IFERROR(__xludf.DUMMYFUNCTION("""COMPUTED_VALUE"""),"Uncle Sams Cider (04/04/2023)")</f>
        <v>Uncle Sams Cider (04/04/2023)</v>
      </c>
      <c r="H1521" s="19"/>
    </row>
    <row r="1522">
      <c r="A1522" s="9"/>
      <c r="B1522" s="15"/>
      <c r="C1522" s="9">
        <f>IFERROR(__xludf.DUMMYFUNCTION("""COMPUTED_VALUE"""),45128.6763529166)</f>
        <v>45128.67635</v>
      </c>
      <c r="D1522" s="15">
        <f>IFERROR(__xludf.DUMMYFUNCTION("""COMPUTED_VALUE"""),1.003)</f>
        <v>1.003</v>
      </c>
      <c r="E1522" s="16">
        <f>IFERROR(__xludf.DUMMYFUNCTION("""COMPUTED_VALUE"""),72.0)</f>
        <v>72</v>
      </c>
      <c r="F1522" s="19" t="str">
        <f>IFERROR(__xludf.DUMMYFUNCTION("""COMPUTED_VALUE"""),"BLACK")</f>
        <v>BLACK</v>
      </c>
      <c r="G1522" s="20" t="str">
        <f>IFERROR(__xludf.DUMMYFUNCTION("""COMPUTED_VALUE"""),"Uncle Sams Cider (04/04/2023)")</f>
        <v>Uncle Sams Cider (04/04/2023)</v>
      </c>
      <c r="H1522" s="19"/>
    </row>
    <row r="1523">
      <c r="A1523" s="9"/>
      <c r="B1523" s="15"/>
      <c r="C1523" s="9">
        <f>IFERROR(__xludf.DUMMYFUNCTION("""COMPUTED_VALUE"""),45128.6659316088)</f>
        <v>45128.66593</v>
      </c>
      <c r="D1523" s="15">
        <f>IFERROR(__xludf.DUMMYFUNCTION("""COMPUTED_VALUE"""),1.003)</f>
        <v>1.003</v>
      </c>
      <c r="E1523" s="16">
        <f>IFERROR(__xludf.DUMMYFUNCTION("""COMPUTED_VALUE"""),72.0)</f>
        <v>72</v>
      </c>
      <c r="F1523" s="19" t="str">
        <f>IFERROR(__xludf.DUMMYFUNCTION("""COMPUTED_VALUE"""),"BLACK")</f>
        <v>BLACK</v>
      </c>
      <c r="G1523" s="20" t="str">
        <f>IFERROR(__xludf.DUMMYFUNCTION("""COMPUTED_VALUE"""),"Uncle Sams Cider (04/04/2023)")</f>
        <v>Uncle Sams Cider (04/04/2023)</v>
      </c>
      <c r="H1523" s="19"/>
    </row>
    <row r="1524">
      <c r="A1524" s="9"/>
      <c r="B1524" s="15"/>
      <c r="C1524" s="9">
        <f>IFERROR(__xludf.DUMMYFUNCTION("""COMPUTED_VALUE"""),45128.6555120601)</f>
        <v>45128.65551</v>
      </c>
      <c r="D1524" s="15">
        <f>IFERROR(__xludf.DUMMYFUNCTION("""COMPUTED_VALUE"""),1.003)</f>
        <v>1.003</v>
      </c>
      <c r="E1524" s="16">
        <f>IFERROR(__xludf.DUMMYFUNCTION("""COMPUTED_VALUE"""),72.0)</f>
        <v>72</v>
      </c>
      <c r="F1524" s="19" t="str">
        <f>IFERROR(__xludf.DUMMYFUNCTION("""COMPUTED_VALUE"""),"BLACK")</f>
        <v>BLACK</v>
      </c>
      <c r="G1524" s="20" t="str">
        <f>IFERROR(__xludf.DUMMYFUNCTION("""COMPUTED_VALUE"""),"Uncle Sams Cider (04/04/2023)")</f>
        <v>Uncle Sams Cider (04/04/2023)</v>
      </c>
      <c r="H1524" s="19"/>
    </row>
    <row r="1525">
      <c r="A1525" s="9"/>
      <c r="B1525" s="15"/>
      <c r="C1525" s="9">
        <f>IFERROR(__xludf.DUMMYFUNCTION("""COMPUTED_VALUE"""),45128.645079537)</f>
        <v>45128.64508</v>
      </c>
      <c r="D1525" s="15">
        <f>IFERROR(__xludf.DUMMYFUNCTION("""COMPUTED_VALUE"""),1.004)</f>
        <v>1.004</v>
      </c>
      <c r="E1525" s="16">
        <f>IFERROR(__xludf.DUMMYFUNCTION("""COMPUTED_VALUE"""),72.0)</f>
        <v>72</v>
      </c>
      <c r="F1525" s="19" t="str">
        <f>IFERROR(__xludf.DUMMYFUNCTION("""COMPUTED_VALUE"""),"BLACK")</f>
        <v>BLACK</v>
      </c>
      <c r="G1525" s="20" t="str">
        <f>IFERROR(__xludf.DUMMYFUNCTION("""COMPUTED_VALUE"""),"Uncle Sams Cider (04/04/2023)")</f>
        <v>Uncle Sams Cider (04/04/2023)</v>
      </c>
      <c r="H1525" s="19"/>
    </row>
    <row r="1526">
      <c r="A1526" s="9"/>
      <c r="B1526" s="15"/>
      <c r="C1526" s="9">
        <f>IFERROR(__xludf.DUMMYFUNCTION("""COMPUTED_VALUE"""),45128.6346585416)</f>
        <v>45128.63466</v>
      </c>
      <c r="D1526" s="15">
        <f>IFERROR(__xludf.DUMMYFUNCTION("""COMPUTED_VALUE"""),1.003)</f>
        <v>1.003</v>
      </c>
      <c r="E1526" s="16">
        <f>IFERROR(__xludf.DUMMYFUNCTION("""COMPUTED_VALUE"""),72.0)</f>
        <v>72</v>
      </c>
      <c r="F1526" s="19" t="str">
        <f>IFERROR(__xludf.DUMMYFUNCTION("""COMPUTED_VALUE"""),"BLACK")</f>
        <v>BLACK</v>
      </c>
      <c r="G1526" s="20" t="str">
        <f>IFERROR(__xludf.DUMMYFUNCTION("""COMPUTED_VALUE"""),"Uncle Sams Cider (04/04/2023)")</f>
        <v>Uncle Sams Cider (04/04/2023)</v>
      </c>
      <c r="H1526" s="19"/>
    </row>
    <row r="1527">
      <c r="A1527" s="9"/>
      <c r="B1527" s="15"/>
      <c r="C1527" s="9">
        <f>IFERROR(__xludf.DUMMYFUNCTION("""COMPUTED_VALUE"""),45128.6242250231)</f>
        <v>45128.62423</v>
      </c>
      <c r="D1527" s="15">
        <f>IFERROR(__xludf.DUMMYFUNCTION("""COMPUTED_VALUE"""),1.003)</f>
        <v>1.003</v>
      </c>
      <c r="E1527" s="16">
        <f>IFERROR(__xludf.DUMMYFUNCTION("""COMPUTED_VALUE"""),72.0)</f>
        <v>72</v>
      </c>
      <c r="F1527" s="19" t="str">
        <f>IFERROR(__xludf.DUMMYFUNCTION("""COMPUTED_VALUE"""),"BLACK")</f>
        <v>BLACK</v>
      </c>
      <c r="G1527" s="20" t="str">
        <f>IFERROR(__xludf.DUMMYFUNCTION("""COMPUTED_VALUE"""),"Uncle Sams Cider (04/04/2023)")</f>
        <v>Uncle Sams Cider (04/04/2023)</v>
      </c>
      <c r="H1527" s="19"/>
    </row>
    <row r="1528">
      <c r="A1528" s="9"/>
      <c r="B1528" s="15"/>
      <c r="C1528" s="9">
        <f>IFERROR(__xludf.DUMMYFUNCTION("""COMPUTED_VALUE"""),45128.6137931712)</f>
        <v>45128.61379</v>
      </c>
      <c r="D1528" s="15">
        <f>IFERROR(__xludf.DUMMYFUNCTION("""COMPUTED_VALUE"""),1.003)</f>
        <v>1.003</v>
      </c>
      <c r="E1528" s="16">
        <f>IFERROR(__xludf.DUMMYFUNCTION("""COMPUTED_VALUE"""),72.0)</f>
        <v>72</v>
      </c>
      <c r="F1528" s="19" t="str">
        <f>IFERROR(__xludf.DUMMYFUNCTION("""COMPUTED_VALUE"""),"BLACK")</f>
        <v>BLACK</v>
      </c>
      <c r="G1528" s="20" t="str">
        <f>IFERROR(__xludf.DUMMYFUNCTION("""COMPUTED_VALUE"""),"Uncle Sams Cider (04/04/2023)")</f>
        <v>Uncle Sams Cider (04/04/2023)</v>
      </c>
      <c r="H1528" s="19"/>
    </row>
    <row r="1529">
      <c r="A1529" s="9"/>
      <c r="B1529" s="15"/>
      <c r="C1529" s="9">
        <f>IFERROR(__xludf.DUMMYFUNCTION("""COMPUTED_VALUE"""),45128.6033739236)</f>
        <v>45128.60337</v>
      </c>
      <c r="D1529" s="15">
        <f>IFERROR(__xludf.DUMMYFUNCTION("""COMPUTED_VALUE"""),1.003)</f>
        <v>1.003</v>
      </c>
      <c r="E1529" s="16">
        <f>IFERROR(__xludf.DUMMYFUNCTION("""COMPUTED_VALUE"""),72.0)</f>
        <v>72</v>
      </c>
      <c r="F1529" s="19" t="str">
        <f>IFERROR(__xludf.DUMMYFUNCTION("""COMPUTED_VALUE"""),"BLACK")</f>
        <v>BLACK</v>
      </c>
      <c r="G1529" s="20" t="str">
        <f>IFERROR(__xludf.DUMMYFUNCTION("""COMPUTED_VALUE"""),"Uncle Sams Cider (04/04/2023)")</f>
        <v>Uncle Sams Cider (04/04/2023)</v>
      </c>
      <c r="H1529" s="19"/>
    </row>
    <row r="1530">
      <c r="A1530" s="9"/>
      <c r="B1530" s="15"/>
      <c r="C1530" s="9">
        <f>IFERROR(__xludf.DUMMYFUNCTION("""COMPUTED_VALUE"""),45128.5929512615)</f>
        <v>45128.59295</v>
      </c>
      <c r="D1530" s="15">
        <f>IFERROR(__xludf.DUMMYFUNCTION("""COMPUTED_VALUE"""),1.003)</f>
        <v>1.003</v>
      </c>
      <c r="E1530" s="16">
        <f>IFERROR(__xludf.DUMMYFUNCTION("""COMPUTED_VALUE"""),72.0)</f>
        <v>72</v>
      </c>
      <c r="F1530" s="19" t="str">
        <f>IFERROR(__xludf.DUMMYFUNCTION("""COMPUTED_VALUE"""),"BLACK")</f>
        <v>BLACK</v>
      </c>
      <c r="G1530" s="20" t="str">
        <f>IFERROR(__xludf.DUMMYFUNCTION("""COMPUTED_VALUE"""),"Uncle Sams Cider (04/04/2023)")</f>
        <v>Uncle Sams Cider (04/04/2023)</v>
      </c>
      <c r="H1530" s="19"/>
    </row>
    <row r="1531">
      <c r="A1531" s="9"/>
      <c r="B1531" s="15"/>
      <c r="C1531" s="9">
        <f>IFERROR(__xludf.DUMMYFUNCTION("""COMPUTED_VALUE"""),45128.5825198148)</f>
        <v>45128.58252</v>
      </c>
      <c r="D1531" s="15">
        <f>IFERROR(__xludf.DUMMYFUNCTION("""COMPUTED_VALUE"""),1.003)</f>
        <v>1.003</v>
      </c>
      <c r="E1531" s="16">
        <f>IFERROR(__xludf.DUMMYFUNCTION("""COMPUTED_VALUE"""),72.0)</f>
        <v>72</v>
      </c>
      <c r="F1531" s="19" t="str">
        <f>IFERROR(__xludf.DUMMYFUNCTION("""COMPUTED_VALUE"""),"BLACK")</f>
        <v>BLACK</v>
      </c>
      <c r="G1531" s="20" t="str">
        <f>IFERROR(__xludf.DUMMYFUNCTION("""COMPUTED_VALUE"""),"Uncle Sams Cider (04/04/2023)")</f>
        <v>Uncle Sams Cider (04/04/2023)</v>
      </c>
      <c r="H1531" s="19"/>
    </row>
    <row r="1532">
      <c r="A1532" s="9"/>
      <c r="B1532" s="15"/>
      <c r="C1532" s="9">
        <f>IFERROR(__xludf.DUMMYFUNCTION("""COMPUTED_VALUE"""),45128.5720989583)</f>
        <v>45128.5721</v>
      </c>
      <c r="D1532" s="15">
        <f>IFERROR(__xludf.DUMMYFUNCTION("""COMPUTED_VALUE"""),1.003)</f>
        <v>1.003</v>
      </c>
      <c r="E1532" s="16">
        <f>IFERROR(__xludf.DUMMYFUNCTION("""COMPUTED_VALUE"""),72.0)</f>
        <v>72</v>
      </c>
      <c r="F1532" s="19" t="str">
        <f>IFERROR(__xludf.DUMMYFUNCTION("""COMPUTED_VALUE"""),"BLACK")</f>
        <v>BLACK</v>
      </c>
      <c r="G1532" s="20" t="str">
        <f>IFERROR(__xludf.DUMMYFUNCTION("""COMPUTED_VALUE"""),"Uncle Sams Cider (04/04/2023)")</f>
        <v>Uncle Sams Cider (04/04/2023)</v>
      </c>
      <c r="H1532" s="19"/>
    </row>
    <row r="1533">
      <c r="A1533" s="9"/>
      <c r="B1533" s="15"/>
      <c r="C1533" s="9">
        <f>IFERROR(__xludf.DUMMYFUNCTION("""COMPUTED_VALUE"""),45128.5616784375)</f>
        <v>45128.56168</v>
      </c>
      <c r="D1533" s="15">
        <f>IFERROR(__xludf.DUMMYFUNCTION("""COMPUTED_VALUE"""),1.003)</f>
        <v>1.003</v>
      </c>
      <c r="E1533" s="16">
        <f>IFERROR(__xludf.DUMMYFUNCTION("""COMPUTED_VALUE"""),72.0)</f>
        <v>72</v>
      </c>
      <c r="F1533" s="19" t="str">
        <f>IFERROR(__xludf.DUMMYFUNCTION("""COMPUTED_VALUE"""),"BLACK")</f>
        <v>BLACK</v>
      </c>
      <c r="G1533" s="20" t="str">
        <f>IFERROR(__xludf.DUMMYFUNCTION("""COMPUTED_VALUE"""),"Uncle Sams Cider (04/04/2023)")</f>
        <v>Uncle Sams Cider (04/04/2023)</v>
      </c>
      <c r="H1533" s="19"/>
    </row>
    <row r="1534">
      <c r="A1534" s="9"/>
      <c r="B1534" s="15"/>
      <c r="C1534" s="9">
        <f>IFERROR(__xludf.DUMMYFUNCTION("""COMPUTED_VALUE"""),45128.5512578819)</f>
        <v>45128.55126</v>
      </c>
      <c r="D1534" s="15">
        <f>IFERROR(__xludf.DUMMYFUNCTION("""COMPUTED_VALUE"""),1.003)</f>
        <v>1.003</v>
      </c>
      <c r="E1534" s="16">
        <f>IFERROR(__xludf.DUMMYFUNCTION("""COMPUTED_VALUE"""),72.0)</f>
        <v>72</v>
      </c>
      <c r="F1534" s="19" t="str">
        <f>IFERROR(__xludf.DUMMYFUNCTION("""COMPUTED_VALUE"""),"BLACK")</f>
        <v>BLACK</v>
      </c>
      <c r="G1534" s="20" t="str">
        <f>IFERROR(__xludf.DUMMYFUNCTION("""COMPUTED_VALUE"""),"Uncle Sams Cider (04/04/2023)")</f>
        <v>Uncle Sams Cider (04/04/2023)</v>
      </c>
      <c r="H1534" s="19"/>
    </row>
    <row r="1535">
      <c r="A1535" s="9"/>
      <c r="B1535" s="15"/>
      <c r="C1535" s="9">
        <f>IFERROR(__xludf.DUMMYFUNCTION("""COMPUTED_VALUE"""),45128.5408363425)</f>
        <v>45128.54084</v>
      </c>
      <c r="D1535" s="15">
        <f>IFERROR(__xludf.DUMMYFUNCTION("""COMPUTED_VALUE"""),1.003)</f>
        <v>1.003</v>
      </c>
      <c r="E1535" s="16">
        <f>IFERROR(__xludf.DUMMYFUNCTION("""COMPUTED_VALUE"""),72.0)</f>
        <v>72</v>
      </c>
      <c r="F1535" s="19" t="str">
        <f>IFERROR(__xludf.DUMMYFUNCTION("""COMPUTED_VALUE"""),"BLACK")</f>
        <v>BLACK</v>
      </c>
      <c r="G1535" s="20" t="str">
        <f>IFERROR(__xludf.DUMMYFUNCTION("""COMPUTED_VALUE"""),"Uncle Sams Cider (04/04/2023)")</f>
        <v>Uncle Sams Cider (04/04/2023)</v>
      </c>
      <c r="H1535" s="19"/>
    </row>
    <row r="1536">
      <c r="A1536" s="9"/>
      <c r="B1536" s="15"/>
      <c r="C1536" s="9">
        <f>IFERROR(__xludf.DUMMYFUNCTION("""COMPUTED_VALUE"""),45128.5304030324)</f>
        <v>45128.5304</v>
      </c>
      <c r="D1536" s="15">
        <f>IFERROR(__xludf.DUMMYFUNCTION("""COMPUTED_VALUE"""),1.004)</f>
        <v>1.004</v>
      </c>
      <c r="E1536" s="16">
        <f>IFERROR(__xludf.DUMMYFUNCTION("""COMPUTED_VALUE"""),72.0)</f>
        <v>72</v>
      </c>
      <c r="F1536" s="19" t="str">
        <f>IFERROR(__xludf.DUMMYFUNCTION("""COMPUTED_VALUE"""),"BLACK")</f>
        <v>BLACK</v>
      </c>
      <c r="G1536" s="20" t="str">
        <f>IFERROR(__xludf.DUMMYFUNCTION("""COMPUTED_VALUE"""),"Uncle Sams Cider (04/04/2023)")</f>
        <v>Uncle Sams Cider (04/04/2023)</v>
      </c>
      <c r="H1536" s="19"/>
    </row>
    <row r="1537">
      <c r="A1537" s="9"/>
      <c r="B1537" s="15"/>
      <c r="C1537" s="9">
        <f>IFERROR(__xludf.DUMMYFUNCTION("""COMPUTED_VALUE"""),45128.5199705208)</f>
        <v>45128.51997</v>
      </c>
      <c r="D1537" s="15">
        <f>IFERROR(__xludf.DUMMYFUNCTION("""COMPUTED_VALUE"""),1.003)</f>
        <v>1.003</v>
      </c>
      <c r="E1537" s="16">
        <f>IFERROR(__xludf.DUMMYFUNCTION("""COMPUTED_VALUE"""),72.0)</f>
        <v>72</v>
      </c>
      <c r="F1537" s="19" t="str">
        <f>IFERROR(__xludf.DUMMYFUNCTION("""COMPUTED_VALUE"""),"BLACK")</f>
        <v>BLACK</v>
      </c>
      <c r="G1537" s="20" t="str">
        <f>IFERROR(__xludf.DUMMYFUNCTION("""COMPUTED_VALUE"""),"Uncle Sams Cider (04/04/2023)")</f>
        <v>Uncle Sams Cider (04/04/2023)</v>
      </c>
      <c r="H1537" s="19"/>
    </row>
    <row r="1538">
      <c r="A1538" s="9"/>
      <c r="B1538" s="15"/>
      <c r="C1538" s="9">
        <f>IFERROR(__xludf.DUMMYFUNCTION("""COMPUTED_VALUE"""),45128.5095472222)</f>
        <v>45128.50955</v>
      </c>
      <c r="D1538" s="15">
        <f>IFERROR(__xludf.DUMMYFUNCTION("""COMPUTED_VALUE"""),1.003)</f>
        <v>1.003</v>
      </c>
      <c r="E1538" s="16">
        <f>IFERROR(__xludf.DUMMYFUNCTION("""COMPUTED_VALUE"""),73.0)</f>
        <v>73</v>
      </c>
      <c r="F1538" s="19" t="str">
        <f>IFERROR(__xludf.DUMMYFUNCTION("""COMPUTED_VALUE"""),"BLACK")</f>
        <v>BLACK</v>
      </c>
      <c r="G1538" s="20" t="str">
        <f>IFERROR(__xludf.DUMMYFUNCTION("""COMPUTED_VALUE"""),"Uncle Sams Cider (04/04/2023)")</f>
        <v>Uncle Sams Cider (04/04/2023)</v>
      </c>
      <c r="H1538" s="19"/>
    </row>
    <row r="1539">
      <c r="A1539" s="9"/>
      <c r="B1539" s="15"/>
      <c r="C1539" s="9">
        <f>IFERROR(__xludf.DUMMYFUNCTION("""COMPUTED_VALUE"""),45128.4991254282)</f>
        <v>45128.49913</v>
      </c>
      <c r="D1539" s="15">
        <f>IFERROR(__xludf.DUMMYFUNCTION("""COMPUTED_VALUE"""),1.003)</f>
        <v>1.003</v>
      </c>
      <c r="E1539" s="16">
        <f>IFERROR(__xludf.DUMMYFUNCTION("""COMPUTED_VALUE"""),72.0)</f>
        <v>72</v>
      </c>
      <c r="F1539" s="19" t="str">
        <f>IFERROR(__xludf.DUMMYFUNCTION("""COMPUTED_VALUE"""),"BLACK")</f>
        <v>BLACK</v>
      </c>
      <c r="G1539" s="20" t="str">
        <f>IFERROR(__xludf.DUMMYFUNCTION("""COMPUTED_VALUE"""),"Uncle Sams Cider (04/04/2023)")</f>
        <v>Uncle Sams Cider (04/04/2023)</v>
      </c>
      <c r="H1539" s="19"/>
    </row>
    <row r="1540">
      <c r="A1540" s="9"/>
      <c r="B1540" s="15"/>
      <c r="C1540" s="9">
        <f>IFERROR(__xludf.DUMMYFUNCTION("""COMPUTED_VALUE"""),45128.488680787)</f>
        <v>45128.48868</v>
      </c>
      <c r="D1540" s="15">
        <f>IFERROR(__xludf.DUMMYFUNCTION("""COMPUTED_VALUE"""),1.003)</f>
        <v>1.003</v>
      </c>
      <c r="E1540" s="16">
        <f>IFERROR(__xludf.DUMMYFUNCTION("""COMPUTED_VALUE"""),73.0)</f>
        <v>73</v>
      </c>
      <c r="F1540" s="19" t="str">
        <f>IFERROR(__xludf.DUMMYFUNCTION("""COMPUTED_VALUE"""),"BLACK")</f>
        <v>BLACK</v>
      </c>
      <c r="G1540" s="20" t="str">
        <f>IFERROR(__xludf.DUMMYFUNCTION("""COMPUTED_VALUE"""),"Uncle Sams Cider (04/04/2023)")</f>
        <v>Uncle Sams Cider (04/04/2023)</v>
      </c>
      <c r="H1540" s="19"/>
    </row>
    <row r="1541">
      <c r="A1541" s="9"/>
      <c r="B1541" s="15"/>
      <c r="C1541" s="9">
        <f>IFERROR(__xludf.DUMMYFUNCTION("""COMPUTED_VALUE"""),45128.4782610416)</f>
        <v>45128.47826</v>
      </c>
      <c r="D1541" s="15">
        <f>IFERROR(__xludf.DUMMYFUNCTION("""COMPUTED_VALUE"""),1.003)</f>
        <v>1.003</v>
      </c>
      <c r="E1541" s="16">
        <f>IFERROR(__xludf.DUMMYFUNCTION("""COMPUTED_VALUE"""),73.0)</f>
        <v>73</v>
      </c>
      <c r="F1541" s="19" t="str">
        <f>IFERROR(__xludf.DUMMYFUNCTION("""COMPUTED_VALUE"""),"BLACK")</f>
        <v>BLACK</v>
      </c>
      <c r="G1541" s="20" t="str">
        <f>IFERROR(__xludf.DUMMYFUNCTION("""COMPUTED_VALUE"""),"Uncle Sams Cider (04/04/2023)")</f>
        <v>Uncle Sams Cider (04/04/2023)</v>
      </c>
      <c r="H1541" s="19"/>
    </row>
    <row r="1542">
      <c r="A1542" s="9"/>
      <c r="B1542" s="15"/>
      <c r="C1542" s="9">
        <f>IFERROR(__xludf.DUMMYFUNCTION("""COMPUTED_VALUE"""),45128.4678278935)</f>
        <v>45128.46783</v>
      </c>
      <c r="D1542" s="15">
        <f>IFERROR(__xludf.DUMMYFUNCTION("""COMPUTED_VALUE"""),1.003)</f>
        <v>1.003</v>
      </c>
      <c r="E1542" s="16">
        <f>IFERROR(__xludf.DUMMYFUNCTION("""COMPUTED_VALUE"""),73.0)</f>
        <v>73</v>
      </c>
      <c r="F1542" s="19" t="str">
        <f>IFERROR(__xludf.DUMMYFUNCTION("""COMPUTED_VALUE"""),"BLACK")</f>
        <v>BLACK</v>
      </c>
      <c r="G1542" s="20" t="str">
        <f>IFERROR(__xludf.DUMMYFUNCTION("""COMPUTED_VALUE"""),"Uncle Sams Cider (04/04/2023)")</f>
        <v>Uncle Sams Cider (04/04/2023)</v>
      </c>
      <c r="H1542" s="19"/>
    </row>
    <row r="1543">
      <c r="A1543" s="9"/>
      <c r="B1543" s="15"/>
      <c r="C1543" s="9">
        <f>IFERROR(__xludf.DUMMYFUNCTION("""COMPUTED_VALUE"""),45128.4574070949)</f>
        <v>45128.45741</v>
      </c>
      <c r="D1543" s="15">
        <f>IFERROR(__xludf.DUMMYFUNCTION("""COMPUTED_VALUE"""),1.003)</f>
        <v>1.003</v>
      </c>
      <c r="E1543" s="16">
        <f>IFERROR(__xludf.DUMMYFUNCTION("""COMPUTED_VALUE"""),73.0)</f>
        <v>73</v>
      </c>
      <c r="F1543" s="19" t="str">
        <f>IFERROR(__xludf.DUMMYFUNCTION("""COMPUTED_VALUE"""),"BLACK")</f>
        <v>BLACK</v>
      </c>
      <c r="G1543" s="20" t="str">
        <f>IFERROR(__xludf.DUMMYFUNCTION("""COMPUTED_VALUE"""),"Uncle Sams Cider (04/04/2023)")</f>
        <v>Uncle Sams Cider (04/04/2023)</v>
      </c>
      <c r="H1543" s="19"/>
    </row>
    <row r="1544">
      <c r="A1544" s="9"/>
      <c r="B1544" s="15"/>
      <c r="C1544" s="9">
        <f>IFERROR(__xludf.DUMMYFUNCTION("""COMPUTED_VALUE"""),45128.4469875463)</f>
        <v>45128.44699</v>
      </c>
      <c r="D1544" s="15">
        <f>IFERROR(__xludf.DUMMYFUNCTION("""COMPUTED_VALUE"""),1.003)</f>
        <v>1.003</v>
      </c>
      <c r="E1544" s="16">
        <f>IFERROR(__xludf.DUMMYFUNCTION("""COMPUTED_VALUE"""),73.0)</f>
        <v>73</v>
      </c>
      <c r="F1544" s="19" t="str">
        <f>IFERROR(__xludf.DUMMYFUNCTION("""COMPUTED_VALUE"""),"BLACK")</f>
        <v>BLACK</v>
      </c>
      <c r="G1544" s="20" t="str">
        <f>IFERROR(__xludf.DUMMYFUNCTION("""COMPUTED_VALUE"""),"Uncle Sams Cider (04/04/2023)")</f>
        <v>Uncle Sams Cider (04/04/2023)</v>
      </c>
      <c r="H1544" s="19"/>
    </row>
    <row r="1545">
      <c r="A1545" s="9"/>
      <c r="B1545" s="15"/>
      <c r="C1545" s="9">
        <f>IFERROR(__xludf.DUMMYFUNCTION("""COMPUTED_VALUE"""),45128.4365670717)</f>
        <v>45128.43657</v>
      </c>
      <c r="D1545" s="15">
        <f>IFERROR(__xludf.DUMMYFUNCTION("""COMPUTED_VALUE"""),1.003)</f>
        <v>1.003</v>
      </c>
      <c r="E1545" s="16">
        <f>IFERROR(__xludf.DUMMYFUNCTION("""COMPUTED_VALUE"""),72.0)</f>
        <v>72</v>
      </c>
      <c r="F1545" s="19" t="str">
        <f>IFERROR(__xludf.DUMMYFUNCTION("""COMPUTED_VALUE"""),"BLACK")</f>
        <v>BLACK</v>
      </c>
      <c r="G1545" s="20" t="str">
        <f>IFERROR(__xludf.DUMMYFUNCTION("""COMPUTED_VALUE"""),"Uncle Sams Cider (04/04/2023)")</f>
        <v>Uncle Sams Cider (04/04/2023)</v>
      </c>
      <c r="H1545" s="19"/>
    </row>
    <row r="1546">
      <c r="A1546" s="9"/>
      <c r="B1546" s="15"/>
      <c r="C1546" s="9">
        <f>IFERROR(__xludf.DUMMYFUNCTION("""COMPUTED_VALUE"""),45128.4261466088)</f>
        <v>45128.42615</v>
      </c>
      <c r="D1546" s="15">
        <f>IFERROR(__xludf.DUMMYFUNCTION("""COMPUTED_VALUE"""),1.003)</f>
        <v>1.003</v>
      </c>
      <c r="E1546" s="16">
        <f>IFERROR(__xludf.DUMMYFUNCTION("""COMPUTED_VALUE"""),73.0)</f>
        <v>73</v>
      </c>
      <c r="F1546" s="19" t="str">
        <f>IFERROR(__xludf.DUMMYFUNCTION("""COMPUTED_VALUE"""),"BLACK")</f>
        <v>BLACK</v>
      </c>
      <c r="G1546" s="20" t="str">
        <f>IFERROR(__xludf.DUMMYFUNCTION("""COMPUTED_VALUE"""),"Uncle Sams Cider (04/04/2023)")</f>
        <v>Uncle Sams Cider (04/04/2023)</v>
      </c>
      <c r="H1546" s="19"/>
    </row>
    <row r="1547">
      <c r="A1547" s="9"/>
      <c r="B1547" s="15"/>
      <c r="C1547" s="9">
        <f>IFERROR(__xludf.DUMMYFUNCTION("""COMPUTED_VALUE"""),45128.4157149421)</f>
        <v>45128.41571</v>
      </c>
      <c r="D1547" s="15">
        <f>IFERROR(__xludf.DUMMYFUNCTION("""COMPUTED_VALUE"""),1.003)</f>
        <v>1.003</v>
      </c>
      <c r="E1547" s="16">
        <f>IFERROR(__xludf.DUMMYFUNCTION("""COMPUTED_VALUE"""),73.0)</f>
        <v>73</v>
      </c>
      <c r="F1547" s="19" t="str">
        <f>IFERROR(__xludf.DUMMYFUNCTION("""COMPUTED_VALUE"""),"BLACK")</f>
        <v>BLACK</v>
      </c>
      <c r="G1547" s="20" t="str">
        <f>IFERROR(__xludf.DUMMYFUNCTION("""COMPUTED_VALUE"""),"Uncle Sams Cider (04/04/2023)")</f>
        <v>Uncle Sams Cider (04/04/2023)</v>
      </c>
      <c r="H1547" s="19"/>
    </row>
    <row r="1548">
      <c r="A1548" s="9"/>
      <c r="B1548" s="15"/>
      <c r="C1548" s="9">
        <f>IFERROR(__xludf.DUMMYFUNCTION("""COMPUTED_VALUE"""),45128.4052924537)</f>
        <v>45128.40529</v>
      </c>
      <c r="D1548" s="15">
        <f>IFERROR(__xludf.DUMMYFUNCTION("""COMPUTED_VALUE"""),1.003)</f>
        <v>1.003</v>
      </c>
      <c r="E1548" s="16">
        <f>IFERROR(__xludf.DUMMYFUNCTION("""COMPUTED_VALUE"""),73.0)</f>
        <v>73</v>
      </c>
      <c r="F1548" s="19" t="str">
        <f>IFERROR(__xludf.DUMMYFUNCTION("""COMPUTED_VALUE"""),"BLACK")</f>
        <v>BLACK</v>
      </c>
      <c r="G1548" s="20" t="str">
        <f>IFERROR(__xludf.DUMMYFUNCTION("""COMPUTED_VALUE"""),"Uncle Sams Cider (04/04/2023)")</f>
        <v>Uncle Sams Cider (04/04/2023)</v>
      </c>
      <c r="H1548" s="19"/>
    </row>
    <row r="1549">
      <c r="A1549" s="9"/>
      <c r="B1549" s="15"/>
      <c r="C1549" s="9">
        <f>IFERROR(__xludf.DUMMYFUNCTION("""COMPUTED_VALUE"""),45128.3948615393)</f>
        <v>45128.39486</v>
      </c>
      <c r="D1549" s="15">
        <f>IFERROR(__xludf.DUMMYFUNCTION("""COMPUTED_VALUE"""),1.003)</f>
        <v>1.003</v>
      </c>
      <c r="E1549" s="16">
        <f>IFERROR(__xludf.DUMMYFUNCTION("""COMPUTED_VALUE"""),72.0)</f>
        <v>72</v>
      </c>
      <c r="F1549" s="19" t="str">
        <f>IFERROR(__xludf.DUMMYFUNCTION("""COMPUTED_VALUE"""),"BLACK")</f>
        <v>BLACK</v>
      </c>
      <c r="G1549" s="20" t="str">
        <f>IFERROR(__xludf.DUMMYFUNCTION("""COMPUTED_VALUE"""),"Uncle Sams Cider (04/04/2023)")</f>
        <v>Uncle Sams Cider (04/04/2023)</v>
      </c>
      <c r="H1549" s="19"/>
    </row>
    <row r="1550">
      <c r="A1550" s="9"/>
      <c r="B1550" s="15"/>
      <c r="C1550" s="9">
        <f>IFERROR(__xludf.DUMMYFUNCTION("""COMPUTED_VALUE"""),45128.3844391782)</f>
        <v>45128.38444</v>
      </c>
      <c r="D1550" s="15">
        <f>IFERROR(__xludf.DUMMYFUNCTION("""COMPUTED_VALUE"""),1.003)</f>
        <v>1.003</v>
      </c>
      <c r="E1550" s="16">
        <f>IFERROR(__xludf.DUMMYFUNCTION("""COMPUTED_VALUE"""),72.0)</f>
        <v>72</v>
      </c>
      <c r="F1550" s="19" t="str">
        <f>IFERROR(__xludf.DUMMYFUNCTION("""COMPUTED_VALUE"""),"BLACK")</f>
        <v>BLACK</v>
      </c>
      <c r="G1550" s="20" t="str">
        <f>IFERROR(__xludf.DUMMYFUNCTION("""COMPUTED_VALUE"""),"Uncle Sams Cider (04/04/2023)")</f>
        <v>Uncle Sams Cider (04/04/2023)</v>
      </c>
      <c r="H1550" s="19"/>
    </row>
    <row r="1551">
      <c r="A1551" s="9"/>
      <c r="B1551" s="15"/>
      <c r="C1551" s="9">
        <f>IFERROR(__xludf.DUMMYFUNCTION("""COMPUTED_VALUE"""),45128.3740198842)</f>
        <v>45128.37402</v>
      </c>
      <c r="D1551" s="15">
        <f>IFERROR(__xludf.DUMMYFUNCTION("""COMPUTED_VALUE"""),1.003)</f>
        <v>1.003</v>
      </c>
      <c r="E1551" s="16">
        <f>IFERROR(__xludf.DUMMYFUNCTION("""COMPUTED_VALUE"""),73.0)</f>
        <v>73</v>
      </c>
      <c r="F1551" s="19" t="str">
        <f>IFERROR(__xludf.DUMMYFUNCTION("""COMPUTED_VALUE"""),"BLACK")</f>
        <v>BLACK</v>
      </c>
      <c r="G1551" s="20" t="str">
        <f>IFERROR(__xludf.DUMMYFUNCTION("""COMPUTED_VALUE"""),"Uncle Sams Cider (04/04/2023)")</f>
        <v>Uncle Sams Cider (04/04/2023)</v>
      </c>
      <c r="H1551" s="19"/>
    </row>
    <row r="1552">
      <c r="A1552" s="9"/>
      <c r="B1552" s="15"/>
      <c r="C1552" s="9">
        <f>IFERROR(__xludf.DUMMYFUNCTION("""COMPUTED_VALUE"""),45128.3635987384)</f>
        <v>45128.3636</v>
      </c>
      <c r="D1552" s="15">
        <f>IFERROR(__xludf.DUMMYFUNCTION("""COMPUTED_VALUE"""),1.003)</f>
        <v>1.003</v>
      </c>
      <c r="E1552" s="16">
        <f>IFERROR(__xludf.DUMMYFUNCTION("""COMPUTED_VALUE"""),73.0)</f>
        <v>73</v>
      </c>
      <c r="F1552" s="19" t="str">
        <f>IFERROR(__xludf.DUMMYFUNCTION("""COMPUTED_VALUE"""),"BLACK")</f>
        <v>BLACK</v>
      </c>
      <c r="G1552" s="20" t="str">
        <f>IFERROR(__xludf.DUMMYFUNCTION("""COMPUTED_VALUE"""),"Uncle Sams Cider (04/04/2023)")</f>
        <v>Uncle Sams Cider (04/04/2023)</v>
      </c>
      <c r="H1552" s="19"/>
    </row>
    <row r="1553">
      <c r="A1553" s="9"/>
      <c r="B1553" s="15"/>
      <c r="C1553" s="9">
        <f>IFERROR(__xludf.DUMMYFUNCTION("""COMPUTED_VALUE"""),45128.3531776041)</f>
        <v>45128.35318</v>
      </c>
      <c r="D1553" s="15">
        <f>IFERROR(__xludf.DUMMYFUNCTION("""COMPUTED_VALUE"""),1.003)</f>
        <v>1.003</v>
      </c>
      <c r="E1553" s="16">
        <f>IFERROR(__xludf.DUMMYFUNCTION("""COMPUTED_VALUE"""),73.0)</f>
        <v>73</v>
      </c>
      <c r="F1553" s="19" t="str">
        <f>IFERROR(__xludf.DUMMYFUNCTION("""COMPUTED_VALUE"""),"BLACK")</f>
        <v>BLACK</v>
      </c>
      <c r="G1553" s="20" t="str">
        <f>IFERROR(__xludf.DUMMYFUNCTION("""COMPUTED_VALUE"""),"Uncle Sams Cider (04/04/2023)")</f>
        <v>Uncle Sams Cider (04/04/2023)</v>
      </c>
      <c r="H1553" s="19"/>
    </row>
    <row r="1554">
      <c r="A1554" s="9"/>
      <c r="B1554" s="15"/>
      <c r="C1554" s="9">
        <f>IFERROR(__xludf.DUMMYFUNCTION("""COMPUTED_VALUE"""),45128.3427551273)</f>
        <v>45128.34276</v>
      </c>
      <c r="D1554" s="15">
        <f>IFERROR(__xludf.DUMMYFUNCTION("""COMPUTED_VALUE"""),1.003)</f>
        <v>1.003</v>
      </c>
      <c r="E1554" s="16">
        <f>IFERROR(__xludf.DUMMYFUNCTION("""COMPUTED_VALUE"""),73.0)</f>
        <v>73</v>
      </c>
      <c r="F1554" s="19" t="str">
        <f>IFERROR(__xludf.DUMMYFUNCTION("""COMPUTED_VALUE"""),"BLACK")</f>
        <v>BLACK</v>
      </c>
      <c r="G1554" s="20" t="str">
        <f>IFERROR(__xludf.DUMMYFUNCTION("""COMPUTED_VALUE"""),"Uncle Sams Cider (04/04/2023)")</f>
        <v>Uncle Sams Cider (04/04/2023)</v>
      </c>
      <c r="H1554" s="19"/>
    </row>
    <row r="1555">
      <c r="A1555" s="9"/>
      <c r="B1555" s="15"/>
      <c r="C1555" s="9">
        <f>IFERROR(__xludf.DUMMYFUNCTION("""COMPUTED_VALUE"""),45128.3323351157)</f>
        <v>45128.33234</v>
      </c>
      <c r="D1555" s="15">
        <f>IFERROR(__xludf.DUMMYFUNCTION("""COMPUTED_VALUE"""),1.003)</f>
        <v>1.003</v>
      </c>
      <c r="E1555" s="16">
        <f>IFERROR(__xludf.DUMMYFUNCTION("""COMPUTED_VALUE"""),73.0)</f>
        <v>73</v>
      </c>
      <c r="F1555" s="19" t="str">
        <f>IFERROR(__xludf.DUMMYFUNCTION("""COMPUTED_VALUE"""),"BLACK")</f>
        <v>BLACK</v>
      </c>
      <c r="G1555" s="20" t="str">
        <f>IFERROR(__xludf.DUMMYFUNCTION("""COMPUTED_VALUE"""),"Uncle Sams Cider (04/04/2023)")</f>
        <v>Uncle Sams Cider (04/04/2023)</v>
      </c>
      <c r="H1555" s="19"/>
    </row>
    <row r="1556">
      <c r="A1556" s="9"/>
      <c r="B1556" s="15"/>
      <c r="C1556" s="9">
        <f>IFERROR(__xludf.DUMMYFUNCTION("""COMPUTED_VALUE"""),45128.3219131481)</f>
        <v>45128.32191</v>
      </c>
      <c r="D1556" s="15">
        <f>IFERROR(__xludf.DUMMYFUNCTION("""COMPUTED_VALUE"""),1.003)</f>
        <v>1.003</v>
      </c>
      <c r="E1556" s="16">
        <f>IFERROR(__xludf.DUMMYFUNCTION("""COMPUTED_VALUE"""),72.0)</f>
        <v>72</v>
      </c>
      <c r="F1556" s="19" t="str">
        <f>IFERROR(__xludf.DUMMYFUNCTION("""COMPUTED_VALUE"""),"BLACK")</f>
        <v>BLACK</v>
      </c>
      <c r="G1556" s="20" t="str">
        <f>IFERROR(__xludf.DUMMYFUNCTION("""COMPUTED_VALUE"""),"Uncle Sams Cider (04/04/2023)")</f>
        <v>Uncle Sams Cider (04/04/2023)</v>
      </c>
      <c r="H1556" s="19"/>
    </row>
    <row r="1557">
      <c r="A1557" s="9"/>
      <c r="B1557" s="15"/>
      <c r="C1557" s="9">
        <f>IFERROR(__xludf.DUMMYFUNCTION("""COMPUTED_VALUE"""),45128.311492581)</f>
        <v>45128.31149</v>
      </c>
      <c r="D1557" s="15">
        <f>IFERROR(__xludf.DUMMYFUNCTION("""COMPUTED_VALUE"""),1.003)</f>
        <v>1.003</v>
      </c>
      <c r="E1557" s="16">
        <f>IFERROR(__xludf.DUMMYFUNCTION("""COMPUTED_VALUE"""),72.0)</f>
        <v>72</v>
      </c>
      <c r="F1557" s="19" t="str">
        <f>IFERROR(__xludf.DUMMYFUNCTION("""COMPUTED_VALUE"""),"BLACK")</f>
        <v>BLACK</v>
      </c>
      <c r="G1557" s="20" t="str">
        <f>IFERROR(__xludf.DUMMYFUNCTION("""COMPUTED_VALUE"""),"Uncle Sams Cider (04/04/2023)")</f>
        <v>Uncle Sams Cider (04/04/2023)</v>
      </c>
      <c r="H1557" s="19"/>
    </row>
    <row r="1558">
      <c r="A1558" s="9"/>
      <c r="B1558" s="15"/>
      <c r="C1558" s="9">
        <f>IFERROR(__xludf.DUMMYFUNCTION("""COMPUTED_VALUE"""),45128.3010720833)</f>
        <v>45128.30107</v>
      </c>
      <c r="D1558" s="15">
        <f>IFERROR(__xludf.DUMMYFUNCTION("""COMPUTED_VALUE"""),1.003)</f>
        <v>1.003</v>
      </c>
      <c r="E1558" s="16">
        <f>IFERROR(__xludf.DUMMYFUNCTION("""COMPUTED_VALUE"""),72.0)</f>
        <v>72</v>
      </c>
      <c r="F1558" s="19" t="str">
        <f>IFERROR(__xludf.DUMMYFUNCTION("""COMPUTED_VALUE"""),"BLACK")</f>
        <v>BLACK</v>
      </c>
      <c r="G1558" s="20" t="str">
        <f>IFERROR(__xludf.DUMMYFUNCTION("""COMPUTED_VALUE"""),"Uncle Sams Cider (04/04/2023)")</f>
        <v>Uncle Sams Cider (04/04/2023)</v>
      </c>
      <c r="H1558" s="19"/>
    </row>
    <row r="1559">
      <c r="A1559" s="9"/>
      <c r="B1559" s="15"/>
      <c r="C1559" s="9">
        <f>IFERROR(__xludf.DUMMYFUNCTION("""COMPUTED_VALUE"""),45128.2906498495)</f>
        <v>45128.29065</v>
      </c>
      <c r="D1559" s="15">
        <f>IFERROR(__xludf.DUMMYFUNCTION("""COMPUTED_VALUE"""),1.003)</f>
        <v>1.003</v>
      </c>
      <c r="E1559" s="16">
        <f>IFERROR(__xludf.DUMMYFUNCTION("""COMPUTED_VALUE"""),72.0)</f>
        <v>72</v>
      </c>
      <c r="F1559" s="19" t="str">
        <f>IFERROR(__xludf.DUMMYFUNCTION("""COMPUTED_VALUE"""),"BLACK")</f>
        <v>BLACK</v>
      </c>
      <c r="G1559" s="20" t="str">
        <f>IFERROR(__xludf.DUMMYFUNCTION("""COMPUTED_VALUE"""),"Uncle Sams Cider (04/04/2023)")</f>
        <v>Uncle Sams Cider (04/04/2023)</v>
      </c>
      <c r="H1559" s="19"/>
    </row>
    <row r="1560">
      <c r="A1560" s="9"/>
      <c r="B1560" s="15"/>
      <c r="C1560" s="9">
        <f>IFERROR(__xludf.DUMMYFUNCTION("""COMPUTED_VALUE"""),45128.2802265393)</f>
        <v>45128.28023</v>
      </c>
      <c r="D1560" s="15">
        <f>IFERROR(__xludf.DUMMYFUNCTION("""COMPUTED_VALUE"""),1.003)</f>
        <v>1.003</v>
      </c>
      <c r="E1560" s="16">
        <f>IFERROR(__xludf.DUMMYFUNCTION("""COMPUTED_VALUE"""),72.0)</f>
        <v>72</v>
      </c>
      <c r="F1560" s="19" t="str">
        <f>IFERROR(__xludf.DUMMYFUNCTION("""COMPUTED_VALUE"""),"BLACK")</f>
        <v>BLACK</v>
      </c>
      <c r="G1560" s="20" t="str">
        <f>IFERROR(__xludf.DUMMYFUNCTION("""COMPUTED_VALUE"""),"Uncle Sams Cider (04/04/2023)")</f>
        <v>Uncle Sams Cider (04/04/2023)</v>
      </c>
      <c r="H1560" s="19"/>
    </row>
    <row r="1561">
      <c r="A1561" s="9"/>
      <c r="B1561" s="15"/>
      <c r="C1561" s="9">
        <f>IFERROR(__xludf.DUMMYFUNCTION("""COMPUTED_VALUE"""),45128.2698059606)</f>
        <v>45128.26981</v>
      </c>
      <c r="D1561" s="15">
        <f>IFERROR(__xludf.DUMMYFUNCTION("""COMPUTED_VALUE"""),1.003)</f>
        <v>1.003</v>
      </c>
      <c r="E1561" s="16">
        <f>IFERROR(__xludf.DUMMYFUNCTION("""COMPUTED_VALUE"""),73.0)</f>
        <v>73</v>
      </c>
      <c r="F1561" s="19" t="str">
        <f>IFERROR(__xludf.DUMMYFUNCTION("""COMPUTED_VALUE"""),"BLACK")</f>
        <v>BLACK</v>
      </c>
      <c r="G1561" s="20" t="str">
        <f>IFERROR(__xludf.DUMMYFUNCTION("""COMPUTED_VALUE"""),"Uncle Sams Cider (04/04/2023)")</f>
        <v>Uncle Sams Cider (04/04/2023)</v>
      </c>
      <c r="H1561" s="19"/>
    </row>
    <row r="1562">
      <c r="A1562" s="9"/>
      <c r="B1562" s="15"/>
      <c r="C1562" s="9">
        <f>IFERROR(__xludf.DUMMYFUNCTION("""COMPUTED_VALUE"""),45128.2593848148)</f>
        <v>45128.25938</v>
      </c>
      <c r="D1562" s="15">
        <f>IFERROR(__xludf.DUMMYFUNCTION("""COMPUTED_VALUE"""),1.003)</f>
        <v>1.003</v>
      </c>
      <c r="E1562" s="16">
        <f>IFERROR(__xludf.DUMMYFUNCTION("""COMPUTED_VALUE"""),72.0)</f>
        <v>72</v>
      </c>
      <c r="F1562" s="19" t="str">
        <f>IFERROR(__xludf.DUMMYFUNCTION("""COMPUTED_VALUE"""),"BLACK")</f>
        <v>BLACK</v>
      </c>
      <c r="G1562" s="20" t="str">
        <f>IFERROR(__xludf.DUMMYFUNCTION("""COMPUTED_VALUE"""),"Uncle Sams Cider (04/04/2023)")</f>
        <v>Uncle Sams Cider (04/04/2023)</v>
      </c>
      <c r="H1562" s="19"/>
    </row>
    <row r="1563">
      <c r="A1563" s="9"/>
      <c r="B1563" s="15"/>
      <c r="C1563" s="9">
        <f>IFERROR(__xludf.DUMMYFUNCTION("""COMPUTED_VALUE"""),45128.2489526851)</f>
        <v>45128.24895</v>
      </c>
      <c r="D1563" s="15">
        <f>IFERROR(__xludf.DUMMYFUNCTION("""COMPUTED_VALUE"""),1.003)</f>
        <v>1.003</v>
      </c>
      <c r="E1563" s="16">
        <f>IFERROR(__xludf.DUMMYFUNCTION("""COMPUTED_VALUE"""),72.0)</f>
        <v>72</v>
      </c>
      <c r="F1563" s="19" t="str">
        <f>IFERROR(__xludf.DUMMYFUNCTION("""COMPUTED_VALUE"""),"BLACK")</f>
        <v>BLACK</v>
      </c>
      <c r="G1563" s="20" t="str">
        <f>IFERROR(__xludf.DUMMYFUNCTION("""COMPUTED_VALUE"""),"Uncle Sams Cider (04/04/2023)")</f>
        <v>Uncle Sams Cider (04/04/2023)</v>
      </c>
      <c r="H1563" s="19"/>
    </row>
    <row r="1564">
      <c r="A1564" s="9"/>
      <c r="B1564" s="15"/>
      <c r="C1564" s="9">
        <f>IFERROR(__xludf.DUMMYFUNCTION("""COMPUTED_VALUE"""),45128.2385328472)</f>
        <v>45128.23853</v>
      </c>
      <c r="D1564" s="15">
        <f>IFERROR(__xludf.DUMMYFUNCTION("""COMPUTED_VALUE"""),1.003)</f>
        <v>1.003</v>
      </c>
      <c r="E1564" s="16">
        <f>IFERROR(__xludf.DUMMYFUNCTION("""COMPUTED_VALUE"""),72.0)</f>
        <v>72</v>
      </c>
      <c r="F1564" s="19" t="str">
        <f>IFERROR(__xludf.DUMMYFUNCTION("""COMPUTED_VALUE"""),"BLACK")</f>
        <v>BLACK</v>
      </c>
      <c r="G1564" s="20" t="str">
        <f>IFERROR(__xludf.DUMMYFUNCTION("""COMPUTED_VALUE"""),"Uncle Sams Cider (04/04/2023)")</f>
        <v>Uncle Sams Cider (04/04/2023)</v>
      </c>
      <c r="H1564" s="19"/>
    </row>
    <row r="1565">
      <c r="A1565" s="9"/>
      <c r="B1565" s="15"/>
      <c r="C1565" s="9">
        <f>IFERROR(__xludf.DUMMYFUNCTION("""COMPUTED_VALUE"""),45128.2281106481)</f>
        <v>45128.22811</v>
      </c>
      <c r="D1565" s="15">
        <f>IFERROR(__xludf.DUMMYFUNCTION("""COMPUTED_VALUE"""),1.003)</f>
        <v>1.003</v>
      </c>
      <c r="E1565" s="16">
        <f>IFERROR(__xludf.DUMMYFUNCTION("""COMPUTED_VALUE"""),72.0)</f>
        <v>72</v>
      </c>
      <c r="F1565" s="19" t="str">
        <f>IFERROR(__xludf.DUMMYFUNCTION("""COMPUTED_VALUE"""),"BLACK")</f>
        <v>BLACK</v>
      </c>
      <c r="G1565" s="20" t="str">
        <f>IFERROR(__xludf.DUMMYFUNCTION("""COMPUTED_VALUE"""),"Uncle Sams Cider (04/04/2023)")</f>
        <v>Uncle Sams Cider (04/04/2023)</v>
      </c>
      <c r="H1565" s="19"/>
    </row>
    <row r="1566">
      <c r="A1566" s="9"/>
      <c r="B1566" s="15"/>
      <c r="C1566" s="9">
        <f>IFERROR(__xludf.DUMMYFUNCTION("""COMPUTED_VALUE"""),45128.2176896759)</f>
        <v>45128.21769</v>
      </c>
      <c r="D1566" s="15">
        <f>IFERROR(__xludf.DUMMYFUNCTION("""COMPUTED_VALUE"""),1.003)</f>
        <v>1.003</v>
      </c>
      <c r="E1566" s="16">
        <f>IFERROR(__xludf.DUMMYFUNCTION("""COMPUTED_VALUE"""),72.0)</f>
        <v>72</v>
      </c>
      <c r="F1566" s="19" t="str">
        <f>IFERROR(__xludf.DUMMYFUNCTION("""COMPUTED_VALUE"""),"BLACK")</f>
        <v>BLACK</v>
      </c>
      <c r="G1566" s="20" t="str">
        <f>IFERROR(__xludf.DUMMYFUNCTION("""COMPUTED_VALUE"""),"Uncle Sams Cider (04/04/2023)")</f>
        <v>Uncle Sams Cider (04/04/2023)</v>
      </c>
      <c r="H1566" s="19"/>
    </row>
    <row r="1567">
      <c r="A1567" s="9"/>
      <c r="B1567" s="15"/>
      <c r="C1567" s="9">
        <f>IFERROR(__xludf.DUMMYFUNCTION("""COMPUTED_VALUE"""),45128.2072674074)</f>
        <v>45128.20727</v>
      </c>
      <c r="D1567" s="15">
        <f>IFERROR(__xludf.DUMMYFUNCTION("""COMPUTED_VALUE"""),1.003)</f>
        <v>1.003</v>
      </c>
      <c r="E1567" s="16">
        <f>IFERROR(__xludf.DUMMYFUNCTION("""COMPUTED_VALUE"""),72.0)</f>
        <v>72</v>
      </c>
      <c r="F1567" s="19" t="str">
        <f>IFERROR(__xludf.DUMMYFUNCTION("""COMPUTED_VALUE"""),"BLACK")</f>
        <v>BLACK</v>
      </c>
      <c r="G1567" s="20" t="str">
        <f>IFERROR(__xludf.DUMMYFUNCTION("""COMPUTED_VALUE"""),"Uncle Sams Cider (04/04/2023)")</f>
        <v>Uncle Sams Cider (04/04/2023)</v>
      </c>
      <c r="H1567" s="19"/>
    </row>
    <row r="1568">
      <c r="A1568" s="9"/>
      <c r="B1568" s="15"/>
      <c r="C1568" s="9">
        <f>IFERROR(__xludf.DUMMYFUNCTION("""COMPUTED_VALUE"""),45128.1968462963)</f>
        <v>45128.19685</v>
      </c>
      <c r="D1568" s="15">
        <f>IFERROR(__xludf.DUMMYFUNCTION("""COMPUTED_VALUE"""),1.003)</f>
        <v>1.003</v>
      </c>
      <c r="E1568" s="16">
        <f>IFERROR(__xludf.DUMMYFUNCTION("""COMPUTED_VALUE"""),72.0)</f>
        <v>72</v>
      </c>
      <c r="F1568" s="19" t="str">
        <f>IFERROR(__xludf.DUMMYFUNCTION("""COMPUTED_VALUE"""),"BLACK")</f>
        <v>BLACK</v>
      </c>
      <c r="G1568" s="20" t="str">
        <f>IFERROR(__xludf.DUMMYFUNCTION("""COMPUTED_VALUE"""),"Uncle Sams Cider (04/04/2023)")</f>
        <v>Uncle Sams Cider (04/04/2023)</v>
      </c>
      <c r="H1568" s="19"/>
    </row>
    <row r="1569">
      <c r="A1569" s="9"/>
      <c r="B1569" s="15"/>
      <c r="C1569" s="9">
        <f>IFERROR(__xludf.DUMMYFUNCTION("""COMPUTED_VALUE"""),45128.1864242592)</f>
        <v>45128.18642</v>
      </c>
      <c r="D1569" s="15">
        <f>IFERROR(__xludf.DUMMYFUNCTION("""COMPUTED_VALUE"""),1.003)</f>
        <v>1.003</v>
      </c>
      <c r="E1569" s="16">
        <f>IFERROR(__xludf.DUMMYFUNCTION("""COMPUTED_VALUE"""),72.0)</f>
        <v>72</v>
      </c>
      <c r="F1569" s="19" t="str">
        <f>IFERROR(__xludf.DUMMYFUNCTION("""COMPUTED_VALUE"""),"BLACK")</f>
        <v>BLACK</v>
      </c>
      <c r="G1569" s="20" t="str">
        <f>IFERROR(__xludf.DUMMYFUNCTION("""COMPUTED_VALUE"""),"Uncle Sams Cider (04/04/2023)")</f>
        <v>Uncle Sams Cider (04/04/2023)</v>
      </c>
      <c r="H1569" s="19"/>
    </row>
    <row r="1570">
      <c r="A1570" s="9"/>
      <c r="B1570" s="15"/>
      <c r="C1570" s="9">
        <f>IFERROR(__xludf.DUMMYFUNCTION("""COMPUTED_VALUE"""),45128.1759908912)</f>
        <v>45128.17599</v>
      </c>
      <c r="D1570" s="15">
        <f>IFERROR(__xludf.DUMMYFUNCTION("""COMPUTED_VALUE"""),1.003)</f>
        <v>1.003</v>
      </c>
      <c r="E1570" s="16">
        <f>IFERROR(__xludf.DUMMYFUNCTION("""COMPUTED_VALUE"""),72.0)</f>
        <v>72</v>
      </c>
      <c r="F1570" s="19" t="str">
        <f>IFERROR(__xludf.DUMMYFUNCTION("""COMPUTED_VALUE"""),"BLACK")</f>
        <v>BLACK</v>
      </c>
      <c r="G1570" s="20" t="str">
        <f>IFERROR(__xludf.DUMMYFUNCTION("""COMPUTED_VALUE"""),"Uncle Sams Cider (04/04/2023)")</f>
        <v>Uncle Sams Cider (04/04/2023)</v>
      </c>
      <c r="H1570" s="19"/>
    </row>
    <row r="1571">
      <c r="A1571" s="9"/>
      <c r="B1571" s="15"/>
      <c r="C1571" s="9">
        <f>IFERROR(__xludf.DUMMYFUNCTION("""COMPUTED_VALUE"""),45128.1655697916)</f>
        <v>45128.16557</v>
      </c>
      <c r="D1571" s="15">
        <f>IFERROR(__xludf.DUMMYFUNCTION("""COMPUTED_VALUE"""),1.003)</f>
        <v>1.003</v>
      </c>
      <c r="E1571" s="16">
        <f>IFERROR(__xludf.DUMMYFUNCTION("""COMPUTED_VALUE"""),72.0)</f>
        <v>72</v>
      </c>
      <c r="F1571" s="19" t="str">
        <f>IFERROR(__xludf.DUMMYFUNCTION("""COMPUTED_VALUE"""),"BLACK")</f>
        <v>BLACK</v>
      </c>
      <c r="G1571" s="20" t="str">
        <f>IFERROR(__xludf.DUMMYFUNCTION("""COMPUTED_VALUE"""),"Uncle Sams Cider (04/04/2023)")</f>
        <v>Uncle Sams Cider (04/04/2023)</v>
      </c>
      <c r="H1571" s="19"/>
    </row>
    <row r="1572">
      <c r="A1572" s="9"/>
      <c r="B1572" s="15"/>
      <c r="C1572" s="9">
        <f>IFERROR(__xludf.DUMMYFUNCTION("""COMPUTED_VALUE"""),45128.1551479051)</f>
        <v>45128.15515</v>
      </c>
      <c r="D1572" s="15">
        <f>IFERROR(__xludf.DUMMYFUNCTION("""COMPUTED_VALUE"""),1.003)</f>
        <v>1.003</v>
      </c>
      <c r="E1572" s="16">
        <f>IFERROR(__xludf.DUMMYFUNCTION("""COMPUTED_VALUE"""),72.0)</f>
        <v>72</v>
      </c>
      <c r="F1572" s="19" t="str">
        <f>IFERROR(__xludf.DUMMYFUNCTION("""COMPUTED_VALUE"""),"BLACK")</f>
        <v>BLACK</v>
      </c>
      <c r="G1572" s="20" t="str">
        <f>IFERROR(__xludf.DUMMYFUNCTION("""COMPUTED_VALUE"""),"Uncle Sams Cider (04/04/2023)")</f>
        <v>Uncle Sams Cider (04/04/2023)</v>
      </c>
      <c r="H1572" s="19"/>
    </row>
    <row r="1573">
      <c r="A1573" s="9"/>
      <c r="B1573" s="15"/>
      <c r="C1573" s="9">
        <f>IFERROR(__xludf.DUMMYFUNCTION("""COMPUTED_VALUE"""),45128.1447267013)</f>
        <v>45128.14473</v>
      </c>
      <c r="D1573" s="15">
        <f>IFERROR(__xludf.DUMMYFUNCTION("""COMPUTED_VALUE"""),1.003)</f>
        <v>1.003</v>
      </c>
      <c r="E1573" s="16">
        <f>IFERROR(__xludf.DUMMYFUNCTION("""COMPUTED_VALUE"""),72.0)</f>
        <v>72</v>
      </c>
      <c r="F1573" s="19" t="str">
        <f>IFERROR(__xludf.DUMMYFUNCTION("""COMPUTED_VALUE"""),"BLACK")</f>
        <v>BLACK</v>
      </c>
      <c r="G1573" s="20" t="str">
        <f>IFERROR(__xludf.DUMMYFUNCTION("""COMPUTED_VALUE"""),"Uncle Sams Cider (04/04/2023)")</f>
        <v>Uncle Sams Cider (04/04/2023)</v>
      </c>
      <c r="H1573" s="19"/>
    </row>
    <row r="1574">
      <c r="A1574" s="9"/>
      <c r="B1574" s="15"/>
      <c r="C1574" s="9">
        <f>IFERROR(__xludf.DUMMYFUNCTION("""COMPUTED_VALUE"""),45128.1342937037)</f>
        <v>45128.13429</v>
      </c>
      <c r="D1574" s="15">
        <f>IFERROR(__xludf.DUMMYFUNCTION("""COMPUTED_VALUE"""),1.003)</f>
        <v>1.003</v>
      </c>
      <c r="E1574" s="16">
        <f>IFERROR(__xludf.DUMMYFUNCTION("""COMPUTED_VALUE"""),72.0)</f>
        <v>72</v>
      </c>
      <c r="F1574" s="19" t="str">
        <f>IFERROR(__xludf.DUMMYFUNCTION("""COMPUTED_VALUE"""),"BLACK")</f>
        <v>BLACK</v>
      </c>
      <c r="G1574" s="20" t="str">
        <f>IFERROR(__xludf.DUMMYFUNCTION("""COMPUTED_VALUE"""),"Uncle Sams Cider (04/04/2023)")</f>
        <v>Uncle Sams Cider (04/04/2023)</v>
      </c>
      <c r="H1574" s="19"/>
    </row>
    <row r="1575">
      <c r="A1575" s="9"/>
      <c r="B1575" s="15"/>
      <c r="C1575" s="9">
        <f>IFERROR(__xludf.DUMMYFUNCTION("""COMPUTED_VALUE"""),45128.123873287)</f>
        <v>45128.12387</v>
      </c>
      <c r="D1575" s="15">
        <f>IFERROR(__xludf.DUMMYFUNCTION("""COMPUTED_VALUE"""),1.003)</f>
        <v>1.003</v>
      </c>
      <c r="E1575" s="16">
        <f>IFERROR(__xludf.DUMMYFUNCTION("""COMPUTED_VALUE"""),72.0)</f>
        <v>72</v>
      </c>
      <c r="F1575" s="19" t="str">
        <f>IFERROR(__xludf.DUMMYFUNCTION("""COMPUTED_VALUE"""),"BLACK")</f>
        <v>BLACK</v>
      </c>
      <c r="G1575" s="20" t="str">
        <f>IFERROR(__xludf.DUMMYFUNCTION("""COMPUTED_VALUE"""),"Uncle Sams Cider (04/04/2023)")</f>
        <v>Uncle Sams Cider (04/04/2023)</v>
      </c>
      <c r="H1575" s="19"/>
    </row>
    <row r="1576">
      <c r="A1576" s="9"/>
      <c r="B1576" s="15"/>
      <c r="C1576" s="9">
        <f>IFERROR(__xludf.DUMMYFUNCTION("""COMPUTED_VALUE"""),45128.1134413773)</f>
        <v>45128.11344</v>
      </c>
      <c r="D1576" s="15">
        <f>IFERROR(__xludf.DUMMYFUNCTION("""COMPUTED_VALUE"""),1.003)</f>
        <v>1.003</v>
      </c>
      <c r="E1576" s="16">
        <f>IFERROR(__xludf.DUMMYFUNCTION("""COMPUTED_VALUE"""),72.0)</f>
        <v>72</v>
      </c>
      <c r="F1576" s="19" t="str">
        <f>IFERROR(__xludf.DUMMYFUNCTION("""COMPUTED_VALUE"""),"BLACK")</f>
        <v>BLACK</v>
      </c>
      <c r="G1576" s="20" t="str">
        <f>IFERROR(__xludf.DUMMYFUNCTION("""COMPUTED_VALUE"""),"Uncle Sams Cider (04/04/2023)")</f>
        <v>Uncle Sams Cider (04/04/2023)</v>
      </c>
      <c r="H1576" s="19"/>
    </row>
    <row r="1577">
      <c r="A1577" s="9"/>
      <c r="B1577" s="15"/>
      <c r="C1577" s="9">
        <f>IFERROR(__xludf.DUMMYFUNCTION("""COMPUTED_VALUE"""),45128.1030190856)</f>
        <v>45128.10302</v>
      </c>
      <c r="D1577" s="15">
        <f>IFERROR(__xludf.DUMMYFUNCTION("""COMPUTED_VALUE"""),1.003)</f>
        <v>1.003</v>
      </c>
      <c r="E1577" s="16">
        <f>IFERROR(__xludf.DUMMYFUNCTION("""COMPUTED_VALUE"""),72.0)</f>
        <v>72</v>
      </c>
      <c r="F1577" s="19" t="str">
        <f>IFERROR(__xludf.DUMMYFUNCTION("""COMPUTED_VALUE"""),"BLACK")</f>
        <v>BLACK</v>
      </c>
      <c r="G1577" s="20" t="str">
        <f>IFERROR(__xludf.DUMMYFUNCTION("""COMPUTED_VALUE"""),"Uncle Sams Cider (04/04/2023)")</f>
        <v>Uncle Sams Cider (04/04/2023)</v>
      </c>
      <c r="H1577" s="19"/>
    </row>
    <row r="1578">
      <c r="A1578" s="9"/>
      <c r="B1578" s="15"/>
      <c r="C1578" s="9">
        <f>IFERROR(__xludf.DUMMYFUNCTION("""COMPUTED_VALUE"""),45128.0925981134)</f>
        <v>45128.0926</v>
      </c>
      <c r="D1578" s="15">
        <f>IFERROR(__xludf.DUMMYFUNCTION("""COMPUTED_VALUE"""),1.003)</f>
        <v>1.003</v>
      </c>
      <c r="E1578" s="16">
        <f>IFERROR(__xludf.DUMMYFUNCTION("""COMPUTED_VALUE"""),72.0)</f>
        <v>72</v>
      </c>
      <c r="F1578" s="19" t="str">
        <f>IFERROR(__xludf.DUMMYFUNCTION("""COMPUTED_VALUE"""),"BLACK")</f>
        <v>BLACK</v>
      </c>
      <c r="G1578" s="20" t="str">
        <f>IFERROR(__xludf.DUMMYFUNCTION("""COMPUTED_VALUE"""),"Uncle Sams Cider (04/04/2023)")</f>
        <v>Uncle Sams Cider (04/04/2023)</v>
      </c>
      <c r="H1578" s="19"/>
    </row>
    <row r="1579">
      <c r="A1579" s="9"/>
      <c r="B1579" s="15"/>
      <c r="C1579" s="9">
        <f>IFERROR(__xludf.DUMMYFUNCTION("""COMPUTED_VALUE"""),45128.082175625)</f>
        <v>45128.08218</v>
      </c>
      <c r="D1579" s="15">
        <f>IFERROR(__xludf.DUMMYFUNCTION("""COMPUTED_VALUE"""),1.003)</f>
        <v>1.003</v>
      </c>
      <c r="E1579" s="16">
        <f>IFERROR(__xludf.DUMMYFUNCTION("""COMPUTED_VALUE"""),72.0)</f>
        <v>72</v>
      </c>
      <c r="F1579" s="19" t="str">
        <f>IFERROR(__xludf.DUMMYFUNCTION("""COMPUTED_VALUE"""),"BLACK")</f>
        <v>BLACK</v>
      </c>
      <c r="G1579" s="20" t="str">
        <f>IFERROR(__xludf.DUMMYFUNCTION("""COMPUTED_VALUE"""),"Uncle Sams Cider (04/04/2023)")</f>
        <v>Uncle Sams Cider (04/04/2023)</v>
      </c>
      <c r="H1579" s="19"/>
    </row>
    <row r="1580">
      <c r="A1580" s="9"/>
      <c r="B1580" s="15"/>
      <c r="C1580" s="9">
        <f>IFERROR(__xludf.DUMMYFUNCTION("""COMPUTED_VALUE"""),45128.0717543055)</f>
        <v>45128.07175</v>
      </c>
      <c r="D1580" s="15">
        <f>IFERROR(__xludf.DUMMYFUNCTION("""COMPUTED_VALUE"""),1.003)</f>
        <v>1.003</v>
      </c>
      <c r="E1580" s="16">
        <f>IFERROR(__xludf.DUMMYFUNCTION("""COMPUTED_VALUE"""),72.0)</f>
        <v>72</v>
      </c>
      <c r="F1580" s="19" t="str">
        <f>IFERROR(__xludf.DUMMYFUNCTION("""COMPUTED_VALUE"""),"BLACK")</f>
        <v>BLACK</v>
      </c>
      <c r="G1580" s="20" t="str">
        <f>IFERROR(__xludf.DUMMYFUNCTION("""COMPUTED_VALUE"""),"Uncle Sams Cider (04/04/2023)")</f>
        <v>Uncle Sams Cider (04/04/2023)</v>
      </c>
      <c r="H1580" s="19"/>
    </row>
    <row r="1581">
      <c r="A1581" s="9"/>
      <c r="B1581" s="15"/>
      <c r="C1581" s="9">
        <f>IFERROR(__xludf.DUMMYFUNCTION("""COMPUTED_VALUE"""),45128.0613217592)</f>
        <v>45128.06132</v>
      </c>
      <c r="D1581" s="15">
        <f>IFERROR(__xludf.DUMMYFUNCTION("""COMPUTED_VALUE"""),1.003)</f>
        <v>1.003</v>
      </c>
      <c r="E1581" s="16">
        <f>IFERROR(__xludf.DUMMYFUNCTION("""COMPUTED_VALUE"""),72.0)</f>
        <v>72</v>
      </c>
      <c r="F1581" s="19" t="str">
        <f>IFERROR(__xludf.DUMMYFUNCTION("""COMPUTED_VALUE"""),"BLACK")</f>
        <v>BLACK</v>
      </c>
      <c r="G1581" s="20" t="str">
        <f>IFERROR(__xludf.DUMMYFUNCTION("""COMPUTED_VALUE"""),"Uncle Sams Cider (04/04/2023)")</f>
        <v>Uncle Sams Cider (04/04/2023)</v>
      </c>
      <c r="H1581" s="19"/>
    </row>
    <row r="1582">
      <c r="A1582" s="9"/>
      <c r="B1582" s="15"/>
      <c r="C1582" s="9">
        <f>IFERROR(__xludf.DUMMYFUNCTION("""COMPUTED_VALUE"""),45128.050900405)</f>
        <v>45128.0509</v>
      </c>
      <c r="D1582" s="15">
        <f>IFERROR(__xludf.DUMMYFUNCTION("""COMPUTED_VALUE"""),1.003)</f>
        <v>1.003</v>
      </c>
      <c r="E1582" s="16">
        <f>IFERROR(__xludf.DUMMYFUNCTION("""COMPUTED_VALUE"""),72.0)</f>
        <v>72</v>
      </c>
      <c r="F1582" s="19" t="str">
        <f>IFERROR(__xludf.DUMMYFUNCTION("""COMPUTED_VALUE"""),"BLACK")</f>
        <v>BLACK</v>
      </c>
      <c r="G1582" s="20" t="str">
        <f>IFERROR(__xludf.DUMMYFUNCTION("""COMPUTED_VALUE"""),"Uncle Sams Cider (04/04/2023)")</f>
        <v>Uncle Sams Cider (04/04/2023)</v>
      </c>
      <c r="H1582" s="19"/>
    </row>
    <row r="1583">
      <c r="A1583" s="9"/>
      <c r="B1583" s="15"/>
      <c r="C1583" s="9">
        <f>IFERROR(__xludf.DUMMYFUNCTION("""COMPUTED_VALUE"""),45128.040479155)</f>
        <v>45128.04048</v>
      </c>
      <c r="D1583" s="15">
        <f>IFERROR(__xludf.DUMMYFUNCTION("""COMPUTED_VALUE"""),1.003)</f>
        <v>1.003</v>
      </c>
      <c r="E1583" s="16">
        <f>IFERROR(__xludf.DUMMYFUNCTION("""COMPUTED_VALUE"""),72.0)</f>
        <v>72</v>
      </c>
      <c r="F1583" s="19" t="str">
        <f>IFERROR(__xludf.DUMMYFUNCTION("""COMPUTED_VALUE"""),"BLACK")</f>
        <v>BLACK</v>
      </c>
      <c r="G1583" s="20" t="str">
        <f>IFERROR(__xludf.DUMMYFUNCTION("""COMPUTED_VALUE"""),"Uncle Sams Cider (04/04/2023)")</f>
        <v>Uncle Sams Cider (04/04/2023)</v>
      </c>
      <c r="H1583" s="19"/>
    </row>
    <row r="1584">
      <c r="A1584" s="9"/>
      <c r="B1584" s="15"/>
      <c r="C1584" s="9">
        <f>IFERROR(__xludf.DUMMYFUNCTION("""COMPUTED_VALUE"""),45128.0300583101)</f>
        <v>45128.03006</v>
      </c>
      <c r="D1584" s="15">
        <f>IFERROR(__xludf.DUMMYFUNCTION("""COMPUTED_VALUE"""),1.003)</f>
        <v>1.003</v>
      </c>
      <c r="E1584" s="16">
        <f>IFERROR(__xludf.DUMMYFUNCTION("""COMPUTED_VALUE"""),72.0)</f>
        <v>72</v>
      </c>
      <c r="F1584" s="19" t="str">
        <f>IFERROR(__xludf.DUMMYFUNCTION("""COMPUTED_VALUE"""),"BLACK")</f>
        <v>BLACK</v>
      </c>
      <c r="G1584" s="20" t="str">
        <f>IFERROR(__xludf.DUMMYFUNCTION("""COMPUTED_VALUE"""),"Uncle Sams Cider (04/04/2023)")</f>
        <v>Uncle Sams Cider (04/04/2023)</v>
      </c>
      <c r="H1584" s="19"/>
    </row>
    <row r="1585">
      <c r="A1585" s="9"/>
      <c r="B1585" s="15"/>
      <c r="C1585" s="9">
        <f>IFERROR(__xludf.DUMMYFUNCTION("""COMPUTED_VALUE"""),45128.0196241898)</f>
        <v>45128.01962</v>
      </c>
      <c r="D1585" s="15">
        <f>IFERROR(__xludf.DUMMYFUNCTION("""COMPUTED_VALUE"""),1.003)</f>
        <v>1.003</v>
      </c>
      <c r="E1585" s="16">
        <f>IFERROR(__xludf.DUMMYFUNCTION("""COMPUTED_VALUE"""),72.0)</f>
        <v>72</v>
      </c>
      <c r="F1585" s="19" t="str">
        <f>IFERROR(__xludf.DUMMYFUNCTION("""COMPUTED_VALUE"""),"BLACK")</f>
        <v>BLACK</v>
      </c>
      <c r="G1585" s="20" t="str">
        <f>IFERROR(__xludf.DUMMYFUNCTION("""COMPUTED_VALUE"""),"Uncle Sams Cider (04/04/2023)")</f>
        <v>Uncle Sams Cider (04/04/2023)</v>
      </c>
      <c r="H1585" s="19"/>
    </row>
    <row r="1586">
      <c r="A1586" s="9"/>
      <c r="B1586" s="15"/>
      <c r="C1586" s="9">
        <f>IFERROR(__xludf.DUMMYFUNCTION("""COMPUTED_VALUE"""),45128.0092043981)</f>
        <v>45128.0092</v>
      </c>
      <c r="D1586" s="15">
        <f>IFERROR(__xludf.DUMMYFUNCTION("""COMPUTED_VALUE"""),1.003)</f>
        <v>1.003</v>
      </c>
      <c r="E1586" s="16">
        <f>IFERROR(__xludf.DUMMYFUNCTION("""COMPUTED_VALUE"""),72.0)</f>
        <v>72</v>
      </c>
      <c r="F1586" s="19" t="str">
        <f>IFERROR(__xludf.DUMMYFUNCTION("""COMPUTED_VALUE"""),"BLACK")</f>
        <v>BLACK</v>
      </c>
      <c r="G1586" s="20" t="str">
        <f>IFERROR(__xludf.DUMMYFUNCTION("""COMPUTED_VALUE"""),"Uncle Sams Cider (04/04/2023)")</f>
        <v>Uncle Sams Cider (04/04/2023)</v>
      </c>
      <c r="H1586" s="19"/>
    </row>
    <row r="1587">
      <c r="A1587" s="9"/>
      <c r="B1587" s="15"/>
      <c r="C1587" s="9">
        <f>IFERROR(__xludf.DUMMYFUNCTION("""COMPUTED_VALUE"""),45127.9987827893)</f>
        <v>45127.99878</v>
      </c>
      <c r="D1587" s="15">
        <f>IFERROR(__xludf.DUMMYFUNCTION("""COMPUTED_VALUE"""),1.003)</f>
        <v>1.003</v>
      </c>
      <c r="E1587" s="16">
        <f>IFERROR(__xludf.DUMMYFUNCTION("""COMPUTED_VALUE"""),72.0)</f>
        <v>72</v>
      </c>
      <c r="F1587" s="19" t="str">
        <f>IFERROR(__xludf.DUMMYFUNCTION("""COMPUTED_VALUE"""),"BLACK")</f>
        <v>BLACK</v>
      </c>
      <c r="G1587" s="20" t="str">
        <f>IFERROR(__xludf.DUMMYFUNCTION("""COMPUTED_VALUE"""),"Uncle Sams Cider (04/04/2023)")</f>
        <v>Uncle Sams Cider (04/04/2023)</v>
      </c>
      <c r="H1587" s="19"/>
    </row>
    <row r="1588">
      <c r="A1588" s="9"/>
      <c r="B1588" s="15"/>
      <c r="C1588" s="9">
        <f>IFERROR(__xludf.DUMMYFUNCTION("""COMPUTED_VALUE"""),45127.9883628356)</f>
        <v>45127.98836</v>
      </c>
      <c r="D1588" s="15">
        <f>IFERROR(__xludf.DUMMYFUNCTION("""COMPUTED_VALUE"""),1.003)</f>
        <v>1.003</v>
      </c>
      <c r="E1588" s="16">
        <f>IFERROR(__xludf.DUMMYFUNCTION("""COMPUTED_VALUE"""),72.0)</f>
        <v>72</v>
      </c>
      <c r="F1588" s="19" t="str">
        <f>IFERROR(__xludf.DUMMYFUNCTION("""COMPUTED_VALUE"""),"BLACK")</f>
        <v>BLACK</v>
      </c>
      <c r="G1588" s="20" t="str">
        <f>IFERROR(__xludf.DUMMYFUNCTION("""COMPUTED_VALUE"""),"Uncle Sams Cider (04/04/2023)")</f>
        <v>Uncle Sams Cider (04/04/2023)</v>
      </c>
      <c r="H1588" s="19"/>
    </row>
    <row r="1589">
      <c r="A1589" s="9"/>
      <c r="B1589" s="15"/>
      <c r="C1589" s="9">
        <f>IFERROR(__xludf.DUMMYFUNCTION("""COMPUTED_VALUE"""),45127.9779305555)</f>
        <v>45127.97793</v>
      </c>
      <c r="D1589" s="15">
        <f>IFERROR(__xludf.DUMMYFUNCTION("""COMPUTED_VALUE"""),1.003)</f>
        <v>1.003</v>
      </c>
      <c r="E1589" s="16">
        <f>IFERROR(__xludf.DUMMYFUNCTION("""COMPUTED_VALUE"""),72.0)</f>
        <v>72</v>
      </c>
      <c r="F1589" s="19" t="str">
        <f>IFERROR(__xludf.DUMMYFUNCTION("""COMPUTED_VALUE"""),"BLACK")</f>
        <v>BLACK</v>
      </c>
      <c r="G1589" s="20" t="str">
        <f>IFERROR(__xludf.DUMMYFUNCTION("""COMPUTED_VALUE"""),"Uncle Sams Cider (04/04/2023)")</f>
        <v>Uncle Sams Cider (04/04/2023)</v>
      </c>
      <c r="H1589" s="19"/>
    </row>
    <row r="1590">
      <c r="A1590" s="9"/>
      <c r="B1590" s="15"/>
      <c r="C1590" s="9">
        <f>IFERROR(__xludf.DUMMYFUNCTION("""COMPUTED_VALUE"""),45127.9675093171)</f>
        <v>45127.96751</v>
      </c>
      <c r="D1590" s="15">
        <f>IFERROR(__xludf.DUMMYFUNCTION("""COMPUTED_VALUE"""),1.003)</f>
        <v>1.003</v>
      </c>
      <c r="E1590" s="16">
        <f>IFERROR(__xludf.DUMMYFUNCTION("""COMPUTED_VALUE"""),72.0)</f>
        <v>72</v>
      </c>
      <c r="F1590" s="19" t="str">
        <f>IFERROR(__xludf.DUMMYFUNCTION("""COMPUTED_VALUE"""),"BLACK")</f>
        <v>BLACK</v>
      </c>
      <c r="G1590" s="20" t="str">
        <f>IFERROR(__xludf.DUMMYFUNCTION("""COMPUTED_VALUE"""),"Uncle Sams Cider (04/04/2023)")</f>
        <v>Uncle Sams Cider (04/04/2023)</v>
      </c>
      <c r="H1590" s="19"/>
    </row>
    <row r="1591">
      <c r="A1591" s="9"/>
      <c r="B1591" s="15"/>
      <c r="C1591" s="9">
        <f>IFERROR(__xludf.DUMMYFUNCTION("""COMPUTED_VALUE"""),45127.9570882754)</f>
        <v>45127.95709</v>
      </c>
      <c r="D1591" s="15">
        <f>IFERROR(__xludf.DUMMYFUNCTION("""COMPUTED_VALUE"""),1.003)</f>
        <v>1.003</v>
      </c>
      <c r="E1591" s="16">
        <f>IFERROR(__xludf.DUMMYFUNCTION("""COMPUTED_VALUE"""),72.0)</f>
        <v>72</v>
      </c>
      <c r="F1591" s="19" t="str">
        <f>IFERROR(__xludf.DUMMYFUNCTION("""COMPUTED_VALUE"""),"BLACK")</f>
        <v>BLACK</v>
      </c>
      <c r="G1591" s="20" t="str">
        <f>IFERROR(__xludf.DUMMYFUNCTION("""COMPUTED_VALUE"""),"Uncle Sams Cider (04/04/2023)")</f>
        <v>Uncle Sams Cider (04/04/2023)</v>
      </c>
      <c r="H1591" s="19"/>
    </row>
    <row r="1592">
      <c r="A1592" s="9"/>
      <c r="B1592" s="15"/>
      <c r="C1592" s="9">
        <f>IFERROR(__xludf.DUMMYFUNCTION("""COMPUTED_VALUE"""),45127.9466675231)</f>
        <v>45127.94667</v>
      </c>
      <c r="D1592" s="15">
        <f>IFERROR(__xludf.DUMMYFUNCTION("""COMPUTED_VALUE"""),1.003)</f>
        <v>1.003</v>
      </c>
      <c r="E1592" s="16">
        <f>IFERROR(__xludf.DUMMYFUNCTION("""COMPUTED_VALUE"""),72.0)</f>
        <v>72</v>
      </c>
      <c r="F1592" s="19" t="str">
        <f>IFERROR(__xludf.DUMMYFUNCTION("""COMPUTED_VALUE"""),"BLACK")</f>
        <v>BLACK</v>
      </c>
      <c r="G1592" s="20" t="str">
        <f>IFERROR(__xludf.DUMMYFUNCTION("""COMPUTED_VALUE"""),"Uncle Sams Cider (04/04/2023)")</f>
        <v>Uncle Sams Cider (04/04/2023)</v>
      </c>
      <c r="H1592" s="19"/>
    </row>
    <row r="1593">
      <c r="A1593" s="9"/>
      <c r="B1593" s="15"/>
      <c r="C1593" s="9">
        <f>IFERROR(__xludf.DUMMYFUNCTION("""COMPUTED_VALUE"""),45127.936245787)</f>
        <v>45127.93625</v>
      </c>
      <c r="D1593" s="15">
        <f>IFERROR(__xludf.DUMMYFUNCTION("""COMPUTED_VALUE"""),1.003)</f>
        <v>1.003</v>
      </c>
      <c r="E1593" s="16">
        <f>IFERROR(__xludf.DUMMYFUNCTION("""COMPUTED_VALUE"""),72.0)</f>
        <v>72</v>
      </c>
      <c r="F1593" s="19" t="str">
        <f>IFERROR(__xludf.DUMMYFUNCTION("""COMPUTED_VALUE"""),"BLACK")</f>
        <v>BLACK</v>
      </c>
      <c r="G1593" s="20" t="str">
        <f>IFERROR(__xludf.DUMMYFUNCTION("""COMPUTED_VALUE"""),"Uncle Sams Cider (04/04/2023)")</f>
        <v>Uncle Sams Cider (04/04/2023)</v>
      </c>
      <c r="H1593" s="19"/>
    </row>
    <row r="1594">
      <c r="A1594" s="9"/>
      <c r="B1594" s="15"/>
      <c r="C1594" s="9">
        <f>IFERROR(__xludf.DUMMYFUNCTION("""COMPUTED_VALUE"""),45127.925825081)</f>
        <v>45127.92583</v>
      </c>
      <c r="D1594" s="15">
        <f>IFERROR(__xludf.DUMMYFUNCTION("""COMPUTED_VALUE"""),1.003)</f>
        <v>1.003</v>
      </c>
      <c r="E1594" s="16">
        <f>IFERROR(__xludf.DUMMYFUNCTION("""COMPUTED_VALUE"""),72.0)</f>
        <v>72</v>
      </c>
      <c r="F1594" s="19" t="str">
        <f>IFERROR(__xludf.DUMMYFUNCTION("""COMPUTED_VALUE"""),"BLACK")</f>
        <v>BLACK</v>
      </c>
      <c r="G1594" s="20" t="str">
        <f>IFERROR(__xludf.DUMMYFUNCTION("""COMPUTED_VALUE"""),"Uncle Sams Cider (04/04/2023)")</f>
        <v>Uncle Sams Cider (04/04/2023)</v>
      </c>
      <c r="H1594" s="19"/>
    </row>
    <row r="1595">
      <c r="A1595" s="9"/>
      <c r="B1595" s="15"/>
      <c r="C1595" s="9">
        <f>IFERROR(__xludf.DUMMYFUNCTION("""COMPUTED_VALUE"""),45127.9154023842)</f>
        <v>45127.9154</v>
      </c>
      <c r="D1595" s="15">
        <f>IFERROR(__xludf.DUMMYFUNCTION("""COMPUTED_VALUE"""),1.003)</f>
        <v>1.003</v>
      </c>
      <c r="E1595" s="16">
        <f>IFERROR(__xludf.DUMMYFUNCTION("""COMPUTED_VALUE"""),72.0)</f>
        <v>72</v>
      </c>
      <c r="F1595" s="19" t="str">
        <f>IFERROR(__xludf.DUMMYFUNCTION("""COMPUTED_VALUE"""),"BLACK")</f>
        <v>BLACK</v>
      </c>
      <c r="G1595" s="20" t="str">
        <f>IFERROR(__xludf.DUMMYFUNCTION("""COMPUTED_VALUE"""),"Uncle Sams Cider (04/04/2023)")</f>
        <v>Uncle Sams Cider (04/04/2023)</v>
      </c>
      <c r="H1595" s="19"/>
    </row>
    <row r="1596">
      <c r="A1596" s="9"/>
      <c r="B1596" s="15"/>
      <c r="C1596" s="9">
        <f>IFERROR(__xludf.DUMMYFUNCTION("""COMPUTED_VALUE"""),45127.9049691666)</f>
        <v>45127.90497</v>
      </c>
      <c r="D1596" s="15">
        <f>IFERROR(__xludf.DUMMYFUNCTION("""COMPUTED_VALUE"""),1.003)</f>
        <v>1.003</v>
      </c>
      <c r="E1596" s="16">
        <f>IFERROR(__xludf.DUMMYFUNCTION("""COMPUTED_VALUE"""),72.0)</f>
        <v>72</v>
      </c>
      <c r="F1596" s="19" t="str">
        <f>IFERROR(__xludf.DUMMYFUNCTION("""COMPUTED_VALUE"""),"BLACK")</f>
        <v>BLACK</v>
      </c>
      <c r="G1596" s="20" t="str">
        <f>IFERROR(__xludf.DUMMYFUNCTION("""COMPUTED_VALUE"""),"Uncle Sams Cider (04/04/2023)")</f>
        <v>Uncle Sams Cider (04/04/2023)</v>
      </c>
      <c r="H1596" s="19"/>
    </row>
    <row r="1597">
      <c r="A1597" s="9"/>
      <c r="B1597" s="15"/>
      <c r="C1597" s="9">
        <f>IFERROR(__xludf.DUMMYFUNCTION("""COMPUTED_VALUE"""),45127.8945475694)</f>
        <v>45127.89455</v>
      </c>
      <c r="D1597" s="15">
        <f>IFERROR(__xludf.DUMMYFUNCTION("""COMPUTED_VALUE"""),1.003)</f>
        <v>1.003</v>
      </c>
      <c r="E1597" s="16">
        <f>IFERROR(__xludf.DUMMYFUNCTION("""COMPUTED_VALUE"""),72.0)</f>
        <v>72</v>
      </c>
      <c r="F1597" s="19" t="str">
        <f>IFERROR(__xludf.DUMMYFUNCTION("""COMPUTED_VALUE"""),"BLACK")</f>
        <v>BLACK</v>
      </c>
      <c r="G1597" s="20" t="str">
        <f>IFERROR(__xludf.DUMMYFUNCTION("""COMPUTED_VALUE"""),"Uncle Sams Cider (04/04/2023)")</f>
        <v>Uncle Sams Cider (04/04/2023)</v>
      </c>
      <c r="H1597" s="19"/>
    </row>
    <row r="1598">
      <c r="A1598" s="9"/>
      <c r="B1598" s="15"/>
      <c r="C1598" s="9">
        <f>IFERROR(__xludf.DUMMYFUNCTION("""COMPUTED_VALUE"""),45127.8841265162)</f>
        <v>45127.88413</v>
      </c>
      <c r="D1598" s="15">
        <f>IFERROR(__xludf.DUMMYFUNCTION("""COMPUTED_VALUE"""),1.003)</f>
        <v>1.003</v>
      </c>
      <c r="E1598" s="16">
        <f>IFERROR(__xludf.DUMMYFUNCTION("""COMPUTED_VALUE"""),72.0)</f>
        <v>72</v>
      </c>
      <c r="F1598" s="19" t="str">
        <f>IFERROR(__xludf.DUMMYFUNCTION("""COMPUTED_VALUE"""),"BLACK")</f>
        <v>BLACK</v>
      </c>
      <c r="G1598" s="20" t="str">
        <f>IFERROR(__xludf.DUMMYFUNCTION("""COMPUTED_VALUE"""),"Uncle Sams Cider (04/04/2023)")</f>
        <v>Uncle Sams Cider (04/04/2023)</v>
      </c>
      <c r="H1598" s="19"/>
    </row>
    <row r="1599">
      <c r="A1599" s="9"/>
      <c r="B1599" s="15"/>
      <c r="C1599" s="9">
        <f>IFERROR(__xludf.DUMMYFUNCTION("""COMPUTED_VALUE"""),45127.8737058101)</f>
        <v>45127.87371</v>
      </c>
      <c r="D1599" s="15">
        <f>IFERROR(__xludf.DUMMYFUNCTION("""COMPUTED_VALUE"""),1.003)</f>
        <v>1.003</v>
      </c>
      <c r="E1599" s="16">
        <f>IFERROR(__xludf.DUMMYFUNCTION("""COMPUTED_VALUE"""),72.0)</f>
        <v>72</v>
      </c>
      <c r="F1599" s="19" t="str">
        <f>IFERROR(__xludf.DUMMYFUNCTION("""COMPUTED_VALUE"""),"BLACK")</f>
        <v>BLACK</v>
      </c>
      <c r="G1599" s="20" t="str">
        <f>IFERROR(__xludf.DUMMYFUNCTION("""COMPUTED_VALUE"""),"Uncle Sams Cider (04/04/2023)")</f>
        <v>Uncle Sams Cider (04/04/2023)</v>
      </c>
      <c r="H1599" s="19"/>
    </row>
    <row r="1600">
      <c r="A1600" s="9"/>
      <c r="B1600" s="15"/>
      <c r="C1600" s="9">
        <f>IFERROR(__xludf.DUMMYFUNCTION("""COMPUTED_VALUE"""),45127.8632867129)</f>
        <v>45127.86329</v>
      </c>
      <c r="D1600" s="15">
        <f>IFERROR(__xludf.DUMMYFUNCTION("""COMPUTED_VALUE"""),1.003)</f>
        <v>1.003</v>
      </c>
      <c r="E1600" s="16">
        <f>IFERROR(__xludf.DUMMYFUNCTION("""COMPUTED_VALUE"""),72.0)</f>
        <v>72</v>
      </c>
      <c r="F1600" s="19" t="str">
        <f>IFERROR(__xludf.DUMMYFUNCTION("""COMPUTED_VALUE"""),"BLACK")</f>
        <v>BLACK</v>
      </c>
      <c r="G1600" s="20" t="str">
        <f>IFERROR(__xludf.DUMMYFUNCTION("""COMPUTED_VALUE"""),"Uncle Sams Cider (04/04/2023)")</f>
        <v>Uncle Sams Cider (04/04/2023)</v>
      </c>
      <c r="H1600" s="19"/>
    </row>
    <row r="1601">
      <c r="A1601" s="9"/>
      <c r="B1601" s="15"/>
      <c r="C1601" s="9">
        <f>IFERROR(__xludf.DUMMYFUNCTION("""COMPUTED_VALUE"""),45127.8528653125)</f>
        <v>45127.85287</v>
      </c>
      <c r="D1601" s="15">
        <f>IFERROR(__xludf.DUMMYFUNCTION("""COMPUTED_VALUE"""),1.003)</f>
        <v>1.003</v>
      </c>
      <c r="E1601" s="16">
        <f>IFERROR(__xludf.DUMMYFUNCTION("""COMPUTED_VALUE"""),72.0)</f>
        <v>72</v>
      </c>
      <c r="F1601" s="19" t="str">
        <f>IFERROR(__xludf.DUMMYFUNCTION("""COMPUTED_VALUE"""),"BLACK")</f>
        <v>BLACK</v>
      </c>
      <c r="G1601" s="20" t="str">
        <f>IFERROR(__xludf.DUMMYFUNCTION("""COMPUTED_VALUE"""),"Uncle Sams Cider (04/04/2023)")</f>
        <v>Uncle Sams Cider (04/04/2023)</v>
      </c>
      <c r="H1601" s="19"/>
    </row>
    <row r="1602">
      <c r="A1602" s="9"/>
      <c r="B1602" s="15"/>
      <c r="C1602" s="9">
        <f>IFERROR(__xludf.DUMMYFUNCTION("""COMPUTED_VALUE"""),45127.8424448726)</f>
        <v>45127.84244</v>
      </c>
      <c r="D1602" s="15">
        <f>IFERROR(__xludf.DUMMYFUNCTION("""COMPUTED_VALUE"""),1.003)</f>
        <v>1.003</v>
      </c>
      <c r="E1602" s="16">
        <f>IFERROR(__xludf.DUMMYFUNCTION("""COMPUTED_VALUE"""),72.0)</f>
        <v>72</v>
      </c>
      <c r="F1602" s="19" t="str">
        <f>IFERROR(__xludf.DUMMYFUNCTION("""COMPUTED_VALUE"""),"BLACK")</f>
        <v>BLACK</v>
      </c>
      <c r="G1602" s="20" t="str">
        <f>IFERROR(__xludf.DUMMYFUNCTION("""COMPUTED_VALUE"""),"Uncle Sams Cider (04/04/2023)")</f>
        <v>Uncle Sams Cider (04/04/2023)</v>
      </c>
      <c r="H1602" s="19"/>
    </row>
    <row r="1603">
      <c r="A1603" s="9"/>
      <c r="B1603" s="15"/>
      <c r="C1603" s="9">
        <f>IFERROR(__xludf.DUMMYFUNCTION("""COMPUTED_VALUE"""),45127.8320221296)</f>
        <v>45127.83202</v>
      </c>
      <c r="D1603" s="15">
        <f>IFERROR(__xludf.DUMMYFUNCTION("""COMPUTED_VALUE"""),1.003)</f>
        <v>1.003</v>
      </c>
      <c r="E1603" s="16">
        <f>IFERROR(__xludf.DUMMYFUNCTION("""COMPUTED_VALUE"""),72.0)</f>
        <v>72</v>
      </c>
      <c r="F1603" s="19" t="str">
        <f>IFERROR(__xludf.DUMMYFUNCTION("""COMPUTED_VALUE"""),"BLACK")</f>
        <v>BLACK</v>
      </c>
      <c r="G1603" s="20" t="str">
        <f>IFERROR(__xludf.DUMMYFUNCTION("""COMPUTED_VALUE"""),"Uncle Sams Cider (04/04/2023)")</f>
        <v>Uncle Sams Cider (04/04/2023)</v>
      </c>
      <c r="H1603" s="19"/>
    </row>
    <row r="1604">
      <c r="A1604" s="9"/>
      <c r="B1604" s="15"/>
      <c r="C1604" s="9">
        <f>IFERROR(__xludf.DUMMYFUNCTION("""COMPUTED_VALUE"""),45127.8216018981)</f>
        <v>45127.8216</v>
      </c>
      <c r="D1604" s="15">
        <f>IFERROR(__xludf.DUMMYFUNCTION("""COMPUTED_VALUE"""),1.003)</f>
        <v>1.003</v>
      </c>
      <c r="E1604" s="16">
        <f>IFERROR(__xludf.DUMMYFUNCTION("""COMPUTED_VALUE"""),72.0)</f>
        <v>72</v>
      </c>
      <c r="F1604" s="19" t="str">
        <f>IFERROR(__xludf.DUMMYFUNCTION("""COMPUTED_VALUE"""),"BLACK")</f>
        <v>BLACK</v>
      </c>
      <c r="G1604" s="20" t="str">
        <f>IFERROR(__xludf.DUMMYFUNCTION("""COMPUTED_VALUE"""),"Uncle Sams Cider (04/04/2023)")</f>
        <v>Uncle Sams Cider (04/04/2023)</v>
      </c>
      <c r="H1604" s="19"/>
    </row>
    <row r="1605">
      <c r="A1605" s="9"/>
      <c r="B1605" s="15"/>
      <c r="C1605" s="9">
        <f>IFERROR(__xludf.DUMMYFUNCTION("""COMPUTED_VALUE"""),45127.811169375)</f>
        <v>45127.81117</v>
      </c>
      <c r="D1605" s="15">
        <f>IFERROR(__xludf.DUMMYFUNCTION("""COMPUTED_VALUE"""),1.003)</f>
        <v>1.003</v>
      </c>
      <c r="E1605" s="16">
        <f>IFERROR(__xludf.DUMMYFUNCTION("""COMPUTED_VALUE"""),72.0)</f>
        <v>72</v>
      </c>
      <c r="F1605" s="19" t="str">
        <f>IFERROR(__xludf.DUMMYFUNCTION("""COMPUTED_VALUE"""),"BLACK")</f>
        <v>BLACK</v>
      </c>
      <c r="G1605" s="20" t="str">
        <f>IFERROR(__xludf.DUMMYFUNCTION("""COMPUTED_VALUE"""),"Uncle Sams Cider (04/04/2023)")</f>
        <v>Uncle Sams Cider (04/04/2023)</v>
      </c>
      <c r="H1605" s="19"/>
    </row>
    <row r="1606">
      <c r="A1606" s="9"/>
      <c r="B1606" s="15"/>
      <c r="C1606" s="9">
        <f>IFERROR(__xludf.DUMMYFUNCTION("""COMPUTED_VALUE"""),45127.8007482754)</f>
        <v>45127.80075</v>
      </c>
      <c r="D1606" s="15">
        <f>IFERROR(__xludf.DUMMYFUNCTION("""COMPUTED_VALUE"""),1.003)</f>
        <v>1.003</v>
      </c>
      <c r="E1606" s="16">
        <f>IFERROR(__xludf.DUMMYFUNCTION("""COMPUTED_VALUE"""),72.0)</f>
        <v>72</v>
      </c>
      <c r="F1606" s="19" t="str">
        <f>IFERROR(__xludf.DUMMYFUNCTION("""COMPUTED_VALUE"""),"BLACK")</f>
        <v>BLACK</v>
      </c>
      <c r="G1606" s="20" t="str">
        <f>IFERROR(__xludf.DUMMYFUNCTION("""COMPUTED_VALUE"""),"Uncle Sams Cider (04/04/2023)")</f>
        <v>Uncle Sams Cider (04/04/2023)</v>
      </c>
      <c r="H1606" s="19"/>
    </row>
    <row r="1607">
      <c r="A1607" s="9"/>
      <c r="B1607" s="15"/>
      <c r="C1607" s="9">
        <f>IFERROR(__xludf.DUMMYFUNCTION("""COMPUTED_VALUE"""),45127.7903283449)</f>
        <v>45127.79033</v>
      </c>
      <c r="D1607" s="15">
        <f>IFERROR(__xludf.DUMMYFUNCTION("""COMPUTED_VALUE"""),1.003)</f>
        <v>1.003</v>
      </c>
      <c r="E1607" s="16">
        <f>IFERROR(__xludf.DUMMYFUNCTION("""COMPUTED_VALUE"""),72.0)</f>
        <v>72</v>
      </c>
      <c r="F1607" s="19" t="str">
        <f>IFERROR(__xludf.DUMMYFUNCTION("""COMPUTED_VALUE"""),"BLACK")</f>
        <v>BLACK</v>
      </c>
      <c r="G1607" s="20" t="str">
        <f>IFERROR(__xludf.DUMMYFUNCTION("""COMPUTED_VALUE"""),"Uncle Sams Cider (04/04/2023)")</f>
        <v>Uncle Sams Cider (04/04/2023)</v>
      </c>
      <c r="H1607" s="19"/>
    </row>
    <row r="1608">
      <c r="A1608" s="9"/>
      <c r="B1608" s="15"/>
      <c r="C1608" s="9">
        <f>IFERROR(__xludf.DUMMYFUNCTION("""COMPUTED_VALUE"""),45127.7799067361)</f>
        <v>45127.77991</v>
      </c>
      <c r="D1608" s="15">
        <f>IFERROR(__xludf.DUMMYFUNCTION("""COMPUTED_VALUE"""),1.003)</f>
        <v>1.003</v>
      </c>
      <c r="E1608" s="16">
        <f>IFERROR(__xludf.DUMMYFUNCTION("""COMPUTED_VALUE"""),72.0)</f>
        <v>72</v>
      </c>
      <c r="F1608" s="19" t="str">
        <f>IFERROR(__xludf.DUMMYFUNCTION("""COMPUTED_VALUE"""),"BLACK")</f>
        <v>BLACK</v>
      </c>
      <c r="G1608" s="20" t="str">
        <f>IFERROR(__xludf.DUMMYFUNCTION("""COMPUTED_VALUE"""),"Uncle Sams Cider (04/04/2023)")</f>
        <v>Uncle Sams Cider (04/04/2023)</v>
      </c>
      <c r="H1608" s="19"/>
    </row>
    <row r="1609">
      <c r="A1609" s="9"/>
      <c r="B1609" s="15"/>
      <c r="C1609" s="9">
        <f>IFERROR(__xludf.DUMMYFUNCTION("""COMPUTED_VALUE"""),45127.7694868865)</f>
        <v>45127.76949</v>
      </c>
      <c r="D1609" s="15">
        <f>IFERROR(__xludf.DUMMYFUNCTION("""COMPUTED_VALUE"""),1.003)</f>
        <v>1.003</v>
      </c>
      <c r="E1609" s="16">
        <f>IFERROR(__xludf.DUMMYFUNCTION("""COMPUTED_VALUE"""),72.0)</f>
        <v>72</v>
      </c>
      <c r="F1609" s="19" t="str">
        <f>IFERROR(__xludf.DUMMYFUNCTION("""COMPUTED_VALUE"""),"BLACK")</f>
        <v>BLACK</v>
      </c>
      <c r="G1609" s="20" t="str">
        <f>IFERROR(__xludf.DUMMYFUNCTION("""COMPUTED_VALUE"""),"Uncle Sams Cider (04/04/2023)")</f>
        <v>Uncle Sams Cider (04/04/2023)</v>
      </c>
      <c r="H1609" s="19"/>
    </row>
    <row r="1610">
      <c r="A1610" s="9"/>
      <c r="B1610" s="15"/>
      <c r="C1610" s="9">
        <f>IFERROR(__xludf.DUMMYFUNCTION("""COMPUTED_VALUE"""),45127.7590660532)</f>
        <v>45127.75907</v>
      </c>
      <c r="D1610" s="15">
        <f>IFERROR(__xludf.DUMMYFUNCTION("""COMPUTED_VALUE"""),1.003)</f>
        <v>1.003</v>
      </c>
      <c r="E1610" s="16">
        <f>IFERROR(__xludf.DUMMYFUNCTION("""COMPUTED_VALUE"""),72.0)</f>
        <v>72</v>
      </c>
      <c r="F1610" s="19" t="str">
        <f>IFERROR(__xludf.DUMMYFUNCTION("""COMPUTED_VALUE"""),"BLACK")</f>
        <v>BLACK</v>
      </c>
      <c r="G1610" s="20" t="str">
        <f>IFERROR(__xludf.DUMMYFUNCTION("""COMPUTED_VALUE"""),"Uncle Sams Cider (04/04/2023)")</f>
        <v>Uncle Sams Cider (04/04/2023)</v>
      </c>
      <c r="H1610" s="19"/>
    </row>
    <row r="1611">
      <c r="A1611" s="9"/>
      <c r="B1611" s="15"/>
      <c r="C1611" s="9">
        <f>IFERROR(__xludf.DUMMYFUNCTION("""COMPUTED_VALUE"""),45127.748633287)</f>
        <v>45127.74863</v>
      </c>
      <c r="D1611" s="15">
        <f>IFERROR(__xludf.DUMMYFUNCTION("""COMPUTED_VALUE"""),1.003)</f>
        <v>1.003</v>
      </c>
      <c r="E1611" s="16">
        <f>IFERROR(__xludf.DUMMYFUNCTION("""COMPUTED_VALUE"""),72.0)</f>
        <v>72</v>
      </c>
      <c r="F1611" s="19" t="str">
        <f>IFERROR(__xludf.DUMMYFUNCTION("""COMPUTED_VALUE"""),"BLACK")</f>
        <v>BLACK</v>
      </c>
      <c r="G1611" s="20" t="str">
        <f>IFERROR(__xludf.DUMMYFUNCTION("""COMPUTED_VALUE"""),"Uncle Sams Cider (04/04/2023)")</f>
        <v>Uncle Sams Cider (04/04/2023)</v>
      </c>
      <c r="H1611" s="19"/>
    </row>
    <row r="1612">
      <c r="A1612" s="9"/>
      <c r="B1612" s="15"/>
      <c r="C1612" s="9">
        <f>IFERROR(__xludf.DUMMYFUNCTION("""COMPUTED_VALUE"""),45127.7382005439)</f>
        <v>45127.7382</v>
      </c>
      <c r="D1612" s="15">
        <f>IFERROR(__xludf.DUMMYFUNCTION("""COMPUTED_VALUE"""),1.003)</f>
        <v>1.003</v>
      </c>
      <c r="E1612" s="16">
        <f>IFERROR(__xludf.DUMMYFUNCTION("""COMPUTED_VALUE"""),72.0)</f>
        <v>72</v>
      </c>
      <c r="F1612" s="19" t="str">
        <f>IFERROR(__xludf.DUMMYFUNCTION("""COMPUTED_VALUE"""),"BLACK")</f>
        <v>BLACK</v>
      </c>
      <c r="G1612" s="20" t="str">
        <f>IFERROR(__xludf.DUMMYFUNCTION("""COMPUTED_VALUE"""),"Uncle Sams Cider (04/04/2023)")</f>
        <v>Uncle Sams Cider (04/04/2023)</v>
      </c>
      <c r="H1612" s="19"/>
    </row>
    <row r="1613">
      <c r="A1613" s="9"/>
      <c r="B1613" s="15"/>
      <c r="C1613" s="9">
        <f>IFERROR(__xludf.DUMMYFUNCTION("""COMPUTED_VALUE"""),45127.7277797685)</f>
        <v>45127.72778</v>
      </c>
      <c r="D1613" s="15">
        <f>IFERROR(__xludf.DUMMYFUNCTION("""COMPUTED_VALUE"""),1.003)</f>
        <v>1.003</v>
      </c>
      <c r="E1613" s="16">
        <f>IFERROR(__xludf.DUMMYFUNCTION("""COMPUTED_VALUE"""),72.0)</f>
        <v>72</v>
      </c>
      <c r="F1613" s="19" t="str">
        <f>IFERROR(__xludf.DUMMYFUNCTION("""COMPUTED_VALUE"""),"BLACK")</f>
        <v>BLACK</v>
      </c>
      <c r="G1613" s="20" t="str">
        <f>IFERROR(__xludf.DUMMYFUNCTION("""COMPUTED_VALUE"""),"Uncle Sams Cider (04/04/2023)")</f>
        <v>Uncle Sams Cider (04/04/2023)</v>
      </c>
      <c r="H1613" s="19"/>
    </row>
    <row r="1614">
      <c r="A1614" s="9"/>
      <c r="B1614" s="15"/>
      <c r="C1614" s="9">
        <f>IFERROR(__xludf.DUMMYFUNCTION("""COMPUTED_VALUE"""),45127.7173592245)</f>
        <v>45127.71736</v>
      </c>
      <c r="D1614" s="15">
        <f>IFERROR(__xludf.DUMMYFUNCTION("""COMPUTED_VALUE"""),1.003)</f>
        <v>1.003</v>
      </c>
      <c r="E1614" s="16">
        <f>IFERROR(__xludf.DUMMYFUNCTION("""COMPUTED_VALUE"""),72.0)</f>
        <v>72</v>
      </c>
      <c r="F1614" s="19" t="str">
        <f>IFERROR(__xludf.DUMMYFUNCTION("""COMPUTED_VALUE"""),"BLACK")</f>
        <v>BLACK</v>
      </c>
      <c r="G1614" s="20" t="str">
        <f>IFERROR(__xludf.DUMMYFUNCTION("""COMPUTED_VALUE"""),"Uncle Sams Cider (04/04/2023)")</f>
        <v>Uncle Sams Cider (04/04/2023)</v>
      </c>
      <c r="H1614" s="19"/>
    </row>
    <row r="1615">
      <c r="A1615" s="9"/>
      <c r="B1615" s="15"/>
      <c r="C1615" s="9">
        <f>IFERROR(__xludf.DUMMYFUNCTION("""COMPUTED_VALUE"""),45127.706926875)</f>
        <v>45127.70693</v>
      </c>
      <c r="D1615" s="15">
        <f>IFERROR(__xludf.DUMMYFUNCTION("""COMPUTED_VALUE"""),1.003)</f>
        <v>1.003</v>
      </c>
      <c r="E1615" s="16">
        <f>IFERROR(__xludf.DUMMYFUNCTION("""COMPUTED_VALUE"""),72.0)</f>
        <v>72</v>
      </c>
      <c r="F1615" s="19" t="str">
        <f>IFERROR(__xludf.DUMMYFUNCTION("""COMPUTED_VALUE"""),"BLACK")</f>
        <v>BLACK</v>
      </c>
      <c r="G1615" s="20" t="str">
        <f>IFERROR(__xludf.DUMMYFUNCTION("""COMPUTED_VALUE"""),"Uncle Sams Cider (04/04/2023)")</f>
        <v>Uncle Sams Cider (04/04/2023)</v>
      </c>
      <c r="H1615" s="19"/>
    </row>
    <row r="1616">
      <c r="A1616" s="9"/>
      <c r="B1616" s="15"/>
      <c r="C1616" s="9">
        <f>IFERROR(__xludf.DUMMYFUNCTION("""COMPUTED_VALUE"""),45127.6965056481)</f>
        <v>45127.69651</v>
      </c>
      <c r="D1616" s="15">
        <f>IFERROR(__xludf.DUMMYFUNCTION("""COMPUTED_VALUE"""),1.003)</f>
        <v>1.003</v>
      </c>
      <c r="E1616" s="16">
        <f>IFERROR(__xludf.DUMMYFUNCTION("""COMPUTED_VALUE"""),72.0)</f>
        <v>72</v>
      </c>
      <c r="F1616" s="19" t="str">
        <f>IFERROR(__xludf.DUMMYFUNCTION("""COMPUTED_VALUE"""),"BLACK")</f>
        <v>BLACK</v>
      </c>
      <c r="G1616" s="20" t="str">
        <f>IFERROR(__xludf.DUMMYFUNCTION("""COMPUTED_VALUE"""),"Uncle Sams Cider (04/04/2023)")</f>
        <v>Uncle Sams Cider (04/04/2023)</v>
      </c>
      <c r="H1616" s="19"/>
    </row>
    <row r="1617">
      <c r="A1617" s="9"/>
      <c r="B1617" s="15"/>
      <c r="C1617" s="9">
        <f>IFERROR(__xludf.DUMMYFUNCTION("""COMPUTED_VALUE"""),45127.6860721412)</f>
        <v>45127.68607</v>
      </c>
      <c r="D1617" s="15">
        <f>IFERROR(__xludf.DUMMYFUNCTION("""COMPUTED_VALUE"""),1.003)</f>
        <v>1.003</v>
      </c>
      <c r="E1617" s="16">
        <f>IFERROR(__xludf.DUMMYFUNCTION("""COMPUTED_VALUE"""),72.0)</f>
        <v>72</v>
      </c>
      <c r="F1617" s="19" t="str">
        <f>IFERROR(__xludf.DUMMYFUNCTION("""COMPUTED_VALUE"""),"BLACK")</f>
        <v>BLACK</v>
      </c>
      <c r="G1617" s="20" t="str">
        <f>IFERROR(__xludf.DUMMYFUNCTION("""COMPUTED_VALUE"""),"Uncle Sams Cider (04/04/2023)")</f>
        <v>Uncle Sams Cider (04/04/2023)</v>
      </c>
      <c r="H1617" s="19"/>
    </row>
    <row r="1618">
      <c r="A1618" s="9"/>
      <c r="B1618" s="15"/>
      <c r="C1618" s="9">
        <f>IFERROR(__xludf.DUMMYFUNCTION("""COMPUTED_VALUE"""),45127.6756499652)</f>
        <v>45127.67565</v>
      </c>
      <c r="D1618" s="15">
        <f>IFERROR(__xludf.DUMMYFUNCTION("""COMPUTED_VALUE"""),1.003)</f>
        <v>1.003</v>
      </c>
      <c r="E1618" s="16">
        <f>IFERROR(__xludf.DUMMYFUNCTION("""COMPUTED_VALUE"""),72.0)</f>
        <v>72</v>
      </c>
      <c r="F1618" s="19" t="str">
        <f>IFERROR(__xludf.DUMMYFUNCTION("""COMPUTED_VALUE"""),"BLACK")</f>
        <v>BLACK</v>
      </c>
      <c r="G1618" s="20" t="str">
        <f>IFERROR(__xludf.DUMMYFUNCTION("""COMPUTED_VALUE"""),"Uncle Sams Cider (04/04/2023)")</f>
        <v>Uncle Sams Cider (04/04/2023)</v>
      </c>
      <c r="H1618" s="19"/>
    </row>
    <row r="1619">
      <c r="A1619" s="9"/>
      <c r="B1619" s="15"/>
      <c r="C1619" s="9">
        <f>IFERROR(__xludf.DUMMYFUNCTION("""COMPUTED_VALUE"""),45127.6652184259)</f>
        <v>45127.66522</v>
      </c>
      <c r="D1619" s="15">
        <f>IFERROR(__xludf.DUMMYFUNCTION("""COMPUTED_VALUE"""),1.003)</f>
        <v>1.003</v>
      </c>
      <c r="E1619" s="16">
        <f>IFERROR(__xludf.DUMMYFUNCTION("""COMPUTED_VALUE"""),72.0)</f>
        <v>72</v>
      </c>
      <c r="F1619" s="19" t="str">
        <f>IFERROR(__xludf.DUMMYFUNCTION("""COMPUTED_VALUE"""),"BLACK")</f>
        <v>BLACK</v>
      </c>
      <c r="G1619" s="20" t="str">
        <f>IFERROR(__xludf.DUMMYFUNCTION("""COMPUTED_VALUE"""),"Uncle Sams Cider (04/04/2023)")</f>
        <v>Uncle Sams Cider (04/04/2023)</v>
      </c>
      <c r="H1619" s="19"/>
    </row>
    <row r="1620">
      <c r="A1620" s="9"/>
      <c r="B1620" s="15"/>
      <c r="C1620" s="9">
        <f>IFERROR(__xludf.DUMMYFUNCTION("""COMPUTED_VALUE"""),45127.6547977083)</f>
        <v>45127.6548</v>
      </c>
      <c r="D1620" s="15">
        <f>IFERROR(__xludf.DUMMYFUNCTION("""COMPUTED_VALUE"""),1.003)</f>
        <v>1.003</v>
      </c>
      <c r="E1620" s="16">
        <f>IFERROR(__xludf.DUMMYFUNCTION("""COMPUTED_VALUE"""),72.0)</f>
        <v>72</v>
      </c>
      <c r="F1620" s="19" t="str">
        <f>IFERROR(__xludf.DUMMYFUNCTION("""COMPUTED_VALUE"""),"BLACK")</f>
        <v>BLACK</v>
      </c>
      <c r="G1620" s="20" t="str">
        <f>IFERROR(__xludf.DUMMYFUNCTION("""COMPUTED_VALUE"""),"Uncle Sams Cider (04/04/2023)")</f>
        <v>Uncle Sams Cider (04/04/2023)</v>
      </c>
      <c r="H1620" s="19"/>
    </row>
    <row r="1621">
      <c r="A1621" s="9"/>
      <c r="B1621" s="15"/>
      <c r="C1621" s="9">
        <f>IFERROR(__xludf.DUMMYFUNCTION("""COMPUTED_VALUE"""),45127.6443760995)</f>
        <v>45127.64438</v>
      </c>
      <c r="D1621" s="15">
        <f>IFERROR(__xludf.DUMMYFUNCTION("""COMPUTED_VALUE"""),1.003)</f>
        <v>1.003</v>
      </c>
      <c r="E1621" s="16">
        <f>IFERROR(__xludf.DUMMYFUNCTION("""COMPUTED_VALUE"""),73.0)</f>
        <v>73</v>
      </c>
      <c r="F1621" s="19" t="str">
        <f>IFERROR(__xludf.DUMMYFUNCTION("""COMPUTED_VALUE"""),"BLACK")</f>
        <v>BLACK</v>
      </c>
      <c r="G1621" s="20" t="str">
        <f>IFERROR(__xludf.DUMMYFUNCTION("""COMPUTED_VALUE"""),"Uncle Sams Cider (04/04/2023)")</f>
        <v>Uncle Sams Cider (04/04/2023)</v>
      </c>
      <c r="H1621" s="19"/>
    </row>
    <row r="1622">
      <c r="A1622" s="9"/>
      <c r="B1622" s="15"/>
      <c r="C1622" s="9">
        <f>IFERROR(__xludf.DUMMYFUNCTION("""COMPUTED_VALUE"""),45127.6339554282)</f>
        <v>45127.63396</v>
      </c>
      <c r="D1622" s="15">
        <f>IFERROR(__xludf.DUMMYFUNCTION("""COMPUTED_VALUE"""),1.003)</f>
        <v>1.003</v>
      </c>
      <c r="E1622" s="16">
        <f>IFERROR(__xludf.DUMMYFUNCTION("""COMPUTED_VALUE"""),73.0)</f>
        <v>73</v>
      </c>
      <c r="F1622" s="19" t="str">
        <f>IFERROR(__xludf.DUMMYFUNCTION("""COMPUTED_VALUE"""),"BLACK")</f>
        <v>BLACK</v>
      </c>
      <c r="G1622" s="20" t="str">
        <f>IFERROR(__xludf.DUMMYFUNCTION("""COMPUTED_VALUE"""),"Uncle Sams Cider (04/04/2023)")</f>
        <v>Uncle Sams Cider (04/04/2023)</v>
      </c>
      <c r="H1622" s="19"/>
    </row>
    <row r="1623">
      <c r="A1623" s="9"/>
      <c r="B1623" s="15"/>
      <c r="C1623" s="9">
        <f>IFERROR(__xludf.DUMMYFUNCTION("""COMPUTED_VALUE"""),45127.623521655)</f>
        <v>45127.62352</v>
      </c>
      <c r="D1623" s="15">
        <f>IFERROR(__xludf.DUMMYFUNCTION("""COMPUTED_VALUE"""),1.003)</f>
        <v>1.003</v>
      </c>
      <c r="E1623" s="16">
        <f>IFERROR(__xludf.DUMMYFUNCTION("""COMPUTED_VALUE"""),72.0)</f>
        <v>72</v>
      </c>
      <c r="F1623" s="19" t="str">
        <f>IFERROR(__xludf.DUMMYFUNCTION("""COMPUTED_VALUE"""),"BLACK")</f>
        <v>BLACK</v>
      </c>
      <c r="G1623" s="20" t="str">
        <f>IFERROR(__xludf.DUMMYFUNCTION("""COMPUTED_VALUE"""),"Uncle Sams Cider (04/04/2023)")</f>
        <v>Uncle Sams Cider (04/04/2023)</v>
      </c>
      <c r="H1623" s="19"/>
    </row>
    <row r="1624">
      <c r="A1624" s="9"/>
      <c r="B1624" s="15"/>
      <c r="C1624" s="9">
        <f>IFERROR(__xludf.DUMMYFUNCTION("""COMPUTED_VALUE"""),45127.6130881712)</f>
        <v>45127.61309</v>
      </c>
      <c r="D1624" s="15">
        <f>IFERROR(__xludf.DUMMYFUNCTION("""COMPUTED_VALUE"""),1.003)</f>
        <v>1.003</v>
      </c>
      <c r="E1624" s="16">
        <f>IFERROR(__xludf.DUMMYFUNCTION("""COMPUTED_VALUE"""),73.0)</f>
        <v>73</v>
      </c>
      <c r="F1624" s="19" t="str">
        <f>IFERROR(__xludf.DUMMYFUNCTION("""COMPUTED_VALUE"""),"BLACK")</f>
        <v>BLACK</v>
      </c>
      <c r="G1624" s="20" t="str">
        <f>IFERROR(__xludf.DUMMYFUNCTION("""COMPUTED_VALUE"""),"Uncle Sams Cider (04/04/2023)")</f>
        <v>Uncle Sams Cider (04/04/2023)</v>
      </c>
      <c r="H1624" s="19"/>
    </row>
    <row r="1625">
      <c r="A1625" s="9"/>
      <c r="B1625" s="15"/>
      <c r="C1625" s="9">
        <f>IFERROR(__xludf.DUMMYFUNCTION("""COMPUTED_VALUE"""),45127.6026667013)</f>
        <v>45127.60267</v>
      </c>
      <c r="D1625" s="15">
        <f>IFERROR(__xludf.DUMMYFUNCTION("""COMPUTED_VALUE"""),1.003)</f>
        <v>1.003</v>
      </c>
      <c r="E1625" s="16">
        <f>IFERROR(__xludf.DUMMYFUNCTION("""COMPUTED_VALUE"""),73.0)</f>
        <v>73</v>
      </c>
      <c r="F1625" s="19" t="str">
        <f>IFERROR(__xludf.DUMMYFUNCTION("""COMPUTED_VALUE"""),"BLACK")</f>
        <v>BLACK</v>
      </c>
      <c r="G1625" s="20" t="str">
        <f>IFERROR(__xludf.DUMMYFUNCTION("""COMPUTED_VALUE"""),"Uncle Sams Cider (04/04/2023)")</f>
        <v>Uncle Sams Cider (04/04/2023)</v>
      </c>
      <c r="H1625" s="19"/>
    </row>
    <row r="1626">
      <c r="A1626" s="9"/>
      <c r="B1626" s="15"/>
      <c r="C1626" s="9">
        <f>IFERROR(__xludf.DUMMYFUNCTION("""COMPUTED_VALUE"""),45127.5922461805)</f>
        <v>45127.59225</v>
      </c>
      <c r="D1626" s="15">
        <f>IFERROR(__xludf.DUMMYFUNCTION("""COMPUTED_VALUE"""),1.003)</f>
        <v>1.003</v>
      </c>
      <c r="E1626" s="16">
        <f>IFERROR(__xludf.DUMMYFUNCTION("""COMPUTED_VALUE"""),73.0)</f>
        <v>73</v>
      </c>
      <c r="F1626" s="19" t="str">
        <f>IFERROR(__xludf.DUMMYFUNCTION("""COMPUTED_VALUE"""),"BLACK")</f>
        <v>BLACK</v>
      </c>
      <c r="G1626" s="20" t="str">
        <f>IFERROR(__xludf.DUMMYFUNCTION("""COMPUTED_VALUE"""),"Uncle Sams Cider (04/04/2023)")</f>
        <v>Uncle Sams Cider (04/04/2023)</v>
      </c>
      <c r="H1626" s="19"/>
    </row>
    <row r="1627">
      <c r="A1627" s="9"/>
      <c r="B1627" s="15"/>
      <c r="C1627" s="9">
        <f>IFERROR(__xludf.DUMMYFUNCTION("""COMPUTED_VALUE"""),45127.5818260995)</f>
        <v>45127.58183</v>
      </c>
      <c r="D1627" s="15">
        <f>IFERROR(__xludf.DUMMYFUNCTION("""COMPUTED_VALUE"""),1.003)</f>
        <v>1.003</v>
      </c>
      <c r="E1627" s="16">
        <f>IFERROR(__xludf.DUMMYFUNCTION("""COMPUTED_VALUE"""),73.0)</f>
        <v>73</v>
      </c>
      <c r="F1627" s="19" t="str">
        <f>IFERROR(__xludf.DUMMYFUNCTION("""COMPUTED_VALUE"""),"BLACK")</f>
        <v>BLACK</v>
      </c>
      <c r="G1627" s="20" t="str">
        <f>IFERROR(__xludf.DUMMYFUNCTION("""COMPUTED_VALUE"""),"Uncle Sams Cider (04/04/2023)")</f>
        <v>Uncle Sams Cider (04/04/2023)</v>
      </c>
      <c r="H1627" s="19"/>
    </row>
    <row r="1628">
      <c r="A1628" s="9"/>
      <c r="B1628" s="15"/>
      <c r="C1628" s="9">
        <f>IFERROR(__xludf.DUMMYFUNCTION("""COMPUTED_VALUE"""),45127.5713921064)</f>
        <v>45127.57139</v>
      </c>
      <c r="D1628" s="15">
        <f>IFERROR(__xludf.DUMMYFUNCTION("""COMPUTED_VALUE"""),1.003)</f>
        <v>1.003</v>
      </c>
      <c r="E1628" s="16">
        <f>IFERROR(__xludf.DUMMYFUNCTION("""COMPUTED_VALUE"""),73.0)</f>
        <v>73</v>
      </c>
      <c r="F1628" s="19" t="str">
        <f>IFERROR(__xludf.DUMMYFUNCTION("""COMPUTED_VALUE"""),"BLACK")</f>
        <v>BLACK</v>
      </c>
      <c r="G1628" s="20" t="str">
        <f>IFERROR(__xludf.DUMMYFUNCTION("""COMPUTED_VALUE"""),"Uncle Sams Cider (04/04/2023)")</f>
        <v>Uncle Sams Cider (04/04/2023)</v>
      </c>
      <c r="H1628" s="19"/>
    </row>
    <row r="1629">
      <c r="A1629" s="9"/>
      <c r="B1629" s="15"/>
      <c r="C1629" s="9">
        <f>IFERROR(__xludf.DUMMYFUNCTION("""COMPUTED_VALUE"""),45127.5609704745)</f>
        <v>45127.56097</v>
      </c>
      <c r="D1629" s="15">
        <f>IFERROR(__xludf.DUMMYFUNCTION("""COMPUTED_VALUE"""),1.003)</f>
        <v>1.003</v>
      </c>
      <c r="E1629" s="16">
        <f>IFERROR(__xludf.DUMMYFUNCTION("""COMPUTED_VALUE"""),73.0)</f>
        <v>73</v>
      </c>
      <c r="F1629" s="19" t="str">
        <f>IFERROR(__xludf.DUMMYFUNCTION("""COMPUTED_VALUE"""),"BLACK")</f>
        <v>BLACK</v>
      </c>
      <c r="G1629" s="20" t="str">
        <f>IFERROR(__xludf.DUMMYFUNCTION("""COMPUTED_VALUE"""),"Uncle Sams Cider (04/04/2023)")</f>
        <v>Uncle Sams Cider (04/04/2023)</v>
      </c>
      <c r="H1629" s="19"/>
    </row>
    <row r="1630">
      <c r="A1630" s="9"/>
      <c r="B1630" s="15"/>
      <c r="C1630" s="9">
        <f>IFERROR(__xludf.DUMMYFUNCTION("""COMPUTED_VALUE"""),45127.5505496875)</f>
        <v>45127.55055</v>
      </c>
      <c r="D1630" s="15">
        <f>IFERROR(__xludf.DUMMYFUNCTION("""COMPUTED_VALUE"""),1.003)</f>
        <v>1.003</v>
      </c>
      <c r="E1630" s="16">
        <f>IFERROR(__xludf.DUMMYFUNCTION("""COMPUTED_VALUE"""),73.0)</f>
        <v>73</v>
      </c>
      <c r="F1630" s="19" t="str">
        <f>IFERROR(__xludf.DUMMYFUNCTION("""COMPUTED_VALUE"""),"BLACK")</f>
        <v>BLACK</v>
      </c>
      <c r="G1630" s="20" t="str">
        <f>IFERROR(__xludf.DUMMYFUNCTION("""COMPUTED_VALUE"""),"Uncle Sams Cider (04/04/2023)")</f>
        <v>Uncle Sams Cider (04/04/2023)</v>
      </c>
      <c r="H1630" s="19"/>
    </row>
    <row r="1631">
      <c r="A1631" s="9"/>
      <c r="B1631" s="15"/>
      <c r="C1631" s="9">
        <f>IFERROR(__xludf.DUMMYFUNCTION("""COMPUTED_VALUE"""),45127.5401301736)</f>
        <v>45127.54013</v>
      </c>
      <c r="D1631" s="15">
        <f>IFERROR(__xludf.DUMMYFUNCTION("""COMPUTED_VALUE"""),1.003)</f>
        <v>1.003</v>
      </c>
      <c r="E1631" s="16">
        <f>IFERROR(__xludf.DUMMYFUNCTION("""COMPUTED_VALUE"""),73.0)</f>
        <v>73</v>
      </c>
      <c r="F1631" s="19" t="str">
        <f>IFERROR(__xludf.DUMMYFUNCTION("""COMPUTED_VALUE"""),"BLACK")</f>
        <v>BLACK</v>
      </c>
      <c r="G1631" s="20" t="str">
        <f>IFERROR(__xludf.DUMMYFUNCTION("""COMPUTED_VALUE"""),"Uncle Sams Cider (04/04/2023)")</f>
        <v>Uncle Sams Cider (04/04/2023)</v>
      </c>
      <c r="H1631" s="19"/>
    </row>
    <row r="1632">
      <c r="A1632" s="9"/>
      <c r="B1632" s="15"/>
      <c r="C1632" s="9">
        <f>IFERROR(__xludf.DUMMYFUNCTION("""COMPUTED_VALUE"""),45127.5297085416)</f>
        <v>45127.52971</v>
      </c>
      <c r="D1632" s="15">
        <f>IFERROR(__xludf.DUMMYFUNCTION("""COMPUTED_VALUE"""),1.003)</f>
        <v>1.003</v>
      </c>
      <c r="E1632" s="16">
        <f>IFERROR(__xludf.DUMMYFUNCTION("""COMPUTED_VALUE"""),73.0)</f>
        <v>73</v>
      </c>
      <c r="F1632" s="19" t="str">
        <f>IFERROR(__xludf.DUMMYFUNCTION("""COMPUTED_VALUE"""),"BLACK")</f>
        <v>BLACK</v>
      </c>
      <c r="G1632" s="20" t="str">
        <f>IFERROR(__xludf.DUMMYFUNCTION("""COMPUTED_VALUE"""),"Uncle Sams Cider (04/04/2023)")</f>
        <v>Uncle Sams Cider (04/04/2023)</v>
      </c>
      <c r="H1632" s="19"/>
    </row>
    <row r="1633">
      <c r="A1633" s="9"/>
      <c r="B1633" s="15"/>
      <c r="C1633" s="9">
        <f>IFERROR(__xludf.DUMMYFUNCTION("""COMPUTED_VALUE"""),45127.5192774421)</f>
        <v>45127.51928</v>
      </c>
      <c r="D1633" s="15">
        <f>IFERROR(__xludf.DUMMYFUNCTION("""COMPUTED_VALUE"""),1.004)</f>
        <v>1.004</v>
      </c>
      <c r="E1633" s="16">
        <f>IFERROR(__xludf.DUMMYFUNCTION("""COMPUTED_VALUE"""),73.0)</f>
        <v>73</v>
      </c>
      <c r="F1633" s="19" t="str">
        <f>IFERROR(__xludf.DUMMYFUNCTION("""COMPUTED_VALUE"""),"BLACK")</f>
        <v>BLACK</v>
      </c>
      <c r="G1633" s="20" t="str">
        <f>IFERROR(__xludf.DUMMYFUNCTION("""COMPUTED_VALUE"""),"Uncle Sams Cider (04/04/2023)")</f>
        <v>Uncle Sams Cider (04/04/2023)</v>
      </c>
      <c r="H1633" s="19"/>
    </row>
    <row r="1634">
      <c r="A1634" s="9"/>
      <c r="B1634" s="15"/>
      <c r="C1634" s="9">
        <f>IFERROR(__xludf.DUMMYFUNCTION("""COMPUTED_VALUE"""),45127.5088319328)</f>
        <v>45127.50883</v>
      </c>
      <c r="D1634" s="15">
        <f>IFERROR(__xludf.DUMMYFUNCTION("""COMPUTED_VALUE"""),1.003)</f>
        <v>1.003</v>
      </c>
      <c r="E1634" s="16">
        <f>IFERROR(__xludf.DUMMYFUNCTION("""COMPUTED_VALUE"""),73.0)</f>
        <v>73</v>
      </c>
      <c r="F1634" s="19" t="str">
        <f>IFERROR(__xludf.DUMMYFUNCTION("""COMPUTED_VALUE"""),"BLACK")</f>
        <v>BLACK</v>
      </c>
      <c r="G1634" s="20" t="str">
        <f>IFERROR(__xludf.DUMMYFUNCTION("""COMPUTED_VALUE"""),"Uncle Sams Cider (04/04/2023)")</f>
        <v>Uncle Sams Cider (04/04/2023)</v>
      </c>
      <c r="H1634" s="19"/>
    </row>
    <row r="1635">
      <c r="A1635" s="9"/>
      <c r="B1635" s="15"/>
      <c r="C1635" s="9">
        <f>IFERROR(__xludf.DUMMYFUNCTION("""COMPUTED_VALUE"""),45127.4984118402)</f>
        <v>45127.49841</v>
      </c>
      <c r="D1635" s="15">
        <f>IFERROR(__xludf.DUMMYFUNCTION("""COMPUTED_VALUE"""),1.003)</f>
        <v>1.003</v>
      </c>
      <c r="E1635" s="16">
        <f>IFERROR(__xludf.DUMMYFUNCTION("""COMPUTED_VALUE"""),73.0)</f>
        <v>73</v>
      </c>
      <c r="F1635" s="19" t="str">
        <f>IFERROR(__xludf.DUMMYFUNCTION("""COMPUTED_VALUE"""),"BLACK")</f>
        <v>BLACK</v>
      </c>
      <c r="G1635" s="20" t="str">
        <f>IFERROR(__xludf.DUMMYFUNCTION("""COMPUTED_VALUE"""),"Uncle Sams Cider (04/04/2023)")</f>
        <v>Uncle Sams Cider (04/04/2023)</v>
      </c>
      <c r="H1635" s="19"/>
    </row>
    <row r="1636">
      <c r="A1636" s="9"/>
      <c r="B1636" s="15"/>
      <c r="C1636" s="9">
        <f>IFERROR(__xludf.DUMMYFUNCTION("""COMPUTED_VALUE"""),45127.4879918981)</f>
        <v>45127.48799</v>
      </c>
      <c r="D1636" s="15">
        <f>IFERROR(__xludf.DUMMYFUNCTION("""COMPUTED_VALUE"""),1.003)</f>
        <v>1.003</v>
      </c>
      <c r="E1636" s="16">
        <f>IFERROR(__xludf.DUMMYFUNCTION("""COMPUTED_VALUE"""),73.0)</f>
        <v>73</v>
      </c>
      <c r="F1636" s="19" t="str">
        <f>IFERROR(__xludf.DUMMYFUNCTION("""COMPUTED_VALUE"""),"BLACK")</f>
        <v>BLACK</v>
      </c>
      <c r="G1636" s="20" t="str">
        <f>IFERROR(__xludf.DUMMYFUNCTION("""COMPUTED_VALUE"""),"Uncle Sams Cider (04/04/2023)")</f>
        <v>Uncle Sams Cider (04/04/2023)</v>
      </c>
      <c r="H1636" s="19"/>
    </row>
    <row r="1637">
      <c r="A1637" s="9"/>
      <c r="B1637" s="15"/>
      <c r="C1637" s="9">
        <f>IFERROR(__xludf.DUMMYFUNCTION("""COMPUTED_VALUE"""),45127.4775703819)</f>
        <v>45127.47757</v>
      </c>
      <c r="D1637" s="15">
        <f>IFERROR(__xludf.DUMMYFUNCTION("""COMPUTED_VALUE"""),1.003)</f>
        <v>1.003</v>
      </c>
      <c r="E1637" s="16">
        <f>IFERROR(__xludf.DUMMYFUNCTION("""COMPUTED_VALUE"""),73.0)</f>
        <v>73</v>
      </c>
      <c r="F1637" s="19" t="str">
        <f>IFERROR(__xludf.DUMMYFUNCTION("""COMPUTED_VALUE"""),"BLACK")</f>
        <v>BLACK</v>
      </c>
      <c r="G1637" s="20" t="str">
        <f>IFERROR(__xludf.DUMMYFUNCTION("""COMPUTED_VALUE"""),"Uncle Sams Cider (04/04/2023)")</f>
        <v>Uncle Sams Cider (04/04/2023)</v>
      </c>
      <c r="H1637" s="19"/>
    </row>
    <row r="1638">
      <c r="A1638" s="9"/>
      <c r="B1638" s="15"/>
      <c r="C1638" s="9">
        <f>IFERROR(__xludf.DUMMYFUNCTION("""COMPUTED_VALUE"""),45127.4671489236)</f>
        <v>45127.46715</v>
      </c>
      <c r="D1638" s="15">
        <f>IFERROR(__xludf.DUMMYFUNCTION("""COMPUTED_VALUE"""),1.003)</f>
        <v>1.003</v>
      </c>
      <c r="E1638" s="16">
        <f>IFERROR(__xludf.DUMMYFUNCTION("""COMPUTED_VALUE"""),73.0)</f>
        <v>73</v>
      </c>
      <c r="F1638" s="19" t="str">
        <f>IFERROR(__xludf.DUMMYFUNCTION("""COMPUTED_VALUE"""),"BLACK")</f>
        <v>BLACK</v>
      </c>
      <c r="G1638" s="20" t="str">
        <f>IFERROR(__xludf.DUMMYFUNCTION("""COMPUTED_VALUE"""),"Uncle Sams Cider (04/04/2023)")</f>
        <v>Uncle Sams Cider (04/04/2023)</v>
      </c>
      <c r="H1638" s="19"/>
    </row>
    <row r="1639">
      <c r="A1639" s="9"/>
      <c r="B1639" s="15"/>
      <c r="C1639" s="9">
        <f>IFERROR(__xludf.DUMMYFUNCTION("""COMPUTED_VALUE"""),45127.4567270254)</f>
        <v>45127.45673</v>
      </c>
      <c r="D1639" s="15">
        <f>IFERROR(__xludf.DUMMYFUNCTION("""COMPUTED_VALUE"""),1.003)</f>
        <v>1.003</v>
      </c>
      <c r="E1639" s="16">
        <f>IFERROR(__xludf.DUMMYFUNCTION("""COMPUTED_VALUE"""),72.0)</f>
        <v>72</v>
      </c>
      <c r="F1639" s="19" t="str">
        <f>IFERROR(__xludf.DUMMYFUNCTION("""COMPUTED_VALUE"""),"BLACK")</f>
        <v>BLACK</v>
      </c>
      <c r="G1639" s="20" t="str">
        <f>IFERROR(__xludf.DUMMYFUNCTION("""COMPUTED_VALUE"""),"Uncle Sams Cider (04/04/2023)")</f>
        <v>Uncle Sams Cider (04/04/2023)</v>
      </c>
      <c r="H1639" s="19"/>
    </row>
    <row r="1640">
      <c r="A1640" s="9"/>
      <c r="B1640" s="15"/>
      <c r="C1640" s="9">
        <f>IFERROR(__xludf.DUMMYFUNCTION("""COMPUTED_VALUE"""),45127.4463049421)</f>
        <v>45127.4463</v>
      </c>
      <c r="D1640" s="15">
        <f>IFERROR(__xludf.DUMMYFUNCTION("""COMPUTED_VALUE"""),1.003)</f>
        <v>1.003</v>
      </c>
      <c r="E1640" s="16">
        <f>IFERROR(__xludf.DUMMYFUNCTION("""COMPUTED_VALUE"""),73.0)</f>
        <v>73</v>
      </c>
      <c r="F1640" s="19" t="str">
        <f>IFERROR(__xludf.DUMMYFUNCTION("""COMPUTED_VALUE"""),"BLACK")</f>
        <v>BLACK</v>
      </c>
      <c r="G1640" s="20" t="str">
        <f>IFERROR(__xludf.DUMMYFUNCTION("""COMPUTED_VALUE"""),"Uncle Sams Cider (04/04/2023)")</f>
        <v>Uncle Sams Cider (04/04/2023)</v>
      </c>
      <c r="H1640" s="19"/>
    </row>
    <row r="1641">
      <c r="A1641" s="9"/>
      <c r="B1641" s="15"/>
      <c r="C1641" s="9">
        <f>IFERROR(__xludf.DUMMYFUNCTION("""COMPUTED_VALUE"""),45127.435881956)</f>
        <v>45127.43588</v>
      </c>
      <c r="D1641" s="15">
        <f>IFERROR(__xludf.DUMMYFUNCTION("""COMPUTED_VALUE"""),1.004)</f>
        <v>1.004</v>
      </c>
      <c r="E1641" s="16">
        <f>IFERROR(__xludf.DUMMYFUNCTION("""COMPUTED_VALUE"""),73.0)</f>
        <v>73</v>
      </c>
      <c r="F1641" s="19" t="str">
        <f>IFERROR(__xludf.DUMMYFUNCTION("""COMPUTED_VALUE"""),"BLACK")</f>
        <v>BLACK</v>
      </c>
      <c r="G1641" s="20" t="str">
        <f>IFERROR(__xludf.DUMMYFUNCTION("""COMPUTED_VALUE"""),"Uncle Sams Cider (04/04/2023)")</f>
        <v>Uncle Sams Cider (04/04/2023)</v>
      </c>
      <c r="H1641" s="19"/>
    </row>
    <row r="1642">
      <c r="A1642" s="9"/>
      <c r="B1642" s="15"/>
      <c r="C1642" s="9">
        <f>IFERROR(__xludf.DUMMYFUNCTION("""COMPUTED_VALUE"""),45127.4254606713)</f>
        <v>45127.42546</v>
      </c>
      <c r="D1642" s="15">
        <f>IFERROR(__xludf.DUMMYFUNCTION("""COMPUTED_VALUE"""),1.003)</f>
        <v>1.003</v>
      </c>
      <c r="E1642" s="16">
        <f>IFERROR(__xludf.DUMMYFUNCTION("""COMPUTED_VALUE"""),73.0)</f>
        <v>73</v>
      </c>
      <c r="F1642" s="19" t="str">
        <f>IFERROR(__xludf.DUMMYFUNCTION("""COMPUTED_VALUE"""),"BLACK")</f>
        <v>BLACK</v>
      </c>
      <c r="G1642" s="20" t="str">
        <f>IFERROR(__xludf.DUMMYFUNCTION("""COMPUTED_VALUE"""),"Uncle Sams Cider (04/04/2023)")</f>
        <v>Uncle Sams Cider (04/04/2023)</v>
      </c>
      <c r="H1642" s="19"/>
    </row>
    <row r="1643">
      <c r="A1643" s="9"/>
      <c r="B1643" s="15"/>
      <c r="C1643" s="9">
        <f>IFERROR(__xludf.DUMMYFUNCTION("""COMPUTED_VALUE"""),45127.4150152893)</f>
        <v>45127.41502</v>
      </c>
      <c r="D1643" s="15">
        <f>IFERROR(__xludf.DUMMYFUNCTION("""COMPUTED_VALUE"""),1.003)</f>
        <v>1.003</v>
      </c>
      <c r="E1643" s="16">
        <f>IFERROR(__xludf.DUMMYFUNCTION("""COMPUTED_VALUE"""),73.0)</f>
        <v>73</v>
      </c>
      <c r="F1643" s="19" t="str">
        <f>IFERROR(__xludf.DUMMYFUNCTION("""COMPUTED_VALUE"""),"BLACK")</f>
        <v>BLACK</v>
      </c>
      <c r="G1643" s="20" t="str">
        <f>IFERROR(__xludf.DUMMYFUNCTION("""COMPUTED_VALUE"""),"Uncle Sams Cider (04/04/2023)")</f>
        <v>Uncle Sams Cider (04/04/2023)</v>
      </c>
      <c r="H1643" s="19"/>
    </row>
    <row r="1644">
      <c r="A1644" s="9"/>
      <c r="B1644" s="15"/>
      <c r="C1644" s="9">
        <f>IFERROR(__xludf.DUMMYFUNCTION("""COMPUTED_VALUE"""),45127.4045955324)</f>
        <v>45127.4046</v>
      </c>
      <c r="D1644" s="15">
        <f>IFERROR(__xludf.DUMMYFUNCTION("""COMPUTED_VALUE"""),1.003)</f>
        <v>1.003</v>
      </c>
      <c r="E1644" s="16">
        <f>IFERROR(__xludf.DUMMYFUNCTION("""COMPUTED_VALUE"""),73.0)</f>
        <v>73</v>
      </c>
      <c r="F1644" s="19" t="str">
        <f>IFERROR(__xludf.DUMMYFUNCTION("""COMPUTED_VALUE"""),"BLACK")</f>
        <v>BLACK</v>
      </c>
      <c r="G1644" s="20" t="str">
        <f>IFERROR(__xludf.DUMMYFUNCTION("""COMPUTED_VALUE"""),"Uncle Sams Cider (04/04/2023)")</f>
        <v>Uncle Sams Cider (04/04/2023)</v>
      </c>
      <c r="H1644" s="19"/>
    </row>
    <row r="1645">
      <c r="A1645" s="9"/>
      <c r="B1645" s="15"/>
      <c r="C1645" s="9">
        <f>IFERROR(__xludf.DUMMYFUNCTION("""COMPUTED_VALUE"""),45127.3941730787)</f>
        <v>45127.39417</v>
      </c>
      <c r="D1645" s="15">
        <f>IFERROR(__xludf.DUMMYFUNCTION("""COMPUTED_VALUE"""),1.004)</f>
        <v>1.004</v>
      </c>
      <c r="E1645" s="16">
        <f>IFERROR(__xludf.DUMMYFUNCTION("""COMPUTED_VALUE"""),73.0)</f>
        <v>73</v>
      </c>
      <c r="F1645" s="19" t="str">
        <f>IFERROR(__xludf.DUMMYFUNCTION("""COMPUTED_VALUE"""),"BLACK")</f>
        <v>BLACK</v>
      </c>
      <c r="G1645" s="20" t="str">
        <f>IFERROR(__xludf.DUMMYFUNCTION("""COMPUTED_VALUE"""),"Uncle Sams Cider (04/04/2023)")</f>
        <v>Uncle Sams Cider (04/04/2023)</v>
      </c>
      <c r="H1645" s="19"/>
    </row>
    <row r="1646">
      <c r="A1646" s="9"/>
      <c r="B1646" s="15"/>
      <c r="C1646" s="9">
        <f>IFERROR(__xludf.DUMMYFUNCTION("""COMPUTED_VALUE"""),45127.3837520139)</f>
        <v>45127.38375</v>
      </c>
      <c r="D1646" s="15">
        <f>IFERROR(__xludf.DUMMYFUNCTION("""COMPUTED_VALUE"""),1.003)</f>
        <v>1.003</v>
      </c>
      <c r="E1646" s="16">
        <f>IFERROR(__xludf.DUMMYFUNCTION("""COMPUTED_VALUE"""),73.0)</f>
        <v>73</v>
      </c>
      <c r="F1646" s="19" t="str">
        <f>IFERROR(__xludf.DUMMYFUNCTION("""COMPUTED_VALUE"""),"BLACK")</f>
        <v>BLACK</v>
      </c>
      <c r="G1646" s="20" t="str">
        <f>IFERROR(__xludf.DUMMYFUNCTION("""COMPUTED_VALUE"""),"Uncle Sams Cider (04/04/2023)")</f>
        <v>Uncle Sams Cider (04/04/2023)</v>
      </c>
      <c r="H1646" s="19"/>
    </row>
    <row r="1647">
      <c r="A1647" s="9"/>
      <c r="B1647" s="15"/>
      <c r="C1647" s="9">
        <f>IFERROR(__xludf.DUMMYFUNCTION("""COMPUTED_VALUE"""),45127.3733302199)</f>
        <v>45127.37333</v>
      </c>
      <c r="D1647" s="15">
        <f>IFERROR(__xludf.DUMMYFUNCTION("""COMPUTED_VALUE"""),1.003)</f>
        <v>1.003</v>
      </c>
      <c r="E1647" s="16">
        <f>IFERROR(__xludf.DUMMYFUNCTION("""COMPUTED_VALUE"""),73.0)</f>
        <v>73</v>
      </c>
      <c r="F1647" s="19" t="str">
        <f>IFERROR(__xludf.DUMMYFUNCTION("""COMPUTED_VALUE"""),"BLACK")</f>
        <v>BLACK</v>
      </c>
      <c r="G1647" s="20" t="str">
        <f>IFERROR(__xludf.DUMMYFUNCTION("""COMPUTED_VALUE"""),"Uncle Sams Cider (04/04/2023)")</f>
        <v>Uncle Sams Cider (04/04/2023)</v>
      </c>
      <c r="H1647" s="19"/>
    </row>
    <row r="1648">
      <c r="A1648" s="9"/>
      <c r="B1648" s="15"/>
      <c r="C1648" s="9">
        <f>IFERROR(__xludf.DUMMYFUNCTION("""COMPUTED_VALUE"""),45127.3629087268)</f>
        <v>45127.36291</v>
      </c>
      <c r="D1648" s="15">
        <f>IFERROR(__xludf.DUMMYFUNCTION("""COMPUTED_VALUE"""),1.003)</f>
        <v>1.003</v>
      </c>
      <c r="E1648" s="16">
        <f>IFERROR(__xludf.DUMMYFUNCTION("""COMPUTED_VALUE"""),73.0)</f>
        <v>73</v>
      </c>
      <c r="F1648" s="19" t="str">
        <f>IFERROR(__xludf.DUMMYFUNCTION("""COMPUTED_VALUE"""),"BLACK")</f>
        <v>BLACK</v>
      </c>
      <c r="G1648" s="20" t="str">
        <f>IFERROR(__xludf.DUMMYFUNCTION("""COMPUTED_VALUE"""),"Uncle Sams Cider (04/04/2023)")</f>
        <v>Uncle Sams Cider (04/04/2023)</v>
      </c>
      <c r="H1648" s="19"/>
    </row>
    <row r="1649">
      <c r="A1649" s="9"/>
      <c r="B1649" s="15"/>
      <c r="C1649" s="9">
        <f>IFERROR(__xludf.DUMMYFUNCTION("""COMPUTED_VALUE"""),45127.35248875)</f>
        <v>45127.35249</v>
      </c>
      <c r="D1649" s="15">
        <f>IFERROR(__xludf.DUMMYFUNCTION("""COMPUTED_VALUE"""),1.003)</f>
        <v>1.003</v>
      </c>
      <c r="E1649" s="16">
        <f>IFERROR(__xludf.DUMMYFUNCTION("""COMPUTED_VALUE"""),73.0)</f>
        <v>73</v>
      </c>
      <c r="F1649" s="19" t="str">
        <f>IFERROR(__xludf.DUMMYFUNCTION("""COMPUTED_VALUE"""),"BLACK")</f>
        <v>BLACK</v>
      </c>
      <c r="G1649" s="20" t="str">
        <f>IFERROR(__xludf.DUMMYFUNCTION("""COMPUTED_VALUE"""),"Uncle Sams Cider (04/04/2023)")</f>
        <v>Uncle Sams Cider (04/04/2023)</v>
      </c>
      <c r="H1649" s="19"/>
    </row>
    <row r="1650">
      <c r="A1650" s="9"/>
      <c r="B1650" s="15"/>
      <c r="C1650" s="9">
        <f>IFERROR(__xludf.DUMMYFUNCTION("""COMPUTED_VALUE"""),45127.3420676967)</f>
        <v>45127.34207</v>
      </c>
      <c r="D1650" s="15">
        <f>IFERROR(__xludf.DUMMYFUNCTION("""COMPUTED_VALUE"""),1.003)</f>
        <v>1.003</v>
      </c>
      <c r="E1650" s="16">
        <f>IFERROR(__xludf.DUMMYFUNCTION("""COMPUTED_VALUE"""),73.0)</f>
        <v>73</v>
      </c>
      <c r="F1650" s="19" t="str">
        <f>IFERROR(__xludf.DUMMYFUNCTION("""COMPUTED_VALUE"""),"BLACK")</f>
        <v>BLACK</v>
      </c>
      <c r="G1650" s="20" t="str">
        <f>IFERROR(__xludf.DUMMYFUNCTION("""COMPUTED_VALUE"""),"Uncle Sams Cider (04/04/2023)")</f>
        <v>Uncle Sams Cider (04/04/2023)</v>
      </c>
      <c r="H1650" s="19"/>
    </row>
    <row r="1651">
      <c r="A1651" s="9"/>
      <c r="B1651" s="15"/>
      <c r="C1651" s="9">
        <f>IFERROR(__xludf.DUMMYFUNCTION("""COMPUTED_VALUE"""),45127.3316469791)</f>
        <v>45127.33165</v>
      </c>
      <c r="D1651" s="15">
        <f>IFERROR(__xludf.DUMMYFUNCTION("""COMPUTED_VALUE"""),1.004)</f>
        <v>1.004</v>
      </c>
      <c r="E1651" s="16">
        <f>IFERROR(__xludf.DUMMYFUNCTION("""COMPUTED_VALUE"""),73.0)</f>
        <v>73</v>
      </c>
      <c r="F1651" s="19" t="str">
        <f>IFERROR(__xludf.DUMMYFUNCTION("""COMPUTED_VALUE"""),"BLACK")</f>
        <v>BLACK</v>
      </c>
      <c r="G1651" s="20" t="str">
        <f>IFERROR(__xludf.DUMMYFUNCTION("""COMPUTED_VALUE"""),"Uncle Sams Cider (04/04/2023)")</f>
        <v>Uncle Sams Cider (04/04/2023)</v>
      </c>
      <c r="H1651" s="19"/>
    </row>
    <row r="1652">
      <c r="A1652" s="9"/>
      <c r="B1652" s="15"/>
      <c r="C1652" s="9">
        <f>IFERROR(__xludf.DUMMYFUNCTION("""COMPUTED_VALUE"""),45127.3212141551)</f>
        <v>45127.32121</v>
      </c>
      <c r="D1652" s="15">
        <f>IFERROR(__xludf.DUMMYFUNCTION("""COMPUTED_VALUE"""),1.003)</f>
        <v>1.003</v>
      </c>
      <c r="E1652" s="16">
        <f>IFERROR(__xludf.DUMMYFUNCTION("""COMPUTED_VALUE"""),73.0)</f>
        <v>73</v>
      </c>
      <c r="F1652" s="19" t="str">
        <f>IFERROR(__xludf.DUMMYFUNCTION("""COMPUTED_VALUE"""),"BLACK")</f>
        <v>BLACK</v>
      </c>
      <c r="G1652" s="20" t="str">
        <f>IFERROR(__xludf.DUMMYFUNCTION("""COMPUTED_VALUE"""),"Uncle Sams Cider (04/04/2023)")</f>
        <v>Uncle Sams Cider (04/04/2023)</v>
      </c>
      <c r="H1652" s="19"/>
    </row>
    <row r="1653">
      <c r="A1653" s="9"/>
      <c r="B1653" s="15"/>
      <c r="C1653" s="9">
        <f>IFERROR(__xludf.DUMMYFUNCTION("""COMPUTED_VALUE"""),45127.3107947569)</f>
        <v>45127.31079</v>
      </c>
      <c r="D1653" s="15">
        <f>IFERROR(__xludf.DUMMYFUNCTION("""COMPUTED_VALUE"""),1.004)</f>
        <v>1.004</v>
      </c>
      <c r="E1653" s="16">
        <f>IFERROR(__xludf.DUMMYFUNCTION("""COMPUTED_VALUE"""),73.0)</f>
        <v>73</v>
      </c>
      <c r="F1653" s="19" t="str">
        <f>IFERROR(__xludf.DUMMYFUNCTION("""COMPUTED_VALUE"""),"BLACK")</f>
        <v>BLACK</v>
      </c>
      <c r="G1653" s="20" t="str">
        <f>IFERROR(__xludf.DUMMYFUNCTION("""COMPUTED_VALUE"""),"Uncle Sams Cider (04/04/2023)")</f>
        <v>Uncle Sams Cider (04/04/2023)</v>
      </c>
      <c r="H1653" s="19"/>
    </row>
    <row r="1654">
      <c r="A1654" s="9"/>
      <c r="B1654" s="15"/>
      <c r="C1654" s="9">
        <f>IFERROR(__xludf.DUMMYFUNCTION("""COMPUTED_VALUE"""),45127.3003740393)</f>
        <v>45127.30037</v>
      </c>
      <c r="D1654" s="15">
        <f>IFERROR(__xludf.DUMMYFUNCTION("""COMPUTED_VALUE"""),1.004)</f>
        <v>1.004</v>
      </c>
      <c r="E1654" s="16">
        <f>IFERROR(__xludf.DUMMYFUNCTION("""COMPUTED_VALUE"""),73.0)</f>
        <v>73</v>
      </c>
      <c r="F1654" s="19" t="str">
        <f>IFERROR(__xludf.DUMMYFUNCTION("""COMPUTED_VALUE"""),"BLACK")</f>
        <v>BLACK</v>
      </c>
      <c r="G1654" s="20" t="str">
        <f>IFERROR(__xludf.DUMMYFUNCTION("""COMPUTED_VALUE"""),"Uncle Sams Cider (04/04/2023)")</f>
        <v>Uncle Sams Cider (04/04/2023)</v>
      </c>
      <c r="H1654" s="19"/>
    </row>
    <row r="1655">
      <c r="A1655" s="9"/>
      <c r="B1655" s="15"/>
      <c r="C1655" s="9">
        <f>IFERROR(__xludf.DUMMYFUNCTION("""COMPUTED_VALUE"""),45127.2899312268)</f>
        <v>45127.28993</v>
      </c>
      <c r="D1655" s="15">
        <f>IFERROR(__xludf.DUMMYFUNCTION("""COMPUTED_VALUE"""),1.003)</f>
        <v>1.003</v>
      </c>
      <c r="E1655" s="16">
        <f>IFERROR(__xludf.DUMMYFUNCTION("""COMPUTED_VALUE"""),73.0)</f>
        <v>73</v>
      </c>
      <c r="F1655" s="19" t="str">
        <f>IFERROR(__xludf.DUMMYFUNCTION("""COMPUTED_VALUE"""),"BLACK")</f>
        <v>BLACK</v>
      </c>
      <c r="G1655" s="20" t="str">
        <f>IFERROR(__xludf.DUMMYFUNCTION("""COMPUTED_VALUE"""),"Uncle Sams Cider (04/04/2023)")</f>
        <v>Uncle Sams Cider (04/04/2023)</v>
      </c>
      <c r="H1655" s="19"/>
    </row>
    <row r="1656">
      <c r="A1656" s="9"/>
      <c r="B1656" s="15"/>
      <c r="C1656" s="9">
        <f>IFERROR(__xludf.DUMMYFUNCTION("""COMPUTED_VALUE"""),45127.2794991203)</f>
        <v>45127.2795</v>
      </c>
      <c r="D1656" s="15">
        <f>IFERROR(__xludf.DUMMYFUNCTION("""COMPUTED_VALUE"""),1.003)</f>
        <v>1.003</v>
      </c>
      <c r="E1656" s="16">
        <f>IFERROR(__xludf.DUMMYFUNCTION("""COMPUTED_VALUE"""),72.0)</f>
        <v>72</v>
      </c>
      <c r="F1656" s="19" t="str">
        <f>IFERROR(__xludf.DUMMYFUNCTION("""COMPUTED_VALUE"""),"BLACK")</f>
        <v>BLACK</v>
      </c>
      <c r="G1656" s="20" t="str">
        <f>IFERROR(__xludf.DUMMYFUNCTION("""COMPUTED_VALUE"""),"Uncle Sams Cider (04/04/2023)")</f>
        <v>Uncle Sams Cider (04/04/2023)</v>
      </c>
      <c r="H1656" s="19"/>
    </row>
    <row r="1657">
      <c r="A1657" s="9"/>
      <c r="B1657" s="15"/>
      <c r="C1657" s="9">
        <f>IFERROR(__xludf.DUMMYFUNCTION("""COMPUTED_VALUE"""),45127.2690670717)</f>
        <v>45127.26907</v>
      </c>
      <c r="D1657" s="15">
        <f>IFERROR(__xludf.DUMMYFUNCTION("""COMPUTED_VALUE"""),1.003)</f>
        <v>1.003</v>
      </c>
      <c r="E1657" s="16">
        <f>IFERROR(__xludf.DUMMYFUNCTION("""COMPUTED_VALUE"""),73.0)</f>
        <v>73</v>
      </c>
      <c r="F1657" s="19" t="str">
        <f>IFERROR(__xludf.DUMMYFUNCTION("""COMPUTED_VALUE"""),"BLACK")</f>
        <v>BLACK</v>
      </c>
      <c r="G1657" s="20" t="str">
        <f>IFERROR(__xludf.DUMMYFUNCTION("""COMPUTED_VALUE"""),"Uncle Sams Cider (04/04/2023)")</f>
        <v>Uncle Sams Cider (04/04/2023)</v>
      </c>
      <c r="H1657" s="19"/>
    </row>
    <row r="1658">
      <c r="A1658" s="9"/>
      <c r="B1658" s="15"/>
      <c r="C1658" s="9">
        <f>IFERROR(__xludf.DUMMYFUNCTION("""COMPUTED_VALUE"""),45127.2586341898)</f>
        <v>45127.25863</v>
      </c>
      <c r="D1658" s="15">
        <f>IFERROR(__xludf.DUMMYFUNCTION("""COMPUTED_VALUE"""),1.004)</f>
        <v>1.004</v>
      </c>
      <c r="E1658" s="16">
        <f>IFERROR(__xludf.DUMMYFUNCTION("""COMPUTED_VALUE"""),73.0)</f>
        <v>73</v>
      </c>
      <c r="F1658" s="19" t="str">
        <f>IFERROR(__xludf.DUMMYFUNCTION("""COMPUTED_VALUE"""),"BLACK")</f>
        <v>BLACK</v>
      </c>
      <c r="G1658" s="20" t="str">
        <f>IFERROR(__xludf.DUMMYFUNCTION("""COMPUTED_VALUE"""),"Uncle Sams Cider (04/04/2023)")</f>
        <v>Uncle Sams Cider (04/04/2023)</v>
      </c>
      <c r="H1658" s="19"/>
    </row>
    <row r="1659">
      <c r="A1659" s="9"/>
      <c r="B1659" s="15"/>
      <c r="C1659" s="9">
        <f>IFERROR(__xludf.DUMMYFUNCTION("""COMPUTED_VALUE"""),45127.2482121527)</f>
        <v>45127.24821</v>
      </c>
      <c r="D1659" s="15">
        <f>IFERROR(__xludf.DUMMYFUNCTION("""COMPUTED_VALUE"""),1.003)</f>
        <v>1.003</v>
      </c>
      <c r="E1659" s="16">
        <f>IFERROR(__xludf.DUMMYFUNCTION("""COMPUTED_VALUE"""),72.0)</f>
        <v>72</v>
      </c>
      <c r="F1659" s="19" t="str">
        <f>IFERROR(__xludf.DUMMYFUNCTION("""COMPUTED_VALUE"""),"BLACK")</f>
        <v>BLACK</v>
      </c>
      <c r="G1659" s="20" t="str">
        <f>IFERROR(__xludf.DUMMYFUNCTION("""COMPUTED_VALUE"""),"Uncle Sams Cider (04/04/2023)")</f>
        <v>Uncle Sams Cider (04/04/2023)</v>
      </c>
      <c r="H1659" s="19"/>
    </row>
    <row r="1660">
      <c r="A1660" s="9"/>
      <c r="B1660" s="15"/>
      <c r="C1660" s="9">
        <f>IFERROR(__xludf.DUMMYFUNCTION("""COMPUTED_VALUE"""),45127.2377797338)</f>
        <v>45127.23778</v>
      </c>
      <c r="D1660" s="15">
        <f>IFERROR(__xludf.DUMMYFUNCTION("""COMPUTED_VALUE"""),1.003)</f>
        <v>1.003</v>
      </c>
      <c r="E1660" s="16">
        <f>IFERROR(__xludf.DUMMYFUNCTION("""COMPUTED_VALUE"""),72.0)</f>
        <v>72</v>
      </c>
      <c r="F1660" s="19" t="str">
        <f>IFERROR(__xludf.DUMMYFUNCTION("""COMPUTED_VALUE"""),"BLACK")</f>
        <v>BLACK</v>
      </c>
      <c r="G1660" s="20" t="str">
        <f>IFERROR(__xludf.DUMMYFUNCTION("""COMPUTED_VALUE"""),"Uncle Sams Cider (04/04/2023)")</f>
        <v>Uncle Sams Cider (04/04/2023)</v>
      </c>
      <c r="H1660" s="19"/>
    </row>
    <row r="1661">
      <c r="A1661" s="9"/>
      <c r="B1661" s="15"/>
      <c r="C1661" s="9">
        <f>IFERROR(__xludf.DUMMYFUNCTION("""COMPUTED_VALUE"""),45127.2273585763)</f>
        <v>45127.22736</v>
      </c>
      <c r="D1661" s="15">
        <f>IFERROR(__xludf.DUMMYFUNCTION("""COMPUTED_VALUE"""),1.003)</f>
        <v>1.003</v>
      </c>
      <c r="E1661" s="16">
        <f>IFERROR(__xludf.DUMMYFUNCTION("""COMPUTED_VALUE"""),72.0)</f>
        <v>72</v>
      </c>
      <c r="F1661" s="19" t="str">
        <f>IFERROR(__xludf.DUMMYFUNCTION("""COMPUTED_VALUE"""),"BLACK")</f>
        <v>BLACK</v>
      </c>
      <c r="G1661" s="20" t="str">
        <f>IFERROR(__xludf.DUMMYFUNCTION("""COMPUTED_VALUE"""),"Uncle Sams Cider (04/04/2023)")</f>
        <v>Uncle Sams Cider (04/04/2023)</v>
      </c>
      <c r="H1661" s="19"/>
    </row>
    <row r="1662">
      <c r="A1662" s="9"/>
      <c r="B1662" s="15"/>
      <c r="C1662" s="9">
        <f>IFERROR(__xludf.DUMMYFUNCTION("""COMPUTED_VALUE"""),45127.2169358912)</f>
        <v>45127.21694</v>
      </c>
      <c r="D1662" s="15">
        <f>IFERROR(__xludf.DUMMYFUNCTION("""COMPUTED_VALUE"""),1.003)</f>
        <v>1.003</v>
      </c>
      <c r="E1662" s="16">
        <f>IFERROR(__xludf.DUMMYFUNCTION("""COMPUTED_VALUE"""),72.0)</f>
        <v>72</v>
      </c>
      <c r="F1662" s="19" t="str">
        <f>IFERROR(__xludf.DUMMYFUNCTION("""COMPUTED_VALUE"""),"BLACK")</f>
        <v>BLACK</v>
      </c>
      <c r="G1662" s="20" t="str">
        <f>IFERROR(__xludf.DUMMYFUNCTION("""COMPUTED_VALUE"""),"Uncle Sams Cider (04/04/2023)")</f>
        <v>Uncle Sams Cider (04/04/2023)</v>
      </c>
      <c r="H1662" s="19"/>
    </row>
    <row r="1663">
      <c r="A1663" s="9"/>
      <c r="B1663" s="15"/>
      <c r="C1663" s="9">
        <f>IFERROR(__xludf.DUMMYFUNCTION("""COMPUTED_VALUE"""),45127.2065160763)</f>
        <v>45127.20652</v>
      </c>
      <c r="D1663" s="15">
        <f>IFERROR(__xludf.DUMMYFUNCTION("""COMPUTED_VALUE"""),1.003)</f>
        <v>1.003</v>
      </c>
      <c r="E1663" s="16">
        <f>IFERROR(__xludf.DUMMYFUNCTION("""COMPUTED_VALUE"""),73.0)</f>
        <v>73</v>
      </c>
      <c r="F1663" s="19" t="str">
        <f>IFERROR(__xludf.DUMMYFUNCTION("""COMPUTED_VALUE"""),"BLACK")</f>
        <v>BLACK</v>
      </c>
      <c r="G1663" s="20" t="str">
        <f>IFERROR(__xludf.DUMMYFUNCTION("""COMPUTED_VALUE"""),"Uncle Sams Cider (04/04/2023)")</f>
        <v>Uncle Sams Cider (04/04/2023)</v>
      </c>
      <c r="H1663" s="19"/>
    </row>
    <row r="1664">
      <c r="A1664" s="9"/>
      <c r="B1664" s="15"/>
      <c r="C1664" s="9">
        <f>IFERROR(__xludf.DUMMYFUNCTION("""COMPUTED_VALUE"""),45127.1960953703)</f>
        <v>45127.1961</v>
      </c>
      <c r="D1664" s="15">
        <f>IFERROR(__xludf.DUMMYFUNCTION("""COMPUTED_VALUE"""),1.003)</f>
        <v>1.003</v>
      </c>
      <c r="E1664" s="16">
        <f>IFERROR(__xludf.DUMMYFUNCTION("""COMPUTED_VALUE"""),73.0)</f>
        <v>73</v>
      </c>
      <c r="F1664" s="19" t="str">
        <f>IFERROR(__xludf.DUMMYFUNCTION("""COMPUTED_VALUE"""),"BLACK")</f>
        <v>BLACK</v>
      </c>
      <c r="G1664" s="20" t="str">
        <f>IFERROR(__xludf.DUMMYFUNCTION("""COMPUTED_VALUE"""),"Uncle Sams Cider (04/04/2023)")</f>
        <v>Uncle Sams Cider (04/04/2023)</v>
      </c>
      <c r="H1664" s="19"/>
    </row>
    <row r="1665">
      <c r="A1665" s="9"/>
      <c r="B1665" s="15"/>
      <c r="C1665" s="9">
        <f>IFERROR(__xludf.DUMMYFUNCTION("""COMPUTED_VALUE"""),45127.1856731944)</f>
        <v>45127.18567</v>
      </c>
      <c r="D1665" s="15">
        <f>IFERROR(__xludf.DUMMYFUNCTION("""COMPUTED_VALUE"""),1.003)</f>
        <v>1.003</v>
      </c>
      <c r="E1665" s="16">
        <f>IFERROR(__xludf.DUMMYFUNCTION("""COMPUTED_VALUE"""),72.0)</f>
        <v>72</v>
      </c>
      <c r="F1665" s="19" t="str">
        <f>IFERROR(__xludf.DUMMYFUNCTION("""COMPUTED_VALUE"""),"BLACK")</f>
        <v>BLACK</v>
      </c>
      <c r="G1665" s="20" t="str">
        <f>IFERROR(__xludf.DUMMYFUNCTION("""COMPUTED_VALUE"""),"Uncle Sams Cider (04/04/2023)")</f>
        <v>Uncle Sams Cider (04/04/2023)</v>
      </c>
      <c r="H1665" s="19"/>
    </row>
    <row r="1666">
      <c r="A1666" s="9"/>
      <c r="B1666" s="15"/>
      <c r="C1666" s="9">
        <f>IFERROR(__xludf.DUMMYFUNCTION("""COMPUTED_VALUE"""),45127.175241331)</f>
        <v>45127.17524</v>
      </c>
      <c r="D1666" s="15">
        <f>IFERROR(__xludf.DUMMYFUNCTION("""COMPUTED_VALUE"""),1.004)</f>
        <v>1.004</v>
      </c>
      <c r="E1666" s="16">
        <f>IFERROR(__xludf.DUMMYFUNCTION("""COMPUTED_VALUE"""),73.0)</f>
        <v>73</v>
      </c>
      <c r="F1666" s="19" t="str">
        <f>IFERROR(__xludf.DUMMYFUNCTION("""COMPUTED_VALUE"""),"BLACK")</f>
        <v>BLACK</v>
      </c>
      <c r="G1666" s="20" t="str">
        <f>IFERROR(__xludf.DUMMYFUNCTION("""COMPUTED_VALUE"""),"Uncle Sams Cider (04/04/2023)")</f>
        <v>Uncle Sams Cider (04/04/2023)</v>
      </c>
      <c r="H1666" s="19"/>
    </row>
    <row r="1667">
      <c r="A1667" s="9"/>
      <c r="B1667" s="15"/>
      <c r="C1667" s="9">
        <f>IFERROR(__xludf.DUMMYFUNCTION("""COMPUTED_VALUE"""),45127.1648189699)</f>
        <v>45127.16482</v>
      </c>
      <c r="D1667" s="15">
        <f>IFERROR(__xludf.DUMMYFUNCTION("""COMPUTED_VALUE"""),1.003)</f>
        <v>1.003</v>
      </c>
      <c r="E1667" s="16">
        <f>IFERROR(__xludf.DUMMYFUNCTION("""COMPUTED_VALUE"""),72.0)</f>
        <v>72</v>
      </c>
      <c r="F1667" s="19" t="str">
        <f>IFERROR(__xludf.DUMMYFUNCTION("""COMPUTED_VALUE"""),"BLACK")</f>
        <v>BLACK</v>
      </c>
      <c r="G1667" s="20" t="str">
        <f>IFERROR(__xludf.DUMMYFUNCTION("""COMPUTED_VALUE"""),"Uncle Sams Cider (04/04/2023)")</f>
        <v>Uncle Sams Cider (04/04/2023)</v>
      </c>
      <c r="H1667" s="19"/>
    </row>
    <row r="1668">
      <c r="A1668" s="9"/>
      <c r="B1668" s="15"/>
      <c r="C1668" s="9">
        <f>IFERROR(__xludf.DUMMYFUNCTION("""COMPUTED_VALUE"""),45127.1543984722)</f>
        <v>45127.1544</v>
      </c>
      <c r="D1668" s="15">
        <f>IFERROR(__xludf.DUMMYFUNCTION("""COMPUTED_VALUE"""),1.003)</f>
        <v>1.003</v>
      </c>
      <c r="E1668" s="16">
        <f>IFERROR(__xludf.DUMMYFUNCTION("""COMPUTED_VALUE"""),72.0)</f>
        <v>72</v>
      </c>
      <c r="F1668" s="19" t="str">
        <f>IFERROR(__xludf.DUMMYFUNCTION("""COMPUTED_VALUE"""),"BLACK")</f>
        <v>BLACK</v>
      </c>
      <c r="G1668" s="20" t="str">
        <f>IFERROR(__xludf.DUMMYFUNCTION("""COMPUTED_VALUE"""),"Uncle Sams Cider (04/04/2023)")</f>
        <v>Uncle Sams Cider (04/04/2023)</v>
      </c>
      <c r="H1668" s="19"/>
    </row>
    <row r="1669">
      <c r="A1669" s="9"/>
      <c r="B1669" s="15"/>
      <c r="C1669" s="9">
        <f>IFERROR(__xludf.DUMMYFUNCTION("""COMPUTED_VALUE"""),45127.1439755092)</f>
        <v>45127.14398</v>
      </c>
      <c r="D1669" s="15">
        <f>IFERROR(__xludf.DUMMYFUNCTION("""COMPUTED_VALUE"""),1.003)</f>
        <v>1.003</v>
      </c>
      <c r="E1669" s="16">
        <f>IFERROR(__xludf.DUMMYFUNCTION("""COMPUTED_VALUE"""),72.0)</f>
        <v>72</v>
      </c>
      <c r="F1669" s="19" t="str">
        <f>IFERROR(__xludf.DUMMYFUNCTION("""COMPUTED_VALUE"""),"BLACK")</f>
        <v>BLACK</v>
      </c>
      <c r="G1669" s="20" t="str">
        <f>IFERROR(__xludf.DUMMYFUNCTION("""COMPUTED_VALUE"""),"Uncle Sams Cider (04/04/2023)")</f>
        <v>Uncle Sams Cider (04/04/2023)</v>
      </c>
      <c r="H1669" s="19"/>
    </row>
    <row r="1670">
      <c r="A1670" s="9"/>
      <c r="B1670" s="15"/>
      <c r="C1670" s="9">
        <f>IFERROR(__xludf.DUMMYFUNCTION("""COMPUTED_VALUE"""),45127.1335541666)</f>
        <v>45127.13355</v>
      </c>
      <c r="D1670" s="15">
        <f>IFERROR(__xludf.DUMMYFUNCTION("""COMPUTED_VALUE"""),1.003)</f>
        <v>1.003</v>
      </c>
      <c r="E1670" s="16">
        <f>IFERROR(__xludf.DUMMYFUNCTION("""COMPUTED_VALUE"""),73.0)</f>
        <v>73</v>
      </c>
      <c r="F1670" s="19" t="str">
        <f>IFERROR(__xludf.DUMMYFUNCTION("""COMPUTED_VALUE"""),"BLACK")</f>
        <v>BLACK</v>
      </c>
      <c r="G1670" s="20" t="str">
        <f>IFERROR(__xludf.DUMMYFUNCTION("""COMPUTED_VALUE"""),"Uncle Sams Cider (04/04/2023)")</f>
        <v>Uncle Sams Cider (04/04/2023)</v>
      </c>
      <c r="H1670" s="19"/>
    </row>
    <row r="1671">
      <c r="A1671" s="9"/>
      <c r="B1671" s="15"/>
      <c r="C1671" s="9">
        <f>IFERROR(__xludf.DUMMYFUNCTION("""COMPUTED_VALUE"""),45127.1231323148)</f>
        <v>45127.12313</v>
      </c>
      <c r="D1671" s="15">
        <f>IFERROR(__xludf.DUMMYFUNCTION("""COMPUTED_VALUE"""),1.003)</f>
        <v>1.003</v>
      </c>
      <c r="E1671" s="16">
        <f>IFERROR(__xludf.DUMMYFUNCTION("""COMPUTED_VALUE"""),72.0)</f>
        <v>72</v>
      </c>
      <c r="F1671" s="19" t="str">
        <f>IFERROR(__xludf.DUMMYFUNCTION("""COMPUTED_VALUE"""),"BLACK")</f>
        <v>BLACK</v>
      </c>
      <c r="G1671" s="20" t="str">
        <f>IFERROR(__xludf.DUMMYFUNCTION("""COMPUTED_VALUE"""),"Uncle Sams Cider (04/04/2023)")</f>
        <v>Uncle Sams Cider (04/04/2023)</v>
      </c>
      <c r="H1671" s="19"/>
    </row>
    <row r="1672">
      <c r="A1672" s="9"/>
      <c r="B1672" s="15"/>
      <c r="C1672" s="9">
        <f>IFERROR(__xludf.DUMMYFUNCTION("""COMPUTED_VALUE"""),45127.1127111342)</f>
        <v>45127.11271</v>
      </c>
      <c r="D1672" s="15">
        <f>IFERROR(__xludf.DUMMYFUNCTION("""COMPUTED_VALUE"""),1.003)</f>
        <v>1.003</v>
      </c>
      <c r="E1672" s="16">
        <f>IFERROR(__xludf.DUMMYFUNCTION("""COMPUTED_VALUE"""),72.0)</f>
        <v>72</v>
      </c>
      <c r="F1672" s="19" t="str">
        <f>IFERROR(__xludf.DUMMYFUNCTION("""COMPUTED_VALUE"""),"BLACK")</f>
        <v>BLACK</v>
      </c>
      <c r="G1672" s="20" t="str">
        <f>IFERROR(__xludf.DUMMYFUNCTION("""COMPUTED_VALUE"""),"Uncle Sams Cider (04/04/2023)")</f>
        <v>Uncle Sams Cider (04/04/2023)</v>
      </c>
      <c r="H1672" s="19"/>
    </row>
    <row r="1673">
      <c r="A1673" s="9"/>
      <c r="B1673" s="15"/>
      <c r="C1673" s="9">
        <f>IFERROR(__xludf.DUMMYFUNCTION("""COMPUTED_VALUE"""),45127.1022908564)</f>
        <v>45127.10229</v>
      </c>
      <c r="D1673" s="15">
        <f>IFERROR(__xludf.DUMMYFUNCTION("""COMPUTED_VALUE"""),1.003)</f>
        <v>1.003</v>
      </c>
      <c r="E1673" s="16">
        <f>IFERROR(__xludf.DUMMYFUNCTION("""COMPUTED_VALUE"""),72.0)</f>
        <v>72</v>
      </c>
      <c r="F1673" s="19" t="str">
        <f>IFERROR(__xludf.DUMMYFUNCTION("""COMPUTED_VALUE"""),"BLACK")</f>
        <v>BLACK</v>
      </c>
      <c r="G1673" s="20" t="str">
        <f>IFERROR(__xludf.DUMMYFUNCTION("""COMPUTED_VALUE"""),"Uncle Sams Cider (04/04/2023)")</f>
        <v>Uncle Sams Cider (04/04/2023)</v>
      </c>
      <c r="H1673" s="19"/>
    </row>
    <row r="1674">
      <c r="A1674" s="9"/>
      <c r="B1674" s="15"/>
      <c r="C1674" s="9">
        <f>IFERROR(__xludf.DUMMYFUNCTION("""COMPUTED_VALUE"""),45127.0918696527)</f>
        <v>45127.09187</v>
      </c>
      <c r="D1674" s="15">
        <f>IFERROR(__xludf.DUMMYFUNCTION("""COMPUTED_VALUE"""),1.003)</f>
        <v>1.003</v>
      </c>
      <c r="E1674" s="16">
        <f>IFERROR(__xludf.DUMMYFUNCTION("""COMPUTED_VALUE"""),72.0)</f>
        <v>72</v>
      </c>
      <c r="F1674" s="19" t="str">
        <f>IFERROR(__xludf.DUMMYFUNCTION("""COMPUTED_VALUE"""),"BLACK")</f>
        <v>BLACK</v>
      </c>
      <c r="G1674" s="20" t="str">
        <f>IFERROR(__xludf.DUMMYFUNCTION("""COMPUTED_VALUE"""),"Uncle Sams Cider (04/04/2023)")</f>
        <v>Uncle Sams Cider (04/04/2023)</v>
      </c>
      <c r="H1674" s="19"/>
    </row>
    <row r="1675">
      <c r="A1675" s="9"/>
      <c r="B1675" s="15"/>
      <c r="C1675" s="9">
        <f>IFERROR(__xludf.DUMMYFUNCTION("""COMPUTED_VALUE"""),45127.0814477083)</f>
        <v>45127.08145</v>
      </c>
      <c r="D1675" s="15">
        <f>IFERROR(__xludf.DUMMYFUNCTION("""COMPUTED_VALUE"""),1.003)</f>
        <v>1.003</v>
      </c>
      <c r="E1675" s="16">
        <f>IFERROR(__xludf.DUMMYFUNCTION("""COMPUTED_VALUE"""),72.0)</f>
        <v>72</v>
      </c>
      <c r="F1675" s="19" t="str">
        <f>IFERROR(__xludf.DUMMYFUNCTION("""COMPUTED_VALUE"""),"BLACK")</f>
        <v>BLACK</v>
      </c>
      <c r="G1675" s="20" t="str">
        <f>IFERROR(__xludf.DUMMYFUNCTION("""COMPUTED_VALUE"""),"Uncle Sams Cider (04/04/2023)")</f>
        <v>Uncle Sams Cider (04/04/2023)</v>
      </c>
      <c r="H1675" s="19"/>
    </row>
    <row r="1676">
      <c r="A1676" s="9"/>
      <c r="B1676" s="15"/>
      <c r="C1676" s="9">
        <f>IFERROR(__xludf.DUMMYFUNCTION("""COMPUTED_VALUE"""),45127.0710266666)</f>
        <v>45127.07103</v>
      </c>
      <c r="D1676" s="15">
        <f>IFERROR(__xludf.DUMMYFUNCTION("""COMPUTED_VALUE"""),1.003)</f>
        <v>1.003</v>
      </c>
      <c r="E1676" s="16">
        <f>IFERROR(__xludf.DUMMYFUNCTION("""COMPUTED_VALUE"""),72.0)</f>
        <v>72</v>
      </c>
      <c r="F1676" s="19" t="str">
        <f>IFERROR(__xludf.DUMMYFUNCTION("""COMPUTED_VALUE"""),"BLACK")</f>
        <v>BLACK</v>
      </c>
      <c r="G1676" s="20" t="str">
        <f>IFERROR(__xludf.DUMMYFUNCTION("""COMPUTED_VALUE"""),"Uncle Sams Cider (04/04/2023)")</f>
        <v>Uncle Sams Cider (04/04/2023)</v>
      </c>
      <c r="H1676" s="19"/>
    </row>
    <row r="1677">
      <c r="A1677" s="9"/>
      <c r="B1677" s="15"/>
      <c r="C1677" s="9">
        <f>IFERROR(__xludf.DUMMYFUNCTION("""COMPUTED_VALUE"""),45127.0606039467)</f>
        <v>45127.0606</v>
      </c>
      <c r="D1677" s="15">
        <f>IFERROR(__xludf.DUMMYFUNCTION("""COMPUTED_VALUE"""),1.003)</f>
        <v>1.003</v>
      </c>
      <c r="E1677" s="16">
        <f>IFERROR(__xludf.DUMMYFUNCTION("""COMPUTED_VALUE"""),73.0)</f>
        <v>73</v>
      </c>
      <c r="F1677" s="19" t="str">
        <f>IFERROR(__xludf.DUMMYFUNCTION("""COMPUTED_VALUE"""),"BLACK")</f>
        <v>BLACK</v>
      </c>
      <c r="G1677" s="20" t="str">
        <f>IFERROR(__xludf.DUMMYFUNCTION("""COMPUTED_VALUE"""),"Uncle Sams Cider (04/04/2023)")</f>
        <v>Uncle Sams Cider (04/04/2023)</v>
      </c>
      <c r="H1677" s="19"/>
    </row>
    <row r="1678">
      <c r="A1678" s="9"/>
      <c r="B1678" s="15"/>
      <c r="C1678" s="9">
        <f>IFERROR(__xludf.DUMMYFUNCTION("""COMPUTED_VALUE"""),45127.0501826736)</f>
        <v>45127.05018</v>
      </c>
      <c r="D1678" s="15">
        <f>IFERROR(__xludf.DUMMYFUNCTION("""COMPUTED_VALUE"""),1.003)</f>
        <v>1.003</v>
      </c>
      <c r="E1678" s="16">
        <f>IFERROR(__xludf.DUMMYFUNCTION("""COMPUTED_VALUE"""),72.0)</f>
        <v>72</v>
      </c>
      <c r="F1678" s="19" t="str">
        <f>IFERROR(__xludf.DUMMYFUNCTION("""COMPUTED_VALUE"""),"BLACK")</f>
        <v>BLACK</v>
      </c>
      <c r="G1678" s="20" t="str">
        <f>IFERROR(__xludf.DUMMYFUNCTION("""COMPUTED_VALUE"""),"Uncle Sams Cider (04/04/2023)")</f>
        <v>Uncle Sams Cider (04/04/2023)</v>
      </c>
      <c r="H1678" s="19"/>
    </row>
    <row r="1679">
      <c r="A1679" s="9"/>
      <c r="B1679" s="15"/>
      <c r="C1679" s="9">
        <f>IFERROR(__xludf.DUMMYFUNCTION("""COMPUTED_VALUE"""),45127.0397611689)</f>
        <v>45127.03976</v>
      </c>
      <c r="D1679" s="15">
        <f>IFERROR(__xludf.DUMMYFUNCTION("""COMPUTED_VALUE"""),1.003)</f>
        <v>1.003</v>
      </c>
      <c r="E1679" s="16">
        <f>IFERROR(__xludf.DUMMYFUNCTION("""COMPUTED_VALUE"""),72.0)</f>
        <v>72</v>
      </c>
      <c r="F1679" s="19" t="str">
        <f>IFERROR(__xludf.DUMMYFUNCTION("""COMPUTED_VALUE"""),"BLACK")</f>
        <v>BLACK</v>
      </c>
      <c r="G1679" s="20" t="str">
        <f>IFERROR(__xludf.DUMMYFUNCTION("""COMPUTED_VALUE"""),"Uncle Sams Cider (04/04/2023)")</f>
        <v>Uncle Sams Cider (04/04/2023)</v>
      </c>
      <c r="H1679" s="19"/>
    </row>
    <row r="1680">
      <c r="A1680" s="9"/>
      <c r="B1680" s="15"/>
      <c r="C1680" s="9">
        <f>IFERROR(__xludf.DUMMYFUNCTION("""COMPUTED_VALUE"""),45127.0293268634)</f>
        <v>45127.02933</v>
      </c>
      <c r="D1680" s="15">
        <f>IFERROR(__xludf.DUMMYFUNCTION("""COMPUTED_VALUE"""),1.004)</f>
        <v>1.004</v>
      </c>
      <c r="E1680" s="16">
        <f>IFERROR(__xludf.DUMMYFUNCTION("""COMPUTED_VALUE"""),72.0)</f>
        <v>72</v>
      </c>
      <c r="F1680" s="19" t="str">
        <f>IFERROR(__xludf.DUMMYFUNCTION("""COMPUTED_VALUE"""),"BLACK")</f>
        <v>BLACK</v>
      </c>
      <c r="G1680" s="20" t="str">
        <f>IFERROR(__xludf.DUMMYFUNCTION("""COMPUTED_VALUE"""),"Uncle Sams Cider (04/04/2023)")</f>
        <v>Uncle Sams Cider (04/04/2023)</v>
      </c>
      <c r="H1680" s="19"/>
    </row>
    <row r="1681">
      <c r="A1681" s="9"/>
      <c r="B1681" s="15"/>
      <c r="C1681" s="9">
        <f>IFERROR(__xludf.DUMMYFUNCTION("""COMPUTED_VALUE"""),45127.0188489236)</f>
        <v>45127.01885</v>
      </c>
      <c r="D1681" s="15">
        <f>IFERROR(__xludf.DUMMYFUNCTION("""COMPUTED_VALUE"""),1.003)</f>
        <v>1.003</v>
      </c>
      <c r="E1681" s="16">
        <f>IFERROR(__xludf.DUMMYFUNCTION("""COMPUTED_VALUE"""),72.0)</f>
        <v>72</v>
      </c>
      <c r="F1681" s="19" t="str">
        <f>IFERROR(__xludf.DUMMYFUNCTION("""COMPUTED_VALUE"""),"BLACK")</f>
        <v>BLACK</v>
      </c>
      <c r="G1681" s="20" t="str">
        <f>IFERROR(__xludf.DUMMYFUNCTION("""COMPUTED_VALUE"""),"Uncle Sams Cider (04/04/2023)")</f>
        <v>Uncle Sams Cider (04/04/2023)</v>
      </c>
      <c r="H1681" s="19"/>
    </row>
    <row r="1682">
      <c r="A1682" s="9"/>
      <c r="B1682" s="15"/>
      <c r="C1682" s="9">
        <f>IFERROR(__xludf.DUMMYFUNCTION("""COMPUTED_VALUE"""),45127.0084287963)</f>
        <v>45127.00843</v>
      </c>
      <c r="D1682" s="15">
        <f>IFERROR(__xludf.DUMMYFUNCTION("""COMPUTED_VALUE"""),1.003)</f>
        <v>1.003</v>
      </c>
      <c r="E1682" s="16">
        <f>IFERROR(__xludf.DUMMYFUNCTION("""COMPUTED_VALUE"""),72.0)</f>
        <v>72</v>
      </c>
      <c r="F1682" s="19" t="str">
        <f>IFERROR(__xludf.DUMMYFUNCTION("""COMPUTED_VALUE"""),"BLACK")</f>
        <v>BLACK</v>
      </c>
      <c r="G1682" s="20" t="str">
        <f>IFERROR(__xludf.DUMMYFUNCTION("""COMPUTED_VALUE"""),"Uncle Sams Cider (04/04/2023)")</f>
        <v>Uncle Sams Cider (04/04/2023)</v>
      </c>
      <c r="H1682" s="19"/>
    </row>
    <row r="1683">
      <c r="A1683" s="9"/>
      <c r="B1683" s="15"/>
      <c r="C1683" s="9">
        <f>IFERROR(__xludf.DUMMYFUNCTION("""COMPUTED_VALUE"""),45126.9980073726)</f>
        <v>45126.99801</v>
      </c>
      <c r="D1683" s="15">
        <f>IFERROR(__xludf.DUMMYFUNCTION("""COMPUTED_VALUE"""),1.003)</f>
        <v>1.003</v>
      </c>
      <c r="E1683" s="16">
        <f>IFERROR(__xludf.DUMMYFUNCTION("""COMPUTED_VALUE"""),72.0)</f>
        <v>72</v>
      </c>
      <c r="F1683" s="19" t="str">
        <f>IFERROR(__xludf.DUMMYFUNCTION("""COMPUTED_VALUE"""),"BLACK")</f>
        <v>BLACK</v>
      </c>
      <c r="G1683" s="20" t="str">
        <f>IFERROR(__xludf.DUMMYFUNCTION("""COMPUTED_VALUE"""),"Uncle Sams Cider (04/04/2023)")</f>
        <v>Uncle Sams Cider (04/04/2023)</v>
      </c>
      <c r="H1683" s="19"/>
    </row>
    <row r="1684">
      <c r="A1684" s="9"/>
      <c r="B1684" s="15"/>
      <c r="C1684" s="9">
        <f>IFERROR(__xludf.DUMMYFUNCTION("""COMPUTED_VALUE"""),45126.9875875578)</f>
        <v>45126.98759</v>
      </c>
      <c r="D1684" s="15">
        <f>IFERROR(__xludf.DUMMYFUNCTION("""COMPUTED_VALUE"""),1.003)</f>
        <v>1.003</v>
      </c>
      <c r="E1684" s="16">
        <f>IFERROR(__xludf.DUMMYFUNCTION("""COMPUTED_VALUE"""),72.0)</f>
        <v>72</v>
      </c>
      <c r="F1684" s="19" t="str">
        <f>IFERROR(__xludf.DUMMYFUNCTION("""COMPUTED_VALUE"""),"BLACK")</f>
        <v>BLACK</v>
      </c>
      <c r="G1684" s="20" t="str">
        <f>IFERROR(__xludf.DUMMYFUNCTION("""COMPUTED_VALUE"""),"Uncle Sams Cider (04/04/2023)")</f>
        <v>Uncle Sams Cider (04/04/2023)</v>
      </c>
      <c r="H1684" s="19"/>
    </row>
    <row r="1685">
      <c r="A1685" s="9"/>
      <c r="B1685" s="15"/>
      <c r="C1685" s="9">
        <f>IFERROR(__xludf.DUMMYFUNCTION("""COMPUTED_VALUE"""),45126.9771555439)</f>
        <v>45126.97716</v>
      </c>
      <c r="D1685" s="15">
        <f>IFERROR(__xludf.DUMMYFUNCTION("""COMPUTED_VALUE"""),1.003)</f>
        <v>1.003</v>
      </c>
      <c r="E1685" s="16">
        <f>IFERROR(__xludf.DUMMYFUNCTION("""COMPUTED_VALUE"""),72.0)</f>
        <v>72</v>
      </c>
      <c r="F1685" s="19" t="str">
        <f>IFERROR(__xludf.DUMMYFUNCTION("""COMPUTED_VALUE"""),"BLACK")</f>
        <v>BLACK</v>
      </c>
      <c r="G1685" s="20" t="str">
        <f>IFERROR(__xludf.DUMMYFUNCTION("""COMPUTED_VALUE"""),"Uncle Sams Cider (04/04/2023)")</f>
        <v>Uncle Sams Cider (04/04/2023)</v>
      </c>
      <c r="H1685" s="19"/>
    </row>
    <row r="1686">
      <c r="A1686" s="9"/>
      <c r="B1686" s="15"/>
      <c r="C1686" s="9">
        <f>IFERROR(__xludf.DUMMYFUNCTION("""COMPUTED_VALUE"""),45126.9667361226)</f>
        <v>45126.96674</v>
      </c>
      <c r="D1686" s="15">
        <f>IFERROR(__xludf.DUMMYFUNCTION("""COMPUTED_VALUE"""),1.003)</f>
        <v>1.003</v>
      </c>
      <c r="E1686" s="16">
        <f>IFERROR(__xludf.DUMMYFUNCTION("""COMPUTED_VALUE"""),72.0)</f>
        <v>72</v>
      </c>
      <c r="F1686" s="19" t="str">
        <f>IFERROR(__xludf.DUMMYFUNCTION("""COMPUTED_VALUE"""),"BLACK")</f>
        <v>BLACK</v>
      </c>
      <c r="G1686" s="20" t="str">
        <f>IFERROR(__xludf.DUMMYFUNCTION("""COMPUTED_VALUE"""),"Uncle Sams Cider (04/04/2023)")</f>
        <v>Uncle Sams Cider (04/04/2023)</v>
      </c>
      <c r="H1686" s="19"/>
    </row>
    <row r="1687">
      <c r="A1687" s="9"/>
      <c r="B1687" s="15"/>
      <c r="C1687" s="9">
        <f>IFERROR(__xludf.DUMMYFUNCTION("""COMPUTED_VALUE"""),45126.9563137731)</f>
        <v>45126.95631</v>
      </c>
      <c r="D1687" s="15">
        <f>IFERROR(__xludf.DUMMYFUNCTION("""COMPUTED_VALUE"""),1.003)</f>
        <v>1.003</v>
      </c>
      <c r="E1687" s="16">
        <f>IFERROR(__xludf.DUMMYFUNCTION("""COMPUTED_VALUE"""),72.0)</f>
        <v>72</v>
      </c>
      <c r="F1687" s="19" t="str">
        <f>IFERROR(__xludf.DUMMYFUNCTION("""COMPUTED_VALUE"""),"BLACK")</f>
        <v>BLACK</v>
      </c>
      <c r="G1687" s="20" t="str">
        <f>IFERROR(__xludf.DUMMYFUNCTION("""COMPUTED_VALUE"""),"Uncle Sams Cider (04/04/2023)")</f>
        <v>Uncle Sams Cider (04/04/2023)</v>
      </c>
      <c r="H1687" s="19"/>
    </row>
    <row r="1688">
      <c r="A1688" s="9"/>
      <c r="B1688" s="15"/>
      <c r="C1688" s="9">
        <f>IFERROR(__xludf.DUMMYFUNCTION("""COMPUTED_VALUE"""),45126.9458920717)</f>
        <v>45126.94589</v>
      </c>
      <c r="D1688" s="15">
        <f>IFERROR(__xludf.DUMMYFUNCTION("""COMPUTED_VALUE"""),1.003)</f>
        <v>1.003</v>
      </c>
      <c r="E1688" s="16">
        <f>IFERROR(__xludf.DUMMYFUNCTION("""COMPUTED_VALUE"""),72.0)</f>
        <v>72</v>
      </c>
      <c r="F1688" s="19" t="str">
        <f>IFERROR(__xludf.DUMMYFUNCTION("""COMPUTED_VALUE"""),"BLACK")</f>
        <v>BLACK</v>
      </c>
      <c r="G1688" s="20" t="str">
        <f>IFERROR(__xludf.DUMMYFUNCTION("""COMPUTED_VALUE"""),"Uncle Sams Cider (04/04/2023)")</f>
        <v>Uncle Sams Cider (04/04/2023)</v>
      </c>
      <c r="H1688" s="19"/>
    </row>
    <row r="1689">
      <c r="A1689" s="9"/>
      <c r="B1689" s="15"/>
      <c r="C1689" s="9">
        <f>IFERROR(__xludf.DUMMYFUNCTION("""COMPUTED_VALUE"""),45126.9354708101)</f>
        <v>45126.93547</v>
      </c>
      <c r="D1689" s="15">
        <f>IFERROR(__xludf.DUMMYFUNCTION("""COMPUTED_VALUE"""),1.003)</f>
        <v>1.003</v>
      </c>
      <c r="E1689" s="16">
        <f>IFERROR(__xludf.DUMMYFUNCTION("""COMPUTED_VALUE"""),72.0)</f>
        <v>72</v>
      </c>
      <c r="F1689" s="19" t="str">
        <f>IFERROR(__xludf.DUMMYFUNCTION("""COMPUTED_VALUE"""),"BLACK")</f>
        <v>BLACK</v>
      </c>
      <c r="G1689" s="20" t="str">
        <f>IFERROR(__xludf.DUMMYFUNCTION("""COMPUTED_VALUE"""),"Uncle Sams Cider (04/04/2023)")</f>
        <v>Uncle Sams Cider (04/04/2023)</v>
      </c>
      <c r="H1689" s="19"/>
    </row>
    <row r="1690">
      <c r="A1690" s="9"/>
      <c r="B1690" s="15"/>
      <c r="C1690" s="9">
        <f>IFERROR(__xludf.DUMMYFUNCTION("""COMPUTED_VALUE"""),45126.9250487037)</f>
        <v>45126.92505</v>
      </c>
      <c r="D1690" s="15">
        <f>IFERROR(__xludf.DUMMYFUNCTION("""COMPUTED_VALUE"""),1.003)</f>
        <v>1.003</v>
      </c>
      <c r="E1690" s="16">
        <f>IFERROR(__xludf.DUMMYFUNCTION("""COMPUTED_VALUE"""),72.0)</f>
        <v>72</v>
      </c>
      <c r="F1690" s="19" t="str">
        <f>IFERROR(__xludf.DUMMYFUNCTION("""COMPUTED_VALUE"""),"BLACK")</f>
        <v>BLACK</v>
      </c>
      <c r="G1690" s="20" t="str">
        <f>IFERROR(__xludf.DUMMYFUNCTION("""COMPUTED_VALUE"""),"Uncle Sams Cider (04/04/2023)")</f>
        <v>Uncle Sams Cider (04/04/2023)</v>
      </c>
      <c r="H1690" s="19"/>
    </row>
    <row r="1691">
      <c r="A1691" s="9"/>
      <c r="B1691" s="15"/>
      <c r="C1691" s="9">
        <f>IFERROR(__xludf.DUMMYFUNCTION("""COMPUTED_VALUE"""),45126.914627581)</f>
        <v>45126.91463</v>
      </c>
      <c r="D1691" s="15">
        <f>IFERROR(__xludf.DUMMYFUNCTION("""COMPUTED_VALUE"""),1.003)</f>
        <v>1.003</v>
      </c>
      <c r="E1691" s="16">
        <f>IFERROR(__xludf.DUMMYFUNCTION("""COMPUTED_VALUE"""),72.0)</f>
        <v>72</v>
      </c>
      <c r="F1691" s="19" t="str">
        <f>IFERROR(__xludf.DUMMYFUNCTION("""COMPUTED_VALUE"""),"BLACK")</f>
        <v>BLACK</v>
      </c>
      <c r="G1691" s="20" t="str">
        <f>IFERROR(__xludf.DUMMYFUNCTION("""COMPUTED_VALUE"""),"Uncle Sams Cider (04/04/2023)")</f>
        <v>Uncle Sams Cider (04/04/2023)</v>
      </c>
      <c r="H1691" s="19"/>
    </row>
    <row r="1692">
      <c r="A1692" s="9"/>
      <c r="B1692" s="15"/>
      <c r="C1692" s="9">
        <f>IFERROR(__xludf.DUMMYFUNCTION("""COMPUTED_VALUE"""),45126.9042061458)</f>
        <v>45126.90421</v>
      </c>
      <c r="D1692" s="15">
        <f>IFERROR(__xludf.DUMMYFUNCTION("""COMPUTED_VALUE"""),1.003)</f>
        <v>1.003</v>
      </c>
      <c r="E1692" s="16">
        <f>IFERROR(__xludf.DUMMYFUNCTION("""COMPUTED_VALUE"""),72.0)</f>
        <v>72</v>
      </c>
      <c r="F1692" s="19" t="str">
        <f>IFERROR(__xludf.DUMMYFUNCTION("""COMPUTED_VALUE"""),"BLACK")</f>
        <v>BLACK</v>
      </c>
      <c r="G1692" s="20" t="str">
        <f>IFERROR(__xludf.DUMMYFUNCTION("""COMPUTED_VALUE"""),"Uncle Sams Cider (04/04/2023)")</f>
        <v>Uncle Sams Cider (04/04/2023)</v>
      </c>
      <c r="H1692" s="19"/>
    </row>
    <row r="1693">
      <c r="A1693" s="9"/>
      <c r="B1693" s="15"/>
      <c r="C1693" s="9">
        <f>IFERROR(__xludf.DUMMYFUNCTION("""COMPUTED_VALUE"""),45126.893785243)</f>
        <v>45126.89379</v>
      </c>
      <c r="D1693" s="15">
        <f>IFERROR(__xludf.DUMMYFUNCTION("""COMPUTED_VALUE"""),1.003)</f>
        <v>1.003</v>
      </c>
      <c r="E1693" s="16">
        <f>IFERROR(__xludf.DUMMYFUNCTION("""COMPUTED_VALUE"""),72.0)</f>
        <v>72</v>
      </c>
      <c r="F1693" s="19" t="str">
        <f>IFERROR(__xludf.DUMMYFUNCTION("""COMPUTED_VALUE"""),"BLACK")</f>
        <v>BLACK</v>
      </c>
      <c r="G1693" s="20" t="str">
        <f>IFERROR(__xludf.DUMMYFUNCTION("""COMPUTED_VALUE"""),"Uncle Sams Cider (04/04/2023)")</f>
        <v>Uncle Sams Cider (04/04/2023)</v>
      </c>
      <c r="H1693" s="19"/>
    </row>
    <row r="1694">
      <c r="A1694" s="9"/>
      <c r="B1694" s="15"/>
      <c r="C1694" s="9">
        <f>IFERROR(__xludf.DUMMYFUNCTION("""COMPUTED_VALUE"""),45126.8833629166)</f>
        <v>45126.88336</v>
      </c>
      <c r="D1694" s="15">
        <f>IFERROR(__xludf.DUMMYFUNCTION("""COMPUTED_VALUE"""),1.003)</f>
        <v>1.003</v>
      </c>
      <c r="E1694" s="16">
        <f>IFERROR(__xludf.DUMMYFUNCTION("""COMPUTED_VALUE"""),72.0)</f>
        <v>72</v>
      </c>
      <c r="F1694" s="19" t="str">
        <f>IFERROR(__xludf.DUMMYFUNCTION("""COMPUTED_VALUE"""),"BLACK")</f>
        <v>BLACK</v>
      </c>
      <c r="G1694" s="20" t="str">
        <f>IFERROR(__xludf.DUMMYFUNCTION("""COMPUTED_VALUE"""),"Uncle Sams Cider (04/04/2023)")</f>
        <v>Uncle Sams Cider (04/04/2023)</v>
      </c>
      <c r="H1694" s="19"/>
    </row>
    <row r="1695">
      <c r="A1695" s="9"/>
      <c r="B1695" s="15"/>
      <c r="C1695" s="9">
        <f>IFERROR(__xludf.DUMMYFUNCTION("""COMPUTED_VALUE"""),45126.8729427199)</f>
        <v>45126.87294</v>
      </c>
      <c r="D1695" s="15">
        <f>IFERROR(__xludf.DUMMYFUNCTION("""COMPUTED_VALUE"""),1.003)</f>
        <v>1.003</v>
      </c>
      <c r="E1695" s="16">
        <f>IFERROR(__xludf.DUMMYFUNCTION("""COMPUTED_VALUE"""),72.0)</f>
        <v>72</v>
      </c>
      <c r="F1695" s="19" t="str">
        <f>IFERROR(__xludf.DUMMYFUNCTION("""COMPUTED_VALUE"""),"BLACK")</f>
        <v>BLACK</v>
      </c>
      <c r="G1695" s="20" t="str">
        <f>IFERROR(__xludf.DUMMYFUNCTION("""COMPUTED_VALUE"""),"Uncle Sams Cider (04/04/2023)")</f>
        <v>Uncle Sams Cider (04/04/2023)</v>
      </c>
      <c r="H1695" s="19"/>
    </row>
    <row r="1696">
      <c r="A1696" s="9"/>
      <c r="B1696" s="15"/>
      <c r="C1696" s="9">
        <f>IFERROR(__xludf.DUMMYFUNCTION("""COMPUTED_VALUE"""),45126.8625225347)</f>
        <v>45126.86252</v>
      </c>
      <c r="D1696" s="15">
        <f>IFERROR(__xludf.DUMMYFUNCTION("""COMPUTED_VALUE"""),1.003)</f>
        <v>1.003</v>
      </c>
      <c r="E1696" s="16">
        <f>IFERROR(__xludf.DUMMYFUNCTION("""COMPUTED_VALUE"""),72.0)</f>
        <v>72</v>
      </c>
      <c r="F1696" s="19" t="str">
        <f>IFERROR(__xludf.DUMMYFUNCTION("""COMPUTED_VALUE"""),"BLACK")</f>
        <v>BLACK</v>
      </c>
      <c r="G1696" s="20" t="str">
        <f>IFERROR(__xludf.DUMMYFUNCTION("""COMPUTED_VALUE"""),"Uncle Sams Cider (04/04/2023)")</f>
        <v>Uncle Sams Cider (04/04/2023)</v>
      </c>
      <c r="H1696" s="19"/>
    </row>
    <row r="1697">
      <c r="A1697" s="9"/>
      <c r="B1697" s="15"/>
      <c r="C1697" s="9">
        <f>IFERROR(__xludf.DUMMYFUNCTION("""COMPUTED_VALUE"""),45126.8521016666)</f>
        <v>45126.8521</v>
      </c>
      <c r="D1697" s="15">
        <f>IFERROR(__xludf.DUMMYFUNCTION("""COMPUTED_VALUE"""),1.003)</f>
        <v>1.003</v>
      </c>
      <c r="E1697" s="16">
        <f>IFERROR(__xludf.DUMMYFUNCTION("""COMPUTED_VALUE"""),72.0)</f>
        <v>72</v>
      </c>
      <c r="F1697" s="19" t="str">
        <f>IFERROR(__xludf.DUMMYFUNCTION("""COMPUTED_VALUE"""),"BLACK")</f>
        <v>BLACK</v>
      </c>
      <c r="G1697" s="20" t="str">
        <f>IFERROR(__xludf.DUMMYFUNCTION("""COMPUTED_VALUE"""),"Uncle Sams Cider (04/04/2023)")</f>
        <v>Uncle Sams Cider (04/04/2023)</v>
      </c>
      <c r="H1697" s="19"/>
    </row>
    <row r="1698">
      <c r="A1698" s="9"/>
      <c r="B1698" s="15"/>
      <c r="C1698" s="9">
        <f>IFERROR(__xludf.DUMMYFUNCTION("""COMPUTED_VALUE"""),45126.8416682175)</f>
        <v>45126.84167</v>
      </c>
      <c r="D1698" s="15">
        <f>IFERROR(__xludf.DUMMYFUNCTION("""COMPUTED_VALUE"""),1.003)</f>
        <v>1.003</v>
      </c>
      <c r="E1698" s="16">
        <f>IFERROR(__xludf.DUMMYFUNCTION("""COMPUTED_VALUE"""),72.0)</f>
        <v>72</v>
      </c>
      <c r="F1698" s="19" t="str">
        <f>IFERROR(__xludf.DUMMYFUNCTION("""COMPUTED_VALUE"""),"BLACK")</f>
        <v>BLACK</v>
      </c>
      <c r="G1698" s="20" t="str">
        <f>IFERROR(__xludf.DUMMYFUNCTION("""COMPUTED_VALUE"""),"Uncle Sams Cider (04/04/2023)")</f>
        <v>Uncle Sams Cider (04/04/2023)</v>
      </c>
      <c r="H1698" s="19"/>
    </row>
    <row r="1699">
      <c r="A1699" s="9"/>
      <c r="B1699" s="15"/>
      <c r="C1699" s="9">
        <f>IFERROR(__xludf.DUMMYFUNCTION("""COMPUTED_VALUE"""),45126.831235625)</f>
        <v>45126.83124</v>
      </c>
      <c r="D1699" s="15">
        <f>IFERROR(__xludf.DUMMYFUNCTION("""COMPUTED_VALUE"""),1.003)</f>
        <v>1.003</v>
      </c>
      <c r="E1699" s="16">
        <f>IFERROR(__xludf.DUMMYFUNCTION("""COMPUTED_VALUE"""),72.0)</f>
        <v>72</v>
      </c>
      <c r="F1699" s="19" t="str">
        <f>IFERROR(__xludf.DUMMYFUNCTION("""COMPUTED_VALUE"""),"BLACK")</f>
        <v>BLACK</v>
      </c>
      <c r="G1699" s="20" t="str">
        <f>IFERROR(__xludf.DUMMYFUNCTION("""COMPUTED_VALUE"""),"Uncle Sams Cider (04/04/2023)")</f>
        <v>Uncle Sams Cider (04/04/2023)</v>
      </c>
      <c r="H1699" s="19"/>
    </row>
    <row r="1700">
      <c r="A1700" s="9"/>
      <c r="B1700" s="15"/>
      <c r="C1700" s="9">
        <f>IFERROR(__xludf.DUMMYFUNCTION("""COMPUTED_VALUE"""),45126.820814155)</f>
        <v>45126.82081</v>
      </c>
      <c r="D1700" s="15">
        <f>IFERROR(__xludf.DUMMYFUNCTION("""COMPUTED_VALUE"""),1.003)</f>
        <v>1.003</v>
      </c>
      <c r="E1700" s="16">
        <f>IFERROR(__xludf.DUMMYFUNCTION("""COMPUTED_VALUE"""),72.0)</f>
        <v>72</v>
      </c>
      <c r="F1700" s="19" t="str">
        <f>IFERROR(__xludf.DUMMYFUNCTION("""COMPUTED_VALUE"""),"BLACK")</f>
        <v>BLACK</v>
      </c>
      <c r="G1700" s="20" t="str">
        <f>IFERROR(__xludf.DUMMYFUNCTION("""COMPUTED_VALUE"""),"Uncle Sams Cider (04/04/2023)")</f>
        <v>Uncle Sams Cider (04/04/2023)</v>
      </c>
      <c r="H1700" s="19"/>
    </row>
    <row r="1701">
      <c r="A1701" s="9"/>
      <c r="B1701" s="15"/>
      <c r="C1701" s="9">
        <f>IFERROR(__xludf.DUMMYFUNCTION("""COMPUTED_VALUE"""),45126.810393206)</f>
        <v>45126.81039</v>
      </c>
      <c r="D1701" s="15">
        <f>IFERROR(__xludf.DUMMYFUNCTION("""COMPUTED_VALUE"""),1.003)</f>
        <v>1.003</v>
      </c>
      <c r="E1701" s="16">
        <f>IFERROR(__xludf.DUMMYFUNCTION("""COMPUTED_VALUE"""),72.0)</f>
        <v>72</v>
      </c>
      <c r="F1701" s="19" t="str">
        <f>IFERROR(__xludf.DUMMYFUNCTION("""COMPUTED_VALUE"""),"BLACK")</f>
        <v>BLACK</v>
      </c>
      <c r="G1701" s="20" t="str">
        <f>IFERROR(__xludf.DUMMYFUNCTION("""COMPUTED_VALUE"""),"Uncle Sams Cider (04/04/2023)")</f>
        <v>Uncle Sams Cider (04/04/2023)</v>
      </c>
      <c r="H1701" s="19"/>
    </row>
    <row r="1702">
      <c r="A1702" s="9"/>
      <c r="B1702" s="15"/>
      <c r="C1702" s="9">
        <f>IFERROR(__xludf.DUMMYFUNCTION("""COMPUTED_VALUE"""),45126.7999704513)</f>
        <v>45126.79997</v>
      </c>
      <c r="D1702" s="15">
        <f>IFERROR(__xludf.DUMMYFUNCTION("""COMPUTED_VALUE"""),1.003)</f>
        <v>1.003</v>
      </c>
      <c r="E1702" s="16">
        <f>IFERROR(__xludf.DUMMYFUNCTION("""COMPUTED_VALUE"""),72.0)</f>
        <v>72</v>
      </c>
      <c r="F1702" s="19" t="str">
        <f>IFERROR(__xludf.DUMMYFUNCTION("""COMPUTED_VALUE"""),"BLACK")</f>
        <v>BLACK</v>
      </c>
      <c r="G1702" s="20" t="str">
        <f>IFERROR(__xludf.DUMMYFUNCTION("""COMPUTED_VALUE"""),"Uncle Sams Cider (04/04/2023)")</f>
        <v>Uncle Sams Cider (04/04/2023)</v>
      </c>
      <c r="H1702" s="19"/>
    </row>
    <row r="1703">
      <c r="A1703" s="9"/>
      <c r="B1703" s="15"/>
      <c r="C1703" s="9">
        <f>IFERROR(__xludf.DUMMYFUNCTION("""COMPUTED_VALUE"""),45126.7895515509)</f>
        <v>45126.78955</v>
      </c>
      <c r="D1703" s="15">
        <f>IFERROR(__xludf.DUMMYFUNCTION("""COMPUTED_VALUE"""),1.003)</f>
        <v>1.003</v>
      </c>
      <c r="E1703" s="16">
        <f>IFERROR(__xludf.DUMMYFUNCTION("""COMPUTED_VALUE"""),72.0)</f>
        <v>72</v>
      </c>
      <c r="F1703" s="19" t="str">
        <f>IFERROR(__xludf.DUMMYFUNCTION("""COMPUTED_VALUE"""),"BLACK")</f>
        <v>BLACK</v>
      </c>
      <c r="G1703" s="20" t="str">
        <f>IFERROR(__xludf.DUMMYFUNCTION("""COMPUTED_VALUE"""),"Uncle Sams Cider (04/04/2023)")</f>
        <v>Uncle Sams Cider (04/04/2023)</v>
      </c>
      <c r="H1703" s="19"/>
    </row>
    <row r="1704">
      <c r="A1704" s="9"/>
      <c r="B1704" s="15"/>
      <c r="C1704" s="9">
        <f>IFERROR(__xludf.DUMMYFUNCTION("""COMPUTED_VALUE"""),45126.7791292824)</f>
        <v>45126.77913</v>
      </c>
      <c r="D1704" s="15">
        <f>IFERROR(__xludf.DUMMYFUNCTION("""COMPUTED_VALUE"""),1.003)</f>
        <v>1.003</v>
      </c>
      <c r="E1704" s="16">
        <f>IFERROR(__xludf.DUMMYFUNCTION("""COMPUTED_VALUE"""),72.0)</f>
        <v>72</v>
      </c>
      <c r="F1704" s="19" t="str">
        <f>IFERROR(__xludf.DUMMYFUNCTION("""COMPUTED_VALUE"""),"BLACK")</f>
        <v>BLACK</v>
      </c>
      <c r="G1704" s="20" t="str">
        <f>IFERROR(__xludf.DUMMYFUNCTION("""COMPUTED_VALUE"""),"Uncle Sams Cider (04/04/2023)")</f>
        <v>Uncle Sams Cider (04/04/2023)</v>
      </c>
      <c r="H1704" s="19"/>
    </row>
    <row r="1705">
      <c r="A1705" s="9"/>
      <c r="B1705" s="15"/>
      <c r="C1705" s="9">
        <f>IFERROR(__xludf.DUMMYFUNCTION("""COMPUTED_VALUE"""),45126.7687083333)</f>
        <v>45126.76871</v>
      </c>
      <c r="D1705" s="15">
        <f>IFERROR(__xludf.DUMMYFUNCTION("""COMPUTED_VALUE"""),1.003)</f>
        <v>1.003</v>
      </c>
      <c r="E1705" s="16">
        <f>IFERROR(__xludf.DUMMYFUNCTION("""COMPUTED_VALUE"""),72.0)</f>
        <v>72</v>
      </c>
      <c r="F1705" s="19" t="str">
        <f>IFERROR(__xludf.DUMMYFUNCTION("""COMPUTED_VALUE"""),"BLACK")</f>
        <v>BLACK</v>
      </c>
      <c r="G1705" s="20" t="str">
        <f>IFERROR(__xludf.DUMMYFUNCTION("""COMPUTED_VALUE"""),"Uncle Sams Cider (04/04/2023)")</f>
        <v>Uncle Sams Cider (04/04/2023)</v>
      </c>
      <c r="H1705" s="19"/>
    </row>
    <row r="1706">
      <c r="A1706" s="9"/>
      <c r="B1706" s="15"/>
      <c r="C1706" s="9">
        <f>IFERROR(__xludf.DUMMYFUNCTION("""COMPUTED_VALUE"""),45126.7582754166)</f>
        <v>45126.75828</v>
      </c>
      <c r="D1706" s="15">
        <f>IFERROR(__xludf.DUMMYFUNCTION("""COMPUTED_VALUE"""),1.003)</f>
        <v>1.003</v>
      </c>
      <c r="E1706" s="16">
        <f>IFERROR(__xludf.DUMMYFUNCTION("""COMPUTED_VALUE"""),72.0)</f>
        <v>72</v>
      </c>
      <c r="F1706" s="19" t="str">
        <f>IFERROR(__xludf.DUMMYFUNCTION("""COMPUTED_VALUE"""),"BLACK")</f>
        <v>BLACK</v>
      </c>
      <c r="G1706" s="20" t="str">
        <f>IFERROR(__xludf.DUMMYFUNCTION("""COMPUTED_VALUE"""),"Uncle Sams Cider (04/04/2023)")</f>
        <v>Uncle Sams Cider (04/04/2023)</v>
      </c>
      <c r="H1706" s="19"/>
    </row>
    <row r="1707">
      <c r="A1707" s="9"/>
      <c r="B1707" s="15"/>
      <c r="C1707" s="9">
        <f>IFERROR(__xludf.DUMMYFUNCTION("""COMPUTED_VALUE"""),45126.7478412963)</f>
        <v>45126.74784</v>
      </c>
      <c r="D1707" s="15">
        <f>IFERROR(__xludf.DUMMYFUNCTION("""COMPUTED_VALUE"""),1.003)</f>
        <v>1.003</v>
      </c>
      <c r="E1707" s="16">
        <f>IFERROR(__xludf.DUMMYFUNCTION("""COMPUTED_VALUE"""),72.0)</f>
        <v>72</v>
      </c>
      <c r="F1707" s="19" t="str">
        <f>IFERROR(__xludf.DUMMYFUNCTION("""COMPUTED_VALUE"""),"BLACK")</f>
        <v>BLACK</v>
      </c>
      <c r="G1707" s="20" t="str">
        <f>IFERROR(__xludf.DUMMYFUNCTION("""COMPUTED_VALUE"""),"Uncle Sams Cider (04/04/2023)")</f>
        <v>Uncle Sams Cider (04/04/2023)</v>
      </c>
      <c r="H1707" s="19"/>
    </row>
    <row r="1708">
      <c r="A1708" s="9"/>
      <c r="B1708" s="15"/>
      <c r="C1708" s="9">
        <f>IFERROR(__xludf.DUMMYFUNCTION("""COMPUTED_VALUE"""),45126.7374208333)</f>
        <v>45126.73742</v>
      </c>
      <c r="D1708" s="15">
        <f>IFERROR(__xludf.DUMMYFUNCTION("""COMPUTED_VALUE"""),1.003)</f>
        <v>1.003</v>
      </c>
      <c r="E1708" s="16">
        <f>IFERROR(__xludf.DUMMYFUNCTION("""COMPUTED_VALUE"""),72.0)</f>
        <v>72</v>
      </c>
      <c r="F1708" s="19" t="str">
        <f>IFERROR(__xludf.DUMMYFUNCTION("""COMPUTED_VALUE"""),"BLACK")</f>
        <v>BLACK</v>
      </c>
      <c r="G1708" s="20" t="str">
        <f>IFERROR(__xludf.DUMMYFUNCTION("""COMPUTED_VALUE"""),"Uncle Sams Cider (04/04/2023)")</f>
        <v>Uncle Sams Cider (04/04/2023)</v>
      </c>
      <c r="H1708" s="19"/>
    </row>
    <row r="1709">
      <c r="A1709" s="9"/>
      <c r="B1709" s="15"/>
      <c r="C1709" s="9">
        <f>IFERROR(__xludf.DUMMYFUNCTION("""COMPUTED_VALUE"""),45126.7270000462)</f>
        <v>45126.727</v>
      </c>
      <c r="D1709" s="15">
        <f>IFERROR(__xludf.DUMMYFUNCTION("""COMPUTED_VALUE"""),1.003)</f>
        <v>1.003</v>
      </c>
      <c r="E1709" s="16">
        <f>IFERROR(__xludf.DUMMYFUNCTION("""COMPUTED_VALUE"""),72.0)</f>
        <v>72</v>
      </c>
      <c r="F1709" s="19" t="str">
        <f>IFERROR(__xludf.DUMMYFUNCTION("""COMPUTED_VALUE"""),"BLACK")</f>
        <v>BLACK</v>
      </c>
      <c r="G1709" s="20" t="str">
        <f>IFERROR(__xludf.DUMMYFUNCTION("""COMPUTED_VALUE"""),"Uncle Sams Cider (04/04/2023)")</f>
        <v>Uncle Sams Cider (04/04/2023)</v>
      </c>
      <c r="H1709" s="19"/>
    </row>
    <row r="1710">
      <c r="A1710" s="9"/>
      <c r="B1710" s="15"/>
      <c r="C1710" s="9">
        <f>IFERROR(__xludf.DUMMYFUNCTION("""COMPUTED_VALUE"""),45126.7165800578)</f>
        <v>45126.71658</v>
      </c>
      <c r="D1710" s="15">
        <f>IFERROR(__xludf.DUMMYFUNCTION("""COMPUTED_VALUE"""),1.003)</f>
        <v>1.003</v>
      </c>
      <c r="E1710" s="16">
        <f>IFERROR(__xludf.DUMMYFUNCTION("""COMPUTED_VALUE"""),72.0)</f>
        <v>72</v>
      </c>
      <c r="F1710" s="19" t="str">
        <f>IFERROR(__xludf.DUMMYFUNCTION("""COMPUTED_VALUE"""),"BLACK")</f>
        <v>BLACK</v>
      </c>
      <c r="G1710" s="20" t="str">
        <f>IFERROR(__xludf.DUMMYFUNCTION("""COMPUTED_VALUE"""),"Uncle Sams Cider (04/04/2023)")</f>
        <v>Uncle Sams Cider (04/04/2023)</v>
      </c>
      <c r="H1710" s="19"/>
    </row>
    <row r="1711">
      <c r="A1711" s="9"/>
      <c r="B1711" s="15"/>
      <c r="C1711" s="9">
        <f>IFERROR(__xludf.DUMMYFUNCTION("""COMPUTED_VALUE"""),45126.7061479745)</f>
        <v>45126.70615</v>
      </c>
      <c r="D1711" s="15">
        <f>IFERROR(__xludf.DUMMYFUNCTION("""COMPUTED_VALUE"""),1.004)</f>
        <v>1.004</v>
      </c>
      <c r="E1711" s="16">
        <f>IFERROR(__xludf.DUMMYFUNCTION("""COMPUTED_VALUE"""),72.0)</f>
        <v>72</v>
      </c>
      <c r="F1711" s="19" t="str">
        <f>IFERROR(__xludf.DUMMYFUNCTION("""COMPUTED_VALUE"""),"BLACK")</f>
        <v>BLACK</v>
      </c>
      <c r="G1711" s="20" t="str">
        <f>IFERROR(__xludf.DUMMYFUNCTION("""COMPUTED_VALUE"""),"Uncle Sams Cider (04/04/2023)")</f>
        <v>Uncle Sams Cider (04/04/2023)</v>
      </c>
      <c r="H1711" s="19"/>
    </row>
    <row r="1712">
      <c r="A1712" s="9"/>
      <c r="B1712" s="15"/>
      <c r="C1712" s="9">
        <f>IFERROR(__xludf.DUMMYFUNCTION("""COMPUTED_VALUE"""),45126.6957262847)</f>
        <v>45126.69573</v>
      </c>
      <c r="D1712" s="15">
        <f>IFERROR(__xludf.DUMMYFUNCTION("""COMPUTED_VALUE"""),1.003)</f>
        <v>1.003</v>
      </c>
      <c r="E1712" s="16">
        <f>IFERROR(__xludf.DUMMYFUNCTION("""COMPUTED_VALUE"""),72.0)</f>
        <v>72</v>
      </c>
      <c r="F1712" s="19" t="str">
        <f>IFERROR(__xludf.DUMMYFUNCTION("""COMPUTED_VALUE"""),"BLACK")</f>
        <v>BLACK</v>
      </c>
      <c r="G1712" s="20" t="str">
        <f>IFERROR(__xludf.DUMMYFUNCTION("""COMPUTED_VALUE"""),"Uncle Sams Cider (04/04/2023)")</f>
        <v>Uncle Sams Cider (04/04/2023)</v>
      </c>
      <c r="H1712" s="19"/>
    </row>
    <row r="1713">
      <c r="A1713" s="9"/>
      <c r="B1713" s="15"/>
      <c r="C1713" s="9">
        <f>IFERROR(__xludf.DUMMYFUNCTION("""COMPUTED_VALUE"""),45126.685305868)</f>
        <v>45126.68531</v>
      </c>
      <c r="D1713" s="15">
        <f>IFERROR(__xludf.DUMMYFUNCTION("""COMPUTED_VALUE"""),1.003)</f>
        <v>1.003</v>
      </c>
      <c r="E1713" s="16">
        <f>IFERROR(__xludf.DUMMYFUNCTION("""COMPUTED_VALUE"""),73.0)</f>
        <v>73</v>
      </c>
      <c r="F1713" s="19" t="str">
        <f>IFERROR(__xludf.DUMMYFUNCTION("""COMPUTED_VALUE"""),"BLACK")</f>
        <v>BLACK</v>
      </c>
      <c r="G1713" s="20" t="str">
        <f>IFERROR(__xludf.DUMMYFUNCTION("""COMPUTED_VALUE"""),"Uncle Sams Cider (04/04/2023)")</f>
        <v>Uncle Sams Cider (04/04/2023)</v>
      </c>
      <c r="H1713" s="19"/>
    </row>
    <row r="1714">
      <c r="A1714" s="9"/>
      <c r="B1714" s="15"/>
      <c r="C1714" s="9">
        <f>IFERROR(__xludf.DUMMYFUNCTION("""COMPUTED_VALUE"""),45126.6748725925)</f>
        <v>45126.67487</v>
      </c>
      <c r="D1714" s="15">
        <f>IFERROR(__xludf.DUMMYFUNCTION("""COMPUTED_VALUE"""),1.003)</f>
        <v>1.003</v>
      </c>
      <c r="E1714" s="16">
        <f>IFERROR(__xludf.DUMMYFUNCTION("""COMPUTED_VALUE"""),72.0)</f>
        <v>72</v>
      </c>
      <c r="F1714" s="19" t="str">
        <f>IFERROR(__xludf.DUMMYFUNCTION("""COMPUTED_VALUE"""),"BLACK")</f>
        <v>BLACK</v>
      </c>
      <c r="G1714" s="20" t="str">
        <f>IFERROR(__xludf.DUMMYFUNCTION("""COMPUTED_VALUE"""),"Uncle Sams Cider (04/04/2023)")</f>
        <v>Uncle Sams Cider (04/04/2023)</v>
      </c>
      <c r="H1714" s="19"/>
    </row>
    <row r="1715">
      <c r="A1715" s="9"/>
      <c r="B1715" s="15"/>
      <c r="C1715" s="9">
        <f>IFERROR(__xludf.DUMMYFUNCTION("""COMPUTED_VALUE"""),45126.664452905)</f>
        <v>45126.66445</v>
      </c>
      <c r="D1715" s="15">
        <f>IFERROR(__xludf.DUMMYFUNCTION("""COMPUTED_VALUE"""),1.003)</f>
        <v>1.003</v>
      </c>
      <c r="E1715" s="16">
        <f>IFERROR(__xludf.DUMMYFUNCTION("""COMPUTED_VALUE"""),73.0)</f>
        <v>73</v>
      </c>
      <c r="F1715" s="19" t="str">
        <f>IFERROR(__xludf.DUMMYFUNCTION("""COMPUTED_VALUE"""),"BLACK")</f>
        <v>BLACK</v>
      </c>
      <c r="G1715" s="20" t="str">
        <f>IFERROR(__xludf.DUMMYFUNCTION("""COMPUTED_VALUE"""),"Uncle Sams Cider (04/04/2023)")</f>
        <v>Uncle Sams Cider (04/04/2023)</v>
      </c>
      <c r="H1715" s="19"/>
    </row>
    <row r="1716">
      <c r="A1716" s="9"/>
      <c r="B1716" s="15"/>
      <c r="C1716" s="9">
        <f>IFERROR(__xludf.DUMMYFUNCTION("""COMPUTED_VALUE"""),45126.6540067476)</f>
        <v>45126.65401</v>
      </c>
      <c r="D1716" s="15">
        <f>IFERROR(__xludf.DUMMYFUNCTION("""COMPUTED_VALUE"""),1.003)</f>
        <v>1.003</v>
      </c>
      <c r="E1716" s="16">
        <f>IFERROR(__xludf.DUMMYFUNCTION("""COMPUTED_VALUE"""),73.0)</f>
        <v>73</v>
      </c>
      <c r="F1716" s="19" t="str">
        <f>IFERROR(__xludf.DUMMYFUNCTION("""COMPUTED_VALUE"""),"BLACK")</f>
        <v>BLACK</v>
      </c>
      <c r="G1716" s="20" t="str">
        <f>IFERROR(__xludf.DUMMYFUNCTION("""COMPUTED_VALUE"""),"Uncle Sams Cider (04/04/2023)")</f>
        <v>Uncle Sams Cider (04/04/2023)</v>
      </c>
      <c r="H1716" s="19"/>
    </row>
    <row r="1717">
      <c r="A1717" s="9"/>
      <c r="B1717" s="15"/>
      <c r="C1717" s="9">
        <f>IFERROR(__xludf.DUMMYFUNCTION("""COMPUTED_VALUE"""),45126.643575081)</f>
        <v>45126.64358</v>
      </c>
      <c r="D1717" s="15">
        <f>IFERROR(__xludf.DUMMYFUNCTION("""COMPUTED_VALUE"""),1.003)</f>
        <v>1.003</v>
      </c>
      <c r="E1717" s="16">
        <f>IFERROR(__xludf.DUMMYFUNCTION("""COMPUTED_VALUE"""),73.0)</f>
        <v>73</v>
      </c>
      <c r="F1717" s="19" t="str">
        <f>IFERROR(__xludf.DUMMYFUNCTION("""COMPUTED_VALUE"""),"BLACK")</f>
        <v>BLACK</v>
      </c>
      <c r="G1717" s="20" t="str">
        <f>IFERROR(__xludf.DUMMYFUNCTION("""COMPUTED_VALUE"""),"Uncle Sams Cider (04/04/2023)")</f>
        <v>Uncle Sams Cider (04/04/2023)</v>
      </c>
      <c r="H1717" s="19"/>
    </row>
    <row r="1718">
      <c r="A1718" s="9"/>
      <c r="B1718" s="15"/>
      <c r="C1718" s="9">
        <f>IFERROR(__xludf.DUMMYFUNCTION("""COMPUTED_VALUE"""),45126.6331439814)</f>
        <v>45126.63314</v>
      </c>
      <c r="D1718" s="15">
        <f>IFERROR(__xludf.DUMMYFUNCTION("""COMPUTED_VALUE"""),1.003)</f>
        <v>1.003</v>
      </c>
      <c r="E1718" s="16">
        <f>IFERROR(__xludf.DUMMYFUNCTION("""COMPUTED_VALUE"""),73.0)</f>
        <v>73</v>
      </c>
      <c r="F1718" s="19" t="str">
        <f>IFERROR(__xludf.DUMMYFUNCTION("""COMPUTED_VALUE"""),"BLACK")</f>
        <v>BLACK</v>
      </c>
      <c r="G1718" s="20" t="str">
        <f>IFERROR(__xludf.DUMMYFUNCTION("""COMPUTED_VALUE"""),"Uncle Sams Cider (04/04/2023)")</f>
        <v>Uncle Sams Cider (04/04/2023)</v>
      </c>
      <c r="H1718" s="19"/>
    </row>
    <row r="1719">
      <c r="A1719" s="9"/>
      <c r="B1719" s="15"/>
      <c r="C1719" s="9">
        <f>IFERROR(__xludf.DUMMYFUNCTION("""COMPUTED_VALUE"""),45126.6227228703)</f>
        <v>45126.62272</v>
      </c>
      <c r="D1719" s="15">
        <f>IFERROR(__xludf.DUMMYFUNCTION("""COMPUTED_VALUE"""),1.003)</f>
        <v>1.003</v>
      </c>
      <c r="E1719" s="16">
        <f>IFERROR(__xludf.DUMMYFUNCTION("""COMPUTED_VALUE"""),73.0)</f>
        <v>73</v>
      </c>
      <c r="F1719" s="19" t="str">
        <f>IFERROR(__xludf.DUMMYFUNCTION("""COMPUTED_VALUE"""),"BLACK")</f>
        <v>BLACK</v>
      </c>
      <c r="G1719" s="20" t="str">
        <f>IFERROR(__xludf.DUMMYFUNCTION("""COMPUTED_VALUE"""),"Uncle Sams Cider (04/04/2023)")</f>
        <v>Uncle Sams Cider (04/04/2023)</v>
      </c>
      <c r="H1719" s="19"/>
    </row>
    <row r="1720">
      <c r="A1720" s="9"/>
      <c r="B1720" s="15"/>
      <c r="C1720" s="9">
        <f>IFERROR(__xludf.DUMMYFUNCTION("""COMPUTED_VALUE"""),45126.6123013541)</f>
        <v>45126.6123</v>
      </c>
      <c r="D1720" s="15">
        <f>IFERROR(__xludf.DUMMYFUNCTION("""COMPUTED_VALUE"""),1.003)</f>
        <v>1.003</v>
      </c>
      <c r="E1720" s="16">
        <f>IFERROR(__xludf.DUMMYFUNCTION("""COMPUTED_VALUE"""),72.0)</f>
        <v>72</v>
      </c>
      <c r="F1720" s="19" t="str">
        <f>IFERROR(__xludf.DUMMYFUNCTION("""COMPUTED_VALUE"""),"BLACK")</f>
        <v>BLACK</v>
      </c>
      <c r="G1720" s="20" t="str">
        <f>IFERROR(__xludf.DUMMYFUNCTION("""COMPUTED_VALUE"""),"Uncle Sams Cider (04/04/2023)")</f>
        <v>Uncle Sams Cider (04/04/2023)</v>
      </c>
      <c r="H1720" s="19"/>
    </row>
    <row r="1721">
      <c r="A1721" s="9"/>
      <c r="B1721" s="15"/>
      <c r="C1721" s="9">
        <f>IFERROR(__xludf.DUMMYFUNCTION("""COMPUTED_VALUE"""),45126.6018809259)</f>
        <v>45126.60188</v>
      </c>
      <c r="D1721" s="15">
        <f>IFERROR(__xludf.DUMMYFUNCTION("""COMPUTED_VALUE"""),1.003)</f>
        <v>1.003</v>
      </c>
      <c r="E1721" s="16">
        <f>IFERROR(__xludf.DUMMYFUNCTION("""COMPUTED_VALUE"""),72.0)</f>
        <v>72</v>
      </c>
      <c r="F1721" s="19" t="str">
        <f>IFERROR(__xludf.DUMMYFUNCTION("""COMPUTED_VALUE"""),"BLACK")</f>
        <v>BLACK</v>
      </c>
      <c r="G1721" s="20" t="str">
        <f>IFERROR(__xludf.DUMMYFUNCTION("""COMPUTED_VALUE"""),"Uncle Sams Cider (04/04/2023)")</f>
        <v>Uncle Sams Cider (04/04/2023)</v>
      </c>
      <c r="H1721" s="19"/>
    </row>
    <row r="1722">
      <c r="A1722" s="9"/>
      <c r="B1722" s="15"/>
      <c r="C1722" s="9">
        <f>IFERROR(__xludf.DUMMYFUNCTION("""COMPUTED_VALUE"""),45126.5914599652)</f>
        <v>45126.59146</v>
      </c>
      <c r="D1722" s="15">
        <f>IFERROR(__xludf.DUMMYFUNCTION("""COMPUTED_VALUE"""),1.003)</f>
        <v>1.003</v>
      </c>
      <c r="E1722" s="16">
        <f>IFERROR(__xludf.DUMMYFUNCTION("""COMPUTED_VALUE"""),73.0)</f>
        <v>73</v>
      </c>
      <c r="F1722" s="19" t="str">
        <f>IFERROR(__xludf.DUMMYFUNCTION("""COMPUTED_VALUE"""),"BLACK")</f>
        <v>BLACK</v>
      </c>
      <c r="G1722" s="20" t="str">
        <f>IFERROR(__xludf.DUMMYFUNCTION("""COMPUTED_VALUE"""),"Uncle Sams Cider (04/04/2023)")</f>
        <v>Uncle Sams Cider (04/04/2023)</v>
      </c>
      <c r="H1722" s="19"/>
    </row>
    <row r="1723">
      <c r="A1723" s="9"/>
      <c r="B1723" s="15"/>
      <c r="C1723" s="9">
        <f>IFERROR(__xludf.DUMMYFUNCTION("""COMPUTED_VALUE"""),45126.5810387152)</f>
        <v>45126.58104</v>
      </c>
      <c r="D1723" s="15">
        <f>IFERROR(__xludf.DUMMYFUNCTION("""COMPUTED_VALUE"""),1.003)</f>
        <v>1.003</v>
      </c>
      <c r="E1723" s="16">
        <f>IFERROR(__xludf.DUMMYFUNCTION("""COMPUTED_VALUE"""),73.0)</f>
        <v>73</v>
      </c>
      <c r="F1723" s="19" t="str">
        <f>IFERROR(__xludf.DUMMYFUNCTION("""COMPUTED_VALUE"""),"BLACK")</f>
        <v>BLACK</v>
      </c>
      <c r="G1723" s="20" t="str">
        <f>IFERROR(__xludf.DUMMYFUNCTION("""COMPUTED_VALUE"""),"Uncle Sams Cider (04/04/2023)")</f>
        <v>Uncle Sams Cider (04/04/2023)</v>
      </c>
      <c r="H1723" s="19"/>
    </row>
    <row r="1724">
      <c r="A1724" s="9"/>
      <c r="B1724" s="15"/>
      <c r="C1724" s="9">
        <f>IFERROR(__xludf.DUMMYFUNCTION("""COMPUTED_VALUE"""),45126.5706176504)</f>
        <v>45126.57062</v>
      </c>
      <c r="D1724" s="15">
        <f>IFERROR(__xludf.DUMMYFUNCTION("""COMPUTED_VALUE"""),1.003)</f>
        <v>1.003</v>
      </c>
      <c r="E1724" s="16">
        <f>IFERROR(__xludf.DUMMYFUNCTION("""COMPUTED_VALUE"""),72.0)</f>
        <v>72</v>
      </c>
      <c r="F1724" s="19" t="str">
        <f>IFERROR(__xludf.DUMMYFUNCTION("""COMPUTED_VALUE"""),"BLACK")</f>
        <v>BLACK</v>
      </c>
      <c r="G1724" s="20" t="str">
        <f>IFERROR(__xludf.DUMMYFUNCTION("""COMPUTED_VALUE"""),"Uncle Sams Cider (04/04/2023)")</f>
        <v>Uncle Sams Cider (04/04/2023)</v>
      </c>
      <c r="H1724" s="19"/>
    </row>
    <row r="1725">
      <c r="A1725" s="9"/>
      <c r="B1725" s="15"/>
      <c r="C1725" s="9">
        <f>IFERROR(__xludf.DUMMYFUNCTION("""COMPUTED_VALUE"""),45126.5601966782)</f>
        <v>45126.5602</v>
      </c>
      <c r="D1725" s="15">
        <f>IFERROR(__xludf.DUMMYFUNCTION("""COMPUTED_VALUE"""),1.003)</f>
        <v>1.003</v>
      </c>
      <c r="E1725" s="16">
        <f>IFERROR(__xludf.DUMMYFUNCTION("""COMPUTED_VALUE"""),73.0)</f>
        <v>73</v>
      </c>
      <c r="F1725" s="19" t="str">
        <f>IFERROR(__xludf.DUMMYFUNCTION("""COMPUTED_VALUE"""),"BLACK")</f>
        <v>BLACK</v>
      </c>
      <c r="G1725" s="20" t="str">
        <f>IFERROR(__xludf.DUMMYFUNCTION("""COMPUTED_VALUE"""),"Uncle Sams Cider (04/04/2023)")</f>
        <v>Uncle Sams Cider (04/04/2023)</v>
      </c>
      <c r="H1725" s="19"/>
    </row>
    <row r="1726">
      <c r="A1726" s="9"/>
      <c r="B1726" s="15"/>
      <c r="C1726" s="9">
        <f>IFERROR(__xludf.DUMMYFUNCTION("""COMPUTED_VALUE"""),45126.5497740972)</f>
        <v>45126.54977</v>
      </c>
      <c r="D1726" s="15">
        <f>IFERROR(__xludf.DUMMYFUNCTION("""COMPUTED_VALUE"""),1.003)</f>
        <v>1.003</v>
      </c>
      <c r="E1726" s="16">
        <f>IFERROR(__xludf.DUMMYFUNCTION("""COMPUTED_VALUE"""),73.0)</f>
        <v>73</v>
      </c>
      <c r="F1726" s="19" t="str">
        <f>IFERROR(__xludf.DUMMYFUNCTION("""COMPUTED_VALUE"""),"BLACK")</f>
        <v>BLACK</v>
      </c>
      <c r="G1726" s="20" t="str">
        <f>IFERROR(__xludf.DUMMYFUNCTION("""COMPUTED_VALUE"""),"Uncle Sams Cider (04/04/2023)")</f>
        <v>Uncle Sams Cider (04/04/2023)</v>
      </c>
      <c r="H1726" s="19"/>
    </row>
    <row r="1727">
      <c r="A1727" s="9"/>
      <c r="B1727" s="15"/>
      <c r="C1727" s="9">
        <f>IFERROR(__xludf.DUMMYFUNCTION("""COMPUTED_VALUE"""),45126.5393412037)</f>
        <v>45126.53934</v>
      </c>
      <c r="D1727" s="15">
        <f>IFERROR(__xludf.DUMMYFUNCTION("""COMPUTED_VALUE"""),1.003)</f>
        <v>1.003</v>
      </c>
      <c r="E1727" s="16">
        <f>IFERROR(__xludf.DUMMYFUNCTION("""COMPUTED_VALUE"""),73.0)</f>
        <v>73</v>
      </c>
      <c r="F1727" s="19" t="str">
        <f>IFERROR(__xludf.DUMMYFUNCTION("""COMPUTED_VALUE"""),"BLACK")</f>
        <v>BLACK</v>
      </c>
      <c r="G1727" s="20" t="str">
        <f>IFERROR(__xludf.DUMMYFUNCTION("""COMPUTED_VALUE"""),"Uncle Sams Cider (04/04/2023)")</f>
        <v>Uncle Sams Cider (04/04/2023)</v>
      </c>
      <c r="H1727" s="19"/>
    </row>
    <row r="1728">
      <c r="A1728" s="9"/>
      <c r="B1728" s="15"/>
      <c r="C1728" s="9">
        <f>IFERROR(__xludf.DUMMYFUNCTION("""COMPUTED_VALUE"""),45126.528919699)</f>
        <v>45126.52892</v>
      </c>
      <c r="D1728" s="15">
        <f>IFERROR(__xludf.DUMMYFUNCTION("""COMPUTED_VALUE"""),1.003)</f>
        <v>1.003</v>
      </c>
      <c r="E1728" s="16">
        <f>IFERROR(__xludf.DUMMYFUNCTION("""COMPUTED_VALUE"""),73.0)</f>
        <v>73</v>
      </c>
      <c r="F1728" s="19" t="str">
        <f>IFERROR(__xludf.DUMMYFUNCTION("""COMPUTED_VALUE"""),"BLACK")</f>
        <v>BLACK</v>
      </c>
      <c r="G1728" s="20" t="str">
        <f>IFERROR(__xludf.DUMMYFUNCTION("""COMPUTED_VALUE"""),"Uncle Sams Cider (04/04/2023)")</f>
        <v>Uncle Sams Cider (04/04/2023)</v>
      </c>
      <c r="H1728" s="19"/>
    </row>
    <row r="1729">
      <c r="A1729" s="9"/>
      <c r="B1729" s="15"/>
      <c r="C1729" s="9">
        <f>IFERROR(__xludf.DUMMYFUNCTION("""COMPUTED_VALUE"""),45126.5184988426)</f>
        <v>45126.5185</v>
      </c>
      <c r="D1729" s="15">
        <f>IFERROR(__xludf.DUMMYFUNCTION("""COMPUTED_VALUE"""),1.003)</f>
        <v>1.003</v>
      </c>
      <c r="E1729" s="16">
        <f>IFERROR(__xludf.DUMMYFUNCTION("""COMPUTED_VALUE"""),73.0)</f>
        <v>73</v>
      </c>
      <c r="F1729" s="19" t="str">
        <f>IFERROR(__xludf.DUMMYFUNCTION("""COMPUTED_VALUE"""),"BLACK")</f>
        <v>BLACK</v>
      </c>
      <c r="G1729" s="20" t="str">
        <f>IFERROR(__xludf.DUMMYFUNCTION("""COMPUTED_VALUE"""),"Uncle Sams Cider (04/04/2023)")</f>
        <v>Uncle Sams Cider (04/04/2023)</v>
      </c>
      <c r="H1729" s="19"/>
    </row>
    <row r="1730">
      <c r="A1730" s="9"/>
      <c r="B1730" s="15"/>
      <c r="C1730" s="9">
        <f>IFERROR(__xludf.DUMMYFUNCTION("""COMPUTED_VALUE"""),45126.5080756365)</f>
        <v>45126.50808</v>
      </c>
      <c r="D1730" s="15">
        <f>IFERROR(__xludf.DUMMYFUNCTION("""COMPUTED_VALUE"""),1.003)</f>
        <v>1.003</v>
      </c>
      <c r="E1730" s="16">
        <f>IFERROR(__xludf.DUMMYFUNCTION("""COMPUTED_VALUE"""),73.0)</f>
        <v>73</v>
      </c>
      <c r="F1730" s="19" t="str">
        <f>IFERROR(__xludf.DUMMYFUNCTION("""COMPUTED_VALUE"""),"BLACK")</f>
        <v>BLACK</v>
      </c>
      <c r="G1730" s="20" t="str">
        <f>IFERROR(__xludf.DUMMYFUNCTION("""COMPUTED_VALUE"""),"Uncle Sams Cider (04/04/2023)")</f>
        <v>Uncle Sams Cider (04/04/2023)</v>
      </c>
      <c r="H1730" s="19"/>
    </row>
    <row r="1731">
      <c r="A1731" s="9"/>
      <c r="B1731" s="15"/>
      <c r="C1731" s="9">
        <f>IFERROR(__xludf.DUMMYFUNCTION("""COMPUTED_VALUE"""),45126.4976541319)</f>
        <v>45126.49765</v>
      </c>
      <c r="D1731" s="15">
        <f>IFERROR(__xludf.DUMMYFUNCTION("""COMPUTED_VALUE"""),1.003)</f>
        <v>1.003</v>
      </c>
      <c r="E1731" s="16">
        <f>IFERROR(__xludf.DUMMYFUNCTION("""COMPUTED_VALUE"""),72.0)</f>
        <v>72</v>
      </c>
      <c r="F1731" s="19" t="str">
        <f>IFERROR(__xludf.DUMMYFUNCTION("""COMPUTED_VALUE"""),"BLACK")</f>
        <v>BLACK</v>
      </c>
      <c r="G1731" s="20" t="str">
        <f>IFERROR(__xludf.DUMMYFUNCTION("""COMPUTED_VALUE"""),"Uncle Sams Cider (04/04/2023)")</f>
        <v>Uncle Sams Cider (04/04/2023)</v>
      </c>
      <c r="H1731" s="19"/>
    </row>
    <row r="1732">
      <c r="A1732" s="9"/>
      <c r="B1732" s="15"/>
      <c r="C1732" s="9">
        <f>IFERROR(__xludf.DUMMYFUNCTION("""COMPUTED_VALUE"""),45126.4872224537)</f>
        <v>45126.48722</v>
      </c>
      <c r="D1732" s="15">
        <f>IFERROR(__xludf.DUMMYFUNCTION("""COMPUTED_VALUE"""),1.003)</f>
        <v>1.003</v>
      </c>
      <c r="E1732" s="16">
        <f>IFERROR(__xludf.DUMMYFUNCTION("""COMPUTED_VALUE"""),72.0)</f>
        <v>72</v>
      </c>
      <c r="F1732" s="19" t="str">
        <f>IFERROR(__xludf.DUMMYFUNCTION("""COMPUTED_VALUE"""),"BLACK")</f>
        <v>BLACK</v>
      </c>
      <c r="G1732" s="20" t="str">
        <f>IFERROR(__xludf.DUMMYFUNCTION("""COMPUTED_VALUE"""),"Uncle Sams Cider (04/04/2023)")</f>
        <v>Uncle Sams Cider (04/04/2023)</v>
      </c>
      <c r="H1732" s="19"/>
    </row>
    <row r="1733">
      <c r="A1733" s="9"/>
      <c r="B1733" s="15"/>
      <c r="C1733" s="9">
        <f>IFERROR(__xludf.DUMMYFUNCTION("""COMPUTED_VALUE"""),45126.4768000578)</f>
        <v>45126.4768</v>
      </c>
      <c r="D1733" s="15">
        <f>IFERROR(__xludf.DUMMYFUNCTION("""COMPUTED_VALUE"""),1.003)</f>
        <v>1.003</v>
      </c>
      <c r="E1733" s="16">
        <f>IFERROR(__xludf.DUMMYFUNCTION("""COMPUTED_VALUE"""),72.0)</f>
        <v>72</v>
      </c>
      <c r="F1733" s="19" t="str">
        <f>IFERROR(__xludf.DUMMYFUNCTION("""COMPUTED_VALUE"""),"BLACK")</f>
        <v>BLACK</v>
      </c>
      <c r="G1733" s="20" t="str">
        <f>IFERROR(__xludf.DUMMYFUNCTION("""COMPUTED_VALUE"""),"Uncle Sams Cider (04/04/2023)")</f>
        <v>Uncle Sams Cider (04/04/2023)</v>
      </c>
      <c r="H1733" s="19"/>
    </row>
    <row r="1734">
      <c r="A1734" s="9"/>
      <c r="B1734" s="15"/>
      <c r="C1734" s="9">
        <f>IFERROR(__xludf.DUMMYFUNCTION("""COMPUTED_VALUE"""),45126.4663676504)</f>
        <v>45126.46637</v>
      </c>
      <c r="D1734" s="15">
        <f>IFERROR(__xludf.DUMMYFUNCTION("""COMPUTED_VALUE"""),1.003)</f>
        <v>1.003</v>
      </c>
      <c r="E1734" s="16">
        <f>IFERROR(__xludf.DUMMYFUNCTION("""COMPUTED_VALUE"""),72.0)</f>
        <v>72</v>
      </c>
      <c r="F1734" s="19" t="str">
        <f>IFERROR(__xludf.DUMMYFUNCTION("""COMPUTED_VALUE"""),"BLACK")</f>
        <v>BLACK</v>
      </c>
      <c r="G1734" s="20" t="str">
        <f>IFERROR(__xludf.DUMMYFUNCTION("""COMPUTED_VALUE"""),"Uncle Sams Cider (04/04/2023)")</f>
        <v>Uncle Sams Cider (04/04/2023)</v>
      </c>
      <c r="H1734" s="19"/>
    </row>
    <row r="1735">
      <c r="A1735" s="9"/>
      <c r="B1735" s="15"/>
      <c r="C1735" s="9">
        <f>IFERROR(__xludf.DUMMYFUNCTION("""COMPUTED_VALUE"""),45126.4559462384)</f>
        <v>45126.45595</v>
      </c>
      <c r="D1735" s="15">
        <f>IFERROR(__xludf.DUMMYFUNCTION("""COMPUTED_VALUE"""),1.003)</f>
        <v>1.003</v>
      </c>
      <c r="E1735" s="16">
        <f>IFERROR(__xludf.DUMMYFUNCTION("""COMPUTED_VALUE"""),72.0)</f>
        <v>72</v>
      </c>
      <c r="F1735" s="19" t="str">
        <f>IFERROR(__xludf.DUMMYFUNCTION("""COMPUTED_VALUE"""),"BLACK")</f>
        <v>BLACK</v>
      </c>
      <c r="G1735" s="20" t="str">
        <f>IFERROR(__xludf.DUMMYFUNCTION("""COMPUTED_VALUE"""),"Uncle Sams Cider (04/04/2023)")</f>
        <v>Uncle Sams Cider (04/04/2023)</v>
      </c>
      <c r="H1735" s="19"/>
    </row>
    <row r="1736">
      <c r="A1736" s="9"/>
      <c r="B1736" s="15"/>
      <c r="C1736" s="9">
        <f>IFERROR(__xludf.DUMMYFUNCTION("""COMPUTED_VALUE"""),45126.4455259838)</f>
        <v>45126.44553</v>
      </c>
      <c r="D1736" s="15">
        <f>IFERROR(__xludf.DUMMYFUNCTION("""COMPUTED_VALUE"""),1.003)</f>
        <v>1.003</v>
      </c>
      <c r="E1736" s="16">
        <f>IFERROR(__xludf.DUMMYFUNCTION("""COMPUTED_VALUE"""),72.0)</f>
        <v>72</v>
      </c>
      <c r="F1736" s="19" t="str">
        <f>IFERROR(__xludf.DUMMYFUNCTION("""COMPUTED_VALUE"""),"BLACK")</f>
        <v>BLACK</v>
      </c>
      <c r="G1736" s="20" t="str">
        <f>IFERROR(__xludf.DUMMYFUNCTION("""COMPUTED_VALUE"""),"Uncle Sams Cider (04/04/2023)")</f>
        <v>Uncle Sams Cider (04/04/2023)</v>
      </c>
      <c r="H1736" s="19"/>
    </row>
    <row r="1737">
      <c r="A1737" s="9"/>
      <c r="B1737" s="15"/>
      <c r="C1737" s="9">
        <f>IFERROR(__xludf.DUMMYFUNCTION("""COMPUTED_VALUE"""),45126.4351026157)</f>
        <v>45126.4351</v>
      </c>
      <c r="D1737" s="15">
        <f>IFERROR(__xludf.DUMMYFUNCTION("""COMPUTED_VALUE"""),1.003)</f>
        <v>1.003</v>
      </c>
      <c r="E1737" s="16">
        <f>IFERROR(__xludf.DUMMYFUNCTION("""COMPUTED_VALUE"""),72.0)</f>
        <v>72</v>
      </c>
      <c r="F1737" s="19" t="str">
        <f>IFERROR(__xludf.DUMMYFUNCTION("""COMPUTED_VALUE"""),"BLACK")</f>
        <v>BLACK</v>
      </c>
      <c r="G1737" s="20" t="str">
        <f>IFERROR(__xludf.DUMMYFUNCTION("""COMPUTED_VALUE"""),"Uncle Sams Cider (04/04/2023)")</f>
        <v>Uncle Sams Cider (04/04/2023)</v>
      </c>
      <c r="H1737" s="19"/>
    </row>
    <row r="1738">
      <c r="A1738" s="9"/>
      <c r="B1738" s="15"/>
      <c r="C1738" s="9">
        <f>IFERROR(__xludf.DUMMYFUNCTION("""COMPUTED_VALUE"""),45126.4246804976)</f>
        <v>45126.42468</v>
      </c>
      <c r="D1738" s="15">
        <f>IFERROR(__xludf.DUMMYFUNCTION("""COMPUTED_VALUE"""),1.004)</f>
        <v>1.004</v>
      </c>
      <c r="E1738" s="16">
        <f>IFERROR(__xludf.DUMMYFUNCTION("""COMPUTED_VALUE"""),72.0)</f>
        <v>72</v>
      </c>
      <c r="F1738" s="19" t="str">
        <f>IFERROR(__xludf.DUMMYFUNCTION("""COMPUTED_VALUE"""),"BLACK")</f>
        <v>BLACK</v>
      </c>
      <c r="G1738" s="20" t="str">
        <f>IFERROR(__xludf.DUMMYFUNCTION("""COMPUTED_VALUE"""),"Uncle Sams Cider (04/04/2023)")</f>
        <v>Uncle Sams Cider (04/04/2023)</v>
      </c>
      <c r="H1738" s="19"/>
    </row>
    <row r="1739">
      <c r="A1739" s="9"/>
      <c r="B1739" s="15"/>
      <c r="C1739" s="9">
        <f>IFERROR(__xludf.DUMMYFUNCTION("""COMPUTED_VALUE"""),45126.4142477314)</f>
        <v>45126.41425</v>
      </c>
      <c r="D1739" s="15">
        <f>IFERROR(__xludf.DUMMYFUNCTION("""COMPUTED_VALUE"""),1.003)</f>
        <v>1.003</v>
      </c>
      <c r="E1739" s="16">
        <f>IFERROR(__xludf.DUMMYFUNCTION("""COMPUTED_VALUE"""),73.0)</f>
        <v>73</v>
      </c>
      <c r="F1739" s="19" t="str">
        <f>IFERROR(__xludf.DUMMYFUNCTION("""COMPUTED_VALUE"""),"BLACK")</f>
        <v>BLACK</v>
      </c>
      <c r="G1739" s="20" t="str">
        <f>IFERROR(__xludf.DUMMYFUNCTION("""COMPUTED_VALUE"""),"Uncle Sams Cider (04/04/2023)")</f>
        <v>Uncle Sams Cider (04/04/2023)</v>
      </c>
      <c r="H1739" s="19"/>
    </row>
    <row r="1740">
      <c r="A1740" s="9"/>
      <c r="B1740" s="15"/>
      <c r="C1740" s="9">
        <f>IFERROR(__xludf.DUMMYFUNCTION("""COMPUTED_VALUE"""),45126.4038244444)</f>
        <v>45126.40382</v>
      </c>
      <c r="D1740" s="15">
        <f>IFERROR(__xludf.DUMMYFUNCTION("""COMPUTED_VALUE"""),1.003)</f>
        <v>1.003</v>
      </c>
      <c r="E1740" s="16">
        <f>IFERROR(__xludf.DUMMYFUNCTION("""COMPUTED_VALUE"""),73.0)</f>
        <v>73</v>
      </c>
      <c r="F1740" s="19" t="str">
        <f>IFERROR(__xludf.DUMMYFUNCTION("""COMPUTED_VALUE"""),"BLACK")</f>
        <v>BLACK</v>
      </c>
      <c r="G1740" s="20" t="str">
        <f>IFERROR(__xludf.DUMMYFUNCTION("""COMPUTED_VALUE"""),"Uncle Sams Cider (04/04/2023)")</f>
        <v>Uncle Sams Cider (04/04/2023)</v>
      </c>
      <c r="H1740" s="19"/>
    </row>
    <row r="1741">
      <c r="A1741" s="9"/>
      <c r="B1741" s="15"/>
      <c r="C1741" s="9">
        <f>IFERROR(__xludf.DUMMYFUNCTION("""COMPUTED_VALUE"""),45126.3934053935)</f>
        <v>45126.39341</v>
      </c>
      <c r="D1741" s="15">
        <f>IFERROR(__xludf.DUMMYFUNCTION("""COMPUTED_VALUE"""),1.003)</f>
        <v>1.003</v>
      </c>
      <c r="E1741" s="16">
        <f>IFERROR(__xludf.DUMMYFUNCTION("""COMPUTED_VALUE"""),72.0)</f>
        <v>72</v>
      </c>
      <c r="F1741" s="19" t="str">
        <f>IFERROR(__xludf.DUMMYFUNCTION("""COMPUTED_VALUE"""),"BLACK")</f>
        <v>BLACK</v>
      </c>
      <c r="G1741" s="20" t="str">
        <f>IFERROR(__xludf.DUMMYFUNCTION("""COMPUTED_VALUE"""),"Uncle Sams Cider (04/04/2023)")</f>
        <v>Uncle Sams Cider (04/04/2023)</v>
      </c>
      <c r="H1741" s="19"/>
    </row>
    <row r="1742">
      <c r="A1742" s="9"/>
      <c r="B1742" s="15"/>
      <c r="C1742" s="9">
        <f>IFERROR(__xludf.DUMMYFUNCTION("""COMPUTED_VALUE"""),45126.3829828819)</f>
        <v>45126.38298</v>
      </c>
      <c r="D1742" s="15">
        <f>IFERROR(__xludf.DUMMYFUNCTION("""COMPUTED_VALUE"""),1.003)</f>
        <v>1.003</v>
      </c>
      <c r="E1742" s="16">
        <f>IFERROR(__xludf.DUMMYFUNCTION("""COMPUTED_VALUE"""),72.0)</f>
        <v>72</v>
      </c>
      <c r="F1742" s="19" t="str">
        <f>IFERROR(__xludf.DUMMYFUNCTION("""COMPUTED_VALUE"""),"BLACK")</f>
        <v>BLACK</v>
      </c>
      <c r="G1742" s="20" t="str">
        <f>IFERROR(__xludf.DUMMYFUNCTION("""COMPUTED_VALUE"""),"Uncle Sams Cider (04/04/2023)")</f>
        <v>Uncle Sams Cider (04/04/2023)</v>
      </c>
      <c r="H1742" s="19"/>
    </row>
    <row r="1743">
      <c r="A1743" s="9"/>
      <c r="B1743" s="15"/>
      <c r="C1743" s="9">
        <f>IFERROR(__xludf.DUMMYFUNCTION("""COMPUTED_VALUE"""),45126.3725601504)</f>
        <v>45126.37256</v>
      </c>
      <c r="D1743" s="15">
        <f>IFERROR(__xludf.DUMMYFUNCTION("""COMPUTED_VALUE"""),1.004)</f>
        <v>1.004</v>
      </c>
      <c r="E1743" s="16">
        <f>IFERROR(__xludf.DUMMYFUNCTION("""COMPUTED_VALUE"""),72.0)</f>
        <v>72</v>
      </c>
      <c r="F1743" s="19" t="str">
        <f>IFERROR(__xludf.DUMMYFUNCTION("""COMPUTED_VALUE"""),"BLACK")</f>
        <v>BLACK</v>
      </c>
      <c r="G1743" s="20" t="str">
        <f>IFERROR(__xludf.DUMMYFUNCTION("""COMPUTED_VALUE"""),"Uncle Sams Cider (04/04/2023)")</f>
        <v>Uncle Sams Cider (04/04/2023)</v>
      </c>
      <c r="H1743" s="19"/>
    </row>
    <row r="1744">
      <c r="A1744" s="9"/>
      <c r="B1744" s="15"/>
      <c r="C1744" s="9">
        <f>IFERROR(__xludf.DUMMYFUNCTION("""COMPUTED_VALUE"""),45126.3621396527)</f>
        <v>45126.36214</v>
      </c>
      <c r="D1744" s="15">
        <f>IFERROR(__xludf.DUMMYFUNCTION("""COMPUTED_VALUE"""),1.003)</f>
        <v>1.003</v>
      </c>
      <c r="E1744" s="16">
        <f>IFERROR(__xludf.DUMMYFUNCTION("""COMPUTED_VALUE"""),72.0)</f>
        <v>72</v>
      </c>
      <c r="F1744" s="19" t="str">
        <f>IFERROR(__xludf.DUMMYFUNCTION("""COMPUTED_VALUE"""),"BLACK")</f>
        <v>BLACK</v>
      </c>
      <c r="G1744" s="20" t="str">
        <f>IFERROR(__xludf.DUMMYFUNCTION("""COMPUTED_VALUE"""),"Uncle Sams Cider (04/04/2023)")</f>
        <v>Uncle Sams Cider (04/04/2023)</v>
      </c>
      <c r="H1744" s="19"/>
    </row>
    <row r="1745">
      <c r="A1745" s="9"/>
      <c r="B1745" s="15"/>
      <c r="C1745" s="9">
        <f>IFERROR(__xludf.DUMMYFUNCTION("""COMPUTED_VALUE"""),45126.3517176273)</f>
        <v>45126.35172</v>
      </c>
      <c r="D1745" s="15">
        <f>IFERROR(__xludf.DUMMYFUNCTION("""COMPUTED_VALUE"""),1.003)</f>
        <v>1.003</v>
      </c>
      <c r="E1745" s="16">
        <f>IFERROR(__xludf.DUMMYFUNCTION("""COMPUTED_VALUE"""),72.0)</f>
        <v>72</v>
      </c>
      <c r="F1745" s="19" t="str">
        <f>IFERROR(__xludf.DUMMYFUNCTION("""COMPUTED_VALUE"""),"BLACK")</f>
        <v>BLACK</v>
      </c>
      <c r="G1745" s="20" t="str">
        <f>IFERROR(__xludf.DUMMYFUNCTION("""COMPUTED_VALUE"""),"Uncle Sams Cider (04/04/2023)")</f>
        <v>Uncle Sams Cider (04/04/2023)</v>
      </c>
      <c r="H1745" s="19"/>
    </row>
    <row r="1746">
      <c r="A1746" s="9"/>
      <c r="B1746" s="15"/>
      <c r="C1746" s="9">
        <f>IFERROR(__xludf.DUMMYFUNCTION("""COMPUTED_VALUE"""),45126.3412979166)</f>
        <v>45126.3413</v>
      </c>
      <c r="D1746" s="15">
        <f>IFERROR(__xludf.DUMMYFUNCTION("""COMPUTED_VALUE"""),1.003)</f>
        <v>1.003</v>
      </c>
      <c r="E1746" s="16">
        <f>IFERROR(__xludf.DUMMYFUNCTION("""COMPUTED_VALUE"""),73.0)</f>
        <v>73</v>
      </c>
      <c r="F1746" s="19" t="str">
        <f>IFERROR(__xludf.DUMMYFUNCTION("""COMPUTED_VALUE"""),"BLACK")</f>
        <v>BLACK</v>
      </c>
      <c r="G1746" s="20" t="str">
        <f>IFERROR(__xludf.DUMMYFUNCTION("""COMPUTED_VALUE"""),"Uncle Sams Cider (04/04/2023)")</f>
        <v>Uncle Sams Cider (04/04/2023)</v>
      </c>
      <c r="H1746" s="19"/>
    </row>
    <row r="1747">
      <c r="A1747" s="9"/>
      <c r="B1747" s="15"/>
      <c r="C1747" s="9">
        <f>IFERROR(__xludf.DUMMYFUNCTION("""COMPUTED_VALUE"""),45126.3308770254)</f>
        <v>45126.33088</v>
      </c>
      <c r="D1747" s="15">
        <f>IFERROR(__xludf.DUMMYFUNCTION("""COMPUTED_VALUE"""),1.003)</f>
        <v>1.003</v>
      </c>
      <c r="E1747" s="16">
        <f>IFERROR(__xludf.DUMMYFUNCTION("""COMPUTED_VALUE"""),72.0)</f>
        <v>72</v>
      </c>
      <c r="F1747" s="19" t="str">
        <f>IFERROR(__xludf.DUMMYFUNCTION("""COMPUTED_VALUE"""),"BLACK")</f>
        <v>BLACK</v>
      </c>
      <c r="G1747" s="20" t="str">
        <f>IFERROR(__xludf.DUMMYFUNCTION("""COMPUTED_VALUE"""),"Uncle Sams Cider (04/04/2023)")</f>
        <v>Uncle Sams Cider (04/04/2023)</v>
      </c>
      <c r="H1747" s="19"/>
    </row>
    <row r="1748">
      <c r="A1748" s="9"/>
      <c r="B1748" s="15"/>
      <c r="C1748" s="9">
        <f>IFERROR(__xludf.DUMMYFUNCTION("""COMPUTED_VALUE"""),45126.3204561689)</f>
        <v>45126.32046</v>
      </c>
      <c r="D1748" s="15">
        <f>IFERROR(__xludf.DUMMYFUNCTION("""COMPUTED_VALUE"""),1.003)</f>
        <v>1.003</v>
      </c>
      <c r="E1748" s="16">
        <f>IFERROR(__xludf.DUMMYFUNCTION("""COMPUTED_VALUE"""),72.0)</f>
        <v>72</v>
      </c>
      <c r="F1748" s="19" t="str">
        <f>IFERROR(__xludf.DUMMYFUNCTION("""COMPUTED_VALUE"""),"BLACK")</f>
        <v>BLACK</v>
      </c>
      <c r="G1748" s="20" t="str">
        <f>IFERROR(__xludf.DUMMYFUNCTION("""COMPUTED_VALUE"""),"Uncle Sams Cider (04/04/2023)")</f>
        <v>Uncle Sams Cider (04/04/2023)</v>
      </c>
      <c r="H1748" s="19"/>
    </row>
    <row r="1749">
      <c r="A1749" s="9"/>
      <c r="B1749" s="15"/>
      <c r="C1749" s="9">
        <f>IFERROR(__xludf.DUMMYFUNCTION("""COMPUTED_VALUE"""),45126.310023368)</f>
        <v>45126.31002</v>
      </c>
      <c r="D1749" s="15">
        <f>IFERROR(__xludf.DUMMYFUNCTION("""COMPUTED_VALUE"""),1.003)</f>
        <v>1.003</v>
      </c>
      <c r="E1749" s="16">
        <f>IFERROR(__xludf.DUMMYFUNCTION("""COMPUTED_VALUE"""),72.0)</f>
        <v>72</v>
      </c>
      <c r="F1749" s="19" t="str">
        <f>IFERROR(__xludf.DUMMYFUNCTION("""COMPUTED_VALUE"""),"BLACK")</f>
        <v>BLACK</v>
      </c>
      <c r="G1749" s="20" t="str">
        <f>IFERROR(__xludf.DUMMYFUNCTION("""COMPUTED_VALUE"""),"Uncle Sams Cider (04/04/2023)")</f>
        <v>Uncle Sams Cider (04/04/2023)</v>
      </c>
      <c r="H1749" s="19"/>
    </row>
    <row r="1750">
      <c r="A1750" s="9"/>
      <c r="B1750" s="15"/>
      <c r="C1750" s="9">
        <f>IFERROR(__xludf.DUMMYFUNCTION("""COMPUTED_VALUE"""),45126.2996030439)</f>
        <v>45126.2996</v>
      </c>
      <c r="D1750" s="15">
        <f>IFERROR(__xludf.DUMMYFUNCTION("""COMPUTED_VALUE"""),1.003)</f>
        <v>1.003</v>
      </c>
      <c r="E1750" s="16">
        <f>IFERROR(__xludf.DUMMYFUNCTION("""COMPUTED_VALUE"""),72.0)</f>
        <v>72</v>
      </c>
      <c r="F1750" s="19" t="str">
        <f>IFERROR(__xludf.DUMMYFUNCTION("""COMPUTED_VALUE"""),"BLACK")</f>
        <v>BLACK</v>
      </c>
      <c r="G1750" s="20" t="str">
        <f>IFERROR(__xludf.DUMMYFUNCTION("""COMPUTED_VALUE"""),"Uncle Sams Cider (04/04/2023)")</f>
        <v>Uncle Sams Cider (04/04/2023)</v>
      </c>
      <c r="H1750" s="19"/>
    </row>
    <row r="1751">
      <c r="A1751" s="9"/>
      <c r="B1751" s="15"/>
      <c r="C1751" s="9">
        <f>IFERROR(__xludf.DUMMYFUNCTION("""COMPUTED_VALUE"""),45126.289171412)</f>
        <v>45126.28917</v>
      </c>
      <c r="D1751" s="15">
        <f>IFERROR(__xludf.DUMMYFUNCTION("""COMPUTED_VALUE"""),1.003)</f>
        <v>1.003</v>
      </c>
      <c r="E1751" s="16">
        <f>IFERROR(__xludf.DUMMYFUNCTION("""COMPUTED_VALUE"""),72.0)</f>
        <v>72</v>
      </c>
      <c r="F1751" s="19" t="str">
        <f>IFERROR(__xludf.DUMMYFUNCTION("""COMPUTED_VALUE"""),"BLACK")</f>
        <v>BLACK</v>
      </c>
      <c r="G1751" s="20" t="str">
        <f>IFERROR(__xludf.DUMMYFUNCTION("""COMPUTED_VALUE"""),"Uncle Sams Cider (04/04/2023)")</f>
        <v>Uncle Sams Cider (04/04/2023)</v>
      </c>
      <c r="H1751" s="19"/>
    </row>
    <row r="1752">
      <c r="A1752" s="9"/>
      <c r="B1752" s="15"/>
      <c r="C1752" s="9">
        <f>IFERROR(__xludf.DUMMYFUNCTION("""COMPUTED_VALUE"""),45126.2787510532)</f>
        <v>45126.27875</v>
      </c>
      <c r="D1752" s="15">
        <f>IFERROR(__xludf.DUMMYFUNCTION("""COMPUTED_VALUE"""),1.003)</f>
        <v>1.003</v>
      </c>
      <c r="E1752" s="16">
        <f>IFERROR(__xludf.DUMMYFUNCTION("""COMPUTED_VALUE"""),72.0)</f>
        <v>72</v>
      </c>
      <c r="F1752" s="19" t="str">
        <f>IFERROR(__xludf.DUMMYFUNCTION("""COMPUTED_VALUE"""),"BLACK")</f>
        <v>BLACK</v>
      </c>
      <c r="G1752" s="20" t="str">
        <f>IFERROR(__xludf.DUMMYFUNCTION("""COMPUTED_VALUE"""),"Uncle Sams Cider (04/04/2023)")</f>
        <v>Uncle Sams Cider (04/04/2023)</v>
      </c>
      <c r="H1752" s="19"/>
    </row>
    <row r="1753">
      <c r="A1753" s="9"/>
      <c r="B1753" s="15"/>
      <c r="C1753" s="9">
        <f>IFERROR(__xludf.DUMMYFUNCTION("""COMPUTED_VALUE"""),45126.268328993)</f>
        <v>45126.26833</v>
      </c>
      <c r="D1753" s="15">
        <f>IFERROR(__xludf.DUMMYFUNCTION("""COMPUTED_VALUE"""),1.003)</f>
        <v>1.003</v>
      </c>
      <c r="E1753" s="16">
        <f>IFERROR(__xludf.DUMMYFUNCTION("""COMPUTED_VALUE"""),72.0)</f>
        <v>72</v>
      </c>
      <c r="F1753" s="19" t="str">
        <f>IFERROR(__xludf.DUMMYFUNCTION("""COMPUTED_VALUE"""),"BLACK")</f>
        <v>BLACK</v>
      </c>
      <c r="G1753" s="20" t="str">
        <f>IFERROR(__xludf.DUMMYFUNCTION("""COMPUTED_VALUE"""),"Uncle Sams Cider (04/04/2023)")</f>
        <v>Uncle Sams Cider (04/04/2023)</v>
      </c>
      <c r="H1753" s="19"/>
    </row>
    <row r="1754">
      <c r="A1754" s="9"/>
      <c r="B1754" s="15"/>
      <c r="C1754" s="9">
        <f>IFERROR(__xludf.DUMMYFUNCTION("""COMPUTED_VALUE"""),45126.257895625)</f>
        <v>45126.2579</v>
      </c>
      <c r="D1754" s="15">
        <f>IFERROR(__xludf.DUMMYFUNCTION("""COMPUTED_VALUE"""),1.003)</f>
        <v>1.003</v>
      </c>
      <c r="E1754" s="16">
        <f>IFERROR(__xludf.DUMMYFUNCTION("""COMPUTED_VALUE"""),72.0)</f>
        <v>72</v>
      </c>
      <c r="F1754" s="19" t="str">
        <f>IFERROR(__xludf.DUMMYFUNCTION("""COMPUTED_VALUE"""),"BLACK")</f>
        <v>BLACK</v>
      </c>
      <c r="G1754" s="20" t="str">
        <f>IFERROR(__xludf.DUMMYFUNCTION("""COMPUTED_VALUE"""),"Uncle Sams Cider (04/04/2023)")</f>
        <v>Uncle Sams Cider (04/04/2023)</v>
      </c>
      <c r="H1754" s="19"/>
    </row>
    <row r="1755">
      <c r="A1755" s="9"/>
      <c r="B1755" s="15"/>
      <c r="C1755" s="9">
        <f>IFERROR(__xludf.DUMMYFUNCTION("""COMPUTED_VALUE"""),45126.2474633912)</f>
        <v>45126.24746</v>
      </c>
      <c r="D1755" s="15">
        <f>IFERROR(__xludf.DUMMYFUNCTION("""COMPUTED_VALUE"""),1.003)</f>
        <v>1.003</v>
      </c>
      <c r="E1755" s="16">
        <f>IFERROR(__xludf.DUMMYFUNCTION("""COMPUTED_VALUE"""),72.0)</f>
        <v>72</v>
      </c>
      <c r="F1755" s="19" t="str">
        <f>IFERROR(__xludf.DUMMYFUNCTION("""COMPUTED_VALUE"""),"BLACK")</f>
        <v>BLACK</v>
      </c>
      <c r="G1755" s="20" t="str">
        <f>IFERROR(__xludf.DUMMYFUNCTION("""COMPUTED_VALUE"""),"Uncle Sams Cider (04/04/2023)")</f>
        <v>Uncle Sams Cider (04/04/2023)</v>
      </c>
      <c r="H1755" s="19"/>
    </row>
    <row r="1756">
      <c r="A1756" s="9"/>
      <c r="B1756" s="15"/>
      <c r="C1756" s="9">
        <f>IFERROR(__xludf.DUMMYFUNCTION("""COMPUTED_VALUE"""),45126.2370416319)</f>
        <v>45126.23704</v>
      </c>
      <c r="D1756" s="15">
        <f>IFERROR(__xludf.DUMMYFUNCTION("""COMPUTED_VALUE"""),1.003)</f>
        <v>1.003</v>
      </c>
      <c r="E1756" s="16">
        <f>IFERROR(__xludf.DUMMYFUNCTION("""COMPUTED_VALUE"""),72.0)</f>
        <v>72</v>
      </c>
      <c r="F1756" s="19" t="str">
        <f>IFERROR(__xludf.DUMMYFUNCTION("""COMPUTED_VALUE"""),"BLACK")</f>
        <v>BLACK</v>
      </c>
      <c r="G1756" s="20" t="str">
        <f>IFERROR(__xludf.DUMMYFUNCTION("""COMPUTED_VALUE"""),"Uncle Sams Cider (04/04/2023)")</f>
        <v>Uncle Sams Cider (04/04/2023)</v>
      </c>
      <c r="H1756" s="19"/>
    </row>
    <row r="1757">
      <c r="A1757" s="9"/>
      <c r="B1757" s="15"/>
      <c r="C1757" s="9">
        <f>IFERROR(__xludf.DUMMYFUNCTION("""COMPUTED_VALUE"""),45126.2266197106)</f>
        <v>45126.22662</v>
      </c>
      <c r="D1757" s="15">
        <f>IFERROR(__xludf.DUMMYFUNCTION("""COMPUTED_VALUE"""),1.003)</f>
        <v>1.003</v>
      </c>
      <c r="E1757" s="16">
        <f>IFERROR(__xludf.DUMMYFUNCTION("""COMPUTED_VALUE"""),72.0)</f>
        <v>72</v>
      </c>
      <c r="F1757" s="19" t="str">
        <f>IFERROR(__xludf.DUMMYFUNCTION("""COMPUTED_VALUE"""),"BLACK")</f>
        <v>BLACK</v>
      </c>
      <c r="G1757" s="20" t="str">
        <f>IFERROR(__xludf.DUMMYFUNCTION("""COMPUTED_VALUE"""),"Uncle Sams Cider (04/04/2023)")</f>
        <v>Uncle Sams Cider (04/04/2023)</v>
      </c>
      <c r="H1757" s="19"/>
    </row>
    <row r="1758">
      <c r="A1758" s="9"/>
      <c r="B1758" s="15"/>
      <c r="C1758" s="9">
        <f>IFERROR(__xludf.DUMMYFUNCTION("""COMPUTED_VALUE"""),45126.216198993)</f>
        <v>45126.2162</v>
      </c>
      <c r="D1758" s="15">
        <f>IFERROR(__xludf.DUMMYFUNCTION("""COMPUTED_VALUE"""),1.003)</f>
        <v>1.003</v>
      </c>
      <c r="E1758" s="16">
        <f>IFERROR(__xludf.DUMMYFUNCTION("""COMPUTED_VALUE"""),72.0)</f>
        <v>72</v>
      </c>
      <c r="F1758" s="19" t="str">
        <f>IFERROR(__xludf.DUMMYFUNCTION("""COMPUTED_VALUE"""),"BLACK")</f>
        <v>BLACK</v>
      </c>
      <c r="G1758" s="20" t="str">
        <f>IFERROR(__xludf.DUMMYFUNCTION("""COMPUTED_VALUE"""),"Uncle Sams Cider (04/04/2023)")</f>
        <v>Uncle Sams Cider (04/04/2023)</v>
      </c>
      <c r="H1758" s="19"/>
    </row>
    <row r="1759">
      <c r="A1759" s="9"/>
      <c r="B1759" s="15"/>
      <c r="C1759" s="9">
        <f>IFERROR(__xludf.DUMMYFUNCTION("""COMPUTED_VALUE"""),45126.2057757754)</f>
        <v>45126.20578</v>
      </c>
      <c r="D1759" s="15">
        <f>IFERROR(__xludf.DUMMYFUNCTION("""COMPUTED_VALUE"""),1.003)</f>
        <v>1.003</v>
      </c>
      <c r="E1759" s="16">
        <f>IFERROR(__xludf.DUMMYFUNCTION("""COMPUTED_VALUE"""),72.0)</f>
        <v>72</v>
      </c>
      <c r="F1759" s="19" t="str">
        <f>IFERROR(__xludf.DUMMYFUNCTION("""COMPUTED_VALUE"""),"BLACK")</f>
        <v>BLACK</v>
      </c>
      <c r="G1759" s="20" t="str">
        <f>IFERROR(__xludf.DUMMYFUNCTION("""COMPUTED_VALUE"""),"Uncle Sams Cider (04/04/2023)")</f>
        <v>Uncle Sams Cider (04/04/2023)</v>
      </c>
      <c r="H1759" s="19"/>
    </row>
    <row r="1760">
      <c r="A1760" s="9"/>
      <c r="B1760" s="15"/>
      <c r="C1760" s="9">
        <f>IFERROR(__xludf.DUMMYFUNCTION("""COMPUTED_VALUE"""),45126.1953522569)</f>
        <v>45126.19535</v>
      </c>
      <c r="D1760" s="15">
        <f>IFERROR(__xludf.DUMMYFUNCTION("""COMPUTED_VALUE"""),1.003)</f>
        <v>1.003</v>
      </c>
      <c r="E1760" s="16">
        <f>IFERROR(__xludf.DUMMYFUNCTION("""COMPUTED_VALUE"""),72.0)</f>
        <v>72</v>
      </c>
      <c r="F1760" s="19" t="str">
        <f>IFERROR(__xludf.DUMMYFUNCTION("""COMPUTED_VALUE"""),"BLACK")</f>
        <v>BLACK</v>
      </c>
      <c r="G1760" s="20" t="str">
        <f>IFERROR(__xludf.DUMMYFUNCTION("""COMPUTED_VALUE"""),"Uncle Sams Cider (04/04/2023)")</f>
        <v>Uncle Sams Cider (04/04/2023)</v>
      </c>
      <c r="H1760" s="19"/>
    </row>
    <row r="1761">
      <c r="A1761" s="9"/>
      <c r="B1761" s="15"/>
      <c r="C1761" s="9">
        <f>IFERROR(__xludf.DUMMYFUNCTION("""COMPUTED_VALUE"""),45126.1849321875)</f>
        <v>45126.18493</v>
      </c>
      <c r="D1761" s="15">
        <f>IFERROR(__xludf.DUMMYFUNCTION("""COMPUTED_VALUE"""),1.003)</f>
        <v>1.003</v>
      </c>
      <c r="E1761" s="16">
        <f>IFERROR(__xludf.DUMMYFUNCTION("""COMPUTED_VALUE"""),72.0)</f>
        <v>72</v>
      </c>
      <c r="F1761" s="19" t="str">
        <f>IFERROR(__xludf.DUMMYFUNCTION("""COMPUTED_VALUE"""),"BLACK")</f>
        <v>BLACK</v>
      </c>
      <c r="G1761" s="20" t="str">
        <f>IFERROR(__xludf.DUMMYFUNCTION("""COMPUTED_VALUE"""),"Uncle Sams Cider (04/04/2023)")</f>
        <v>Uncle Sams Cider (04/04/2023)</v>
      </c>
      <c r="H1761" s="19"/>
    </row>
    <row r="1762">
      <c r="A1762" s="9"/>
      <c r="B1762" s="15"/>
      <c r="C1762" s="9">
        <f>IFERROR(__xludf.DUMMYFUNCTION("""COMPUTED_VALUE"""),45126.1745118171)</f>
        <v>45126.17451</v>
      </c>
      <c r="D1762" s="15">
        <f>IFERROR(__xludf.DUMMYFUNCTION("""COMPUTED_VALUE"""),1.003)</f>
        <v>1.003</v>
      </c>
      <c r="E1762" s="16">
        <f>IFERROR(__xludf.DUMMYFUNCTION("""COMPUTED_VALUE"""),72.0)</f>
        <v>72</v>
      </c>
      <c r="F1762" s="19" t="str">
        <f>IFERROR(__xludf.DUMMYFUNCTION("""COMPUTED_VALUE"""),"BLACK")</f>
        <v>BLACK</v>
      </c>
      <c r="G1762" s="20" t="str">
        <f>IFERROR(__xludf.DUMMYFUNCTION("""COMPUTED_VALUE"""),"Uncle Sams Cider (04/04/2023)")</f>
        <v>Uncle Sams Cider (04/04/2023)</v>
      </c>
      <c r="H1762" s="19"/>
    </row>
    <row r="1763">
      <c r="A1763" s="9"/>
      <c r="B1763" s="15"/>
      <c r="C1763" s="9">
        <f>IFERROR(__xludf.DUMMYFUNCTION("""COMPUTED_VALUE"""),45126.1640909722)</f>
        <v>45126.16409</v>
      </c>
      <c r="D1763" s="15">
        <f>IFERROR(__xludf.DUMMYFUNCTION("""COMPUTED_VALUE"""),1.003)</f>
        <v>1.003</v>
      </c>
      <c r="E1763" s="16">
        <f>IFERROR(__xludf.DUMMYFUNCTION("""COMPUTED_VALUE"""),72.0)</f>
        <v>72</v>
      </c>
      <c r="F1763" s="19" t="str">
        <f>IFERROR(__xludf.DUMMYFUNCTION("""COMPUTED_VALUE"""),"BLACK")</f>
        <v>BLACK</v>
      </c>
      <c r="G1763" s="20" t="str">
        <f>IFERROR(__xludf.DUMMYFUNCTION("""COMPUTED_VALUE"""),"Uncle Sams Cider (04/04/2023)")</f>
        <v>Uncle Sams Cider (04/04/2023)</v>
      </c>
      <c r="H1763" s="19"/>
    </row>
    <row r="1764">
      <c r="A1764" s="9"/>
      <c r="B1764" s="15"/>
      <c r="C1764" s="9">
        <f>IFERROR(__xludf.DUMMYFUNCTION("""COMPUTED_VALUE"""),45126.1536697106)</f>
        <v>45126.15367</v>
      </c>
      <c r="D1764" s="15">
        <f>IFERROR(__xludf.DUMMYFUNCTION("""COMPUTED_VALUE"""),1.003)</f>
        <v>1.003</v>
      </c>
      <c r="E1764" s="16">
        <f>IFERROR(__xludf.DUMMYFUNCTION("""COMPUTED_VALUE"""),72.0)</f>
        <v>72</v>
      </c>
      <c r="F1764" s="19" t="str">
        <f>IFERROR(__xludf.DUMMYFUNCTION("""COMPUTED_VALUE"""),"BLACK")</f>
        <v>BLACK</v>
      </c>
      <c r="G1764" s="20" t="str">
        <f>IFERROR(__xludf.DUMMYFUNCTION("""COMPUTED_VALUE"""),"Uncle Sams Cider (04/04/2023)")</f>
        <v>Uncle Sams Cider (04/04/2023)</v>
      </c>
      <c r="H1764" s="19"/>
    </row>
    <row r="1765">
      <c r="A1765" s="9"/>
      <c r="B1765" s="15"/>
      <c r="C1765" s="9">
        <f>IFERROR(__xludf.DUMMYFUNCTION("""COMPUTED_VALUE"""),45126.1432376504)</f>
        <v>45126.14324</v>
      </c>
      <c r="D1765" s="15">
        <f>IFERROR(__xludf.DUMMYFUNCTION("""COMPUTED_VALUE"""),1.003)</f>
        <v>1.003</v>
      </c>
      <c r="E1765" s="16">
        <f>IFERROR(__xludf.DUMMYFUNCTION("""COMPUTED_VALUE"""),72.0)</f>
        <v>72</v>
      </c>
      <c r="F1765" s="19" t="str">
        <f>IFERROR(__xludf.DUMMYFUNCTION("""COMPUTED_VALUE"""),"BLACK")</f>
        <v>BLACK</v>
      </c>
      <c r="G1765" s="20" t="str">
        <f>IFERROR(__xludf.DUMMYFUNCTION("""COMPUTED_VALUE"""),"Uncle Sams Cider (04/04/2023)")</f>
        <v>Uncle Sams Cider (04/04/2023)</v>
      </c>
      <c r="H1765" s="19"/>
    </row>
    <row r="1766">
      <c r="A1766" s="9"/>
      <c r="B1766" s="15"/>
      <c r="C1766" s="9">
        <f>IFERROR(__xludf.DUMMYFUNCTION("""COMPUTED_VALUE"""),45126.1328178356)</f>
        <v>45126.13282</v>
      </c>
      <c r="D1766" s="15">
        <f>IFERROR(__xludf.DUMMYFUNCTION("""COMPUTED_VALUE"""),1.003)</f>
        <v>1.003</v>
      </c>
      <c r="E1766" s="16">
        <f>IFERROR(__xludf.DUMMYFUNCTION("""COMPUTED_VALUE"""),72.0)</f>
        <v>72</v>
      </c>
      <c r="F1766" s="19" t="str">
        <f>IFERROR(__xludf.DUMMYFUNCTION("""COMPUTED_VALUE"""),"BLACK")</f>
        <v>BLACK</v>
      </c>
      <c r="G1766" s="20" t="str">
        <f>IFERROR(__xludf.DUMMYFUNCTION("""COMPUTED_VALUE"""),"Uncle Sams Cider (04/04/2023)")</f>
        <v>Uncle Sams Cider (04/04/2023)</v>
      </c>
      <c r="H1766" s="19"/>
    </row>
    <row r="1767">
      <c r="A1767" s="9"/>
      <c r="B1767" s="15"/>
      <c r="C1767" s="9">
        <f>IFERROR(__xludf.DUMMYFUNCTION("""COMPUTED_VALUE"""),45126.1223968634)</f>
        <v>45126.1224</v>
      </c>
      <c r="D1767" s="15">
        <f>IFERROR(__xludf.DUMMYFUNCTION("""COMPUTED_VALUE"""),1.003)</f>
        <v>1.003</v>
      </c>
      <c r="E1767" s="16">
        <f>IFERROR(__xludf.DUMMYFUNCTION("""COMPUTED_VALUE"""),72.0)</f>
        <v>72</v>
      </c>
      <c r="F1767" s="19" t="str">
        <f>IFERROR(__xludf.DUMMYFUNCTION("""COMPUTED_VALUE"""),"BLACK")</f>
        <v>BLACK</v>
      </c>
      <c r="G1767" s="20" t="str">
        <f>IFERROR(__xludf.DUMMYFUNCTION("""COMPUTED_VALUE"""),"Uncle Sams Cider (04/04/2023)")</f>
        <v>Uncle Sams Cider (04/04/2023)</v>
      </c>
      <c r="H1767" s="19"/>
    </row>
    <row r="1768">
      <c r="A1768" s="9"/>
      <c r="B1768" s="15"/>
      <c r="C1768" s="9">
        <f>IFERROR(__xludf.DUMMYFUNCTION("""COMPUTED_VALUE"""),45126.111975081)</f>
        <v>45126.11198</v>
      </c>
      <c r="D1768" s="15">
        <f>IFERROR(__xludf.DUMMYFUNCTION("""COMPUTED_VALUE"""),1.003)</f>
        <v>1.003</v>
      </c>
      <c r="E1768" s="16">
        <f>IFERROR(__xludf.DUMMYFUNCTION("""COMPUTED_VALUE"""),72.0)</f>
        <v>72</v>
      </c>
      <c r="F1768" s="19" t="str">
        <f>IFERROR(__xludf.DUMMYFUNCTION("""COMPUTED_VALUE"""),"BLACK")</f>
        <v>BLACK</v>
      </c>
      <c r="G1768" s="20" t="str">
        <f>IFERROR(__xludf.DUMMYFUNCTION("""COMPUTED_VALUE"""),"Uncle Sams Cider (04/04/2023)")</f>
        <v>Uncle Sams Cider (04/04/2023)</v>
      </c>
      <c r="H1768" s="19"/>
    </row>
    <row r="1769">
      <c r="A1769" s="9"/>
      <c r="B1769" s="15"/>
      <c r="C1769" s="9">
        <f>IFERROR(__xludf.DUMMYFUNCTION("""COMPUTED_VALUE"""),45126.1015424305)</f>
        <v>45126.10154</v>
      </c>
      <c r="D1769" s="15">
        <f>IFERROR(__xludf.DUMMYFUNCTION("""COMPUTED_VALUE"""),1.003)</f>
        <v>1.003</v>
      </c>
      <c r="E1769" s="16">
        <f>IFERROR(__xludf.DUMMYFUNCTION("""COMPUTED_VALUE"""),72.0)</f>
        <v>72</v>
      </c>
      <c r="F1769" s="19" t="str">
        <f>IFERROR(__xludf.DUMMYFUNCTION("""COMPUTED_VALUE"""),"BLACK")</f>
        <v>BLACK</v>
      </c>
      <c r="G1769" s="20" t="str">
        <f>IFERROR(__xludf.DUMMYFUNCTION("""COMPUTED_VALUE"""),"Uncle Sams Cider (04/04/2023)")</f>
        <v>Uncle Sams Cider (04/04/2023)</v>
      </c>
      <c r="H1769" s="19"/>
    </row>
    <row r="1770">
      <c r="A1770" s="9"/>
      <c r="B1770" s="15"/>
      <c r="C1770" s="9">
        <f>IFERROR(__xludf.DUMMYFUNCTION("""COMPUTED_VALUE"""),45126.0911214351)</f>
        <v>45126.09112</v>
      </c>
      <c r="D1770" s="15">
        <f>IFERROR(__xludf.DUMMYFUNCTION("""COMPUTED_VALUE"""),1.003)</f>
        <v>1.003</v>
      </c>
      <c r="E1770" s="16">
        <f>IFERROR(__xludf.DUMMYFUNCTION("""COMPUTED_VALUE"""),72.0)</f>
        <v>72</v>
      </c>
      <c r="F1770" s="19" t="str">
        <f>IFERROR(__xludf.DUMMYFUNCTION("""COMPUTED_VALUE"""),"BLACK")</f>
        <v>BLACK</v>
      </c>
      <c r="G1770" s="20" t="str">
        <f>IFERROR(__xludf.DUMMYFUNCTION("""COMPUTED_VALUE"""),"Uncle Sams Cider (04/04/2023)")</f>
        <v>Uncle Sams Cider (04/04/2023)</v>
      </c>
      <c r="H1770" s="19"/>
    </row>
    <row r="1771">
      <c r="A1771" s="9"/>
      <c r="B1771" s="15"/>
      <c r="C1771" s="9">
        <f>IFERROR(__xludf.DUMMYFUNCTION("""COMPUTED_VALUE"""),45126.0806890277)</f>
        <v>45126.08069</v>
      </c>
      <c r="D1771" s="15">
        <f>IFERROR(__xludf.DUMMYFUNCTION("""COMPUTED_VALUE"""),1.003)</f>
        <v>1.003</v>
      </c>
      <c r="E1771" s="16">
        <f>IFERROR(__xludf.DUMMYFUNCTION("""COMPUTED_VALUE"""),72.0)</f>
        <v>72</v>
      </c>
      <c r="F1771" s="19" t="str">
        <f>IFERROR(__xludf.DUMMYFUNCTION("""COMPUTED_VALUE"""),"BLACK")</f>
        <v>BLACK</v>
      </c>
      <c r="G1771" s="20" t="str">
        <f>IFERROR(__xludf.DUMMYFUNCTION("""COMPUTED_VALUE"""),"Uncle Sams Cider (04/04/2023)")</f>
        <v>Uncle Sams Cider (04/04/2023)</v>
      </c>
      <c r="H1771" s="19"/>
    </row>
    <row r="1772">
      <c r="A1772" s="9"/>
      <c r="B1772" s="15"/>
      <c r="C1772" s="9">
        <f>IFERROR(__xludf.DUMMYFUNCTION("""COMPUTED_VALUE"""),45126.0702666319)</f>
        <v>45126.07027</v>
      </c>
      <c r="D1772" s="15">
        <f>IFERROR(__xludf.DUMMYFUNCTION("""COMPUTED_VALUE"""),1.003)</f>
        <v>1.003</v>
      </c>
      <c r="E1772" s="16">
        <f>IFERROR(__xludf.DUMMYFUNCTION("""COMPUTED_VALUE"""),72.0)</f>
        <v>72</v>
      </c>
      <c r="F1772" s="19" t="str">
        <f>IFERROR(__xludf.DUMMYFUNCTION("""COMPUTED_VALUE"""),"BLACK")</f>
        <v>BLACK</v>
      </c>
      <c r="G1772" s="20" t="str">
        <f>IFERROR(__xludf.DUMMYFUNCTION("""COMPUTED_VALUE"""),"Uncle Sams Cider (04/04/2023)")</f>
        <v>Uncle Sams Cider (04/04/2023)</v>
      </c>
      <c r="H1772" s="19"/>
    </row>
    <row r="1773">
      <c r="A1773" s="9"/>
      <c r="B1773" s="15"/>
      <c r="C1773" s="9">
        <f>IFERROR(__xludf.DUMMYFUNCTION("""COMPUTED_VALUE"""),45126.0598462268)</f>
        <v>45126.05985</v>
      </c>
      <c r="D1773" s="15">
        <f>IFERROR(__xludf.DUMMYFUNCTION("""COMPUTED_VALUE"""),1.003)</f>
        <v>1.003</v>
      </c>
      <c r="E1773" s="16">
        <f>IFERROR(__xludf.DUMMYFUNCTION("""COMPUTED_VALUE"""),72.0)</f>
        <v>72</v>
      </c>
      <c r="F1773" s="19" t="str">
        <f>IFERROR(__xludf.DUMMYFUNCTION("""COMPUTED_VALUE"""),"BLACK")</f>
        <v>BLACK</v>
      </c>
      <c r="G1773" s="20" t="str">
        <f>IFERROR(__xludf.DUMMYFUNCTION("""COMPUTED_VALUE"""),"Uncle Sams Cider (04/04/2023)")</f>
        <v>Uncle Sams Cider (04/04/2023)</v>
      </c>
      <c r="H1773" s="19"/>
    </row>
    <row r="1774">
      <c r="A1774" s="9"/>
      <c r="B1774" s="15"/>
      <c r="C1774" s="9">
        <f>IFERROR(__xludf.DUMMYFUNCTION("""COMPUTED_VALUE"""),45126.0494152662)</f>
        <v>45126.04942</v>
      </c>
      <c r="D1774" s="15">
        <f>IFERROR(__xludf.DUMMYFUNCTION("""COMPUTED_VALUE"""),1.003)</f>
        <v>1.003</v>
      </c>
      <c r="E1774" s="16">
        <f>IFERROR(__xludf.DUMMYFUNCTION("""COMPUTED_VALUE"""),72.0)</f>
        <v>72</v>
      </c>
      <c r="F1774" s="19" t="str">
        <f>IFERROR(__xludf.DUMMYFUNCTION("""COMPUTED_VALUE"""),"BLACK")</f>
        <v>BLACK</v>
      </c>
      <c r="G1774" s="20" t="str">
        <f>IFERROR(__xludf.DUMMYFUNCTION("""COMPUTED_VALUE"""),"Uncle Sams Cider (04/04/2023)")</f>
        <v>Uncle Sams Cider (04/04/2023)</v>
      </c>
      <c r="H1774" s="19"/>
    </row>
    <row r="1775">
      <c r="A1775" s="9"/>
      <c r="B1775" s="15"/>
      <c r="C1775" s="9">
        <f>IFERROR(__xludf.DUMMYFUNCTION("""COMPUTED_VALUE"""),45126.0389839236)</f>
        <v>45126.03898</v>
      </c>
      <c r="D1775" s="15">
        <f>IFERROR(__xludf.DUMMYFUNCTION("""COMPUTED_VALUE"""),1.003)</f>
        <v>1.003</v>
      </c>
      <c r="E1775" s="16">
        <f>IFERROR(__xludf.DUMMYFUNCTION("""COMPUTED_VALUE"""),72.0)</f>
        <v>72</v>
      </c>
      <c r="F1775" s="19" t="str">
        <f>IFERROR(__xludf.DUMMYFUNCTION("""COMPUTED_VALUE"""),"BLACK")</f>
        <v>BLACK</v>
      </c>
      <c r="G1775" s="20" t="str">
        <f>IFERROR(__xludf.DUMMYFUNCTION("""COMPUTED_VALUE"""),"Uncle Sams Cider (04/04/2023)")</f>
        <v>Uncle Sams Cider (04/04/2023)</v>
      </c>
      <c r="H1775" s="19"/>
    </row>
    <row r="1776">
      <c r="A1776" s="9"/>
      <c r="B1776" s="15"/>
      <c r="C1776" s="9">
        <f>IFERROR(__xludf.DUMMYFUNCTION("""COMPUTED_VALUE"""),45126.0285629976)</f>
        <v>45126.02856</v>
      </c>
      <c r="D1776" s="15">
        <f>IFERROR(__xludf.DUMMYFUNCTION("""COMPUTED_VALUE"""),1.003)</f>
        <v>1.003</v>
      </c>
      <c r="E1776" s="16">
        <f>IFERROR(__xludf.DUMMYFUNCTION("""COMPUTED_VALUE"""),72.0)</f>
        <v>72</v>
      </c>
      <c r="F1776" s="19" t="str">
        <f>IFERROR(__xludf.DUMMYFUNCTION("""COMPUTED_VALUE"""),"BLACK")</f>
        <v>BLACK</v>
      </c>
      <c r="G1776" s="20" t="str">
        <f>IFERROR(__xludf.DUMMYFUNCTION("""COMPUTED_VALUE"""),"Uncle Sams Cider (04/04/2023)")</f>
        <v>Uncle Sams Cider (04/04/2023)</v>
      </c>
      <c r="H1776" s="19"/>
    </row>
    <row r="1777">
      <c r="A1777" s="9"/>
      <c r="B1777" s="15"/>
      <c r="C1777" s="9">
        <f>IFERROR(__xludf.DUMMYFUNCTION("""COMPUTED_VALUE"""),45126.0181413888)</f>
        <v>45126.01814</v>
      </c>
      <c r="D1777" s="15">
        <f>IFERROR(__xludf.DUMMYFUNCTION("""COMPUTED_VALUE"""),1.003)</f>
        <v>1.003</v>
      </c>
      <c r="E1777" s="16">
        <f>IFERROR(__xludf.DUMMYFUNCTION("""COMPUTED_VALUE"""),72.0)</f>
        <v>72</v>
      </c>
      <c r="F1777" s="19" t="str">
        <f>IFERROR(__xludf.DUMMYFUNCTION("""COMPUTED_VALUE"""),"BLACK")</f>
        <v>BLACK</v>
      </c>
      <c r="G1777" s="20" t="str">
        <f>IFERROR(__xludf.DUMMYFUNCTION("""COMPUTED_VALUE"""),"Uncle Sams Cider (04/04/2023)")</f>
        <v>Uncle Sams Cider (04/04/2023)</v>
      </c>
      <c r="H1777" s="19"/>
    </row>
    <row r="1778">
      <c r="A1778" s="9"/>
      <c r="B1778" s="15"/>
      <c r="C1778" s="9">
        <f>IFERROR(__xludf.DUMMYFUNCTION("""COMPUTED_VALUE"""),45126.0077190046)</f>
        <v>45126.00772</v>
      </c>
      <c r="D1778" s="15">
        <f>IFERROR(__xludf.DUMMYFUNCTION("""COMPUTED_VALUE"""),1.003)</f>
        <v>1.003</v>
      </c>
      <c r="E1778" s="16">
        <f>IFERROR(__xludf.DUMMYFUNCTION("""COMPUTED_VALUE"""),72.0)</f>
        <v>72</v>
      </c>
      <c r="F1778" s="19" t="str">
        <f>IFERROR(__xludf.DUMMYFUNCTION("""COMPUTED_VALUE"""),"BLACK")</f>
        <v>BLACK</v>
      </c>
      <c r="G1778" s="20" t="str">
        <f>IFERROR(__xludf.DUMMYFUNCTION("""COMPUTED_VALUE"""),"Uncle Sams Cider (04/04/2023)")</f>
        <v>Uncle Sams Cider (04/04/2023)</v>
      </c>
      <c r="H1778" s="19"/>
    </row>
    <row r="1779">
      <c r="A1779" s="9"/>
      <c r="B1779" s="15"/>
      <c r="C1779" s="9">
        <f>IFERROR(__xludf.DUMMYFUNCTION("""COMPUTED_VALUE"""),45125.9972975926)</f>
        <v>45125.9973</v>
      </c>
      <c r="D1779" s="15">
        <f>IFERROR(__xludf.DUMMYFUNCTION("""COMPUTED_VALUE"""),1.003)</f>
        <v>1.003</v>
      </c>
      <c r="E1779" s="16">
        <f>IFERROR(__xludf.DUMMYFUNCTION("""COMPUTED_VALUE"""),72.0)</f>
        <v>72</v>
      </c>
      <c r="F1779" s="19" t="str">
        <f>IFERROR(__xludf.DUMMYFUNCTION("""COMPUTED_VALUE"""),"BLACK")</f>
        <v>BLACK</v>
      </c>
      <c r="G1779" s="20" t="str">
        <f>IFERROR(__xludf.DUMMYFUNCTION("""COMPUTED_VALUE"""),"Uncle Sams Cider (04/04/2023)")</f>
        <v>Uncle Sams Cider (04/04/2023)</v>
      </c>
      <c r="H1779" s="19"/>
    </row>
    <row r="1780">
      <c r="A1780" s="9"/>
      <c r="B1780" s="15"/>
      <c r="C1780" s="9">
        <f>IFERROR(__xludf.DUMMYFUNCTION("""COMPUTED_VALUE"""),45125.9868785879)</f>
        <v>45125.98688</v>
      </c>
      <c r="D1780" s="15">
        <f>IFERROR(__xludf.DUMMYFUNCTION("""COMPUTED_VALUE"""),1.003)</f>
        <v>1.003</v>
      </c>
      <c r="E1780" s="16">
        <f>IFERROR(__xludf.DUMMYFUNCTION("""COMPUTED_VALUE"""),72.0)</f>
        <v>72</v>
      </c>
      <c r="F1780" s="19" t="str">
        <f>IFERROR(__xludf.DUMMYFUNCTION("""COMPUTED_VALUE"""),"BLACK")</f>
        <v>BLACK</v>
      </c>
      <c r="G1780" s="20" t="str">
        <f>IFERROR(__xludf.DUMMYFUNCTION("""COMPUTED_VALUE"""),"Uncle Sams Cider (04/04/2023)")</f>
        <v>Uncle Sams Cider (04/04/2023)</v>
      </c>
      <c r="H1780" s="19"/>
    </row>
    <row r="1781">
      <c r="A1781" s="9"/>
      <c r="B1781" s="15"/>
      <c r="C1781" s="9">
        <f>IFERROR(__xludf.DUMMYFUNCTION("""COMPUTED_VALUE"""),45125.9764585185)</f>
        <v>45125.97646</v>
      </c>
      <c r="D1781" s="15">
        <f>IFERROR(__xludf.DUMMYFUNCTION("""COMPUTED_VALUE"""),1.003)</f>
        <v>1.003</v>
      </c>
      <c r="E1781" s="16">
        <f>IFERROR(__xludf.DUMMYFUNCTION("""COMPUTED_VALUE"""),72.0)</f>
        <v>72</v>
      </c>
      <c r="F1781" s="19" t="str">
        <f>IFERROR(__xludf.DUMMYFUNCTION("""COMPUTED_VALUE"""),"BLACK")</f>
        <v>BLACK</v>
      </c>
      <c r="G1781" s="20" t="str">
        <f>IFERROR(__xludf.DUMMYFUNCTION("""COMPUTED_VALUE"""),"Uncle Sams Cider (04/04/2023)")</f>
        <v>Uncle Sams Cider (04/04/2023)</v>
      </c>
      <c r="H1781" s="19"/>
    </row>
    <row r="1782">
      <c r="A1782" s="9"/>
      <c r="B1782" s="15"/>
      <c r="C1782" s="9">
        <f>IFERROR(__xludf.DUMMYFUNCTION("""COMPUTED_VALUE"""),45125.9660367476)</f>
        <v>45125.96604</v>
      </c>
      <c r="D1782" s="15">
        <f>IFERROR(__xludf.DUMMYFUNCTION("""COMPUTED_VALUE"""),1.003)</f>
        <v>1.003</v>
      </c>
      <c r="E1782" s="16">
        <f>IFERROR(__xludf.DUMMYFUNCTION("""COMPUTED_VALUE"""),72.0)</f>
        <v>72</v>
      </c>
      <c r="F1782" s="19" t="str">
        <f>IFERROR(__xludf.DUMMYFUNCTION("""COMPUTED_VALUE"""),"BLACK")</f>
        <v>BLACK</v>
      </c>
      <c r="G1782" s="20" t="str">
        <f>IFERROR(__xludf.DUMMYFUNCTION("""COMPUTED_VALUE"""),"Uncle Sams Cider (04/04/2023)")</f>
        <v>Uncle Sams Cider (04/04/2023)</v>
      </c>
      <c r="H1782" s="19"/>
    </row>
    <row r="1783">
      <c r="A1783" s="9"/>
      <c r="B1783" s="15"/>
      <c r="C1783" s="9">
        <f>IFERROR(__xludf.DUMMYFUNCTION("""COMPUTED_VALUE"""),45125.9556030787)</f>
        <v>45125.9556</v>
      </c>
      <c r="D1783" s="15">
        <f>IFERROR(__xludf.DUMMYFUNCTION("""COMPUTED_VALUE"""),1.003)</f>
        <v>1.003</v>
      </c>
      <c r="E1783" s="16">
        <f>IFERROR(__xludf.DUMMYFUNCTION("""COMPUTED_VALUE"""),72.0)</f>
        <v>72</v>
      </c>
      <c r="F1783" s="19" t="str">
        <f>IFERROR(__xludf.DUMMYFUNCTION("""COMPUTED_VALUE"""),"BLACK")</f>
        <v>BLACK</v>
      </c>
      <c r="G1783" s="20" t="str">
        <f>IFERROR(__xludf.DUMMYFUNCTION("""COMPUTED_VALUE"""),"Uncle Sams Cider (04/04/2023)")</f>
        <v>Uncle Sams Cider (04/04/2023)</v>
      </c>
      <c r="H1783" s="19"/>
    </row>
    <row r="1784">
      <c r="A1784" s="9"/>
      <c r="B1784" s="15"/>
      <c r="C1784" s="9">
        <f>IFERROR(__xludf.DUMMYFUNCTION("""COMPUTED_VALUE"""),45125.9451601041)</f>
        <v>45125.94516</v>
      </c>
      <c r="D1784" s="15">
        <f>IFERROR(__xludf.DUMMYFUNCTION("""COMPUTED_VALUE"""),1.003)</f>
        <v>1.003</v>
      </c>
      <c r="E1784" s="16">
        <f>IFERROR(__xludf.DUMMYFUNCTION("""COMPUTED_VALUE"""),72.0)</f>
        <v>72</v>
      </c>
      <c r="F1784" s="19" t="str">
        <f>IFERROR(__xludf.DUMMYFUNCTION("""COMPUTED_VALUE"""),"BLACK")</f>
        <v>BLACK</v>
      </c>
      <c r="G1784" s="20" t="str">
        <f>IFERROR(__xludf.DUMMYFUNCTION("""COMPUTED_VALUE"""),"Uncle Sams Cider (04/04/2023)")</f>
        <v>Uncle Sams Cider (04/04/2023)</v>
      </c>
      <c r="H1784" s="19"/>
    </row>
    <row r="1785">
      <c r="A1785" s="9"/>
      <c r="B1785" s="15"/>
      <c r="C1785" s="9">
        <f>IFERROR(__xludf.DUMMYFUNCTION("""COMPUTED_VALUE"""),45125.9347271759)</f>
        <v>45125.93473</v>
      </c>
      <c r="D1785" s="15">
        <f>IFERROR(__xludf.DUMMYFUNCTION("""COMPUTED_VALUE"""),1.003)</f>
        <v>1.003</v>
      </c>
      <c r="E1785" s="16">
        <f>IFERROR(__xludf.DUMMYFUNCTION("""COMPUTED_VALUE"""),72.0)</f>
        <v>72</v>
      </c>
      <c r="F1785" s="19" t="str">
        <f>IFERROR(__xludf.DUMMYFUNCTION("""COMPUTED_VALUE"""),"BLACK")</f>
        <v>BLACK</v>
      </c>
      <c r="G1785" s="20" t="str">
        <f>IFERROR(__xludf.DUMMYFUNCTION("""COMPUTED_VALUE"""),"Uncle Sams Cider (04/04/2023)")</f>
        <v>Uncle Sams Cider (04/04/2023)</v>
      </c>
      <c r="H1785" s="19"/>
    </row>
    <row r="1786">
      <c r="A1786" s="9"/>
      <c r="B1786" s="15"/>
      <c r="C1786" s="9">
        <f>IFERROR(__xludf.DUMMYFUNCTION("""COMPUTED_VALUE"""),45125.9243042476)</f>
        <v>45125.9243</v>
      </c>
      <c r="D1786" s="15">
        <f>IFERROR(__xludf.DUMMYFUNCTION("""COMPUTED_VALUE"""),1.004)</f>
        <v>1.004</v>
      </c>
      <c r="E1786" s="16">
        <f>IFERROR(__xludf.DUMMYFUNCTION("""COMPUTED_VALUE"""),72.0)</f>
        <v>72</v>
      </c>
      <c r="F1786" s="19" t="str">
        <f>IFERROR(__xludf.DUMMYFUNCTION("""COMPUTED_VALUE"""),"BLACK")</f>
        <v>BLACK</v>
      </c>
      <c r="G1786" s="20" t="str">
        <f>IFERROR(__xludf.DUMMYFUNCTION("""COMPUTED_VALUE"""),"Uncle Sams Cider (04/04/2023)")</f>
        <v>Uncle Sams Cider (04/04/2023)</v>
      </c>
      <c r="H1786" s="19"/>
    </row>
    <row r="1787">
      <c r="A1787" s="9"/>
      <c r="B1787" s="15"/>
      <c r="C1787" s="9">
        <f>IFERROR(__xludf.DUMMYFUNCTION("""COMPUTED_VALUE"""),45125.9138837847)</f>
        <v>45125.91388</v>
      </c>
      <c r="D1787" s="15">
        <f>IFERROR(__xludf.DUMMYFUNCTION("""COMPUTED_VALUE"""),1.003)</f>
        <v>1.003</v>
      </c>
      <c r="E1787" s="16">
        <f>IFERROR(__xludf.DUMMYFUNCTION("""COMPUTED_VALUE"""),72.0)</f>
        <v>72</v>
      </c>
      <c r="F1787" s="19" t="str">
        <f>IFERROR(__xludf.DUMMYFUNCTION("""COMPUTED_VALUE"""),"BLACK")</f>
        <v>BLACK</v>
      </c>
      <c r="G1787" s="20" t="str">
        <f>IFERROR(__xludf.DUMMYFUNCTION("""COMPUTED_VALUE"""),"Uncle Sams Cider (04/04/2023)")</f>
        <v>Uncle Sams Cider (04/04/2023)</v>
      </c>
      <c r="H1787" s="19"/>
    </row>
    <row r="1788">
      <c r="A1788" s="9"/>
      <c r="B1788" s="15"/>
      <c r="C1788" s="9">
        <f>IFERROR(__xludf.DUMMYFUNCTION("""COMPUTED_VALUE"""),45125.9034516435)</f>
        <v>45125.90345</v>
      </c>
      <c r="D1788" s="15">
        <f>IFERROR(__xludf.DUMMYFUNCTION("""COMPUTED_VALUE"""),1.003)</f>
        <v>1.003</v>
      </c>
      <c r="E1788" s="16">
        <f>IFERROR(__xludf.DUMMYFUNCTION("""COMPUTED_VALUE"""),72.0)</f>
        <v>72</v>
      </c>
      <c r="F1788" s="19" t="str">
        <f>IFERROR(__xludf.DUMMYFUNCTION("""COMPUTED_VALUE"""),"BLACK")</f>
        <v>BLACK</v>
      </c>
      <c r="G1788" s="20" t="str">
        <f>IFERROR(__xludf.DUMMYFUNCTION("""COMPUTED_VALUE"""),"Uncle Sams Cider (04/04/2023)")</f>
        <v>Uncle Sams Cider (04/04/2023)</v>
      </c>
      <c r="H1788" s="19"/>
    </row>
    <row r="1789">
      <c r="A1789" s="9"/>
      <c r="B1789" s="15"/>
      <c r="C1789" s="9">
        <f>IFERROR(__xludf.DUMMYFUNCTION("""COMPUTED_VALUE"""),45125.8930311226)</f>
        <v>45125.89303</v>
      </c>
      <c r="D1789" s="15">
        <f>IFERROR(__xludf.DUMMYFUNCTION("""COMPUTED_VALUE"""),1.003)</f>
        <v>1.003</v>
      </c>
      <c r="E1789" s="16">
        <f>IFERROR(__xludf.DUMMYFUNCTION("""COMPUTED_VALUE"""),72.0)</f>
        <v>72</v>
      </c>
      <c r="F1789" s="19" t="str">
        <f>IFERROR(__xludf.DUMMYFUNCTION("""COMPUTED_VALUE"""),"BLACK")</f>
        <v>BLACK</v>
      </c>
      <c r="G1789" s="20" t="str">
        <f>IFERROR(__xludf.DUMMYFUNCTION("""COMPUTED_VALUE"""),"Uncle Sams Cider (04/04/2023)")</f>
        <v>Uncle Sams Cider (04/04/2023)</v>
      </c>
      <c r="H1789" s="19"/>
    </row>
    <row r="1790">
      <c r="A1790" s="9"/>
      <c r="B1790" s="15"/>
      <c r="C1790" s="9">
        <f>IFERROR(__xludf.DUMMYFUNCTION("""COMPUTED_VALUE"""),45125.88261103)</f>
        <v>45125.88261</v>
      </c>
      <c r="D1790" s="15">
        <f>IFERROR(__xludf.DUMMYFUNCTION("""COMPUTED_VALUE"""),1.003)</f>
        <v>1.003</v>
      </c>
      <c r="E1790" s="16">
        <f>IFERROR(__xludf.DUMMYFUNCTION("""COMPUTED_VALUE"""),72.0)</f>
        <v>72</v>
      </c>
      <c r="F1790" s="19" t="str">
        <f>IFERROR(__xludf.DUMMYFUNCTION("""COMPUTED_VALUE"""),"BLACK")</f>
        <v>BLACK</v>
      </c>
      <c r="G1790" s="20" t="str">
        <f>IFERROR(__xludf.DUMMYFUNCTION("""COMPUTED_VALUE"""),"Uncle Sams Cider (04/04/2023)")</f>
        <v>Uncle Sams Cider (04/04/2023)</v>
      </c>
      <c r="H1790" s="19"/>
    </row>
    <row r="1791">
      <c r="A1791" s="9"/>
      <c r="B1791" s="15"/>
      <c r="C1791" s="9">
        <f>IFERROR(__xludf.DUMMYFUNCTION("""COMPUTED_VALUE"""),45125.8721897453)</f>
        <v>45125.87219</v>
      </c>
      <c r="D1791" s="15">
        <f>IFERROR(__xludf.DUMMYFUNCTION("""COMPUTED_VALUE"""),1.003)</f>
        <v>1.003</v>
      </c>
      <c r="E1791" s="16">
        <f>IFERROR(__xludf.DUMMYFUNCTION("""COMPUTED_VALUE"""),72.0)</f>
        <v>72</v>
      </c>
      <c r="F1791" s="19" t="str">
        <f>IFERROR(__xludf.DUMMYFUNCTION("""COMPUTED_VALUE"""),"BLACK")</f>
        <v>BLACK</v>
      </c>
      <c r="G1791" s="20" t="str">
        <f>IFERROR(__xludf.DUMMYFUNCTION("""COMPUTED_VALUE"""),"Uncle Sams Cider (04/04/2023)")</f>
        <v>Uncle Sams Cider (04/04/2023)</v>
      </c>
      <c r="H1791" s="19"/>
    </row>
    <row r="1792">
      <c r="A1792" s="9"/>
      <c r="B1792" s="15"/>
      <c r="C1792" s="9">
        <f>IFERROR(__xludf.DUMMYFUNCTION("""COMPUTED_VALUE"""),45125.8617685069)</f>
        <v>45125.86177</v>
      </c>
      <c r="D1792" s="15">
        <f>IFERROR(__xludf.DUMMYFUNCTION("""COMPUTED_VALUE"""),1.003)</f>
        <v>1.003</v>
      </c>
      <c r="E1792" s="16">
        <f>IFERROR(__xludf.DUMMYFUNCTION("""COMPUTED_VALUE"""),72.0)</f>
        <v>72</v>
      </c>
      <c r="F1792" s="19" t="str">
        <f>IFERROR(__xludf.DUMMYFUNCTION("""COMPUTED_VALUE"""),"BLACK")</f>
        <v>BLACK</v>
      </c>
      <c r="G1792" s="20" t="str">
        <f>IFERROR(__xludf.DUMMYFUNCTION("""COMPUTED_VALUE"""),"Uncle Sams Cider (04/04/2023)")</f>
        <v>Uncle Sams Cider (04/04/2023)</v>
      </c>
      <c r="H1792" s="19"/>
    </row>
    <row r="1793">
      <c r="A1793" s="9"/>
      <c r="B1793" s="15"/>
      <c r="C1793" s="9">
        <f>IFERROR(__xludf.DUMMYFUNCTION("""COMPUTED_VALUE"""),45125.851347824)</f>
        <v>45125.85135</v>
      </c>
      <c r="D1793" s="15">
        <f>IFERROR(__xludf.DUMMYFUNCTION("""COMPUTED_VALUE"""),1.003)</f>
        <v>1.003</v>
      </c>
      <c r="E1793" s="16">
        <f>IFERROR(__xludf.DUMMYFUNCTION("""COMPUTED_VALUE"""),72.0)</f>
        <v>72</v>
      </c>
      <c r="F1793" s="19" t="str">
        <f>IFERROR(__xludf.DUMMYFUNCTION("""COMPUTED_VALUE"""),"BLACK")</f>
        <v>BLACK</v>
      </c>
      <c r="G1793" s="20" t="str">
        <f>IFERROR(__xludf.DUMMYFUNCTION("""COMPUTED_VALUE"""),"Uncle Sams Cider (04/04/2023)")</f>
        <v>Uncle Sams Cider (04/04/2023)</v>
      </c>
      <c r="H1793" s="19"/>
    </row>
    <row r="1794">
      <c r="A1794" s="9"/>
      <c r="B1794" s="15"/>
      <c r="C1794" s="9">
        <f>IFERROR(__xludf.DUMMYFUNCTION("""COMPUTED_VALUE"""),45125.8409271412)</f>
        <v>45125.84093</v>
      </c>
      <c r="D1794" s="15">
        <f>IFERROR(__xludf.DUMMYFUNCTION("""COMPUTED_VALUE"""),1.003)</f>
        <v>1.003</v>
      </c>
      <c r="E1794" s="16">
        <f>IFERROR(__xludf.DUMMYFUNCTION("""COMPUTED_VALUE"""),72.0)</f>
        <v>72</v>
      </c>
      <c r="F1794" s="19" t="str">
        <f>IFERROR(__xludf.DUMMYFUNCTION("""COMPUTED_VALUE"""),"BLACK")</f>
        <v>BLACK</v>
      </c>
      <c r="G1794" s="20" t="str">
        <f>IFERROR(__xludf.DUMMYFUNCTION("""COMPUTED_VALUE"""),"Uncle Sams Cider (04/04/2023)")</f>
        <v>Uncle Sams Cider (04/04/2023)</v>
      </c>
      <c r="H1794" s="19"/>
    </row>
    <row r="1795">
      <c r="A1795" s="9"/>
      <c r="B1795" s="15"/>
      <c r="C1795" s="9">
        <f>IFERROR(__xludf.DUMMYFUNCTION("""COMPUTED_VALUE"""),45125.8304953935)</f>
        <v>45125.8305</v>
      </c>
      <c r="D1795" s="15">
        <f>IFERROR(__xludf.DUMMYFUNCTION("""COMPUTED_VALUE"""),1.003)</f>
        <v>1.003</v>
      </c>
      <c r="E1795" s="16">
        <f>IFERROR(__xludf.DUMMYFUNCTION("""COMPUTED_VALUE"""),72.0)</f>
        <v>72</v>
      </c>
      <c r="F1795" s="19" t="str">
        <f>IFERROR(__xludf.DUMMYFUNCTION("""COMPUTED_VALUE"""),"BLACK")</f>
        <v>BLACK</v>
      </c>
      <c r="G1795" s="20" t="str">
        <f>IFERROR(__xludf.DUMMYFUNCTION("""COMPUTED_VALUE"""),"Uncle Sams Cider (04/04/2023)")</f>
        <v>Uncle Sams Cider (04/04/2023)</v>
      </c>
      <c r="H1795" s="19"/>
    </row>
    <row r="1796">
      <c r="A1796" s="9"/>
      <c r="B1796" s="15"/>
      <c r="C1796" s="9">
        <f>IFERROR(__xludf.DUMMYFUNCTION("""COMPUTED_VALUE"""),45125.8200728472)</f>
        <v>45125.82007</v>
      </c>
      <c r="D1796" s="15">
        <f>IFERROR(__xludf.DUMMYFUNCTION("""COMPUTED_VALUE"""),1.003)</f>
        <v>1.003</v>
      </c>
      <c r="E1796" s="16">
        <f>IFERROR(__xludf.DUMMYFUNCTION("""COMPUTED_VALUE"""),72.0)</f>
        <v>72</v>
      </c>
      <c r="F1796" s="19" t="str">
        <f>IFERROR(__xludf.DUMMYFUNCTION("""COMPUTED_VALUE"""),"BLACK")</f>
        <v>BLACK</v>
      </c>
      <c r="G1796" s="20" t="str">
        <f>IFERROR(__xludf.DUMMYFUNCTION("""COMPUTED_VALUE"""),"Uncle Sams Cider (04/04/2023)")</f>
        <v>Uncle Sams Cider (04/04/2023)</v>
      </c>
      <c r="H1796" s="19"/>
    </row>
    <row r="1797">
      <c r="A1797" s="9"/>
      <c r="B1797" s="15"/>
      <c r="C1797" s="9">
        <f>IFERROR(__xludf.DUMMYFUNCTION("""COMPUTED_VALUE"""),45125.809652199)</f>
        <v>45125.80965</v>
      </c>
      <c r="D1797" s="15">
        <f>IFERROR(__xludf.DUMMYFUNCTION("""COMPUTED_VALUE"""),1.003)</f>
        <v>1.003</v>
      </c>
      <c r="E1797" s="16">
        <f>IFERROR(__xludf.DUMMYFUNCTION("""COMPUTED_VALUE"""),72.0)</f>
        <v>72</v>
      </c>
      <c r="F1797" s="19" t="str">
        <f>IFERROR(__xludf.DUMMYFUNCTION("""COMPUTED_VALUE"""),"BLACK")</f>
        <v>BLACK</v>
      </c>
      <c r="G1797" s="20" t="str">
        <f>IFERROR(__xludf.DUMMYFUNCTION("""COMPUTED_VALUE"""),"Uncle Sams Cider (04/04/2023)")</f>
        <v>Uncle Sams Cider (04/04/2023)</v>
      </c>
      <c r="H1797" s="19"/>
    </row>
    <row r="1798">
      <c r="A1798" s="9"/>
      <c r="B1798" s="15"/>
      <c r="C1798" s="9">
        <f>IFERROR(__xludf.DUMMYFUNCTION("""COMPUTED_VALUE"""),45125.7992191203)</f>
        <v>45125.79922</v>
      </c>
      <c r="D1798" s="15">
        <f>IFERROR(__xludf.DUMMYFUNCTION("""COMPUTED_VALUE"""),1.003)</f>
        <v>1.003</v>
      </c>
      <c r="E1798" s="16">
        <f>IFERROR(__xludf.DUMMYFUNCTION("""COMPUTED_VALUE"""),72.0)</f>
        <v>72</v>
      </c>
      <c r="F1798" s="19" t="str">
        <f>IFERROR(__xludf.DUMMYFUNCTION("""COMPUTED_VALUE"""),"BLACK")</f>
        <v>BLACK</v>
      </c>
      <c r="G1798" s="20" t="str">
        <f>IFERROR(__xludf.DUMMYFUNCTION("""COMPUTED_VALUE"""),"Uncle Sams Cider (04/04/2023)")</f>
        <v>Uncle Sams Cider (04/04/2023)</v>
      </c>
      <c r="H1798" s="19"/>
    </row>
    <row r="1799">
      <c r="A1799" s="9"/>
      <c r="B1799" s="15"/>
      <c r="C1799" s="9">
        <f>IFERROR(__xludf.DUMMYFUNCTION("""COMPUTED_VALUE"""),45125.7887969791)</f>
        <v>45125.7888</v>
      </c>
      <c r="D1799" s="15">
        <f>IFERROR(__xludf.DUMMYFUNCTION("""COMPUTED_VALUE"""),1.003)</f>
        <v>1.003</v>
      </c>
      <c r="E1799" s="16">
        <f>IFERROR(__xludf.DUMMYFUNCTION("""COMPUTED_VALUE"""),72.0)</f>
        <v>72</v>
      </c>
      <c r="F1799" s="19" t="str">
        <f>IFERROR(__xludf.DUMMYFUNCTION("""COMPUTED_VALUE"""),"BLACK")</f>
        <v>BLACK</v>
      </c>
      <c r="G1799" s="20" t="str">
        <f>IFERROR(__xludf.DUMMYFUNCTION("""COMPUTED_VALUE"""),"Uncle Sams Cider (04/04/2023)")</f>
        <v>Uncle Sams Cider (04/04/2023)</v>
      </c>
      <c r="H1799" s="19"/>
    </row>
    <row r="1800">
      <c r="A1800" s="9"/>
      <c r="B1800" s="15"/>
      <c r="C1800" s="9">
        <f>IFERROR(__xludf.DUMMYFUNCTION("""COMPUTED_VALUE"""),45125.7783773726)</f>
        <v>45125.77838</v>
      </c>
      <c r="D1800" s="15">
        <f>IFERROR(__xludf.DUMMYFUNCTION("""COMPUTED_VALUE"""),1.003)</f>
        <v>1.003</v>
      </c>
      <c r="E1800" s="16">
        <f>IFERROR(__xludf.DUMMYFUNCTION("""COMPUTED_VALUE"""),72.0)</f>
        <v>72</v>
      </c>
      <c r="F1800" s="19" t="str">
        <f>IFERROR(__xludf.DUMMYFUNCTION("""COMPUTED_VALUE"""),"BLACK")</f>
        <v>BLACK</v>
      </c>
      <c r="G1800" s="20" t="str">
        <f>IFERROR(__xludf.DUMMYFUNCTION("""COMPUTED_VALUE"""),"Uncle Sams Cider (04/04/2023)")</f>
        <v>Uncle Sams Cider (04/04/2023)</v>
      </c>
      <c r="H1800" s="19"/>
    </row>
    <row r="1801">
      <c r="A1801" s="9"/>
      <c r="B1801" s="15"/>
      <c r="C1801" s="9">
        <f>IFERROR(__xludf.DUMMYFUNCTION("""COMPUTED_VALUE"""),45125.7679442592)</f>
        <v>45125.76794</v>
      </c>
      <c r="D1801" s="15">
        <f>IFERROR(__xludf.DUMMYFUNCTION("""COMPUTED_VALUE"""),1.003)</f>
        <v>1.003</v>
      </c>
      <c r="E1801" s="16">
        <f>IFERROR(__xludf.DUMMYFUNCTION("""COMPUTED_VALUE"""),72.0)</f>
        <v>72</v>
      </c>
      <c r="F1801" s="19" t="str">
        <f>IFERROR(__xludf.DUMMYFUNCTION("""COMPUTED_VALUE"""),"BLACK")</f>
        <v>BLACK</v>
      </c>
      <c r="G1801" s="20" t="str">
        <f>IFERROR(__xludf.DUMMYFUNCTION("""COMPUTED_VALUE"""),"Uncle Sams Cider (04/04/2023)")</f>
        <v>Uncle Sams Cider (04/04/2023)</v>
      </c>
      <c r="H1801" s="19"/>
    </row>
    <row r="1802">
      <c r="A1802" s="9"/>
      <c r="B1802" s="15"/>
      <c r="C1802" s="9">
        <f>IFERROR(__xludf.DUMMYFUNCTION("""COMPUTED_VALUE"""),45125.7575226273)</f>
        <v>45125.75752</v>
      </c>
      <c r="D1802" s="15">
        <f>IFERROR(__xludf.DUMMYFUNCTION("""COMPUTED_VALUE"""),1.003)</f>
        <v>1.003</v>
      </c>
      <c r="E1802" s="16">
        <f>IFERROR(__xludf.DUMMYFUNCTION("""COMPUTED_VALUE"""),72.0)</f>
        <v>72</v>
      </c>
      <c r="F1802" s="19" t="str">
        <f>IFERROR(__xludf.DUMMYFUNCTION("""COMPUTED_VALUE"""),"BLACK")</f>
        <v>BLACK</v>
      </c>
      <c r="G1802" s="20" t="str">
        <f>IFERROR(__xludf.DUMMYFUNCTION("""COMPUTED_VALUE"""),"Uncle Sams Cider (04/04/2023)")</f>
        <v>Uncle Sams Cider (04/04/2023)</v>
      </c>
      <c r="H1802" s="19"/>
    </row>
    <row r="1803">
      <c r="A1803" s="9"/>
      <c r="B1803" s="15"/>
      <c r="C1803" s="9">
        <f>IFERROR(__xludf.DUMMYFUNCTION("""COMPUTED_VALUE"""),45125.7470908101)</f>
        <v>45125.74709</v>
      </c>
      <c r="D1803" s="15">
        <f>IFERROR(__xludf.DUMMYFUNCTION("""COMPUTED_VALUE"""),1.003)</f>
        <v>1.003</v>
      </c>
      <c r="E1803" s="16">
        <f>IFERROR(__xludf.DUMMYFUNCTION("""COMPUTED_VALUE"""),72.0)</f>
        <v>72</v>
      </c>
      <c r="F1803" s="19" t="str">
        <f>IFERROR(__xludf.DUMMYFUNCTION("""COMPUTED_VALUE"""),"BLACK")</f>
        <v>BLACK</v>
      </c>
      <c r="G1803" s="20" t="str">
        <f>IFERROR(__xludf.DUMMYFUNCTION("""COMPUTED_VALUE"""),"Uncle Sams Cider (04/04/2023)")</f>
        <v>Uncle Sams Cider (04/04/2023)</v>
      </c>
      <c r="H1803" s="19"/>
    </row>
    <row r="1804">
      <c r="A1804" s="9"/>
      <c r="B1804" s="15"/>
      <c r="C1804" s="9">
        <f>IFERROR(__xludf.DUMMYFUNCTION("""COMPUTED_VALUE"""),45125.7366705902)</f>
        <v>45125.73667</v>
      </c>
      <c r="D1804" s="15">
        <f>IFERROR(__xludf.DUMMYFUNCTION("""COMPUTED_VALUE"""),1.003)</f>
        <v>1.003</v>
      </c>
      <c r="E1804" s="16">
        <f>IFERROR(__xludf.DUMMYFUNCTION("""COMPUTED_VALUE"""),72.0)</f>
        <v>72</v>
      </c>
      <c r="F1804" s="19" t="str">
        <f>IFERROR(__xludf.DUMMYFUNCTION("""COMPUTED_VALUE"""),"BLACK")</f>
        <v>BLACK</v>
      </c>
      <c r="G1804" s="20" t="str">
        <f>IFERROR(__xludf.DUMMYFUNCTION("""COMPUTED_VALUE"""),"Uncle Sams Cider (04/04/2023)")</f>
        <v>Uncle Sams Cider (04/04/2023)</v>
      </c>
      <c r="H1804" s="19"/>
    </row>
    <row r="1805">
      <c r="A1805" s="9"/>
      <c r="B1805" s="15"/>
      <c r="C1805" s="9">
        <f>IFERROR(__xludf.DUMMYFUNCTION("""COMPUTED_VALUE"""),45125.7262496527)</f>
        <v>45125.72625</v>
      </c>
      <c r="D1805" s="15">
        <f>IFERROR(__xludf.DUMMYFUNCTION("""COMPUTED_VALUE"""),1.003)</f>
        <v>1.003</v>
      </c>
      <c r="E1805" s="16">
        <f>IFERROR(__xludf.DUMMYFUNCTION("""COMPUTED_VALUE"""),72.0)</f>
        <v>72</v>
      </c>
      <c r="F1805" s="19" t="str">
        <f>IFERROR(__xludf.DUMMYFUNCTION("""COMPUTED_VALUE"""),"BLACK")</f>
        <v>BLACK</v>
      </c>
      <c r="G1805" s="20" t="str">
        <f>IFERROR(__xludf.DUMMYFUNCTION("""COMPUTED_VALUE"""),"Uncle Sams Cider (04/04/2023)")</f>
        <v>Uncle Sams Cider (04/04/2023)</v>
      </c>
      <c r="H1805" s="19"/>
    </row>
    <row r="1806">
      <c r="A1806" s="9"/>
      <c r="B1806" s="15"/>
      <c r="C1806" s="9">
        <f>IFERROR(__xludf.DUMMYFUNCTION("""COMPUTED_VALUE"""),45125.7158046064)</f>
        <v>45125.7158</v>
      </c>
      <c r="D1806" s="15">
        <f>IFERROR(__xludf.DUMMYFUNCTION("""COMPUTED_VALUE"""),1.003)</f>
        <v>1.003</v>
      </c>
      <c r="E1806" s="16">
        <f>IFERROR(__xludf.DUMMYFUNCTION("""COMPUTED_VALUE"""),72.0)</f>
        <v>72</v>
      </c>
      <c r="F1806" s="19" t="str">
        <f>IFERROR(__xludf.DUMMYFUNCTION("""COMPUTED_VALUE"""),"BLACK")</f>
        <v>BLACK</v>
      </c>
      <c r="G1806" s="20" t="str">
        <f>IFERROR(__xludf.DUMMYFUNCTION("""COMPUTED_VALUE"""),"Uncle Sams Cider (04/04/2023)")</f>
        <v>Uncle Sams Cider (04/04/2023)</v>
      </c>
      <c r="H1806" s="19"/>
    </row>
    <row r="1807">
      <c r="A1807" s="9"/>
      <c r="B1807" s="15"/>
      <c r="C1807" s="9">
        <f>IFERROR(__xludf.DUMMYFUNCTION("""COMPUTED_VALUE"""),45125.7053478009)</f>
        <v>45125.70535</v>
      </c>
      <c r="D1807" s="15">
        <f>IFERROR(__xludf.DUMMYFUNCTION("""COMPUTED_VALUE"""),1.003)</f>
        <v>1.003</v>
      </c>
      <c r="E1807" s="16">
        <f>IFERROR(__xludf.DUMMYFUNCTION("""COMPUTED_VALUE"""),72.0)</f>
        <v>72</v>
      </c>
      <c r="F1807" s="19" t="str">
        <f>IFERROR(__xludf.DUMMYFUNCTION("""COMPUTED_VALUE"""),"BLACK")</f>
        <v>BLACK</v>
      </c>
      <c r="G1807" s="20" t="str">
        <f>IFERROR(__xludf.DUMMYFUNCTION("""COMPUTED_VALUE"""),"Uncle Sams Cider (04/04/2023)")</f>
        <v>Uncle Sams Cider (04/04/2023)</v>
      </c>
      <c r="H1807" s="19"/>
    </row>
    <row r="1808">
      <c r="A1808" s="9"/>
      <c r="B1808" s="15"/>
      <c r="C1808" s="9">
        <f>IFERROR(__xludf.DUMMYFUNCTION("""COMPUTED_VALUE"""),45125.6949279629)</f>
        <v>45125.69493</v>
      </c>
      <c r="D1808" s="15">
        <f>IFERROR(__xludf.DUMMYFUNCTION("""COMPUTED_VALUE"""),1.003)</f>
        <v>1.003</v>
      </c>
      <c r="E1808" s="16">
        <f>IFERROR(__xludf.DUMMYFUNCTION("""COMPUTED_VALUE"""),72.0)</f>
        <v>72</v>
      </c>
      <c r="F1808" s="19" t="str">
        <f>IFERROR(__xludf.DUMMYFUNCTION("""COMPUTED_VALUE"""),"BLACK")</f>
        <v>BLACK</v>
      </c>
      <c r="G1808" s="20" t="str">
        <f>IFERROR(__xludf.DUMMYFUNCTION("""COMPUTED_VALUE"""),"Uncle Sams Cider (04/04/2023)")</f>
        <v>Uncle Sams Cider (04/04/2023)</v>
      </c>
      <c r="H1808" s="19"/>
    </row>
    <row r="1809">
      <c r="A1809" s="9"/>
      <c r="B1809" s="15"/>
      <c r="C1809" s="9">
        <f>IFERROR(__xludf.DUMMYFUNCTION("""COMPUTED_VALUE"""),45125.6844723842)</f>
        <v>45125.68447</v>
      </c>
      <c r="D1809" s="15">
        <f>IFERROR(__xludf.DUMMYFUNCTION("""COMPUTED_VALUE"""),1.003)</f>
        <v>1.003</v>
      </c>
      <c r="E1809" s="16">
        <f>IFERROR(__xludf.DUMMYFUNCTION("""COMPUTED_VALUE"""),72.0)</f>
        <v>72</v>
      </c>
      <c r="F1809" s="19" t="str">
        <f>IFERROR(__xludf.DUMMYFUNCTION("""COMPUTED_VALUE"""),"BLACK")</f>
        <v>BLACK</v>
      </c>
      <c r="G1809" s="20" t="str">
        <f>IFERROR(__xludf.DUMMYFUNCTION("""COMPUTED_VALUE"""),"Uncle Sams Cider (04/04/2023)")</f>
        <v>Uncle Sams Cider (04/04/2023)</v>
      </c>
      <c r="H1809" s="19"/>
    </row>
    <row r="1810">
      <c r="A1810" s="9"/>
      <c r="B1810" s="15"/>
      <c r="C1810" s="9">
        <f>IFERROR(__xludf.DUMMYFUNCTION("""COMPUTED_VALUE"""),45125.6740520254)</f>
        <v>45125.67405</v>
      </c>
      <c r="D1810" s="15">
        <f>IFERROR(__xludf.DUMMYFUNCTION("""COMPUTED_VALUE"""),1.003)</f>
        <v>1.003</v>
      </c>
      <c r="E1810" s="16">
        <f>IFERROR(__xludf.DUMMYFUNCTION("""COMPUTED_VALUE"""),72.0)</f>
        <v>72</v>
      </c>
      <c r="F1810" s="19" t="str">
        <f>IFERROR(__xludf.DUMMYFUNCTION("""COMPUTED_VALUE"""),"BLACK")</f>
        <v>BLACK</v>
      </c>
      <c r="G1810" s="20" t="str">
        <f>IFERROR(__xludf.DUMMYFUNCTION("""COMPUTED_VALUE"""),"Uncle Sams Cider (04/04/2023)")</f>
        <v>Uncle Sams Cider (04/04/2023)</v>
      </c>
      <c r="H1810" s="19"/>
    </row>
    <row r="1811">
      <c r="A1811" s="9"/>
      <c r="B1811" s="15"/>
      <c r="C1811" s="9">
        <f>IFERROR(__xludf.DUMMYFUNCTION("""COMPUTED_VALUE"""),45125.6636310648)</f>
        <v>45125.66363</v>
      </c>
      <c r="D1811" s="15">
        <f>IFERROR(__xludf.DUMMYFUNCTION("""COMPUTED_VALUE"""),1.003)</f>
        <v>1.003</v>
      </c>
      <c r="E1811" s="16">
        <f>IFERROR(__xludf.DUMMYFUNCTION("""COMPUTED_VALUE"""),72.0)</f>
        <v>72</v>
      </c>
      <c r="F1811" s="19" t="str">
        <f>IFERROR(__xludf.DUMMYFUNCTION("""COMPUTED_VALUE"""),"BLACK")</f>
        <v>BLACK</v>
      </c>
      <c r="G1811" s="20" t="str">
        <f>IFERROR(__xludf.DUMMYFUNCTION("""COMPUTED_VALUE"""),"Uncle Sams Cider (04/04/2023)")</f>
        <v>Uncle Sams Cider (04/04/2023)</v>
      </c>
      <c r="H1811" s="19"/>
    </row>
    <row r="1812">
      <c r="A1812" s="9"/>
      <c r="B1812" s="15"/>
      <c r="C1812" s="9">
        <f>IFERROR(__xludf.DUMMYFUNCTION("""COMPUTED_VALUE"""),45125.653210868)</f>
        <v>45125.65321</v>
      </c>
      <c r="D1812" s="15">
        <f>IFERROR(__xludf.DUMMYFUNCTION("""COMPUTED_VALUE"""),1.003)</f>
        <v>1.003</v>
      </c>
      <c r="E1812" s="16">
        <f>IFERROR(__xludf.DUMMYFUNCTION("""COMPUTED_VALUE"""),72.0)</f>
        <v>72</v>
      </c>
      <c r="F1812" s="19" t="str">
        <f>IFERROR(__xludf.DUMMYFUNCTION("""COMPUTED_VALUE"""),"BLACK")</f>
        <v>BLACK</v>
      </c>
      <c r="G1812" s="20" t="str">
        <f>IFERROR(__xludf.DUMMYFUNCTION("""COMPUTED_VALUE"""),"Uncle Sams Cider (04/04/2023)")</f>
        <v>Uncle Sams Cider (04/04/2023)</v>
      </c>
      <c r="H1812" s="19"/>
    </row>
    <row r="1813">
      <c r="A1813" s="9"/>
      <c r="B1813" s="15"/>
      <c r="C1813" s="9">
        <f>IFERROR(__xludf.DUMMYFUNCTION("""COMPUTED_VALUE"""),45125.6427893171)</f>
        <v>45125.64279</v>
      </c>
      <c r="D1813" s="15">
        <f>IFERROR(__xludf.DUMMYFUNCTION("""COMPUTED_VALUE"""),1.003)</f>
        <v>1.003</v>
      </c>
      <c r="E1813" s="16">
        <f>IFERROR(__xludf.DUMMYFUNCTION("""COMPUTED_VALUE"""),72.0)</f>
        <v>72</v>
      </c>
      <c r="F1813" s="19" t="str">
        <f>IFERROR(__xludf.DUMMYFUNCTION("""COMPUTED_VALUE"""),"BLACK")</f>
        <v>BLACK</v>
      </c>
      <c r="G1813" s="20" t="str">
        <f>IFERROR(__xludf.DUMMYFUNCTION("""COMPUTED_VALUE"""),"Uncle Sams Cider (04/04/2023)")</f>
        <v>Uncle Sams Cider (04/04/2023)</v>
      </c>
      <c r="H1813" s="19"/>
    </row>
    <row r="1814">
      <c r="A1814" s="9"/>
      <c r="B1814" s="15"/>
      <c r="C1814" s="9">
        <f>IFERROR(__xludf.DUMMYFUNCTION("""COMPUTED_VALUE"""),45125.632366875)</f>
        <v>45125.63237</v>
      </c>
      <c r="D1814" s="15">
        <f>IFERROR(__xludf.DUMMYFUNCTION("""COMPUTED_VALUE"""),1.003)</f>
        <v>1.003</v>
      </c>
      <c r="E1814" s="16">
        <f>IFERROR(__xludf.DUMMYFUNCTION("""COMPUTED_VALUE"""),72.0)</f>
        <v>72</v>
      </c>
      <c r="F1814" s="19" t="str">
        <f>IFERROR(__xludf.DUMMYFUNCTION("""COMPUTED_VALUE"""),"BLACK")</f>
        <v>BLACK</v>
      </c>
      <c r="G1814" s="20" t="str">
        <f>IFERROR(__xludf.DUMMYFUNCTION("""COMPUTED_VALUE"""),"Uncle Sams Cider (04/04/2023)")</f>
        <v>Uncle Sams Cider (04/04/2023)</v>
      </c>
      <c r="H1814" s="19"/>
    </row>
    <row r="1815">
      <c r="A1815" s="9"/>
      <c r="B1815" s="15"/>
      <c r="C1815" s="9">
        <f>IFERROR(__xludf.DUMMYFUNCTION("""COMPUTED_VALUE"""),45125.6219449305)</f>
        <v>45125.62194</v>
      </c>
      <c r="D1815" s="15">
        <f>IFERROR(__xludf.DUMMYFUNCTION("""COMPUTED_VALUE"""),1.003)</f>
        <v>1.003</v>
      </c>
      <c r="E1815" s="16">
        <f>IFERROR(__xludf.DUMMYFUNCTION("""COMPUTED_VALUE"""),72.0)</f>
        <v>72</v>
      </c>
      <c r="F1815" s="19" t="str">
        <f>IFERROR(__xludf.DUMMYFUNCTION("""COMPUTED_VALUE"""),"BLACK")</f>
        <v>BLACK</v>
      </c>
      <c r="G1815" s="20" t="str">
        <f>IFERROR(__xludf.DUMMYFUNCTION("""COMPUTED_VALUE"""),"Uncle Sams Cider (04/04/2023)")</f>
        <v>Uncle Sams Cider (04/04/2023)</v>
      </c>
      <c r="H1815" s="19"/>
    </row>
    <row r="1816">
      <c r="A1816" s="9"/>
      <c r="B1816" s="15"/>
      <c r="C1816" s="9">
        <f>IFERROR(__xludf.DUMMYFUNCTION("""COMPUTED_VALUE"""),45125.6115222916)</f>
        <v>45125.61152</v>
      </c>
      <c r="D1816" s="15">
        <f>IFERROR(__xludf.DUMMYFUNCTION("""COMPUTED_VALUE"""),1.003)</f>
        <v>1.003</v>
      </c>
      <c r="E1816" s="16">
        <f>IFERROR(__xludf.DUMMYFUNCTION("""COMPUTED_VALUE"""),72.0)</f>
        <v>72</v>
      </c>
      <c r="F1816" s="19" t="str">
        <f>IFERROR(__xludf.DUMMYFUNCTION("""COMPUTED_VALUE"""),"BLACK")</f>
        <v>BLACK</v>
      </c>
      <c r="G1816" s="20" t="str">
        <f>IFERROR(__xludf.DUMMYFUNCTION("""COMPUTED_VALUE"""),"Uncle Sams Cider (04/04/2023)")</f>
        <v>Uncle Sams Cider (04/04/2023)</v>
      </c>
      <c r="H1816" s="19"/>
    </row>
    <row r="1817">
      <c r="A1817" s="9"/>
      <c r="B1817" s="15"/>
      <c r="C1817" s="9">
        <f>IFERROR(__xludf.DUMMYFUNCTION("""COMPUTED_VALUE"""),45125.6011022569)</f>
        <v>45125.6011</v>
      </c>
      <c r="D1817" s="15">
        <f>IFERROR(__xludf.DUMMYFUNCTION("""COMPUTED_VALUE"""),1.003)</f>
        <v>1.003</v>
      </c>
      <c r="E1817" s="16">
        <f>IFERROR(__xludf.DUMMYFUNCTION("""COMPUTED_VALUE"""),72.0)</f>
        <v>72</v>
      </c>
      <c r="F1817" s="19" t="str">
        <f>IFERROR(__xludf.DUMMYFUNCTION("""COMPUTED_VALUE"""),"BLACK")</f>
        <v>BLACK</v>
      </c>
      <c r="G1817" s="20" t="str">
        <f>IFERROR(__xludf.DUMMYFUNCTION("""COMPUTED_VALUE"""),"Uncle Sams Cider (04/04/2023)")</f>
        <v>Uncle Sams Cider (04/04/2023)</v>
      </c>
      <c r="H1817" s="19"/>
    </row>
    <row r="1818">
      <c r="A1818" s="9"/>
      <c r="B1818" s="15"/>
      <c r="C1818" s="9">
        <f>IFERROR(__xludf.DUMMYFUNCTION("""COMPUTED_VALUE"""),45125.5906789236)</f>
        <v>45125.59068</v>
      </c>
      <c r="D1818" s="15">
        <f>IFERROR(__xludf.DUMMYFUNCTION("""COMPUTED_VALUE"""),1.004)</f>
        <v>1.004</v>
      </c>
      <c r="E1818" s="16">
        <f>IFERROR(__xludf.DUMMYFUNCTION("""COMPUTED_VALUE"""),72.0)</f>
        <v>72</v>
      </c>
      <c r="F1818" s="19" t="str">
        <f>IFERROR(__xludf.DUMMYFUNCTION("""COMPUTED_VALUE"""),"BLACK")</f>
        <v>BLACK</v>
      </c>
      <c r="G1818" s="20" t="str">
        <f>IFERROR(__xludf.DUMMYFUNCTION("""COMPUTED_VALUE"""),"Uncle Sams Cider (04/04/2023)")</f>
        <v>Uncle Sams Cider (04/04/2023)</v>
      </c>
      <c r="H1818" s="19"/>
    </row>
    <row r="1819">
      <c r="A1819" s="9"/>
      <c r="B1819" s="15"/>
      <c r="C1819" s="9">
        <f>IFERROR(__xludf.DUMMYFUNCTION("""COMPUTED_VALUE"""),45125.5802463194)</f>
        <v>45125.58025</v>
      </c>
      <c r="D1819" s="15">
        <f>IFERROR(__xludf.DUMMYFUNCTION("""COMPUTED_VALUE"""),1.003)</f>
        <v>1.003</v>
      </c>
      <c r="E1819" s="16">
        <f>IFERROR(__xludf.DUMMYFUNCTION("""COMPUTED_VALUE"""),72.0)</f>
        <v>72</v>
      </c>
      <c r="F1819" s="19" t="str">
        <f>IFERROR(__xludf.DUMMYFUNCTION("""COMPUTED_VALUE"""),"BLACK")</f>
        <v>BLACK</v>
      </c>
      <c r="G1819" s="20" t="str">
        <f>IFERROR(__xludf.DUMMYFUNCTION("""COMPUTED_VALUE"""),"Uncle Sams Cider (04/04/2023)")</f>
        <v>Uncle Sams Cider (04/04/2023)</v>
      </c>
      <c r="H1819" s="19"/>
    </row>
    <row r="1820">
      <c r="A1820" s="9"/>
      <c r="B1820" s="15"/>
      <c r="C1820" s="9">
        <f>IFERROR(__xludf.DUMMYFUNCTION("""COMPUTED_VALUE"""),45125.5698250231)</f>
        <v>45125.56983</v>
      </c>
      <c r="D1820" s="15">
        <f>IFERROR(__xludf.DUMMYFUNCTION("""COMPUTED_VALUE"""),1.003)</f>
        <v>1.003</v>
      </c>
      <c r="E1820" s="16">
        <f>IFERROR(__xludf.DUMMYFUNCTION("""COMPUTED_VALUE"""),72.0)</f>
        <v>72</v>
      </c>
      <c r="F1820" s="19" t="str">
        <f>IFERROR(__xludf.DUMMYFUNCTION("""COMPUTED_VALUE"""),"BLACK")</f>
        <v>BLACK</v>
      </c>
      <c r="G1820" s="20" t="str">
        <f>IFERROR(__xludf.DUMMYFUNCTION("""COMPUTED_VALUE"""),"Uncle Sams Cider (04/04/2023)")</f>
        <v>Uncle Sams Cider (04/04/2023)</v>
      </c>
      <c r="H1820" s="19"/>
    </row>
    <row r="1821">
      <c r="A1821" s="9"/>
      <c r="B1821" s="15"/>
      <c r="C1821" s="9">
        <f>IFERROR(__xludf.DUMMYFUNCTION("""COMPUTED_VALUE"""),45125.5593791666)</f>
        <v>45125.55938</v>
      </c>
      <c r="D1821" s="15">
        <f>IFERROR(__xludf.DUMMYFUNCTION("""COMPUTED_VALUE"""),1.003)</f>
        <v>1.003</v>
      </c>
      <c r="E1821" s="16">
        <f>IFERROR(__xludf.DUMMYFUNCTION("""COMPUTED_VALUE"""),72.0)</f>
        <v>72</v>
      </c>
      <c r="F1821" s="19" t="str">
        <f>IFERROR(__xludf.DUMMYFUNCTION("""COMPUTED_VALUE"""),"BLACK")</f>
        <v>BLACK</v>
      </c>
      <c r="G1821" s="20" t="str">
        <f>IFERROR(__xludf.DUMMYFUNCTION("""COMPUTED_VALUE"""),"Uncle Sams Cider (04/04/2023)")</f>
        <v>Uncle Sams Cider (04/04/2023)</v>
      </c>
      <c r="H1821" s="19"/>
    </row>
    <row r="1822">
      <c r="A1822" s="9"/>
      <c r="B1822" s="15"/>
      <c r="C1822" s="9">
        <f>IFERROR(__xludf.DUMMYFUNCTION("""COMPUTED_VALUE"""),45125.548945787)</f>
        <v>45125.54895</v>
      </c>
      <c r="D1822" s="15">
        <f>IFERROR(__xludf.DUMMYFUNCTION("""COMPUTED_VALUE"""),1.003)</f>
        <v>1.003</v>
      </c>
      <c r="E1822" s="16">
        <f>IFERROR(__xludf.DUMMYFUNCTION("""COMPUTED_VALUE"""),72.0)</f>
        <v>72</v>
      </c>
      <c r="F1822" s="19" t="str">
        <f>IFERROR(__xludf.DUMMYFUNCTION("""COMPUTED_VALUE"""),"BLACK")</f>
        <v>BLACK</v>
      </c>
      <c r="G1822" s="20" t="str">
        <f>IFERROR(__xludf.DUMMYFUNCTION("""COMPUTED_VALUE"""),"Uncle Sams Cider (04/04/2023)")</f>
        <v>Uncle Sams Cider (04/04/2023)</v>
      </c>
      <c r="H1822" s="19"/>
    </row>
    <row r="1823">
      <c r="A1823" s="9"/>
      <c r="B1823" s="15"/>
      <c r="C1823" s="9">
        <f>IFERROR(__xludf.DUMMYFUNCTION("""COMPUTED_VALUE"""),45125.5385236458)</f>
        <v>45125.53852</v>
      </c>
      <c r="D1823" s="15">
        <f>IFERROR(__xludf.DUMMYFUNCTION("""COMPUTED_VALUE"""),1.003)</f>
        <v>1.003</v>
      </c>
      <c r="E1823" s="16">
        <f>IFERROR(__xludf.DUMMYFUNCTION("""COMPUTED_VALUE"""),72.0)</f>
        <v>72</v>
      </c>
      <c r="F1823" s="19" t="str">
        <f>IFERROR(__xludf.DUMMYFUNCTION("""COMPUTED_VALUE"""),"BLACK")</f>
        <v>BLACK</v>
      </c>
      <c r="G1823" s="20" t="str">
        <f>IFERROR(__xludf.DUMMYFUNCTION("""COMPUTED_VALUE"""),"Uncle Sams Cider (04/04/2023)")</f>
        <v>Uncle Sams Cider (04/04/2023)</v>
      </c>
      <c r="H1823" s="19"/>
    </row>
    <row r="1824">
      <c r="A1824" s="9"/>
      <c r="B1824" s="15"/>
      <c r="C1824" s="9">
        <f>IFERROR(__xludf.DUMMYFUNCTION("""COMPUTED_VALUE"""),45125.5281034143)</f>
        <v>45125.5281</v>
      </c>
      <c r="D1824" s="15">
        <f>IFERROR(__xludf.DUMMYFUNCTION("""COMPUTED_VALUE"""),1.003)</f>
        <v>1.003</v>
      </c>
      <c r="E1824" s="16">
        <f>IFERROR(__xludf.DUMMYFUNCTION("""COMPUTED_VALUE"""),72.0)</f>
        <v>72</v>
      </c>
      <c r="F1824" s="19" t="str">
        <f>IFERROR(__xludf.DUMMYFUNCTION("""COMPUTED_VALUE"""),"BLACK")</f>
        <v>BLACK</v>
      </c>
      <c r="G1824" s="20" t="str">
        <f>IFERROR(__xludf.DUMMYFUNCTION("""COMPUTED_VALUE"""),"Uncle Sams Cider (04/04/2023)")</f>
        <v>Uncle Sams Cider (04/04/2023)</v>
      </c>
      <c r="H1824" s="19"/>
    </row>
    <row r="1825">
      <c r="A1825" s="9"/>
      <c r="B1825" s="15"/>
      <c r="C1825" s="9">
        <f>IFERROR(__xludf.DUMMYFUNCTION("""COMPUTED_VALUE"""),45125.5176817592)</f>
        <v>45125.51768</v>
      </c>
      <c r="D1825" s="15">
        <f>IFERROR(__xludf.DUMMYFUNCTION("""COMPUTED_VALUE"""),1.003)</f>
        <v>1.003</v>
      </c>
      <c r="E1825" s="16">
        <f>IFERROR(__xludf.DUMMYFUNCTION("""COMPUTED_VALUE"""),72.0)</f>
        <v>72</v>
      </c>
      <c r="F1825" s="19" t="str">
        <f>IFERROR(__xludf.DUMMYFUNCTION("""COMPUTED_VALUE"""),"BLACK")</f>
        <v>BLACK</v>
      </c>
      <c r="G1825" s="20" t="str">
        <f>IFERROR(__xludf.DUMMYFUNCTION("""COMPUTED_VALUE"""),"Uncle Sams Cider (04/04/2023)")</f>
        <v>Uncle Sams Cider (04/04/2023)</v>
      </c>
      <c r="H1825" s="19"/>
    </row>
    <row r="1826">
      <c r="A1826" s="9"/>
      <c r="B1826" s="15"/>
      <c r="C1826" s="9">
        <f>IFERROR(__xludf.DUMMYFUNCTION("""COMPUTED_VALUE"""),45125.5072609143)</f>
        <v>45125.50726</v>
      </c>
      <c r="D1826" s="15">
        <f>IFERROR(__xludf.DUMMYFUNCTION("""COMPUTED_VALUE"""),1.003)</f>
        <v>1.003</v>
      </c>
      <c r="E1826" s="16">
        <f>IFERROR(__xludf.DUMMYFUNCTION("""COMPUTED_VALUE"""),72.0)</f>
        <v>72</v>
      </c>
      <c r="F1826" s="19" t="str">
        <f>IFERROR(__xludf.DUMMYFUNCTION("""COMPUTED_VALUE"""),"BLACK")</f>
        <v>BLACK</v>
      </c>
      <c r="G1826" s="20" t="str">
        <f>IFERROR(__xludf.DUMMYFUNCTION("""COMPUTED_VALUE"""),"Uncle Sams Cider (04/04/2023)")</f>
        <v>Uncle Sams Cider (04/04/2023)</v>
      </c>
      <c r="H1826" s="19"/>
    </row>
    <row r="1827">
      <c r="A1827" s="9"/>
      <c r="B1827" s="15"/>
      <c r="C1827" s="9">
        <f>IFERROR(__xludf.DUMMYFUNCTION("""COMPUTED_VALUE"""),45125.4968398032)</f>
        <v>45125.49684</v>
      </c>
      <c r="D1827" s="15">
        <f>IFERROR(__xludf.DUMMYFUNCTION("""COMPUTED_VALUE"""),1.003)</f>
        <v>1.003</v>
      </c>
      <c r="E1827" s="16">
        <f>IFERROR(__xludf.DUMMYFUNCTION("""COMPUTED_VALUE"""),72.0)</f>
        <v>72</v>
      </c>
      <c r="F1827" s="19" t="str">
        <f>IFERROR(__xludf.DUMMYFUNCTION("""COMPUTED_VALUE"""),"BLACK")</f>
        <v>BLACK</v>
      </c>
      <c r="G1827" s="20" t="str">
        <f>IFERROR(__xludf.DUMMYFUNCTION("""COMPUTED_VALUE"""),"Uncle Sams Cider (04/04/2023)")</f>
        <v>Uncle Sams Cider (04/04/2023)</v>
      </c>
      <c r="H1827" s="19"/>
    </row>
    <row r="1828">
      <c r="A1828" s="9"/>
      <c r="B1828" s="15"/>
      <c r="C1828" s="9">
        <f>IFERROR(__xludf.DUMMYFUNCTION("""COMPUTED_VALUE"""),45125.4864182407)</f>
        <v>45125.48642</v>
      </c>
      <c r="D1828" s="15">
        <f>IFERROR(__xludf.DUMMYFUNCTION("""COMPUTED_VALUE"""),1.003)</f>
        <v>1.003</v>
      </c>
      <c r="E1828" s="16">
        <f>IFERROR(__xludf.DUMMYFUNCTION("""COMPUTED_VALUE"""),72.0)</f>
        <v>72</v>
      </c>
      <c r="F1828" s="19" t="str">
        <f>IFERROR(__xludf.DUMMYFUNCTION("""COMPUTED_VALUE"""),"BLACK")</f>
        <v>BLACK</v>
      </c>
      <c r="G1828" s="20" t="str">
        <f>IFERROR(__xludf.DUMMYFUNCTION("""COMPUTED_VALUE"""),"Uncle Sams Cider (04/04/2023)")</f>
        <v>Uncle Sams Cider (04/04/2023)</v>
      </c>
      <c r="H1828" s="19"/>
    </row>
    <row r="1829">
      <c r="A1829" s="9"/>
      <c r="B1829" s="15"/>
      <c r="C1829" s="9">
        <f>IFERROR(__xludf.DUMMYFUNCTION("""COMPUTED_VALUE"""),45125.4759954398)</f>
        <v>45125.476</v>
      </c>
      <c r="D1829" s="15">
        <f>IFERROR(__xludf.DUMMYFUNCTION("""COMPUTED_VALUE"""),1.003)</f>
        <v>1.003</v>
      </c>
      <c r="E1829" s="16">
        <f>IFERROR(__xludf.DUMMYFUNCTION("""COMPUTED_VALUE"""),72.0)</f>
        <v>72</v>
      </c>
      <c r="F1829" s="19" t="str">
        <f>IFERROR(__xludf.DUMMYFUNCTION("""COMPUTED_VALUE"""),"BLACK")</f>
        <v>BLACK</v>
      </c>
      <c r="G1829" s="20" t="str">
        <f>IFERROR(__xludf.DUMMYFUNCTION("""COMPUTED_VALUE"""),"Uncle Sams Cider (04/04/2023)")</f>
        <v>Uncle Sams Cider (04/04/2023)</v>
      </c>
      <c r="H1829" s="19"/>
    </row>
    <row r="1830">
      <c r="A1830" s="9"/>
      <c r="B1830" s="15"/>
      <c r="C1830" s="9">
        <f>IFERROR(__xludf.DUMMYFUNCTION("""COMPUTED_VALUE"""),45125.4655285185)</f>
        <v>45125.46553</v>
      </c>
      <c r="D1830" s="15">
        <f>IFERROR(__xludf.DUMMYFUNCTION("""COMPUTED_VALUE"""),1.003)</f>
        <v>1.003</v>
      </c>
      <c r="E1830" s="16">
        <f>IFERROR(__xludf.DUMMYFUNCTION("""COMPUTED_VALUE"""),72.0)</f>
        <v>72</v>
      </c>
      <c r="F1830" s="19" t="str">
        <f>IFERROR(__xludf.DUMMYFUNCTION("""COMPUTED_VALUE"""),"BLACK")</f>
        <v>BLACK</v>
      </c>
      <c r="G1830" s="20" t="str">
        <f>IFERROR(__xludf.DUMMYFUNCTION("""COMPUTED_VALUE"""),"Uncle Sams Cider (04/04/2023)")</f>
        <v>Uncle Sams Cider (04/04/2023)</v>
      </c>
      <c r="H1830" s="19"/>
    </row>
    <row r="1831">
      <c r="A1831" s="9"/>
      <c r="B1831" s="15"/>
      <c r="C1831" s="9">
        <f>IFERROR(__xludf.DUMMYFUNCTION("""COMPUTED_VALUE"""),45125.4551067013)</f>
        <v>45125.45511</v>
      </c>
      <c r="D1831" s="15">
        <f>IFERROR(__xludf.DUMMYFUNCTION("""COMPUTED_VALUE"""),1.003)</f>
        <v>1.003</v>
      </c>
      <c r="E1831" s="16">
        <f>IFERROR(__xludf.DUMMYFUNCTION("""COMPUTED_VALUE"""),72.0)</f>
        <v>72</v>
      </c>
      <c r="F1831" s="19" t="str">
        <f>IFERROR(__xludf.DUMMYFUNCTION("""COMPUTED_VALUE"""),"BLACK")</f>
        <v>BLACK</v>
      </c>
      <c r="G1831" s="20" t="str">
        <f>IFERROR(__xludf.DUMMYFUNCTION("""COMPUTED_VALUE"""),"Uncle Sams Cider (04/04/2023)")</f>
        <v>Uncle Sams Cider (04/04/2023)</v>
      </c>
      <c r="H1831" s="19"/>
    </row>
    <row r="1832">
      <c r="A1832" s="9"/>
      <c r="B1832" s="15"/>
      <c r="C1832" s="9">
        <f>IFERROR(__xludf.DUMMYFUNCTION("""COMPUTED_VALUE"""),45125.4446736111)</f>
        <v>45125.44467</v>
      </c>
      <c r="D1832" s="15">
        <f>IFERROR(__xludf.DUMMYFUNCTION("""COMPUTED_VALUE"""),1.003)</f>
        <v>1.003</v>
      </c>
      <c r="E1832" s="16">
        <f>IFERROR(__xludf.DUMMYFUNCTION("""COMPUTED_VALUE"""),72.0)</f>
        <v>72</v>
      </c>
      <c r="F1832" s="19" t="str">
        <f>IFERROR(__xludf.DUMMYFUNCTION("""COMPUTED_VALUE"""),"BLACK")</f>
        <v>BLACK</v>
      </c>
      <c r="G1832" s="20" t="str">
        <f>IFERROR(__xludf.DUMMYFUNCTION("""COMPUTED_VALUE"""),"Uncle Sams Cider (04/04/2023)")</f>
        <v>Uncle Sams Cider (04/04/2023)</v>
      </c>
      <c r="H1832" s="19"/>
    </row>
    <row r="1833">
      <c r="A1833" s="9"/>
      <c r="B1833" s="15"/>
      <c r="C1833" s="9">
        <f>IFERROR(__xludf.DUMMYFUNCTION("""COMPUTED_VALUE"""),45125.4342534722)</f>
        <v>45125.43425</v>
      </c>
      <c r="D1833" s="15">
        <f>IFERROR(__xludf.DUMMYFUNCTION("""COMPUTED_VALUE"""),1.003)</f>
        <v>1.003</v>
      </c>
      <c r="E1833" s="16">
        <f>IFERROR(__xludf.DUMMYFUNCTION("""COMPUTED_VALUE"""),72.0)</f>
        <v>72</v>
      </c>
      <c r="F1833" s="19" t="str">
        <f>IFERROR(__xludf.DUMMYFUNCTION("""COMPUTED_VALUE"""),"BLACK")</f>
        <v>BLACK</v>
      </c>
      <c r="G1833" s="20" t="str">
        <f>IFERROR(__xludf.DUMMYFUNCTION("""COMPUTED_VALUE"""),"Uncle Sams Cider (04/04/2023)")</f>
        <v>Uncle Sams Cider (04/04/2023)</v>
      </c>
      <c r="H1833" s="19"/>
    </row>
    <row r="1834">
      <c r="A1834" s="9"/>
      <c r="B1834" s="15"/>
      <c r="C1834" s="9">
        <f>IFERROR(__xludf.DUMMYFUNCTION("""COMPUTED_VALUE"""),45125.4238340162)</f>
        <v>45125.42383</v>
      </c>
      <c r="D1834" s="15">
        <f>IFERROR(__xludf.DUMMYFUNCTION("""COMPUTED_VALUE"""),1.003)</f>
        <v>1.003</v>
      </c>
      <c r="E1834" s="16">
        <f>IFERROR(__xludf.DUMMYFUNCTION("""COMPUTED_VALUE"""),72.0)</f>
        <v>72</v>
      </c>
      <c r="F1834" s="19" t="str">
        <f>IFERROR(__xludf.DUMMYFUNCTION("""COMPUTED_VALUE"""),"BLACK")</f>
        <v>BLACK</v>
      </c>
      <c r="G1834" s="20" t="str">
        <f>IFERROR(__xludf.DUMMYFUNCTION("""COMPUTED_VALUE"""),"Uncle Sams Cider (04/04/2023)")</f>
        <v>Uncle Sams Cider (04/04/2023)</v>
      </c>
      <c r="H1834" s="19"/>
    </row>
    <row r="1835">
      <c r="A1835" s="9"/>
      <c r="B1835" s="15"/>
      <c r="C1835" s="9">
        <f>IFERROR(__xludf.DUMMYFUNCTION("""COMPUTED_VALUE"""),45125.4134131713)</f>
        <v>45125.41341</v>
      </c>
      <c r="D1835" s="15">
        <f>IFERROR(__xludf.DUMMYFUNCTION("""COMPUTED_VALUE"""),1.003)</f>
        <v>1.003</v>
      </c>
      <c r="E1835" s="16">
        <f>IFERROR(__xludf.DUMMYFUNCTION("""COMPUTED_VALUE"""),72.0)</f>
        <v>72</v>
      </c>
      <c r="F1835" s="19" t="str">
        <f>IFERROR(__xludf.DUMMYFUNCTION("""COMPUTED_VALUE"""),"BLACK")</f>
        <v>BLACK</v>
      </c>
      <c r="G1835" s="20" t="str">
        <f>IFERROR(__xludf.DUMMYFUNCTION("""COMPUTED_VALUE"""),"Uncle Sams Cider (04/04/2023)")</f>
        <v>Uncle Sams Cider (04/04/2023)</v>
      </c>
      <c r="H1835" s="19"/>
    </row>
    <row r="1836">
      <c r="A1836" s="9"/>
      <c r="B1836" s="15"/>
      <c r="C1836" s="9">
        <f>IFERROR(__xludf.DUMMYFUNCTION("""COMPUTED_VALUE"""),45125.4029920949)</f>
        <v>45125.40299</v>
      </c>
      <c r="D1836" s="15">
        <f>IFERROR(__xludf.DUMMYFUNCTION("""COMPUTED_VALUE"""),1.004)</f>
        <v>1.004</v>
      </c>
      <c r="E1836" s="16">
        <f>IFERROR(__xludf.DUMMYFUNCTION("""COMPUTED_VALUE"""),72.0)</f>
        <v>72</v>
      </c>
      <c r="F1836" s="19" t="str">
        <f>IFERROR(__xludf.DUMMYFUNCTION("""COMPUTED_VALUE"""),"BLACK")</f>
        <v>BLACK</v>
      </c>
      <c r="G1836" s="20" t="str">
        <f>IFERROR(__xludf.DUMMYFUNCTION("""COMPUTED_VALUE"""),"Uncle Sams Cider (04/04/2023)")</f>
        <v>Uncle Sams Cider (04/04/2023)</v>
      </c>
      <c r="H1836" s="19"/>
    </row>
    <row r="1837">
      <c r="A1837" s="9"/>
      <c r="B1837" s="15"/>
      <c r="C1837" s="9">
        <f>IFERROR(__xludf.DUMMYFUNCTION("""COMPUTED_VALUE"""),45125.3925684143)</f>
        <v>45125.39257</v>
      </c>
      <c r="D1837" s="15">
        <f>IFERROR(__xludf.DUMMYFUNCTION("""COMPUTED_VALUE"""),1.003)</f>
        <v>1.003</v>
      </c>
      <c r="E1837" s="16">
        <f>IFERROR(__xludf.DUMMYFUNCTION("""COMPUTED_VALUE"""),72.0)</f>
        <v>72</v>
      </c>
      <c r="F1837" s="19" t="str">
        <f>IFERROR(__xludf.DUMMYFUNCTION("""COMPUTED_VALUE"""),"BLACK")</f>
        <v>BLACK</v>
      </c>
      <c r="G1837" s="20" t="str">
        <f>IFERROR(__xludf.DUMMYFUNCTION("""COMPUTED_VALUE"""),"Uncle Sams Cider (04/04/2023)")</f>
        <v>Uncle Sams Cider (04/04/2023)</v>
      </c>
      <c r="H1837" s="19"/>
    </row>
    <row r="1838">
      <c r="A1838" s="9"/>
      <c r="B1838" s="15"/>
      <c r="C1838" s="9">
        <f>IFERROR(__xludf.DUMMYFUNCTION("""COMPUTED_VALUE"""),45125.382146875)</f>
        <v>45125.38215</v>
      </c>
      <c r="D1838" s="15">
        <f>IFERROR(__xludf.DUMMYFUNCTION("""COMPUTED_VALUE"""),1.003)</f>
        <v>1.003</v>
      </c>
      <c r="E1838" s="16">
        <f>IFERROR(__xludf.DUMMYFUNCTION("""COMPUTED_VALUE"""),72.0)</f>
        <v>72</v>
      </c>
      <c r="F1838" s="19" t="str">
        <f>IFERROR(__xludf.DUMMYFUNCTION("""COMPUTED_VALUE"""),"BLACK")</f>
        <v>BLACK</v>
      </c>
      <c r="G1838" s="20" t="str">
        <f>IFERROR(__xludf.DUMMYFUNCTION("""COMPUTED_VALUE"""),"Uncle Sams Cider (04/04/2023)")</f>
        <v>Uncle Sams Cider (04/04/2023)</v>
      </c>
      <c r="H1838" s="19"/>
    </row>
    <row r="1839">
      <c r="A1839" s="9"/>
      <c r="B1839" s="15"/>
      <c r="C1839" s="9">
        <f>IFERROR(__xludf.DUMMYFUNCTION("""COMPUTED_VALUE"""),45125.3717259143)</f>
        <v>45125.37173</v>
      </c>
      <c r="D1839" s="15">
        <f>IFERROR(__xludf.DUMMYFUNCTION("""COMPUTED_VALUE"""),1.003)</f>
        <v>1.003</v>
      </c>
      <c r="E1839" s="16">
        <f>IFERROR(__xludf.DUMMYFUNCTION("""COMPUTED_VALUE"""),72.0)</f>
        <v>72</v>
      </c>
      <c r="F1839" s="19" t="str">
        <f>IFERROR(__xludf.DUMMYFUNCTION("""COMPUTED_VALUE"""),"BLACK")</f>
        <v>BLACK</v>
      </c>
      <c r="G1839" s="20" t="str">
        <f>IFERROR(__xludf.DUMMYFUNCTION("""COMPUTED_VALUE"""),"Uncle Sams Cider (04/04/2023)")</f>
        <v>Uncle Sams Cider (04/04/2023)</v>
      </c>
      <c r="H1839" s="19"/>
    </row>
    <row r="1840">
      <c r="A1840" s="9"/>
      <c r="B1840" s="15"/>
      <c r="C1840" s="9">
        <f>IFERROR(__xludf.DUMMYFUNCTION("""COMPUTED_VALUE"""),45125.3612940856)</f>
        <v>45125.36129</v>
      </c>
      <c r="D1840" s="15">
        <f>IFERROR(__xludf.DUMMYFUNCTION("""COMPUTED_VALUE"""),1.003)</f>
        <v>1.003</v>
      </c>
      <c r="E1840" s="16">
        <f>IFERROR(__xludf.DUMMYFUNCTION("""COMPUTED_VALUE"""),72.0)</f>
        <v>72</v>
      </c>
      <c r="F1840" s="19" t="str">
        <f>IFERROR(__xludf.DUMMYFUNCTION("""COMPUTED_VALUE"""),"BLACK")</f>
        <v>BLACK</v>
      </c>
      <c r="G1840" s="20" t="str">
        <f>IFERROR(__xludf.DUMMYFUNCTION("""COMPUTED_VALUE"""),"Uncle Sams Cider (04/04/2023)")</f>
        <v>Uncle Sams Cider (04/04/2023)</v>
      </c>
      <c r="H1840" s="19"/>
    </row>
    <row r="1841">
      <c r="A1841" s="9"/>
      <c r="B1841" s="15"/>
      <c r="C1841" s="9">
        <f>IFERROR(__xludf.DUMMYFUNCTION("""COMPUTED_VALUE"""),45125.3508722916)</f>
        <v>45125.35087</v>
      </c>
      <c r="D1841" s="15">
        <f>IFERROR(__xludf.DUMMYFUNCTION("""COMPUTED_VALUE"""),1.003)</f>
        <v>1.003</v>
      </c>
      <c r="E1841" s="16">
        <f>IFERROR(__xludf.DUMMYFUNCTION("""COMPUTED_VALUE"""),72.0)</f>
        <v>72</v>
      </c>
      <c r="F1841" s="19" t="str">
        <f>IFERROR(__xludf.DUMMYFUNCTION("""COMPUTED_VALUE"""),"BLACK")</f>
        <v>BLACK</v>
      </c>
      <c r="G1841" s="20" t="str">
        <f>IFERROR(__xludf.DUMMYFUNCTION("""COMPUTED_VALUE"""),"Uncle Sams Cider (04/04/2023)")</f>
        <v>Uncle Sams Cider (04/04/2023)</v>
      </c>
      <c r="H1841" s="19"/>
    </row>
    <row r="1842">
      <c r="A1842" s="9"/>
      <c r="B1842" s="15"/>
      <c r="C1842" s="9">
        <f>IFERROR(__xludf.DUMMYFUNCTION("""COMPUTED_VALUE"""),45125.3404515856)</f>
        <v>45125.34045</v>
      </c>
      <c r="D1842" s="15">
        <f>IFERROR(__xludf.DUMMYFUNCTION("""COMPUTED_VALUE"""),1.003)</f>
        <v>1.003</v>
      </c>
      <c r="E1842" s="16">
        <f>IFERROR(__xludf.DUMMYFUNCTION("""COMPUTED_VALUE"""),72.0)</f>
        <v>72</v>
      </c>
      <c r="F1842" s="19" t="str">
        <f>IFERROR(__xludf.DUMMYFUNCTION("""COMPUTED_VALUE"""),"BLACK")</f>
        <v>BLACK</v>
      </c>
      <c r="G1842" s="20" t="str">
        <f>IFERROR(__xludf.DUMMYFUNCTION("""COMPUTED_VALUE"""),"Uncle Sams Cider (04/04/2023)")</f>
        <v>Uncle Sams Cider (04/04/2023)</v>
      </c>
      <c r="H1842" s="19"/>
    </row>
    <row r="1843">
      <c r="A1843" s="9"/>
      <c r="B1843" s="15"/>
      <c r="C1843" s="9">
        <f>IFERROR(__xludf.DUMMYFUNCTION("""COMPUTED_VALUE"""),45125.329983449)</f>
        <v>45125.32998</v>
      </c>
      <c r="D1843" s="15">
        <f>IFERROR(__xludf.DUMMYFUNCTION("""COMPUTED_VALUE"""),1.003)</f>
        <v>1.003</v>
      </c>
      <c r="E1843" s="16">
        <f>IFERROR(__xludf.DUMMYFUNCTION("""COMPUTED_VALUE"""),72.0)</f>
        <v>72</v>
      </c>
      <c r="F1843" s="19" t="str">
        <f>IFERROR(__xludf.DUMMYFUNCTION("""COMPUTED_VALUE"""),"BLACK")</f>
        <v>BLACK</v>
      </c>
      <c r="G1843" s="20" t="str">
        <f>IFERROR(__xludf.DUMMYFUNCTION("""COMPUTED_VALUE"""),"Uncle Sams Cider (04/04/2023)")</f>
        <v>Uncle Sams Cider (04/04/2023)</v>
      </c>
      <c r="H1843" s="19"/>
    </row>
    <row r="1844">
      <c r="A1844" s="9"/>
      <c r="B1844" s="15"/>
      <c r="C1844" s="9">
        <f>IFERROR(__xludf.DUMMYFUNCTION("""COMPUTED_VALUE"""),45125.3195632176)</f>
        <v>45125.31956</v>
      </c>
      <c r="D1844" s="15">
        <f>IFERROR(__xludf.DUMMYFUNCTION("""COMPUTED_VALUE"""),1.003)</f>
        <v>1.003</v>
      </c>
      <c r="E1844" s="16">
        <f>IFERROR(__xludf.DUMMYFUNCTION("""COMPUTED_VALUE"""),72.0)</f>
        <v>72</v>
      </c>
      <c r="F1844" s="19" t="str">
        <f>IFERROR(__xludf.DUMMYFUNCTION("""COMPUTED_VALUE"""),"BLACK")</f>
        <v>BLACK</v>
      </c>
      <c r="G1844" s="20" t="str">
        <f>IFERROR(__xludf.DUMMYFUNCTION("""COMPUTED_VALUE"""),"Uncle Sams Cider (04/04/2023)")</f>
        <v>Uncle Sams Cider (04/04/2023)</v>
      </c>
      <c r="H1844" s="19"/>
    </row>
    <row r="1845">
      <c r="A1845" s="9"/>
      <c r="B1845" s="15"/>
      <c r="C1845" s="9">
        <f>IFERROR(__xludf.DUMMYFUNCTION("""COMPUTED_VALUE"""),45125.3091411574)</f>
        <v>45125.30914</v>
      </c>
      <c r="D1845" s="15">
        <f>IFERROR(__xludf.DUMMYFUNCTION("""COMPUTED_VALUE"""),1.003)</f>
        <v>1.003</v>
      </c>
      <c r="E1845" s="16">
        <f>IFERROR(__xludf.DUMMYFUNCTION("""COMPUTED_VALUE"""),72.0)</f>
        <v>72</v>
      </c>
      <c r="F1845" s="19" t="str">
        <f>IFERROR(__xludf.DUMMYFUNCTION("""COMPUTED_VALUE"""),"BLACK")</f>
        <v>BLACK</v>
      </c>
      <c r="G1845" s="20" t="str">
        <f>IFERROR(__xludf.DUMMYFUNCTION("""COMPUTED_VALUE"""),"Uncle Sams Cider (04/04/2023)")</f>
        <v>Uncle Sams Cider (04/04/2023)</v>
      </c>
      <c r="H1845" s="19"/>
    </row>
    <row r="1846">
      <c r="A1846" s="9"/>
      <c r="B1846" s="15"/>
      <c r="C1846" s="9">
        <f>IFERROR(__xludf.DUMMYFUNCTION("""COMPUTED_VALUE"""),45125.2987082407)</f>
        <v>45125.29871</v>
      </c>
      <c r="D1846" s="15">
        <f>IFERROR(__xludf.DUMMYFUNCTION("""COMPUTED_VALUE"""),1.003)</f>
        <v>1.003</v>
      </c>
      <c r="E1846" s="16">
        <f>IFERROR(__xludf.DUMMYFUNCTION("""COMPUTED_VALUE"""),72.0)</f>
        <v>72</v>
      </c>
      <c r="F1846" s="19" t="str">
        <f>IFERROR(__xludf.DUMMYFUNCTION("""COMPUTED_VALUE"""),"BLACK")</f>
        <v>BLACK</v>
      </c>
      <c r="G1846" s="20" t="str">
        <f>IFERROR(__xludf.DUMMYFUNCTION("""COMPUTED_VALUE"""),"Uncle Sams Cider (04/04/2023)")</f>
        <v>Uncle Sams Cider (04/04/2023)</v>
      </c>
      <c r="H1846" s="19"/>
    </row>
    <row r="1847">
      <c r="A1847" s="9"/>
      <c r="B1847" s="15"/>
      <c r="C1847" s="9">
        <f>IFERROR(__xludf.DUMMYFUNCTION("""COMPUTED_VALUE"""),45125.2882884606)</f>
        <v>45125.28829</v>
      </c>
      <c r="D1847" s="15">
        <f>IFERROR(__xludf.DUMMYFUNCTION("""COMPUTED_VALUE"""),1.003)</f>
        <v>1.003</v>
      </c>
      <c r="E1847" s="16">
        <f>IFERROR(__xludf.DUMMYFUNCTION("""COMPUTED_VALUE"""),72.0)</f>
        <v>72</v>
      </c>
      <c r="F1847" s="19" t="str">
        <f>IFERROR(__xludf.DUMMYFUNCTION("""COMPUTED_VALUE"""),"BLACK")</f>
        <v>BLACK</v>
      </c>
      <c r="G1847" s="20" t="str">
        <f>IFERROR(__xludf.DUMMYFUNCTION("""COMPUTED_VALUE"""),"Uncle Sams Cider (04/04/2023)")</f>
        <v>Uncle Sams Cider (04/04/2023)</v>
      </c>
      <c r="H1847" s="19"/>
    </row>
    <row r="1848">
      <c r="A1848" s="9"/>
      <c r="B1848" s="15"/>
      <c r="C1848" s="9">
        <f>IFERROR(__xludf.DUMMYFUNCTION("""COMPUTED_VALUE"""),45125.2778564699)</f>
        <v>45125.27786</v>
      </c>
      <c r="D1848" s="15">
        <f>IFERROR(__xludf.DUMMYFUNCTION("""COMPUTED_VALUE"""),1.003)</f>
        <v>1.003</v>
      </c>
      <c r="E1848" s="16">
        <f>IFERROR(__xludf.DUMMYFUNCTION("""COMPUTED_VALUE"""),72.0)</f>
        <v>72</v>
      </c>
      <c r="F1848" s="19" t="str">
        <f>IFERROR(__xludf.DUMMYFUNCTION("""COMPUTED_VALUE"""),"BLACK")</f>
        <v>BLACK</v>
      </c>
      <c r="G1848" s="20" t="str">
        <f>IFERROR(__xludf.DUMMYFUNCTION("""COMPUTED_VALUE"""),"Uncle Sams Cider (04/04/2023)")</f>
        <v>Uncle Sams Cider (04/04/2023)</v>
      </c>
      <c r="H1848" s="19"/>
    </row>
    <row r="1849">
      <c r="A1849" s="9"/>
      <c r="B1849" s="15"/>
      <c r="C1849" s="9">
        <f>IFERROR(__xludf.DUMMYFUNCTION("""COMPUTED_VALUE"""),45125.2674234027)</f>
        <v>45125.26742</v>
      </c>
      <c r="D1849" s="15">
        <f>IFERROR(__xludf.DUMMYFUNCTION("""COMPUTED_VALUE"""),1.003)</f>
        <v>1.003</v>
      </c>
      <c r="E1849" s="16">
        <f>IFERROR(__xludf.DUMMYFUNCTION("""COMPUTED_VALUE"""),72.0)</f>
        <v>72</v>
      </c>
      <c r="F1849" s="19" t="str">
        <f>IFERROR(__xludf.DUMMYFUNCTION("""COMPUTED_VALUE"""),"BLACK")</f>
        <v>BLACK</v>
      </c>
      <c r="G1849" s="20" t="str">
        <f>IFERROR(__xludf.DUMMYFUNCTION("""COMPUTED_VALUE"""),"Uncle Sams Cider (04/04/2023)")</f>
        <v>Uncle Sams Cider (04/04/2023)</v>
      </c>
      <c r="H1849" s="19"/>
    </row>
    <row r="1850">
      <c r="A1850" s="9"/>
      <c r="B1850" s="15"/>
      <c r="C1850" s="9">
        <f>IFERROR(__xludf.DUMMYFUNCTION("""COMPUTED_VALUE"""),45125.2570045486)</f>
        <v>45125.257</v>
      </c>
      <c r="D1850" s="15">
        <f>IFERROR(__xludf.DUMMYFUNCTION("""COMPUTED_VALUE"""),1.003)</f>
        <v>1.003</v>
      </c>
      <c r="E1850" s="16">
        <f>IFERROR(__xludf.DUMMYFUNCTION("""COMPUTED_VALUE"""),72.0)</f>
        <v>72</v>
      </c>
      <c r="F1850" s="19" t="str">
        <f>IFERROR(__xludf.DUMMYFUNCTION("""COMPUTED_VALUE"""),"BLACK")</f>
        <v>BLACK</v>
      </c>
      <c r="G1850" s="20" t="str">
        <f>IFERROR(__xludf.DUMMYFUNCTION("""COMPUTED_VALUE"""),"Uncle Sams Cider (04/04/2023)")</f>
        <v>Uncle Sams Cider (04/04/2023)</v>
      </c>
      <c r="H1850" s="19"/>
    </row>
    <row r="1851">
      <c r="A1851" s="9"/>
      <c r="B1851" s="15"/>
      <c r="C1851" s="9">
        <f>IFERROR(__xludf.DUMMYFUNCTION("""COMPUTED_VALUE"""),45125.2465844791)</f>
        <v>45125.24658</v>
      </c>
      <c r="D1851" s="15">
        <f>IFERROR(__xludf.DUMMYFUNCTION("""COMPUTED_VALUE"""),1.004)</f>
        <v>1.004</v>
      </c>
      <c r="E1851" s="16">
        <f>IFERROR(__xludf.DUMMYFUNCTION("""COMPUTED_VALUE"""),72.0)</f>
        <v>72</v>
      </c>
      <c r="F1851" s="19" t="str">
        <f>IFERROR(__xludf.DUMMYFUNCTION("""COMPUTED_VALUE"""),"BLACK")</f>
        <v>BLACK</v>
      </c>
      <c r="G1851" s="20" t="str">
        <f>IFERROR(__xludf.DUMMYFUNCTION("""COMPUTED_VALUE"""),"Uncle Sams Cider (04/04/2023)")</f>
        <v>Uncle Sams Cider (04/04/2023)</v>
      </c>
      <c r="H1851" s="19"/>
    </row>
    <row r="1852">
      <c r="A1852" s="9"/>
      <c r="B1852" s="15"/>
      <c r="C1852" s="9">
        <f>IFERROR(__xludf.DUMMYFUNCTION("""COMPUTED_VALUE"""),45125.2361641898)</f>
        <v>45125.23616</v>
      </c>
      <c r="D1852" s="15">
        <f>IFERROR(__xludf.DUMMYFUNCTION("""COMPUTED_VALUE"""),1.003)</f>
        <v>1.003</v>
      </c>
      <c r="E1852" s="16">
        <f>IFERROR(__xludf.DUMMYFUNCTION("""COMPUTED_VALUE"""),72.0)</f>
        <v>72</v>
      </c>
      <c r="F1852" s="19" t="str">
        <f>IFERROR(__xludf.DUMMYFUNCTION("""COMPUTED_VALUE"""),"BLACK")</f>
        <v>BLACK</v>
      </c>
      <c r="G1852" s="20" t="str">
        <f>IFERROR(__xludf.DUMMYFUNCTION("""COMPUTED_VALUE"""),"Uncle Sams Cider (04/04/2023)")</f>
        <v>Uncle Sams Cider (04/04/2023)</v>
      </c>
      <c r="H1852" s="19"/>
    </row>
    <row r="1853">
      <c r="A1853" s="9"/>
      <c r="B1853" s="15"/>
      <c r="C1853" s="9">
        <f>IFERROR(__xludf.DUMMYFUNCTION("""COMPUTED_VALUE"""),45125.2257432407)</f>
        <v>45125.22574</v>
      </c>
      <c r="D1853" s="15">
        <f>IFERROR(__xludf.DUMMYFUNCTION("""COMPUTED_VALUE"""),1.003)</f>
        <v>1.003</v>
      </c>
      <c r="E1853" s="16">
        <f>IFERROR(__xludf.DUMMYFUNCTION("""COMPUTED_VALUE"""),72.0)</f>
        <v>72</v>
      </c>
      <c r="F1853" s="19" t="str">
        <f>IFERROR(__xludf.DUMMYFUNCTION("""COMPUTED_VALUE"""),"BLACK")</f>
        <v>BLACK</v>
      </c>
      <c r="G1853" s="20" t="str">
        <f>IFERROR(__xludf.DUMMYFUNCTION("""COMPUTED_VALUE"""),"Uncle Sams Cider (04/04/2023)")</f>
        <v>Uncle Sams Cider (04/04/2023)</v>
      </c>
      <c r="H1853" s="19"/>
    </row>
    <row r="1854">
      <c r="A1854" s="9"/>
      <c r="B1854" s="15"/>
      <c r="C1854" s="9">
        <f>IFERROR(__xludf.DUMMYFUNCTION("""COMPUTED_VALUE"""),45125.2153212037)</f>
        <v>45125.21532</v>
      </c>
      <c r="D1854" s="15">
        <f>IFERROR(__xludf.DUMMYFUNCTION("""COMPUTED_VALUE"""),1.004)</f>
        <v>1.004</v>
      </c>
      <c r="E1854" s="16">
        <f>IFERROR(__xludf.DUMMYFUNCTION("""COMPUTED_VALUE"""),72.0)</f>
        <v>72</v>
      </c>
      <c r="F1854" s="19" t="str">
        <f>IFERROR(__xludf.DUMMYFUNCTION("""COMPUTED_VALUE"""),"BLACK")</f>
        <v>BLACK</v>
      </c>
      <c r="G1854" s="20" t="str">
        <f>IFERROR(__xludf.DUMMYFUNCTION("""COMPUTED_VALUE"""),"Uncle Sams Cider (04/04/2023)")</f>
        <v>Uncle Sams Cider (04/04/2023)</v>
      </c>
      <c r="H1854" s="19"/>
    </row>
    <row r="1855">
      <c r="A1855" s="9"/>
      <c r="B1855" s="15"/>
      <c r="C1855" s="9">
        <f>IFERROR(__xludf.DUMMYFUNCTION("""COMPUTED_VALUE"""),45125.204898831)</f>
        <v>45125.2049</v>
      </c>
      <c r="D1855" s="15">
        <f>IFERROR(__xludf.DUMMYFUNCTION("""COMPUTED_VALUE"""),1.003)</f>
        <v>1.003</v>
      </c>
      <c r="E1855" s="16">
        <f>IFERROR(__xludf.DUMMYFUNCTION("""COMPUTED_VALUE"""),72.0)</f>
        <v>72</v>
      </c>
      <c r="F1855" s="19" t="str">
        <f>IFERROR(__xludf.DUMMYFUNCTION("""COMPUTED_VALUE"""),"BLACK")</f>
        <v>BLACK</v>
      </c>
      <c r="G1855" s="20" t="str">
        <f>IFERROR(__xludf.DUMMYFUNCTION("""COMPUTED_VALUE"""),"Uncle Sams Cider (04/04/2023)")</f>
        <v>Uncle Sams Cider (04/04/2023)</v>
      </c>
      <c r="H1855" s="19"/>
    </row>
    <row r="1856">
      <c r="A1856" s="9"/>
      <c r="B1856" s="15"/>
      <c r="C1856" s="9">
        <f>IFERROR(__xludf.DUMMYFUNCTION("""COMPUTED_VALUE"""),45125.194476655)</f>
        <v>45125.19448</v>
      </c>
      <c r="D1856" s="15">
        <f>IFERROR(__xludf.DUMMYFUNCTION("""COMPUTED_VALUE"""),1.003)</f>
        <v>1.003</v>
      </c>
      <c r="E1856" s="16">
        <f>IFERROR(__xludf.DUMMYFUNCTION("""COMPUTED_VALUE"""),72.0)</f>
        <v>72</v>
      </c>
      <c r="F1856" s="19" t="str">
        <f>IFERROR(__xludf.DUMMYFUNCTION("""COMPUTED_VALUE"""),"BLACK")</f>
        <v>BLACK</v>
      </c>
      <c r="G1856" s="20" t="str">
        <f>IFERROR(__xludf.DUMMYFUNCTION("""COMPUTED_VALUE"""),"Uncle Sams Cider (04/04/2023)")</f>
        <v>Uncle Sams Cider (04/04/2023)</v>
      </c>
      <c r="H1856" s="19"/>
    </row>
    <row r="1857">
      <c r="A1857" s="9"/>
      <c r="B1857" s="15"/>
      <c r="C1857" s="9">
        <f>IFERROR(__xludf.DUMMYFUNCTION("""COMPUTED_VALUE"""),45125.1840549074)</f>
        <v>45125.18405</v>
      </c>
      <c r="D1857" s="15">
        <f>IFERROR(__xludf.DUMMYFUNCTION("""COMPUTED_VALUE"""),1.003)</f>
        <v>1.003</v>
      </c>
      <c r="E1857" s="16">
        <f>IFERROR(__xludf.DUMMYFUNCTION("""COMPUTED_VALUE"""),72.0)</f>
        <v>72</v>
      </c>
      <c r="F1857" s="19" t="str">
        <f>IFERROR(__xludf.DUMMYFUNCTION("""COMPUTED_VALUE"""),"BLACK")</f>
        <v>BLACK</v>
      </c>
      <c r="G1857" s="20" t="str">
        <f>IFERROR(__xludf.DUMMYFUNCTION("""COMPUTED_VALUE"""),"Uncle Sams Cider (04/04/2023)")</f>
        <v>Uncle Sams Cider (04/04/2023)</v>
      </c>
      <c r="H1857" s="19"/>
    </row>
    <row r="1858">
      <c r="A1858" s="9"/>
      <c r="B1858" s="15"/>
      <c r="C1858" s="9">
        <f>IFERROR(__xludf.DUMMYFUNCTION("""COMPUTED_VALUE"""),45125.1736367592)</f>
        <v>45125.17364</v>
      </c>
      <c r="D1858" s="15">
        <f>IFERROR(__xludf.DUMMYFUNCTION("""COMPUTED_VALUE"""),1.003)</f>
        <v>1.003</v>
      </c>
      <c r="E1858" s="16">
        <f>IFERROR(__xludf.DUMMYFUNCTION("""COMPUTED_VALUE"""),72.0)</f>
        <v>72</v>
      </c>
      <c r="F1858" s="19" t="str">
        <f>IFERROR(__xludf.DUMMYFUNCTION("""COMPUTED_VALUE"""),"BLACK")</f>
        <v>BLACK</v>
      </c>
      <c r="G1858" s="20" t="str">
        <f>IFERROR(__xludf.DUMMYFUNCTION("""COMPUTED_VALUE"""),"Uncle Sams Cider (04/04/2023)")</f>
        <v>Uncle Sams Cider (04/04/2023)</v>
      </c>
      <c r="H1858" s="19"/>
    </row>
    <row r="1859">
      <c r="A1859" s="9"/>
      <c r="B1859" s="15"/>
      <c r="C1859" s="9">
        <f>IFERROR(__xludf.DUMMYFUNCTION("""COMPUTED_VALUE"""),45125.1632161689)</f>
        <v>45125.16322</v>
      </c>
      <c r="D1859" s="15">
        <f>IFERROR(__xludf.DUMMYFUNCTION("""COMPUTED_VALUE"""),1.003)</f>
        <v>1.003</v>
      </c>
      <c r="E1859" s="16">
        <f>IFERROR(__xludf.DUMMYFUNCTION("""COMPUTED_VALUE"""),72.0)</f>
        <v>72</v>
      </c>
      <c r="F1859" s="19" t="str">
        <f>IFERROR(__xludf.DUMMYFUNCTION("""COMPUTED_VALUE"""),"BLACK")</f>
        <v>BLACK</v>
      </c>
      <c r="G1859" s="20" t="str">
        <f>IFERROR(__xludf.DUMMYFUNCTION("""COMPUTED_VALUE"""),"Uncle Sams Cider (04/04/2023)")</f>
        <v>Uncle Sams Cider (04/04/2023)</v>
      </c>
      <c r="H1859" s="19"/>
    </row>
    <row r="1860">
      <c r="A1860" s="9"/>
      <c r="B1860" s="15"/>
      <c r="C1860" s="9">
        <f>IFERROR(__xludf.DUMMYFUNCTION("""COMPUTED_VALUE"""),45125.1527946412)</f>
        <v>45125.15279</v>
      </c>
      <c r="D1860" s="15">
        <f>IFERROR(__xludf.DUMMYFUNCTION("""COMPUTED_VALUE"""),1.003)</f>
        <v>1.003</v>
      </c>
      <c r="E1860" s="16">
        <f>IFERROR(__xludf.DUMMYFUNCTION("""COMPUTED_VALUE"""),72.0)</f>
        <v>72</v>
      </c>
      <c r="F1860" s="19" t="str">
        <f>IFERROR(__xludf.DUMMYFUNCTION("""COMPUTED_VALUE"""),"BLACK")</f>
        <v>BLACK</v>
      </c>
      <c r="G1860" s="20" t="str">
        <f>IFERROR(__xludf.DUMMYFUNCTION("""COMPUTED_VALUE"""),"Uncle Sams Cider (04/04/2023)")</f>
        <v>Uncle Sams Cider (04/04/2023)</v>
      </c>
      <c r="H1860" s="19"/>
    </row>
    <row r="1861">
      <c r="A1861" s="9"/>
      <c r="B1861" s="15"/>
      <c r="C1861" s="9">
        <f>IFERROR(__xludf.DUMMYFUNCTION("""COMPUTED_VALUE"""),45125.1423739467)</f>
        <v>45125.14237</v>
      </c>
      <c r="D1861" s="15">
        <f>IFERROR(__xludf.DUMMYFUNCTION("""COMPUTED_VALUE"""),1.003)</f>
        <v>1.003</v>
      </c>
      <c r="E1861" s="16">
        <f>IFERROR(__xludf.DUMMYFUNCTION("""COMPUTED_VALUE"""),72.0)</f>
        <v>72</v>
      </c>
      <c r="F1861" s="19" t="str">
        <f>IFERROR(__xludf.DUMMYFUNCTION("""COMPUTED_VALUE"""),"BLACK")</f>
        <v>BLACK</v>
      </c>
      <c r="G1861" s="20" t="str">
        <f>IFERROR(__xludf.DUMMYFUNCTION("""COMPUTED_VALUE"""),"Uncle Sams Cider (04/04/2023)")</f>
        <v>Uncle Sams Cider (04/04/2023)</v>
      </c>
      <c r="H1861" s="19"/>
    </row>
    <row r="1862">
      <c r="A1862" s="9"/>
      <c r="B1862" s="15"/>
      <c r="C1862" s="9">
        <f>IFERROR(__xludf.DUMMYFUNCTION("""COMPUTED_VALUE"""),45125.1319547685)</f>
        <v>45125.13195</v>
      </c>
      <c r="D1862" s="15">
        <f>IFERROR(__xludf.DUMMYFUNCTION("""COMPUTED_VALUE"""),1.004)</f>
        <v>1.004</v>
      </c>
      <c r="E1862" s="16">
        <f>IFERROR(__xludf.DUMMYFUNCTION("""COMPUTED_VALUE"""),72.0)</f>
        <v>72</v>
      </c>
      <c r="F1862" s="19" t="str">
        <f>IFERROR(__xludf.DUMMYFUNCTION("""COMPUTED_VALUE"""),"BLACK")</f>
        <v>BLACK</v>
      </c>
      <c r="G1862" s="20" t="str">
        <f>IFERROR(__xludf.DUMMYFUNCTION("""COMPUTED_VALUE"""),"Uncle Sams Cider (04/04/2023)")</f>
        <v>Uncle Sams Cider (04/04/2023)</v>
      </c>
      <c r="H1862" s="19"/>
    </row>
    <row r="1863">
      <c r="A1863" s="9"/>
      <c r="B1863" s="15"/>
      <c r="C1863" s="9">
        <f>IFERROR(__xludf.DUMMYFUNCTION("""COMPUTED_VALUE"""),45125.1215332638)</f>
        <v>45125.12153</v>
      </c>
      <c r="D1863" s="15">
        <f>IFERROR(__xludf.DUMMYFUNCTION("""COMPUTED_VALUE"""),1.003)</f>
        <v>1.003</v>
      </c>
      <c r="E1863" s="16">
        <f>IFERROR(__xludf.DUMMYFUNCTION("""COMPUTED_VALUE"""),72.0)</f>
        <v>72</v>
      </c>
      <c r="F1863" s="19" t="str">
        <f>IFERROR(__xludf.DUMMYFUNCTION("""COMPUTED_VALUE"""),"BLACK")</f>
        <v>BLACK</v>
      </c>
      <c r="G1863" s="20" t="str">
        <f>IFERROR(__xludf.DUMMYFUNCTION("""COMPUTED_VALUE"""),"Uncle Sams Cider (04/04/2023)")</f>
        <v>Uncle Sams Cider (04/04/2023)</v>
      </c>
      <c r="H1863" s="19"/>
    </row>
    <row r="1864">
      <c r="A1864" s="9"/>
      <c r="B1864" s="15"/>
      <c r="C1864" s="9">
        <f>IFERROR(__xludf.DUMMYFUNCTION("""COMPUTED_VALUE"""),45125.1111117245)</f>
        <v>45125.11111</v>
      </c>
      <c r="D1864" s="15">
        <f>IFERROR(__xludf.DUMMYFUNCTION("""COMPUTED_VALUE"""),1.003)</f>
        <v>1.003</v>
      </c>
      <c r="E1864" s="16">
        <f>IFERROR(__xludf.DUMMYFUNCTION("""COMPUTED_VALUE"""),72.0)</f>
        <v>72</v>
      </c>
      <c r="F1864" s="19" t="str">
        <f>IFERROR(__xludf.DUMMYFUNCTION("""COMPUTED_VALUE"""),"BLACK")</f>
        <v>BLACK</v>
      </c>
      <c r="G1864" s="20" t="str">
        <f>IFERROR(__xludf.DUMMYFUNCTION("""COMPUTED_VALUE"""),"Uncle Sams Cider (04/04/2023)")</f>
        <v>Uncle Sams Cider (04/04/2023)</v>
      </c>
      <c r="H1864" s="19"/>
    </row>
    <row r="1865">
      <c r="A1865" s="9"/>
      <c r="B1865" s="15"/>
      <c r="C1865" s="9">
        <f>IFERROR(__xludf.DUMMYFUNCTION("""COMPUTED_VALUE"""),45125.1006914467)</f>
        <v>45125.10069</v>
      </c>
      <c r="D1865" s="15">
        <f>IFERROR(__xludf.DUMMYFUNCTION("""COMPUTED_VALUE"""),1.003)</f>
        <v>1.003</v>
      </c>
      <c r="E1865" s="16">
        <f>IFERROR(__xludf.DUMMYFUNCTION("""COMPUTED_VALUE"""),72.0)</f>
        <v>72</v>
      </c>
      <c r="F1865" s="19" t="str">
        <f>IFERROR(__xludf.DUMMYFUNCTION("""COMPUTED_VALUE"""),"BLACK")</f>
        <v>BLACK</v>
      </c>
      <c r="G1865" s="20" t="str">
        <f>IFERROR(__xludf.DUMMYFUNCTION("""COMPUTED_VALUE"""),"Uncle Sams Cider (04/04/2023)")</f>
        <v>Uncle Sams Cider (04/04/2023)</v>
      </c>
      <c r="H1865" s="19"/>
    </row>
    <row r="1866">
      <c r="A1866" s="9"/>
      <c r="B1866" s="15"/>
      <c r="C1866" s="9">
        <f>IFERROR(__xludf.DUMMYFUNCTION("""COMPUTED_VALUE"""),45125.0902712268)</f>
        <v>45125.09027</v>
      </c>
      <c r="D1866" s="15">
        <f>IFERROR(__xludf.DUMMYFUNCTION("""COMPUTED_VALUE"""),1.003)</f>
        <v>1.003</v>
      </c>
      <c r="E1866" s="16">
        <f>IFERROR(__xludf.DUMMYFUNCTION("""COMPUTED_VALUE"""),72.0)</f>
        <v>72</v>
      </c>
      <c r="F1866" s="19" t="str">
        <f>IFERROR(__xludf.DUMMYFUNCTION("""COMPUTED_VALUE"""),"BLACK")</f>
        <v>BLACK</v>
      </c>
      <c r="G1866" s="20" t="str">
        <f>IFERROR(__xludf.DUMMYFUNCTION("""COMPUTED_VALUE"""),"Uncle Sams Cider (04/04/2023)")</f>
        <v>Uncle Sams Cider (04/04/2023)</v>
      </c>
      <c r="H1866" s="19"/>
    </row>
    <row r="1867">
      <c r="A1867" s="9"/>
      <c r="B1867" s="15"/>
      <c r="C1867" s="9">
        <f>IFERROR(__xludf.DUMMYFUNCTION("""COMPUTED_VALUE"""),45125.0798507407)</f>
        <v>45125.07985</v>
      </c>
      <c r="D1867" s="15">
        <f>IFERROR(__xludf.DUMMYFUNCTION("""COMPUTED_VALUE"""),1.003)</f>
        <v>1.003</v>
      </c>
      <c r="E1867" s="16">
        <f>IFERROR(__xludf.DUMMYFUNCTION("""COMPUTED_VALUE"""),72.0)</f>
        <v>72</v>
      </c>
      <c r="F1867" s="19" t="str">
        <f>IFERROR(__xludf.DUMMYFUNCTION("""COMPUTED_VALUE"""),"BLACK")</f>
        <v>BLACK</v>
      </c>
      <c r="G1867" s="20" t="str">
        <f>IFERROR(__xludf.DUMMYFUNCTION("""COMPUTED_VALUE"""),"Uncle Sams Cider (04/04/2023)")</f>
        <v>Uncle Sams Cider (04/04/2023)</v>
      </c>
      <c r="H1867" s="19"/>
    </row>
    <row r="1868">
      <c r="A1868" s="9"/>
      <c r="B1868" s="15"/>
      <c r="C1868" s="9">
        <f>IFERROR(__xludf.DUMMYFUNCTION("""COMPUTED_VALUE"""),45125.0694284027)</f>
        <v>45125.06943</v>
      </c>
      <c r="D1868" s="15">
        <f>IFERROR(__xludf.DUMMYFUNCTION("""COMPUTED_VALUE"""),1.003)</f>
        <v>1.003</v>
      </c>
      <c r="E1868" s="16">
        <f>IFERROR(__xludf.DUMMYFUNCTION("""COMPUTED_VALUE"""),72.0)</f>
        <v>72</v>
      </c>
      <c r="F1868" s="19" t="str">
        <f>IFERROR(__xludf.DUMMYFUNCTION("""COMPUTED_VALUE"""),"BLACK")</f>
        <v>BLACK</v>
      </c>
      <c r="G1868" s="20" t="str">
        <f>IFERROR(__xludf.DUMMYFUNCTION("""COMPUTED_VALUE"""),"Uncle Sams Cider (04/04/2023)")</f>
        <v>Uncle Sams Cider (04/04/2023)</v>
      </c>
      <c r="H1868" s="19"/>
    </row>
    <row r="1869">
      <c r="A1869" s="9"/>
      <c r="B1869" s="15"/>
      <c r="C1869" s="9">
        <f>IFERROR(__xludf.DUMMYFUNCTION("""COMPUTED_VALUE"""),45125.0590079861)</f>
        <v>45125.05901</v>
      </c>
      <c r="D1869" s="15">
        <f>IFERROR(__xludf.DUMMYFUNCTION("""COMPUTED_VALUE"""),1.003)</f>
        <v>1.003</v>
      </c>
      <c r="E1869" s="16">
        <f>IFERROR(__xludf.DUMMYFUNCTION("""COMPUTED_VALUE"""),72.0)</f>
        <v>72</v>
      </c>
      <c r="F1869" s="19" t="str">
        <f>IFERROR(__xludf.DUMMYFUNCTION("""COMPUTED_VALUE"""),"BLACK")</f>
        <v>BLACK</v>
      </c>
      <c r="G1869" s="20" t="str">
        <f>IFERROR(__xludf.DUMMYFUNCTION("""COMPUTED_VALUE"""),"Uncle Sams Cider (04/04/2023)")</f>
        <v>Uncle Sams Cider (04/04/2023)</v>
      </c>
      <c r="H1869" s="19"/>
    </row>
    <row r="1870">
      <c r="A1870" s="9"/>
      <c r="B1870" s="15"/>
      <c r="C1870" s="9">
        <f>IFERROR(__xludf.DUMMYFUNCTION("""COMPUTED_VALUE"""),45125.048586655)</f>
        <v>45125.04859</v>
      </c>
      <c r="D1870" s="15">
        <f>IFERROR(__xludf.DUMMYFUNCTION("""COMPUTED_VALUE"""),1.003)</f>
        <v>1.003</v>
      </c>
      <c r="E1870" s="16">
        <f>IFERROR(__xludf.DUMMYFUNCTION("""COMPUTED_VALUE"""),72.0)</f>
        <v>72</v>
      </c>
      <c r="F1870" s="19" t="str">
        <f>IFERROR(__xludf.DUMMYFUNCTION("""COMPUTED_VALUE"""),"BLACK")</f>
        <v>BLACK</v>
      </c>
      <c r="G1870" s="20" t="str">
        <f>IFERROR(__xludf.DUMMYFUNCTION("""COMPUTED_VALUE"""),"Uncle Sams Cider (04/04/2023)")</f>
        <v>Uncle Sams Cider (04/04/2023)</v>
      </c>
      <c r="H1870" s="19"/>
    </row>
    <row r="1871">
      <c r="A1871" s="9"/>
      <c r="B1871" s="15"/>
      <c r="C1871" s="9">
        <f>IFERROR(__xludf.DUMMYFUNCTION("""COMPUTED_VALUE"""),45125.0381658449)</f>
        <v>45125.03817</v>
      </c>
      <c r="D1871" s="15">
        <f>IFERROR(__xludf.DUMMYFUNCTION("""COMPUTED_VALUE"""),1.003)</f>
        <v>1.003</v>
      </c>
      <c r="E1871" s="16">
        <f>IFERROR(__xludf.DUMMYFUNCTION("""COMPUTED_VALUE"""),72.0)</f>
        <v>72</v>
      </c>
      <c r="F1871" s="19" t="str">
        <f>IFERROR(__xludf.DUMMYFUNCTION("""COMPUTED_VALUE"""),"BLACK")</f>
        <v>BLACK</v>
      </c>
      <c r="G1871" s="20" t="str">
        <f>IFERROR(__xludf.DUMMYFUNCTION("""COMPUTED_VALUE"""),"Uncle Sams Cider (04/04/2023)")</f>
        <v>Uncle Sams Cider (04/04/2023)</v>
      </c>
      <c r="H1871" s="19"/>
    </row>
    <row r="1872">
      <c r="A1872" s="9"/>
      <c r="B1872" s="15"/>
      <c r="C1872" s="9">
        <f>IFERROR(__xludf.DUMMYFUNCTION("""COMPUTED_VALUE"""),45125.0277328819)</f>
        <v>45125.02773</v>
      </c>
      <c r="D1872" s="15">
        <f>IFERROR(__xludf.DUMMYFUNCTION("""COMPUTED_VALUE"""),1.003)</f>
        <v>1.003</v>
      </c>
      <c r="E1872" s="16">
        <f>IFERROR(__xludf.DUMMYFUNCTION("""COMPUTED_VALUE"""),72.0)</f>
        <v>72</v>
      </c>
      <c r="F1872" s="19" t="str">
        <f>IFERROR(__xludf.DUMMYFUNCTION("""COMPUTED_VALUE"""),"BLACK")</f>
        <v>BLACK</v>
      </c>
      <c r="G1872" s="20" t="str">
        <f>IFERROR(__xludf.DUMMYFUNCTION("""COMPUTED_VALUE"""),"Uncle Sams Cider (04/04/2023)")</f>
        <v>Uncle Sams Cider (04/04/2023)</v>
      </c>
      <c r="H1872" s="19"/>
    </row>
    <row r="1873">
      <c r="A1873" s="9"/>
      <c r="B1873" s="15"/>
      <c r="C1873" s="9">
        <f>IFERROR(__xludf.DUMMYFUNCTION("""COMPUTED_VALUE"""),45125.0173130092)</f>
        <v>45125.01731</v>
      </c>
      <c r="D1873" s="15">
        <f>IFERROR(__xludf.DUMMYFUNCTION("""COMPUTED_VALUE"""),1.003)</f>
        <v>1.003</v>
      </c>
      <c r="E1873" s="16">
        <f>IFERROR(__xludf.DUMMYFUNCTION("""COMPUTED_VALUE"""),72.0)</f>
        <v>72</v>
      </c>
      <c r="F1873" s="19" t="str">
        <f>IFERROR(__xludf.DUMMYFUNCTION("""COMPUTED_VALUE"""),"BLACK")</f>
        <v>BLACK</v>
      </c>
      <c r="G1873" s="20" t="str">
        <f>IFERROR(__xludf.DUMMYFUNCTION("""COMPUTED_VALUE"""),"Uncle Sams Cider (04/04/2023)")</f>
        <v>Uncle Sams Cider (04/04/2023)</v>
      </c>
      <c r="H1873" s="19"/>
    </row>
    <row r="1874">
      <c r="A1874" s="9"/>
      <c r="B1874" s="15"/>
      <c r="C1874" s="9">
        <f>IFERROR(__xludf.DUMMYFUNCTION("""COMPUTED_VALUE"""),45125.0068895254)</f>
        <v>45125.00689</v>
      </c>
      <c r="D1874" s="15">
        <f>IFERROR(__xludf.DUMMYFUNCTION("""COMPUTED_VALUE"""),1.003)</f>
        <v>1.003</v>
      </c>
      <c r="E1874" s="16">
        <f>IFERROR(__xludf.DUMMYFUNCTION("""COMPUTED_VALUE"""),72.0)</f>
        <v>72</v>
      </c>
      <c r="F1874" s="19" t="str">
        <f>IFERROR(__xludf.DUMMYFUNCTION("""COMPUTED_VALUE"""),"BLACK")</f>
        <v>BLACK</v>
      </c>
      <c r="G1874" s="20" t="str">
        <f>IFERROR(__xludf.DUMMYFUNCTION("""COMPUTED_VALUE"""),"Uncle Sams Cider (04/04/2023)")</f>
        <v>Uncle Sams Cider (04/04/2023)</v>
      </c>
      <c r="H1874" s="19"/>
    </row>
    <row r="1875">
      <c r="A1875" s="9"/>
      <c r="B1875" s="15"/>
      <c r="C1875" s="9">
        <f>IFERROR(__xludf.DUMMYFUNCTION("""COMPUTED_VALUE"""),45124.9964693634)</f>
        <v>45124.99647</v>
      </c>
      <c r="D1875" s="15">
        <f>IFERROR(__xludf.DUMMYFUNCTION("""COMPUTED_VALUE"""),1.003)</f>
        <v>1.003</v>
      </c>
      <c r="E1875" s="16">
        <f>IFERROR(__xludf.DUMMYFUNCTION("""COMPUTED_VALUE"""),72.0)</f>
        <v>72</v>
      </c>
      <c r="F1875" s="19" t="str">
        <f>IFERROR(__xludf.DUMMYFUNCTION("""COMPUTED_VALUE"""),"BLACK")</f>
        <v>BLACK</v>
      </c>
      <c r="G1875" s="20" t="str">
        <f>IFERROR(__xludf.DUMMYFUNCTION("""COMPUTED_VALUE"""),"Uncle Sams Cider (04/04/2023)")</f>
        <v>Uncle Sams Cider (04/04/2023)</v>
      </c>
      <c r="H1875" s="19"/>
    </row>
    <row r="1876">
      <c r="A1876" s="9"/>
      <c r="B1876" s="15"/>
      <c r="C1876" s="9">
        <f>IFERROR(__xludf.DUMMYFUNCTION("""COMPUTED_VALUE"""),45124.9860383333)</f>
        <v>45124.98604</v>
      </c>
      <c r="D1876" s="15">
        <f>IFERROR(__xludf.DUMMYFUNCTION("""COMPUTED_VALUE"""),1.003)</f>
        <v>1.003</v>
      </c>
      <c r="E1876" s="16">
        <f>IFERROR(__xludf.DUMMYFUNCTION("""COMPUTED_VALUE"""),72.0)</f>
        <v>72</v>
      </c>
      <c r="F1876" s="19" t="str">
        <f>IFERROR(__xludf.DUMMYFUNCTION("""COMPUTED_VALUE"""),"BLACK")</f>
        <v>BLACK</v>
      </c>
      <c r="G1876" s="20" t="str">
        <f>IFERROR(__xludf.DUMMYFUNCTION("""COMPUTED_VALUE"""),"Uncle Sams Cider (04/04/2023)")</f>
        <v>Uncle Sams Cider (04/04/2023)</v>
      </c>
      <c r="H1876" s="19"/>
    </row>
    <row r="1877">
      <c r="A1877" s="9"/>
      <c r="B1877" s="15"/>
      <c r="C1877" s="9">
        <f>IFERROR(__xludf.DUMMYFUNCTION("""COMPUTED_VALUE"""),45124.9756166203)</f>
        <v>45124.97562</v>
      </c>
      <c r="D1877" s="15">
        <f>IFERROR(__xludf.DUMMYFUNCTION("""COMPUTED_VALUE"""),1.003)</f>
        <v>1.003</v>
      </c>
      <c r="E1877" s="16">
        <f>IFERROR(__xludf.DUMMYFUNCTION("""COMPUTED_VALUE"""),72.0)</f>
        <v>72</v>
      </c>
      <c r="F1877" s="19" t="str">
        <f>IFERROR(__xludf.DUMMYFUNCTION("""COMPUTED_VALUE"""),"BLACK")</f>
        <v>BLACK</v>
      </c>
      <c r="G1877" s="20" t="str">
        <f>IFERROR(__xludf.DUMMYFUNCTION("""COMPUTED_VALUE"""),"Uncle Sams Cider (04/04/2023)")</f>
        <v>Uncle Sams Cider (04/04/2023)</v>
      </c>
      <c r="H1877" s="19"/>
    </row>
    <row r="1878">
      <c r="A1878" s="9"/>
      <c r="B1878" s="15"/>
      <c r="C1878" s="9">
        <f>IFERROR(__xludf.DUMMYFUNCTION("""COMPUTED_VALUE"""),45124.9651923611)</f>
        <v>45124.96519</v>
      </c>
      <c r="D1878" s="15">
        <f>IFERROR(__xludf.DUMMYFUNCTION("""COMPUTED_VALUE"""),1.003)</f>
        <v>1.003</v>
      </c>
      <c r="E1878" s="16">
        <f>IFERROR(__xludf.DUMMYFUNCTION("""COMPUTED_VALUE"""),72.0)</f>
        <v>72</v>
      </c>
      <c r="F1878" s="19" t="str">
        <f>IFERROR(__xludf.DUMMYFUNCTION("""COMPUTED_VALUE"""),"BLACK")</f>
        <v>BLACK</v>
      </c>
      <c r="G1878" s="20" t="str">
        <f>IFERROR(__xludf.DUMMYFUNCTION("""COMPUTED_VALUE"""),"Uncle Sams Cider (04/04/2023)")</f>
        <v>Uncle Sams Cider (04/04/2023)</v>
      </c>
      <c r="H1878" s="19"/>
    </row>
    <row r="1879">
      <c r="A1879" s="9"/>
      <c r="B1879" s="15"/>
      <c r="C1879" s="9">
        <f>IFERROR(__xludf.DUMMYFUNCTION("""COMPUTED_VALUE"""),45124.9547722222)</f>
        <v>45124.95477</v>
      </c>
      <c r="D1879" s="15">
        <f>IFERROR(__xludf.DUMMYFUNCTION("""COMPUTED_VALUE"""),1.003)</f>
        <v>1.003</v>
      </c>
      <c r="E1879" s="16">
        <f>IFERROR(__xludf.DUMMYFUNCTION("""COMPUTED_VALUE"""),72.0)</f>
        <v>72</v>
      </c>
      <c r="F1879" s="19" t="str">
        <f>IFERROR(__xludf.DUMMYFUNCTION("""COMPUTED_VALUE"""),"BLACK")</f>
        <v>BLACK</v>
      </c>
      <c r="G1879" s="20" t="str">
        <f>IFERROR(__xludf.DUMMYFUNCTION("""COMPUTED_VALUE"""),"Uncle Sams Cider (04/04/2023)")</f>
        <v>Uncle Sams Cider (04/04/2023)</v>
      </c>
      <c r="H1879" s="19"/>
    </row>
    <row r="1880">
      <c r="A1880" s="9"/>
      <c r="B1880" s="15"/>
      <c r="C1880" s="9">
        <f>IFERROR(__xludf.DUMMYFUNCTION("""COMPUTED_VALUE"""),45124.9443410995)</f>
        <v>45124.94434</v>
      </c>
      <c r="D1880" s="15">
        <f>IFERROR(__xludf.DUMMYFUNCTION("""COMPUTED_VALUE"""),1.003)</f>
        <v>1.003</v>
      </c>
      <c r="E1880" s="16">
        <f>IFERROR(__xludf.DUMMYFUNCTION("""COMPUTED_VALUE"""),72.0)</f>
        <v>72</v>
      </c>
      <c r="F1880" s="19" t="str">
        <f>IFERROR(__xludf.DUMMYFUNCTION("""COMPUTED_VALUE"""),"BLACK")</f>
        <v>BLACK</v>
      </c>
      <c r="G1880" s="20" t="str">
        <f>IFERROR(__xludf.DUMMYFUNCTION("""COMPUTED_VALUE"""),"Uncle Sams Cider (04/04/2023)")</f>
        <v>Uncle Sams Cider (04/04/2023)</v>
      </c>
      <c r="H1880" s="19"/>
    </row>
    <row r="1881">
      <c r="A1881" s="9"/>
      <c r="B1881" s="15"/>
      <c r="C1881" s="9">
        <f>IFERROR(__xludf.DUMMYFUNCTION("""COMPUTED_VALUE"""),45124.9338955555)</f>
        <v>45124.9339</v>
      </c>
      <c r="D1881" s="15">
        <f>IFERROR(__xludf.DUMMYFUNCTION("""COMPUTED_VALUE"""),1.003)</f>
        <v>1.003</v>
      </c>
      <c r="E1881" s="16">
        <f>IFERROR(__xludf.DUMMYFUNCTION("""COMPUTED_VALUE"""),72.0)</f>
        <v>72</v>
      </c>
      <c r="F1881" s="19" t="str">
        <f>IFERROR(__xludf.DUMMYFUNCTION("""COMPUTED_VALUE"""),"BLACK")</f>
        <v>BLACK</v>
      </c>
      <c r="G1881" s="20" t="str">
        <f>IFERROR(__xludf.DUMMYFUNCTION("""COMPUTED_VALUE"""),"Uncle Sams Cider (04/04/2023)")</f>
        <v>Uncle Sams Cider (04/04/2023)</v>
      </c>
      <c r="H1881" s="19"/>
    </row>
    <row r="1882">
      <c r="A1882" s="9"/>
      <c r="B1882" s="15"/>
      <c r="C1882" s="9">
        <f>IFERROR(__xludf.DUMMYFUNCTION("""COMPUTED_VALUE"""),45124.9234735185)</f>
        <v>45124.92347</v>
      </c>
      <c r="D1882" s="15">
        <f>IFERROR(__xludf.DUMMYFUNCTION("""COMPUTED_VALUE"""),1.003)</f>
        <v>1.003</v>
      </c>
      <c r="E1882" s="16">
        <f>IFERROR(__xludf.DUMMYFUNCTION("""COMPUTED_VALUE"""),72.0)</f>
        <v>72</v>
      </c>
      <c r="F1882" s="19" t="str">
        <f>IFERROR(__xludf.DUMMYFUNCTION("""COMPUTED_VALUE"""),"BLACK")</f>
        <v>BLACK</v>
      </c>
      <c r="G1882" s="20" t="str">
        <f>IFERROR(__xludf.DUMMYFUNCTION("""COMPUTED_VALUE"""),"Uncle Sams Cider (04/04/2023)")</f>
        <v>Uncle Sams Cider (04/04/2023)</v>
      </c>
      <c r="H1882" s="19"/>
    </row>
    <row r="1883">
      <c r="A1883" s="9"/>
      <c r="B1883" s="15"/>
      <c r="C1883" s="9">
        <f>IFERROR(__xludf.DUMMYFUNCTION("""COMPUTED_VALUE"""),45124.9130540277)</f>
        <v>45124.91305</v>
      </c>
      <c r="D1883" s="15">
        <f>IFERROR(__xludf.DUMMYFUNCTION("""COMPUTED_VALUE"""),1.003)</f>
        <v>1.003</v>
      </c>
      <c r="E1883" s="16">
        <f>IFERROR(__xludf.DUMMYFUNCTION("""COMPUTED_VALUE"""),72.0)</f>
        <v>72</v>
      </c>
      <c r="F1883" s="19" t="str">
        <f>IFERROR(__xludf.DUMMYFUNCTION("""COMPUTED_VALUE"""),"BLACK")</f>
        <v>BLACK</v>
      </c>
      <c r="G1883" s="20" t="str">
        <f>IFERROR(__xludf.DUMMYFUNCTION("""COMPUTED_VALUE"""),"Uncle Sams Cider (04/04/2023)")</f>
        <v>Uncle Sams Cider (04/04/2023)</v>
      </c>
      <c r="H1883" s="19"/>
    </row>
    <row r="1884">
      <c r="A1884" s="9"/>
      <c r="B1884" s="15"/>
      <c r="C1884" s="9">
        <f>IFERROR(__xludf.DUMMYFUNCTION("""COMPUTED_VALUE"""),45124.9026317013)</f>
        <v>45124.90263</v>
      </c>
      <c r="D1884" s="15">
        <f>IFERROR(__xludf.DUMMYFUNCTION("""COMPUTED_VALUE"""),1.003)</f>
        <v>1.003</v>
      </c>
      <c r="E1884" s="16">
        <f>IFERROR(__xludf.DUMMYFUNCTION("""COMPUTED_VALUE"""),72.0)</f>
        <v>72</v>
      </c>
      <c r="F1884" s="19" t="str">
        <f>IFERROR(__xludf.DUMMYFUNCTION("""COMPUTED_VALUE"""),"BLACK")</f>
        <v>BLACK</v>
      </c>
      <c r="G1884" s="20" t="str">
        <f>IFERROR(__xludf.DUMMYFUNCTION("""COMPUTED_VALUE"""),"Uncle Sams Cider (04/04/2023)")</f>
        <v>Uncle Sams Cider (04/04/2023)</v>
      </c>
      <c r="H1884" s="19"/>
    </row>
    <row r="1885">
      <c r="A1885" s="9"/>
      <c r="B1885" s="15"/>
      <c r="C1885" s="9">
        <f>IFERROR(__xludf.DUMMYFUNCTION("""COMPUTED_VALUE"""),45124.8922117129)</f>
        <v>45124.89221</v>
      </c>
      <c r="D1885" s="15">
        <f>IFERROR(__xludf.DUMMYFUNCTION("""COMPUTED_VALUE"""),1.003)</f>
        <v>1.003</v>
      </c>
      <c r="E1885" s="16">
        <f>IFERROR(__xludf.DUMMYFUNCTION("""COMPUTED_VALUE"""),72.0)</f>
        <v>72</v>
      </c>
      <c r="F1885" s="19" t="str">
        <f>IFERROR(__xludf.DUMMYFUNCTION("""COMPUTED_VALUE"""),"BLACK")</f>
        <v>BLACK</v>
      </c>
      <c r="G1885" s="20" t="str">
        <f>IFERROR(__xludf.DUMMYFUNCTION("""COMPUTED_VALUE"""),"Uncle Sams Cider (04/04/2023)")</f>
        <v>Uncle Sams Cider (04/04/2023)</v>
      </c>
      <c r="H1885" s="19"/>
    </row>
    <row r="1886">
      <c r="A1886" s="9"/>
      <c r="B1886" s="15"/>
      <c r="C1886" s="9">
        <f>IFERROR(__xludf.DUMMYFUNCTION("""COMPUTED_VALUE"""),45124.8817912615)</f>
        <v>45124.88179</v>
      </c>
      <c r="D1886" s="15">
        <f>IFERROR(__xludf.DUMMYFUNCTION("""COMPUTED_VALUE"""),1.003)</f>
        <v>1.003</v>
      </c>
      <c r="E1886" s="16">
        <f>IFERROR(__xludf.DUMMYFUNCTION("""COMPUTED_VALUE"""),72.0)</f>
        <v>72</v>
      </c>
      <c r="F1886" s="19" t="str">
        <f>IFERROR(__xludf.DUMMYFUNCTION("""COMPUTED_VALUE"""),"BLACK")</f>
        <v>BLACK</v>
      </c>
      <c r="G1886" s="20" t="str">
        <f>IFERROR(__xludf.DUMMYFUNCTION("""COMPUTED_VALUE"""),"Uncle Sams Cider (04/04/2023)")</f>
        <v>Uncle Sams Cider (04/04/2023)</v>
      </c>
      <c r="H1886" s="19"/>
    </row>
    <row r="1887">
      <c r="A1887" s="9"/>
      <c r="B1887" s="15"/>
      <c r="C1887" s="9">
        <f>IFERROR(__xludf.DUMMYFUNCTION("""COMPUTED_VALUE"""),45124.8713700578)</f>
        <v>45124.87137</v>
      </c>
      <c r="D1887" s="15">
        <f>IFERROR(__xludf.DUMMYFUNCTION("""COMPUTED_VALUE"""),1.004)</f>
        <v>1.004</v>
      </c>
      <c r="E1887" s="16">
        <f>IFERROR(__xludf.DUMMYFUNCTION("""COMPUTED_VALUE"""),72.0)</f>
        <v>72</v>
      </c>
      <c r="F1887" s="19" t="str">
        <f>IFERROR(__xludf.DUMMYFUNCTION("""COMPUTED_VALUE"""),"BLACK")</f>
        <v>BLACK</v>
      </c>
      <c r="G1887" s="20" t="str">
        <f>IFERROR(__xludf.DUMMYFUNCTION("""COMPUTED_VALUE"""),"Uncle Sams Cider (04/04/2023)")</f>
        <v>Uncle Sams Cider (04/04/2023)</v>
      </c>
      <c r="H1887" s="19"/>
    </row>
    <row r="1888">
      <c r="A1888" s="9"/>
      <c r="B1888" s="15"/>
      <c r="C1888" s="9">
        <f>IFERROR(__xludf.DUMMYFUNCTION("""COMPUTED_VALUE"""),45124.8609478009)</f>
        <v>45124.86095</v>
      </c>
      <c r="D1888" s="15">
        <f>IFERROR(__xludf.DUMMYFUNCTION("""COMPUTED_VALUE"""),1.003)</f>
        <v>1.003</v>
      </c>
      <c r="E1888" s="16">
        <f>IFERROR(__xludf.DUMMYFUNCTION("""COMPUTED_VALUE"""),72.0)</f>
        <v>72</v>
      </c>
      <c r="F1888" s="19" t="str">
        <f>IFERROR(__xludf.DUMMYFUNCTION("""COMPUTED_VALUE"""),"BLACK")</f>
        <v>BLACK</v>
      </c>
      <c r="G1888" s="20" t="str">
        <f>IFERROR(__xludf.DUMMYFUNCTION("""COMPUTED_VALUE"""),"Uncle Sams Cider (04/04/2023)")</f>
        <v>Uncle Sams Cider (04/04/2023)</v>
      </c>
      <c r="H1888" s="19"/>
    </row>
    <row r="1889">
      <c r="A1889" s="9"/>
      <c r="B1889" s="15"/>
      <c r="C1889" s="9">
        <f>IFERROR(__xludf.DUMMYFUNCTION("""COMPUTED_VALUE"""),45124.8505275694)</f>
        <v>45124.85053</v>
      </c>
      <c r="D1889" s="15">
        <f>IFERROR(__xludf.DUMMYFUNCTION("""COMPUTED_VALUE"""),1.003)</f>
        <v>1.003</v>
      </c>
      <c r="E1889" s="16">
        <f>IFERROR(__xludf.DUMMYFUNCTION("""COMPUTED_VALUE"""),72.0)</f>
        <v>72</v>
      </c>
      <c r="F1889" s="19" t="str">
        <f>IFERROR(__xludf.DUMMYFUNCTION("""COMPUTED_VALUE"""),"BLACK")</f>
        <v>BLACK</v>
      </c>
      <c r="G1889" s="20" t="str">
        <f>IFERROR(__xludf.DUMMYFUNCTION("""COMPUTED_VALUE"""),"Uncle Sams Cider (04/04/2023)")</f>
        <v>Uncle Sams Cider (04/04/2023)</v>
      </c>
      <c r="H1889" s="19"/>
    </row>
    <row r="1890">
      <c r="A1890" s="9"/>
      <c r="B1890" s="15"/>
      <c r="C1890" s="9">
        <f>IFERROR(__xludf.DUMMYFUNCTION("""COMPUTED_VALUE"""),45124.8401049768)</f>
        <v>45124.8401</v>
      </c>
      <c r="D1890" s="15">
        <f>IFERROR(__xludf.DUMMYFUNCTION("""COMPUTED_VALUE"""),1.003)</f>
        <v>1.003</v>
      </c>
      <c r="E1890" s="16">
        <f>IFERROR(__xludf.DUMMYFUNCTION("""COMPUTED_VALUE"""),72.0)</f>
        <v>72</v>
      </c>
      <c r="F1890" s="19" t="str">
        <f>IFERROR(__xludf.DUMMYFUNCTION("""COMPUTED_VALUE"""),"BLACK")</f>
        <v>BLACK</v>
      </c>
      <c r="G1890" s="20" t="str">
        <f>IFERROR(__xludf.DUMMYFUNCTION("""COMPUTED_VALUE"""),"Uncle Sams Cider (04/04/2023)")</f>
        <v>Uncle Sams Cider (04/04/2023)</v>
      </c>
      <c r="H1890" s="19"/>
    </row>
    <row r="1891">
      <c r="A1891" s="9"/>
      <c r="B1891" s="15"/>
      <c r="C1891" s="9">
        <f>IFERROR(__xludf.DUMMYFUNCTION("""COMPUTED_VALUE"""),45124.8296840856)</f>
        <v>45124.82968</v>
      </c>
      <c r="D1891" s="15">
        <f>IFERROR(__xludf.DUMMYFUNCTION("""COMPUTED_VALUE"""),1.004)</f>
        <v>1.004</v>
      </c>
      <c r="E1891" s="16">
        <f>IFERROR(__xludf.DUMMYFUNCTION("""COMPUTED_VALUE"""),72.0)</f>
        <v>72</v>
      </c>
      <c r="F1891" s="19" t="str">
        <f>IFERROR(__xludf.DUMMYFUNCTION("""COMPUTED_VALUE"""),"BLACK")</f>
        <v>BLACK</v>
      </c>
      <c r="G1891" s="20" t="str">
        <f>IFERROR(__xludf.DUMMYFUNCTION("""COMPUTED_VALUE"""),"Uncle Sams Cider (04/04/2023)")</f>
        <v>Uncle Sams Cider (04/04/2023)</v>
      </c>
      <c r="H1891" s="19"/>
    </row>
    <row r="1892">
      <c r="A1892" s="9"/>
      <c r="B1892" s="15"/>
      <c r="C1892" s="9">
        <f>IFERROR(__xludf.DUMMYFUNCTION("""COMPUTED_VALUE"""),45124.8192631944)</f>
        <v>45124.81926</v>
      </c>
      <c r="D1892" s="15">
        <f>IFERROR(__xludf.DUMMYFUNCTION("""COMPUTED_VALUE"""),1.003)</f>
        <v>1.003</v>
      </c>
      <c r="E1892" s="16">
        <f>IFERROR(__xludf.DUMMYFUNCTION("""COMPUTED_VALUE"""),72.0)</f>
        <v>72</v>
      </c>
      <c r="F1892" s="19" t="str">
        <f>IFERROR(__xludf.DUMMYFUNCTION("""COMPUTED_VALUE"""),"BLACK")</f>
        <v>BLACK</v>
      </c>
      <c r="G1892" s="20" t="str">
        <f>IFERROR(__xludf.DUMMYFUNCTION("""COMPUTED_VALUE"""),"Uncle Sams Cider (04/04/2023)")</f>
        <v>Uncle Sams Cider (04/04/2023)</v>
      </c>
      <c r="H1892" s="19"/>
    </row>
    <row r="1893">
      <c r="A1893" s="9"/>
      <c r="B1893" s="15"/>
      <c r="C1893" s="9">
        <f>IFERROR(__xludf.DUMMYFUNCTION("""COMPUTED_VALUE"""),45124.8088432291)</f>
        <v>45124.80884</v>
      </c>
      <c r="D1893" s="15">
        <f>IFERROR(__xludf.DUMMYFUNCTION("""COMPUTED_VALUE"""),1.003)</f>
        <v>1.003</v>
      </c>
      <c r="E1893" s="16">
        <f>IFERROR(__xludf.DUMMYFUNCTION("""COMPUTED_VALUE"""),72.0)</f>
        <v>72</v>
      </c>
      <c r="F1893" s="19" t="str">
        <f>IFERROR(__xludf.DUMMYFUNCTION("""COMPUTED_VALUE"""),"BLACK")</f>
        <v>BLACK</v>
      </c>
      <c r="G1893" s="20" t="str">
        <f>IFERROR(__xludf.DUMMYFUNCTION("""COMPUTED_VALUE"""),"Uncle Sams Cider (04/04/2023)")</f>
        <v>Uncle Sams Cider (04/04/2023)</v>
      </c>
      <c r="H1893" s="19"/>
    </row>
    <row r="1894">
      <c r="A1894" s="9"/>
      <c r="B1894" s="15"/>
      <c r="C1894" s="9">
        <f>IFERROR(__xludf.DUMMYFUNCTION("""COMPUTED_VALUE"""),45124.7984235069)</f>
        <v>45124.79842</v>
      </c>
      <c r="D1894" s="15">
        <f>IFERROR(__xludf.DUMMYFUNCTION("""COMPUTED_VALUE"""),1.003)</f>
        <v>1.003</v>
      </c>
      <c r="E1894" s="16">
        <f>IFERROR(__xludf.DUMMYFUNCTION("""COMPUTED_VALUE"""),72.0)</f>
        <v>72</v>
      </c>
      <c r="F1894" s="19" t="str">
        <f>IFERROR(__xludf.DUMMYFUNCTION("""COMPUTED_VALUE"""),"BLACK")</f>
        <v>BLACK</v>
      </c>
      <c r="G1894" s="20" t="str">
        <f>IFERROR(__xludf.DUMMYFUNCTION("""COMPUTED_VALUE"""),"Uncle Sams Cider (04/04/2023)")</f>
        <v>Uncle Sams Cider (04/04/2023)</v>
      </c>
      <c r="H1894" s="19"/>
    </row>
    <row r="1895">
      <c r="A1895" s="9"/>
      <c r="B1895" s="15"/>
      <c r="C1895" s="9">
        <f>IFERROR(__xludf.DUMMYFUNCTION("""COMPUTED_VALUE"""),45124.7880049189)</f>
        <v>45124.788</v>
      </c>
      <c r="D1895" s="15">
        <f>IFERROR(__xludf.DUMMYFUNCTION("""COMPUTED_VALUE"""),1.003)</f>
        <v>1.003</v>
      </c>
      <c r="E1895" s="16">
        <f>IFERROR(__xludf.DUMMYFUNCTION("""COMPUTED_VALUE"""),72.0)</f>
        <v>72</v>
      </c>
      <c r="F1895" s="19" t="str">
        <f>IFERROR(__xludf.DUMMYFUNCTION("""COMPUTED_VALUE"""),"BLACK")</f>
        <v>BLACK</v>
      </c>
      <c r="G1895" s="20" t="str">
        <f>IFERROR(__xludf.DUMMYFUNCTION("""COMPUTED_VALUE"""),"Uncle Sams Cider (04/04/2023)")</f>
        <v>Uncle Sams Cider (04/04/2023)</v>
      </c>
      <c r="H1895" s="19"/>
    </row>
    <row r="1896">
      <c r="A1896" s="9"/>
      <c r="B1896" s="15"/>
      <c r="C1896" s="9">
        <f>IFERROR(__xludf.DUMMYFUNCTION("""COMPUTED_VALUE"""),45124.777583125)</f>
        <v>45124.77758</v>
      </c>
      <c r="D1896" s="15">
        <f>IFERROR(__xludf.DUMMYFUNCTION("""COMPUTED_VALUE"""),1.003)</f>
        <v>1.003</v>
      </c>
      <c r="E1896" s="16">
        <f>IFERROR(__xludf.DUMMYFUNCTION("""COMPUTED_VALUE"""),72.0)</f>
        <v>72</v>
      </c>
      <c r="F1896" s="19" t="str">
        <f>IFERROR(__xludf.DUMMYFUNCTION("""COMPUTED_VALUE"""),"BLACK")</f>
        <v>BLACK</v>
      </c>
      <c r="G1896" s="20" t="str">
        <f>IFERROR(__xludf.DUMMYFUNCTION("""COMPUTED_VALUE"""),"Uncle Sams Cider (04/04/2023)")</f>
        <v>Uncle Sams Cider (04/04/2023)</v>
      </c>
      <c r="H1896" s="19"/>
    </row>
    <row r="1897">
      <c r="A1897" s="9"/>
      <c r="B1897" s="15"/>
      <c r="C1897" s="9">
        <f>IFERROR(__xludf.DUMMYFUNCTION("""COMPUTED_VALUE"""),45124.7671611805)</f>
        <v>45124.76716</v>
      </c>
      <c r="D1897" s="15">
        <f>IFERROR(__xludf.DUMMYFUNCTION("""COMPUTED_VALUE"""),1.003)</f>
        <v>1.003</v>
      </c>
      <c r="E1897" s="16">
        <f>IFERROR(__xludf.DUMMYFUNCTION("""COMPUTED_VALUE"""),72.0)</f>
        <v>72</v>
      </c>
      <c r="F1897" s="19" t="str">
        <f>IFERROR(__xludf.DUMMYFUNCTION("""COMPUTED_VALUE"""),"BLACK")</f>
        <v>BLACK</v>
      </c>
      <c r="G1897" s="20" t="str">
        <f>IFERROR(__xludf.DUMMYFUNCTION("""COMPUTED_VALUE"""),"Uncle Sams Cider (04/04/2023)")</f>
        <v>Uncle Sams Cider (04/04/2023)</v>
      </c>
      <c r="H1897" s="19"/>
    </row>
    <row r="1898">
      <c r="A1898" s="9"/>
      <c r="B1898" s="15"/>
      <c r="C1898" s="9">
        <f>IFERROR(__xludf.DUMMYFUNCTION("""COMPUTED_VALUE"""),45124.7567388657)</f>
        <v>45124.75674</v>
      </c>
      <c r="D1898" s="15">
        <f>IFERROR(__xludf.DUMMYFUNCTION("""COMPUTED_VALUE"""),1.003)</f>
        <v>1.003</v>
      </c>
      <c r="E1898" s="16">
        <f>IFERROR(__xludf.DUMMYFUNCTION("""COMPUTED_VALUE"""),72.0)</f>
        <v>72</v>
      </c>
      <c r="F1898" s="19" t="str">
        <f>IFERROR(__xludf.DUMMYFUNCTION("""COMPUTED_VALUE"""),"BLACK")</f>
        <v>BLACK</v>
      </c>
      <c r="G1898" s="20" t="str">
        <f>IFERROR(__xludf.DUMMYFUNCTION("""COMPUTED_VALUE"""),"Uncle Sams Cider (04/04/2023)")</f>
        <v>Uncle Sams Cider (04/04/2023)</v>
      </c>
      <c r="H1898" s="19"/>
    </row>
    <row r="1899">
      <c r="A1899" s="9"/>
      <c r="B1899" s="15"/>
      <c r="C1899" s="9">
        <f>IFERROR(__xludf.DUMMYFUNCTION("""COMPUTED_VALUE"""),45124.7463161921)</f>
        <v>45124.74632</v>
      </c>
      <c r="D1899" s="15">
        <f>IFERROR(__xludf.DUMMYFUNCTION("""COMPUTED_VALUE"""),1.003)</f>
        <v>1.003</v>
      </c>
      <c r="E1899" s="16">
        <f>IFERROR(__xludf.DUMMYFUNCTION("""COMPUTED_VALUE"""),72.0)</f>
        <v>72</v>
      </c>
      <c r="F1899" s="19" t="str">
        <f>IFERROR(__xludf.DUMMYFUNCTION("""COMPUTED_VALUE"""),"BLACK")</f>
        <v>BLACK</v>
      </c>
      <c r="G1899" s="20" t="str">
        <f>IFERROR(__xludf.DUMMYFUNCTION("""COMPUTED_VALUE"""),"Uncle Sams Cider (04/04/2023)")</f>
        <v>Uncle Sams Cider (04/04/2023)</v>
      </c>
      <c r="H1899" s="19"/>
    </row>
    <row r="1900">
      <c r="A1900" s="9"/>
      <c r="B1900" s="15"/>
      <c r="C1900" s="9">
        <f>IFERROR(__xludf.DUMMYFUNCTION("""COMPUTED_VALUE"""),45124.7358967708)</f>
        <v>45124.7359</v>
      </c>
      <c r="D1900" s="15">
        <f>IFERROR(__xludf.DUMMYFUNCTION("""COMPUTED_VALUE"""),1.003)</f>
        <v>1.003</v>
      </c>
      <c r="E1900" s="16">
        <f>IFERROR(__xludf.DUMMYFUNCTION("""COMPUTED_VALUE"""),72.0)</f>
        <v>72</v>
      </c>
      <c r="F1900" s="19" t="str">
        <f>IFERROR(__xludf.DUMMYFUNCTION("""COMPUTED_VALUE"""),"BLACK")</f>
        <v>BLACK</v>
      </c>
      <c r="G1900" s="20" t="str">
        <f>IFERROR(__xludf.DUMMYFUNCTION("""COMPUTED_VALUE"""),"Uncle Sams Cider (04/04/2023)")</f>
        <v>Uncle Sams Cider (04/04/2023)</v>
      </c>
      <c r="H1900" s="19"/>
    </row>
    <row r="1901">
      <c r="A1901" s="9"/>
      <c r="B1901" s="15"/>
      <c r="C1901" s="9">
        <f>IFERROR(__xludf.DUMMYFUNCTION("""COMPUTED_VALUE"""),45124.7254640162)</f>
        <v>45124.72546</v>
      </c>
      <c r="D1901" s="15">
        <f>IFERROR(__xludf.DUMMYFUNCTION("""COMPUTED_VALUE"""),1.003)</f>
        <v>1.003</v>
      </c>
      <c r="E1901" s="16">
        <f>IFERROR(__xludf.DUMMYFUNCTION("""COMPUTED_VALUE"""),72.0)</f>
        <v>72</v>
      </c>
      <c r="F1901" s="19" t="str">
        <f>IFERROR(__xludf.DUMMYFUNCTION("""COMPUTED_VALUE"""),"BLACK")</f>
        <v>BLACK</v>
      </c>
      <c r="G1901" s="20" t="str">
        <f>IFERROR(__xludf.DUMMYFUNCTION("""COMPUTED_VALUE"""),"Uncle Sams Cider (04/04/2023)")</f>
        <v>Uncle Sams Cider (04/04/2023)</v>
      </c>
      <c r="H1901" s="19"/>
    </row>
    <row r="1902">
      <c r="A1902" s="9"/>
      <c r="B1902" s="15"/>
      <c r="C1902" s="9">
        <f>IFERROR(__xludf.DUMMYFUNCTION("""COMPUTED_VALUE"""),45124.7150421875)</f>
        <v>45124.71504</v>
      </c>
      <c r="D1902" s="15">
        <f>IFERROR(__xludf.DUMMYFUNCTION("""COMPUTED_VALUE"""),1.003)</f>
        <v>1.003</v>
      </c>
      <c r="E1902" s="16">
        <f>IFERROR(__xludf.DUMMYFUNCTION("""COMPUTED_VALUE"""),72.0)</f>
        <v>72</v>
      </c>
      <c r="F1902" s="19" t="str">
        <f>IFERROR(__xludf.DUMMYFUNCTION("""COMPUTED_VALUE"""),"BLACK")</f>
        <v>BLACK</v>
      </c>
      <c r="G1902" s="20" t="str">
        <f>IFERROR(__xludf.DUMMYFUNCTION("""COMPUTED_VALUE"""),"Uncle Sams Cider (04/04/2023)")</f>
        <v>Uncle Sams Cider (04/04/2023)</v>
      </c>
      <c r="H1902" s="19"/>
    </row>
    <row r="1903">
      <c r="A1903" s="9"/>
      <c r="B1903" s="15"/>
      <c r="C1903" s="9">
        <f>IFERROR(__xludf.DUMMYFUNCTION("""COMPUTED_VALUE"""),45124.7046218171)</f>
        <v>45124.70462</v>
      </c>
      <c r="D1903" s="15">
        <f>IFERROR(__xludf.DUMMYFUNCTION("""COMPUTED_VALUE"""),1.003)</f>
        <v>1.003</v>
      </c>
      <c r="E1903" s="16">
        <f>IFERROR(__xludf.DUMMYFUNCTION("""COMPUTED_VALUE"""),72.0)</f>
        <v>72</v>
      </c>
      <c r="F1903" s="19" t="str">
        <f>IFERROR(__xludf.DUMMYFUNCTION("""COMPUTED_VALUE"""),"BLACK")</f>
        <v>BLACK</v>
      </c>
      <c r="G1903" s="20" t="str">
        <f>IFERROR(__xludf.DUMMYFUNCTION("""COMPUTED_VALUE"""),"Uncle Sams Cider (04/04/2023)")</f>
        <v>Uncle Sams Cider (04/04/2023)</v>
      </c>
      <c r="H1903" s="19"/>
    </row>
    <row r="1904">
      <c r="A1904" s="9"/>
      <c r="B1904" s="15"/>
      <c r="C1904" s="9">
        <f>IFERROR(__xludf.DUMMYFUNCTION("""COMPUTED_VALUE"""),45124.6941999421)</f>
        <v>45124.6942</v>
      </c>
      <c r="D1904" s="15">
        <f>IFERROR(__xludf.DUMMYFUNCTION("""COMPUTED_VALUE"""),1.003)</f>
        <v>1.003</v>
      </c>
      <c r="E1904" s="16">
        <f>IFERROR(__xludf.DUMMYFUNCTION("""COMPUTED_VALUE"""),72.0)</f>
        <v>72</v>
      </c>
      <c r="F1904" s="19" t="str">
        <f>IFERROR(__xludf.DUMMYFUNCTION("""COMPUTED_VALUE"""),"BLACK")</f>
        <v>BLACK</v>
      </c>
      <c r="G1904" s="20" t="str">
        <f>IFERROR(__xludf.DUMMYFUNCTION("""COMPUTED_VALUE"""),"Uncle Sams Cider (04/04/2023)")</f>
        <v>Uncle Sams Cider (04/04/2023)</v>
      </c>
      <c r="H1904" s="19"/>
    </row>
    <row r="1905">
      <c r="A1905" s="9"/>
      <c r="B1905" s="15"/>
      <c r="C1905" s="9">
        <f>IFERROR(__xludf.DUMMYFUNCTION("""COMPUTED_VALUE"""),45124.6837793518)</f>
        <v>45124.68378</v>
      </c>
      <c r="D1905" s="15">
        <f>IFERROR(__xludf.DUMMYFUNCTION("""COMPUTED_VALUE"""),1.003)</f>
        <v>1.003</v>
      </c>
      <c r="E1905" s="16">
        <f>IFERROR(__xludf.DUMMYFUNCTION("""COMPUTED_VALUE"""),72.0)</f>
        <v>72</v>
      </c>
      <c r="F1905" s="19" t="str">
        <f>IFERROR(__xludf.DUMMYFUNCTION("""COMPUTED_VALUE"""),"BLACK")</f>
        <v>BLACK</v>
      </c>
      <c r="G1905" s="20" t="str">
        <f>IFERROR(__xludf.DUMMYFUNCTION("""COMPUTED_VALUE"""),"Uncle Sams Cider (04/04/2023)")</f>
        <v>Uncle Sams Cider (04/04/2023)</v>
      </c>
      <c r="H1905" s="19"/>
    </row>
    <row r="1906">
      <c r="A1906" s="9"/>
      <c r="B1906" s="15"/>
      <c r="C1906" s="9">
        <f>IFERROR(__xludf.DUMMYFUNCTION("""COMPUTED_VALUE"""),45124.6733584838)</f>
        <v>45124.67336</v>
      </c>
      <c r="D1906" s="15">
        <f>IFERROR(__xludf.DUMMYFUNCTION("""COMPUTED_VALUE"""),1.003)</f>
        <v>1.003</v>
      </c>
      <c r="E1906" s="16">
        <f>IFERROR(__xludf.DUMMYFUNCTION("""COMPUTED_VALUE"""),72.0)</f>
        <v>72</v>
      </c>
      <c r="F1906" s="19" t="str">
        <f>IFERROR(__xludf.DUMMYFUNCTION("""COMPUTED_VALUE"""),"BLACK")</f>
        <v>BLACK</v>
      </c>
      <c r="G1906" s="20" t="str">
        <f>IFERROR(__xludf.DUMMYFUNCTION("""COMPUTED_VALUE"""),"Uncle Sams Cider (04/04/2023)")</f>
        <v>Uncle Sams Cider (04/04/2023)</v>
      </c>
      <c r="H1906" s="19"/>
    </row>
    <row r="1907">
      <c r="A1907" s="9"/>
      <c r="B1907" s="15"/>
      <c r="C1907" s="9">
        <f>IFERROR(__xludf.DUMMYFUNCTION("""COMPUTED_VALUE"""),45124.6629371759)</f>
        <v>45124.66294</v>
      </c>
      <c r="D1907" s="15">
        <f>IFERROR(__xludf.DUMMYFUNCTION("""COMPUTED_VALUE"""),1.004)</f>
        <v>1.004</v>
      </c>
      <c r="E1907" s="16">
        <f>IFERROR(__xludf.DUMMYFUNCTION("""COMPUTED_VALUE"""),72.0)</f>
        <v>72</v>
      </c>
      <c r="F1907" s="19" t="str">
        <f>IFERROR(__xludf.DUMMYFUNCTION("""COMPUTED_VALUE"""),"BLACK")</f>
        <v>BLACK</v>
      </c>
      <c r="G1907" s="20" t="str">
        <f>IFERROR(__xludf.DUMMYFUNCTION("""COMPUTED_VALUE"""),"Uncle Sams Cider (04/04/2023)")</f>
        <v>Uncle Sams Cider (04/04/2023)</v>
      </c>
      <c r="H1907" s="19"/>
    </row>
    <row r="1908">
      <c r="A1908" s="9"/>
      <c r="B1908" s="15"/>
      <c r="C1908" s="9">
        <f>IFERROR(__xludf.DUMMYFUNCTION("""COMPUTED_VALUE"""),45124.65250375)</f>
        <v>45124.6525</v>
      </c>
      <c r="D1908" s="15">
        <f>IFERROR(__xludf.DUMMYFUNCTION("""COMPUTED_VALUE"""),1.004)</f>
        <v>1.004</v>
      </c>
      <c r="E1908" s="16">
        <f>IFERROR(__xludf.DUMMYFUNCTION("""COMPUTED_VALUE"""),72.0)</f>
        <v>72</v>
      </c>
      <c r="F1908" s="19" t="str">
        <f>IFERROR(__xludf.DUMMYFUNCTION("""COMPUTED_VALUE"""),"BLACK")</f>
        <v>BLACK</v>
      </c>
      <c r="G1908" s="20" t="str">
        <f>IFERROR(__xludf.DUMMYFUNCTION("""COMPUTED_VALUE"""),"Uncle Sams Cider (04/04/2023)")</f>
        <v>Uncle Sams Cider (04/04/2023)</v>
      </c>
      <c r="H1908" s="19"/>
    </row>
    <row r="1909">
      <c r="A1909" s="9"/>
      <c r="B1909" s="15"/>
      <c r="C1909" s="9">
        <f>IFERROR(__xludf.DUMMYFUNCTION("""COMPUTED_VALUE"""),45124.6420825347)</f>
        <v>45124.64208</v>
      </c>
      <c r="D1909" s="15">
        <f>IFERROR(__xludf.DUMMYFUNCTION("""COMPUTED_VALUE"""),1.003)</f>
        <v>1.003</v>
      </c>
      <c r="E1909" s="16">
        <f>IFERROR(__xludf.DUMMYFUNCTION("""COMPUTED_VALUE"""),72.0)</f>
        <v>72</v>
      </c>
      <c r="F1909" s="19" t="str">
        <f>IFERROR(__xludf.DUMMYFUNCTION("""COMPUTED_VALUE"""),"BLACK")</f>
        <v>BLACK</v>
      </c>
      <c r="G1909" s="20" t="str">
        <f>IFERROR(__xludf.DUMMYFUNCTION("""COMPUTED_VALUE"""),"Uncle Sams Cider (04/04/2023)")</f>
        <v>Uncle Sams Cider (04/04/2023)</v>
      </c>
      <c r="H1909" s="19"/>
    </row>
    <row r="1910">
      <c r="A1910" s="9"/>
      <c r="B1910" s="15"/>
      <c r="C1910" s="9">
        <f>IFERROR(__xludf.DUMMYFUNCTION("""COMPUTED_VALUE"""),45124.6316499074)</f>
        <v>45124.63165</v>
      </c>
      <c r="D1910" s="15">
        <f>IFERROR(__xludf.DUMMYFUNCTION("""COMPUTED_VALUE"""),1.003)</f>
        <v>1.003</v>
      </c>
      <c r="E1910" s="16">
        <f>IFERROR(__xludf.DUMMYFUNCTION("""COMPUTED_VALUE"""),72.0)</f>
        <v>72</v>
      </c>
      <c r="F1910" s="19" t="str">
        <f>IFERROR(__xludf.DUMMYFUNCTION("""COMPUTED_VALUE"""),"BLACK")</f>
        <v>BLACK</v>
      </c>
      <c r="G1910" s="20" t="str">
        <f>IFERROR(__xludf.DUMMYFUNCTION("""COMPUTED_VALUE"""),"Uncle Sams Cider (04/04/2023)")</f>
        <v>Uncle Sams Cider (04/04/2023)</v>
      </c>
      <c r="H1910" s="19"/>
    </row>
    <row r="1911">
      <c r="A1911" s="9"/>
      <c r="B1911" s="15"/>
      <c r="C1911" s="9">
        <f>IFERROR(__xludf.DUMMYFUNCTION("""COMPUTED_VALUE"""),45124.6212287152)</f>
        <v>45124.62123</v>
      </c>
      <c r="D1911" s="15">
        <f>IFERROR(__xludf.DUMMYFUNCTION("""COMPUTED_VALUE"""),1.003)</f>
        <v>1.003</v>
      </c>
      <c r="E1911" s="16">
        <f>IFERROR(__xludf.DUMMYFUNCTION("""COMPUTED_VALUE"""),72.0)</f>
        <v>72</v>
      </c>
      <c r="F1911" s="19" t="str">
        <f>IFERROR(__xludf.DUMMYFUNCTION("""COMPUTED_VALUE"""),"BLACK")</f>
        <v>BLACK</v>
      </c>
      <c r="G1911" s="20" t="str">
        <f>IFERROR(__xludf.DUMMYFUNCTION("""COMPUTED_VALUE"""),"Uncle Sams Cider (04/04/2023)")</f>
        <v>Uncle Sams Cider (04/04/2023)</v>
      </c>
      <c r="H1911" s="19"/>
    </row>
    <row r="1912">
      <c r="A1912" s="9"/>
      <c r="B1912" s="15"/>
      <c r="C1912" s="9">
        <f>IFERROR(__xludf.DUMMYFUNCTION("""COMPUTED_VALUE"""),45124.6108082523)</f>
        <v>45124.61081</v>
      </c>
      <c r="D1912" s="15">
        <f>IFERROR(__xludf.DUMMYFUNCTION("""COMPUTED_VALUE"""),1.004)</f>
        <v>1.004</v>
      </c>
      <c r="E1912" s="16">
        <f>IFERROR(__xludf.DUMMYFUNCTION("""COMPUTED_VALUE"""),72.0)</f>
        <v>72</v>
      </c>
      <c r="F1912" s="19" t="str">
        <f>IFERROR(__xludf.DUMMYFUNCTION("""COMPUTED_VALUE"""),"BLACK")</f>
        <v>BLACK</v>
      </c>
      <c r="G1912" s="20" t="str">
        <f>IFERROR(__xludf.DUMMYFUNCTION("""COMPUTED_VALUE"""),"Uncle Sams Cider (04/04/2023)")</f>
        <v>Uncle Sams Cider (04/04/2023)</v>
      </c>
      <c r="H1912" s="19"/>
    </row>
    <row r="1913">
      <c r="A1913" s="9"/>
      <c r="B1913" s="15"/>
      <c r="C1913" s="9">
        <f>IFERROR(__xludf.DUMMYFUNCTION("""COMPUTED_VALUE"""),45124.600387118)</f>
        <v>45124.60039</v>
      </c>
      <c r="D1913" s="15">
        <f>IFERROR(__xludf.DUMMYFUNCTION("""COMPUTED_VALUE"""),1.003)</f>
        <v>1.003</v>
      </c>
      <c r="E1913" s="16">
        <f>IFERROR(__xludf.DUMMYFUNCTION("""COMPUTED_VALUE"""),72.0)</f>
        <v>72</v>
      </c>
      <c r="F1913" s="19" t="str">
        <f>IFERROR(__xludf.DUMMYFUNCTION("""COMPUTED_VALUE"""),"BLACK")</f>
        <v>BLACK</v>
      </c>
      <c r="G1913" s="20" t="str">
        <f>IFERROR(__xludf.DUMMYFUNCTION("""COMPUTED_VALUE"""),"Uncle Sams Cider (04/04/2023)")</f>
        <v>Uncle Sams Cider (04/04/2023)</v>
      </c>
      <c r="H1913" s="19"/>
    </row>
    <row r="1914">
      <c r="A1914" s="9"/>
      <c r="B1914" s="15"/>
      <c r="C1914" s="9">
        <f>IFERROR(__xludf.DUMMYFUNCTION("""COMPUTED_VALUE"""),45124.5899662152)</f>
        <v>45124.58997</v>
      </c>
      <c r="D1914" s="15">
        <f>IFERROR(__xludf.DUMMYFUNCTION("""COMPUTED_VALUE"""),1.003)</f>
        <v>1.003</v>
      </c>
      <c r="E1914" s="16">
        <f>IFERROR(__xludf.DUMMYFUNCTION("""COMPUTED_VALUE"""),72.0)</f>
        <v>72</v>
      </c>
      <c r="F1914" s="19" t="str">
        <f>IFERROR(__xludf.DUMMYFUNCTION("""COMPUTED_VALUE"""),"BLACK")</f>
        <v>BLACK</v>
      </c>
      <c r="G1914" s="20" t="str">
        <f>IFERROR(__xludf.DUMMYFUNCTION("""COMPUTED_VALUE"""),"Uncle Sams Cider (04/04/2023)")</f>
        <v>Uncle Sams Cider (04/04/2023)</v>
      </c>
      <c r="H1914" s="19"/>
    </row>
    <row r="1915">
      <c r="A1915" s="9"/>
      <c r="B1915" s="15"/>
      <c r="C1915" s="9">
        <f>IFERROR(__xludf.DUMMYFUNCTION("""COMPUTED_VALUE"""),45124.5795432986)</f>
        <v>45124.57954</v>
      </c>
      <c r="D1915" s="15">
        <f>IFERROR(__xludf.DUMMYFUNCTION("""COMPUTED_VALUE"""),1.004)</f>
        <v>1.004</v>
      </c>
      <c r="E1915" s="16">
        <f>IFERROR(__xludf.DUMMYFUNCTION("""COMPUTED_VALUE"""),72.0)</f>
        <v>72</v>
      </c>
      <c r="F1915" s="19" t="str">
        <f>IFERROR(__xludf.DUMMYFUNCTION("""COMPUTED_VALUE"""),"BLACK")</f>
        <v>BLACK</v>
      </c>
      <c r="G1915" s="20" t="str">
        <f>IFERROR(__xludf.DUMMYFUNCTION("""COMPUTED_VALUE"""),"Uncle Sams Cider (04/04/2023)")</f>
        <v>Uncle Sams Cider (04/04/2023)</v>
      </c>
      <c r="H1915" s="19"/>
    </row>
    <row r="1916">
      <c r="A1916" s="9"/>
      <c r="B1916" s="15"/>
      <c r="C1916" s="9">
        <f>IFERROR(__xludf.DUMMYFUNCTION("""COMPUTED_VALUE"""),45124.569124699)</f>
        <v>45124.56912</v>
      </c>
      <c r="D1916" s="15">
        <f>IFERROR(__xludf.DUMMYFUNCTION("""COMPUTED_VALUE"""),1.003)</f>
        <v>1.003</v>
      </c>
      <c r="E1916" s="16">
        <f>IFERROR(__xludf.DUMMYFUNCTION("""COMPUTED_VALUE"""),72.0)</f>
        <v>72</v>
      </c>
      <c r="F1916" s="19" t="str">
        <f>IFERROR(__xludf.DUMMYFUNCTION("""COMPUTED_VALUE"""),"BLACK")</f>
        <v>BLACK</v>
      </c>
      <c r="G1916" s="20" t="str">
        <f>IFERROR(__xludf.DUMMYFUNCTION("""COMPUTED_VALUE"""),"Uncle Sams Cider (04/04/2023)")</f>
        <v>Uncle Sams Cider (04/04/2023)</v>
      </c>
      <c r="H1916" s="19"/>
    </row>
    <row r="1917">
      <c r="A1917" s="9"/>
      <c r="B1917" s="15"/>
      <c r="C1917" s="9">
        <f>IFERROR(__xludf.DUMMYFUNCTION("""COMPUTED_VALUE"""),45124.5587036342)</f>
        <v>45124.5587</v>
      </c>
      <c r="D1917" s="15">
        <f>IFERROR(__xludf.DUMMYFUNCTION("""COMPUTED_VALUE"""),1.003)</f>
        <v>1.003</v>
      </c>
      <c r="E1917" s="16">
        <f>IFERROR(__xludf.DUMMYFUNCTION("""COMPUTED_VALUE"""),72.0)</f>
        <v>72</v>
      </c>
      <c r="F1917" s="19" t="str">
        <f>IFERROR(__xludf.DUMMYFUNCTION("""COMPUTED_VALUE"""),"BLACK")</f>
        <v>BLACK</v>
      </c>
      <c r="G1917" s="20" t="str">
        <f>IFERROR(__xludf.DUMMYFUNCTION("""COMPUTED_VALUE"""),"Uncle Sams Cider (04/04/2023)")</f>
        <v>Uncle Sams Cider (04/04/2023)</v>
      </c>
      <c r="H1917" s="19"/>
    </row>
    <row r="1918">
      <c r="A1918" s="9"/>
      <c r="B1918" s="15"/>
      <c r="C1918" s="9">
        <f>IFERROR(__xludf.DUMMYFUNCTION("""COMPUTED_VALUE"""),45124.5482713657)</f>
        <v>45124.54827</v>
      </c>
      <c r="D1918" s="15">
        <f>IFERROR(__xludf.DUMMYFUNCTION("""COMPUTED_VALUE"""),1.003)</f>
        <v>1.003</v>
      </c>
      <c r="E1918" s="16">
        <f>IFERROR(__xludf.DUMMYFUNCTION("""COMPUTED_VALUE"""),72.0)</f>
        <v>72</v>
      </c>
      <c r="F1918" s="19" t="str">
        <f>IFERROR(__xludf.DUMMYFUNCTION("""COMPUTED_VALUE"""),"BLACK")</f>
        <v>BLACK</v>
      </c>
      <c r="G1918" s="20" t="str">
        <f>IFERROR(__xludf.DUMMYFUNCTION("""COMPUTED_VALUE"""),"Uncle Sams Cider (04/04/2023)")</f>
        <v>Uncle Sams Cider (04/04/2023)</v>
      </c>
      <c r="H1918" s="19"/>
    </row>
    <row r="1919">
      <c r="A1919" s="9"/>
      <c r="B1919" s="15"/>
      <c r="C1919" s="9">
        <f>IFERROR(__xludf.DUMMYFUNCTION("""COMPUTED_VALUE"""),45124.5378502546)</f>
        <v>45124.53785</v>
      </c>
      <c r="D1919" s="15">
        <f>IFERROR(__xludf.DUMMYFUNCTION("""COMPUTED_VALUE"""),1.003)</f>
        <v>1.003</v>
      </c>
      <c r="E1919" s="16">
        <f>IFERROR(__xludf.DUMMYFUNCTION("""COMPUTED_VALUE"""),72.0)</f>
        <v>72</v>
      </c>
      <c r="F1919" s="19" t="str">
        <f>IFERROR(__xludf.DUMMYFUNCTION("""COMPUTED_VALUE"""),"BLACK")</f>
        <v>BLACK</v>
      </c>
      <c r="G1919" s="20" t="str">
        <f>IFERROR(__xludf.DUMMYFUNCTION("""COMPUTED_VALUE"""),"Uncle Sams Cider (04/04/2023)")</f>
        <v>Uncle Sams Cider (04/04/2023)</v>
      </c>
      <c r="H1919" s="19"/>
    </row>
    <row r="1920">
      <c r="A1920" s="9"/>
      <c r="B1920" s="15"/>
      <c r="C1920" s="9">
        <f>IFERROR(__xludf.DUMMYFUNCTION("""COMPUTED_VALUE"""),45124.5274306597)</f>
        <v>45124.52743</v>
      </c>
      <c r="D1920" s="15">
        <f>IFERROR(__xludf.DUMMYFUNCTION("""COMPUTED_VALUE"""),1.003)</f>
        <v>1.003</v>
      </c>
      <c r="E1920" s="16">
        <f>IFERROR(__xludf.DUMMYFUNCTION("""COMPUTED_VALUE"""),72.0)</f>
        <v>72</v>
      </c>
      <c r="F1920" s="19" t="str">
        <f>IFERROR(__xludf.DUMMYFUNCTION("""COMPUTED_VALUE"""),"BLACK")</f>
        <v>BLACK</v>
      </c>
      <c r="G1920" s="20" t="str">
        <f>IFERROR(__xludf.DUMMYFUNCTION("""COMPUTED_VALUE"""),"Uncle Sams Cider (04/04/2023)")</f>
        <v>Uncle Sams Cider (04/04/2023)</v>
      </c>
      <c r="H1920" s="19"/>
    </row>
    <row r="1921">
      <c r="A1921" s="9"/>
      <c r="B1921" s="15"/>
      <c r="C1921" s="9">
        <f>IFERROR(__xludf.DUMMYFUNCTION("""COMPUTED_VALUE"""),45124.517008206)</f>
        <v>45124.51701</v>
      </c>
      <c r="D1921" s="15">
        <f>IFERROR(__xludf.DUMMYFUNCTION("""COMPUTED_VALUE"""),1.003)</f>
        <v>1.003</v>
      </c>
      <c r="E1921" s="16">
        <f>IFERROR(__xludf.DUMMYFUNCTION("""COMPUTED_VALUE"""),72.0)</f>
        <v>72</v>
      </c>
      <c r="F1921" s="19" t="str">
        <f>IFERROR(__xludf.DUMMYFUNCTION("""COMPUTED_VALUE"""),"BLACK")</f>
        <v>BLACK</v>
      </c>
      <c r="G1921" s="20" t="str">
        <f>IFERROR(__xludf.DUMMYFUNCTION("""COMPUTED_VALUE"""),"Uncle Sams Cider (04/04/2023)")</f>
        <v>Uncle Sams Cider (04/04/2023)</v>
      </c>
      <c r="H1921" s="19"/>
    </row>
    <row r="1922">
      <c r="A1922" s="9"/>
      <c r="B1922" s="15"/>
      <c r="C1922" s="9">
        <f>IFERROR(__xludf.DUMMYFUNCTION("""COMPUTED_VALUE"""),45124.5065524884)</f>
        <v>45124.50655</v>
      </c>
      <c r="D1922" s="15">
        <f>IFERROR(__xludf.DUMMYFUNCTION("""COMPUTED_VALUE"""),1.003)</f>
        <v>1.003</v>
      </c>
      <c r="E1922" s="16">
        <f>IFERROR(__xludf.DUMMYFUNCTION("""COMPUTED_VALUE"""),72.0)</f>
        <v>72</v>
      </c>
      <c r="F1922" s="19" t="str">
        <f>IFERROR(__xludf.DUMMYFUNCTION("""COMPUTED_VALUE"""),"BLACK")</f>
        <v>BLACK</v>
      </c>
      <c r="G1922" s="20" t="str">
        <f>IFERROR(__xludf.DUMMYFUNCTION("""COMPUTED_VALUE"""),"Uncle Sams Cider (04/04/2023)")</f>
        <v>Uncle Sams Cider (04/04/2023)</v>
      </c>
      <c r="H1922" s="19"/>
    </row>
    <row r="1923">
      <c r="A1923" s="9"/>
      <c r="B1923" s="15"/>
      <c r="C1923" s="9">
        <f>IFERROR(__xludf.DUMMYFUNCTION("""COMPUTED_VALUE"""),45124.4961310995)</f>
        <v>45124.49613</v>
      </c>
      <c r="D1923" s="15">
        <f>IFERROR(__xludf.DUMMYFUNCTION("""COMPUTED_VALUE"""),1.003)</f>
        <v>1.003</v>
      </c>
      <c r="E1923" s="16">
        <f>IFERROR(__xludf.DUMMYFUNCTION("""COMPUTED_VALUE"""),72.0)</f>
        <v>72</v>
      </c>
      <c r="F1923" s="19" t="str">
        <f>IFERROR(__xludf.DUMMYFUNCTION("""COMPUTED_VALUE"""),"BLACK")</f>
        <v>BLACK</v>
      </c>
      <c r="G1923" s="20" t="str">
        <f>IFERROR(__xludf.DUMMYFUNCTION("""COMPUTED_VALUE"""),"Uncle Sams Cider (04/04/2023)")</f>
        <v>Uncle Sams Cider (04/04/2023)</v>
      </c>
      <c r="H1923" s="19"/>
    </row>
    <row r="1924">
      <c r="A1924" s="9"/>
      <c r="B1924" s="15"/>
      <c r="C1924" s="9">
        <f>IFERROR(__xludf.DUMMYFUNCTION("""COMPUTED_VALUE"""),45124.485707743)</f>
        <v>45124.48571</v>
      </c>
      <c r="D1924" s="15">
        <f>IFERROR(__xludf.DUMMYFUNCTION("""COMPUTED_VALUE"""),1.003)</f>
        <v>1.003</v>
      </c>
      <c r="E1924" s="16">
        <f>IFERROR(__xludf.DUMMYFUNCTION("""COMPUTED_VALUE"""),72.0)</f>
        <v>72</v>
      </c>
      <c r="F1924" s="19" t="str">
        <f>IFERROR(__xludf.DUMMYFUNCTION("""COMPUTED_VALUE"""),"BLACK")</f>
        <v>BLACK</v>
      </c>
      <c r="G1924" s="20" t="str">
        <f>IFERROR(__xludf.DUMMYFUNCTION("""COMPUTED_VALUE"""),"Uncle Sams Cider (04/04/2023)")</f>
        <v>Uncle Sams Cider (04/04/2023)</v>
      </c>
      <c r="H1924" s="19"/>
    </row>
    <row r="1925">
      <c r="A1925" s="9"/>
      <c r="B1925" s="15"/>
      <c r="C1925" s="9">
        <f>IFERROR(__xludf.DUMMYFUNCTION("""COMPUTED_VALUE"""),45124.4752873842)</f>
        <v>45124.47529</v>
      </c>
      <c r="D1925" s="15">
        <f>IFERROR(__xludf.DUMMYFUNCTION("""COMPUTED_VALUE"""),1.003)</f>
        <v>1.003</v>
      </c>
      <c r="E1925" s="16">
        <f>IFERROR(__xludf.DUMMYFUNCTION("""COMPUTED_VALUE"""),72.0)</f>
        <v>72</v>
      </c>
      <c r="F1925" s="19" t="str">
        <f>IFERROR(__xludf.DUMMYFUNCTION("""COMPUTED_VALUE"""),"BLACK")</f>
        <v>BLACK</v>
      </c>
      <c r="G1925" s="20" t="str">
        <f>IFERROR(__xludf.DUMMYFUNCTION("""COMPUTED_VALUE"""),"Uncle Sams Cider (04/04/2023)")</f>
        <v>Uncle Sams Cider (04/04/2023)</v>
      </c>
      <c r="H1925" s="19"/>
    </row>
    <row r="1926">
      <c r="A1926" s="9"/>
      <c r="B1926" s="15"/>
      <c r="C1926" s="9">
        <f>IFERROR(__xludf.DUMMYFUNCTION("""COMPUTED_VALUE"""),45124.464854699)</f>
        <v>45124.46485</v>
      </c>
      <c r="D1926" s="15">
        <f>IFERROR(__xludf.DUMMYFUNCTION("""COMPUTED_VALUE"""),1.003)</f>
        <v>1.003</v>
      </c>
      <c r="E1926" s="16">
        <f>IFERROR(__xludf.DUMMYFUNCTION("""COMPUTED_VALUE"""),72.0)</f>
        <v>72</v>
      </c>
      <c r="F1926" s="19" t="str">
        <f>IFERROR(__xludf.DUMMYFUNCTION("""COMPUTED_VALUE"""),"BLACK")</f>
        <v>BLACK</v>
      </c>
      <c r="G1926" s="20" t="str">
        <f>IFERROR(__xludf.DUMMYFUNCTION("""COMPUTED_VALUE"""),"Uncle Sams Cider (04/04/2023)")</f>
        <v>Uncle Sams Cider (04/04/2023)</v>
      </c>
      <c r="H1926" s="19"/>
    </row>
    <row r="1927">
      <c r="A1927" s="9"/>
      <c r="B1927" s="15"/>
      <c r="C1927" s="9">
        <f>IFERROR(__xludf.DUMMYFUNCTION("""COMPUTED_VALUE"""),45124.4544336226)</f>
        <v>45124.45443</v>
      </c>
      <c r="D1927" s="15">
        <f>IFERROR(__xludf.DUMMYFUNCTION("""COMPUTED_VALUE"""),1.003)</f>
        <v>1.003</v>
      </c>
      <c r="E1927" s="16">
        <f>IFERROR(__xludf.DUMMYFUNCTION("""COMPUTED_VALUE"""),72.0)</f>
        <v>72</v>
      </c>
      <c r="F1927" s="19" t="str">
        <f>IFERROR(__xludf.DUMMYFUNCTION("""COMPUTED_VALUE"""),"BLACK")</f>
        <v>BLACK</v>
      </c>
      <c r="G1927" s="20" t="str">
        <f>IFERROR(__xludf.DUMMYFUNCTION("""COMPUTED_VALUE"""),"Uncle Sams Cider (04/04/2023)")</f>
        <v>Uncle Sams Cider (04/04/2023)</v>
      </c>
      <c r="H1927" s="19"/>
    </row>
    <row r="1928">
      <c r="A1928" s="9"/>
      <c r="B1928" s="15"/>
      <c r="C1928" s="9">
        <f>IFERROR(__xludf.DUMMYFUNCTION("""COMPUTED_VALUE"""),45124.4440122222)</f>
        <v>45124.44401</v>
      </c>
      <c r="D1928" s="15">
        <f>IFERROR(__xludf.DUMMYFUNCTION("""COMPUTED_VALUE"""),1.003)</f>
        <v>1.003</v>
      </c>
      <c r="E1928" s="16">
        <f>IFERROR(__xludf.DUMMYFUNCTION("""COMPUTED_VALUE"""),72.0)</f>
        <v>72</v>
      </c>
      <c r="F1928" s="19" t="str">
        <f>IFERROR(__xludf.DUMMYFUNCTION("""COMPUTED_VALUE"""),"BLACK")</f>
        <v>BLACK</v>
      </c>
      <c r="G1928" s="20" t="str">
        <f>IFERROR(__xludf.DUMMYFUNCTION("""COMPUTED_VALUE"""),"Uncle Sams Cider (04/04/2023)")</f>
        <v>Uncle Sams Cider (04/04/2023)</v>
      </c>
      <c r="H1928" s="19"/>
    </row>
    <row r="1929">
      <c r="A1929" s="9"/>
      <c r="B1929" s="15"/>
      <c r="C1929" s="9">
        <f>IFERROR(__xludf.DUMMYFUNCTION("""COMPUTED_VALUE"""),45124.4335796296)</f>
        <v>45124.43358</v>
      </c>
      <c r="D1929" s="15">
        <f>IFERROR(__xludf.DUMMYFUNCTION("""COMPUTED_VALUE"""),1.004)</f>
        <v>1.004</v>
      </c>
      <c r="E1929" s="16">
        <f>IFERROR(__xludf.DUMMYFUNCTION("""COMPUTED_VALUE"""),72.0)</f>
        <v>72</v>
      </c>
      <c r="F1929" s="19" t="str">
        <f>IFERROR(__xludf.DUMMYFUNCTION("""COMPUTED_VALUE"""),"BLACK")</f>
        <v>BLACK</v>
      </c>
      <c r="G1929" s="20" t="str">
        <f>IFERROR(__xludf.DUMMYFUNCTION("""COMPUTED_VALUE"""),"Uncle Sams Cider (04/04/2023)")</f>
        <v>Uncle Sams Cider (04/04/2023)</v>
      </c>
      <c r="H1929" s="19"/>
    </row>
    <row r="1930">
      <c r="A1930" s="9"/>
      <c r="B1930" s="15"/>
      <c r="C1930" s="9">
        <f>IFERROR(__xludf.DUMMYFUNCTION("""COMPUTED_VALUE"""),45124.4231597106)</f>
        <v>45124.42316</v>
      </c>
      <c r="D1930" s="15">
        <f>IFERROR(__xludf.DUMMYFUNCTION("""COMPUTED_VALUE"""),1.003)</f>
        <v>1.003</v>
      </c>
      <c r="E1930" s="16">
        <f>IFERROR(__xludf.DUMMYFUNCTION("""COMPUTED_VALUE"""),72.0)</f>
        <v>72</v>
      </c>
      <c r="F1930" s="19" t="str">
        <f>IFERROR(__xludf.DUMMYFUNCTION("""COMPUTED_VALUE"""),"BLACK")</f>
        <v>BLACK</v>
      </c>
      <c r="G1930" s="20" t="str">
        <f>IFERROR(__xludf.DUMMYFUNCTION("""COMPUTED_VALUE"""),"Uncle Sams Cider (04/04/2023)")</f>
        <v>Uncle Sams Cider (04/04/2023)</v>
      </c>
      <c r="H1930" s="19"/>
    </row>
    <row r="1931">
      <c r="A1931" s="9"/>
      <c r="B1931" s="15"/>
      <c r="C1931" s="9">
        <f>IFERROR(__xludf.DUMMYFUNCTION("""COMPUTED_VALUE"""),45124.4127392129)</f>
        <v>45124.41274</v>
      </c>
      <c r="D1931" s="15">
        <f>IFERROR(__xludf.DUMMYFUNCTION("""COMPUTED_VALUE"""),1.003)</f>
        <v>1.003</v>
      </c>
      <c r="E1931" s="16">
        <f>IFERROR(__xludf.DUMMYFUNCTION("""COMPUTED_VALUE"""),72.0)</f>
        <v>72</v>
      </c>
      <c r="F1931" s="19" t="str">
        <f>IFERROR(__xludf.DUMMYFUNCTION("""COMPUTED_VALUE"""),"BLACK")</f>
        <v>BLACK</v>
      </c>
      <c r="G1931" s="20" t="str">
        <f>IFERROR(__xludf.DUMMYFUNCTION("""COMPUTED_VALUE"""),"Uncle Sams Cider (04/04/2023)")</f>
        <v>Uncle Sams Cider (04/04/2023)</v>
      </c>
      <c r="H1931" s="19"/>
    </row>
    <row r="1932">
      <c r="A1932" s="9"/>
      <c r="B1932" s="15"/>
      <c r="C1932" s="9">
        <f>IFERROR(__xludf.DUMMYFUNCTION("""COMPUTED_VALUE"""),45124.4023190509)</f>
        <v>45124.40232</v>
      </c>
      <c r="D1932" s="15">
        <f>IFERROR(__xludf.DUMMYFUNCTION("""COMPUTED_VALUE"""),1.003)</f>
        <v>1.003</v>
      </c>
      <c r="E1932" s="16">
        <f>IFERROR(__xludf.DUMMYFUNCTION("""COMPUTED_VALUE"""),72.0)</f>
        <v>72</v>
      </c>
      <c r="F1932" s="19" t="str">
        <f>IFERROR(__xludf.DUMMYFUNCTION("""COMPUTED_VALUE"""),"BLACK")</f>
        <v>BLACK</v>
      </c>
      <c r="G1932" s="20" t="str">
        <f>IFERROR(__xludf.DUMMYFUNCTION("""COMPUTED_VALUE"""),"Uncle Sams Cider (04/04/2023)")</f>
        <v>Uncle Sams Cider (04/04/2023)</v>
      </c>
      <c r="H1932" s="19"/>
    </row>
    <row r="1933">
      <c r="A1933" s="9"/>
      <c r="B1933" s="15"/>
      <c r="C1933" s="9">
        <f>IFERROR(__xludf.DUMMYFUNCTION("""COMPUTED_VALUE"""),45124.3918870254)</f>
        <v>45124.39189</v>
      </c>
      <c r="D1933" s="15">
        <f>IFERROR(__xludf.DUMMYFUNCTION("""COMPUTED_VALUE"""),1.003)</f>
        <v>1.003</v>
      </c>
      <c r="E1933" s="16">
        <f>IFERROR(__xludf.DUMMYFUNCTION("""COMPUTED_VALUE"""),72.0)</f>
        <v>72</v>
      </c>
      <c r="F1933" s="19" t="str">
        <f>IFERROR(__xludf.DUMMYFUNCTION("""COMPUTED_VALUE"""),"BLACK")</f>
        <v>BLACK</v>
      </c>
      <c r="G1933" s="20" t="str">
        <f>IFERROR(__xludf.DUMMYFUNCTION("""COMPUTED_VALUE"""),"Uncle Sams Cider (04/04/2023)")</f>
        <v>Uncle Sams Cider (04/04/2023)</v>
      </c>
      <c r="H1933" s="19"/>
    </row>
    <row r="1934">
      <c r="A1934" s="9"/>
      <c r="B1934" s="15"/>
      <c r="C1934" s="9">
        <f>IFERROR(__xludf.DUMMYFUNCTION("""COMPUTED_VALUE"""),45124.3814670601)</f>
        <v>45124.38147</v>
      </c>
      <c r="D1934" s="15">
        <f>IFERROR(__xludf.DUMMYFUNCTION("""COMPUTED_VALUE"""),1.003)</f>
        <v>1.003</v>
      </c>
      <c r="E1934" s="16">
        <f>IFERROR(__xludf.DUMMYFUNCTION("""COMPUTED_VALUE"""),72.0)</f>
        <v>72</v>
      </c>
      <c r="F1934" s="19" t="str">
        <f>IFERROR(__xludf.DUMMYFUNCTION("""COMPUTED_VALUE"""),"BLACK")</f>
        <v>BLACK</v>
      </c>
      <c r="G1934" s="20" t="str">
        <f>IFERROR(__xludf.DUMMYFUNCTION("""COMPUTED_VALUE"""),"Uncle Sams Cider (04/04/2023)")</f>
        <v>Uncle Sams Cider (04/04/2023)</v>
      </c>
      <c r="H1934" s="19"/>
    </row>
    <row r="1935">
      <c r="A1935" s="9"/>
      <c r="B1935" s="15"/>
      <c r="C1935" s="9">
        <f>IFERROR(__xludf.DUMMYFUNCTION("""COMPUTED_VALUE"""),45124.3710339467)</f>
        <v>45124.37103</v>
      </c>
      <c r="D1935" s="15">
        <f>IFERROR(__xludf.DUMMYFUNCTION("""COMPUTED_VALUE"""),1.003)</f>
        <v>1.003</v>
      </c>
      <c r="E1935" s="16">
        <f>IFERROR(__xludf.DUMMYFUNCTION("""COMPUTED_VALUE"""),72.0)</f>
        <v>72</v>
      </c>
      <c r="F1935" s="19" t="str">
        <f>IFERROR(__xludf.DUMMYFUNCTION("""COMPUTED_VALUE"""),"BLACK")</f>
        <v>BLACK</v>
      </c>
      <c r="G1935" s="20" t="str">
        <f>IFERROR(__xludf.DUMMYFUNCTION("""COMPUTED_VALUE"""),"Uncle Sams Cider (04/04/2023)")</f>
        <v>Uncle Sams Cider (04/04/2023)</v>
      </c>
      <c r="H1935" s="19"/>
    </row>
    <row r="1936">
      <c r="A1936" s="9"/>
      <c r="B1936" s="15"/>
      <c r="C1936" s="9">
        <f>IFERROR(__xludf.DUMMYFUNCTION("""COMPUTED_VALUE"""),45124.3606123958)</f>
        <v>45124.36061</v>
      </c>
      <c r="D1936" s="15">
        <f>IFERROR(__xludf.DUMMYFUNCTION("""COMPUTED_VALUE"""),1.003)</f>
        <v>1.003</v>
      </c>
      <c r="E1936" s="16">
        <f>IFERROR(__xludf.DUMMYFUNCTION("""COMPUTED_VALUE"""),72.0)</f>
        <v>72</v>
      </c>
      <c r="F1936" s="19" t="str">
        <f>IFERROR(__xludf.DUMMYFUNCTION("""COMPUTED_VALUE"""),"BLACK")</f>
        <v>BLACK</v>
      </c>
      <c r="G1936" s="20" t="str">
        <f>IFERROR(__xludf.DUMMYFUNCTION("""COMPUTED_VALUE"""),"Uncle Sams Cider (04/04/2023)")</f>
        <v>Uncle Sams Cider (04/04/2023)</v>
      </c>
      <c r="H1936" s="19"/>
    </row>
    <row r="1937">
      <c r="A1937" s="9"/>
      <c r="B1937" s="15"/>
      <c r="C1937" s="9">
        <f>IFERROR(__xludf.DUMMYFUNCTION("""COMPUTED_VALUE"""),45124.3501811111)</f>
        <v>45124.35018</v>
      </c>
      <c r="D1937" s="15">
        <f>IFERROR(__xludf.DUMMYFUNCTION("""COMPUTED_VALUE"""),1.003)</f>
        <v>1.003</v>
      </c>
      <c r="E1937" s="16">
        <f>IFERROR(__xludf.DUMMYFUNCTION("""COMPUTED_VALUE"""),72.0)</f>
        <v>72</v>
      </c>
      <c r="F1937" s="19" t="str">
        <f>IFERROR(__xludf.DUMMYFUNCTION("""COMPUTED_VALUE"""),"BLACK")</f>
        <v>BLACK</v>
      </c>
      <c r="G1937" s="20" t="str">
        <f>IFERROR(__xludf.DUMMYFUNCTION("""COMPUTED_VALUE"""),"Uncle Sams Cider (04/04/2023)")</f>
        <v>Uncle Sams Cider (04/04/2023)</v>
      </c>
      <c r="H1937" s="19"/>
    </row>
    <row r="1938">
      <c r="A1938" s="9"/>
      <c r="B1938" s="15"/>
      <c r="C1938" s="9">
        <f>IFERROR(__xludf.DUMMYFUNCTION("""COMPUTED_VALUE"""),45124.3397617129)</f>
        <v>45124.33976</v>
      </c>
      <c r="D1938" s="15">
        <f>IFERROR(__xludf.DUMMYFUNCTION("""COMPUTED_VALUE"""),1.003)</f>
        <v>1.003</v>
      </c>
      <c r="E1938" s="16">
        <f>IFERROR(__xludf.DUMMYFUNCTION("""COMPUTED_VALUE"""),72.0)</f>
        <v>72</v>
      </c>
      <c r="F1938" s="19" t="str">
        <f>IFERROR(__xludf.DUMMYFUNCTION("""COMPUTED_VALUE"""),"BLACK")</f>
        <v>BLACK</v>
      </c>
      <c r="G1938" s="20" t="str">
        <f>IFERROR(__xludf.DUMMYFUNCTION("""COMPUTED_VALUE"""),"Uncle Sams Cider (04/04/2023)")</f>
        <v>Uncle Sams Cider (04/04/2023)</v>
      </c>
      <c r="H1938" s="19"/>
    </row>
    <row r="1939">
      <c r="A1939" s="9"/>
      <c r="B1939" s="15"/>
      <c r="C1939" s="9">
        <f>IFERROR(__xludf.DUMMYFUNCTION("""COMPUTED_VALUE"""),45124.3293404629)</f>
        <v>45124.32934</v>
      </c>
      <c r="D1939" s="15">
        <f>IFERROR(__xludf.DUMMYFUNCTION("""COMPUTED_VALUE"""),1.004)</f>
        <v>1.004</v>
      </c>
      <c r="E1939" s="16">
        <f>IFERROR(__xludf.DUMMYFUNCTION("""COMPUTED_VALUE"""),72.0)</f>
        <v>72</v>
      </c>
      <c r="F1939" s="19" t="str">
        <f>IFERROR(__xludf.DUMMYFUNCTION("""COMPUTED_VALUE"""),"BLACK")</f>
        <v>BLACK</v>
      </c>
      <c r="G1939" s="20" t="str">
        <f>IFERROR(__xludf.DUMMYFUNCTION("""COMPUTED_VALUE"""),"Uncle Sams Cider (04/04/2023)")</f>
        <v>Uncle Sams Cider (04/04/2023)</v>
      </c>
      <c r="H1939" s="19"/>
    </row>
    <row r="1940">
      <c r="A1940" s="9"/>
      <c r="B1940" s="15"/>
      <c r="C1940" s="9">
        <f>IFERROR(__xludf.DUMMYFUNCTION("""COMPUTED_VALUE"""),45124.3189053472)</f>
        <v>45124.31891</v>
      </c>
      <c r="D1940" s="15">
        <f>IFERROR(__xludf.DUMMYFUNCTION("""COMPUTED_VALUE"""),1.003)</f>
        <v>1.003</v>
      </c>
      <c r="E1940" s="16">
        <f>IFERROR(__xludf.DUMMYFUNCTION("""COMPUTED_VALUE"""),72.0)</f>
        <v>72</v>
      </c>
      <c r="F1940" s="19" t="str">
        <f>IFERROR(__xludf.DUMMYFUNCTION("""COMPUTED_VALUE"""),"BLACK")</f>
        <v>BLACK</v>
      </c>
      <c r="G1940" s="20" t="str">
        <f>IFERROR(__xludf.DUMMYFUNCTION("""COMPUTED_VALUE"""),"Uncle Sams Cider (04/04/2023)")</f>
        <v>Uncle Sams Cider (04/04/2023)</v>
      </c>
      <c r="H1940" s="19"/>
    </row>
    <row r="1941">
      <c r="A1941" s="9"/>
      <c r="B1941" s="15"/>
      <c r="C1941" s="9">
        <f>IFERROR(__xludf.DUMMYFUNCTION("""COMPUTED_VALUE"""),45124.3084840856)</f>
        <v>45124.30848</v>
      </c>
      <c r="D1941" s="15">
        <f>IFERROR(__xludf.DUMMYFUNCTION("""COMPUTED_VALUE"""),1.003)</f>
        <v>1.003</v>
      </c>
      <c r="E1941" s="16">
        <f>IFERROR(__xludf.DUMMYFUNCTION("""COMPUTED_VALUE"""),72.0)</f>
        <v>72</v>
      </c>
      <c r="F1941" s="19" t="str">
        <f>IFERROR(__xludf.DUMMYFUNCTION("""COMPUTED_VALUE"""),"BLACK")</f>
        <v>BLACK</v>
      </c>
      <c r="G1941" s="20" t="str">
        <f>IFERROR(__xludf.DUMMYFUNCTION("""COMPUTED_VALUE"""),"Uncle Sams Cider (04/04/2023)")</f>
        <v>Uncle Sams Cider (04/04/2023)</v>
      </c>
      <c r="H1941" s="19"/>
    </row>
    <row r="1942">
      <c r="A1942" s="9"/>
      <c r="B1942" s="15"/>
      <c r="C1942" s="9">
        <f>IFERROR(__xludf.DUMMYFUNCTION("""COMPUTED_VALUE"""),45124.2980625347)</f>
        <v>45124.29806</v>
      </c>
      <c r="D1942" s="15">
        <f>IFERROR(__xludf.DUMMYFUNCTION("""COMPUTED_VALUE"""),1.003)</f>
        <v>1.003</v>
      </c>
      <c r="E1942" s="16">
        <f>IFERROR(__xludf.DUMMYFUNCTION("""COMPUTED_VALUE"""),72.0)</f>
        <v>72</v>
      </c>
      <c r="F1942" s="19" t="str">
        <f>IFERROR(__xludf.DUMMYFUNCTION("""COMPUTED_VALUE"""),"BLACK")</f>
        <v>BLACK</v>
      </c>
      <c r="G1942" s="20" t="str">
        <f>IFERROR(__xludf.DUMMYFUNCTION("""COMPUTED_VALUE"""),"Uncle Sams Cider (04/04/2023)")</f>
        <v>Uncle Sams Cider (04/04/2023)</v>
      </c>
      <c r="H1942" s="19"/>
    </row>
    <row r="1943">
      <c r="A1943" s="9"/>
      <c r="B1943" s="15"/>
      <c r="C1943" s="9">
        <f>IFERROR(__xludf.DUMMYFUNCTION("""COMPUTED_VALUE"""),45124.2876185648)</f>
        <v>45124.28762</v>
      </c>
      <c r="D1943" s="15">
        <f>IFERROR(__xludf.DUMMYFUNCTION("""COMPUTED_VALUE"""),1.003)</f>
        <v>1.003</v>
      </c>
      <c r="E1943" s="16">
        <f>IFERROR(__xludf.DUMMYFUNCTION("""COMPUTED_VALUE"""),72.0)</f>
        <v>72</v>
      </c>
      <c r="F1943" s="19" t="str">
        <f>IFERROR(__xludf.DUMMYFUNCTION("""COMPUTED_VALUE"""),"BLACK")</f>
        <v>BLACK</v>
      </c>
      <c r="G1943" s="20" t="str">
        <f>IFERROR(__xludf.DUMMYFUNCTION("""COMPUTED_VALUE"""),"Uncle Sams Cider (04/04/2023)")</f>
        <v>Uncle Sams Cider (04/04/2023)</v>
      </c>
      <c r="H1943" s="19"/>
    </row>
    <row r="1944">
      <c r="A1944" s="9"/>
      <c r="B1944" s="15"/>
      <c r="C1944" s="9">
        <f>IFERROR(__xludf.DUMMYFUNCTION("""COMPUTED_VALUE"""),45124.2771982638)</f>
        <v>45124.2772</v>
      </c>
      <c r="D1944" s="15">
        <f>IFERROR(__xludf.DUMMYFUNCTION("""COMPUTED_VALUE"""),1.003)</f>
        <v>1.003</v>
      </c>
      <c r="E1944" s="16">
        <f>IFERROR(__xludf.DUMMYFUNCTION("""COMPUTED_VALUE"""),72.0)</f>
        <v>72</v>
      </c>
      <c r="F1944" s="19" t="str">
        <f>IFERROR(__xludf.DUMMYFUNCTION("""COMPUTED_VALUE"""),"BLACK")</f>
        <v>BLACK</v>
      </c>
      <c r="G1944" s="20" t="str">
        <f>IFERROR(__xludf.DUMMYFUNCTION("""COMPUTED_VALUE"""),"Uncle Sams Cider (04/04/2023)")</f>
        <v>Uncle Sams Cider (04/04/2023)</v>
      </c>
      <c r="H1944" s="19"/>
    </row>
    <row r="1945">
      <c r="A1945" s="9"/>
      <c r="B1945" s="15"/>
      <c r="C1945" s="9">
        <f>IFERROR(__xludf.DUMMYFUNCTION("""COMPUTED_VALUE"""),45124.2667642361)</f>
        <v>45124.26676</v>
      </c>
      <c r="D1945" s="15">
        <f>IFERROR(__xludf.DUMMYFUNCTION("""COMPUTED_VALUE"""),1.003)</f>
        <v>1.003</v>
      </c>
      <c r="E1945" s="16">
        <f>IFERROR(__xludf.DUMMYFUNCTION("""COMPUTED_VALUE"""),72.0)</f>
        <v>72</v>
      </c>
      <c r="F1945" s="19" t="str">
        <f>IFERROR(__xludf.DUMMYFUNCTION("""COMPUTED_VALUE"""),"BLACK")</f>
        <v>BLACK</v>
      </c>
      <c r="G1945" s="20" t="str">
        <f>IFERROR(__xludf.DUMMYFUNCTION("""COMPUTED_VALUE"""),"Uncle Sams Cider (04/04/2023)")</f>
        <v>Uncle Sams Cider (04/04/2023)</v>
      </c>
      <c r="H1945" s="19"/>
    </row>
    <row r="1946">
      <c r="A1946" s="9"/>
      <c r="B1946" s="15"/>
      <c r="C1946" s="9">
        <f>IFERROR(__xludf.DUMMYFUNCTION("""COMPUTED_VALUE"""),45124.2563078588)</f>
        <v>45124.25631</v>
      </c>
      <c r="D1946" s="15">
        <f>IFERROR(__xludf.DUMMYFUNCTION("""COMPUTED_VALUE"""),1.003)</f>
        <v>1.003</v>
      </c>
      <c r="E1946" s="16">
        <f>IFERROR(__xludf.DUMMYFUNCTION("""COMPUTED_VALUE"""),72.0)</f>
        <v>72</v>
      </c>
      <c r="F1946" s="19" t="str">
        <f>IFERROR(__xludf.DUMMYFUNCTION("""COMPUTED_VALUE"""),"BLACK")</f>
        <v>BLACK</v>
      </c>
      <c r="G1946" s="20" t="str">
        <f>IFERROR(__xludf.DUMMYFUNCTION("""COMPUTED_VALUE"""),"Uncle Sams Cider (04/04/2023)")</f>
        <v>Uncle Sams Cider (04/04/2023)</v>
      </c>
      <c r="H1946" s="19"/>
    </row>
    <row r="1947">
      <c r="A1947" s="9"/>
      <c r="B1947" s="15"/>
      <c r="C1947" s="9">
        <f>IFERROR(__xludf.DUMMYFUNCTION("""COMPUTED_VALUE"""),45124.2458749421)</f>
        <v>45124.24587</v>
      </c>
      <c r="D1947" s="15">
        <f>IFERROR(__xludf.DUMMYFUNCTION("""COMPUTED_VALUE"""),1.003)</f>
        <v>1.003</v>
      </c>
      <c r="E1947" s="16">
        <f>IFERROR(__xludf.DUMMYFUNCTION("""COMPUTED_VALUE"""),72.0)</f>
        <v>72</v>
      </c>
      <c r="F1947" s="19" t="str">
        <f>IFERROR(__xludf.DUMMYFUNCTION("""COMPUTED_VALUE"""),"BLACK")</f>
        <v>BLACK</v>
      </c>
      <c r="G1947" s="20" t="str">
        <f>IFERROR(__xludf.DUMMYFUNCTION("""COMPUTED_VALUE"""),"Uncle Sams Cider (04/04/2023)")</f>
        <v>Uncle Sams Cider (04/04/2023)</v>
      </c>
      <c r="H1947" s="19"/>
    </row>
    <row r="1948">
      <c r="A1948" s="9"/>
      <c r="B1948" s="15"/>
      <c r="C1948" s="9">
        <f>IFERROR(__xludf.DUMMYFUNCTION("""COMPUTED_VALUE"""),45124.2354440509)</f>
        <v>45124.23544</v>
      </c>
      <c r="D1948" s="15">
        <f>IFERROR(__xludf.DUMMYFUNCTION("""COMPUTED_VALUE"""),1.003)</f>
        <v>1.003</v>
      </c>
      <c r="E1948" s="16">
        <f>IFERROR(__xludf.DUMMYFUNCTION("""COMPUTED_VALUE"""),72.0)</f>
        <v>72</v>
      </c>
      <c r="F1948" s="19" t="str">
        <f>IFERROR(__xludf.DUMMYFUNCTION("""COMPUTED_VALUE"""),"BLACK")</f>
        <v>BLACK</v>
      </c>
      <c r="G1948" s="20" t="str">
        <f>IFERROR(__xludf.DUMMYFUNCTION("""COMPUTED_VALUE"""),"Uncle Sams Cider (04/04/2023)")</f>
        <v>Uncle Sams Cider (04/04/2023)</v>
      </c>
      <c r="H1948" s="19"/>
    </row>
    <row r="1949">
      <c r="A1949" s="9"/>
      <c r="B1949" s="15"/>
      <c r="C1949" s="9">
        <f>IFERROR(__xludf.DUMMYFUNCTION("""COMPUTED_VALUE"""),45124.2250095833)</f>
        <v>45124.22501</v>
      </c>
      <c r="D1949" s="15">
        <f>IFERROR(__xludf.DUMMYFUNCTION("""COMPUTED_VALUE"""),1.003)</f>
        <v>1.003</v>
      </c>
      <c r="E1949" s="16">
        <f>IFERROR(__xludf.DUMMYFUNCTION("""COMPUTED_VALUE"""),72.0)</f>
        <v>72</v>
      </c>
      <c r="F1949" s="19" t="str">
        <f>IFERROR(__xludf.DUMMYFUNCTION("""COMPUTED_VALUE"""),"BLACK")</f>
        <v>BLACK</v>
      </c>
      <c r="G1949" s="20" t="str">
        <f>IFERROR(__xludf.DUMMYFUNCTION("""COMPUTED_VALUE"""),"Uncle Sams Cider (04/04/2023)")</f>
        <v>Uncle Sams Cider (04/04/2023)</v>
      </c>
      <c r="H1949" s="19"/>
    </row>
    <row r="1950">
      <c r="A1950" s="9"/>
      <c r="B1950" s="15"/>
      <c r="C1950" s="9">
        <f>IFERROR(__xludf.DUMMYFUNCTION("""COMPUTED_VALUE"""),45124.2145898611)</f>
        <v>45124.21459</v>
      </c>
      <c r="D1950" s="15">
        <f>IFERROR(__xludf.DUMMYFUNCTION("""COMPUTED_VALUE"""),1.003)</f>
        <v>1.003</v>
      </c>
      <c r="E1950" s="16">
        <f>IFERROR(__xludf.DUMMYFUNCTION("""COMPUTED_VALUE"""),72.0)</f>
        <v>72</v>
      </c>
      <c r="F1950" s="19" t="str">
        <f>IFERROR(__xludf.DUMMYFUNCTION("""COMPUTED_VALUE"""),"BLACK")</f>
        <v>BLACK</v>
      </c>
      <c r="G1950" s="20" t="str">
        <f>IFERROR(__xludf.DUMMYFUNCTION("""COMPUTED_VALUE"""),"Uncle Sams Cider (04/04/2023)")</f>
        <v>Uncle Sams Cider (04/04/2023)</v>
      </c>
      <c r="H1950" s="19"/>
    </row>
    <row r="1951">
      <c r="A1951" s="9"/>
      <c r="B1951" s="15"/>
      <c r="C1951" s="9">
        <f>IFERROR(__xludf.DUMMYFUNCTION("""COMPUTED_VALUE"""),45124.2041678125)</f>
        <v>45124.20417</v>
      </c>
      <c r="D1951" s="15">
        <f>IFERROR(__xludf.DUMMYFUNCTION("""COMPUTED_VALUE"""),1.003)</f>
        <v>1.003</v>
      </c>
      <c r="E1951" s="16">
        <f>IFERROR(__xludf.DUMMYFUNCTION("""COMPUTED_VALUE"""),72.0)</f>
        <v>72</v>
      </c>
      <c r="F1951" s="19" t="str">
        <f>IFERROR(__xludf.DUMMYFUNCTION("""COMPUTED_VALUE"""),"BLACK")</f>
        <v>BLACK</v>
      </c>
      <c r="G1951" s="20" t="str">
        <f>IFERROR(__xludf.DUMMYFUNCTION("""COMPUTED_VALUE"""),"Uncle Sams Cider (04/04/2023)")</f>
        <v>Uncle Sams Cider (04/04/2023)</v>
      </c>
      <c r="H1951" s="19"/>
    </row>
    <row r="1952">
      <c r="A1952" s="9"/>
      <c r="B1952" s="15"/>
      <c r="C1952" s="9">
        <f>IFERROR(__xludf.DUMMYFUNCTION("""COMPUTED_VALUE"""),45124.193746493)</f>
        <v>45124.19375</v>
      </c>
      <c r="D1952" s="15">
        <f>IFERROR(__xludf.DUMMYFUNCTION("""COMPUTED_VALUE"""),1.003)</f>
        <v>1.003</v>
      </c>
      <c r="E1952" s="16">
        <f>IFERROR(__xludf.DUMMYFUNCTION("""COMPUTED_VALUE"""),72.0)</f>
        <v>72</v>
      </c>
      <c r="F1952" s="19" t="str">
        <f>IFERROR(__xludf.DUMMYFUNCTION("""COMPUTED_VALUE"""),"BLACK")</f>
        <v>BLACK</v>
      </c>
      <c r="G1952" s="20" t="str">
        <f>IFERROR(__xludf.DUMMYFUNCTION("""COMPUTED_VALUE"""),"Uncle Sams Cider (04/04/2023)")</f>
        <v>Uncle Sams Cider (04/04/2023)</v>
      </c>
      <c r="H1952" s="19"/>
    </row>
    <row r="1953">
      <c r="A1953" s="9"/>
      <c r="B1953" s="15"/>
      <c r="C1953" s="9">
        <f>IFERROR(__xludf.DUMMYFUNCTION("""COMPUTED_VALUE"""),45124.1833250231)</f>
        <v>45124.18333</v>
      </c>
      <c r="D1953" s="15">
        <f>IFERROR(__xludf.DUMMYFUNCTION("""COMPUTED_VALUE"""),1.004)</f>
        <v>1.004</v>
      </c>
      <c r="E1953" s="16">
        <f>IFERROR(__xludf.DUMMYFUNCTION("""COMPUTED_VALUE"""),72.0)</f>
        <v>72</v>
      </c>
      <c r="F1953" s="19" t="str">
        <f>IFERROR(__xludf.DUMMYFUNCTION("""COMPUTED_VALUE"""),"BLACK")</f>
        <v>BLACK</v>
      </c>
      <c r="G1953" s="20" t="str">
        <f>IFERROR(__xludf.DUMMYFUNCTION("""COMPUTED_VALUE"""),"Uncle Sams Cider (04/04/2023)")</f>
        <v>Uncle Sams Cider (04/04/2023)</v>
      </c>
      <c r="H1953" s="19"/>
    </row>
    <row r="1954">
      <c r="A1954" s="9"/>
      <c r="B1954" s="15"/>
      <c r="C1954" s="9">
        <f>IFERROR(__xludf.DUMMYFUNCTION("""COMPUTED_VALUE"""),45124.1729042824)</f>
        <v>45124.1729</v>
      </c>
      <c r="D1954" s="15">
        <f>IFERROR(__xludf.DUMMYFUNCTION("""COMPUTED_VALUE"""),1.003)</f>
        <v>1.003</v>
      </c>
      <c r="E1954" s="16">
        <f>IFERROR(__xludf.DUMMYFUNCTION("""COMPUTED_VALUE"""),72.0)</f>
        <v>72</v>
      </c>
      <c r="F1954" s="19" t="str">
        <f>IFERROR(__xludf.DUMMYFUNCTION("""COMPUTED_VALUE"""),"BLACK")</f>
        <v>BLACK</v>
      </c>
      <c r="G1954" s="20" t="str">
        <f>IFERROR(__xludf.DUMMYFUNCTION("""COMPUTED_VALUE"""),"Uncle Sams Cider (04/04/2023)")</f>
        <v>Uncle Sams Cider (04/04/2023)</v>
      </c>
      <c r="H1954" s="19"/>
    </row>
    <row r="1955">
      <c r="A1955" s="9"/>
      <c r="B1955" s="15"/>
      <c r="C1955" s="9">
        <f>IFERROR(__xludf.DUMMYFUNCTION("""COMPUTED_VALUE"""),45124.1624823611)</f>
        <v>45124.16248</v>
      </c>
      <c r="D1955" s="15">
        <f>IFERROR(__xludf.DUMMYFUNCTION("""COMPUTED_VALUE"""),1.003)</f>
        <v>1.003</v>
      </c>
      <c r="E1955" s="16">
        <f>IFERROR(__xludf.DUMMYFUNCTION("""COMPUTED_VALUE"""),72.0)</f>
        <v>72</v>
      </c>
      <c r="F1955" s="19" t="str">
        <f>IFERROR(__xludf.DUMMYFUNCTION("""COMPUTED_VALUE"""),"BLACK")</f>
        <v>BLACK</v>
      </c>
      <c r="G1955" s="20" t="str">
        <f>IFERROR(__xludf.DUMMYFUNCTION("""COMPUTED_VALUE"""),"Uncle Sams Cider (04/04/2023)")</f>
        <v>Uncle Sams Cider (04/04/2023)</v>
      </c>
      <c r="H1955" s="19"/>
    </row>
    <row r="1956">
      <c r="A1956" s="9"/>
      <c r="B1956" s="15"/>
      <c r="C1956" s="9">
        <f>IFERROR(__xludf.DUMMYFUNCTION("""COMPUTED_VALUE"""),45124.1520610648)</f>
        <v>45124.15206</v>
      </c>
      <c r="D1956" s="15">
        <f>IFERROR(__xludf.DUMMYFUNCTION("""COMPUTED_VALUE"""),1.003)</f>
        <v>1.003</v>
      </c>
      <c r="E1956" s="16">
        <f>IFERROR(__xludf.DUMMYFUNCTION("""COMPUTED_VALUE"""),72.0)</f>
        <v>72</v>
      </c>
      <c r="F1956" s="19" t="str">
        <f>IFERROR(__xludf.DUMMYFUNCTION("""COMPUTED_VALUE"""),"BLACK")</f>
        <v>BLACK</v>
      </c>
      <c r="G1956" s="20" t="str">
        <f>IFERROR(__xludf.DUMMYFUNCTION("""COMPUTED_VALUE"""),"Uncle Sams Cider (04/04/2023)")</f>
        <v>Uncle Sams Cider (04/04/2023)</v>
      </c>
      <c r="H1956" s="19"/>
    </row>
    <row r="1957">
      <c r="A1957" s="9"/>
      <c r="B1957" s="15"/>
      <c r="C1957" s="9">
        <f>IFERROR(__xludf.DUMMYFUNCTION("""COMPUTED_VALUE"""),45124.1416276504)</f>
        <v>45124.14163</v>
      </c>
      <c r="D1957" s="15">
        <f>IFERROR(__xludf.DUMMYFUNCTION("""COMPUTED_VALUE"""),1.003)</f>
        <v>1.003</v>
      </c>
      <c r="E1957" s="16">
        <f>IFERROR(__xludf.DUMMYFUNCTION("""COMPUTED_VALUE"""),72.0)</f>
        <v>72</v>
      </c>
      <c r="F1957" s="19" t="str">
        <f>IFERROR(__xludf.DUMMYFUNCTION("""COMPUTED_VALUE"""),"BLACK")</f>
        <v>BLACK</v>
      </c>
      <c r="G1957" s="20" t="str">
        <f>IFERROR(__xludf.DUMMYFUNCTION("""COMPUTED_VALUE"""),"Uncle Sams Cider (04/04/2023)")</f>
        <v>Uncle Sams Cider (04/04/2023)</v>
      </c>
      <c r="H1957" s="19"/>
    </row>
    <row r="1958">
      <c r="A1958" s="9"/>
      <c r="B1958" s="15"/>
      <c r="C1958" s="9">
        <f>IFERROR(__xludf.DUMMYFUNCTION("""COMPUTED_VALUE"""),45124.1312054861)</f>
        <v>45124.13121</v>
      </c>
      <c r="D1958" s="15">
        <f>IFERROR(__xludf.DUMMYFUNCTION("""COMPUTED_VALUE"""),1.003)</f>
        <v>1.003</v>
      </c>
      <c r="E1958" s="16">
        <f>IFERROR(__xludf.DUMMYFUNCTION("""COMPUTED_VALUE"""),72.0)</f>
        <v>72</v>
      </c>
      <c r="F1958" s="19" t="str">
        <f>IFERROR(__xludf.DUMMYFUNCTION("""COMPUTED_VALUE"""),"BLACK")</f>
        <v>BLACK</v>
      </c>
      <c r="G1958" s="20" t="str">
        <f>IFERROR(__xludf.DUMMYFUNCTION("""COMPUTED_VALUE"""),"Uncle Sams Cider (04/04/2023)")</f>
        <v>Uncle Sams Cider (04/04/2023)</v>
      </c>
      <c r="H1958" s="19"/>
    </row>
    <row r="1959">
      <c r="A1959" s="9"/>
      <c r="B1959" s="15"/>
      <c r="C1959" s="9">
        <f>IFERROR(__xludf.DUMMYFUNCTION("""COMPUTED_VALUE"""),45124.1207833912)</f>
        <v>45124.12078</v>
      </c>
      <c r="D1959" s="15">
        <f>IFERROR(__xludf.DUMMYFUNCTION("""COMPUTED_VALUE"""),1.003)</f>
        <v>1.003</v>
      </c>
      <c r="E1959" s="16">
        <f>IFERROR(__xludf.DUMMYFUNCTION("""COMPUTED_VALUE"""),72.0)</f>
        <v>72</v>
      </c>
      <c r="F1959" s="19" t="str">
        <f>IFERROR(__xludf.DUMMYFUNCTION("""COMPUTED_VALUE"""),"BLACK")</f>
        <v>BLACK</v>
      </c>
      <c r="G1959" s="20" t="str">
        <f>IFERROR(__xludf.DUMMYFUNCTION("""COMPUTED_VALUE"""),"Uncle Sams Cider (04/04/2023)")</f>
        <v>Uncle Sams Cider (04/04/2023)</v>
      </c>
      <c r="H1959" s="19"/>
    </row>
    <row r="1960">
      <c r="A1960" s="9"/>
      <c r="B1960" s="15"/>
      <c r="C1960" s="9">
        <f>IFERROR(__xludf.DUMMYFUNCTION("""COMPUTED_VALUE"""),45124.1103630092)</f>
        <v>45124.11036</v>
      </c>
      <c r="D1960" s="15">
        <f>IFERROR(__xludf.DUMMYFUNCTION("""COMPUTED_VALUE"""),1.003)</f>
        <v>1.003</v>
      </c>
      <c r="E1960" s="16">
        <f>IFERROR(__xludf.DUMMYFUNCTION("""COMPUTED_VALUE"""),72.0)</f>
        <v>72</v>
      </c>
      <c r="F1960" s="19" t="str">
        <f>IFERROR(__xludf.DUMMYFUNCTION("""COMPUTED_VALUE"""),"BLACK")</f>
        <v>BLACK</v>
      </c>
      <c r="G1960" s="20" t="str">
        <f>IFERROR(__xludf.DUMMYFUNCTION("""COMPUTED_VALUE"""),"Uncle Sams Cider (04/04/2023)")</f>
        <v>Uncle Sams Cider (04/04/2023)</v>
      </c>
      <c r="H1960" s="19"/>
    </row>
    <row r="1961">
      <c r="A1961" s="9"/>
      <c r="B1961" s="15"/>
      <c r="C1961" s="9">
        <f>IFERROR(__xludf.DUMMYFUNCTION("""COMPUTED_VALUE"""),45124.0999425347)</f>
        <v>45124.09994</v>
      </c>
      <c r="D1961" s="15">
        <f>IFERROR(__xludf.DUMMYFUNCTION("""COMPUTED_VALUE"""),1.003)</f>
        <v>1.003</v>
      </c>
      <c r="E1961" s="16">
        <f>IFERROR(__xludf.DUMMYFUNCTION("""COMPUTED_VALUE"""),72.0)</f>
        <v>72</v>
      </c>
      <c r="F1961" s="19" t="str">
        <f>IFERROR(__xludf.DUMMYFUNCTION("""COMPUTED_VALUE"""),"BLACK")</f>
        <v>BLACK</v>
      </c>
      <c r="G1961" s="20" t="str">
        <f>IFERROR(__xludf.DUMMYFUNCTION("""COMPUTED_VALUE"""),"Uncle Sams Cider (04/04/2023)")</f>
        <v>Uncle Sams Cider (04/04/2023)</v>
      </c>
      <c r="H1961" s="19"/>
    </row>
    <row r="1962">
      <c r="A1962" s="9"/>
      <c r="B1962" s="15"/>
      <c r="C1962" s="9">
        <f>IFERROR(__xludf.DUMMYFUNCTION("""COMPUTED_VALUE"""),45124.0895199189)</f>
        <v>45124.08952</v>
      </c>
      <c r="D1962" s="15">
        <f>IFERROR(__xludf.DUMMYFUNCTION("""COMPUTED_VALUE"""),1.003)</f>
        <v>1.003</v>
      </c>
      <c r="E1962" s="16">
        <f>IFERROR(__xludf.DUMMYFUNCTION("""COMPUTED_VALUE"""),72.0)</f>
        <v>72</v>
      </c>
      <c r="F1962" s="19" t="str">
        <f>IFERROR(__xludf.DUMMYFUNCTION("""COMPUTED_VALUE"""),"BLACK")</f>
        <v>BLACK</v>
      </c>
      <c r="G1962" s="20" t="str">
        <f>IFERROR(__xludf.DUMMYFUNCTION("""COMPUTED_VALUE"""),"Uncle Sams Cider (04/04/2023)")</f>
        <v>Uncle Sams Cider (04/04/2023)</v>
      </c>
      <c r="H1962" s="19"/>
    </row>
    <row r="1963">
      <c r="A1963" s="9"/>
      <c r="B1963" s="15"/>
      <c r="C1963" s="9">
        <f>IFERROR(__xludf.DUMMYFUNCTION("""COMPUTED_VALUE"""),45124.0790997685)</f>
        <v>45124.0791</v>
      </c>
      <c r="D1963" s="15">
        <f>IFERROR(__xludf.DUMMYFUNCTION("""COMPUTED_VALUE"""),1.004)</f>
        <v>1.004</v>
      </c>
      <c r="E1963" s="16">
        <f>IFERROR(__xludf.DUMMYFUNCTION("""COMPUTED_VALUE"""),72.0)</f>
        <v>72</v>
      </c>
      <c r="F1963" s="19" t="str">
        <f>IFERROR(__xludf.DUMMYFUNCTION("""COMPUTED_VALUE"""),"BLACK")</f>
        <v>BLACK</v>
      </c>
      <c r="G1963" s="20" t="str">
        <f>IFERROR(__xludf.DUMMYFUNCTION("""COMPUTED_VALUE"""),"Uncle Sams Cider (04/04/2023)")</f>
        <v>Uncle Sams Cider (04/04/2023)</v>
      </c>
      <c r="H1963" s="19"/>
    </row>
    <row r="1964">
      <c r="A1964" s="9"/>
      <c r="B1964" s="15"/>
      <c r="C1964" s="9">
        <f>IFERROR(__xludf.DUMMYFUNCTION("""COMPUTED_VALUE"""),45124.0582557291)</f>
        <v>45124.05826</v>
      </c>
      <c r="D1964" s="15">
        <f>IFERROR(__xludf.DUMMYFUNCTION("""COMPUTED_VALUE"""),1.003)</f>
        <v>1.003</v>
      </c>
      <c r="E1964" s="16">
        <f>IFERROR(__xludf.DUMMYFUNCTION("""COMPUTED_VALUE"""),72.0)</f>
        <v>72</v>
      </c>
      <c r="F1964" s="19" t="str">
        <f>IFERROR(__xludf.DUMMYFUNCTION("""COMPUTED_VALUE"""),"BLACK")</f>
        <v>BLACK</v>
      </c>
      <c r="G1964" s="20" t="str">
        <f>IFERROR(__xludf.DUMMYFUNCTION("""COMPUTED_VALUE"""),"Uncle Sams Cider (04/04/2023)")</f>
        <v>Uncle Sams Cider (04/04/2023)</v>
      </c>
      <c r="H1964" s="19"/>
    </row>
    <row r="1965">
      <c r="A1965" s="9"/>
      <c r="B1965" s="15"/>
      <c r="C1965" s="9">
        <f>IFERROR(__xludf.DUMMYFUNCTION("""COMPUTED_VALUE"""),45124.0478222222)</f>
        <v>45124.04782</v>
      </c>
      <c r="D1965" s="15">
        <f>IFERROR(__xludf.DUMMYFUNCTION("""COMPUTED_VALUE"""),1.003)</f>
        <v>1.003</v>
      </c>
      <c r="E1965" s="16">
        <f>IFERROR(__xludf.DUMMYFUNCTION("""COMPUTED_VALUE"""),72.0)</f>
        <v>72</v>
      </c>
      <c r="F1965" s="19" t="str">
        <f>IFERROR(__xludf.DUMMYFUNCTION("""COMPUTED_VALUE"""),"BLACK")</f>
        <v>BLACK</v>
      </c>
      <c r="G1965" s="20" t="str">
        <f>IFERROR(__xludf.DUMMYFUNCTION("""COMPUTED_VALUE"""),"Uncle Sams Cider (04/04/2023)")</f>
        <v>Uncle Sams Cider (04/04/2023)</v>
      </c>
      <c r="H1965" s="19"/>
    </row>
    <row r="1966">
      <c r="A1966" s="9"/>
      <c r="B1966" s="15"/>
      <c r="C1966" s="9">
        <f>IFERROR(__xludf.DUMMYFUNCTION("""COMPUTED_VALUE"""),45124.0374015162)</f>
        <v>45124.0374</v>
      </c>
      <c r="D1966" s="15">
        <f>IFERROR(__xludf.DUMMYFUNCTION("""COMPUTED_VALUE"""),1.003)</f>
        <v>1.003</v>
      </c>
      <c r="E1966" s="16">
        <f>IFERROR(__xludf.DUMMYFUNCTION("""COMPUTED_VALUE"""),72.0)</f>
        <v>72</v>
      </c>
      <c r="F1966" s="19" t="str">
        <f>IFERROR(__xludf.DUMMYFUNCTION("""COMPUTED_VALUE"""),"BLACK")</f>
        <v>BLACK</v>
      </c>
      <c r="G1966" s="20" t="str">
        <f>IFERROR(__xludf.DUMMYFUNCTION("""COMPUTED_VALUE"""),"Uncle Sams Cider (04/04/2023)")</f>
        <v>Uncle Sams Cider (04/04/2023)</v>
      </c>
      <c r="H1966" s="19"/>
    </row>
    <row r="1967">
      <c r="A1967" s="9"/>
      <c r="B1967" s="15"/>
      <c r="C1967" s="9">
        <f>IFERROR(__xludf.DUMMYFUNCTION("""COMPUTED_VALUE"""),45124.0269803009)</f>
        <v>45124.02698</v>
      </c>
      <c r="D1967" s="15">
        <f>IFERROR(__xludf.DUMMYFUNCTION("""COMPUTED_VALUE"""),1.003)</f>
        <v>1.003</v>
      </c>
      <c r="E1967" s="16">
        <f>IFERROR(__xludf.DUMMYFUNCTION("""COMPUTED_VALUE"""),72.0)</f>
        <v>72</v>
      </c>
      <c r="F1967" s="19" t="str">
        <f>IFERROR(__xludf.DUMMYFUNCTION("""COMPUTED_VALUE"""),"BLACK")</f>
        <v>BLACK</v>
      </c>
      <c r="G1967" s="20" t="str">
        <f>IFERROR(__xludf.DUMMYFUNCTION("""COMPUTED_VALUE"""),"Uncle Sams Cider (04/04/2023)")</f>
        <v>Uncle Sams Cider (04/04/2023)</v>
      </c>
      <c r="H1967" s="19"/>
    </row>
    <row r="1968">
      <c r="A1968" s="9"/>
      <c r="B1968" s="15"/>
      <c r="C1968" s="9">
        <f>IFERROR(__xludf.DUMMYFUNCTION("""COMPUTED_VALUE"""),45124.0165588078)</f>
        <v>45124.01656</v>
      </c>
      <c r="D1968" s="15">
        <f>IFERROR(__xludf.DUMMYFUNCTION("""COMPUTED_VALUE"""),1.003)</f>
        <v>1.003</v>
      </c>
      <c r="E1968" s="16">
        <f>IFERROR(__xludf.DUMMYFUNCTION("""COMPUTED_VALUE"""),72.0)</f>
        <v>72</v>
      </c>
      <c r="F1968" s="19" t="str">
        <f>IFERROR(__xludf.DUMMYFUNCTION("""COMPUTED_VALUE"""),"BLACK")</f>
        <v>BLACK</v>
      </c>
      <c r="G1968" s="20" t="str">
        <f>IFERROR(__xludf.DUMMYFUNCTION("""COMPUTED_VALUE"""),"Uncle Sams Cider (04/04/2023)")</f>
        <v>Uncle Sams Cider (04/04/2023)</v>
      </c>
      <c r="H1968" s="19"/>
    </row>
    <row r="1969">
      <c r="A1969" s="9"/>
      <c r="B1969" s="15"/>
      <c r="C1969" s="9">
        <f>IFERROR(__xludf.DUMMYFUNCTION("""COMPUTED_VALUE"""),45124.0061368518)</f>
        <v>45124.00614</v>
      </c>
      <c r="D1969" s="15">
        <f>IFERROR(__xludf.DUMMYFUNCTION("""COMPUTED_VALUE"""),1.003)</f>
        <v>1.003</v>
      </c>
      <c r="E1969" s="16">
        <f>IFERROR(__xludf.DUMMYFUNCTION("""COMPUTED_VALUE"""),72.0)</f>
        <v>72</v>
      </c>
      <c r="F1969" s="19" t="str">
        <f>IFERROR(__xludf.DUMMYFUNCTION("""COMPUTED_VALUE"""),"BLACK")</f>
        <v>BLACK</v>
      </c>
      <c r="G1969" s="20" t="str">
        <f>IFERROR(__xludf.DUMMYFUNCTION("""COMPUTED_VALUE"""),"Uncle Sams Cider (04/04/2023)")</f>
        <v>Uncle Sams Cider (04/04/2023)</v>
      </c>
      <c r="H1969" s="19"/>
    </row>
    <row r="1970">
      <c r="A1970" s="9"/>
      <c r="B1970" s="15"/>
      <c r="C1970" s="9">
        <f>IFERROR(__xludf.DUMMYFUNCTION("""COMPUTED_VALUE"""),45123.9957172106)</f>
        <v>45123.99572</v>
      </c>
      <c r="D1970" s="15">
        <f>IFERROR(__xludf.DUMMYFUNCTION("""COMPUTED_VALUE"""),1.004)</f>
        <v>1.004</v>
      </c>
      <c r="E1970" s="16">
        <f>IFERROR(__xludf.DUMMYFUNCTION("""COMPUTED_VALUE"""),72.0)</f>
        <v>72</v>
      </c>
      <c r="F1970" s="19" t="str">
        <f>IFERROR(__xludf.DUMMYFUNCTION("""COMPUTED_VALUE"""),"BLACK")</f>
        <v>BLACK</v>
      </c>
      <c r="G1970" s="20" t="str">
        <f>IFERROR(__xludf.DUMMYFUNCTION("""COMPUTED_VALUE"""),"Uncle Sams Cider (04/04/2023)")</f>
        <v>Uncle Sams Cider (04/04/2023)</v>
      </c>
      <c r="H1970" s="19"/>
    </row>
    <row r="1971">
      <c r="A1971" s="9"/>
      <c r="B1971" s="15"/>
      <c r="C1971" s="9">
        <f>IFERROR(__xludf.DUMMYFUNCTION("""COMPUTED_VALUE"""),45123.9852964583)</f>
        <v>45123.9853</v>
      </c>
      <c r="D1971" s="15">
        <f>IFERROR(__xludf.DUMMYFUNCTION("""COMPUTED_VALUE"""),1.004)</f>
        <v>1.004</v>
      </c>
      <c r="E1971" s="16">
        <f>IFERROR(__xludf.DUMMYFUNCTION("""COMPUTED_VALUE"""),72.0)</f>
        <v>72</v>
      </c>
      <c r="F1971" s="19" t="str">
        <f>IFERROR(__xludf.DUMMYFUNCTION("""COMPUTED_VALUE"""),"BLACK")</f>
        <v>BLACK</v>
      </c>
      <c r="G1971" s="20" t="str">
        <f>IFERROR(__xludf.DUMMYFUNCTION("""COMPUTED_VALUE"""),"Uncle Sams Cider (04/04/2023)")</f>
        <v>Uncle Sams Cider (04/04/2023)</v>
      </c>
      <c r="H1971" s="19"/>
    </row>
    <row r="1972">
      <c r="A1972" s="9"/>
      <c r="B1972" s="15"/>
      <c r="C1972" s="9">
        <f>IFERROR(__xludf.DUMMYFUNCTION("""COMPUTED_VALUE"""),45123.9748628125)</f>
        <v>45123.97486</v>
      </c>
      <c r="D1972" s="15">
        <f>IFERROR(__xludf.DUMMYFUNCTION("""COMPUTED_VALUE"""),1.003)</f>
        <v>1.003</v>
      </c>
      <c r="E1972" s="16">
        <f>IFERROR(__xludf.DUMMYFUNCTION("""COMPUTED_VALUE"""),72.0)</f>
        <v>72</v>
      </c>
      <c r="F1972" s="19" t="str">
        <f>IFERROR(__xludf.DUMMYFUNCTION("""COMPUTED_VALUE"""),"BLACK")</f>
        <v>BLACK</v>
      </c>
      <c r="G1972" s="20" t="str">
        <f>IFERROR(__xludf.DUMMYFUNCTION("""COMPUTED_VALUE"""),"Uncle Sams Cider (04/04/2023)")</f>
        <v>Uncle Sams Cider (04/04/2023)</v>
      </c>
      <c r="H1972" s="19"/>
    </row>
    <row r="1973">
      <c r="A1973" s="9"/>
      <c r="B1973" s="15"/>
      <c r="C1973" s="9">
        <f>IFERROR(__xludf.DUMMYFUNCTION("""COMPUTED_VALUE"""),45123.9644406713)</f>
        <v>45123.96444</v>
      </c>
      <c r="D1973" s="15">
        <f>IFERROR(__xludf.DUMMYFUNCTION("""COMPUTED_VALUE"""),1.003)</f>
        <v>1.003</v>
      </c>
      <c r="E1973" s="16">
        <f>IFERROR(__xludf.DUMMYFUNCTION("""COMPUTED_VALUE"""),72.0)</f>
        <v>72</v>
      </c>
      <c r="F1973" s="19" t="str">
        <f>IFERROR(__xludf.DUMMYFUNCTION("""COMPUTED_VALUE"""),"BLACK")</f>
        <v>BLACK</v>
      </c>
      <c r="G1973" s="20" t="str">
        <f>IFERROR(__xludf.DUMMYFUNCTION("""COMPUTED_VALUE"""),"Uncle Sams Cider (04/04/2023)")</f>
        <v>Uncle Sams Cider (04/04/2023)</v>
      </c>
      <c r="H1973" s="19"/>
    </row>
    <row r="1974">
      <c r="A1974" s="9"/>
      <c r="B1974" s="15"/>
      <c r="C1974" s="9">
        <f>IFERROR(__xludf.DUMMYFUNCTION("""COMPUTED_VALUE"""),45123.9540195023)</f>
        <v>45123.95402</v>
      </c>
      <c r="D1974" s="15">
        <f>IFERROR(__xludf.DUMMYFUNCTION("""COMPUTED_VALUE"""),1.003)</f>
        <v>1.003</v>
      </c>
      <c r="E1974" s="16">
        <f>IFERROR(__xludf.DUMMYFUNCTION("""COMPUTED_VALUE"""),72.0)</f>
        <v>72</v>
      </c>
      <c r="F1974" s="19" t="str">
        <f>IFERROR(__xludf.DUMMYFUNCTION("""COMPUTED_VALUE"""),"BLACK")</f>
        <v>BLACK</v>
      </c>
      <c r="G1974" s="20" t="str">
        <f>IFERROR(__xludf.DUMMYFUNCTION("""COMPUTED_VALUE"""),"Uncle Sams Cider (04/04/2023)")</f>
        <v>Uncle Sams Cider (04/04/2023)</v>
      </c>
      <c r="H1974" s="19"/>
    </row>
    <row r="1975">
      <c r="A1975" s="9"/>
      <c r="B1975" s="15"/>
      <c r="C1975" s="9">
        <f>IFERROR(__xludf.DUMMYFUNCTION("""COMPUTED_VALUE"""),45123.9435987152)</f>
        <v>45123.9436</v>
      </c>
      <c r="D1975" s="15">
        <f>IFERROR(__xludf.DUMMYFUNCTION("""COMPUTED_VALUE"""),1.003)</f>
        <v>1.003</v>
      </c>
      <c r="E1975" s="16">
        <f>IFERROR(__xludf.DUMMYFUNCTION("""COMPUTED_VALUE"""),72.0)</f>
        <v>72</v>
      </c>
      <c r="F1975" s="19" t="str">
        <f>IFERROR(__xludf.DUMMYFUNCTION("""COMPUTED_VALUE"""),"BLACK")</f>
        <v>BLACK</v>
      </c>
      <c r="G1975" s="20" t="str">
        <f>IFERROR(__xludf.DUMMYFUNCTION("""COMPUTED_VALUE"""),"Uncle Sams Cider (04/04/2023)")</f>
        <v>Uncle Sams Cider (04/04/2023)</v>
      </c>
      <c r="H1975" s="19"/>
    </row>
    <row r="1976">
      <c r="A1976" s="9"/>
      <c r="B1976" s="15"/>
      <c r="C1976" s="9">
        <f>IFERROR(__xludf.DUMMYFUNCTION("""COMPUTED_VALUE"""),45123.9331657291)</f>
        <v>45123.93317</v>
      </c>
      <c r="D1976" s="15">
        <f>IFERROR(__xludf.DUMMYFUNCTION("""COMPUTED_VALUE"""),1.003)</f>
        <v>1.003</v>
      </c>
      <c r="E1976" s="16">
        <f>IFERROR(__xludf.DUMMYFUNCTION("""COMPUTED_VALUE"""),72.0)</f>
        <v>72</v>
      </c>
      <c r="F1976" s="19" t="str">
        <f>IFERROR(__xludf.DUMMYFUNCTION("""COMPUTED_VALUE"""),"BLACK")</f>
        <v>BLACK</v>
      </c>
      <c r="G1976" s="20" t="str">
        <f>IFERROR(__xludf.DUMMYFUNCTION("""COMPUTED_VALUE"""),"Uncle Sams Cider (04/04/2023)")</f>
        <v>Uncle Sams Cider (04/04/2023)</v>
      </c>
      <c r="H1976" s="19"/>
    </row>
    <row r="1977">
      <c r="A1977" s="9"/>
      <c r="B1977" s="15"/>
      <c r="C1977" s="9">
        <f>IFERROR(__xludf.DUMMYFUNCTION("""COMPUTED_VALUE"""),45123.9227439814)</f>
        <v>45123.92274</v>
      </c>
      <c r="D1977" s="15">
        <f>IFERROR(__xludf.DUMMYFUNCTION("""COMPUTED_VALUE"""),1.003)</f>
        <v>1.003</v>
      </c>
      <c r="E1977" s="16">
        <f>IFERROR(__xludf.DUMMYFUNCTION("""COMPUTED_VALUE"""),72.0)</f>
        <v>72</v>
      </c>
      <c r="F1977" s="19" t="str">
        <f>IFERROR(__xludf.DUMMYFUNCTION("""COMPUTED_VALUE"""),"BLACK")</f>
        <v>BLACK</v>
      </c>
      <c r="G1977" s="20" t="str">
        <f>IFERROR(__xludf.DUMMYFUNCTION("""COMPUTED_VALUE"""),"Uncle Sams Cider (04/04/2023)")</f>
        <v>Uncle Sams Cider (04/04/2023)</v>
      </c>
      <c r="H1977" s="19"/>
    </row>
    <row r="1978">
      <c r="A1978" s="9"/>
      <c r="B1978" s="15"/>
      <c r="C1978" s="9">
        <f>IFERROR(__xludf.DUMMYFUNCTION("""COMPUTED_VALUE"""),45123.91232228)</f>
        <v>45123.91232</v>
      </c>
      <c r="D1978" s="15">
        <f>IFERROR(__xludf.DUMMYFUNCTION("""COMPUTED_VALUE"""),1.003)</f>
        <v>1.003</v>
      </c>
      <c r="E1978" s="16">
        <f>IFERROR(__xludf.DUMMYFUNCTION("""COMPUTED_VALUE"""),72.0)</f>
        <v>72</v>
      </c>
      <c r="F1978" s="19" t="str">
        <f>IFERROR(__xludf.DUMMYFUNCTION("""COMPUTED_VALUE"""),"BLACK")</f>
        <v>BLACK</v>
      </c>
      <c r="G1978" s="20" t="str">
        <f>IFERROR(__xludf.DUMMYFUNCTION("""COMPUTED_VALUE"""),"Uncle Sams Cider (04/04/2023)")</f>
        <v>Uncle Sams Cider (04/04/2023)</v>
      </c>
      <c r="H1978" s="19"/>
    </row>
    <row r="1979">
      <c r="A1979" s="9"/>
      <c r="B1979" s="15"/>
      <c r="C1979" s="9">
        <f>IFERROR(__xludf.DUMMYFUNCTION("""COMPUTED_VALUE"""),45123.901901956)</f>
        <v>45123.9019</v>
      </c>
      <c r="D1979" s="15">
        <f>IFERROR(__xludf.DUMMYFUNCTION("""COMPUTED_VALUE"""),1.003)</f>
        <v>1.003</v>
      </c>
      <c r="E1979" s="16">
        <f>IFERROR(__xludf.DUMMYFUNCTION("""COMPUTED_VALUE"""),72.0)</f>
        <v>72</v>
      </c>
      <c r="F1979" s="19" t="str">
        <f>IFERROR(__xludf.DUMMYFUNCTION("""COMPUTED_VALUE"""),"BLACK")</f>
        <v>BLACK</v>
      </c>
      <c r="G1979" s="20" t="str">
        <f>IFERROR(__xludf.DUMMYFUNCTION("""COMPUTED_VALUE"""),"Uncle Sams Cider (04/04/2023)")</f>
        <v>Uncle Sams Cider (04/04/2023)</v>
      </c>
      <c r="H1979" s="19"/>
    </row>
    <row r="1980">
      <c r="A1980" s="9"/>
      <c r="B1980" s="15"/>
      <c r="C1980" s="9">
        <f>IFERROR(__xludf.DUMMYFUNCTION("""COMPUTED_VALUE"""),45123.8914798611)</f>
        <v>45123.89148</v>
      </c>
      <c r="D1980" s="15">
        <f>IFERROR(__xludf.DUMMYFUNCTION("""COMPUTED_VALUE"""),1.003)</f>
        <v>1.003</v>
      </c>
      <c r="E1980" s="16">
        <f>IFERROR(__xludf.DUMMYFUNCTION("""COMPUTED_VALUE"""),72.0)</f>
        <v>72</v>
      </c>
      <c r="F1980" s="19" t="str">
        <f>IFERROR(__xludf.DUMMYFUNCTION("""COMPUTED_VALUE"""),"BLACK")</f>
        <v>BLACK</v>
      </c>
      <c r="G1980" s="20" t="str">
        <f>IFERROR(__xludf.DUMMYFUNCTION("""COMPUTED_VALUE"""),"Uncle Sams Cider (04/04/2023)")</f>
        <v>Uncle Sams Cider (04/04/2023)</v>
      </c>
      <c r="H1980" s="19"/>
    </row>
    <row r="1981">
      <c r="A1981" s="9"/>
      <c r="B1981" s="15"/>
      <c r="C1981" s="9">
        <f>IFERROR(__xludf.DUMMYFUNCTION("""COMPUTED_VALUE"""),45123.8810581365)</f>
        <v>45123.88106</v>
      </c>
      <c r="D1981" s="15">
        <f>IFERROR(__xludf.DUMMYFUNCTION("""COMPUTED_VALUE"""),1.003)</f>
        <v>1.003</v>
      </c>
      <c r="E1981" s="16">
        <f>IFERROR(__xludf.DUMMYFUNCTION("""COMPUTED_VALUE"""),72.0)</f>
        <v>72</v>
      </c>
      <c r="F1981" s="19" t="str">
        <f>IFERROR(__xludf.DUMMYFUNCTION("""COMPUTED_VALUE"""),"BLACK")</f>
        <v>BLACK</v>
      </c>
      <c r="G1981" s="20" t="str">
        <f>IFERROR(__xludf.DUMMYFUNCTION("""COMPUTED_VALUE"""),"Uncle Sams Cider (04/04/2023)")</f>
        <v>Uncle Sams Cider (04/04/2023)</v>
      </c>
      <c r="H1981" s="19"/>
    </row>
    <row r="1982">
      <c r="A1982" s="9"/>
      <c r="B1982" s="15"/>
      <c r="C1982" s="9">
        <f>IFERROR(__xludf.DUMMYFUNCTION("""COMPUTED_VALUE"""),45123.8706354861)</f>
        <v>45123.87064</v>
      </c>
      <c r="D1982" s="15">
        <f>IFERROR(__xludf.DUMMYFUNCTION("""COMPUTED_VALUE"""),1.003)</f>
        <v>1.003</v>
      </c>
      <c r="E1982" s="16">
        <f>IFERROR(__xludf.DUMMYFUNCTION("""COMPUTED_VALUE"""),72.0)</f>
        <v>72</v>
      </c>
      <c r="F1982" s="19" t="str">
        <f>IFERROR(__xludf.DUMMYFUNCTION("""COMPUTED_VALUE"""),"BLACK")</f>
        <v>BLACK</v>
      </c>
      <c r="G1982" s="20" t="str">
        <f>IFERROR(__xludf.DUMMYFUNCTION("""COMPUTED_VALUE"""),"Uncle Sams Cider (04/04/2023)")</f>
        <v>Uncle Sams Cider (04/04/2023)</v>
      </c>
      <c r="H1982" s="19"/>
    </row>
    <row r="1983">
      <c r="A1983" s="9"/>
      <c r="B1983" s="15"/>
      <c r="C1983" s="9">
        <f>IFERROR(__xludf.DUMMYFUNCTION("""COMPUTED_VALUE"""),45123.8602156365)</f>
        <v>45123.86022</v>
      </c>
      <c r="D1983" s="15">
        <f>IFERROR(__xludf.DUMMYFUNCTION("""COMPUTED_VALUE"""),1.003)</f>
        <v>1.003</v>
      </c>
      <c r="E1983" s="16">
        <f>IFERROR(__xludf.DUMMYFUNCTION("""COMPUTED_VALUE"""),72.0)</f>
        <v>72</v>
      </c>
      <c r="F1983" s="19" t="str">
        <f>IFERROR(__xludf.DUMMYFUNCTION("""COMPUTED_VALUE"""),"BLACK")</f>
        <v>BLACK</v>
      </c>
      <c r="G1983" s="20" t="str">
        <f>IFERROR(__xludf.DUMMYFUNCTION("""COMPUTED_VALUE"""),"Uncle Sams Cider (04/04/2023)")</f>
        <v>Uncle Sams Cider (04/04/2023)</v>
      </c>
      <c r="H1983" s="19"/>
    </row>
    <row r="1984">
      <c r="A1984" s="9"/>
      <c r="B1984" s="15"/>
      <c r="C1984" s="9">
        <f>IFERROR(__xludf.DUMMYFUNCTION("""COMPUTED_VALUE"""),45123.849794375)</f>
        <v>45123.84979</v>
      </c>
      <c r="D1984" s="15">
        <f>IFERROR(__xludf.DUMMYFUNCTION("""COMPUTED_VALUE"""),1.003)</f>
        <v>1.003</v>
      </c>
      <c r="E1984" s="16">
        <f>IFERROR(__xludf.DUMMYFUNCTION("""COMPUTED_VALUE"""),72.0)</f>
        <v>72</v>
      </c>
      <c r="F1984" s="19" t="str">
        <f>IFERROR(__xludf.DUMMYFUNCTION("""COMPUTED_VALUE"""),"BLACK")</f>
        <v>BLACK</v>
      </c>
      <c r="G1984" s="20" t="str">
        <f>IFERROR(__xludf.DUMMYFUNCTION("""COMPUTED_VALUE"""),"Uncle Sams Cider (04/04/2023)")</f>
        <v>Uncle Sams Cider (04/04/2023)</v>
      </c>
      <c r="H1984" s="19"/>
    </row>
    <row r="1985">
      <c r="A1985" s="9"/>
      <c r="B1985" s="15"/>
      <c r="C1985" s="9">
        <f>IFERROR(__xludf.DUMMYFUNCTION("""COMPUTED_VALUE"""),45123.8393737152)</f>
        <v>45123.83937</v>
      </c>
      <c r="D1985" s="15">
        <f>IFERROR(__xludf.DUMMYFUNCTION("""COMPUTED_VALUE"""),1.003)</f>
        <v>1.003</v>
      </c>
      <c r="E1985" s="16">
        <f>IFERROR(__xludf.DUMMYFUNCTION("""COMPUTED_VALUE"""),72.0)</f>
        <v>72</v>
      </c>
      <c r="F1985" s="19" t="str">
        <f>IFERROR(__xludf.DUMMYFUNCTION("""COMPUTED_VALUE"""),"BLACK")</f>
        <v>BLACK</v>
      </c>
      <c r="G1985" s="20" t="str">
        <f>IFERROR(__xludf.DUMMYFUNCTION("""COMPUTED_VALUE"""),"Uncle Sams Cider (04/04/2023)")</f>
        <v>Uncle Sams Cider (04/04/2023)</v>
      </c>
      <c r="H1985" s="19"/>
    </row>
    <row r="1986">
      <c r="A1986" s="9"/>
      <c r="B1986" s="15"/>
      <c r="C1986" s="9">
        <f>IFERROR(__xludf.DUMMYFUNCTION("""COMPUTED_VALUE"""),45123.8289519097)</f>
        <v>45123.82895</v>
      </c>
      <c r="D1986" s="15">
        <f>IFERROR(__xludf.DUMMYFUNCTION("""COMPUTED_VALUE"""),1.003)</f>
        <v>1.003</v>
      </c>
      <c r="E1986" s="16">
        <f>IFERROR(__xludf.DUMMYFUNCTION("""COMPUTED_VALUE"""),72.0)</f>
        <v>72</v>
      </c>
      <c r="F1986" s="19" t="str">
        <f>IFERROR(__xludf.DUMMYFUNCTION("""COMPUTED_VALUE"""),"BLACK")</f>
        <v>BLACK</v>
      </c>
      <c r="G1986" s="20" t="str">
        <f>IFERROR(__xludf.DUMMYFUNCTION("""COMPUTED_VALUE"""),"Uncle Sams Cider (04/04/2023)")</f>
        <v>Uncle Sams Cider (04/04/2023)</v>
      </c>
      <c r="H1986" s="19"/>
    </row>
    <row r="1987">
      <c r="A1987" s="9"/>
      <c r="B1987" s="15"/>
      <c r="C1987" s="9">
        <f>IFERROR(__xludf.DUMMYFUNCTION("""COMPUTED_VALUE"""),45123.8185200347)</f>
        <v>45123.81852</v>
      </c>
      <c r="D1987" s="15">
        <f>IFERROR(__xludf.DUMMYFUNCTION("""COMPUTED_VALUE"""),1.003)</f>
        <v>1.003</v>
      </c>
      <c r="E1987" s="16">
        <f>IFERROR(__xludf.DUMMYFUNCTION("""COMPUTED_VALUE"""),72.0)</f>
        <v>72</v>
      </c>
      <c r="F1987" s="19" t="str">
        <f>IFERROR(__xludf.DUMMYFUNCTION("""COMPUTED_VALUE"""),"BLACK")</f>
        <v>BLACK</v>
      </c>
      <c r="G1987" s="20" t="str">
        <f>IFERROR(__xludf.DUMMYFUNCTION("""COMPUTED_VALUE"""),"Uncle Sams Cider (04/04/2023)")</f>
        <v>Uncle Sams Cider (04/04/2023)</v>
      </c>
      <c r="H1987" s="19"/>
    </row>
    <row r="1988">
      <c r="A1988" s="9"/>
      <c r="B1988" s="15"/>
      <c r="C1988" s="9">
        <f>IFERROR(__xludf.DUMMYFUNCTION("""COMPUTED_VALUE"""),45123.8081001504)</f>
        <v>45123.8081</v>
      </c>
      <c r="D1988" s="15">
        <f>IFERROR(__xludf.DUMMYFUNCTION("""COMPUTED_VALUE"""),1.003)</f>
        <v>1.003</v>
      </c>
      <c r="E1988" s="16">
        <f>IFERROR(__xludf.DUMMYFUNCTION("""COMPUTED_VALUE"""),72.0)</f>
        <v>72</v>
      </c>
      <c r="F1988" s="19" t="str">
        <f>IFERROR(__xludf.DUMMYFUNCTION("""COMPUTED_VALUE"""),"BLACK")</f>
        <v>BLACK</v>
      </c>
      <c r="G1988" s="20" t="str">
        <f>IFERROR(__xludf.DUMMYFUNCTION("""COMPUTED_VALUE"""),"Uncle Sams Cider (04/04/2023)")</f>
        <v>Uncle Sams Cider (04/04/2023)</v>
      </c>
      <c r="H1988" s="19"/>
    </row>
    <row r="1989">
      <c r="A1989" s="9"/>
      <c r="B1989" s="15"/>
      <c r="C1989" s="9">
        <f>IFERROR(__xludf.DUMMYFUNCTION("""COMPUTED_VALUE"""),45123.7976778588)</f>
        <v>45123.79768</v>
      </c>
      <c r="D1989" s="15">
        <f>IFERROR(__xludf.DUMMYFUNCTION("""COMPUTED_VALUE"""),1.003)</f>
        <v>1.003</v>
      </c>
      <c r="E1989" s="16">
        <f>IFERROR(__xludf.DUMMYFUNCTION("""COMPUTED_VALUE"""),72.0)</f>
        <v>72</v>
      </c>
      <c r="F1989" s="19" t="str">
        <f>IFERROR(__xludf.DUMMYFUNCTION("""COMPUTED_VALUE"""),"BLACK")</f>
        <v>BLACK</v>
      </c>
      <c r="G1989" s="20" t="str">
        <f>IFERROR(__xludf.DUMMYFUNCTION("""COMPUTED_VALUE"""),"Uncle Sams Cider (04/04/2023)")</f>
        <v>Uncle Sams Cider (04/04/2023)</v>
      </c>
      <c r="H1989" s="19"/>
    </row>
    <row r="1990">
      <c r="A1990" s="9"/>
      <c r="B1990" s="15"/>
      <c r="C1990" s="9">
        <f>IFERROR(__xludf.DUMMYFUNCTION("""COMPUTED_VALUE"""),45123.7872447801)</f>
        <v>45123.78724</v>
      </c>
      <c r="D1990" s="15">
        <f>IFERROR(__xludf.DUMMYFUNCTION("""COMPUTED_VALUE"""),1.003)</f>
        <v>1.003</v>
      </c>
      <c r="E1990" s="16">
        <f>IFERROR(__xludf.DUMMYFUNCTION("""COMPUTED_VALUE"""),72.0)</f>
        <v>72</v>
      </c>
      <c r="F1990" s="19" t="str">
        <f>IFERROR(__xludf.DUMMYFUNCTION("""COMPUTED_VALUE"""),"BLACK")</f>
        <v>BLACK</v>
      </c>
      <c r="G1990" s="20" t="str">
        <f>IFERROR(__xludf.DUMMYFUNCTION("""COMPUTED_VALUE"""),"Uncle Sams Cider (04/04/2023)")</f>
        <v>Uncle Sams Cider (04/04/2023)</v>
      </c>
      <c r="H1990" s="19"/>
    </row>
    <row r="1991">
      <c r="A1991" s="9"/>
      <c r="B1991" s="15"/>
      <c r="C1991" s="9">
        <f>IFERROR(__xludf.DUMMYFUNCTION("""COMPUTED_VALUE"""),45123.7768230208)</f>
        <v>45123.77682</v>
      </c>
      <c r="D1991" s="15">
        <f>IFERROR(__xludf.DUMMYFUNCTION("""COMPUTED_VALUE"""),1.003)</f>
        <v>1.003</v>
      </c>
      <c r="E1991" s="16">
        <f>IFERROR(__xludf.DUMMYFUNCTION("""COMPUTED_VALUE"""),72.0)</f>
        <v>72</v>
      </c>
      <c r="F1991" s="19" t="str">
        <f>IFERROR(__xludf.DUMMYFUNCTION("""COMPUTED_VALUE"""),"BLACK")</f>
        <v>BLACK</v>
      </c>
      <c r="G1991" s="20" t="str">
        <f>IFERROR(__xludf.DUMMYFUNCTION("""COMPUTED_VALUE"""),"Uncle Sams Cider (04/04/2023)")</f>
        <v>Uncle Sams Cider (04/04/2023)</v>
      </c>
      <c r="H1991" s="19"/>
    </row>
    <row r="1992">
      <c r="A1992" s="9"/>
      <c r="B1992" s="15"/>
      <c r="C1992" s="9">
        <f>IFERROR(__xludf.DUMMYFUNCTION("""COMPUTED_VALUE"""),45123.7664032523)</f>
        <v>45123.7664</v>
      </c>
      <c r="D1992" s="15">
        <f>IFERROR(__xludf.DUMMYFUNCTION("""COMPUTED_VALUE"""),1.004)</f>
        <v>1.004</v>
      </c>
      <c r="E1992" s="16">
        <f>IFERROR(__xludf.DUMMYFUNCTION("""COMPUTED_VALUE"""),72.0)</f>
        <v>72</v>
      </c>
      <c r="F1992" s="19" t="str">
        <f>IFERROR(__xludf.DUMMYFUNCTION("""COMPUTED_VALUE"""),"BLACK")</f>
        <v>BLACK</v>
      </c>
      <c r="G1992" s="20" t="str">
        <f>IFERROR(__xludf.DUMMYFUNCTION("""COMPUTED_VALUE"""),"Uncle Sams Cider (04/04/2023)")</f>
        <v>Uncle Sams Cider (04/04/2023)</v>
      </c>
      <c r="H1992" s="19"/>
    </row>
    <row r="1993">
      <c r="A1993" s="9"/>
      <c r="B1993" s="15"/>
      <c r="C1993" s="9">
        <f>IFERROR(__xludf.DUMMYFUNCTION("""COMPUTED_VALUE"""),45123.7559806134)</f>
        <v>45123.75598</v>
      </c>
      <c r="D1993" s="15">
        <f>IFERROR(__xludf.DUMMYFUNCTION("""COMPUTED_VALUE"""),1.003)</f>
        <v>1.003</v>
      </c>
      <c r="E1993" s="16">
        <f>IFERROR(__xludf.DUMMYFUNCTION("""COMPUTED_VALUE"""),72.0)</f>
        <v>72</v>
      </c>
      <c r="F1993" s="19" t="str">
        <f>IFERROR(__xludf.DUMMYFUNCTION("""COMPUTED_VALUE"""),"BLACK")</f>
        <v>BLACK</v>
      </c>
      <c r="G1993" s="20" t="str">
        <f>IFERROR(__xludf.DUMMYFUNCTION("""COMPUTED_VALUE"""),"Uncle Sams Cider (04/04/2023)")</f>
        <v>Uncle Sams Cider (04/04/2023)</v>
      </c>
      <c r="H1993" s="19"/>
    </row>
    <row r="1994">
      <c r="A1994" s="9"/>
      <c r="B1994" s="15"/>
      <c r="C1994" s="9">
        <f>IFERROR(__xludf.DUMMYFUNCTION("""COMPUTED_VALUE"""),45123.7455599189)</f>
        <v>45123.74556</v>
      </c>
      <c r="D1994" s="15">
        <f>IFERROR(__xludf.DUMMYFUNCTION("""COMPUTED_VALUE"""),1.003)</f>
        <v>1.003</v>
      </c>
      <c r="E1994" s="16">
        <f>IFERROR(__xludf.DUMMYFUNCTION("""COMPUTED_VALUE"""),72.0)</f>
        <v>72</v>
      </c>
      <c r="F1994" s="19" t="str">
        <f>IFERROR(__xludf.DUMMYFUNCTION("""COMPUTED_VALUE"""),"BLACK")</f>
        <v>BLACK</v>
      </c>
      <c r="G1994" s="20" t="str">
        <f>IFERROR(__xludf.DUMMYFUNCTION("""COMPUTED_VALUE"""),"Uncle Sams Cider (04/04/2023)")</f>
        <v>Uncle Sams Cider (04/04/2023)</v>
      </c>
      <c r="H1994" s="19"/>
    </row>
    <row r="1995">
      <c r="A1995" s="9"/>
      <c r="B1995" s="15"/>
      <c r="C1995" s="9">
        <f>IFERROR(__xludf.DUMMYFUNCTION("""COMPUTED_VALUE"""),45123.7351375578)</f>
        <v>45123.73514</v>
      </c>
      <c r="D1995" s="15">
        <f>IFERROR(__xludf.DUMMYFUNCTION("""COMPUTED_VALUE"""),1.003)</f>
        <v>1.003</v>
      </c>
      <c r="E1995" s="16">
        <f>IFERROR(__xludf.DUMMYFUNCTION("""COMPUTED_VALUE"""),72.0)</f>
        <v>72</v>
      </c>
      <c r="F1995" s="19" t="str">
        <f>IFERROR(__xludf.DUMMYFUNCTION("""COMPUTED_VALUE"""),"BLACK")</f>
        <v>BLACK</v>
      </c>
      <c r="G1995" s="20" t="str">
        <f>IFERROR(__xludf.DUMMYFUNCTION("""COMPUTED_VALUE"""),"Uncle Sams Cider (04/04/2023)")</f>
        <v>Uncle Sams Cider (04/04/2023)</v>
      </c>
      <c r="H1995" s="19"/>
    </row>
    <row r="1996">
      <c r="A1996" s="9"/>
      <c r="B1996" s="15"/>
      <c r="C1996" s="9">
        <f>IFERROR(__xludf.DUMMYFUNCTION("""COMPUTED_VALUE"""),45123.7247150926)</f>
        <v>45123.72472</v>
      </c>
      <c r="D1996" s="15">
        <f>IFERROR(__xludf.DUMMYFUNCTION("""COMPUTED_VALUE"""),1.003)</f>
        <v>1.003</v>
      </c>
      <c r="E1996" s="16">
        <f>IFERROR(__xludf.DUMMYFUNCTION("""COMPUTED_VALUE"""),72.0)</f>
        <v>72</v>
      </c>
      <c r="F1996" s="19" t="str">
        <f>IFERROR(__xludf.DUMMYFUNCTION("""COMPUTED_VALUE"""),"BLACK")</f>
        <v>BLACK</v>
      </c>
      <c r="G1996" s="20" t="str">
        <f>IFERROR(__xludf.DUMMYFUNCTION("""COMPUTED_VALUE"""),"Uncle Sams Cider (04/04/2023)")</f>
        <v>Uncle Sams Cider (04/04/2023)</v>
      </c>
      <c r="H1996" s="19"/>
    </row>
    <row r="1997">
      <c r="A1997" s="9"/>
      <c r="B1997" s="15"/>
      <c r="C1997" s="9">
        <f>IFERROR(__xludf.DUMMYFUNCTION("""COMPUTED_VALUE"""),45123.7142812384)</f>
        <v>45123.71428</v>
      </c>
      <c r="D1997" s="15">
        <f>IFERROR(__xludf.DUMMYFUNCTION("""COMPUTED_VALUE"""),1.003)</f>
        <v>1.003</v>
      </c>
      <c r="E1997" s="16">
        <f>IFERROR(__xludf.DUMMYFUNCTION("""COMPUTED_VALUE"""),72.0)</f>
        <v>72</v>
      </c>
      <c r="F1997" s="19" t="str">
        <f>IFERROR(__xludf.DUMMYFUNCTION("""COMPUTED_VALUE"""),"BLACK")</f>
        <v>BLACK</v>
      </c>
      <c r="G1997" s="20" t="str">
        <f>IFERROR(__xludf.DUMMYFUNCTION("""COMPUTED_VALUE"""),"Uncle Sams Cider (04/04/2023)")</f>
        <v>Uncle Sams Cider (04/04/2023)</v>
      </c>
      <c r="H1997" s="19"/>
    </row>
    <row r="1998">
      <c r="A1998" s="9"/>
      <c r="B1998" s="15"/>
      <c r="C1998" s="9">
        <f>IFERROR(__xludf.DUMMYFUNCTION("""COMPUTED_VALUE"""),45123.7038596296)</f>
        <v>45123.70386</v>
      </c>
      <c r="D1998" s="15">
        <f>IFERROR(__xludf.DUMMYFUNCTION("""COMPUTED_VALUE"""),1.003)</f>
        <v>1.003</v>
      </c>
      <c r="E1998" s="16">
        <f>IFERROR(__xludf.DUMMYFUNCTION("""COMPUTED_VALUE"""),72.0)</f>
        <v>72</v>
      </c>
      <c r="F1998" s="19" t="str">
        <f>IFERROR(__xludf.DUMMYFUNCTION("""COMPUTED_VALUE"""),"BLACK")</f>
        <v>BLACK</v>
      </c>
      <c r="G1998" s="20" t="str">
        <f>IFERROR(__xludf.DUMMYFUNCTION("""COMPUTED_VALUE"""),"Uncle Sams Cider (04/04/2023)")</f>
        <v>Uncle Sams Cider (04/04/2023)</v>
      </c>
      <c r="H1998" s="19"/>
    </row>
    <row r="1999">
      <c r="A1999" s="9"/>
      <c r="B1999" s="15"/>
      <c r="C1999" s="9">
        <f>IFERROR(__xludf.DUMMYFUNCTION("""COMPUTED_VALUE"""),45123.6934387268)</f>
        <v>45123.69344</v>
      </c>
      <c r="D1999" s="15">
        <f>IFERROR(__xludf.DUMMYFUNCTION("""COMPUTED_VALUE"""),1.004)</f>
        <v>1.004</v>
      </c>
      <c r="E1999" s="16">
        <f>IFERROR(__xludf.DUMMYFUNCTION("""COMPUTED_VALUE"""),72.0)</f>
        <v>72</v>
      </c>
      <c r="F1999" s="19" t="str">
        <f>IFERROR(__xludf.DUMMYFUNCTION("""COMPUTED_VALUE"""),"BLACK")</f>
        <v>BLACK</v>
      </c>
      <c r="G1999" s="20" t="str">
        <f>IFERROR(__xludf.DUMMYFUNCTION("""COMPUTED_VALUE"""),"Uncle Sams Cider (04/04/2023)")</f>
        <v>Uncle Sams Cider (04/04/2023)</v>
      </c>
      <c r="H1999" s="19"/>
    </row>
    <row r="2000">
      <c r="A2000" s="9"/>
      <c r="B2000" s="15"/>
      <c r="C2000" s="9">
        <f>IFERROR(__xludf.DUMMYFUNCTION("""COMPUTED_VALUE"""),45123.6830184259)</f>
        <v>45123.68302</v>
      </c>
      <c r="D2000" s="15">
        <f>IFERROR(__xludf.DUMMYFUNCTION("""COMPUTED_VALUE"""),1.003)</f>
        <v>1.003</v>
      </c>
      <c r="E2000" s="16">
        <f>IFERROR(__xludf.DUMMYFUNCTION("""COMPUTED_VALUE"""),72.0)</f>
        <v>72</v>
      </c>
      <c r="F2000" s="19" t="str">
        <f>IFERROR(__xludf.DUMMYFUNCTION("""COMPUTED_VALUE"""),"BLACK")</f>
        <v>BLACK</v>
      </c>
      <c r="G2000" s="20" t="str">
        <f>IFERROR(__xludf.DUMMYFUNCTION("""COMPUTED_VALUE"""),"Uncle Sams Cider (04/04/2023)")</f>
        <v>Uncle Sams Cider (04/04/2023)</v>
      </c>
      <c r="H2000" s="19"/>
    </row>
    <row r="2001">
      <c r="A2001" s="9"/>
      <c r="B2001" s="15"/>
      <c r="C2001" s="9">
        <f>IFERROR(__xludf.DUMMYFUNCTION("""COMPUTED_VALUE"""),45123.6725982175)</f>
        <v>45123.6726</v>
      </c>
      <c r="D2001" s="15">
        <f>IFERROR(__xludf.DUMMYFUNCTION("""COMPUTED_VALUE"""),1.003)</f>
        <v>1.003</v>
      </c>
      <c r="E2001" s="16">
        <f>IFERROR(__xludf.DUMMYFUNCTION("""COMPUTED_VALUE"""),72.0)</f>
        <v>72</v>
      </c>
      <c r="F2001" s="19" t="str">
        <f>IFERROR(__xludf.DUMMYFUNCTION("""COMPUTED_VALUE"""),"BLACK")</f>
        <v>BLACK</v>
      </c>
      <c r="G2001" s="20" t="str">
        <f>IFERROR(__xludf.DUMMYFUNCTION("""COMPUTED_VALUE"""),"Uncle Sams Cider (04/04/2023)")</f>
        <v>Uncle Sams Cider (04/04/2023)</v>
      </c>
      <c r="H2001" s="19"/>
    </row>
    <row r="2002">
      <c r="A2002" s="9"/>
      <c r="B2002" s="15"/>
      <c r="C2002" s="9">
        <f>IFERROR(__xludf.DUMMYFUNCTION("""COMPUTED_VALUE"""),45123.6621763888)</f>
        <v>45123.66218</v>
      </c>
      <c r="D2002" s="15">
        <f>IFERROR(__xludf.DUMMYFUNCTION("""COMPUTED_VALUE"""),1.004)</f>
        <v>1.004</v>
      </c>
      <c r="E2002" s="16">
        <f>IFERROR(__xludf.DUMMYFUNCTION("""COMPUTED_VALUE"""),72.0)</f>
        <v>72</v>
      </c>
      <c r="F2002" s="19" t="str">
        <f>IFERROR(__xludf.DUMMYFUNCTION("""COMPUTED_VALUE"""),"BLACK")</f>
        <v>BLACK</v>
      </c>
      <c r="G2002" s="20" t="str">
        <f>IFERROR(__xludf.DUMMYFUNCTION("""COMPUTED_VALUE"""),"Uncle Sams Cider (04/04/2023)")</f>
        <v>Uncle Sams Cider (04/04/2023)</v>
      </c>
      <c r="H2002" s="19"/>
    </row>
    <row r="2003">
      <c r="A2003" s="9"/>
      <c r="B2003" s="15"/>
      <c r="C2003" s="9">
        <f>IFERROR(__xludf.DUMMYFUNCTION("""COMPUTED_VALUE"""),45123.6517556018)</f>
        <v>45123.65176</v>
      </c>
      <c r="D2003" s="15">
        <f>IFERROR(__xludf.DUMMYFUNCTION("""COMPUTED_VALUE"""),1.003)</f>
        <v>1.003</v>
      </c>
      <c r="E2003" s="16">
        <f>IFERROR(__xludf.DUMMYFUNCTION("""COMPUTED_VALUE"""),72.0)</f>
        <v>72</v>
      </c>
      <c r="F2003" s="19" t="str">
        <f>IFERROR(__xludf.DUMMYFUNCTION("""COMPUTED_VALUE"""),"BLACK")</f>
        <v>BLACK</v>
      </c>
      <c r="G2003" s="20" t="str">
        <f>IFERROR(__xludf.DUMMYFUNCTION("""COMPUTED_VALUE"""),"Uncle Sams Cider (04/04/2023)")</f>
        <v>Uncle Sams Cider (04/04/2023)</v>
      </c>
      <c r="H2003" s="19"/>
    </row>
    <row r="2004">
      <c r="A2004" s="9"/>
      <c r="B2004" s="15"/>
      <c r="C2004" s="9">
        <f>IFERROR(__xludf.DUMMYFUNCTION("""COMPUTED_VALUE"""),45123.6413329745)</f>
        <v>45123.64133</v>
      </c>
      <c r="D2004" s="15">
        <f>IFERROR(__xludf.DUMMYFUNCTION("""COMPUTED_VALUE"""),1.003)</f>
        <v>1.003</v>
      </c>
      <c r="E2004" s="16">
        <f>IFERROR(__xludf.DUMMYFUNCTION("""COMPUTED_VALUE"""),72.0)</f>
        <v>72</v>
      </c>
      <c r="F2004" s="19" t="str">
        <f>IFERROR(__xludf.DUMMYFUNCTION("""COMPUTED_VALUE"""),"BLACK")</f>
        <v>BLACK</v>
      </c>
      <c r="G2004" s="20" t="str">
        <f>IFERROR(__xludf.DUMMYFUNCTION("""COMPUTED_VALUE"""),"Uncle Sams Cider (04/04/2023)")</f>
        <v>Uncle Sams Cider (04/04/2023)</v>
      </c>
      <c r="H2004" s="19"/>
    </row>
    <row r="2005">
      <c r="A2005" s="9"/>
      <c r="B2005" s="15"/>
      <c r="C2005" s="9">
        <f>IFERROR(__xludf.DUMMYFUNCTION("""COMPUTED_VALUE"""),45123.6308889699)</f>
        <v>45123.63089</v>
      </c>
      <c r="D2005" s="15">
        <f>IFERROR(__xludf.DUMMYFUNCTION("""COMPUTED_VALUE"""),1.003)</f>
        <v>1.003</v>
      </c>
      <c r="E2005" s="16">
        <f>IFERROR(__xludf.DUMMYFUNCTION("""COMPUTED_VALUE"""),72.0)</f>
        <v>72</v>
      </c>
      <c r="F2005" s="19" t="str">
        <f>IFERROR(__xludf.DUMMYFUNCTION("""COMPUTED_VALUE"""),"BLACK")</f>
        <v>BLACK</v>
      </c>
      <c r="G2005" s="20" t="str">
        <f>IFERROR(__xludf.DUMMYFUNCTION("""COMPUTED_VALUE"""),"Uncle Sams Cider (04/04/2023)")</f>
        <v>Uncle Sams Cider (04/04/2023)</v>
      </c>
      <c r="H2005" s="19"/>
    </row>
    <row r="2006">
      <c r="A2006" s="9"/>
      <c r="B2006" s="15"/>
      <c r="C2006" s="9">
        <f>IFERROR(__xludf.DUMMYFUNCTION("""COMPUTED_VALUE"""),45123.6204689004)</f>
        <v>45123.62047</v>
      </c>
      <c r="D2006" s="15">
        <f>IFERROR(__xludf.DUMMYFUNCTION("""COMPUTED_VALUE"""),1.003)</f>
        <v>1.003</v>
      </c>
      <c r="E2006" s="16">
        <f>IFERROR(__xludf.DUMMYFUNCTION("""COMPUTED_VALUE"""),72.0)</f>
        <v>72</v>
      </c>
      <c r="F2006" s="19" t="str">
        <f>IFERROR(__xludf.DUMMYFUNCTION("""COMPUTED_VALUE"""),"BLACK")</f>
        <v>BLACK</v>
      </c>
      <c r="G2006" s="20" t="str">
        <f>IFERROR(__xludf.DUMMYFUNCTION("""COMPUTED_VALUE"""),"Uncle Sams Cider (04/04/2023)")</f>
        <v>Uncle Sams Cider (04/04/2023)</v>
      </c>
      <c r="H2006" s="19"/>
    </row>
    <row r="2007">
      <c r="A2007" s="9"/>
      <c r="B2007" s="15"/>
      <c r="C2007" s="9">
        <f>IFERROR(__xludf.DUMMYFUNCTION("""COMPUTED_VALUE"""),45123.6100358333)</f>
        <v>45123.61004</v>
      </c>
      <c r="D2007" s="15">
        <f>IFERROR(__xludf.DUMMYFUNCTION("""COMPUTED_VALUE"""),1.003)</f>
        <v>1.003</v>
      </c>
      <c r="E2007" s="16">
        <f>IFERROR(__xludf.DUMMYFUNCTION("""COMPUTED_VALUE"""),72.0)</f>
        <v>72</v>
      </c>
      <c r="F2007" s="19" t="str">
        <f>IFERROR(__xludf.DUMMYFUNCTION("""COMPUTED_VALUE"""),"BLACK")</f>
        <v>BLACK</v>
      </c>
      <c r="G2007" s="20" t="str">
        <f>IFERROR(__xludf.DUMMYFUNCTION("""COMPUTED_VALUE"""),"Uncle Sams Cider (04/04/2023)")</f>
        <v>Uncle Sams Cider (04/04/2023)</v>
      </c>
      <c r="H2007" s="19"/>
    </row>
    <row r="2008">
      <c r="A2008" s="9"/>
      <c r="B2008" s="15"/>
      <c r="C2008" s="9">
        <f>IFERROR(__xludf.DUMMYFUNCTION("""COMPUTED_VALUE"""),45123.5996153703)</f>
        <v>45123.59962</v>
      </c>
      <c r="D2008" s="15">
        <f>IFERROR(__xludf.DUMMYFUNCTION("""COMPUTED_VALUE"""),1.003)</f>
        <v>1.003</v>
      </c>
      <c r="E2008" s="16">
        <f>IFERROR(__xludf.DUMMYFUNCTION("""COMPUTED_VALUE"""),72.0)</f>
        <v>72</v>
      </c>
      <c r="F2008" s="19" t="str">
        <f>IFERROR(__xludf.DUMMYFUNCTION("""COMPUTED_VALUE"""),"BLACK")</f>
        <v>BLACK</v>
      </c>
      <c r="G2008" s="20" t="str">
        <f>IFERROR(__xludf.DUMMYFUNCTION("""COMPUTED_VALUE"""),"Uncle Sams Cider (04/04/2023)")</f>
        <v>Uncle Sams Cider (04/04/2023)</v>
      </c>
      <c r="H2008" s="19"/>
    </row>
    <row r="2009">
      <c r="A2009" s="9"/>
      <c r="B2009" s="15"/>
      <c r="C2009" s="9">
        <f>IFERROR(__xludf.DUMMYFUNCTION("""COMPUTED_VALUE"""),45123.5891948495)</f>
        <v>45123.58919</v>
      </c>
      <c r="D2009" s="15">
        <f>IFERROR(__xludf.DUMMYFUNCTION("""COMPUTED_VALUE"""),1.003)</f>
        <v>1.003</v>
      </c>
      <c r="E2009" s="16">
        <f>IFERROR(__xludf.DUMMYFUNCTION("""COMPUTED_VALUE"""),72.0)</f>
        <v>72</v>
      </c>
      <c r="F2009" s="19" t="str">
        <f>IFERROR(__xludf.DUMMYFUNCTION("""COMPUTED_VALUE"""),"BLACK")</f>
        <v>BLACK</v>
      </c>
      <c r="G2009" s="20" t="str">
        <f>IFERROR(__xludf.DUMMYFUNCTION("""COMPUTED_VALUE"""),"Uncle Sams Cider (04/04/2023)")</f>
        <v>Uncle Sams Cider (04/04/2023)</v>
      </c>
      <c r="H2009" s="19"/>
    </row>
    <row r="2010">
      <c r="A2010" s="9"/>
      <c r="B2010" s="15"/>
      <c r="C2010" s="9">
        <f>IFERROR(__xludf.DUMMYFUNCTION("""COMPUTED_VALUE"""),45123.5787742939)</f>
        <v>45123.57877</v>
      </c>
      <c r="D2010" s="15">
        <f>IFERROR(__xludf.DUMMYFUNCTION("""COMPUTED_VALUE"""),1.003)</f>
        <v>1.003</v>
      </c>
      <c r="E2010" s="16">
        <f>IFERROR(__xludf.DUMMYFUNCTION("""COMPUTED_VALUE"""),72.0)</f>
        <v>72</v>
      </c>
      <c r="F2010" s="19" t="str">
        <f>IFERROR(__xludf.DUMMYFUNCTION("""COMPUTED_VALUE"""),"BLACK")</f>
        <v>BLACK</v>
      </c>
      <c r="G2010" s="20" t="str">
        <f>IFERROR(__xludf.DUMMYFUNCTION("""COMPUTED_VALUE"""),"Uncle Sams Cider (04/04/2023)")</f>
        <v>Uncle Sams Cider (04/04/2023)</v>
      </c>
      <c r="H2010" s="19"/>
    </row>
    <row r="2011">
      <c r="A2011" s="9"/>
      <c r="B2011" s="15"/>
      <c r="C2011" s="9">
        <f>IFERROR(__xludf.DUMMYFUNCTION("""COMPUTED_VALUE"""),45123.5683549189)</f>
        <v>45123.56835</v>
      </c>
      <c r="D2011" s="15">
        <f>IFERROR(__xludf.DUMMYFUNCTION("""COMPUTED_VALUE"""),1.003)</f>
        <v>1.003</v>
      </c>
      <c r="E2011" s="16">
        <f>IFERROR(__xludf.DUMMYFUNCTION("""COMPUTED_VALUE"""),72.0)</f>
        <v>72</v>
      </c>
      <c r="F2011" s="19" t="str">
        <f>IFERROR(__xludf.DUMMYFUNCTION("""COMPUTED_VALUE"""),"BLACK")</f>
        <v>BLACK</v>
      </c>
      <c r="G2011" s="20" t="str">
        <f>IFERROR(__xludf.DUMMYFUNCTION("""COMPUTED_VALUE"""),"Uncle Sams Cider (04/04/2023)")</f>
        <v>Uncle Sams Cider (04/04/2023)</v>
      </c>
      <c r="H2011" s="19"/>
    </row>
    <row r="2012">
      <c r="A2012" s="9"/>
      <c r="B2012" s="15"/>
      <c r="C2012" s="9">
        <f>IFERROR(__xludf.DUMMYFUNCTION("""COMPUTED_VALUE"""),45123.5579324652)</f>
        <v>45123.55793</v>
      </c>
      <c r="D2012" s="15">
        <f>IFERROR(__xludf.DUMMYFUNCTION("""COMPUTED_VALUE"""),1.003)</f>
        <v>1.003</v>
      </c>
      <c r="E2012" s="16">
        <f>IFERROR(__xludf.DUMMYFUNCTION("""COMPUTED_VALUE"""),72.0)</f>
        <v>72</v>
      </c>
      <c r="F2012" s="19" t="str">
        <f>IFERROR(__xludf.DUMMYFUNCTION("""COMPUTED_VALUE"""),"BLACK")</f>
        <v>BLACK</v>
      </c>
      <c r="G2012" s="20" t="str">
        <f>IFERROR(__xludf.DUMMYFUNCTION("""COMPUTED_VALUE"""),"Uncle Sams Cider (04/04/2023)")</f>
        <v>Uncle Sams Cider (04/04/2023)</v>
      </c>
      <c r="H2012" s="19"/>
    </row>
    <row r="2013">
      <c r="A2013" s="9"/>
      <c r="B2013" s="15"/>
      <c r="C2013" s="9">
        <f>IFERROR(__xludf.DUMMYFUNCTION("""COMPUTED_VALUE"""),45123.5475104745)</f>
        <v>45123.54751</v>
      </c>
      <c r="D2013" s="15">
        <f>IFERROR(__xludf.DUMMYFUNCTION("""COMPUTED_VALUE"""),1.004)</f>
        <v>1.004</v>
      </c>
      <c r="E2013" s="16">
        <f>IFERROR(__xludf.DUMMYFUNCTION("""COMPUTED_VALUE"""),72.0)</f>
        <v>72</v>
      </c>
      <c r="F2013" s="19" t="str">
        <f>IFERROR(__xludf.DUMMYFUNCTION("""COMPUTED_VALUE"""),"BLACK")</f>
        <v>BLACK</v>
      </c>
      <c r="G2013" s="20" t="str">
        <f>IFERROR(__xludf.DUMMYFUNCTION("""COMPUTED_VALUE"""),"Uncle Sams Cider (04/04/2023)")</f>
        <v>Uncle Sams Cider (04/04/2023)</v>
      </c>
      <c r="H2013" s="19"/>
    </row>
    <row r="2014">
      <c r="A2014" s="9"/>
      <c r="B2014" s="15"/>
      <c r="C2014" s="9">
        <f>IFERROR(__xludf.DUMMYFUNCTION("""COMPUTED_VALUE"""),45123.537089618)</f>
        <v>45123.53709</v>
      </c>
      <c r="D2014" s="15">
        <f>IFERROR(__xludf.DUMMYFUNCTION("""COMPUTED_VALUE"""),1.003)</f>
        <v>1.003</v>
      </c>
      <c r="E2014" s="16">
        <f>IFERROR(__xludf.DUMMYFUNCTION("""COMPUTED_VALUE"""),72.0)</f>
        <v>72</v>
      </c>
      <c r="F2014" s="19" t="str">
        <f>IFERROR(__xludf.DUMMYFUNCTION("""COMPUTED_VALUE"""),"BLACK")</f>
        <v>BLACK</v>
      </c>
      <c r="G2014" s="20" t="str">
        <f>IFERROR(__xludf.DUMMYFUNCTION("""COMPUTED_VALUE"""),"Uncle Sams Cider (04/04/2023)")</f>
        <v>Uncle Sams Cider (04/04/2023)</v>
      </c>
      <c r="H2014" s="19"/>
    </row>
    <row r="2015">
      <c r="A2015" s="9"/>
      <c r="B2015" s="15"/>
      <c r="C2015" s="9">
        <f>IFERROR(__xludf.DUMMYFUNCTION("""COMPUTED_VALUE"""),45123.5266551041)</f>
        <v>45123.52666</v>
      </c>
      <c r="D2015" s="15">
        <f>IFERROR(__xludf.DUMMYFUNCTION("""COMPUTED_VALUE"""),1.003)</f>
        <v>1.003</v>
      </c>
      <c r="E2015" s="16">
        <f>IFERROR(__xludf.DUMMYFUNCTION("""COMPUTED_VALUE"""),72.0)</f>
        <v>72</v>
      </c>
      <c r="F2015" s="19" t="str">
        <f>IFERROR(__xludf.DUMMYFUNCTION("""COMPUTED_VALUE"""),"BLACK")</f>
        <v>BLACK</v>
      </c>
      <c r="G2015" s="20" t="str">
        <f>IFERROR(__xludf.DUMMYFUNCTION("""COMPUTED_VALUE"""),"Uncle Sams Cider (04/04/2023)")</f>
        <v>Uncle Sams Cider (04/04/2023)</v>
      </c>
      <c r="H2015" s="19"/>
    </row>
    <row r="2016">
      <c r="A2016" s="9"/>
      <c r="B2016" s="15"/>
      <c r="C2016" s="9">
        <f>IFERROR(__xludf.DUMMYFUNCTION("""COMPUTED_VALUE"""),45123.5162319444)</f>
        <v>45123.51623</v>
      </c>
      <c r="D2016" s="15">
        <f>IFERROR(__xludf.DUMMYFUNCTION("""COMPUTED_VALUE"""),1.003)</f>
        <v>1.003</v>
      </c>
      <c r="E2016" s="16">
        <f>IFERROR(__xludf.DUMMYFUNCTION("""COMPUTED_VALUE"""),72.0)</f>
        <v>72</v>
      </c>
      <c r="F2016" s="19" t="str">
        <f>IFERROR(__xludf.DUMMYFUNCTION("""COMPUTED_VALUE"""),"BLACK")</f>
        <v>BLACK</v>
      </c>
      <c r="G2016" s="20" t="str">
        <f>IFERROR(__xludf.DUMMYFUNCTION("""COMPUTED_VALUE"""),"Uncle Sams Cider (04/04/2023)")</f>
        <v>Uncle Sams Cider (04/04/2023)</v>
      </c>
      <c r="H2016" s="19"/>
    </row>
    <row r="2017">
      <c r="A2017" s="9"/>
      <c r="B2017" s="15"/>
      <c r="C2017" s="9">
        <f>IFERROR(__xludf.DUMMYFUNCTION("""COMPUTED_VALUE"""),45123.5058126041)</f>
        <v>45123.50581</v>
      </c>
      <c r="D2017" s="15">
        <f>IFERROR(__xludf.DUMMYFUNCTION("""COMPUTED_VALUE"""),1.003)</f>
        <v>1.003</v>
      </c>
      <c r="E2017" s="16">
        <f>IFERROR(__xludf.DUMMYFUNCTION("""COMPUTED_VALUE"""),72.0)</f>
        <v>72</v>
      </c>
      <c r="F2017" s="19" t="str">
        <f>IFERROR(__xludf.DUMMYFUNCTION("""COMPUTED_VALUE"""),"BLACK")</f>
        <v>BLACK</v>
      </c>
      <c r="G2017" s="20" t="str">
        <f>IFERROR(__xludf.DUMMYFUNCTION("""COMPUTED_VALUE"""),"Uncle Sams Cider (04/04/2023)")</f>
        <v>Uncle Sams Cider (04/04/2023)</v>
      </c>
      <c r="H2017" s="19"/>
    </row>
    <row r="2018">
      <c r="A2018" s="9"/>
      <c r="B2018" s="15"/>
      <c r="C2018" s="9">
        <f>IFERROR(__xludf.DUMMYFUNCTION("""COMPUTED_VALUE"""),45123.495392581)</f>
        <v>45123.49539</v>
      </c>
      <c r="D2018" s="15">
        <f>IFERROR(__xludf.DUMMYFUNCTION("""COMPUTED_VALUE"""),1.003)</f>
        <v>1.003</v>
      </c>
      <c r="E2018" s="16">
        <f>IFERROR(__xludf.DUMMYFUNCTION("""COMPUTED_VALUE"""),72.0)</f>
        <v>72</v>
      </c>
      <c r="F2018" s="19" t="str">
        <f>IFERROR(__xludf.DUMMYFUNCTION("""COMPUTED_VALUE"""),"BLACK")</f>
        <v>BLACK</v>
      </c>
      <c r="G2018" s="20" t="str">
        <f>IFERROR(__xludf.DUMMYFUNCTION("""COMPUTED_VALUE"""),"Uncle Sams Cider (04/04/2023)")</f>
        <v>Uncle Sams Cider (04/04/2023)</v>
      </c>
      <c r="H2018" s="19"/>
    </row>
    <row r="2019">
      <c r="A2019" s="9"/>
      <c r="B2019" s="15"/>
      <c r="C2019" s="9">
        <f>IFERROR(__xludf.DUMMYFUNCTION("""COMPUTED_VALUE"""),45123.4849710185)</f>
        <v>45123.48497</v>
      </c>
      <c r="D2019" s="15">
        <f>IFERROR(__xludf.DUMMYFUNCTION("""COMPUTED_VALUE"""),1.003)</f>
        <v>1.003</v>
      </c>
      <c r="E2019" s="16">
        <f>IFERROR(__xludf.DUMMYFUNCTION("""COMPUTED_VALUE"""),72.0)</f>
        <v>72</v>
      </c>
      <c r="F2019" s="19" t="str">
        <f>IFERROR(__xludf.DUMMYFUNCTION("""COMPUTED_VALUE"""),"BLACK")</f>
        <v>BLACK</v>
      </c>
      <c r="G2019" s="20" t="str">
        <f>IFERROR(__xludf.DUMMYFUNCTION("""COMPUTED_VALUE"""),"Uncle Sams Cider (04/04/2023)")</f>
        <v>Uncle Sams Cider (04/04/2023)</v>
      </c>
      <c r="H2019" s="19"/>
    </row>
    <row r="2020">
      <c r="A2020" s="9"/>
      <c r="B2020" s="15"/>
      <c r="C2020" s="9">
        <f>IFERROR(__xludf.DUMMYFUNCTION("""COMPUTED_VALUE"""),45123.4745493634)</f>
        <v>45123.47455</v>
      </c>
      <c r="D2020" s="15">
        <f>IFERROR(__xludf.DUMMYFUNCTION("""COMPUTED_VALUE"""),1.003)</f>
        <v>1.003</v>
      </c>
      <c r="E2020" s="16">
        <f>IFERROR(__xludf.DUMMYFUNCTION("""COMPUTED_VALUE"""),72.0)</f>
        <v>72</v>
      </c>
      <c r="F2020" s="19" t="str">
        <f>IFERROR(__xludf.DUMMYFUNCTION("""COMPUTED_VALUE"""),"BLACK")</f>
        <v>BLACK</v>
      </c>
      <c r="G2020" s="20" t="str">
        <f>IFERROR(__xludf.DUMMYFUNCTION("""COMPUTED_VALUE"""),"Uncle Sams Cider (04/04/2023)")</f>
        <v>Uncle Sams Cider (04/04/2023)</v>
      </c>
      <c r="H2020" s="19"/>
    </row>
    <row r="2021">
      <c r="A2021" s="9"/>
      <c r="B2021" s="15"/>
      <c r="C2021" s="9">
        <f>IFERROR(__xludf.DUMMYFUNCTION("""COMPUTED_VALUE"""),45123.4641293287)</f>
        <v>45123.46413</v>
      </c>
      <c r="D2021" s="15">
        <f>IFERROR(__xludf.DUMMYFUNCTION("""COMPUTED_VALUE"""),1.003)</f>
        <v>1.003</v>
      </c>
      <c r="E2021" s="16">
        <f>IFERROR(__xludf.DUMMYFUNCTION("""COMPUTED_VALUE"""),72.0)</f>
        <v>72</v>
      </c>
      <c r="F2021" s="19" t="str">
        <f>IFERROR(__xludf.DUMMYFUNCTION("""COMPUTED_VALUE"""),"BLACK")</f>
        <v>BLACK</v>
      </c>
      <c r="G2021" s="20" t="str">
        <f>IFERROR(__xludf.DUMMYFUNCTION("""COMPUTED_VALUE"""),"Uncle Sams Cider (04/04/2023)")</f>
        <v>Uncle Sams Cider (04/04/2023)</v>
      </c>
      <c r="H2021" s="19"/>
    </row>
    <row r="2022">
      <c r="A2022" s="9"/>
      <c r="B2022" s="15"/>
      <c r="C2022" s="9">
        <f>IFERROR(__xludf.DUMMYFUNCTION("""COMPUTED_VALUE"""),45123.4537075)</f>
        <v>45123.45371</v>
      </c>
      <c r="D2022" s="15">
        <f>IFERROR(__xludf.DUMMYFUNCTION("""COMPUTED_VALUE"""),1.003)</f>
        <v>1.003</v>
      </c>
      <c r="E2022" s="16">
        <f>IFERROR(__xludf.DUMMYFUNCTION("""COMPUTED_VALUE"""),72.0)</f>
        <v>72</v>
      </c>
      <c r="F2022" s="19" t="str">
        <f>IFERROR(__xludf.DUMMYFUNCTION("""COMPUTED_VALUE"""),"BLACK")</f>
        <v>BLACK</v>
      </c>
      <c r="G2022" s="20" t="str">
        <f>IFERROR(__xludf.DUMMYFUNCTION("""COMPUTED_VALUE"""),"Uncle Sams Cider (04/04/2023)")</f>
        <v>Uncle Sams Cider (04/04/2023)</v>
      </c>
      <c r="H2022" s="19"/>
    </row>
    <row r="2023">
      <c r="A2023" s="9"/>
      <c r="B2023" s="15"/>
      <c r="C2023" s="9">
        <f>IFERROR(__xludf.DUMMYFUNCTION("""COMPUTED_VALUE"""),45123.4432850347)</f>
        <v>45123.44329</v>
      </c>
      <c r="D2023" s="15">
        <f>IFERROR(__xludf.DUMMYFUNCTION("""COMPUTED_VALUE"""),1.003)</f>
        <v>1.003</v>
      </c>
      <c r="E2023" s="16">
        <f>IFERROR(__xludf.DUMMYFUNCTION("""COMPUTED_VALUE"""),72.0)</f>
        <v>72</v>
      </c>
      <c r="F2023" s="19" t="str">
        <f>IFERROR(__xludf.DUMMYFUNCTION("""COMPUTED_VALUE"""),"BLACK")</f>
        <v>BLACK</v>
      </c>
      <c r="G2023" s="20" t="str">
        <f>IFERROR(__xludf.DUMMYFUNCTION("""COMPUTED_VALUE"""),"Uncle Sams Cider (04/04/2023)")</f>
        <v>Uncle Sams Cider (04/04/2023)</v>
      </c>
      <c r="H2023" s="19"/>
    </row>
    <row r="2024">
      <c r="A2024" s="9"/>
      <c r="B2024" s="15"/>
      <c r="C2024" s="9">
        <f>IFERROR(__xludf.DUMMYFUNCTION("""COMPUTED_VALUE"""),45123.4328644791)</f>
        <v>45123.43286</v>
      </c>
      <c r="D2024" s="15">
        <f>IFERROR(__xludf.DUMMYFUNCTION("""COMPUTED_VALUE"""),1.003)</f>
        <v>1.003</v>
      </c>
      <c r="E2024" s="16">
        <f>IFERROR(__xludf.DUMMYFUNCTION("""COMPUTED_VALUE"""),72.0)</f>
        <v>72</v>
      </c>
      <c r="F2024" s="19" t="str">
        <f>IFERROR(__xludf.DUMMYFUNCTION("""COMPUTED_VALUE"""),"BLACK")</f>
        <v>BLACK</v>
      </c>
      <c r="G2024" s="20" t="str">
        <f>IFERROR(__xludf.DUMMYFUNCTION("""COMPUTED_VALUE"""),"Uncle Sams Cider (04/04/2023)")</f>
        <v>Uncle Sams Cider (04/04/2023)</v>
      </c>
      <c r="H2024" s="19"/>
    </row>
    <row r="2025">
      <c r="A2025" s="9"/>
      <c r="B2025" s="15"/>
      <c r="C2025" s="9">
        <f>IFERROR(__xludf.DUMMYFUNCTION("""COMPUTED_VALUE"""),45123.4224078472)</f>
        <v>45123.42241</v>
      </c>
      <c r="D2025" s="15">
        <f>IFERROR(__xludf.DUMMYFUNCTION("""COMPUTED_VALUE"""),1.003)</f>
        <v>1.003</v>
      </c>
      <c r="E2025" s="16">
        <f>IFERROR(__xludf.DUMMYFUNCTION("""COMPUTED_VALUE"""),72.0)</f>
        <v>72</v>
      </c>
      <c r="F2025" s="19" t="str">
        <f>IFERROR(__xludf.DUMMYFUNCTION("""COMPUTED_VALUE"""),"BLACK")</f>
        <v>BLACK</v>
      </c>
      <c r="G2025" s="20" t="str">
        <f>IFERROR(__xludf.DUMMYFUNCTION("""COMPUTED_VALUE"""),"Uncle Sams Cider (04/04/2023)")</f>
        <v>Uncle Sams Cider (04/04/2023)</v>
      </c>
      <c r="H2025" s="19"/>
    </row>
    <row r="2026">
      <c r="A2026" s="9"/>
      <c r="B2026" s="15"/>
      <c r="C2026" s="9">
        <f>IFERROR(__xludf.DUMMYFUNCTION("""COMPUTED_VALUE"""),45123.4119855208)</f>
        <v>45123.41199</v>
      </c>
      <c r="D2026" s="15">
        <f>IFERROR(__xludf.DUMMYFUNCTION("""COMPUTED_VALUE"""),1.004)</f>
        <v>1.004</v>
      </c>
      <c r="E2026" s="16">
        <f>IFERROR(__xludf.DUMMYFUNCTION("""COMPUTED_VALUE"""),72.0)</f>
        <v>72</v>
      </c>
      <c r="F2026" s="19" t="str">
        <f>IFERROR(__xludf.DUMMYFUNCTION("""COMPUTED_VALUE"""),"BLACK")</f>
        <v>BLACK</v>
      </c>
      <c r="G2026" s="20" t="str">
        <f>IFERROR(__xludf.DUMMYFUNCTION("""COMPUTED_VALUE"""),"Uncle Sams Cider (04/04/2023)")</f>
        <v>Uncle Sams Cider (04/04/2023)</v>
      </c>
      <c r="H2026" s="19"/>
    </row>
    <row r="2027">
      <c r="A2027" s="9"/>
      <c r="B2027" s="15"/>
      <c r="C2027" s="9">
        <f>IFERROR(__xludf.DUMMYFUNCTION("""COMPUTED_VALUE"""),45123.4015523263)</f>
        <v>45123.40155</v>
      </c>
      <c r="D2027" s="15">
        <f>IFERROR(__xludf.DUMMYFUNCTION("""COMPUTED_VALUE"""),1.004)</f>
        <v>1.004</v>
      </c>
      <c r="E2027" s="16">
        <f>IFERROR(__xludf.DUMMYFUNCTION("""COMPUTED_VALUE"""),72.0)</f>
        <v>72</v>
      </c>
      <c r="F2027" s="19" t="str">
        <f>IFERROR(__xludf.DUMMYFUNCTION("""COMPUTED_VALUE"""),"BLACK")</f>
        <v>BLACK</v>
      </c>
      <c r="G2027" s="20" t="str">
        <f>IFERROR(__xludf.DUMMYFUNCTION("""COMPUTED_VALUE"""),"Uncle Sams Cider (04/04/2023)")</f>
        <v>Uncle Sams Cider (04/04/2023)</v>
      </c>
      <c r="H2027" s="19"/>
    </row>
    <row r="2028">
      <c r="A2028" s="9"/>
      <c r="B2028" s="15"/>
      <c r="C2028" s="9">
        <f>IFERROR(__xludf.DUMMYFUNCTION("""COMPUTED_VALUE"""),45123.3911317824)</f>
        <v>45123.39113</v>
      </c>
      <c r="D2028" s="15">
        <f>IFERROR(__xludf.DUMMYFUNCTION("""COMPUTED_VALUE"""),1.003)</f>
        <v>1.003</v>
      </c>
      <c r="E2028" s="16">
        <f>IFERROR(__xludf.DUMMYFUNCTION("""COMPUTED_VALUE"""),72.0)</f>
        <v>72</v>
      </c>
      <c r="F2028" s="19" t="str">
        <f>IFERROR(__xludf.DUMMYFUNCTION("""COMPUTED_VALUE"""),"BLACK")</f>
        <v>BLACK</v>
      </c>
      <c r="G2028" s="20" t="str">
        <f>IFERROR(__xludf.DUMMYFUNCTION("""COMPUTED_VALUE"""),"Uncle Sams Cider (04/04/2023)")</f>
        <v>Uncle Sams Cider (04/04/2023)</v>
      </c>
      <c r="H2028" s="19"/>
    </row>
    <row r="2029">
      <c r="A2029" s="9"/>
      <c r="B2029" s="15"/>
      <c r="C2029" s="9">
        <f>IFERROR(__xludf.DUMMYFUNCTION("""COMPUTED_VALUE"""),45123.380710625)</f>
        <v>45123.38071</v>
      </c>
      <c r="D2029" s="15">
        <f>IFERROR(__xludf.DUMMYFUNCTION("""COMPUTED_VALUE"""),1.004)</f>
        <v>1.004</v>
      </c>
      <c r="E2029" s="16">
        <f>IFERROR(__xludf.DUMMYFUNCTION("""COMPUTED_VALUE"""),72.0)</f>
        <v>72</v>
      </c>
      <c r="F2029" s="19" t="str">
        <f>IFERROR(__xludf.DUMMYFUNCTION("""COMPUTED_VALUE"""),"BLACK")</f>
        <v>BLACK</v>
      </c>
      <c r="G2029" s="20" t="str">
        <f>IFERROR(__xludf.DUMMYFUNCTION("""COMPUTED_VALUE"""),"Uncle Sams Cider (04/04/2023)")</f>
        <v>Uncle Sams Cider (04/04/2023)</v>
      </c>
      <c r="H2029" s="19"/>
    </row>
    <row r="2030">
      <c r="A2030" s="9"/>
      <c r="B2030" s="15"/>
      <c r="C2030" s="9">
        <f>IFERROR(__xludf.DUMMYFUNCTION("""COMPUTED_VALUE"""),45123.3702889351)</f>
        <v>45123.37029</v>
      </c>
      <c r="D2030" s="15">
        <f>IFERROR(__xludf.DUMMYFUNCTION("""COMPUTED_VALUE"""),1.004)</f>
        <v>1.004</v>
      </c>
      <c r="E2030" s="16">
        <f>IFERROR(__xludf.DUMMYFUNCTION("""COMPUTED_VALUE"""),72.0)</f>
        <v>72</v>
      </c>
      <c r="F2030" s="19" t="str">
        <f>IFERROR(__xludf.DUMMYFUNCTION("""COMPUTED_VALUE"""),"BLACK")</f>
        <v>BLACK</v>
      </c>
      <c r="G2030" s="20" t="str">
        <f>IFERROR(__xludf.DUMMYFUNCTION("""COMPUTED_VALUE"""),"Uncle Sams Cider (04/04/2023)")</f>
        <v>Uncle Sams Cider (04/04/2023)</v>
      </c>
      <c r="H2030" s="19"/>
    </row>
    <row r="2031">
      <c r="A2031" s="9"/>
      <c r="B2031" s="15"/>
      <c r="C2031" s="9">
        <f>IFERROR(__xludf.DUMMYFUNCTION("""COMPUTED_VALUE"""),45123.3598671296)</f>
        <v>45123.35987</v>
      </c>
      <c r="D2031" s="15">
        <f>IFERROR(__xludf.DUMMYFUNCTION("""COMPUTED_VALUE"""),1.003)</f>
        <v>1.003</v>
      </c>
      <c r="E2031" s="16">
        <f>IFERROR(__xludf.DUMMYFUNCTION("""COMPUTED_VALUE"""),72.0)</f>
        <v>72</v>
      </c>
      <c r="F2031" s="19" t="str">
        <f>IFERROR(__xludf.DUMMYFUNCTION("""COMPUTED_VALUE"""),"BLACK")</f>
        <v>BLACK</v>
      </c>
      <c r="G2031" s="20" t="str">
        <f>IFERROR(__xludf.DUMMYFUNCTION("""COMPUTED_VALUE"""),"Uncle Sams Cider (04/04/2023)")</f>
        <v>Uncle Sams Cider (04/04/2023)</v>
      </c>
      <c r="H2031" s="19"/>
    </row>
    <row r="2032">
      <c r="A2032" s="9"/>
      <c r="B2032" s="15"/>
      <c r="C2032" s="9">
        <f>IFERROR(__xludf.DUMMYFUNCTION("""COMPUTED_VALUE"""),45123.3494459259)</f>
        <v>45123.34945</v>
      </c>
      <c r="D2032" s="15">
        <f>IFERROR(__xludf.DUMMYFUNCTION("""COMPUTED_VALUE"""),1.003)</f>
        <v>1.003</v>
      </c>
      <c r="E2032" s="16">
        <f>IFERROR(__xludf.DUMMYFUNCTION("""COMPUTED_VALUE"""),72.0)</f>
        <v>72</v>
      </c>
      <c r="F2032" s="19" t="str">
        <f>IFERROR(__xludf.DUMMYFUNCTION("""COMPUTED_VALUE"""),"BLACK")</f>
        <v>BLACK</v>
      </c>
      <c r="G2032" s="20" t="str">
        <f>IFERROR(__xludf.DUMMYFUNCTION("""COMPUTED_VALUE"""),"Uncle Sams Cider (04/04/2023)")</f>
        <v>Uncle Sams Cider (04/04/2023)</v>
      </c>
      <c r="H2032" s="19"/>
    </row>
    <row r="2033">
      <c r="A2033" s="9"/>
      <c r="B2033" s="15"/>
      <c r="C2033" s="9">
        <f>IFERROR(__xludf.DUMMYFUNCTION("""COMPUTED_VALUE"""),45123.3390252546)</f>
        <v>45123.33903</v>
      </c>
      <c r="D2033" s="15">
        <f>IFERROR(__xludf.DUMMYFUNCTION("""COMPUTED_VALUE"""),1.003)</f>
        <v>1.003</v>
      </c>
      <c r="E2033" s="16">
        <f>IFERROR(__xludf.DUMMYFUNCTION("""COMPUTED_VALUE"""),72.0)</f>
        <v>72</v>
      </c>
      <c r="F2033" s="19" t="str">
        <f>IFERROR(__xludf.DUMMYFUNCTION("""COMPUTED_VALUE"""),"BLACK")</f>
        <v>BLACK</v>
      </c>
      <c r="G2033" s="20" t="str">
        <f>IFERROR(__xludf.DUMMYFUNCTION("""COMPUTED_VALUE"""),"Uncle Sams Cider (04/04/2023)")</f>
        <v>Uncle Sams Cider (04/04/2023)</v>
      </c>
      <c r="H2033" s="19"/>
    </row>
    <row r="2034">
      <c r="A2034" s="9"/>
      <c r="B2034" s="15"/>
      <c r="C2034" s="9">
        <f>IFERROR(__xludf.DUMMYFUNCTION("""COMPUTED_VALUE"""),45123.3286041435)</f>
        <v>45123.3286</v>
      </c>
      <c r="D2034" s="15">
        <f>IFERROR(__xludf.DUMMYFUNCTION("""COMPUTED_VALUE"""),1.003)</f>
        <v>1.003</v>
      </c>
      <c r="E2034" s="16">
        <f>IFERROR(__xludf.DUMMYFUNCTION("""COMPUTED_VALUE"""),72.0)</f>
        <v>72</v>
      </c>
      <c r="F2034" s="19" t="str">
        <f>IFERROR(__xludf.DUMMYFUNCTION("""COMPUTED_VALUE"""),"BLACK")</f>
        <v>BLACK</v>
      </c>
      <c r="G2034" s="20" t="str">
        <f>IFERROR(__xludf.DUMMYFUNCTION("""COMPUTED_VALUE"""),"Uncle Sams Cider (04/04/2023)")</f>
        <v>Uncle Sams Cider (04/04/2023)</v>
      </c>
      <c r="H2034" s="19"/>
    </row>
    <row r="2035">
      <c r="A2035" s="9"/>
      <c r="B2035" s="15"/>
      <c r="C2035" s="9">
        <f>IFERROR(__xludf.DUMMYFUNCTION("""COMPUTED_VALUE"""),45123.3181828935)</f>
        <v>45123.31818</v>
      </c>
      <c r="D2035" s="15">
        <f>IFERROR(__xludf.DUMMYFUNCTION("""COMPUTED_VALUE"""),1.004)</f>
        <v>1.004</v>
      </c>
      <c r="E2035" s="16">
        <f>IFERROR(__xludf.DUMMYFUNCTION("""COMPUTED_VALUE"""),72.0)</f>
        <v>72</v>
      </c>
      <c r="F2035" s="19" t="str">
        <f>IFERROR(__xludf.DUMMYFUNCTION("""COMPUTED_VALUE"""),"BLACK")</f>
        <v>BLACK</v>
      </c>
      <c r="G2035" s="20" t="str">
        <f>IFERROR(__xludf.DUMMYFUNCTION("""COMPUTED_VALUE"""),"Uncle Sams Cider (04/04/2023)")</f>
        <v>Uncle Sams Cider (04/04/2023)</v>
      </c>
      <c r="H2035" s="19"/>
    </row>
    <row r="2036">
      <c r="A2036" s="9"/>
      <c r="B2036" s="15"/>
      <c r="C2036" s="9">
        <f>IFERROR(__xludf.DUMMYFUNCTION("""COMPUTED_VALUE"""),45123.3077633449)</f>
        <v>45123.30776</v>
      </c>
      <c r="D2036" s="15">
        <f>IFERROR(__xludf.DUMMYFUNCTION("""COMPUTED_VALUE"""),1.003)</f>
        <v>1.003</v>
      </c>
      <c r="E2036" s="16">
        <f>IFERROR(__xludf.DUMMYFUNCTION("""COMPUTED_VALUE"""),72.0)</f>
        <v>72</v>
      </c>
      <c r="F2036" s="19" t="str">
        <f>IFERROR(__xludf.DUMMYFUNCTION("""COMPUTED_VALUE"""),"BLACK")</f>
        <v>BLACK</v>
      </c>
      <c r="G2036" s="20" t="str">
        <f>IFERROR(__xludf.DUMMYFUNCTION("""COMPUTED_VALUE"""),"Uncle Sams Cider (04/04/2023)")</f>
        <v>Uncle Sams Cider (04/04/2023)</v>
      </c>
      <c r="H2036" s="19"/>
    </row>
    <row r="2037">
      <c r="A2037" s="9"/>
      <c r="B2037" s="15"/>
      <c r="C2037" s="9">
        <f>IFERROR(__xludf.DUMMYFUNCTION("""COMPUTED_VALUE"""),45123.297343125)</f>
        <v>45123.29734</v>
      </c>
      <c r="D2037" s="15">
        <f>IFERROR(__xludf.DUMMYFUNCTION("""COMPUTED_VALUE"""),1.003)</f>
        <v>1.003</v>
      </c>
      <c r="E2037" s="16">
        <f>IFERROR(__xludf.DUMMYFUNCTION("""COMPUTED_VALUE"""),72.0)</f>
        <v>72</v>
      </c>
      <c r="F2037" s="19" t="str">
        <f>IFERROR(__xludf.DUMMYFUNCTION("""COMPUTED_VALUE"""),"BLACK")</f>
        <v>BLACK</v>
      </c>
      <c r="G2037" s="20" t="str">
        <f>IFERROR(__xludf.DUMMYFUNCTION("""COMPUTED_VALUE"""),"Uncle Sams Cider (04/04/2023)")</f>
        <v>Uncle Sams Cider (04/04/2023)</v>
      </c>
      <c r="H2037" s="19"/>
    </row>
    <row r="2038">
      <c r="A2038" s="9"/>
      <c r="B2038" s="15"/>
      <c r="C2038" s="9">
        <f>IFERROR(__xludf.DUMMYFUNCTION("""COMPUTED_VALUE"""),45123.28692125)</f>
        <v>45123.28692</v>
      </c>
      <c r="D2038" s="15">
        <f>IFERROR(__xludf.DUMMYFUNCTION("""COMPUTED_VALUE"""),1.003)</f>
        <v>1.003</v>
      </c>
      <c r="E2038" s="16">
        <f>IFERROR(__xludf.DUMMYFUNCTION("""COMPUTED_VALUE"""),72.0)</f>
        <v>72</v>
      </c>
      <c r="F2038" s="19" t="str">
        <f>IFERROR(__xludf.DUMMYFUNCTION("""COMPUTED_VALUE"""),"BLACK")</f>
        <v>BLACK</v>
      </c>
      <c r="G2038" s="20" t="str">
        <f>IFERROR(__xludf.DUMMYFUNCTION("""COMPUTED_VALUE"""),"Uncle Sams Cider (04/04/2023)")</f>
        <v>Uncle Sams Cider (04/04/2023)</v>
      </c>
      <c r="H2038" s="19"/>
    </row>
    <row r="2039">
      <c r="A2039" s="9"/>
      <c r="B2039" s="15"/>
      <c r="C2039" s="9">
        <f>IFERROR(__xludf.DUMMYFUNCTION("""COMPUTED_VALUE"""),45123.276500081)</f>
        <v>45123.2765</v>
      </c>
      <c r="D2039" s="15">
        <f>IFERROR(__xludf.DUMMYFUNCTION("""COMPUTED_VALUE"""),1.003)</f>
        <v>1.003</v>
      </c>
      <c r="E2039" s="16">
        <f>IFERROR(__xludf.DUMMYFUNCTION("""COMPUTED_VALUE"""),72.0)</f>
        <v>72</v>
      </c>
      <c r="F2039" s="19" t="str">
        <f>IFERROR(__xludf.DUMMYFUNCTION("""COMPUTED_VALUE"""),"BLACK")</f>
        <v>BLACK</v>
      </c>
      <c r="G2039" s="20" t="str">
        <f>IFERROR(__xludf.DUMMYFUNCTION("""COMPUTED_VALUE"""),"Uncle Sams Cider (04/04/2023)")</f>
        <v>Uncle Sams Cider (04/04/2023)</v>
      </c>
      <c r="H2039" s="19"/>
    </row>
    <row r="2040">
      <c r="A2040" s="9"/>
      <c r="B2040" s="15"/>
      <c r="C2040" s="9">
        <f>IFERROR(__xludf.DUMMYFUNCTION("""COMPUTED_VALUE"""),45123.2660773842)</f>
        <v>45123.26608</v>
      </c>
      <c r="D2040" s="15">
        <f>IFERROR(__xludf.DUMMYFUNCTION("""COMPUTED_VALUE"""),1.004)</f>
        <v>1.004</v>
      </c>
      <c r="E2040" s="16">
        <f>IFERROR(__xludf.DUMMYFUNCTION("""COMPUTED_VALUE"""),72.0)</f>
        <v>72</v>
      </c>
      <c r="F2040" s="19" t="str">
        <f>IFERROR(__xludf.DUMMYFUNCTION("""COMPUTED_VALUE"""),"BLACK")</f>
        <v>BLACK</v>
      </c>
      <c r="G2040" s="20" t="str">
        <f>IFERROR(__xludf.DUMMYFUNCTION("""COMPUTED_VALUE"""),"Uncle Sams Cider (04/04/2023)")</f>
        <v>Uncle Sams Cider (04/04/2023)</v>
      </c>
      <c r="H2040" s="19"/>
    </row>
    <row r="2041">
      <c r="A2041" s="9"/>
      <c r="B2041" s="15"/>
      <c r="C2041" s="9">
        <f>IFERROR(__xludf.DUMMYFUNCTION("""COMPUTED_VALUE"""),45123.2556557638)</f>
        <v>45123.25566</v>
      </c>
      <c r="D2041" s="15">
        <f>IFERROR(__xludf.DUMMYFUNCTION("""COMPUTED_VALUE"""),1.003)</f>
        <v>1.003</v>
      </c>
      <c r="E2041" s="16">
        <f>IFERROR(__xludf.DUMMYFUNCTION("""COMPUTED_VALUE"""),72.0)</f>
        <v>72</v>
      </c>
      <c r="F2041" s="19" t="str">
        <f>IFERROR(__xludf.DUMMYFUNCTION("""COMPUTED_VALUE"""),"BLACK")</f>
        <v>BLACK</v>
      </c>
      <c r="G2041" s="20" t="str">
        <f>IFERROR(__xludf.DUMMYFUNCTION("""COMPUTED_VALUE"""),"Uncle Sams Cider (04/04/2023)")</f>
        <v>Uncle Sams Cider (04/04/2023)</v>
      </c>
      <c r="H2041" s="19"/>
    </row>
    <row r="2042">
      <c r="A2042" s="9"/>
      <c r="B2042" s="15"/>
      <c r="C2042" s="9">
        <f>IFERROR(__xludf.DUMMYFUNCTION("""COMPUTED_VALUE"""),45123.245234155)</f>
        <v>45123.24523</v>
      </c>
      <c r="D2042" s="15">
        <f>IFERROR(__xludf.DUMMYFUNCTION("""COMPUTED_VALUE"""),1.004)</f>
        <v>1.004</v>
      </c>
      <c r="E2042" s="16">
        <f>IFERROR(__xludf.DUMMYFUNCTION("""COMPUTED_VALUE"""),72.0)</f>
        <v>72</v>
      </c>
      <c r="F2042" s="19" t="str">
        <f>IFERROR(__xludf.DUMMYFUNCTION("""COMPUTED_VALUE"""),"BLACK")</f>
        <v>BLACK</v>
      </c>
      <c r="G2042" s="20" t="str">
        <f>IFERROR(__xludf.DUMMYFUNCTION("""COMPUTED_VALUE"""),"Uncle Sams Cider (04/04/2023)")</f>
        <v>Uncle Sams Cider (04/04/2023)</v>
      </c>
      <c r="H2042" s="19"/>
    </row>
    <row r="2043">
      <c r="A2043" s="9"/>
      <c r="B2043" s="15"/>
      <c r="C2043" s="9">
        <f>IFERROR(__xludf.DUMMYFUNCTION("""COMPUTED_VALUE"""),45123.2348005092)</f>
        <v>45123.2348</v>
      </c>
      <c r="D2043" s="15">
        <f>IFERROR(__xludf.DUMMYFUNCTION("""COMPUTED_VALUE"""),1.003)</f>
        <v>1.003</v>
      </c>
      <c r="E2043" s="16">
        <f>IFERROR(__xludf.DUMMYFUNCTION("""COMPUTED_VALUE"""),72.0)</f>
        <v>72</v>
      </c>
      <c r="F2043" s="19" t="str">
        <f>IFERROR(__xludf.DUMMYFUNCTION("""COMPUTED_VALUE"""),"BLACK")</f>
        <v>BLACK</v>
      </c>
      <c r="G2043" s="20" t="str">
        <f>IFERROR(__xludf.DUMMYFUNCTION("""COMPUTED_VALUE"""),"Uncle Sams Cider (04/04/2023)")</f>
        <v>Uncle Sams Cider (04/04/2023)</v>
      </c>
      <c r="H2043" s="19"/>
    </row>
    <row r="2044">
      <c r="A2044" s="9"/>
      <c r="B2044" s="15"/>
      <c r="C2044" s="9">
        <f>IFERROR(__xludf.DUMMYFUNCTION("""COMPUTED_VALUE"""),45123.2243803703)</f>
        <v>45123.22438</v>
      </c>
      <c r="D2044" s="15">
        <f>IFERROR(__xludf.DUMMYFUNCTION("""COMPUTED_VALUE"""),1.003)</f>
        <v>1.003</v>
      </c>
      <c r="E2044" s="16">
        <f>IFERROR(__xludf.DUMMYFUNCTION("""COMPUTED_VALUE"""),72.0)</f>
        <v>72</v>
      </c>
      <c r="F2044" s="19" t="str">
        <f>IFERROR(__xludf.DUMMYFUNCTION("""COMPUTED_VALUE"""),"BLACK")</f>
        <v>BLACK</v>
      </c>
      <c r="G2044" s="20" t="str">
        <f>IFERROR(__xludf.DUMMYFUNCTION("""COMPUTED_VALUE"""),"Uncle Sams Cider (04/04/2023)")</f>
        <v>Uncle Sams Cider (04/04/2023)</v>
      </c>
      <c r="H2044" s="19"/>
    </row>
    <row r="2045">
      <c r="A2045" s="9"/>
      <c r="B2045" s="15"/>
      <c r="C2045" s="9">
        <f>IFERROR(__xludf.DUMMYFUNCTION("""COMPUTED_VALUE"""),45123.2139590393)</f>
        <v>45123.21396</v>
      </c>
      <c r="D2045" s="15">
        <f>IFERROR(__xludf.DUMMYFUNCTION("""COMPUTED_VALUE"""),1.003)</f>
        <v>1.003</v>
      </c>
      <c r="E2045" s="16">
        <f>IFERROR(__xludf.DUMMYFUNCTION("""COMPUTED_VALUE"""),72.0)</f>
        <v>72</v>
      </c>
      <c r="F2045" s="19" t="str">
        <f>IFERROR(__xludf.DUMMYFUNCTION("""COMPUTED_VALUE"""),"BLACK")</f>
        <v>BLACK</v>
      </c>
      <c r="G2045" s="20" t="str">
        <f>IFERROR(__xludf.DUMMYFUNCTION("""COMPUTED_VALUE"""),"Uncle Sams Cider (04/04/2023)")</f>
        <v>Uncle Sams Cider (04/04/2023)</v>
      </c>
      <c r="H2045" s="19"/>
    </row>
    <row r="2046">
      <c r="A2046" s="9"/>
      <c r="B2046" s="15"/>
      <c r="C2046" s="9">
        <f>IFERROR(__xludf.DUMMYFUNCTION("""COMPUTED_VALUE"""),45123.2035387615)</f>
        <v>45123.20354</v>
      </c>
      <c r="D2046" s="15">
        <f>IFERROR(__xludf.DUMMYFUNCTION("""COMPUTED_VALUE"""),1.003)</f>
        <v>1.003</v>
      </c>
      <c r="E2046" s="16">
        <f>IFERROR(__xludf.DUMMYFUNCTION("""COMPUTED_VALUE"""),72.0)</f>
        <v>72</v>
      </c>
      <c r="F2046" s="19" t="str">
        <f>IFERROR(__xludf.DUMMYFUNCTION("""COMPUTED_VALUE"""),"BLACK")</f>
        <v>BLACK</v>
      </c>
      <c r="G2046" s="20" t="str">
        <f>IFERROR(__xludf.DUMMYFUNCTION("""COMPUTED_VALUE"""),"Uncle Sams Cider (04/04/2023)")</f>
        <v>Uncle Sams Cider (04/04/2023)</v>
      </c>
      <c r="H2046" s="19"/>
    </row>
    <row r="2047">
      <c r="A2047" s="9"/>
      <c r="B2047" s="15"/>
      <c r="C2047" s="9">
        <f>IFERROR(__xludf.DUMMYFUNCTION("""COMPUTED_VALUE"""),45123.193116875)</f>
        <v>45123.19312</v>
      </c>
      <c r="D2047" s="15">
        <f>IFERROR(__xludf.DUMMYFUNCTION("""COMPUTED_VALUE"""),1.003)</f>
        <v>1.003</v>
      </c>
      <c r="E2047" s="16">
        <f>IFERROR(__xludf.DUMMYFUNCTION("""COMPUTED_VALUE"""),72.0)</f>
        <v>72</v>
      </c>
      <c r="F2047" s="19" t="str">
        <f>IFERROR(__xludf.DUMMYFUNCTION("""COMPUTED_VALUE"""),"BLACK")</f>
        <v>BLACK</v>
      </c>
      <c r="G2047" s="20" t="str">
        <f>IFERROR(__xludf.DUMMYFUNCTION("""COMPUTED_VALUE"""),"Uncle Sams Cider (04/04/2023)")</f>
        <v>Uncle Sams Cider (04/04/2023)</v>
      </c>
      <c r="H2047" s="19"/>
    </row>
    <row r="2048">
      <c r="A2048" s="9"/>
      <c r="B2048" s="15"/>
      <c r="C2048" s="9">
        <f>IFERROR(__xludf.DUMMYFUNCTION("""COMPUTED_VALUE"""),45123.1826500347)</f>
        <v>45123.18265</v>
      </c>
      <c r="D2048" s="15">
        <f>IFERROR(__xludf.DUMMYFUNCTION("""COMPUTED_VALUE"""),1.003)</f>
        <v>1.003</v>
      </c>
      <c r="E2048" s="16">
        <f>IFERROR(__xludf.DUMMYFUNCTION("""COMPUTED_VALUE"""),72.0)</f>
        <v>72</v>
      </c>
      <c r="F2048" s="19" t="str">
        <f>IFERROR(__xludf.DUMMYFUNCTION("""COMPUTED_VALUE"""),"BLACK")</f>
        <v>BLACK</v>
      </c>
      <c r="G2048" s="20" t="str">
        <f>IFERROR(__xludf.DUMMYFUNCTION("""COMPUTED_VALUE"""),"Uncle Sams Cider (04/04/2023)")</f>
        <v>Uncle Sams Cider (04/04/2023)</v>
      </c>
      <c r="H2048" s="19"/>
    </row>
    <row r="2049">
      <c r="A2049" s="9"/>
      <c r="B2049" s="15"/>
      <c r="C2049" s="9">
        <f>IFERROR(__xludf.DUMMYFUNCTION("""COMPUTED_VALUE"""),45123.1722302777)</f>
        <v>45123.17223</v>
      </c>
      <c r="D2049" s="15">
        <f>IFERROR(__xludf.DUMMYFUNCTION("""COMPUTED_VALUE"""),1.003)</f>
        <v>1.003</v>
      </c>
      <c r="E2049" s="16">
        <f>IFERROR(__xludf.DUMMYFUNCTION("""COMPUTED_VALUE"""),72.0)</f>
        <v>72</v>
      </c>
      <c r="F2049" s="19" t="str">
        <f>IFERROR(__xludf.DUMMYFUNCTION("""COMPUTED_VALUE"""),"BLACK")</f>
        <v>BLACK</v>
      </c>
      <c r="G2049" s="20" t="str">
        <f>IFERROR(__xludf.DUMMYFUNCTION("""COMPUTED_VALUE"""),"Uncle Sams Cider (04/04/2023)")</f>
        <v>Uncle Sams Cider (04/04/2023)</v>
      </c>
      <c r="H2049" s="19"/>
    </row>
    <row r="2050">
      <c r="A2050" s="9"/>
      <c r="B2050" s="15"/>
      <c r="C2050" s="9">
        <f>IFERROR(__xludf.DUMMYFUNCTION("""COMPUTED_VALUE"""),45123.1618081018)</f>
        <v>45123.16181</v>
      </c>
      <c r="D2050" s="15">
        <f>IFERROR(__xludf.DUMMYFUNCTION("""COMPUTED_VALUE"""),1.003)</f>
        <v>1.003</v>
      </c>
      <c r="E2050" s="16">
        <f>IFERROR(__xludf.DUMMYFUNCTION("""COMPUTED_VALUE"""),72.0)</f>
        <v>72</v>
      </c>
      <c r="F2050" s="19" t="str">
        <f>IFERROR(__xludf.DUMMYFUNCTION("""COMPUTED_VALUE"""),"BLACK")</f>
        <v>BLACK</v>
      </c>
      <c r="G2050" s="20" t="str">
        <f>IFERROR(__xludf.DUMMYFUNCTION("""COMPUTED_VALUE"""),"Uncle Sams Cider (04/04/2023)")</f>
        <v>Uncle Sams Cider (04/04/2023)</v>
      </c>
      <c r="H2050" s="19"/>
    </row>
    <row r="2051">
      <c r="A2051" s="9"/>
      <c r="B2051" s="15"/>
      <c r="C2051" s="9">
        <f>IFERROR(__xludf.DUMMYFUNCTION("""COMPUTED_VALUE"""),45123.1513875347)</f>
        <v>45123.15139</v>
      </c>
      <c r="D2051" s="15">
        <f>IFERROR(__xludf.DUMMYFUNCTION("""COMPUTED_VALUE"""),1.003)</f>
        <v>1.003</v>
      </c>
      <c r="E2051" s="16">
        <f>IFERROR(__xludf.DUMMYFUNCTION("""COMPUTED_VALUE"""),72.0)</f>
        <v>72</v>
      </c>
      <c r="F2051" s="19" t="str">
        <f>IFERROR(__xludf.DUMMYFUNCTION("""COMPUTED_VALUE"""),"BLACK")</f>
        <v>BLACK</v>
      </c>
      <c r="G2051" s="20" t="str">
        <f>IFERROR(__xludf.DUMMYFUNCTION("""COMPUTED_VALUE"""),"Uncle Sams Cider (04/04/2023)")</f>
        <v>Uncle Sams Cider (04/04/2023)</v>
      </c>
      <c r="H2051" s="19"/>
    </row>
    <row r="2052">
      <c r="A2052" s="9"/>
      <c r="B2052" s="15"/>
      <c r="C2052" s="9">
        <f>IFERROR(__xludf.DUMMYFUNCTION("""COMPUTED_VALUE"""),45123.1409554629)</f>
        <v>45123.14096</v>
      </c>
      <c r="D2052" s="15">
        <f>IFERROR(__xludf.DUMMYFUNCTION("""COMPUTED_VALUE"""),1.004)</f>
        <v>1.004</v>
      </c>
      <c r="E2052" s="16">
        <f>IFERROR(__xludf.DUMMYFUNCTION("""COMPUTED_VALUE"""),72.0)</f>
        <v>72</v>
      </c>
      <c r="F2052" s="19" t="str">
        <f>IFERROR(__xludf.DUMMYFUNCTION("""COMPUTED_VALUE"""),"BLACK")</f>
        <v>BLACK</v>
      </c>
      <c r="G2052" s="20" t="str">
        <f>IFERROR(__xludf.DUMMYFUNCTION("""COMPUTED_VALUE"""),"Uncle Sams Cider (04/04/2023)")</f>
        <v>Uncle Sams Cider (04/04/2023)</v>
      </c>
      <c r="H2052" s="19"/>
    </row>
    <row r="2053">
      <c r="A2053" s="9"/>
      <c r="B2053" s="15"/>
      <c r="C2053" s="9">
        <f>IFERROR(__xludf.DUMMYFUNCTION("""COMPUTED_VALUE"""),45123.130500405)</f>
        <v>45123.1305</v>
      </c>
      <c r="D2053" s="15">
        <f>IFERROR(__xludf.DUMMYFUNCTION("""COMPUTED_VALUE"""),1.003)</f>
        <v>1.003</v>
      </c>
      <c r="E2053" s="16">
        <f>IFERROR(__xludf.DUMMYFUNCTION("""COMPUTED_VALUE"""),72.0)</f>
        <v>72</v>
      </c>
      <c r="F2053" s="19" t="str">
        <f>IFERROR(__xludf.DUMMYFUNCTION("""COMPUTED_VALUE"""),"BLACK")</f>
        <v>BLACK</v>
      </c>
      <c r="G2053" s="20" t="str">
        <f>IFERROR(__xludf.DUMMYFUNCTION("""COMPUTED_VALUE"""),"Uncle Sams Cider (04/04/2023)")</f>
        <v>Uncle Sams Cider (04/04/2023)</v>
      </c>
      <c r="H2053" s="19"/>
    </row>
    <row r="2054">
      <c r="A2054" s="9"/>
      <c r="B2054" s="15"/>
      <c r="C2054" s="9">
        <f>IFERROR(__xludf.DUMMYFUNCTION("""COMPUTED_VALUE"""),45123.1200810069)</f>
        <v>45123.12008</v>
      </c>
      <c r="D2054" s="15">
        <f>IFERROR(__xludf.DUMMYFUNCTION("""COMPUTED_VALUE"""),1.004)</f>
        <v>1.004</v>
      </c>
      <c r="E2054" s="16">
        <f>IFERROR(__xludf.DUMMYFUNCTION("""COMPUTED_VALUE"""),72.0)</f>
        <v>72</v>
      </c>
      <c r="F2054" s="19" t="str">
        <f>IFERROR(__xludf.DUMMYFUNCTION("""COMPUTED_VALUE"""),"BLACK")</f>
        <v>BLACK</v>
      </c>
      <c r="G2054" s="20" t="str">
        <f>IFERROR(__xludf.DUMMYFUNCTION("""COMPUTED_VALUE"""),"Uncle Sams Cider (04/04/2023)")</f>
        <v>Uncle Sams Cider (04/04/2023)</v>
      </c>
      <c r="H2054" s="19"/>
    </row>
    <row r="2055">
      <c r="A2055" s="9"/>
      <c r="B2055" s="15"/>
      <c r="C2055" s="9">
        <f>IFERROR(__xludf.DUMMYFUNCTION("""COMPUTED_VALUE"""),45123.1096474884)</f>
        <v>45123.10965</v>
      </c>
      <c r="D2055" s="15">
        <f>IFERROR(__xludf.DUMMYFUNCTION("""COMPUTED_VALUE"""),1.003)</f>
        <v>1.003</v>
      </c>
      <c r="E2055" s="16">
        <f>IFERROR(__xludf.DUMMYFUNCTION("""COMPUTED_VALUE"""),72.0)</f>
        <v>72</v>
      </c>
      <c r="F2055" s="19" t="str">
        <f>IFERROR(__xludf.DUMMYFUNCTION("""COMPUTED_VALUE"""),"BLACK")</f>
        <v>BLACK</v>
      </c>
      <c r="G2055" s="20" t="str">
        <f>IFERROR(__xludf.DUMMYFUNCTION("""COMPUTED_VALUE"""),"Uncle Sams Cider (04/04/2023)")</f>
        <v>Uncle Sams Cider (04/04/2023)</v>
      </c>
      <c r="H2055" s="19"/>
    </row>
    <row r="2056">
      <c r="A2056" s="9"/>
      <c r="B2056" s="15"/>
      <c r="C2056" s="9">
        <f>IFERROR(__xludf.DUMMYFUNCTION("""COMPUTED_VALUE"""),45123.0992148842)</f>
        <v>45123.09921</v>
      </c>
      <c r="D2056" s="15">
        <f>IFERROR(__xludf.DUMMYFUNCTION("""COMPUTED_VALUE"""),1.003)</f>
        <v>1.003</v>
      </c>
      <c r="E2056" s="16">
        <f>IFERROR(__xludf.DUMMYFUNCTION("""COMPUTED_VALUE"""),72.0)</f>
        <v>72</v>
      </c>
      <c r="F2056" s="19" t="str">
        <f>IFERROR(__xludf.DUMMYFUNCTION("""COMPUTED_VALUE"""),"BLACK")</f>
        <v>BLACK</v>
      </c>
      <c r="G2056" s="20" t="str">
        <f>IFERROR(__xludf.DUMMYFUNCTION("""COMPUTED_VALUE"""),"Uncle Sams Cider (04/04/2023)")</f>
        <v>Uncle Sams Cider (04/04/2023)</v>
      </c>
      <c r="H2056" s="19"/>
    </row>
    <row r="2057">
      <c r="A2057" s="9"/>
      <c r="B2057" s="15"/>
      <c r="C2057" s="9">
        <f>IFERROR(__xludf.DUMMYFUNCTION("""COMPUTED_VALUE"""),45123.0887825)</f>
        <v>45123.08878</v>
      </c>
      <c r="D2057" s="15">
        <f>IFERROR(__xludf.DUMMYFUNCTION("""COMPUTED_VALUE"""),1.003)</f>
        <v>1.003</v>
      </c>
      <c r="E2057" s="16">
        <f>IFERROR(__xludf.DUMMYFUNCTION("""COMPUTED_VALUE"""),72.0)</f>
        <v>72</v>
      </c>
      <c r="F2057" s="19" t="str">
        <f>IFERROR(__xludf.DUMMYFUNCTION("""COMPUTED_VALUE"""),"BLACK")</f>
        <v>BLACK</v>
      </c>
      <c r="G2057" s="20" t="str">
        <f>IFERROR(__xludf.DUMMYFUNCTION("""COMPUTED_VALUE"""),"Uncle Sams Cider (04/04/2023)")</f>
        <v>Uncle Sams Cider (04/04/2023)</v>
      </c>
      <c r="H2057" s="19"/>
    </row>
    <row r="2058">
      <c r="A2058" s="9"/>
      <c r="B2058" s="15"/>
      <c r="C2058" s="9">
        <f>IFERROR(__xludf.DUMMYFUNCTION("""COMPUTED_VALUE"""),45123.0783489467)</f>
        <v>45123.07835</v>
      </c>
      <c r="D2058" s="15">
        <f>IFERROR(__xludf.DUMMYFUNCTION("""COMPUTED_VALUE"""),1.003)</f>
        <v>1.003</v>
      </c>
      <c r="E2058" s="16">
        <f>IFERROR(__xludf.DUMMYFUNCTION("""COMPUTED_VALUE"""),72.0)</f>
        <v>72</v>
      </c>
      <c r="F2058" s="19" t="str">
        <f>IFERROR(__xludf.DUMMYFUNCTION("""COMPUTED_VALUE"""),"BLACK")</f>
        <v>BLACK</v>
      </c>
      <c r="G2058" s="20" t="str">
        <f>IFERROR(__xludf.DUMMYFUNCTION("""COMPUTED_VALUE"""),"Uncle Sams Cider (04/04/2023)")</f>
        <v>Uncle Sams Cider (04/04/2023)</v>
      </c>
      <c r="H2058" s="19"/>
    </row>
    <row r="2059">
      <c r="A2059" s="9"/>
      <c r="B2059" s="15"/>
      <c r="C2059" s="9">
        <f>IFERROR(__xludf.DUMMYFUNCTION("""COMPUTED_VALUE"""),45123.0679292939)</f>
        <v>45123.06793</v>
      </c>
      <c r="D2059" s="15">
        <f>IFERROR(__xludf.DUMMYFUNCTION("""COMPUTED_VALUE"""),1.003)</f>
        <v>1.003</v>
      </c>
      <c r="E2059" s="16">
        <f>IFERROR(__xludf.DUMMYFUNCTION("""COMPUTED_VALUE"""),72.0)</f>
        <v>72</v>
      </c>
      <c r="F2059" s="19" t="str">
        <f>IFERROR(__xludf.DUMMYFUNCTION("""COMPUTED_VALUE"""),"BLACK")</f>
        <v>BLACK</v>
      </c>
      <c r="G2059" s="20" t="str">
        <f>IFERROR(__xludf.DUMMYFUNCTION("""COMPUTED_VALUE"""),"Uncle Sams Cider (04/04/2023)")</f>
        <v>Uncle Sams Cider (04/04/2023)</v>
      </c>
      <c r="H2059" s="19"/>
    </row>
    <row r="2060">
      <c r="A2060" s="9"/>
      <c r="B2060" s="15"/>
      <c r="C2060" s="9">
        <f>IFERROR(__xludf.DUMMYFUNCTION("""COMPUTED_VALUE"""),45123.0575098958)</f>
        <v>45123.05751</v>
      </c>
      <c r="D2060" s="15">
        <f>IFERROR(__xludf.DUMMYFUNCTION("""COMPUTED_VALUE"""),1.003)</f>
        <v>1.003</v>
      </c>
      <c r="E2060" s="16">
        <f>IFERROR(__xludf.DUMMYFUNCTION("""COMPUTED_VALUE"""),72.0)</f>
        <v>72</v>
      </c>
      <c r="F2060" s="19" t="str">
        <f>IFERROR(__xludf.DUMMYFUNCTION("""COMPUTED_VALUE"""),"BLACK")</f>
        <v>BLACK</v>
      </c>
      <c r="G2060" s="20" t="str">
        <f>IFERROR(__xludf.DUMMYFUNCTION("""COMPUTED_VALUE"""),"Uncle Sams Cider (04/04/2023)")</f>
        <v>Uncle Sams Cider (04/04/2023)</v>
      </c>
      <c r="H2060" s="19"/>
    </row>
    <row r="2061">
      <c r="A2061" s="9"/>
      <c r="B2061" s="15"/>
      <c r="C2061" s="9">
        <f>IFERROR(__xludf.DUMMYFUNCTION("""COMPUTED_VALUE"""),45123.0470902314)</f>
        <v>45123.04709</v>
      </c>
      <c r="D2061" s="15">
        <f>IFERROR(__xludf.DUMMYFUNCTION("""COMPUTED_VALUE"""),1.004)</f>
        <v>1.004</v>
      </c>
      <c r="E2061" s="16">
        <f>IFERROR(__xludf.DUMMYFUNCTION("""COMPUTED_VALUE"""),72.0)</f>
        <v>72</v>
      </c>
      <c r="F2061" s="19" t="str">
        <f>IFERROR(__xludf.DUMMYFUNCTION("""COMPUTED_VALUE"""),"BLACK")</f>
        <v>BLACK</v>
      </c>
      <c r="G2061" s="20" t="str">
        <f>IFERROR(__xludf.DUMMYFUNCTION("""COMPUTED_VALUE"""),"Uncle Sams Cider (04/04/2023)")</f>
        <v>Uncle Sams Cider (04/04/2023)</v>
      </c>
      <c r="H2061" s="19"/>
    </row>
    <row r="2062">
      <c r="A2062" s="9"/>
      <c r="B2062" s="15"/>
      <c r="C2062" s="9">
        <f>IFERROR(__xludf.DUMMYFUNCTION("""COMPUTED_VALUE"""),45123.036671412)</f>
        <v>45123.03667</v>
      </c>
      <c r="D2062" s="15">
        <f>IFERROR(__xludf.DUMMYFUNCTION("""COMPUTED_VALUE"""),1.003)</f>
        <v>1.003</v>
      </c>
      <c r="E2062" s="16">
        <f>IFERROR(__xludf.DUMMYFUNCTION("""COMPUTED_VALUE"""),72.0)</f>
        <v>72</v>
      </c>
      <c r="F2062" s="19" t="str">
        <f>IFERROR(__xludf.DUMMYFUNCTION("""COMPUTED_VALUE"""),"BLACK")</f>
        <v>BLACK</v>
      </c>
      <c r="G2062" s="20" t="str">
        <f>IFERROR(__xludf.DUMMYFUNCTION("""COMPUTED_VALUE"""),"Uncle Sams Cider (04/04/2023)")</f>
        <v>Uncle Sams Cider (04/04/2023)</v>
      </c>
      <c r="H2062" s="19"/>
    </row>
    <row r="2063">
      <c r="A2063" s="9"/>
      <c r="B2063" s="15"/>
      <c r="C2063" s="9">
        <f>IFERROR(__xludf.DUMMYFUNCTION("""COMPUTED_VALUE"""),45123.0262503935)</f>
        <v>45123.02625</v>
      </c>
      <c r="D2063" s="15">
        <f>IFERROR(__xludf.DUMMYFUNCTION("""COMPUTED_VALUE"""),1.003)</f>
        <v>1.003</v>
      </c>
      <c r="E2063" s="16">
        <f>IFERROR(__xludf.DUMMYFUNCTION("""COMPUTED_VALUE"""),72.0)</f>
        <v>72</v>
      </c>
      <c r="F2063" s="19" t="str">
        <f>IFERROR(__xludf.DUMMYFUNCTION("""COMPUTED_VALUE"""),"BLACK")</f>
        <v>BLACK</v>
      </c>
      <c r="G2063" s="20" t="str">
        <f>IFERROR(__xludf.DUMMYFUNCTION("""COMPUTED_VALUE"""),"Uncle Sams Cider (04/04/2023)")</f>
        <v>Uncle Sams Cider (04/04/2023)</v>
      </c>
      <c r="H2063" s="19"/>
    </row>
    <row r="2064">
      <c r="A2064" s="9"/>
      <c r="B2064" s="15"/>
      <c r="C2064" s="9">
        <f>IFERROR(__xludf.DUMMYFUNCTION("""COMPUTED_VALUE"""),45123.0158292824)</f>
        <v>45123.01583</v>
      </c>
      <c r="D2064" s="15">
        <f>IFERROR(__xludf.DUMMYFUNCTION("""COMPUTED_VALUE"""),1.003)</f>
        <v>1.003</v>
      </c>
      <c r="E2064" s="16">
        <f>IFERROR(__xludf.DUMMYFUNCTION("""COMPUTED_VALUE"""),72.0)</f>
        <v>72</v>
      </c>
      <c r="F2064" s="19" t="str">
        <f>IFERROR(__xludf.DUMMYFUNCTION("""COMPUTED_VALUE"""),"BLACK")</f>
        <v>BLACK</v>
      </c>
      <c r="G2064" s="20" t="str">
        <f>IFERROR(__xludf.DUMMYFUNCTION("""COMPUTED_VALUE"""),"Uncle Sams Cider (04/04/2023)")</f>
        <v>Uncle Sams Cider (04/04/2023)</v>
      </c>
      <c r="H2064" s="19"/>
    </row>
    <row r="2065">
      <c r="A2065" s="9"/>
      <c r="B2065" s="15"/>
      <c r="C2065" s="9">
        <f>IFERROR(__xludf.DUMMYFUNCTION("""COMPUTED_VALUE"""),45123.0054093055)</f>
        <v>45123.00541</v>
      </c>
      <c r="D2065" s="15">
        <f>IFERROR(__xludf.DUMMYFUNCTION("""COMPUTED_VALUE"""),1.003)</f>
        <v>1.003</v>
      </c>
      <c r="E2065" s="16">
        <f>IFERROR(__xludf.DUMMYFUNCTION("""COMPUTED_VALUE"""),72.0)</f>
        <v>72</v>
      </c>
      <c r="F2065" s="19" t="str">
        <f>IFERROR(__xludf.DUMMYFUNCTION("""COMPUTED_VALUE"""),"BLACK")</f>
        <v>BLACK</v>
      </c>
      <c r="G2065" s="20" t="str">
        <f>IFERROR(__xludf.DUMMYFUNCTION("""COMPUTED_VALUE"""),"Uncle Sams Cider (04/04/2023)")</f>
        <v>Uncle Sams Cider (04/04/2023)</v>
      </c>
      <c r="H2065" s="19"/>
    </row>
    <row r="2066">
      <c r="A2066" s="9"/>
      <c r="B2066" s="15"/>
      <c r="C2066" s="9">
        <f>IFERROR(__xludf.DUMMYFUNCTION("""COMPUTED_VALUE"""),45122.9949881944)</f>
        <v>45122.99499</v>
      </c>
      <c r="D2066" s="15">
        <f>IFERROR(__xludf.DUMMYFUNCTION("""COMPUTED_VALUE"""),1.003)</f>
        <v>1.003</v>
      </c>
      <c r="E2066" s="16">
        <f>IFERROR(__xludf.DUMMYFUNCTION("""COMPUTED_VALUE"""),72.0)</f>
        <v>72</v>
      </c>
      <c r="F2066" s="19" t="str">
        <f>IFERROR(__xludf.DUMMYFUNCTION("""COMPUTED_VALUE"""),"BLACK")</f>
        <v>BLACK</v>
      </c>
      <c r="G2066" s="20" t="str">
        <f>IFERROR(__xludf.DUMMYFUNCTION("""COMPUTED_VALUE"""),"Uncle Sams Cider (04/04/2023)")</f>
        <v>Uncle Sams Cider (04/04/2023)</v>
      </c>
      <c r="H2066" s="19"/>
    </row>
    <row r="2067">
      <c r="A2067" s="9"/>
      <c r="B2067" s="15"/>
      <c r="C2067" s="9">
        <f>IFERROR(__xludf.DUMMYFUNCTION("""COMPUTED_VALUE"""),45122.9845686921)</f>
        <v>45122.98457</v>
      </c>
      <c r="D2067" s="15">
        <f>IFERROR(__xludf.DUMMYFUNCTION("""COMPUTED_VALUE"""),1.003)</f>
        <v>1.003</v>
      </c>
      <c r="E2067" s="16">
        <f>IFERROR(__xludf.DUMMYFUNCTION("""COMPUTED_VALUE"""),72.0)</f>
        <v>72</v>
      </c>
      <c r="F2067" s="19" t="str">
        <f>IFERROR(__xludf.DUMMYFUNCTION("""COMPUTED_VALUE"""),"BLACK")</f>
        <v>BLACK</v>
      </c>
      <c r="G2067" s="20" t="str">
        <f>IFERROR(__xludf.DUMMYFUNCTION("""COMPUTED_VALUE"""),"Uncle Sams Cider (04/04/2023)")</f>
        <v>Uncle Sams Cider (04/04/2023)</v>
      </c>
      <c r="H2067" s="19"/>
    </row>
    <row r="2068">
      <c r="A2068" s="9"/>
      <c r="B2068" s="15"/>
      <c r="C2068" s="9">
        <f>IFERROR(__xludf.DUMMYFUNCTION("""COMPUTED_VALUE"""),45122.9741451736)</f>
        <v>45122.97415</v>
      </c>
      <c r="D2068" s="15">
        <f>IFERROR(__xludf.DUMMYFUNCTION("""COMPUTED_VALUE"""),1.003)</f>
        <v>1.003</v>
      </c>
      <c r="E2068" s="16">
        <f>IFERROR(__xludf.DUMMYFUNCTION("""COMPUTED_VALUE"""),72.0)</f>
        <v>72</v>
      </c>
      <c r="F2068" s="19" t="str">
        <f>IFERROR(__xludf.DUMMYFUNCTION("""COMPUTED_VALUE"""),"BLACK")</f>
        <v>BLACK</v>
      </c>
      <c r="G2068" s="20" t="str">
        <f>IFERROR(__xludf.DUMMYFUNCTION("""COMPUTED_VALUE"""),"Uncle Sams Cider (04/04/2023)")</f>
        <v>Uncle Sams Cider (04/04/2023)</v>
      </c>
      <c r="H2068" s="19"/>
    </row>
    <row r="2069">
      <c r="A2069" s="9"/>
      <c r="B2069" s="15"/>
      <c r="C2069" s="9">
        <f>IFERROR(__xludf.DUMMYFUNCTION("""COMPUTED_VALUE"""),45122.9636867708)</f>
        <v>45122.96369</v>
      </c>
      <c r="D2069" s="15">
        <f>IFERROR(__xludf.DUMMYFUNCTION("""COMPUTED_VALUE"""),1.003)</f>
        <v>1.003</v>
      </c>
      <c r="E2069" s="16">
        <f>IFERROR(__xludf.DUMMYFUNCTION("""COMPUTED_VALUE"""),72.0)</f>
        <v>72</v>
      </c>
      <c r="F2069" s="19" t="str">
        <f>IFERROR(__xludf.DUMMYFUNCTION("""COMPUTED_VALUE"""),"BLACK")</f>
        <v>BLACK</v>
      </c>
      <c r="G2069" s="20" t="str">
        <f>IFERROR(__xludf.DUMMYFUNCTION("""COMPUTED_VALUE"""),"Uncle Sams Cider (04/04/2023)")</f>
        <v>Uncle Sams Cider (04/04/2023)</v>
      </c>
      <c r="H2069" s="19"/>
    </row>
    <row r="2070">
      <c r="A2070" s="9"/>
      <c r="B2070" s="15"/>
      <c r="C2070" s="9">
        <f>IFERROR(__xludf.DUMMYFUNCTION("""COMPUTED_VALUE"""),45122.9532662731)</f>
        <v>45122.95327</v>
      </c>
      <c r="D2070" s="15">
        <f>IFERROR(__xludf.DUMMYFUNCTION("""COMPUTED_VALUE"""),1.003)</f>
        <v>1.003</v>
      </c>
      <c r="E2070" s="16">
        <f>IFERROR(__xludf.DUMMYFUNCTION("""COMPUTED_VALUE"""),72.0)</f>
        <v>72</v>
      </c>
      <c r="F2070" s="19" t="str">
        <f>IFERROR(__xludf.DUMMYFUNCTION("""COMPUTED_VALUE"""),"BLACK")</f>
        <v>BLACK</v>
      </c>
      <c r="G2070" s="20" t="str">
        <f>IFERROR(__xludf.DUMMYFUNCTION("""COMPUTED_VALUE"""),"Uncle Sams Cider (04/04/2023)")</f>
        <v>Uncle Sams Cider (04/04/2023)</v>
      </c>
      <c r="H2070" s="19"/>
    </row>
    <row r="2071">
      <c r="A2071" s="9"/>
      <c r="B2071" s="15"/>
      <c r="C2071" s="9">
        <f>IFERROR(__xludf.DUMMYFUNCTION("""COMPUTED_VALUE"""),45122.9428453125)</f>
        <v>45122.94285</v>
      </c>
      <c r="D2071" s="15">
        <f>IFERROR(__xludf.DUMMYFUNCTION("""COMPUTED_VALUE"""),1.003)</f>
        <v>1.003</v>
      </c>
      <c r="E2071" s="16">
        <f>IFERROR(__xludf.DUMMYFUNCTION("""COMPUTED_VALUE"""),72.0)</f>
        <v>72</v>
      </c>
      <c r="F2071" s="19" t="str">
        <f>IFERROR(__xludf.DUMMYFUNCTION("""COMPUTED_VALUE"""),"BLACK")</f>
        <v>BLACK</v>
      </c>
      <c r="G2071" s="20" t="str">
        <f>IFERROR(__xludf.DUMMYFUNCTION("""COMPUTED_VALUE"""),"Uncle Sams Cider (04/04/2023)")</f>
        <v>Uncle Sams Cider (04/04/2023)</v>
      </c>
      <c r="H2071" s="19"/>
    </row>
    <row r="2072">
      <c r="A2072" s="9"/>
      <c r="B2072" s="15"/>
      <c r="C2072" s="9">
        <f>IFERROR(__xludf.DUMMYFUNCTION("""COMPUTED_VALUE"""),45122.9324234606)</f>
        <v>45122.93242</v>
      </c>
      <c r="D2072" s="15">
        <f>IFERROR(__xludf.DUMMYFUNCTION("""COMPUTED_VALUE"""),1.003)</f>
        <v>1.003</v>
      </c>
      <c r="E2072" s="16">
        <f>IFERROR(__xludf.DUMMYFUNCTION("""COMPUTED_VALUE"""),72.0)</f>
        <v>72</v>
      </c>
      <c r="F2072" s="19" t="str">
        <f>IFERROR(__xludf.DUMMYFUNCTION("""COMPUTED_VALUE"""),"BLACK")</f>
        <v>BLACK</v>
      </c>
      <c r="G2072" s="20" t="str">
        <f>IFERROR(__xludf.DUMMYFUNCTION("""COMPUTED_VALUE"""),"Uncle Sams Cider (04/04/2023)")</f>
        <v>Uncle Sams Cider (04/04/2023)</v>
      </c>
      <c r="H2072" s="19"/>
    </row>
    <row r="2073">
      <c r="A2073" s="9"/>
      <c r="B2073" s="15"/>
      <c r="C2073" s="9">
        <f>IFERROR(__xludf.DUMMYFUNCTION("""COMPUTED_VALUE"""),45122.9220028935)</f>
        <v>45122.922</v>
      </c>
      <c r="D2073" s="15">
        <f>IFERROR(__xludf.DUMMYFUNCTION("""COMPUTED_VALUE"""),1.003)</f>
        <v>1.003</v>
      </c>
      <c r="E2073" s="16">
        <f>IFERROR(__xludf.DUMMYFUNCTION("""COMPUTED_VALUE"""),72.0)</f>
        <v>72</v>
      </c>
      <c r="F2073" s="19" t="str">
        <f>IFERROR(__xludf.DUMMYFUNCTION("""COMPUTED_VALUE"""),"BLACK")</f>
        <v>BLACK</v>
      </c>
      <c r="G2073" s="20" t="str">
        <f>IFERROR(__xludf.DUMMYFUNCTION("""COMPUTED_VALUE"""),"Uncle Sams Cider (04/04/2023)")</f>
        <v>Uncle Sams Cider (04/04/2023)</v>
      </c>
      <c r="H2073" s="19"/>
    </row>
    <row r="2074">
      <c r="A2074" s="9"/>
      <c r="B2074" s="15"/>
      <c r="C2074" s="9">
        <f>IFERROR(__xludf.DUMMYFUNCTION("""COMPUTED_VALUE"""),45122.9115817013)</f>
        <v>45122.91158</v>
      </c>
      <c r="D2074" s="15">
        <f>IFERROR(__xludf.DUMMYFUNCTION("""COMPUTED_VALUE"""),1.004)</f>
        <v>1.004</v>
      </c>
      <c r="E2074" s="16">
        <f>IFERROR(__xludf.DUMMYFUNCTION("""COMPUTED_VALUE"""),72.0)</f>
        <v>72</v>
      </c>
      <c r="F2074" s="19" t="str">
        <f>IFERROR(__xludf.DUMMYFUNCTION("""COMPUTED_VALUE"""),"BLACK")</f>
        <v>BLACK</v>
      </c>
      <c r="G2074" s="20" t="str">
        <f>IFERROR(__xludf.DUMMYFUNCTION("""COMPUTED_VALUE"""),"Uncle Sams Cider (04/04/2023)")</f>
        <v>Uncle Sams Cider (04/04/2023)</v>
      </c>
      <c r="H2074" s="19"/>
    </row>
    <row r="2075">
      <c r="A2075" s="9"/>
      <c r="B2075" s="15"/>
      <c r="C2075" s="9">
        <f>IFERROR(__xludf.DUMMYFUNCTION("""COMPUTED_VALUE"""),45122.901160868)</f>
        <v>45122.90116</v>
      </c>
      <c r="D2075" s="15">
        <f>IFERROR(__xludf.DUMMYFUNCTION("""COMPUTED_VALUE"""),1.003)</f>
        <v>1.003</v>
      </c>
      <c r="E2075" s="16">
        <f>IFERROR(__xludf.DUMMYFUNCTION("""COMPUTED_VALUE"""),72.0)</f>
        <v>72</v>
      </c>
      <c r="F2075" s="19" t="str">
        <f>IFERROR(__xludf.DUMMYFUNCTION("""COMPUTED_VALUE"""),"BLACK")</f>
        <v>BLACK</v>
      </c>
      <c r="G2075" s="20" t="str">
        <f>IFERROR(__xludf.DUMMYFUNCTION("""COMPUTED_VALUE"""),"Uncle Sams Cider (04/04/2023)")</f>
        <v>Uncle Sams Cider (04/04/2023)</v>
      </c>
      <c r="H2075" s="19"/>
    </row>
    <row r="2076">
      <c r="A2076" s="9"/>
      <c r="B2076" s="15"/>
      <c r="C2076" s="9">
        <f>IFERROR(__xludf.DUMMYFUNCTION("""COMPUTED_VALUE"""),45122.89074)</f>
        <v>45122.89074</v>
      </c>
      <c r="D2076" s="15">
        <f>IFERROR(__xludf.DUMMYFUNCTION("""COMPUTED_VALUE"""),1.003)</f>
        <v>1.003</v>
      </c>
      <c r="E2076" s="16">
        <f>IFERROR(__xludf.DUMMYFUNCTION("""COMPUTED_VALUE"""),72.0)</f>
        <v>72</v>
      </c>
      <c r="F2076" s="19" t="str">
        <f>IFERROR(__xludf.DUMMYFUNCTION("""COMPUTED_VALUE"""),"BLACK")</f>
        <v>BLACK</v>
      </c>
      <c r="G2076" s="20" t="str">
        <f>IFERROR(__xludf.DUMMYFUNCTION("""COMPUTED_VALUE"""),"Uncle Sams Cider (04/04/2023)")</f>
        <v>Uncle Sams Cider (04/04/2023)</v>
      </c>
      <c r="H2076" s="19"/>
    </row>
    <row r="2077">
      <c r="A2077" s="9"/>
      <c r="B2077" s="15"/>
      <c r="C2077" s="9">
        <f>IFERROR(__xludf.DUMMYFUNCTION("""COMPUTED_VALUE"""),45122.8803179745)</f>
        <v>45122.88032</v>
      </c>
      <c r="D2077" s="15">
        <f>IFERROR(__xludf.DUMMYFUNCTION("""COMPUTED_VALUE"""),1.003)</f>
        <v>1.003</v>
      </c>
      <c r="E2077" s="16">
        <f>IFERROR(__xludf.DUMMYFUNCTION("""COMPUTED_VALUE"""),72.0)</f>
        <v>72</v>
      </c>
      <c r="F2077" s="19" t="str">
        <f>IFERROR(__xludf.DUMMYFUNCTION("""COMPUTED_VALUE"""),"BLACK")</f>
        <v>BLACK</v>
      </c>
      <c r="G2077" s="20" t="str">
        <f>IFERROR(__xludf.DUMMYFUNCTION("""COMPUTED_VALUE"""),"Uncle Sams Cider (04/04/2023)")</f>
        <v>Uncle Sams Cider (04/04/2023)</v>
      </c>
      <c r="H2077" s="19"/>
    </row>
    <row r="2078">
      <c r="A2078" s="9"/>
      <c r="B2078" s="15"/>
      <c r="C2078" s="9">
        <f>IFERROR(__xludf.DUMMYFUNCTION("""COMPUTED_VALUE"""),45122.8698977893)</f>
        <v>45122.8699</v>
      </c>
      <c r="D2078" s="15">
        <f>IFERROR(__xludf.DUMMYFUNCTION("""COMPUTED_VALUE"""),1.003)</f>
        <v>1.003</v>
      </c>
      <c r="E2078" s="16">
        <f>IFERROR(__xludf.DUMMYFUNCTION("""COMPUTED_VALUE"""),72.0)</f>
        <v>72</v>
      </c>
      <c r="F2078" s="19" t="str">
        <f>IFERROR(__xludf.DUMMYFUNCTION("""COMPUTED_VALUE"""),"BLACK")</f>
        <v>BLACK</v>
      </c>
      <c r="G2078" s="20" t="str">
        <f>IFERROR(__xludf.DUMMYFUNCTION("""COMPUTED_VALUE"""),"Uncle Sams Cider (04/04/2023)")</f>
        <v>Uncle Sams Cider (04/04/2023)</v>
      </c>
      <c r="H2078" s="19"/>
    </row>
    <row r="2079">
      <c r="A2079" s="9"/>
      <c r="B2079" s="15"/>
      <c r="C2079" s="9">
        <f>IFERROR(__xludf.DUMMYFUNCTION("""COMPUTED_VALUE"""),45122.8594763657)</f>
        <v>45122.85948</v>
      </c>
      <c r="D2079" s="15">
        <f>IFERROR(__xludf.DUMMYFUNCTION("""COMPUTED_VALUE"""),1.003)</f>
        <v>1.003</v>
      </c>
      <c r="E2079" s="16">
        <f>IFERROR(__xludf.DUMMYFUNCTION("""COMPUTED_VALUE"""),72.0)</f>
        <v>72</v>
      </c>
      <c r="F2079" s="19" t="str">
        <f>IFERROR(__xludf.DUMMYFUNCTION("""COMPUTED_VALUE"""),"BLACK")</f>
        <v>BLACK</v>
      </c>
      <c r="G2079" s="20" t="str">
        <f>IFERROR(__xludf.DUMMYFUNCTION("""COMPUTED_VALUE"""),"Uncle Sams Cider (04/04/2023)")</f>
        <v>Uncle Sams Cider (04/04/2023)</v>
      </c>
      <c r="H2079" s="19"/>
    </row>
    <row r="2080">
      <c r="A2080" s="9"/>
      <c r="B2080" s="15"/>
      <c r="C2080" s="9">
        <f>IFERROR(__xludf.DUMMYFUNCTION("""COMPUTED_VALUE"""),45122.8490566435)</f>
        <v>45122.84906</v>
      </c>
      <c r="D2080" s="15">
        <f>IFERROR(__xludf.DUMMYFUNCTION("""COMPUTED_VALUE"""),1.003)</f>
        <v>1.003</v>
      </c>
      <c r="E2080" s="16">
        <f>IFERROR(__xludf.DUMMYFUNCTION("""COMPUTED_VALUE"""),72.0)</f>
        <v>72</v>
      </c>
      <c r="F2080" s="19" t="str">
        <f>IFERROR(__xludf.DUMMYFUNCTION("""COMPUTED_VALUE"""),"BLACK")</f>
        <v>BLACK</v>
      </c>
      <c r="G2080" s="20" t="str">
        <f>IFERROR(__xludf.DUMMYFUNCTION("""COMPUTED_VALUE"""),"Uncle Sams Cider (04/04/2023)")</f>
        <v>Uncle Sams Cider (04/04/2023)</v>
      </c>
      <c r="H2080" s="19"/>
    </row>
    <row r="2081">
      <c r="A2081" s="9"/>
      <c r="B2081" s="15"/>
      <c r="C2081" s="9">
        <f>IFERROR(__xludf.DUMMYFUNCTION("""COMPUTED_VALUE"""),45122.8386238773)</f>
        <v>45122.83862</v>
      </c>
      <c r="D2081" s="15">
        <f>IFERROR(__xludf.DUMMYFUNCTION("""COMPUTED_VALUE"""),1.003)</f>
        <v>1.003</v>
      </c>
      <c r="E2081" s="16">
        <f>IFERROR(__xludf.DUMMYFUNCTION("""COMPUTED_VALUE"""),72.0)</f>
        <v>72</v>
      </c>
      <c r="F2081" s="19" t="str">
        <f>IFERROR(__xludf.DUMMYFUNCTION("""COMPUTED_VALUE"""),"BLACK")</f>
        <v>BLACK</v>
      </c>
      <c r="G2081" s="20" t="str">
        <f>IFERROR(__xludf.DUMMYFUNCTION("""COMPUTED_VALUE"""),"Uncle Sams Cider (04/04/2023)")</f>
        <v>Uncle Sams Cider (04/04/2023)</v>
      </c>
      <c r="H2081" s="19"/>
    </row>
    <row r="2082">
      <c r="A2082" s="9"/>
      <c r="B2082" s="15"/>
      <c r="C2082" s="9">
        <f>IFERROR(__xludf.DUMMYFUNCTION("""COMPUTED_VALUE"""),45122.828203831)</f>
        <v>45122.8282</v>
      </c>
      <c r="D2082" s="15">
        <f>IFERROR(__xludf.DUMMYFUNCTION("""COMPUTED_VALUE"""),1.004)</f>
        <v>1.004</v>
      </c>
      <c r="E2082" s="16">
        <f>IFERROR(__xludf.DUMMYFUNCTION("""COMPUTED_VALUE"""),72.0)</f>
        <v>72</v>
      </c>
      <c r="F2082" s="19" t="str">
        <f>IFERROR(__xludf.DUMMYFUNCTION("""COMPUTED_VALUE"""),"BLACK")</f>
        <v>BLACK</v>
      </c>
      <c r="G2082" s="20" t="str">
        <f>IFERROR(__xludf.DUMMYFUNCTION("""COMPUTED_VALUE"""),"Uncle Sams Cider (04/04/2023)")</f>
        <v>Uncle Sams Cider (04/04/2023)</v>
      </c>
      <c r="H2082" s="19"/>
    </row>
    <row r="2083">
      <c r="A2083" s="9"/>
      <c r="B2083" s="15"/>
      <c r="C2083" s="9">
        <f>IFERROR(__xludf.DUMMYFUNCTION("""COMPUTED_VALUE"""),45122.8177837962)</f>
        <v>45122.81778</v>
      </c>
      <c r="D2083" s="15">
        <f>IFERROR(__xludf.DUMMYFUNCTION("""COMPUTED_VALUE"""),1.004)</f>
        <v>1.004</v>
      </c>
      <c r="E2083" s="16">
        <f>IFERROR(__xludf.DUMMYFUNCTION("""COMPUTED_VALUE"""),72.0)</f>
        <v>72</v>
      </c>
      <c r="F2083" s="19" t="str">
        <f>IFERROR(__xludf.DUMMYFUNCTION("""COMPUTED_VALUE"""),"BLACK")</f>
        <v>BLACK</v>
      </c>
      <c r="G2083" s="20" t="str">
        <f>IFERROR(__xludf.DUMMYFUNCTION("""COMPUTED_VALUE"""),"Uncle Sams Cider (04/04/2023)")</f>
        <v>Uncle Sams Cider (04/04/2023)</v>
      </c>
      <c r="H2083" s="19"/>
    </row>
    <row r="2084">
      <c r="A2084" s="9"/>
      <c r="B2084" s="15"/>
      <c r="C2084" s="9">
        <f>IFERROR(__xludf.DUMMYFUNCTION("""COMPUTED_VALUE"""),45122.807363449)</f>
        <v>45122.80736</v>
      </c>
      <c r="D2084" s="15">
        <f>IFERROR(__xludf.DUMMYFUNCTION("""COMPUTED_VALUE"""),1.003)</f>
        <v>1.003</v>
      </c>
      <c r="E2084" s="16">
        <f>IFERROR(__xludf.DUMMYFUNCTION("""COMPUTED_VALUE"""),72.0)</f>
        <v>72</v>
      </c>
      <c r="F2084" s="19" t="str">
        <f>IFERROR(__xludf.DUMMYFUNCTION("""COMPUTED_VALUE"""),"BLACK")</f>
        <v>BLACK</v>
      </c>
      <c r="G2084" s="20" t="str">
        <f>IFERROR(__xludf.DUMMYFUNCTION("""COMPUTED_VALUE"""),"Uncle Sams Cider (04/04/2023)")</f>
        <v>Uncle Sams Cider (04/04/2023)</v>
      </c>
      <c r="H2084" s="19"/>
    </row>
    <row r="2085">
      <c r="A2085" s="9"/>
      <c r="B2085" s="15"/>
      <c r="C2085" s="9">
        <f>IFERROR(__xludf.DUMMYFUNCTION("""COMPUTED_VALUE"""),45122.7969439236)</f>
        <v>45122.79694</v>
      </c>
      <c r="D2085" s="15">
        <f>IFERROR(__xludf.DUMMYFUNCTION("""COMPUTED_VALUE"""),1.003)</f>
        <v>1.003</v>
      </c>
      <c r="E2085" s="16">
        <f>IFERROR(__xludf.DUMMYFUNCTION("""COMPUTED_VALUE"""),72.0)</f>
        <v>72</v>
      </c>
      <c r="F2085" s="19" t="str">
        <f>IFERROR(__xludf.DUMMYFUNCTION("""COMPUTED_VALUE"""),"BLACK")</f>
        <v>BLACK</v>
      </c>
      <c r="G2085" s="20" t="str">
        <f>IFERROR(__xludf.DUMMYFUNCTION("""COMPUTED_VALUE"""),"Uncle Sams Cider (04/04/2023)")</f>
        <v>Uncle Sams Cider (04/04/2023)</v>
      </c>
      <c r="H2085" s="19"/>
    </row>
    <row r="2086">
      <c r="A2086" s="9"/>
      <c r="B2086" s="15"/>
      <c r="C2086" s="9">
        <f>IFERROR(__xludf.DUMMYFUNCTION("""COMPUTED_VALUE"""),45122.7865227199)</f>
        <v>45122.78652</v>
      </c>
      <c r="D2086" s="15">
        <f>IFERROR(__xludf.DUMMYFUNCTION("""COMPUTED_VALUE"""),1.004)</f>
        <v>1.004</v>
      </c>
      <c r="E2086" s="16">
        <f>IFERROR(__xludf.DUMMYFUNCTION("""COMPUTED_VALUE"""),72.0)</f>
        <v>72</v>
      </c>
      <c r="F2086" s="19" t="str">
        <f>IFERROR(__xludf.DUMMYFUNCTION("""COMPUTED_VALUE"""),"BLACK")</f>
        <v>BLACK</v>
      </c>
      <c r="G2086" s="20" t="str">
        <f>IFERROR(__xludf.DUMMYFUNCTION("""COMPUTED_VALUE"""),"Uncle Sams Cider (04/04/2023)")</f>
        <v>Uncle Sams Cider (04/04/2023)</v>
      </c>
      <c r="H2086" s="19"/>
    </row>
    <row r="2087">
      <c r="A2087" s="9"/>
      <c r="B2087" s="15"/>
      <c r="C2087" s="9">
        <f>IFERROR(__xludf.DUMMYFUNCTION("""COMPUTED_VALUE"""),45122.7761007638)</f>
        <v>45122.7761</v>
      </c>
      <c r="D2087" s="15">
        <f>IFERROR(__xludf.DUMMYFUNCTION("""COMPUTED_VALUE"""),1.003)</f>
        <v>1.003</v>
      </c>
      <c r="E2087" s="16">
        <f>IFERROR(__xludf.DUMMYFUNCTION("""COMPUTED_VALUE"""),72.0)</f>
        <v>72</v>
      </c>
      <c r="F2087" s="19" t="str">
        <f>IFERROR(__xludf.DUMMYFUNCTION("""COMPUTED_VALUE"""),"BLACK")</f>
        <v>BLACK</v>
      </c>
      <c r="G2087" s="20" t="str">
        <f>IFERROR(__xludf.DUMMYFUNCTION("""COMPUTED_VALUE"""),"Uncle Sams Cider (04/04/2023)")</f>
        <v>Uncle Sams Cider (04/04/2023)</v>
      </c>
      <c r="H2087" s="19"/>
    </row>
    <row r="2088">
      <c r="A2088" s="9"/>
      <c r="B2088" s="15"/>
      <c r="C2088" s="9">
        <f>IFERROR(__xludf.DUMMYFUNCTION("""COMPUTED_VALUE"""),45122.7656688541)</f>
        <v>45122.76567</v>
      </c>
      <c r="D2088" s="15">
        <f>IFERROR(__xludf.DUMMYFUNCTION("""COMPUTED_VALUE"""),1.004)</f>
        <v>1.004</v>
      </c>
      <c r="E2088" s="16">
        <f>IFERROR(__xludf.DUMMYFUNCTION("""COMPUTED_VALUE"""),72.0)</f>
        <v>72</v>
      </c>
      <c r="F2088" s="19" t="str">
        <f>IFERROR(__xludf.DUMMYFUNCTION("""COMPUTED_VALUE"""),"BLACK")</f>
        <v>BLACK</v>
      </c>
      <c r="G2088" s="20" t="str">
        <f>IFERROR(__xludf.DUMMYFUNCTION("""COMPUTED_VALUE"""),"Uncle Sams Cider (04/04/2023)")</f>
        <v>Uncle Sams Cider (04/04/2023)</v>
      </c>
      <c r="H2088" s="19"/>
    </row>
    <row r="2089">
      <c r="A2089" s="9"/>
      <c r="B2089" s="15"/>
      <c r="C2089" s="9">
        <f>IFERROR(__xludf.DUMMYFUNCTION("""COMPUTED_VALUE"""),45122.7552490509)</f>
        <v>45122.75525</v>
      </c>
      <c r="D2089" s="15">
        <f>IFERROR(__xludf.DUMMYFUNCTION("""COMPUTED_VALUE"""),1.003)</f>
        <v>1.003</v>
      </c>
      <c r="E2089" s="16">
        <f>IFERROR(__xludf.DUMMYFUNCTION("""COMPUTED_VALUE"""),72.0)</f>
        <v>72</v>
      </c>
      <c r="F2089" s="19" t="str">
        <f>IFERROR(__xludf.DUMMYFUNCTION("""COMPUTED_VALUE"""),"BLACK")</f>
        <v>BLACK</v>
      </c>
      <c r="G2089" s="20" t="str">
        <f>IFERROR(__xludf.DUMMYFUNCTION("""COMPUTED_VALUE"""),"Uncle Sams Cider (04/04/2023)")</f>
        <v>Uncle Sams Cider (04/04/2023)</v>
      </c>
      <c r="H2089" s="19"/>
    </row>
    <row r="2090">
      <c r="A2090" s="9"/>
      <c r="B2090" s="15"/>
      <c r="C2090" s="9">
        <f>IFERROR(__xludf.DUMMYFUNCTION("""COMPUTED_VALUE"""),45122.7448277546)</f>
        <v>45122.74483</v>
      </c>
      <c r="D2090" s="15">
        <f>IFERROR(__xludf.DUMMYFUNCTION("""COMPUTED_VALUE"""),1.003)</f>
        <v>1.003</v>
      </c>
      <c r="E2090" s="16">
        <f>IFERROR(__xludf.DUMMYFUNCTION("""COMPUTED_VALUE"""),72.0)</f>
        <v>72</v>
      </c>
      <c r="F2090" s="19" t="str">
        <f>IFERROR(__xludf.DUMMYFUNCTION("""COMPUTED_VALUE"""),"BLACK")</f>
        <v>BLACK</v>
      </c>
      <c r="G2090" s="20" t="str">
        <f>IFERROR(__xludf.DUMMYFUNCTION("""COMPUTED_VALUE"""),"Uncle Sams Cider (04/04/2023)")</f>
        <v>Uncle Sams Cider (04/04/2023)</v>
      </c>
      <c r="H2090" s="19"/>
    </row>
    <row r="2091">
      <c r="A2091" s="9"/>
      <c r="B2091" s="15"/>
      <c r="C2091" s="9">
        <f>IFERROR(__xludf.DUMMYFUNCTION("""COMPUTED_VALUE"""),45122.734407905)</f>
        <v>45122.73441</v>
      </c>
      <c r="D2091" s="15">
        <f>IFERROR(__xludf.DUMMYFUNCTION("""COMPUTED_VALUE"""),1.003)</f>
        <v>1.003</v>
      </c>
      <c r="E2091" s="16">
        <f>IFERROR(__xludf.DUMMYFUNCTION("""COMPUTED_VALUE"""),72.0)</f>
        <v>72</v>
      </c>
      <c r="F2091" s="19" t="str">
        <f>IFERROR(__xludf.DUMMYFUNCTION("""COMPUTED_VALUE"""),"BLACK")</f>
        <v>BLACK</v>
      </c>
      <c r="G2091" s="20" t="str">
        <f>IFERROR(__xludf.DUMMYFUNCTION("""COMPUTED_VALUE"""),"Uncle Sams Cider (04/04/2023)")</f>
        <v>Uncle Sams Cider (04/04/2023)</v>
      </c>
      <c r="H2091" s="19"/>
    </row>
    <row r="2092">
      <c r="A2092" s="9"/>
      <c r="B2092" s="15"/>
      <c r="C2092" s="9">
        <f>IFERROR(__xludf.DUMMYFUNCTION("""COMPUTED_VALUE"""),45122.7239840856)</f>
        <v>45122.72398</v>
      </c>
      <c r="D2092" s="15">
        <f>IFERROR(__xludf.DUMMYFUNCTION("""COMPUTED_VALUE"""),1.003)</f>
        <v>1.003</v>
      </c>
      <c r="E2092" s="16">
        <f>IFERROR(__xludf.DUMMYFUNCTION("""COMPUTED_VALUE"""),72.0)</f>
        <v>72</v>
      </c>
      <c r="F2092" s="19" t="str">
        <f>IFERROR(__xludf.DUMMYFUNCTION("""COMPUTED_VALUE"""),"BLACK")</f>
        <v>BLACK</v>
      </c>
      <c r="G2092" s="20" t="str">
        <f>IFERROR(__xludf.DUMMYFUNCTION("""COMPUTED_VALUE"""),"Uncle Sams Cider (04/04/2023)")</f>
        <v>Uncle Sams Cider (04/04/2023)</v>
      </c>
      <c r="H2092" s="19"/>
    </row>
    <row r="2093">
      <c r="A2093" s="9"/>
      <c r="B2093" s="15"/>
      <c r="C2093" s="9">
        <f>IFERROR(__xludf.DUMMYFUNCTION("""COMPUTED_VALUE"""),45122.7135637847)</f>
        <v>45122.71356</v>
      </c>
      <c r="D2093" s="15">
        <f>IFERROR(__xludf.DUMMYFUNCTION("""COMPUTED_VALUE"""),1.003)</f>
        <v>1.003</v>
      </c>
      <c r="E2093" s="16">
        <f>IFERROR(__xludf.DUMMYFUNCTION("""COMPUTED_VALUE"""),72.0)</f>
        <v>72</v>
      </c>
      <c r="F2093" s="19" t="str">
        <f>IFERROR(__xludf.DUMMYFUNCTION("""COMPUTED_VALUE"""),"BLACK")</f>
        <v>BLACK</v>
      </c>
      <c r="G2093" s="20" t="str">
        <f>IFERROR(__xludf.DUMMYFUNCTION("""COMPUTED_VALUE"""),"Uncle Sams Cider (04/04/2023)")</f>
        <v>Uncle Sams Cider (04/04/2023)</v>
      </c>
      <c r="H2093" s="19"/>
    </row>
    <row r="2094">
      <c r="A2094" s="9"/>
      <c r="B2094" s="15"/>
      <c r="C2094" s="9">
        <f>IFERROR(__xludf.DUMMYFUNCTION("""COMPUTED_VALUE"""),45122.7031427546)</f>
        <v>45122.70314</v>
      </c>
      <c r="D2094" s="15">
        <f>IFERROR(__xludf.DUMMYFUNCTION("""COMPUTED_VALUE"""),1.003)</f>
        <v>1.003</v>
      </c>
      <c r="E2094" s="16">
        <f>IFERROR(__xludf.DUMMYFUNCTION("""COMPUTED_VALUE"""),72.0)</f>
        <v>72</v>
      </c>
      <c r="F2094" s="19" t="str">
        <f>IFERROR(__xludf.DUMMYFUNCTION("""COMPUTED_VALUE"""),"BLACK")</f>
        <v>BLACK</v>
      </c>
      <c r="G2094" s="20" t="str">
        <f>IFERROR(__xludf.DUMMYFUNCTION("""COMPUTED_VALUE"""),"Uncle Sams Cider (04/04/2023)")</f>
        <v>Uncle Sams Cider (04/04/2023)</v>
      </c>
      <c r="H2094" s="19"/>
    </row>
    <row r="2095">
      <c r="A2095" s="9"/>
      <c r="B2095" s="15"/>
      <c r="C2095" s="9">
        <f>IFERROR(__xludf.DUMMYFUNCTION("""COMPUTED_VALUE"""),45122.6927193518)</f>
        <v>45122.69272</v>
      </c>
      <c r="D2095" s="15">
        <f>IFERROR(__xludf.DUMMYFUNCTION("""COMPUTED_VALUE"""),1.003)</f>
        <v>1.003</v>
      </c>
      <c r="E2095" s="16">
        <f>IFERROR(__xludf.DUMMYFUNCTION("""COMPUTED_VALUE"""),72.0)</f>
        <v>72</v>
      </c>
      <c r="F2095" s="19" t="str">
        <f>IFERROR(__xludf.DUMMYFUNCTION("""COMPUTED_VALUE"""),"BLACK")</f>
        <v>BLACK</v>
      </c>
      <c r="G2095" s="20" t="str">
        <f>IFERROR(__xludf.DUMMYFUNCTION("""COMPUTED_VALUE"""),"Uncle Sams Cider (04/04/2023)")</f>
        <v>Uncle Sams Cider (04/04/2023)</v>
      </c>
      <c r="H2095" s="19"/>
    </row>
    <row r="2096">
      <c r="A2096" s="9"/>
      <c r="B2096" s="15"/>
      <c r="C2096" s="9">
        <f>IFERROR(__xludf.DUMMYFUNCTION("""COMPUTED_VALUE"""),45122.68229728)</f>
        <v>45122.6823</v>
      </c>
      <c r="D2096" s="15">
        <f>IFERROR(__xludf.DUMMYFUNCTION("""COMPUTED_VALUE"""),1.003)</f>
        <v>1.003</v>
      </c>
      <c r="E2096" s="16">
        <f>IFERROR(__xludf.DUMMYFUNCTION("""COMPUTED_VALUE"""),72.0)</f>
        <v>72</v>
      </c>
      <c r="F2096" s="19" t="str">
        <f>IFERROR(__xludf.DUMMYFUNCTION("""COMPUTED_VALUE"""),"BLACK")</f>
        <v>BLACK</v>
      </c>
      <c r="G2096" s="20" t="str">
        <f>IFERROR(__xludf.DUMMYFUNCTION("""COMPUTED_VALUE"""),"Uncle Sams Cider (04/04/2023)")</f>
        <v>Uncle Sams Cider (04/04/2023)</v>
      </c>
      <c r="H2096" s="19"/>
    </row>
    <row r="2097">
      <c r="A2097" s="9"/>
      <c r="B2097" s="15"/>
      <c r="C2097" s="9">
        <f>IFERROR(__xludf.DUMMYFUNCTION("""COMPUTED_VALUE"""),45122.6718645833)</f>
        <v>45122.67186</v>
      </c>
      <c r="D2097" s="15">
        <f>IFERROR(__xludf.DUMMYFUNCTION("""COMPUTED_VALUE"""),1.003)</f>
        <v>1.003</v>
      </c>
      <c r="E2097" s="16">
        <f>IFERROR(__xludf.DUMMYFUNCTION("""COMPUTED_VALUE"""),72.0)</f>
        <v>72</v>
      </c>
      <c r="F2097" s="19" t="str">
        <f>IFERROR(__xludf.DUMMYFUNCTION("""COMPUTED_VALUE"""),"BLACK")</f>
        <v>BLACK</v>
      </c>
      <c r="G2097" s="20" t="str">
        <f>IFERROR(__xludf.DUMMYFUNCTION("""COMPUTED_VALUE"""),"Uncle Sams Cider (04/04/2023)")</f>
        <v>Uncle Sams Cider (04/04/2023)</v>
      </c>
      <c r="H2097" s="19"/>
    </row>
    <row r="2098">
      <c r="A2098" s="9"/>
      <c r="B2098" s="15"/>
      <c r="C2098" s="9">
        <f>IFERROR(__xludf.DUMMYFUNCTION("""COMPUTED_VALUE"""),45122.6614316898)</f>
        <v>45122.66143</v>
      </c>
      <c r="D2098" s="15">
        <f>IFERROR(__xludf.DUMMYFUNCTION("""COMPUTED_VALUE"""),1.003)</f>
        <v>1.003</v>
      </c>
      <c r="E2098" s="16">
        <f>IFERROR(__xludf.DUMMYFUNCTION("""COMPUTED_VALUE"""),72.0)</f>
        <v>72</v>
      </c>
      <c r="F2098" s="19" t="str">
        <f>IFERROR(__xludf.DUMMYFUNCTION("""COMPUTED_VALUE"""),"BLACK")</f>
        <v>BLACK</v>
      </c>
      <c r="G2098" s="20" t="str">
        <f>IFERROR(__xludf.DUMMYFUNCTION("""COMPUTED_VALUE"""),"Uncle Sams Cider (04/04/2023)")</f>
        <v>Uncle Sams Cider (04/04/2023)</v>
      </c>
      <c r="H2098" s="19"/>
    </row>
    <row r="2099">
      <c r="A2099" s="9"/>
      <c r="B2099" s="15"/>
      <c r="C2099" s="9">
        <f>IFERROR(__xludf.DUMMYFUNCTION("""COMPUTED_VALUE"""),45122.6510106481)</f>
        <v>45122.65101</v>
      </c>
      <c r="D2099" s="15">
        <f>IFERROR(__xludf.DUMMYFUNCTION("""COMPUTED_VALUE"""),1.003)</f>
        <v>1.003</v>
      </c>
      <c r="E2099" s="16">
        <f>IFERROR(__xludf.DUMMYFUNCTION("""COMPUTED_VALUE"""),72.0)</f>
        <v>72</v>
      </c>
      <c r="F2099" s="19" t="str">
        <f>IFERROR(__xludf.DUMMYFUNCTION("""COMPUTED_VALUE"""),"BLACK")</f>
        <v>BLACK</v>
      </c>
      <c r="G2099" s="20" t="str">
        <f>IFERROR(__xludf.DUMMYFUNCTION("""COMPUTED_VALUE"""),"Uncle Sams Cider (04/04/2023)")</f>
        <v>Uncle Sams Cider (04/04/2023)</v>
      </c>
      <c r="H2099" s="19"/>
    </row>
    <row r="2100">
      <c r="A2100" s="9"/>
      <c r="B2100" s="15"/>
      <c r="C2100" s="9">
        <f>IFERROR(__xludf.DUMMYFUNCTION("""COMPUTED_VALUE"""),45122.6405915625)</f>
        <v>45122.64059</v>
      </c>
      <c r="D2100" s="15">
        <f>IFERROR(__xludf.DUMMYFUNCTION("""COMPUTED_VALUE"""),1.003)</f>
        <v>1.003</v>
      </c>
      <c r="E2100" s="16">
        <f>IFERROR(__xludf.DUMMYFUNCTION("""COMPUTED_VALUE"""),72.0)</f>
        <v>72</v>
      </c>
      <c r="F2100" s="19" t="str">
        <f>IFERROR(__xludf.DUMMYFUNCTION("""COMPUTED_VALUE"""),"BLACK")</f>
        <v>BLACK</v>
      </c>
      <c r="G2100" s="20" t="str">
        <f>IFERROR(__xludf.DUMMYFUNCTION("""COMPUTED_VALUE"""),"Uncle Sams Cider (04/04/2023)")</f>
        <v>Uncle Sams Cider (04/04/2023)</v>
      </c>
      <c r="H2100" s="19"/>
    </row>
    <row r="2101">
      <c r="A2101" s="9"/>
      <c r="B2101" s="15"/>
      <c r="C2101" s="9">
        <f>IFERROR(__xludf.DUMMYFUNCTION("""COMPUTED_VALUE"""),45122.6301718981)</f>
        <v>45122.63017</v>
      </c>
      <c r="D2101" s="15">
        <f>IFERROR(__xludf.DUMMYFUNCTION("""COMPUTED_VALUE"""),1.003)</f>
        <v>1.003</v>
      </c>
      <c r="E2101" s="16">
        <f>IFERROR(__xludf.DUMMYFUNCTION("""COMPUTED_VALUE"""),72.0)</f>
        <v>72</v>
      </c>
      <c r="F2101" s="19" t="str">
        <f>IFERROR(__xludf.DUMMYFUNCTION("""COMPUTED_VALUE"""),"BLACK")</f>
        <v>BLACK</v>
      </c>
      <c r="G2101" s="20" t="str">
        <f>IFERROR(__xludf.DUMMYFUNCTION("""COMPUTED_VALUE"""),"Uncle Sams Cider (04/04/2023)")</f>
        <v>Uncle Sams Cider (04/04/2023)</v>
      </c>
      <c r="H2101" s="19"/>
    </row>
    <row r="2102">
      <c r="A2102" s="9"/>
      <c r="B2102" s="15"/>
      <c r="C2102" s="9">
        <f>IFERROR(__xludf.DUMMYFUNCTION("""COMPUTED_VALUE"""),45122.619751331)</f>
        <v>45122.61975</v>
      </c>
      <c r="D2102" s="15">
        <f>IFERROR(__xludf.DUMMYFUNCTION("""COMPUTED_VALUE"""),1.003)</f>
        <v>1.003</v>
      </c>
      <c r="E2102" s="16">
        <f>IFERROR(__xludf.DUMMYFUNCTION("""COMPUTED_VALUE"""),72.0)</f>
        <v>72</v>
      </c>
      <c r="F2102" s="19" t="str">
        <f>IFERROR(__xludf.DUMMYFUNCTION("""COMPUTED_VALUE"""),"BLACK")</f>
        <v>BLACK</v>
      </c>
      <c r="G2102" s="20" t="str">
        <f>IFERROR(__xludf.DUMMYFUNCTION("""COMPUTED_VALUE"""),"Uncle Sams Cider (04/04/2023)")</f>
        <v>Uncle Sams Cider (04/04/2023)</v>
      </c>
      <c r="H2102" s="19"/>
    </row>
    <row r="2103">
      <c r="A2103" s="9"/>
      <c r="B2103" s="15"/>
      <c r="C2103" s="9">
        <f>IFERROR(__xludf.DUMMYFUNCTION("""COMPUTED_VALUE"""),45122.6093312152)</f>
        <v>45122.60933</v>
      </c>
      <c r="D2103" s="15">
        <f>IFERROR(__xludf.DUMMYFUNCTION("""COMPUTED_VALUE"""),1.004)</f>
        <v>1.004</v>
      </c>
      <c r="E2103" s="16">
        <f>IFERROR(__xludf.DUMMYFUNCTION("""COMPUTED_VALUE"""),72.0)</f>
        <v>72</v>
      </c>
      <c r="F2103" s="19" t="str">
        <f>IFERROR(__xludf.DUMMYFUNCTION("""COMPUTED_VALUE"""),"BLACK")</f>
        <v>BLACK</v>
      </c>
      <c r="G2103" s="20" t="str">
        <f>IFERROR(__xludf.DUMMYFUNCTION("""COMPUTED_VALUE"""),"Uncle Sams Cider (04/04/2023)")</f>
        <v>Uncle Sams Cider (04/04/2023)</v>
      </c>
      <c r="H2103" s="19"/>
    </row>
    <row r="2104">
      <c r="A2104" s="9"/>
      <c r="B2104" s="15"/>
      <c r="C2104" s="9">
        <f>IFERROR(__xludf.DUMMYFUNCTION("""COMPUTED_VALUE"""),45122.5989100463)</f>
        <v>45122.59891</v>
      </c>
      <c r="D2104" s="15">
        <f>IFERROR(__xludf.DUMMYFUNCTION("""COMPUTED_VALUE"""),1.003)</f>
        <v>1.003</v>
      </c>
      <c r="E2104" s="16">
        <f>IFERROR(__xludf.DUMMYFUNCTION("""COMPUTED_VALUE"""),72.0)</f>
        <v>72</v>
      </c>
      <c r="F2104" s="19" t="str">
        <f>IFERROR(__xludf.DUMMYFUNCTION("""COMPUTED_VALUE"""),"BLACK")</f>
        <v>BLACK</v>
      </c>
      <c r="G2104" s="20" t="str">
        <f>IFERROR(__xludf.DUMMYFUNCTION("""COMPUTED_VALUE"""),"Uncle Sams Cider (04/04/2023)")</f>
        <v>Uncle Sams Cider (04/04/2023)</v>
      </c>
      <c r="H2104" s="19"/>
    </row>
    <row r="2105">
      <c r="A2105" s="9"/>
      <c r="B2105" s="15"/>
      <c r="C2105" s="9">
        <f>IFERROR(__xludf.DUMMYFUNCTION("""COMPUTED_VALUE"""),45122.5884861689)</f>
        <v>45122.58849</v>
      </c>
      <c r="D2105" s="15">
        <f>IFERROR(__xludf.DUMMYFUNCTION("""COMPUTED_VALUE"""),1.003)</f>
        <v>1.003</v>
      </c>
      <c r="E2105" s="16">
        <f>IFERROR(__xludf.DUMMYFUNCTION("""COMPUTED_VALUE"""),72.0)</f>
        <v>72</v>
      </c>
      <c r="F2105" s="19" t="str">
        <f>IFERROR(__xludf.DUMMYFUNCTION("""COMPUTED_VALUE"""),"BLACK")</f>
        <v>BLACK</v>
      </c>
      <c r="G2105" s="20" t="str">
        <f>IFERROR(__xludf.DUMMYFUNCTION("""COMPUTED_VALUE"""),"Uncle Sams Cider (04/04/2023)")</f>
        <v>Uncle Sams Cider (04/04/2023)</v>
      </c>
      <c r="H2105" s="19"/>
    </row>
    <row r="2106">
      <c r="A2106" s="9"/>
      <c r="B2106" s="15"/>
      <c r="C2106" s="9">
        <f>IFERROR(__xludf.DUMMYFUNCTION("""COMPUTED_VALUE"""),45122.5780648958)</f>
        <v>45122.57806</v>
      </c>
      <c r="D2106" s="15">
        <f>IFERROR(__xludf.DUMMYFUNCTION("""COMPUTED_VALUE"""),1.004)</f>
        <v>1.004</v>
      </c>
      <c r="E2106" s="16">
        <f>IFERROR(__xludf.DUMMYFUNCTION("""COMPUTED_VALUE"""),72.0)</f>
        <v>72</v>
      </c>
      <c r="F2106" s="19" t="str">
        <f>IFERROR(__xludf.DUMMYFUNCTION("""COMPUTED_VALUE"""),"BLACK")</f>
        <v>BLACK</v>
      </c>
      <c r="G2106" s="20" t="str">
        <f>IFERROR(__xludf.DUMMYFUNCTION("""COMPUTED_VALUE"""),"Uncle Sams Cider (04/04/2023)")</f>
        <v>Uncle Sams Cider (04/04/2023)</v>
      </c>
      <c r="H2106" s="19"/>
    </row>
    <row r="2107">
      <c r="A2107" s="9"/>
      <c r="B2107" s="15"/>
      <c r="C2107" s="9">
        <f>IFERROR(__xludf.DUMMYFUNCTION("""COMPUTED_VALUE"""),45122.5676449768)</f>
        <v>45122.56764</v>
      </c>
      <c r="D2107" s="15">
        <f>IFERROR(__xludf.DUMMYFUNCTION("""COMPUTED_VALUE"""),1.003)</f>
        <v>1.003</v>
      </c>
      <c r="E2107" s="16">
        <f>IFERROR(__xludf.DUMMYFUNCTION("""COMPUTED_VALUE"""),72.0)</f>
        <v>72</v>
      </c>
      <c r="F2107" s="19" t="str">
        <f>IFERROR(__xludf.DUMMYFUNCTION("""COMPUTED_VALUE"""),"BLACK")</f>
        <v>BLACK</v>
      </c>
      <c r="G2107" s="20" t="str">
        <f>IFERROR(__xludf.DUMMYFUNCTION("""COMPUTED_VALUE"""),"Uncle Sams Cider (04/04/2023)")</f>
        <v>Uncle Sams Cider (04/04/2023)</v>
      </c>
      <c r="H2107" s="19"/>
    </row>
    <row r="2108">
      <c r="A2108" s="9"/>
      <c r="B2108" s="15"/>
      <c r="C2108" s="9">
        <f>IFERROR(__xludf.DUMMYFUNCTION("""COMPUTED_VALUE"""),45122.5572131944)</f>
        <v>45122.55721</v>
      </c>
      <c r="D2108" s="15">
        <f>IFERROR(__xludf.DUMMYFUNCTION("""COMPUTED_VALUE"""),1.003)</f>
        <v>1.003</v>
      </c>
      <c r="E2108" s="16">
        <f>IFERROR(__xludf.DUMMYFUNCTION("""COMPUTED_VALUE"""),72.0)</f>
        <v>72</v>
      </c>
      <c r="F2108" s="19" t="str">
        <f>IFERROR(__xludf.DUMMYFUNCTION("""COMPUTED_VALUE"""),"BLACK")</f>
        <v>BLACK</v>
      </c>
      <c r="G2108" s="20" t="str">
        <f>IFERROR(__xludf.DUMMYFUNCTION("""COMPUTED_VALUE"""),"Uncle Sams Cider (04/04/2023)")</f>
        <v>Uncle Sams Cider (04/04/2023)</v>
      </c>
      <c r="H2108" s="19"/>
    </row>
    <row r="2109">
      <c r="A2109" s="9"/>
      <c r="B2109" s="15"/>
      <c r="C2109" s="9">
        <f>IFERROR(__xludf.DUMMYFUNCTION("""COMPUTED_VALUE"""),45122.5467788888)</f>
        <v>45122.54678</v>
      </c>
      <c r="D2109" s="15">
        <f>IFERROR(__xludf.DUMMYFUNCTION("""COMPUTED_VALUE"""),1.003)</f>
        <v>1.003</v>
      </c>
      <c r="E2109" s="16">
        <f>IFERROR(__xludf.DUMMYFUNCTION("""COMPUTED_VALUE"""),72.0)</f>
        <v>72</v>
      </c>
      <c r="F2109" s="19" t="str">
        <f>IFERROR(__xludf.DUMMYFUNCTION("""COMPUTED_VALUE"""),"BLACK")</f>
        <v>BLACK</v>
      </c>
      <c r="G2109" s="20" t="str">
        <f>IFERROR(__xludf.DUMMYFUNCTION("""COMPUTED_VALUE"""),"Uncle Sams Cider (04/04/2023)")</f>
        <v>Uncle Sams Cider (04/04/2023)</v>
      </c>
      <c r="H2109" s="19"/>
    </row>
    <row r="2110">
      <c r="A2110" s="9"/>
      <c r="B2110" s="15"/>
      <c r="C2110" s="9">
        <f>IFERROR(__xludf.DUMMYFUNCTION("""COMPUTED_VALUE"""),45122.5363579166)</f>
        <v>45122.53636</v>
      </c>
      <c r="D2110" s="15">
        <f>IFERROR(__xludf.DUMMYFUNCTION("""COMPUTED_VALUE"""),1.004)</f>
        <v>1.004</v>
      </c>
      <c r="E2110" s="16">
        <f>IFERROR(__xludf.DUMMYFUNCTION("""COMPUTED_VALUE"""),72.0)</f>
        <v>72</v>
      </c>
      <c r="F2110" s="19" t="str">
        <f>IFERROR(__xludf.DUMMYFUNCTION("""COMPUTED_VALUE"""),"BLACK")</f>
        <v>BLACK</v>
      </c>
      <c r="G2110" s="20" t="str">
        <f>IFERROR(__xludf.DUMMYFUNCTION("""COMPUTED_VALUE"""),"Uncle Sams Cider (04/04/2023)")</f>
        <v>Uncle Sams Cider (04/04/2023)</v>
      </c>
      <c r="H2110" s="19"/>
    </row>
    <row r="2111">
      <c r="A2111" s="9"/>
      <c r="B2111" s="15"/>
      <c r="C2111" s="9">
        <f>IFERROR(__xludf.DUMMYFUNCTION("""COMPUTED_VALUE"""),45122.5259374421)</f>
        <v>45122.52594</v>
      </c>
      <c r="D2111" s="15">
        <f>IFERROR(__xludf.DUMMYFUNCTION("""COMPUTED_VALUE"""),1.003)</f>
        <v>1.003</v>
      </c>
      <c r="E2111" s="16">
        <f>IFERROR(__xludf.DUMMYFUNCTION("""COMPUTED_VALUE"""),72.0)</f>
        <v>72</v>
      </c>
      <c r="F2111" s="19" t="str">
        <f>IFERROR(__xludf.DUMMYFUNCTION("""COMPUTED_VALUE"""),"BLACK")</f>
        <v>BLACK</v>
      </c>
      <c r="G2111" s="20" t="str">
        <f>IFERROR(__xludf.DUMMYFUNCTION("""COMPUTED_VALUE"""),"Uncle Sams Cider (04/04/2023)")</f>
        <v>Uncle Sams Cider (04/04/2023)</v>
      </c>
      <c r="H2111" s="19"/>
    </row>
    <row r="2112">
      <c r="A2112" s="9"/>
      <c r="B2112" s="15"/>
      <c r="C2112" s="9">
        <f>IFERROR(__xludf.DUMMYFUNCTION("""COMPUTED_VALUE"""),45122.5155179513)</f>
        <v>45122.51552</v>
      </c>
      <c r="D2112" s="15">
        <f>IFERROR(__xludf.DUMMYFUNCTION("""COMPUTED_VALUE"""),1.003)</f>
        <v>1.003</v>
      </c>
      <c r="E2112" s="16">
        <f>IFERROR(__xludf.DUMMYFUNCTION("""COMPUTED_VALUE"""),72.0)</f>
        <v>72</v>
      </c>
      <c r="F2112" s="19" t="str">
        <f>IFERROR(__xludf.DUMMYFUNCTION("""COMPUTED_VALUE"""),"BLACK")</f>
        <v>BLACK</v>
      </c>
      <c r="G2112" s="20" t="str">
        <f>IFERROR(__xludf.DUMMYFUNCTION("""COMPUTED_VALUE"""),"Uncle Sams Cider (04/04/2023)")</f>
        <v>Uncle Sams Cider (04/04/2023)</v>
      </c>
      <c r="H2112" s="19"/>
    </row>
    <row r="2113">
      <c r="A2113" s="9"/>
      <c r="B2113" s="15"/>
      <c r="C2113" s="9">
        <f>IFERROR(__xludf.DUMMYFUNCTION("""COMPUTED_VALUE"""),45122.5050950578)</f>
        <v>45122.5051</v>
      </c>
      <c r="D2113" s="15">
        <f>IFERROR(__xludf.DUMMYFUNCTION("""COMPUTED_VALUE"""),1.003)</f>
        <v>1.003</v>
      </c>
      <c r="E2113" s="16">
        <f>IFERROR(__xludf.DUMMYFUNCTION("""COMPUTED_VALUE"""),72.0)</f>
        <v>72</v>
      </c>
      <c r="F2113" s="19" t="str">
        <f>IFERROR(__xludf.DUMMYFUNCTION("""COMPUTED_VALUE"""),"BLACK")</f>
        <v>BLACK</v>
      </c>
      <c r="G2113" s="20" t="str">
        <f>IFERROR(__xludf.DUMMYFUNCTION("""COMPUTED_VALUE"""),"Uncle Sams Cider (04/04/2023)")</f>
        <v>Uncle Sams Cider (04/04/2023)</v>
      </c>
      <c r="H2113" s="19"/>
    </row>
    <row r="2114">
      <c r="A2114" s="9"/>
      <c r="B2114" s="15"/>
      <c r="C2114" s="9">
        <f>IFERROR(__xludf.DUMMYFUNCTION("""COMPUTED_VALUE"""),45122.4946735648)</f>
        <v>45122.49467</v>
      </c>
      <c r="D2114" s="15">
        <f>IFERROR(__xludf.DUMMYFUNCTION("""COMPUTED_VALUE"""),1.003)</f>
        <v>1.003</v>
      </c>
      <c r="E2114" s="16">
        <f>IFERROR(__xludf.DUMMYFUNCTION("""COMPUTED_VALUE"""),72.0)</f>
        <v>72</v>
      </c>
      <c r="F2114" s="19" t="str">
        <f>IFERROR(__xludf.DUMMYFUNCTION("""COMPUTED_VALUE"""),"BLACK")</f>
        <v>BLACK</v>
      </c>
      <c r="G2114" s="20" t="str">
        <f>IFERROR(__xludf.DUMMYFUNCTION("""COMPUTED_VALUE"""),"Uncle Sams Cider (04/04/2023)")</f>
        <v>Uncle Sams Cider (04/04/2023)</v>
      </c>
      <c r="H2114" s="19"/>
    </row>
    <row r="2115">
      <c r="A2115" s="9"/>
      <c r="B2115" s="15"/>
      <c r="C2115" s="9">
        <f>IFERROR(__xludf.DUMMYFUNCTION("""COMPUTED_VALUE"""),45122.484251331)</f>
        <v>45122.48425</v>
      </c>
      <c r="D2115" s="15">
        <f>IFERROR(__xludf.DUMMYFUNCTION("""COMPUTED_VALUE"""),1.003)</f>
        <v>1.003</v>
      </c>
      <c r="E2115" s="16">
        <f>IFERROR(__xludf.DUMMYFUNCTION("""COMPUTED_VALUE"""),72.0)</f>
        <v>72</v>
      </c>
      <c r="F2115" s="19" t="str">
        <f>IFERROR(__xludf.DUMMYFUNCTION("""COMPUTED_VALUE"""),"BLACK")</f>
        <v>BLACK</v>
      </c>
      <c r="G2115" s="20" t="str">
        <f>IFERROR(__xludf.DUMMYFUNCTION("""COMPUTED_VALUE"""),"Uncle Sams Cider (04/04/2023)")</f>
        <v>Uncle Sams Cider (04/04/2023)</v>
      </c>
      <c r="H2115" s="19"/>
    </row>
    <row r="2116">
      <c r="A2116" s="9"/>
      <c r="B2116" s="15"/>
      <c r="C2116" s="9">
        <f>IFERROR(__xludf.DUMMYFUNCTION("""COMPUTED_VALUE"""),45122.4738289699)</f>
        <v>45122.47383</v>
      </c>
      <c r="D2116" s="15">
        <f>IFERROR(__xludf.DUMMYFUNCTION("""COMPUTED_VALUE"""),1.003)</f>
        <v>1.003</v>
      </c>
      <c r="E2116" s="16">
        <f>IFERROR(__xludf.DUMMYFUNCTION("""COMPUTED_VALUE"""),72.0)</f>
        <v>72</v>
      </c>
      <c r="F2116" s="19" t="str">
        <f>IFERROR(__xludf.DUMMYFUNCTION("""COMPUTED_VALUE"""),"BLACK")</f>
        <v>BLACK</v>
      </c>
      <c r="G2116" s="20" t="str">
        <f>IFERROR(__xludf.DUMMYFUNCTION("""COMPUTED_VALUE"""),"Uncle Sams Cider (04/04/2023)")</f>
        <v>Uncle Sams Cider (04/04/2023)</v>
      </c>
      <c r="H2116" s="19"/>
    </row>
    <row r="2117">
      <c r="A2117" s="9"/>
      <c r="B2117" s="15"/>
      <c r="C2117" s="9">
        <f>IFERROR(__xludf.DUMMYFUNCTION("""COMPUTED_VALUE"""),45122.4634082986)</f>
        <v>45122.46341</v>
      </c>
      <c r="D2117" s="15">
        <f>IFERROR(__xludf.DUMMYFUNCTION("""COMPUTED_VALUE"""),1.003)</f>
        <v>1.003</v>
      </c>
      <c r="E2117" s="16">
        <f>IFERROR(__xludf.DUMMYFUNCTION("""COMPUTED_VALUE"""),72.0)</f>
        <v>72</v>
      </c>
      <c r="F2117" s="19" t="str">
        <f>IFERROR(__xludf.DUMMYFUNCTION("""COMPUTED_VALUE"""),"BLACK")</f>
        <v>BLACK</v>
      </c>
      <c r="G2117" s="20" t="str">
        <f>IFERROR(__xludf.DUMMYFUNCTION("""COMPUTED_VALUE"""),"Uncle Sams Cider (04/04/2023)")</f>
        <v>Uncle Sams Cider (04/04/2023)</v>
      </c>
      <c r="H2117" s="19"/>
    </row>
    <row r="2118">
      <c r="A2118" s="9"/>
      <c r="B2118" s="15"/>
      <c r="C2118" s="9">
        <f>IFERROR(__xludf.DUMMYFUNCTION("""COMPUTED_VALUE"""),45122.4529869907)</f>
        <v>45122.45299</v>
      </c>
      <c r="D2118" s="15">
        <f>IFERROR(__xludf.DUMMYFUNCTION("""COMPUTED_VALUE"""),1.003)</f>
        <v>1.003</v>
      </c>
      <c r="E2118" s="16">
        <f>IFERROR(__xludf.DUMMYFUNCTION("""COMPUTED_VALUE"""),72.0)</f>
        <v>72</v>
      </c>
      <c r="F2118" s="19" t="str">
        <f>IFERROR(__xludf.DUMMYFUNCTION("""COMPUTED_VALUE"""),"BLACK")</f>
        <v>BLACK</v>
      </c>
      <c r="G2118" s="20" t="str">
        <f>IFERROR(__xludf.DUMMYFUNCTION("""COMPUTED_VALUE"""),"Uncle Sams Cider (04/04/2023)")</f>
        <v>Uncle Sams Cider (04/04/2023)</v>
      </c>
      <c r="H2118" s="19"/>
    </row>
    <row r="2119">
      <c r="A2119" s="9"/>
      <c r="B2119" s="15"/>
      <c r="C2119" s="9">
        <f>IFERROR(__xludf.DUMMYFUNCTION("""COMPUTED_VALUE"""),45122.4425657638)</f>
        <v>45122.44257</v>
      </c>
      <c r="D2119" s="15">
        <f>IFERROR(__xludf.DUMMYFUNCTION("""COMPUTED_VALUE"""),1.003)</f>
        <v>1.003</v>
      </c>
      <c r="E2119" s="16">
        <f>IFERROR(__xludf.DUMMYFUNCTION("""COMPUTED_VALUE"""),72.0)</f>
        <v>72</v>
      </c>
      <c r="F2119" s="19" t="str">
        <f>IFERROR(__xludf.DUMMYFUNCTION("""COMPUTED_VALUE"""),"BLACK")</f>
        <v>BLACK</v>
      </c>
      <c r="G2119" s="20" t="str">
        <f>IFERROR(__xludf.DUMMYFUNCTION("""COMPUTED_VALUE"""),"Uncle Sams Cider (04/04/2023)")</f>
        <v>Uncle Sams Cider (04/04/2023)</v>
      </c>
      <c r="H2119" s="19"/>
    </row>
    <row r="2120">
      <c r="A2120" s="9"/>
      <c r="B2120" s="15"/>
      <c r="C2120" s="9">
        <f>IFERROR(__xludf.DUMMYFUNCTION("""COMPUTED_VALUE"""),45122.4321436226)</f>
        <v>45122.43214</v>
      </c>
      <c r="D2120" s="15">
        <f>IFERROR(__xludf.DUMMYFUNCTION("""COMPUTED_VALUE"""),1.003)</f>
        <v>1.003</v>
      </c>
      <c r="E2120" s="16">
        <f>IFERROR(__xludf.DUMMYFUNCTION("""COMPUTED_VALUE"""),72.0)</f>
        <v>72</v>
      </c>
      <c r="F2120" s="19" t="str">
        <f>IFERROR(__xludf.DUMMYFUNCTION("""COMPUTED_VALUE"""),"BLACK")</f>
        <v>BLACK</v>
      </c>
      <c r="G2120" s="20" t="str">
        <f>IFERROR(__xludf.DUMMYFUNCTION("""COMPUTED_VALUE"""),"Uncle Sams Cider (04/04/2023)")</f>
        <v>Uncle Sams Cider (04/04/2023)</v>
      </c>
      <c r="H2120" s="19"/>
    </row>
    <row r="2121">
      <c r="A2121" s="9"/>
      <c r="B2121" s="15"/>
      <c r="C2121" s="9">
        <f>IFERROR(__xludf.DUMMYFUNCTION("""COMPUTED_VALUE"""),45122.421722037)</f>
        <v>45122.42172</v>
      </c>
      <c r="D2121" s="15">
        <f>IFERROR(__xludf.DUMMYFUNCTION("""COMPUTED_VALUE"""),1.004)</f>
        <v>1.004</v>
      </c>
      <c r="E2121" s="16">
        <f>IFERROR(__xludf.DUMMYFUNCTION("""COMPUTED_VALUE"""),72.0)</f>
        <v>72</v>
      </c>
      <c r="F2121" s="19" t="str">
        <f>IFERROR(__xludf.DUMMYFUNCTION("""COMPUTED_VALUE"""),"BLACK")</f>
        <v>BLACK</v>
      </c>
      <c r="G2121" s="20" t="str">
        <f>IFERROR(__xludf.DUMMYFUNCTION("""COMPUTED_VALUE"""),"Uncle Sams Cider (04/04/2023)")</f>
        <v>Uncle Sams Cider (04/04/2023)</v>
      </c>
      <c r="H2121" s="19"/>
    </row>
    <row r="2122">
      <c r="A2122" s="9"/>
      <c r="B2122" s="15"/>
      <c r="C2122" s="9">
        <f>IFERROR(__xludf.DUMMYFUNCTION("""COMPUTED_VALUE"""),45122.4113026504)</f>
        <v>45122.4113</v>
      </c>
      <c r="D2122" s="15">
        <f>IFERROR(__xludf.DUMMYFUNCTION("""COMPUTED_VALUE"""),1.003)</f>
        <v>1.003</v>
      </c>
      <c r="E2122" s="16">
        <f>IFERROR(__xludf.DUMMYFUNCTION("""COMPUTED_VALUE"""),72.0)</f>
        <v>72</v>
      </c>
      <c r="F2122" s="19" t="str">
        <f>IFERROR(__xludf.DUMMYFUNCTION("""COMPUTED_VALUE"""),"BLACK")</f>
        <v>BLACK</v>
      </c>
      <c r="G2122" s="20" t="str">
        <f>IFERROR(__xludf.DUMMYFUNCTION("""COMPUTED_VALUE"""),"Uncle Sams Cider (04/04/2023)")</f>
        <v>Uncle Sams Cider (04/04/2023)</v>
      </c>
      <c r="H2122" s="19"/>
    </row>
    <row r="2123">
      <c r="A2123" s="9"/>
      <c r="B2123" s="15"/>
      <c r="C2123" s="9">
        <f>IFERROR(__xludf.DUMMYFUNCTION("""COMPUTED_VALUE"""),45122.4008805208)</f>
        <v>45122.40088</v>
      </c>
      <c r="D2123" s="15">
        <f>IFERROR(__xludf.DUMMYFUNCTION("""COMPUTED_VALUE"""),1.003)</f>
        <v>1.003</v>
      </c>
      <c r="E2123" s="16">
        <f>IFERROR(__xludf.DUMMYFUNCTION("""COMPUTED_VALUE"""),72.0)</f>
        <v>72</v>
      </c>
      <c r="F2123" s="19" t="str">
        <f>IFERROR(__xludf.DUMMYFUNCTION("""COMPUTED_VALUE"""),"BLACK")</f>
        <v>BLACK</v>
      </c>
      <c r="G2123" s="20" t="str">
        <f>IFERROR(__xludf.DUMMYFUNCTION("""COMPUTED_VALUE"""),"Uncle Sams Cider (04/04/2023)")</f>
        <v>Uncle Sams Cider (04/04/2023)</v>
      </c>
      <c r="H2123" s="19"/>
    </row>
    <row r="2124">
      <c r="A2124" s="9"/>
      <c r="B2124" s="15"/>
      <c r="C2124" s="9">
        <f>IFERROR(__xludf.DUMMYFUNCTION("""COMPUTED_VALUE"""),45122.3904605787)</f>
        <v>45122.39046</v>
      </c>
      <c r="D2124" s="15">
        <f>IFERROR(__xludf.DUMMYFUNCTION("""COMPUTED_VALUE"""),1.003)</f>
        <v>1.003</v>
      </c>
      <c r="E2124" s="16">
        <f>IFERROR(__xludf.DUMMYFUNCTION("""COMPUTED_VALUE"""),72.0)</f>
        <v>72</v>
      </c>
      <c r="F2124" s="19" t="str">
        <f>IFERROR(__xludf.DUMMYFUNCTION("""COMPUTED_VALUE"""),"BLACK")</f>
        <v>BLACK</v>
      </c>
      <c r="G2124" s="20" t="str">
        <f>IFERROR(__xludf.DUMMYFUNCTION("""COMPUTED_VALUE"""),"Uncle Sams Cider (04/04/2023)")</f>
        <v>Uncle Sams Cider (04/04/2023)</v>
      </c>
      <c r="H2124" s="19"/>
    </row>
    <row r="2125">
      <c r="A2125" s="9"/>
      <c r="B2125" s="15"/>
      <c r="C2125" s="9">
        <f>IFERROR(__xludf.DUMMYFUNCTION("""COMPUTED_VALUE"""),45122.3800044791)</f>
        <v>45122.38</v>
      </c>
      <c r="D2125" s="15">
        <f>IFERROR(__xludf.DUMMYFUNCTION("""COMPUTED_VALUE"""),1.003)</f>
        <v>1.003</v>
      </c>
      <c r="E2125" s="16">
        <f>IFERROR(__xludf.DUMMYFUNCTION("""COMPUTED_VALUE"""),72.0)</f>
        <v>72</v>
      </c>
      <c r="F2125" s="19" t="str">
        <f>IFERROR(__xludf.DUMMYFUNCTION("""COMPUTED_VALUE"""),"BLACK")</f>
        <v>BLACK</v>
      </c>
      <c r="G2125" s="20" t="str">
        <f>IFERROR(__xludf.DUMMYFUNCTION("""COMPUTED_VALUE"""),"Uncle Sams Cider (04/04/2023)")</f>
        <v>Uncle Sams Cider (04/04/2023)</v>
      </c>
      <c r="H2125" s="19"/>
    </row>
    <row r="2126">
      <c r="A2126" s="9"/>
      <c r="B2126" s="15"/>
      <c r="C2126" s="9">
        <f>IFERROR(__xludf.DUMMYFUNCTION("""COMPUTED_VALUE"""),45122.3695826273)</f>
        <v>45122.36958</v>
      </c>
      <c r="D2126" s="15">
        <f>IFERROR(__xludf.DUMMYFUNCTION("""COMPUTED_VALUE"""),1.003)</f>
        <v>1.003</v>
      </c>
      <c r="E2126" s="16">
        <f>IFERROR(__xludf.DUMMYFUNCTION("""COMPUTED_VALUE"""),72.0)</f>
        <v>72</v>
      </c>
      <c r="F2126" s="19" t="str">
        <f>IFERROR(__xludf.DUMMYFUNCTION("""COMPUTED_VALUE"""),"BLACK")</f>
        <v>BLACK</v>
      </c>
      <c r="G2126" s="20" t="str">
        <f>IFERROR(__xludf.DUMMYFUNCTION("""COMPUTED_VALUE"""),"Uncle Sams Cider (04/04/2023)")</f>
        <v>Uncle Sams Cider (04/04/2023)</v>
      </c>
      <c r="H2126" s="19"/>
    </row>
    <row r="2127">
      <c r="A2127" s="9"/>
      <c r="B2127" s="15"/>
      <c r="C2127" s="9">
        <f>IFERROR(__xludf.DUMMYFUNCTION("""COMPUTED_VALUE"""),45122.3591606597)</f>
        <v>45122.35916</v>
      </c>
      <c r="D2127" s="15">
        <f>IFERROR(__xludf.DUMMYFUNCTION("""COMPUTED_VALUE"""),1.003)</f>
        <v>1.003</v>
      </c>
      <c r="E2127" s="16">
        <f>IFERROR(__xludf.DUMMYFUNCTION("""COMPUTED_VALUE"""),72.0)</f>
        <v>72</v>
      </c>
      <c r="F2127" s="19" t="str">
        <f>IFERROR(__xludf.DUMMYFUNCTION("""COMPUTED_VALUE"""),"BLACK")</f>
        <v>BLACK</v>
      </c>
      <c r="G2127" s="20" t="str">
        <f>IFERROR(__xludf.DUMMYFUNCTION("""COMPUTED_VALUE"""),"Uncle Sams Cider (04/04/2023)")</f>
        <v>Uncle Sams Cider (04/04/2023)</v>
      </c>
      <c r="H2127" s="19"/>
    </row>
    <row r="2128">
      <c r="A2128" s="9"/>
      <c r="B2128" s="15"/>
      <c r="C2128" s="9">
        <f>IFERROR(__xludf.DUMMYFUNCTION("""COMPUTED_VALUE"""),45122.3487389236)</f>
        <v>45122.34874</v>
      </c>
      <c r="D2128" s="15">
        <f>IFERROR(__xludf.DUMMYFUNCTION("""COMPUTED_VALUE"""),1.003)</f>
        <v>1.003</v>
      </c>
      <c r="E2128" s="16">
        <f>IFERROR(__xludf.DUMMYFUNCTION("""COMPUTED_VALUE"""),72.0)</f>
        <v>72</v>
      </c>
      <c r="F2128" s="19" t="str">
        <f>IFERROR(__xludf.DUMMYFUNCTION("""COMPUTED_VALUE"""),"BLACK")</f>
        <v>BLACK</v>
      </c>
      <c r="G2128" s="20" t="str">
        <f>IFERROR(__xludf.DUMMYFUNCTION("""COMPUTED_VALUE"""),"Uncle Sams Cider (04/04/2023)")</f>
        <v>Uncle Sams Cider (04/04/2023)</v>
      </c>
      <c r="H2128" s="19"/>
    </row>
    <row r="2129">
      <c r="A2129" s="9"/>
      <c r="B2129" s="15"/>
      <c r="C2129" s="9">
        <f>IFERROR(__xludf.DUMMYFUNCTION("""COMPUTED_VALUE"""),45122.3383176504)</f>
        <v>45122.33832</v>
      </c>
      <c r="D2129" s="15">
        <f>IFERROR(__xludf.DUMMYFUNCTION("""COMPUTED_VALUE"""),1.003)</f>
        <v>1.003</v>
      </c>
      <c r="E2129" s="16">
        <f>IFERROR(__xludf.DUMMYFUNCTION("""COMPUTED_VALUE"""),72.0)</f>
        <v>72</v>
      </c>
      <c r="F2129" s="19" t="str">
        <f>IFERROR(__xludf.DUMMYFUNCTION("""COMPUTED_VALUE"""),"BLACK")</f>
        <v>BLACK</v>
      </c>
      <c r="G2129" s="20" t="str">
        <f>IFERROR(__xludf.DUMMYFUNCTION("""COMPUTED_VALUE"""),"Uncle Sams Cider (04/04/2023)")</f>
        <v>Uncle Sams Cider (04/04/2023)</v>
      </c>
      <c r="H2129" s="19"/>
    </row>
    <row r="2130">
      <c r="A2130" s="9"/>
      <c r="B2130" s="15"/>
      <c r="C2130" s="9">
        <f>IFERROR(__xludf.DUMMYFUNCTION("""COMPUTED_VALUE"""),45122.3278741551)</f>
        <v>45122.32787</v>
      </c>
      <c r="D2130" s="15">
        <f>IFERROR(__xludf.DUMMYFUNCTION("""COMPUTED_VALUE"""),1.003)</f>
        <v>1.003</v>
      </c>
      <c r="E2130" s="16">
        <f>IFERROR(__xludf.DUMMYFUNCTION("""COMPUTED_VALUE"""),72.0)</f>
        <v>72</v>
      </c>
      <c r="F2130" s="19" t="str">
        <f>IFERROR(__xludf.DUMMYFUNCTION("""COMPUTED_VALUE"""),"BLACK")</f>
        <v>BLACK</v>
      </c>
      <c r="G2130" s="20" t="str">
        <f>IFERROR(__xludf.DUMMYFUNCTION("""COMPUTED_VALUE"""),"Uncle Sams Cider (04/04/2023)")</f>
        <v>Uncle Sams Cider (04/04/2023)</v>
      </c>
      <c r="H2130" s="19"/>
    </row>
    <row r="2131">
      <c r="A2131" s="9"/>
      <c r="B2131" s="15"/>
      <c r="C2131" s="9">
        <f>IFERROR(__xludf.DUMMYFUNCTION("""COMPUTED_VALUE"""),45122.3174520717)</f>
        <v>45122.31745</v>
      </c>
      <c r="D2131" s="15">
        <f>IFERROR(__xludf.DUMMYFUNCTION("""COMPUTED_VALUE"""),1.003)</f>
        <v>1.003</v>
      </c>
      <c r="E2131" s="16">
        <f>IFERROR(__xludf.DUMMYFUNCTION("""COMPUTED_VALUE"""),72.0)</f>
        <v>72</v>
      </c>
      <c r="F2131" s="19" t="str">
        <f>IFERROR(__xludf.DUMMYFUNCTION("""COMPUTED_VALUE"""),"BLACK")</f>
        <v>BLACK</v>
      </c>
      <c r="G2131" s="20" t="str">
        <f>IFERROR(__xludf.DUMMYFUNCTION("""COMPUTED_VALUE"""),"Uncle Sams Cider (04/04/2023)")</f>
        <v>Uncle Sams Cider (04/04/2023)</v>
      </c>
      <c r="H2131" s="19"/>
    </row>
    <row r="2132">
      <c r="A2132" s="9"/>
      <c r="B2132" s="15"/>
      <c r="C2132" s="9">
        <f>IFERROR(__xludf.DUMMYFUNCTION("""COMPUTED_VALUE"""),45122.307019074)</f>
        <v>45122.30702</v>
      </c>
      <c r="D2132" s="15">
        <f>IFERROR(__xludf.DUMMYFUNCTION("""COMPUTED_VALUE"""),1.003)</f>
        <v>1.003</v>
      </c>
      <c r="E2132" s="16">
        <f>IFERROR(__xludf.DUMMYFUNCTION("""COMPUTED_VALUE"""),72.0)</f>
        <v>72</v>
      </c>
      <c r="F2132" s="19" t="str">
        <f>IFERROR(__xludf.DUMMYFUNCTION("""COMPUTED_VALUE"""),"BLACK")</f>
        <v>BLACK</v>
      </c>
      <c r="G2132" s="20" t="str">
        <f>IFERROR(__xludf.DUMMYFUNCTION("""COMPUTED_VALUE"""),"Uncle Sams Cider (04/04/2023)")</f>
        <v>Uncle Sams Cider (04/04/2023)</v>
      </c>
      <c r="H2132" s="19"/>
    </row>
    <row r="2133">
      <c r="A2133" s="9"/>
      <c r="B2133" s="15"/>
      <c r="C2133" s="9">
        <f>IFERROR(__xludf.DUMMYFUNCTION("""COMPUTED_VALUE"""),45122.2965958449)</f>
        <v>45122.2966</v>
      </c>
      <c r="D2133" s="15">
        <f>IFERROR(__xludf.DUMMYFUNCTION("""COMPUTED_VALUE"""),1.003)</f>
        <v>1.003</v>
      </c>
      <c r="E2133" s="16">
        <f>IFERROR(__xludf.DUMMYFUNCTION("""COMPUTED_VALUE"""),72.0)</f>
        <v>72</v>
      </c>
      <c r="F2133" s="19" t="str">
        <f>IFERROR(__xludf.DUMMYFUNCTION("""COMPUTED_VALUE"""),"BLACK")</f>
        <v>BLACK</v>
      </c>
      <c r="G2133" s="20" t="str">
        <f>IFERROR(__xludf.DUMMYFUNCTION("""COMPUTED_VALUE"""),"Uncle Sams Cider (04/04/2023)")</f>
        <v>Uncle Sams Cider (04/04/2023)</v>
      </c>
      <c r="H2133" s="19"/>
    </row>
    <row r="2134">
      <c r="A2134" s="9"/>
      <c r="B2134" s="15"/>
      <c r="C2134" s="9">
        <f>IFERROR(__xludf.DUMMYFUNCTION("""COMPUTED_VALUE"""),45122.2861751736)</f>
        <v>45122.28618</v>
      </c>
      <c r="D2134" s="15">
        <f>IFERROR(__xludf.DUMMYFUNCTION("""COMPUTED_VALUE"""),1.003)</f>
        <v>1.003</v>
      </c>
      <c r="E2134" s="16">
        <f>IFERROR(__xludf.DUMMYFUNCTION("""COMPUTED_VALUE"""),72.0)</f>
        <v>72</v>
      </c>
      <c r="F2134" s="19" t="str">
        <f>IFERROR(__xludf.DUMMYFUNCTION("""COMPUTED_VALUE"""),"BLACK")</f>
        <v>BLACK</v>
      </c>
      <c r="G2134" s="20" t="str">
        <f>IFERROR(__xludf.DUMMYFUNCTION("""COMPUTED_VALUE"""),"Uncle Sams Cider (04/04/2023)")</f>
        <v>Uncle Sams Cider (04/04/2023)</v>
      </c>
      <c r="H2134" s="19"/>
    </row>
    <row r="2135">
      <c r="A2135" s="9"/>
      <c r="B2135" s="15"/>
      <c r="C2135" s="9">
        <f>IFERROR(__xludf.DUMMYFUNCTION("""COMPUTED_VALUE"""),45122.2757538888)</f>
        <v>45122.27575</v>
      </c>
      <c r="D2135" s="15">
        <f>IFERROR(__xludf.DUMMYFUNCTION("""COMPUTED_VALUE"""),1.004)</f>
        <v>1.004</v>
      </c>
      <c r="E2135" s="16">
        <f>IFERROR(__xludf.DUMMYFUNCTION("""COMPUTED_VALUE"""),72.0)</f>
        <v>72</v>
      </c>
      <c r="F2135" s="19" t="str">
        <f>IFERROR(__xludf.DUMMYFUNCTION("""COMPUTED_VALUE"""),"BLACK")</f>
        <v>BLACK</v>
      </c>
      <c r="G2135" s="20" t="str">
        <f>IFERROR(__xludf.DUMMYFUNCTION("""COMPUTED_VALUE"""),"Uncle Sams Cider (04/04/2023)")</f>
        <v>Uncle Sams Cider (04/04/2023)</v>
      </c>
      <c r="H2135" s="19"/>
    </row>
    <row r="2136">
      <c r="A2136" s="9"/>
      <c r="B2136" s="15"/>
      <c r="C2136" s="9">
        <f>IFERROR(__xludf.DUMMYFUNCTION("""COMPUTED_VALUE"""),45122.2653343634)</f>
        <v>45122.26533</v>
      </c>
      <c r="D2136" s="15">
        <f>IFERROR(__xludf.DUMMYFUNCTION("""COMPUTED_VALUE"""),1.003)</f>
        <v>1.003</v>
      </c>
      <c r="E2136" s="16">
        <f>IFERROR(__xludf.DUMMYFUNCTION("""COMPUTED_VALUE"""),72.0)</f>
        <v>72</v>
      </c>
      <c r="F2136" s="19" t="str">
        <f>IFERROR(__xludf.DUMMYFUNCTION("""COMPUTED_VALUE"""),"BLACK")</f>
        <v>BLACK</v>
      </c>
      <c r="G2136" s="20" t="str">
        <f>IFERROR(__xludf.DUMMYFUNCTION("""COMPUTED_VALUE"""),"Uncle Sams Cider (04/04/2023)")</f>
        <v>Uncle Sams Cider (04/04/2023)</v>
      </c>
      <c r="H2136" s="19"/>
    </row>
    <row r="2137">
      <c r="A2137" s="9"/>
      <c r="B2137" s="15"/>
      <c r="C2137" s="9">
        <f>IFERROR(__xludf.DUMMYFUNCTION("""COMPUTED_VALUE"""),45122.2549123842)</f>
        <v>45122.25491</v>
      </c>
      <c r="D2137" s="15">
        <f>IFERROR(__xludf.DUMMYFUNCTION("""COMPUTED_VALUE"""),1.003)</f>
        <v>1.003</v>
      </c>
      <c r="E2137" s="16">
        <f>IFERROR(__xludf.DUMMYFUNCTION("""COMPUTED_VALUE"""),72.0)</f>
        <v>72</v>
      </c>
      <c r="F2137" s="19" t="str">
        <f>IFERROR(__xludf.DUMMYFUNCTION("""COMPUTED_VALUE"""),"BLACK")</f>
        <v>BLACK</v>
      </c>
      <c r="G2137" s="20" t="str">
        <f>IFERROR(__xludf.DUMMYFUNCTION("""COMPUTED_VALUE"""),"Uncle Sams Cider (04/04/2023)")</f>
        <v>Uncle Sams Cider (04/04/2023)</v>
      </c>
      <c r="H2137" s="19"/>
    </row>
    <row r="2138">
      <c r="A2138" s="9"/>
      <c r="B2138" s="15"/>
      <c r="C2138" s="9">
        <f>IFERROR(__xludf.DUMMYFUNCTION("""COMPUTED_VALUE"""),45122.2444917245)</f>
        <v>45122.24449</v>
      </c>
      <c r="D2138" s="15">
        <f>IFERROR(__xludf.DUMMYFUNCTION("""COMPUTED_VALUE"""),1.003)</f>
        <v>1.003</v>
      </c>
      <c r="E2138" s="16">
        <f>IFERROR(__xludf.DUMMYFUNCTION("""COMPUTED_VALUE"""),72.0)</f>
        <v>72</v>
      </c>
      <c r="F2138" s="19" t="str">
        <f>IFERROR(__xludf.DUMMYFUNCTION("""COMPUTED_VALUE"""),"BLACK")</f>
        <v>BLACK</v>
      </c>
      <c r="G2138" s="20" t="str">
        <f>IFERROR(__xludf.DUMMYFUNCTION("""COMPUTED_VALUE"""),"Uncle Sams Cider (04/04/2023)")</f>
        <v>Uncle Sams Cider (04/04/2023)</v>
      </c>
      <c r="H2138" s="19"/>
    </row>
    <row r="2139">
      <c r="A2139" s="9"/>
      <c r="B2139" s="15"/>
      <c r="C2139" s="9">
        <f>IFERROR(__xludf.DUMMYFUNCTION("""COMPUTED_VALUE"""),45122.2340711226)</f>
        <v>45122.23407</v>
      </c>
      <c r="D2139" s="15">
        <f>IFERROR(__xludf.DUMMYFUNCTION("""COMPUTED_VALUE"""),1.004)</f>
        <v>1.004</v>
      </c>
      <c r="E2139" s="16">
        <f>IFERROR(__xludf.DUMMYFUNCTION("""COMPUTED_VALUE"""),72.0)</f>
        <v>72</v>
      </c>
      <c r="F2139" s="19" t="str">
        <f>IFERROR(__xludf.DUMMYFUNCTION("""COMPUTED_VALUE"""),"BLACK")</f>
        <v>BLACK</v>
      </c>
      <c r="G2139" s="20" t="str">
        <f>IFERROR(__xludf.DUMMYFUNCTION("""COMPUTED_VALUE"""),"Uncle Sams Cider (04/04/2023)")</f>
        <v>Uncle Sams Cider (04/04/2023)</v>
      </c>
      <c r="H2139" s="19"/>
    </row>
    <row r="2140">
      <c r="A2140" s="9"/>
      <c r="B2140" s="15"/>
      <c r="C2140" s="9">
        <f>IFERROR(__xludf.DUMMYFUNCTION("""COMPUTED_VALUE"""),45122.2236386226)</f>
        <v>45122.22364</v>
      </c>
      <c r="D2140" s="15">
        <f>IFERROR(__xludf.DUMMYFUNCTION("""COMPUTED_VALUE"""),1.004)</f>
        <v>1.004</v>
      </c>
      <c r="E2140" s="16">
        <f>IFERROR(__xludf.DUMMYFUNCTION("""COMPUTED_VALUE"""),72.0)</f>
        <v>72</v>
      </c>
      <c r="F2140" s="19" t="str">
        <f>IFERROR(__xludf.DUMMYFUNCTION("""COMPUTED_VALUE"""),"BLACK")</f>
        <v>BLACK</v>
      </c>
      <c r="G2140" s="20" t="str">
        <f>IFERROR(__xludf.DUMMYFUNCTION("""COMPUTED_VALUE"""),"Uncle Sams Cider (04/04/2023)")</f>
        <v>Uncle Sams Cider (04/04/2023)</v>
      </c>
      <c r="H2140" s="19"/>
    </row>
    <row r="2141">
      <c r="A2141" s="9"/>
      <c r="B2141" s="15"/>
      <c r="C2141" s="9">
        <f>IFERROR(__xludf.DUMMYFUNCTION("""COMPUTED_VALUE"""),45122.2132176157)</f>
        <v>45122.21322</v>
      </c>
      <c r="D2141" s="15">
        <f>IFERROR(__xludf.DUMMYFUNCTION("""COMPUTED_VALUE"""),1.003)</f>
        <v>1.003</v>
      </c>
      <c r="E2141" s="16">
        <f>IFERROR(__xludf.DUMMYFUNCTION("""COMPUTED_VALUE"""),72.0)</f>
        <v>72</v>
      </c>
      <c r="F2141" s="19" t="str">
        <f>IFERROR(__xludf.DUMMYFUNCTION("""COMPUTED_VALUE"""),"BLACK")</f>
        <v>BLACK</v>
      </c>
      <c r="G2141" s="20" t="str">
        <f>IFERROR(__xludf.DUMMYFUNCTION("""COMPUTED_VALUE"""),"Uncle Sams Cider (04/04/2023)")</f>
        <v>Uncle Sams Cider (04/04/2023)</v>
      </c>
      <c r="H2141" s="19"/>
    </row>
    <row r="2142">
      <c r="A2142" s="9"/>
      <c r="B2142" s="15"/>
      <c r="C2142" s="9">
        <f>IFERROR(__xludf.DUMMYFUNCTION("""COMPUTED_VALUE"""),45122.2027966319)</f>
        <v>45122.2028</v>
      </c>
      <c r="D2142" s="15">
        <f>IFERROR(__xludf.DUMMYFUNCTION("""COMPUTED_VALUE"""),1.003)</f>
        <v>1.003</v>
      </c>
      <c r="E2142" s="16">
        <f>IFERROR(__xludf.DUMMYFUNCTION("""COMPUTED_VALUE"""),72.0)</f>
        <v>72</v>
      </c>
      <c r="F2142" s="19" t="str">
        <f>IFERROR(__xludf.DUMMYFUNCTION("""COMPUTED_VALUE"""),"BLACK")</f>
        <v>BLACK</v>
      </c>
      <c r="G2142" s="20" t="str">
        <f>IFERROR(__xludf.DUMMYFUNCTION("""COMPUTED_VALUE"""),"Uncle Sams Cider (04/04/2023)")</f>
        <v>Uncle Sams Cider (04/04/2023)</v>
      </c>
      <c r="H2142" s="19"/>
    </row>
    <row r="2143">
      <c r="A2143" s="9"/>
      <c r="B2143" s="15"/>
      <c r="C2143" s="9">
        <f>IFERROR(__xludf.DUMMYFUNCTION("""COMPUTED_VALUE"""),45122.1923774305)</f>
        <v>45122.19238</v>
      </c>
      <c r="D2143" s="15">
        <f>IFERROR(__xludf.DUMMYFUNCTION("""COMPUTED_VALUE"""),1.003)</f>
        <v>1.003</v>
      </c>
      <c r="E2143" s="16">
        <f>IFERROR(__xludf.DUMMYFUNCTION("""COMPUTED_VALUE"""),72.0)</f>
        <v>72</v>
      </c>
      <c r="F2143" s="19" t="str">
        <f>IFERROR(__xludf.DUMMYFUNCTION("""COMPUTED_VALUE"""),"BLACK")</f>
        <v>BLACK</v>
      </c>
      <c r="G2143" s="20" t="str">
        <f>IFERROR(__xludf.DUMMYFUNCTION("""COMPUTED_VALUE"""),"Uncle Sams Cider (04/04/2023)")</f>
        <v>Uncle Sams Cider (04/04/2023)</v>
      </c>
      <c r="H2143" s="19"/>
    </row>
    <row r="2144">
      <c r="A2144" s="9"/>
      <c r="B2144" s="15"/>
      <c r="C2144" s="9">
        <f>IFERROR(__xludf.DUMMYFUNCTION("""COMPUTED_VALUE"""),45122.1819566203)</f>
        <v>45122.18196</v>
      </c>
      <c r="D2144" s="15">
        <f>IFERROR(__xludf.DUMMYFUNCTION("""COMPUTED_VALUE"""),1.003)</f>
        <v>1.003</v>
      </c>
      <c r="E2144" s="16">
        <f>IFERROR(__xludf.DUMMYFUNCTION("""COMPUTED_VALUE"""),72.0)</f>
        <v>72</v>
      </c>
      <c r="F2144" s="19" t="str">
        <f>IFERROR(__xludf.DUMMYFUNCTION("""COMPUTED_VALUE"""),"BLACK")</f>
        <v>BLACK</v>
      </c>
      <c r="G2144" s="20" t="str">
        <f>IFERROR(__xludf.DUMMYFUNCTION("""COMPUTED_VALUE"""),"Uncle Sams Cider (04/04/2023)")</f>
        <v>Uncle Sams Cider (04/04/2023)</v>
      </c>
      <c r="H2144" s="19"/>
    </row>
    <row r="2145">
      <c r="A2145" s="9"/>
      <c r="B2145" s="15"/>
      <c r="C2145" s="9">
        <f>IFERROR(__xludf.DUMMYFUNCTION("""COMPUTED_VALUE"""),45122.1715362615)</f>
        <v>45122.17154</v>
      </c>
      <c r="D2145" s="15">
        <f>IFERROR(__xludf.DUMMYFUNCTION("""COMPUTED_VALUE"""),1.003)</f>
        <v>1.003</v>
      </c>
      <c r="E2145" s="16">
        <f>IFERROR(__xludf.DUMMYFUNCTION("""COMPUTED_VALUE"""),72.0)</f>
        <v>72</v>
      </c>
      <c r="F2145" s="19" t="str">
        <f>IFERROR(__xludf.DUMMYFUNCTION("""COMPUTED_VALUE"""),"BLACK")</f>
        <v>BLACK</v>
      </c>
      <c r="G2145" s="20" t="str">
        <f>IFERROR(__xludf.DUMMYFUNCTION("""COMPUTED_VALUE"""),"Uncle Sams Cider (04/04/2023)")</f>
        <v>Uncle Sams Cider (04/04/2023)</v>
      </c>
      <c r="H2145" s="19"/>
    </row>
    <row r="2146">
      <c r="A2146" s="9"/>
      <c r="B2146" s="15"/>
      <c r="C2146" s="9">
        <f>IFERROR(__xludf.DUMMYFUNCTION("""COMPUTED_VALUE"""),45122.1611141782)</f>
        <v>45122.16111</v>
      </c>
      <c r="D2146" s="15">
        <f>IFERROR(__xludf.DUMMYFUNCTION("""COMPUTED_VALUE"""),1.004)</f>
        <v>1.004</v>
      </c>
      <c r="E2146" s="16">
        <f>IFERROR(__xludf.DUMMYFUNCTION("""COMPUTED_VALUE"""),72.0)</f>
        <v>72</v>
      </c>
      <c r="F2146" s="19" t="str">
        <f>IFERROR(__xludf.DUMMYFUNCTION("""COMPUTED_VALUE"""),"BLACK")</f>
        <v>BLACK</v>
      </c>
      <c r="G2146" s="20" t="str">
        <f>IFERROR(__xludf.DUMMYFUNCTION("""COMPUTED_VALUE"""),"Uncle Sams Cider (04/04/2023)")</f>
        <v>Uncle Sams Cider (04/04/2023)</v>
      </c>
      <c r="H2146" s="19"/>
    </row>
    <row r="2147">
      <c r="A2147" s="9"/>
      <c r="B2147" s="15"/>
      <c r="C2147" s="9">
        <f>IFERROR(__xludf.DUMMYFUNCTION("""COMPUTED_VALUE"""),45122.1506923263)</f>
        <v>45122.15069</v>
      </c>
      <c r="D2147" s="15">
        <f>IFERROR(__xludf.DUMMYFUNCTION("""COMPUTED_VALUE"""),1.003)</f>
        <v>1.003</v>
      </c>
      <c r="E2147" s="16">
        <f>IFERROR(__xludf.DUMMYFUNCTION("""COMPUTED_VALUE"""),72.0)</f>
        <v>72</v>
      </c>
      <c r="F2147" s="19" t="str">
        <f>IFERROR(__xludf.DUMMYFUNCTION("""COMPUTED_VALUE"""),"BLACK")</f>
        <v>BLACK</v>
      </c>
      <c r="G2147" s="20" t="str">
        <f>IFERROR(__xludf.DUMMYFUNCTION("""COMPUTED_VALUE"""),"Uncle Sams Cider (04/04/2023)")</f>
        <v>Uncle Sams Cider (04/04/2023)</v>
      </c>
      <c r="H2147" s="19"/>
    </row>
    <row r="2148">
      <c r="A2148" s="9"/>
      <c r="B2148" s="15"/>
      <c r="C2148" s="9">
        <f>IFERROR(__xludf.DUMMYFUNCTION("""COMPUTED_VALUE"""),45122.1402596875)</f>
        <v>45122.14026</v>
      </c>
      <c r="D2148" s="15">
        <f>IFERROR(__xludf.DUMMYFUNCTION("""COMPUTED_VALUE"""),1.003)</f>
        <v>1.003</v>
      </c>
      <c r="E2148" s="16">
        <f>IFERROR(__xludf.DUMMYFUNCTION("""COMPUTED_VALUE"""),72.0)</f>
        <v>72</v>
      </c>
      <c r="F2148" s="19" t="str">
        <f>IFERROR(__xludf.DUMMYFUNCTION("""COMPUTED_VALUE"""),"BLACK")</f>
        <v>BLACK</v>
      </c>
      <c r="G2148" s="20" t="str">
        <f>IFERROR(__xludf.DUMMYFUNCTION("""COMPUTED_VALUE"""),"Uncle Sams Cider (04/04/2023)")</f>
        <v>Uncle Sams Cider (04/04/2023)</v>
      </c>
      <c r="H2148" s="19"/>
    </row>
    <row r="2149">
      <c r="A2149" s="9"/>
      <c r="B2149" s="15"/>
      <c r="C2149" s="9">
        <f>IFERROR(__xludf.DUMMYFUNCTION("""COMPUTED_VALUE"""),45122.1298371296)</f>
        <v>45122.12984</v>
      </c>
      <c r="D2149" s="15">
        <f>IFERROR(__xludf.DUMMYFUNCTION("""COMPUTED_VALUE"""),1.003)</f>
        <v>1.003</v>
      </c>
      <c r="E2149" s="16">
        <f>IFERROR(__xludf.DUMMYFUNCTION("""COMPUTED_VALUE"""),72.0)</f>
        <v>72</v>
      </c>
      <c r="F2149" s="19" t="str">
        <f>IFERROR(__xludf.DUMMYFUNCTION("""COMPUTED_VALUE"""),"BLACK")</f>
        <v>BLACK</v>
      </c>
      <c r="G2149" s="20" t="str">
        <f>IFERROR(__xludf.DUMMYFUNCTION("""COMPUTED_VALUE"""),"Uncle Sams Cider (04/04/2023)")</f>
        <v>Uncle Sams Cider (04/04/2023)</v>
      </c>
      <c r="H2149" s="19"/>
    </row>
    <row r="2150">
      <c r="A2150" s="9"/>
      <c r="B2150" s="15"/>
      <c r="C2150" s="9">
        <f>IFERROR(__xludf.DUMMYFUNCTION("""COMPUTED_VALUE"""),45122.1194046875)</f>
        <v>45122.1194</v>
      </c>
      <c r="D2150" s="15">
        <f>IFERROR(__xludf.DUMMYFUNCTION("""COMPUTED_VALUE"""),1.003)</f>
        <v>1.003</v>
      </c>
      <c r="E2150" s="16">
        <f>IFERROR(__xludf.DUMMYFUNCTION("""COMPUTED_VALUE"""),72.0)</f>
        <v>72</v>
      </c>
      <c r="F2150" s="19" t="str">
        <f>IFERROR(__xludf.DUMMYFUNCTION("""COMPUTED_VALUE"""),"BLACK")</f>
        <v>BLACK</v>
      </c>
      <c r="G2150" s="20" t="str">
        <f>IFERROR(__xludf.DUMMYFUNCTION("""COMPUTED_VALUE"""),"Uncle Sams Cider (04/04/2023)")</f>
        <v>Uncle Sams Cider (04/04/2023)</v>
      </c>
      <c r="H2150" s="19"/>
    </row>
    <row r="2151">
      <c r="A2151" s="9"/>
      <c r="B2151" s="15"/>
      <c r="C2151" s="9">
        <f>IFERROR(__xludf.DUMMYFUNCTION("""COMPUTED_VALUE"""),45122.1089826388)</f>
        <v>45122.10898</v>
      </c>
      <c r="D2151" s="15">
        <f>IFERROR(__xludf.DUMMYFUNCTION("""COMPUTED_VALUE"""),1.003)</f>
        <v>1.003</v>
      </c>
      <c r="E2151" s="16">
        <f>IFERROR(__xludf.DUMMYFUNCTION("""COMPUTED_VALUE"""),72.0)</f>
        <v>72</v>
      </c>
      <c r="F2151" s="19" t="str">
        <f>IFERROR(__xludf.DUMMYFUNCTION("""COMPUTED_VALUE"""),"BLACK")</f>
        <v>BLACK</v>
      </c>
      <c r="G2151" s="20" t="str">
        <f>IFERROR(__xludf.DUMMYFUNCTION("""COMPUTED_VALUE"""),"Uncle Sams Cider (04/04/2023)")</f>
        <v>Uncle Sams Cider (04/04/2023)</v>
      </c>
      <c r="H2151" s="19"/>
    </row>
    <row r="2152">
      <c r="A2152" s="9"/>
      <c r="B2152" s="15"/>
      <c r="C2152" s="9">
        <f>IFERROR(__xludf.DUMMYFUNCTION("""COMPUTED_VALUE"""),45122.0985618518)</f>
        <v>45122.09856</v>
      </c>
      <c r="D2152" s="15">
        <f>IFERROR(__xludf.DUMMYFUNCTION("""COMPUTED_VALUE"""),1.003)</f>
        <v>1.003</v>
      </c>
      <c r="E2152" s="16">
        <f>IFERROR(__xludf.DUMMYFUNCTION("""COMPUTED_VALUE"""),72.0)</f>
        <v>72</v>
      </c>
      <c r="F2152" s="19" t="str">
        <f>IFERROR(__xludf.DUMMYFUNCTION("""COMPUTED_VALUE"""),"BLACK")</f>
        <v>BLACK</v>
      </c>
      <c r="G2152" s="20" t="str">
        <f>IFERROR(__xludf.DUMMYFUNCTION("""COMPUTED_VALUE"""),"Uncle Sams Cider (04/04/2023)")</f>
        <v>Uncle Sams Cider (04/04/2023)</v>
      </c>
      <c r="H2152" s="19"/>
    </row>
    <row r="2153">
      <c r="A2153" s="9"/>
      <c r="B2153" s="15"/>
      <c r="C2153" s="9">
        <f>IFERROR(__xludf.DUMMYFUNCTION("""COMPUTED_VALUE"""),45122.0881159722)</f>
        <v>45122.08812</v>
      </c>
      <c r="D2153" s="15">
        <f>IFERROR(__xludf.DUMMYFUNCTION("""COMPUTED_VALUE"""),1.003)</f>
        <v>1.003</v>
      </c>
      <c r="E2153" s="16">
        <f>IFERROR(__xludf.DUMMYFUNCTION("""COMPUTED_VALUE"""),72.0)</f>
        <v>72</v>
      </c>
      <c r="F2153" s="19" t="str">
        <f>IFERROR(__xludf.DUMMYFUNCTION("""COMPUTED_VALUE"""),"BLACK")</f>
        <v>BLACK</v>
      </c>
      <c r="G2153" s="20" t="str">
        <f>IFERROR(__xludf.DUMMYFUNCTION("""COMPUTED_VALUE"""),"Uncle Sams Cider (04/04/2023)")</f>
        <v>Uncle Sams Cider (04/04/2023)</v>
      </c>
      <c r="H2153" s="19"/>
    </row>
    <row r="2154">
      <c r="A2154" s="9"/>
      <c r="B2154" s="15"/>
      <c r="C2154" s="9">
        <f>IFERROR(__xludf.DUMMYFUNCTION("""COMPUTED_VALUE"""),45122.0776946527)</f>
        <v>45122.07769</v>
      </c>
      <c r="D2154" s="15">
        <f>IFERROR(__xludf.DUMMYFUNCTION("""COMPUTED_VALUE"""),1.004)</f>
        <v>1.004</v>
      </c>
      <c r="E2154" s="16">
        <f>IFERROR(__xludf.DUMMYFUNCTION("""COMPUTED_VALUE"""),72.0)</f>
        <v>72</v>
      </c>
      <c r="F2154" s="19" t="str">
        <f>IFERROR(__xludf.DUMMYFUNCTION("""COMPUTED_VALUE"""),"BLACK")</f>
        <v>BLACK</v>
      </c>
      <c r="G2154" s="20" t="str">
        <f>IFERROR(__xludf.DUMMYFUNCTION("""COMPUTED_VALUE"""),"Uncle Sams Cider (04/04/2023)")</f>
        <v>Uncle Sams Cider (04/04/2023)</v>
      </c>
      <c r="H2154" s="19"/>
    </row>
    <row r="2155">
      <c r="A2155" s="9"/>
      <c r="B2155" s="15"/>
      <c r="C2155" s="9">
        <f>IFERROR(__xludf.DUMMYFUNCTION("""COMPUTED_VALUE"""),45122.0672744907)</f>
        <v>45122.06727</v>
      </c>
      <c r="D2155" s="15">
        <f>IFERROR(__xludf.DUMMYFUNCTION("""COMPUTED_VALUE"""),1.004)</f>
        <v>1.004</v>
      </c>
      <c r="E2155" s="16">
        <f>IFERROR(__xludf.DUMMYFUNCTION("""COMPUTED_VALUE"""),72.0)</f>
        <v>72</v>
      </c>
      <c r="F2155" s="19" t="str">
        <f>IFERROR(__xludf.DUMMYFUNCTION("""COMPUTED_VALUE"""),"BLACK")</f>
        <v>BLACK</v>
      </c>
      <c r="G2155" s="20" t="str">
        <f>IFERROR(__xludf.DUMMYFUNCTION("""COMPUTED_VALUE"""),"Uncle Sams Cider (04/04/2023)")</f>
        <v>Uncle Sams Cider (04/04/2023)</v>
      </c>
      <c r="H2155" s="19"/>
    </row>
    <row r="2156">
      <c r="A2156" s="9"/>
      <c r="B2156" s="15"/>
      <c r="C2156" s="9">
        <f>IFERROR(__xludf.DUMMYFUNCTION("""COMPUTED_VALUE"""),45122.056842199)</f>
        <v>45122.05684</v>
      </c>
      <c r="D2156" s="15">
        <f>IFERROR(__xludf.DUMMYFUNCTION("""COMPUTED_VALUE"""),1.003)</f>
        <v>1.003</v>
      </c>
      <c r="E2156" s="16">
        <f>IFERROR(__xludf.DUMMYFUNCTION("""COMPUTED_VALUE"""),72.0)</f>
        <v>72</v>
      </c>
      <c r="F2156" s="19" t="str">
        <f>IFERROR(__xludf.DUMMYFUNCTION("""COMPUTED_VALUE"""),"BLACK")</f>
        <v>BLACK</v>
      </c>
      <c r="G2156" s="20" t="str">
        <f>IFERROR(__xludf.DUMMYFUNCTION("""COMPUTED_VALUE"""),"Uncle Sams Cider (04/04/2023)")</f>
        <v>Uncle Sams Cider (04/04/2023)</v>
      </c>
      <c r="H2156" s="19"/>
    </row>
    <row r="2157">
      <c r="A2157" s="9"/>
      <c r="B2157" s="15"/>
      <c r="C2157" s="9">
        <f>IFERROR(__xludf.DUMMYFUNCTION("""COMPUTED_VALUE"""),45122.0464215625)</f>
        <v>45122.04642</v>
      </c>
      <c r="D2157" s="15">
        <f>IFERROR(__xludf.DUMMYFUNCTION("""COMPUTED_VALUE"""),1.004)</f>
        <v>1.004</v>
      </c>
      <c r="E2157" s="16">
        <f>IFERROR(__xludf.DUMMYFUNCTION("""COMPUTED_VALUE"""),72.0)</f>
        <v>72</v>
      </c>
      <c r="F2157" s="19" t="str">
        <f>IFERROR(__xludf.DUMMYFUNCTION("""COMPUTED_VALUE"""),"BLACK")</f>
        <v>BLACK</v>
      </c>
      <c r="G2157" s="20" t="str">
        <f>IFERROR(__xludf.DUMMYFUNCTION("""COMPUTED_VALUE"""),"Uncle Sams Cider (04/04/2023)")</f>
        <v>Uncle Sams Cider (04/04/2023)</v>
      </c>
      <c r="H2157" s="19"/>
    </row>
    <row r="2158">
      <c r="A2158" s="9"/>
      <c r="B2158" s="15"/>
      <c r="C2158" s="9">
        <f>IFERROR(__xludf.DUMMYFUNCTION("""COMPUTED_VALUE"""),45122.0359987731)</f>
        <v>45122.036</v>
      </c>
      <c r="D2158" s="15">
        <f>IFERROR(__xludf.DUMMYFUNCTION("""COMPUTED_VALUE"""),1.003)</f>
        <v>1.003</v>
      </c>
      <c r="E2158" s="16">
        <f>IFERROR(__xludf.DUMMYFUNCTION("""COMPUTED_VALUE"""),72.0)</f>
        <v>72</v>
      </c>
      <c r="F2158" s="19" t="str">
        <f>IFERROR(__xludf.DUMMYFUNCTION("""COMPUTED_VALUE"""),"BLACK")</f>
        <v>BLACK</v>
      </c>
      <c r="G2158" s="20" t="str">
        <f>IFERROR(__xludf.DUMMYFUNCTION("""COMPUTED_VALUE"""),"Uncle Sams Cider (04/04/2023)")</f>
        <v>Uncle Sams Cider (04/04/2023)</v>
      </c>
      <c r="H2158" s="19"/>
    </row>
    <row r="2159">
      <c r="A2159" s="9"/>
      <c r="B2159" s="15"/>
      <c r="C2159" s="9">
        <f>IFERROR(__xludf.DUMMYFUNCTION("""COMPUTED_VALUE"""),45122.025577824)</f>
        <v>45122.02558</v>
      </c>
      <c r="D2159" s="15">
        <f>IFERROR(__xludf.DUMMYFUNCTION("""COMPUTED_VALUE"""),1.003)</f>
        <v>1.003</v>
      </c>
      <c r="E2159" s="16">
        <f>IFERROR(__xludf.DUMMYFUNCTION("""COMPUTED_VALUE"""),72.0)</f>
        <v>72</v>
      </c>
      <c r="F2159" s="19" t="str">
        <f>IFERROR(__xludf.DUMMYFUNCTION("""COMPUTED_VALUE"""),"BLACK")</f>
        <v>BLACK</v>
      </c>
      <c r="G2159" s="20" t="str">
        <f>IFERROR(__xludf.DUMMYFUNCTION("""COMPUTED_VALUE"""),"Uncle Sams Cider (04/04/2023)")</f>
        <v>Uncle Sams Cider (04/04/2023)</v>
      </c>
      <c r="H2159" s="19"/>
    </row>
    <row r="2160">
      <c r="A2160" s="9"/>
      <c r="B2160" s="15"/>
      <c r="C2160" s="9">
        <f>IFERROR(__xludf.DUMMYFUNCTION("""COMPUTED_VALUE"""),45122.0151558333)</f>
        <v>45122.01516</v>
      </c>
      <c r="D2160" s="15">
        <f>IFERROR(__xludf.DUMMYFUNCTION("""COMPUTED_VALUE"""),1.003)</f>
        <v>1.003</v>
      </c>
      <c r="E2160" s="16">
        <f>IFERROR(__xludf.DUMMYFUNCTION("""COMPUTED_VALUE"""),72.0)</f>
        <v>72</v>
      </c>
      <c r="F2160" s="19" t="str">
        <f>IFERROR(__xludf.DUMMYFUNCTION("""COMPUTED_VALUE"""),"BLACK")</f>
        <v>BLACK</v>
      </c>
      <c r="G2160" s="20" t="str">
        <f>IFERROR(__xludf.DUMMYFUNCTION("""COMPUTED_VALUE"""),"Uncle Sams Cider (04/04/2023)")</f>
        <v>Uncle Sams Cider (04/04/2023)</v>
      </c>
      <c r="H2160" s="19"/>
    </row>
    <row r="2161">
      <c r="A2161" s="9"/>
      <c r="B2161" s="15"/>
      <c r="C2161" s="9">
        <f>IFERROR(__xludf.DUMMYFUNCTION("""COMPUTED_VALUE"""),45122.0047338541)</f>
        <v>45122.00473</v>
      </c>
      <c r="D2161" s="15">
        <f>IFERROR(__xludf.DUMMYFUNCTION("""COMPUTED_VALUE"""),1.004)</f>
        <v>1.004</v>
      </c>
      <c r="E2161" s="16">
        <f>IFERROR(__xludf.DUMMYFUNCTION("""COMPUTED_VALUE"""),72.0)</f>
        <v>72</v>
      </c>
      <c r="F2161" s="19" t="str">
        <f>IFERROR(__xludf.DUMMYFUNCTION("""COMPUTED_VALUE"""),"BLACK")</f>
        <v>BLACK</v>
      </c>
      <c r="G2161" s="20" t="str">
        <f>IFERROR(__xludf.DUMMYFUNCTION("""COMPUTED_VALUE"""),"Uncle Sams Cider (04/04/2023)")</f>
        <v>Uncle Sams Cider (04/04/2023)</v>
      </c>
      <c r="H2161" s="19"/>
    </row>
    <row r="2162">
      <c r="A2162" s="9"/>
      <c r="B2162" s="15"/>
      <c r="C2162" s="9">
        <f>IFERROR(__xludf.DUMMYFUNCTION("""COMPUTED_VALUE"""),45121.9942886342)</f>
        <v>45121.99429</v>
      </c>
      <c r="D2162" s="15">
        <f>IFERROR(__xludf.DUMMYFUNCTION("""COMPUTED_VALUE"""),1.004)</f>
        <v>1.004</v>
      </c>
      <c r="E2162" s="16">
        <f>IFERROR(__xludf.DUMMYFUNCTION("""COMPUTED_VALUE"""),72.0)</f>
        <v>72</v>
      </c>
      <c r="F2162" s="19" t="str">
        <f>IFERROR(__xludf.DUMMYFUNCTION("""COMPUTED_VALUE"""),"BLACK")</f>
        <v>BLACK</v>
      </c>
      <c r="G2162" s="20" t="str">
        <f>IFERROR(__xludf.DUMMYFUNCTION("""COMPUTED_VALUE"""),"Uncle Sams Cider (04/04/2023)")</f>
        <v>Uncle Sams Cider (04/04/2023)</v>
      </c>
      <c r="H2162" s="19"/>
    </row>
    <row r="2163">
      <c r="A2163" s="9"/>
      <c r="B2163" s="15"/>
      <c r="C2163" s="9">
        <f>IFERROR(__xludf.DUMMYFUNCTION("""COMPUTED_VALUE"""),45121.9838662731)</f>
        <v>45121.98387</v>
      </c>
      <c r="D2163" s="15">
        <f>IFERROR(__xludf.DUMMYFUNCTION("""COMPUTED_VALUE"""),1.003)</f>
        <v>1.003</v>
      </c>
      <c r="E2163" s="16">
        <f>IFERROR(__xludf.DUMMYFUNCTION("""COMPUTED_VALUE"""),72.0)</f>
        <v>72</v>
      </c>
      <c r="F2163" s="19" t="str">
        <f>IFERROR(__xludf.DUMMYFUNCTION("""COMPUTED_VALUE"""),"BLACK")</f>
        <v>BLACK</v>
      </c>
      <c r="G2163" s="20" t="str">
        <f>IFERROR(__xludf.DUMMYFUNCTION("""COMPUTED_VALUE"""),"Uncle Sams Cider (04/04/2023)")</f>
        <v>Uncle Sams Cider (04/04/2023)</v>
      </c>
      <c r="H2163" s="19"/>
    </row>
    <row r="2164">
      <c r="A2164" s="9"/>
      <c r="B2164" s="15"/>
      <c r="C2164" s="9">
        <f>IFERROR(__xludf.DUMMYFUNCTION("""COMPUTED_VALUE"""),45121.9734316319)</f>
        <v>45121.97343</v>
      </c>
      <c r="D2164" s="15">
        <f>IFERROR(__xludf.DUMMYFUNCTION("""COMPUTED_VALUE"""),1.003)</f>
        <v>1.003</v>
      </c>
      <c r="E2164" s="16">
        <f>IFERROR(__xludf.DUMMYFUNCTION("""COMPUTED_VALUE"""),72.0)</f>
        <v>72</v>
      </c>
      <c r="F2164" s="19" t="str">
        <f>IFERROR(__xludf.DUMMYFUNCTION("""COMPUTED_VALUE"""),"BLACK")</f>
        <v>BLACK</v>
      </c>
      <c r="G2164" s="20" t="str">
        <f>IFERROR(__xludf.DUMMYFUNCTION("""COMPUTED_VALUE"""),"Uncle Sams Cider (04/04/2023)")</f>
        <v>Uncle Sams Cider (04/04/2023)</v>
      </c>
      <c r="H2164" s="19"/>
    </row>
    <row r="2165">
      <c r="A2165" s="9"/>
      <c r="B2165" s="15"/>
      <c r="C2165" s="9">
        <f>IFERROR(__xludf.DUMMYFUNCTION("""COMPUTED_VALUE"""),45121.9630103819)</f>
        <v>45121.96301</v>
      </c>
      <c r="D2165" s="15">
        <f>IFERROR(__xludf.DUMMYFUNCTION("""COMPUTED_VALUE"""),1.003)</f>
        <v>1.003</v>
      </c>
      <c r="E2165" s="16">
        <f>IFERROR(__xludf.DUMMYFUNCTION("""COMPUTED_VALUE"""),72.0)</f>
        <v>72</v>
      </c>
      <c r="F2165" s="19" t="str">
        <f>IFERROR(__xludf.DUMMYFUNCTION("""COMPUTED_VALUE"""),"BLACK")</f>
        <v>BLACK</v>
      </c>
      <c r="G2165" s="20" t="str">
        <f>IFERROR(__xludf.DUMMYFUNCTION("""COMPUTED_VALUE"""),"Uncle Sams Cider (04/04/2023)")</f>
        <v>Uncle Sams Cider (04/04/2023)</v>
      </c>
      <c r="H2165" s="19"/>
    </row>
    <row r="2166">
      <c r="A2166" s="9"/>
      <c r="B2166" s="15"/>
      <c r="C2166" s="9">
        <f>IFERROR(__xludf.DUMMYFUNCTION("""COMPUTED_VALUE"""),45121.9525906134)</f>
        <v>45121.95259</v>
      </c>
      <c r="D2166" s="15">
        <f>IFERROR(__xludf.DUMMYFUNCTION("""COMPUTED_VALUE"""),1.003)</f>
        <v>1.003</v>
      </c>
      <c r="E2166" s="16">
        <f>IFERROR(__xludf.DUMMYFUNCTION("""COMPUTED_VALUE"""),72.0)</f>
        <v>72</v>
      </c>
      <c r="F2166" s="19" t="str">
        <f>IFERROR(__xludf.DUMMYFUNCTION("""COMPUTED_VALUE"""),"BLACK")</f>
        <v>BLACK</v>
      </c>
      <c r="G2166" s="20" t="str">
        <f>IFERROR(__xludf.DUMMYFUNCTION("""COMPUTED_VALUE"""),"Uncle Sams Cider (04/04/2023)")</f>
        <v>Uncle Sams Cider (04/04/2023)</v>
      </c>
      <c r="H2166" s="19"/>
    </row>
    <row r="2167">
      <c r="A2167" s="9"/>
      <c r="B2167" s="15"/>
      <c r="C2167" s="9">
        <f>IFERROR(__xludf.DUMMYFUNCTION("""COMPUTED_VALUE"""),45121.9421683796)</f>
        <v>45121.94217</v>
      </c>
      <c r="D2167" s="15">
        <f>IFERROR(__xludf.DUMMYFUNCTION("""COMPUTED_VALUE"""),1.003)</f>
        <v>1.003</v>
      </c>
      <c r="E2167" s="16">
        <f>IFERROR(__xludf.DUMMYFUNCTION("""COMPUTED_VALUE"""),72.0)</f>
        <v>72</v>
      </c>
      <c r="F2167" s="19" t="str">
        <f>IFERROR(__xludf.DUMMYFUNCTION("""COMPUTED_VALUE"""),"BLACK")</f>
        <v>BLACK</v>
      </c>
      <c r="G2167" s="20" t="str">
        <f>IFERROR(__xludf.DUMMYFUNCTION("""COMPUTED_VALUE"""),"Uncle Sams Cider (04/04/2023)")</f>
        <v>Uncle Sams Cider (04/04/2023)</v>
      </c>
      <c r="H2167" s="19"/>
    </row>
    <row r="2168">
      <c r="A2168" s="9"/>
      <c r="B2168" s="15"/>
      <c r="C2168" s="9">
        <f>IFERROR(__xludf.DUMMYFUNCTION("""COMPUTED_VALUE"""),45121.9317475694)</f>
        <v>45121.93175</v>
      </c>
      <c r="D2168" s="15">
        <f>IFERROR(__xludf.DUMMYFUNCTION("""COMPUTED_VALUE"""),1.004)</f>
        <v>1.004</v>
      </c>
      <c r="E2168" s="16">
        <f>IFERROR(__xludf.DUMMYFUNCTION("""COMPUTED_VALUE"""),72.0)</f>
        <v>72</v>
      </c>
      <c r="F2168" s="19" t="str">
        <f>IFERROR(__xludf.DUMMYFUNCTION("""COMPUTED_VALUE"""),"BLACK")</f>
        <v>BLACK</v>
      </c>
      <c r="G2168" s="20" t="str">
        <f>IFERROR(__xludf.DUMMYFUNCTION("""COMPUTED_VALUE"""),"Uncle Sams Cider (04/04/2023)")</f>
        <v>Uncle Sams Cider (04/04/2023)</v>
      </c>
      <c r="H2168" s="19"/>
    </row>
    <row r="2169">
      <c r="A2169" s="9"/>
      <c r="B2169" s="15"/>
      <c r="C2169" s="9">
        <f>IFERROR(__xludf.DUMMYFUNCTION("""COMPUTED_VALUE"""),45121.9213253819)</f>
        <v>45121.92133</v>
      </c>
      <c r="D2169" s="15">
        <f>IFERROR(__xludf.DUMMYFUNCTION("""COMPUTED_VALUE"""),1.003)</f>
        <v>1.003</v>
      </c>
      <c r="E2169" s="16">
        <f>IFERROR(__xludf.DUMMYFUNCTION("""COMPUTED_VALUE"""),72.0)</f>
        <v>72</v>
      </c>
      <c r="F2169" s="19" t="str">
        <f>IFERROR(__xludf.DUMMYFUNCTION("""COMPUTED_VALUE"""),"BLACK")</f>
        <v>BLACK</v>
      </c>
      <c r="G2169" s="20" t="str">
        <f>IFERROR(__xludf.DUMMYFUNCTION("""COMPUTED_VALUE"""),"Uncle Sams Cider (04/04/2023)")</f>
        <v>Uncle Sams Cider (04/04/2023)</v>
      </c>
      <c r="H2169" s="19"/>
    </row>
    <row r="2170">
      <c r="A2170" s="9"/>
      <c r="B2170" s="15"/>
      <c r="C2170" s="9">
        <f>IFERROR(__xludf.DUMMYFUNCTION("""COMPUTED_VALUE"""),45121.9109036458)</f>
        <v>45121.9109</v>
      </c>
      <c r="D2170" s="15">
        <f>IFERROR(__xludf.DUMMYFUNCTION("""COMPUTED_VALUE"""),1.003)</f>
        <v>1.003</v>
      </c>
      <c r="E2170" s="16">
        <f>IFERROR(__xludf.DUMMYFUNCTION("""COMPUTED_VALUE"""),72.0)</f>
        <v>72</v>
      </c>
      <c r="F2170" s="19" t="str">
        <f>IFERROR(__xludf.DUMMYFUNCTION("""COMPUTED_VALUE"""),"BLACK")</f>
        <v>BLACK</v>
      </c>
      <c r="G2170" s="20" t="str">
        <f>IFERROR(__xludf.DUMMYFUNCTION("""COMPUTED_VALUE"""),"Uncle Sams Cider (04/04/2023)")</f>
        <v>Uncle Sams Cider (04/04/2023)</v>
      </c>
      <c r="H2170" s="19"/>
    </row>
    <row r="2171">
      <c r="A2171" s="9"/>
      <c r="B2171" s="15"/>
      <c r="C2171" s="9">
        <f>IFERROR(__xludf.DUMMYFUNCTION("""COMPUTED_VALUE"""),45121.9004807175)</f>
        <v>45121.90048</v>
      </c>
      <c r="D2171" s="15">
        <f>IFERROR(__xludf.DUMMYFUNCTION("""COMPUTED_VALUE"""),1.003)</f>
        <v>1.003</v>
      </c>
      <c r="E2171" s="16">
        <f>IFERROR(__xludf.DUMMYFUNCTION("""COMPUTED_VALUE"""),72.0)</f>
        <v>72</v>
      </c>
      <c r="F2171" s="19" t="str">
        <f>IFERROR(__xludf.DUMMYFUNCTION("""COMPUTED_VALUE"""),"BLACK")</f>
        <v>BLACK</v>
      </c>
      <c r="G2171" s="20" t="str">
        <f>IFERROR(__xludf.DUMMYFUNCTION("""COMPUTED_VALUE"""),"Uncle Sams Cider (04/04/2023)")</f>
        <v>Uncle Sams Cider (04/04/2023)</v>
      </c>
      <c r="H2171" s="19"/>
    </row>
    <row r="2172">
      <c r="A2172" s="9"/>
      <c r="B2172" s="15"/>
      <c r="C2172" s="9">
        <f>IFERROR(__xludf.DUMMYFUNCTION("""COMPUTED_VALUE"""),45121.8900578009)</f>
        <v>45121.89006</v>
      </c>
      <c r="D2172" s="15">
        <f>IFERROR(__xludf.DUMMYFUNCTION("""COMPUTED_VALUE"""),1.003)</f>
        <v>1.003</v>
      </c>
      <c r="E2172" s="16">
        <f>IFERROR(__xludf.DUMMYFUNCTION("""COMPUTED_VALUE"""),72.0)</f>
        <v>72</v>
      </c>
      <c r="F2172" s="19" t="str">
        <f>IFERROR(__xludf.DUMMYFUNCTION("""COMPUTED_VALUE"""),"BLACK")</f>
        <v>BLACK</v>
      </c>
      <c r="G2172" s="20" t="str">
        <f>IFERROR(__xludf.DUMMYFUNCTION("""COMPUTED_VALUE"""),"Uncle Sams Cider (04/04/2023)")</f>
        <v>Uncle Sams Cider (04/04/2023)</v>
      </c>
      <c r="H2172" s="19"/>
    </row>
    <row r="2173">
      <c r="A2173" s="9"/>
      <c r="B2173" s="15"/>
      <c r="C2173" s="9">
        <f>IFERROR(__xludf.DUMMYFUNCTION("""COMPUTED_VALUE"""),45121.8796148263)</f>
        <v>45121.87961</v>
      </c>
      <c r="D2173" s="15">
        <f>IFERROR(__xludf.DUMMYFUNCTION("""COMPUTED_VALUE"""),1.003)</f>
        <v>1.003</v>
      </c>
      <c r="E2173" s="16">
        <f>IFERROR(__xludf.DUMMYFUNCTION("""COMPUTED_VALUE"""),72.0)</f>
        <v>72</v>
      </c>
      <c r="F2173" s="19" t="str">
        <f>IFERROR(__xludf.DUMMYFUNCTION("""COMPUTED_VALUE"""),"BLACK")</f>
        <v>BLACK</v>
      </c>
      <c r="G2173" s="20" t="str">
        <f>IFERROR(__xludf.DUMMYFUNCTION("""COMPUTED_VALUE"""),"Uncle Sams Cider (04/04/2023)")</f>
        <v>Uncle Sams Cider (04/04/2023)</v>
      </c>
      <c r="H2173" s="19"/>
    </row>
    <row r="2174">
      <c r="A2174" s="9"/>
      <c r="B2174" s="15"/>
      <c r="C2174" s="9">
        <f>IFERROR(__xludf.DUMMYFUNCTION("""COMPUTED_VALUE"""),45121.8691944328)</f>
        <v>45121.86919</v>
      </c>
      <c r="D2174" s="15">
        <f>IFERROR(__xludf.DUMMYFUNCTION("""COMPUTED_VALUE"""),1.004)</f>
        <v>1.004</v>
      </c>
      <c r="E2174" s="16">
        <f>IFERROR(__xludf.DUMMYFUNCTION("""COMPUTED_VALUE"""),72.0)</f>
        <v>72</v>
      </c>
      <c r="F2174" s="19" t="str">
        <f>IFERROR(__xludf.DUMMYFUNCTION("""COMPUTED_VALUE"""),"BLACK")</f>
        <v>BLACK</v>
      </c>
      <c r="G2174" s="20" t="str">
        <f>IFERROR(__xludf.DUMMYFUNCTION("""COMPUTED_VALUE"""),"Uncle Sams Cider (04/04/2023)")</f>
        <v>Uncle Sams Cider (04/04/2023)</v>
      </c>
      <c r="H2174" s="19"/>
    </row>
    <row r="2175">
      <c r="A2175" s="9"/>
      <c r="B2175" s="15"/>
      <c r="C2175" s="9">
        <f>IFERROR(__xludf.DUMMYFUNCTION("""COMPUTED_VALUE"""),45121.8587629282)</f>
        <v>45121.85876</v>
      </c>
      <c r="D2175" s="15">
        <f>IFERROR(__xludf.DUMMYFUNCTION("""COMPUTED_VALUE"""),1.003)</f>
        <v>1.003</v>
      </c>
      <c r="E2175" s="16">
        <f>IFERROR(__xludf.DUMMYFUNCTION("""COMPUTED_VALUE"""),72.0)</f>
        <v>72</v>
      </c>
      <c r="F2175" s="19" t="str">
        <f>IFERROR(__xludf.DUMMYFUNCTION("""COMPUTED_VALUE"""),"BLACK")</f>
        <v>BLACK</v>
      </c>
      <c r="G2175" s="20" t="str">
        <f>IFERROR(__xludf.DUMMYFUNCTION("""COMPUTED_VALUE"""),"Uncle Sams Cider (04/04/2023)")</f>
        <v>Uncle Sams Cider (04/04/2023)</v>
      </c>
      <c r="H2175" s="19"/>
    </row>
    <row r="2176">
      <c r="A2176" s="9"/>
      <c r="B2176" s="15"/>
      <c r="C2176" s="9">
        <f>IFERROR(__xludf.DUMMYFUNCTION("""COMPUTED_VALUE"""),45121.8483412615)</f>
        <v>45121.84834</v>
      </c>
      <c r="D2176" s="15">
        <f>IFERROR(__xludf.DUMMYFUNCTION("""COMPUTED_VALUE"""),1.003)</f>
        <v>1.003</v>
      </c>
      <c r="E2176" s="16">
        <f>IFERROR(__xludf.DUMMYFUNCTION("""COMPUTED_VALUE"""),72.0)</f>
        <v>72</v>
      </c>
      <c r="F2176" s="19" t="str">
        <f>IFERROR(__xludf.DUMMYFUNCTION("""COMPUTED_VALUE"""),"BLACK")</f>
        <v>BLACK</v>
      </c>
      <c r="G2176" s="20" t="str">
        <f>IFERROR(__xludf.DUMMYFUNCTION("""COMPUTED_VALUE"""),"Uncle Sams Cider (04/04/2023)")</f>
        <v>Uncle Sams Cider (04/04/2023)</v>
      </c>
      <c r="H2176" s="19"/>
    </row>
    <row r="2177">
      <c r="A2177" s="9"/>
      <c r="B2177" s="15"/>
      <c r="C2177" s="9">
        <f>IFERROR(__xludf.DUMMYFUNCTION("""COMPUTED_VALUE"""),45121.8379206018)</f>
        <v>45121.83792</v>
      </c>
      <c r="D2177" s="15">
        <f>IFERROR(__xludf.DUMMYFUNCTION("""COMPUTED_VALUE"""),1.004)</f>
        <v>1.004</v>
      </c>
      <c r="E2177" s="16">
        <f>IFERROR(__xludf.DUMMYFUNCTION("""COMPUTED_VALUE"""),72.0)</f>
        <v>72</v>
      </c>
      <c r="F2177" s="19" t="str">
        <f>IFERROR(__xludf.DUMMYFUNCTION("""COMPUTED_VALUE"""),"BLACK")</f>
        <v>BLACK</v>
      </c>
      <c r="G2177" s="20" t="str">
        <f>IFERROR(__xludf.DUMMYFUNCTION("""COMPUTED_VALUE"""),"Uncle Sams Cider (04/04/2023)")</f>
        <v>Uncle Sams Cider (04/04/2023)</v>
      </c>
      <c r="H2177" s="19"/>
    </row>
    <row r="2178">
      <c r="A2178" s="9"/>
      <c r="B2178" s="15"/>
      <c r="C2178" s="9">
        <f>IFERROR(__xludf.DUMMYFUNCTION("""COMPUTED_VALUE"""),45121.8274893518)</f>
        <v>45121.82749</v>
      </c>
      <c r="D2178" s="15">
        <f>IFERROR(__xludf.DUMMYFUNCTION("""COMPUTED_VALUE"""),1.004)</f>
        <v>1.004</v>
      </c>
      <c r="E2178" s="16">
        <f>IFERROR(__xludf.DUMMYFUNCTION("""COMPUTED_VALUE"""),72.0)</f>
        <v>72</v>
      </c>
      <c r="F2178" s="19" t="str">
        <f>IFERROR(__xludf.DUMMYFUNCTION("""COMPUTED_VALUE"""),"BLACK")</f>
        <v>BLACK</v>
      </c>
      <c r="G2178" s="20" t="str">
        <f>IFERROR(__xludf.DUMMYFUNCTION("""COMPUTED_VALUE"""),"Uncle Sams Cider (04/04/2023)")</f>
        <v>Uncle Sams Cider (04/04/2023)</v>
      </c>
      <c r="H2178" s="19"/>
    </row>
    <row r="2179">
      <c r="A2179" s="9"/>
      <c r="B2179" s="15"/>
      <c r="C2179" s="9">
        <f>IFERROR(__xludf.DUMMYFUNCTION("""COMPUTED_VALUE"""),45121.8170572685)</f>
        <v>45121.81706</v>
      </c>
      <c r="D2179" s="15">
        <f>IFERROR(__xludf.DUMMYFUNCTION("""COMPUTED_VALUE"""),1.003)</f>
        <v>1.003</v>
      </c>
      <c r="E2179" s="16">
        <f>IFERROR(__xludf.DUMMYFUNCTION("""COMPUTED_VALUE"""),72.0)</f>
        <v>72</v>
      </c>
      <c r="F2179" s="19" t="str">
        <f>IFERROR(__xludf.DUMMYFUNCTION("""COMPUTED_VALUE"""),"BLACK")</f>
        <v>BLACK</v>
      </c>
      <c r="G2179" s="20" t="str">
        <f>IFERROR(__xludf.DUMMYFUNCTION("""COMPUTED_VALUE"""),"Uncle Sams Cider (04/04/2023)")</f>
        <v>Uncle Sams Cider (04/04/2023)</v>
      </c>
      <c r="H2179" s="19"/>
    </row>
    <row r="2180">
      <c r="A2180" s="9"/>
      <c r="B2180" s="15"/>
      <c r="C2180" s="9">
        <f>IFERROR(__xludf.DUMMYFUNCTION("""COMPUTED_VALUE"""),45121.8066380787)</f>
        <v>45121.80664</v>
      </c>
      <c r="D2180" s="15">
        <f>IFERROR(__xludf.DUMMYFUNCTION("""COMPUTED_VALUE"""),1.003)</f>
        <v>1.003</v>
      </c>
      <c r="E2180" s="16">
        <f>IFERROR(__xludf.DUMMYFUNCTION("""COMPUTED_VALUE"""),72.0)</f>
        <v>72</v>
      </c>
      <c r="F2180" s="19" t="str">
        <f>IFERROR(__xludf.DUMMYFUNCTION("""COMPUTED_VALUE"""),"BLACK")</f>
        <v>BLACK</v>
      </c>
      <c r="G2180" s="20" t="str">
        <f>IFERROR(__xludf.DUMMYFUNCTION("""COMPUTED_VALUE"""),"Uncle Sams Cider (04/04/2023)")</f>
        <v>Uncle Sams Cider (04/04/2023)</v>
      </c>
      <c r="H2180" s="19"/>
    </row>
    <row r="2181">
      <c r="A2181" s="9"/>
      <c r="B2181" s="15"/>
      <c r="C2181" s="9">
        <f>IFERROR(__xludf.DUMMYFUNCTION("""COMPUTED_VALUE"""),45121.7962168634)</f>
        <v>45121.79622</v>
      </c>
      <c r="D2181" s="15">
        <f>IFERROR(__xludf.DUMMYFUNCTION("""COMPUTED_VALUE"""),1.003)</f>
        <v>1.003</v>
      </c>
      <c r="E2181" s="16">
        <f>IFERROR(__xludf.DUMMYFUNCTION("""COMPUTED_VALUE"""),72.0)</f>
        <v>72</v>
      </c>
      <c r="F2181" s="19" t="str">
        <f>IFERROR(__xludf.DUMMYFUNCTION("""COMPUTED_VALUE"""),"BLACK")</f>
        <v>BLACK</v>
      </c>
      <c r="G2181" s="20" t="str">
        <f>IFERROR(__xludf.DUMMYFUNCTION("""COMPUTED_VALUE"""),"Uncle Sams Cider (04/04/2023)")</f>
        <v>Uncle Sams Cider (04/04/2023)</v>
      </c>
      <c r="H2181" s="19"/>
    </row>
    <row r="2182">
      <c r="A2182" s="9"/>
      <c r="B2182" s="15"/>
      <c r="C2182" s="9">
        <f>IFERROR(__xludf.DUMMYFUNCTION("""COMPUTED_VALUE"""),45121.785795243)</f>
        <v>45121.7858</v>
      </c>
      <c r="D2182" s="15">
        <f>IFERROR(__xludf.DUMMYFUNCTION("""COMPUTED_VALUE"""),1.004)</f>
        <v>1.004</v>
      </c>
      <c r="E2182" s="16">
        <f>IFERROR(__xludf.DUMMYFUNCTION("""COMPUTED_VALUE"""),72.0)</f>
        <v>72</v>
      </c>
      <c r="F2182" s="19" t="str">
        <f>IFERROR(__xludf.DUMMYFUNCTION("""COMPUTED_VALUE"""),"BLACK")</f>
        <v>BLACK</v>
      </c>
      <c r="G2182" s="20" t="str">
        <f>IFERROR(__xludf.DUMMYFUNCTION("""COMPUTED_VALUE"""),"Uncle Sams Cider (04/04/2023)")</f>
        <v>Uncle Sams Cider (04/04/2023)</v>
      </c>
      <c r="H2182" s="19"/>
    </row>
    <row r="2183">
      <c r="A2183" s="9"/>
      <c r="B2183" s="15"/>
      <c r="C2183" s="9">
        <f>IFERROR(__xludf.DUMMYFUNCTION("""COMPUTED_VALUE"""),45121.775374155)</f>
        <v>45121.77537</v>
      </c>
      <c r="D2183" s="15">
        <f>IFERROR(__xludf.DUMMYFUNCTION("""COMPUTED_VALUE"""),1.003)</f>
        <v>1.003</v>
      </c>
      <c r="E2183" s="16">
        <f>IFERROR(__xludf.DUMMYFUNCTION("""COMPUTED_VALUE"""),72.0)</f>
        <v>72</v>
      </c>
      <c r="F2183" s="19" t="str">
        <f>IFERROR(__xludf.DUMMYFUNCTION("""COMPUTED_VALUE"""),"BLACK")</f>
        <v>BLACK</v>
      </c>
      <c r="G2183" s="20" t="str">
        <f>IFERROR(__xludf.DUMMYFUNCTION("""COMPUTED_VALUE"""),"Uncle Sams Cider (04/04/2023)")</f>
        <v>Uncle Sams Cider (04/04/2023)</v>
      </c>
      <c r="H2183" s="19"/>
    </row>
    <row r="2184">
      <c r="A2184" s="9"/>
      <c r="B2184" s="15"/>
      <c r="C2184" s="9">
        <f>IFERROR(__xludf.DUMMYFUNCTION("""COMPUTED_VALUE"""),45121.7649428935)</f>
        <v>45121.76494</v>
      </c>
      <c r="D2184" s="15">
        <f>IFERROR(__xludf.DUMMYFUNCTION("""COMPUTED_VALUE"""),1.004)</f>
        <v>1.004</v>
      </c>
      <c r="E2184" s="16">
        <f>IFERROR(__xludf.DUMMYFUNCTION("""COMPUTED_VALUE"""),72.0)</f>
        <v>72</v>
      </c>
      <c r="F2184" s="19" t="str">
        <f>IFERROR(__xludf.DUMMYFUNCTION("""COMPUTED_VALUE"""),"BLACK")</f>
        <v>BLACK</v>
      </c>
      <c r="G2184" s="20" t="str">
        <f>IFERROR(__xludf.DUMMYFUNCTION("""COMPUTED_VALUE"""),"Uncle Sams Cider (04/04/2023)")</f>
        <v>Uncle Sams Cider (04/04/2023)</v>
      </c>
      <c r="H2184" s="19"/>
    </row>
    <row r="2185">
      <c r="A2185" s="9"/>
      <c r="B2185" s="15"/>
      <c r="C2185" s="9">
        <f>IFERROR(__xludf.DUMMYFUNCTION("""COMPUTED_VALUE"""),45121.7545217592)</f>
        <v>45121.75452</v>
      </c>
      <c r="D2185" s="15">
        <f>IFERROR(__xludf.DUMMYFUNCTION("""COMPUTED_VALUE"""),1.003)</f>
        <v>1.003</v>
      </c>
      <c r="E2185" s="16">
        <f>IFERROR(__xludf.DUMMYFUNCTION("""COMPUTED_VALUE"""),72.0)</f>
        <v>72</v>
      </c>
      <c r="F2185" s="19" t="str">
        <f>IFERROR(__xludf.DUMMYFUNCTION("""COMPUTED_VALUE"""),"BLACK")</f>
        <v>BLACK</v>
      </c>
      <c r="G2185" s="20" t="str">
        <f>IFERROR(__xludf.DUMMYFUNCTION("""COMPUTED_VALUE"""),"Uncle Sams Cider (04/04/2023)")</f>
        <v>Uncle Sams Cider (04/04/2023)</v>
      </c>
      <c r="H2185" s="19"/>
    </row>
    <row r="2186">
      <c r="A2186" s="9"/>
      <c r="B2186" s="15"/>
      <c r="C2186" s="9">
        <f>IFERROR(__xludf.DUMMYFUNCTION("""COMPUTED_VALUE"""),45121.7441002083)</f>
        <v>45121.7441</v>
      </c>
      <c r="D2186" s="15">
        <f>IFERROR(__xludf.DUMMYFUNCTION("""COMPUTED_VALUE"""),1.003)</f>
        <v>1.003</v>
      </c>
      <c r="E2186" s="16">
        <f>IFERROR(__xludf.DUMMYFUNCTION("""COMPUTED_VALUE"""),72.0)</f>
        <v>72</v>
      </c>
      <c r="F2186" s="19" t="str">
        <f>IFERROR(__xludf.DUMMYFUNCTION("""COMPUTED_VALUE"""),"BLACK")</f>
        <v>BLACK</v>
      </c>
      <c r="G2186" s="20" t="str">
        <f>IFERROR(__xludf.DUMMYFUNCTION("""COMPUTED_VALUE"""),"Uncle Sams Cider (04/04/2023)")</f>
        <v>Uncle Sams Cider (04/04/2023)</v>
      </c>
      <c r="H2186" s="19"/>
    </row>
    <row r="2187">
      <c r="A2187" s="9"/>
      <c r="B2187" s="15"/>
      <c r="C2187" s="9">
        <f>IFERROR(__xludf.DUMMYFUNCTION("""COMPUTED_VALUE"""),45121.73367853)</f>
        <v>45121.73368</v>
      </c>
      <c r="D2187" s="15">
        <f>IFERROR(__xludf.DUMMYFUNCTION("""COMPUTED_VALUE"""),1.003)</f>
        <v>1.003</v>
      </c>
      <c r="E2187" s="16">
        <f>IFERROR(__xludf.DUMMYFUNCTION("""COMPUTED_VALUE"""),72.0)</f>
        <v>72</v>
      </c>
      <c r="F2187" s="19" t="str">
        <f>IFERROR(__xludf.DUMMYFUNCTION("""COMPUTED_VALUE"""),"BLACK")</f>
        <v>BLACK</v>
      </c>
      <c r="G2187" s="20" t="str">
        <f>IFERROR(__xludf.DUMMYFUNCTION("""COMPUTED_VALUE"""),"Uncle Sams Cider (04/04/2023)")</f>
        <v>Uncle Sams Cider (04/04/2023)</v>
      </c>
      <c r="H2187" s="19"/>
    </row>
    <row r="2188">
      <c r="A2188" s="9"/>
      <c r="B2188" s="15"/>
      <c r="C2188" s="9">
        <f>IFERROR(__xludf.DUMMYFUNCTION("""COMPUTED_VALUE"""),45121.7232575694)</f>
        <v>45121.72326</v>
      </c>
      <c r="D2188" s="15">
        <f>IFERROR(__xludf.DUMMYFUNCTION("""COMPUTED_VALUE"""),1.003)</f>
        <v>1.003</v>
      </c>
      <c r="E2188" s="16">
        <f>IFERROR(__xludf.DUMMYFUNCTION("""COMPUTED_VALUE"""),72.0)</f>
        <v>72</v>
      </c>
      <c r="F2188" s="19" t="str">
        <f>IFERROR(__xludf.DUMMYFUNCTION("""COMPUTED_VALUE"""),"BLACK")</f>
        <v>BLACK</v>
      </c>
      <c r="G2188" s="20" t="str">
        <f>IFERROR(__xludf.DUMMYFUNCTION("""COMPUTED_VALUE"""),"Uncle Sams Cider (04/04/2023)")</f>
        <v>Uncle Sams Cider (04/04/2023)</v>
      </c>
      <c r="H2188" s="19"/>
    </row>
    <row r="2189">
      <c r="A2189" s="9"/>
      <c r="B2189" s="15"/>
      <c r="C2189" s="9">
        <f>IFERROR(__xludf.DUMMYFUNCTION("""COMPUTED_VALUE"""),45121.7128366782)</f>
        <v>45121.71284</v>
      </c>
      <c r="D2189" s="15">
        <f>IFERROR(__xludf.DUMMYFUNCTION("""COMPUTED_VALUE"""),1.004)</f>
        <v>1.004</v>
      </c>
      <c r="E2189" s="16">
        <f>IFERROR(__xludf.DUMMYFUNCTION("""COMPUTED_VALUE"""),72.0)</f>
        <v>72</v>
      </c>
      <c r="F2189" s="19" t="str">
        <f>IFERROR(__xludf.DUMMYFUNCTION("""COMPUTED_VALUE"""),"BLACK")</f>
        <v>BLACK</v>
      </c>
      <c r="G2189" s="20" t="str">
        <f>IFERROR(__xludf.DUMMYFUNCTION("""COMPUTED_VALUE"""),"Uncle Sams Cider (04/04/2023)")</f>
        <v>Uncle Sams Cider (04/04/2023)</v>
      </c>
      <c r="H2189" s="19"/>
    </row>
    <row r="2190">
      <c r="A2190" s="9"/>
      <c r="B2190" s="15"/>
      <c r="C2190" s="9">
        <f>IFERROR(__xludf.DUMMYFUNCTION("""COMPUTED_VALUE"""),45121.7024180787)</f>
        <v>45121.70242</v>
      </c>
      <c r="D2190" s="15">
        <f>IFERROR(__xludf.DUMMYFUNCTION("""COMPUTED_VALUE"""),1.003)</f>
        <v>1.003</v>
      </c>
      <c r="E2190" s="16">
        <f>IFERROR(__xludf.DUMMYFUNCTION("""COMPUTED_VALUE"""),72.0)</f>
        <v>72</v>
      </c>
      <c r="F2190" s="19" t="str">
        <f>IFERROR(__xludf.DUMMYFUNCTION("""COMPUTED_VALUE"""),"BLACK")</f>
        <v>BLACK</v>
      </c>
      <c r="G2190" s="20" t="str">
        <f>IFERROR(__xludf.DUMMYFUNCTION("""COMPUTED_VALUE"""),"Uncle Sams Cider (04/04/2023)")</f>
        <v>Uncle Sams Cider (04/04/2023)</v>
      </c>
      <c r="H2190" s="19"/>
    </row>
    <row r="2191">
      <c r="A2191" s="9"/>
      <c r="B2191" s="15"/>
      <c r="C2191" s="9">
        <f>IFERROR(__xludf.DUMMYFUNCTION("""COMPUTED_VALUE"""),45121.6919993865)</f>
        <v>45121.692</v>
      </c>
      <c r="D2191" s="15">
        <f>IFERROR(__xludf.DUMMYFUNCTION("""COMPUTED_VALUE"""),1.003)</f>
        <v>1.003</v>
      </c>
      <c r="E2191" s="16">
        <f>IFERROR(__xludf.DUMMYFUNCTION("""COMPUTED_VALUE"""),72.0)</f>
        <v>72</v>
      </c>
      <c r="F2191" s="19" t="str">
        <f>IFERROR(__xludf.DUMMYFUNCTION("""COMPUTED_VALUE"""),"BLACK")</f>
        <v>BLACK</v>
      </c>
      <c r="G2191" s="20" t="str">
        <f>IFERROR(__xludf.DUMMYFUNCTION("""COMPUTED_VALUE"""),"Uncle Sams Cider (04/04/2023)")</f>
        <v>Uncle Sams Cider (04/04/2023)</v>
      </c>
      <c r="H2191" s="19"/>
    </row>
    <row r="2192">
      <c r="A2192" s="9"/>
      <c r="B2192" s="15"/>
      <c r="C2192" s="9">
        <f>IFERROR(__xludf.DUMMYFUNCTION("""COMPUTED_VALUE"""),45121.6815782754)</f>
        <v>45121.68158</v>
      </c>
      <c r="D2192" s="15">
        <f>IFERROR(__xludf.DUMMYFUNCTION("""COMPUTED_VALUE"""),1.003)</f>
        <v>1.003</v>
      </c>
      <c r="E2192" s="16">
        <f>IFERROR(__xludf.DUMMYFUNCTION("""COMPUTED_VALUE"""),72.0)</f>
        <v>72</v>
      </c>
      <c r="F2192" s="19" t="str">
        <f>IFERROR(__xludf.DUMMYFUNCTION("""COMPUTED_VALUE"""),"BLACK")</f>
        <v>BLACK</v>
      </c>
      <c r="G2192" s="20" t="str">
        <f>IFERROR(__xludf.DUMMYFUNCTION("""COMPUTED_VALUE"""),"Uncle Sams Cider (04/04/2023)")</f>
        <v>Uncle Sams Cider (04/04/2023)</v>
      </c>
      <c r="H2192" s="19"/>
    </row>
    <row r="2193">
      <c r="A2193" s="9"/>
      <c r="B2193" s="15"/>
      <c r="C2193" s="9">
        <f>IFERROR(__xludf.DUMMYFUNCTION("""COMPUTED_VALUE"""),45121.6711558564)</f>
        <v>45121.67116</v>
      </c>
      <c r="D2193" s="15">
        <f>IFERROR(__xludf.DUMMYFUNCTION("""COMPUTED_VALUE"""),1.003)</f>
        <v>1.003</v>
      </c>
      <c r="E2193" s="16">
        <f>IFERROR(__xludf.DUMMYFUNCTION("""COMPUTED_VALUE"""),72.0)</f>
        <v>72</v>
      </c>
      <c r="F2193" s="19" t="str">
        <f>IFERROR(__xludf.DUMMYFUNCTION("""COMPUTED_VALUE"""),"BLACK")</f>
        <v>BLACK</v>
      </c>
      <c r="G2193" s="20" t="str">
        <f>IFERROR(__xludf.DUMMYFUNCTION("""COMPUTED_VALUE"""),"Uncle Sams Cider (04/04/2023)")</f>
        <v>Uncle Sams Cider (04/04/2023)</v>
      </c>
      <c r="H2193" s="19"/>
    </row>
    <row r="2194">
      <c r="A2194" s="9"/>
      <c r="B2194" s="15"/>
      <c r="C2194" s="9">
        <f>IFERROR(__xludf.DUMMYFUNCTION("""COMPUTED_VALUE"""),45121.6607222453)</f>
        <v>45121.66072</v>
      </c>
      <c r="D2194" s="15">
        <f>IFERROR(__xludf.DUMMYFUNCTION("""COMPUTED_VALUE"""),1.003)</f>
        <v>1.003</v>
      </c>
      <c r="E2194" s="16">
        <f>IFERROR(__xludf.DUMMYFUNCTION("""COMPUTED_VALUE"""),72.0)</f>
        <v>72</v>
      </c>
      <c r="F2194" s="19" t="str">
        <f>IFERROR(__xludf.DUMMYFUNCTION("""COMPUTED_VALUE"""),"BLACK")</f>
        <v>BLACK</v>
      </c>
      <c r="G2194" s="20" t="str">
        <f>IFERROR(__xludf.DUMMYFUNCTION("""COMPUTED_VALUE"""),"Uncle Sams Cider (04/04/2023)")</f>
        <v>Uncle Sams Cider (04/04/2023)</v>
      </c>
      <c r="H2194" s="19"/>
    </row>
    <row r="2195">
      <c r="A2195" s="9"/>
      <c r="B2195" s="15"/>
      <c r="C2195" s="9">
        <f>IFERROR(__xludf.DUMMYFUNCTION("""COMPUTED_VALUE"""),45121.6502902314)</f>
        <v>45121.65029</v>
      </c>
      <c r="D2195" s="15">
        <f>IFERROR(__xludf.DUMMYFUNCTION("""COMPUTED_VALUE"""),1.004)</f>
        <v>1.004</v>
      </c>
      <c r="E2195" s="16">
        <f>IFERROR(__xludf.DUMMYFUNCTION("""COMPUTED_VALUE"""),72.0)</f>
        <v>72</v>
      </c>
      <c r="F2195" s="19" t="str">
        <f>IFERROR(__xludf.DUMMYFUNCTION("""COMPUTED_VALUE"""),"BLACK")</f>
        <v>BLACK</v>
      </c>
      <c r="G2195" s="20" t="str">
        <f>IFERROR(__xludf.DUMMYFUNCTION("""COMPUTED_VALUE"""),"Uncle Sams Cider (04/04/2023)")</f>
        <v>Uncle Sams Cider (04/04/2023)</v>
      </c>
      <c r="H2195" s="19"/>
    </row>
    <row r="2196">
      <c r="A2196" s="9"/>
      <c r="B2196" s="15"/>
      <c r="C2196" s="9">
        <f>IFERROR(__xludf.DUMMYFUNCTION("""COMPUTED_VALUE"""),45121.6398577083)</f>
        <v>45121.63986</v>
      </c>
      <c r="D2196" s="15">
        <f>IFERROR(__xludf.DUMMYFUNCTION("""COMPUTED_VALUE"""),1.003)</f>
        <v>1.003</v>
      </c>
      <c r="E2196" s="16">
        <f>IFERROR(__xludf.DUMMYFUNCTION("""COMPUTED_VALUE"""),72.0)</f>
        <v>72</v>
      </c>
      <c r="F2196" s="19" t="str">
        <f>IFERROR(__xludf.DUMMYFUNCTION("""COMPUTED_VALUE"""),"BLACK")</f>
        <v>BLACK</v>
      </c>
      <c r="G2196" s="20" t="str">
        <f>IFERROR(__xludf.DUMMYFUNCTION("""COMPUTED_VALUE"""),"Uncle Sams Cider (04/04/2023)")</f>
        <v>Uncle Sams Cider (04/04/2023)</v>
      </c>
      <c r="H2196" s="19"/>
    </row>
    <row r="2197">
      <c r="A2197" s="9"/>
      <c r="B2197" s="15"/>
      <c r="C2197" s="9">
        <f>IFERROR(__xludf.DUMMYFUNCTION("""COMPUTED_VALUE"""),45121.6294241319)</f>
        <v>45121.62942</v>
      </c>
      <c r="D2197" s="15">
        <f>IFERROR(__xludf.DUMMYFUNCTION("""COMPUTED_VALUE"""),1.003)</f>
        <v>1.003</v>
      </c>
      <c r="E2197" s="16">
        <f>IFERROR(__xludf.DUMMYFUNCTION("""COMPUTED_VALUE"""),72.0)</f>
        <v>72</v>
      </c>
      <c r="F2197" s="19" t="str">
        <f>IFERROR(__xludf.DUMMYFUNCTION("""COMPUTED_VALUE"""),"BLACK")</f>
        <v>BLACK</v>
      </c>
      <c r="G2197" s="20" t="str">
        <f>IFERROR(__xludf.DUMMYFUNCTION("""COMPUTED_VALUE"""),"Uncle Sams Cider (04/04/2023)")</f>
        <v>Uncle Sams Cider (04/04/2023)</v>
      </c>
      <c r="H2197" s="19"/>
    </row>
    <row r="2198">
      <c r="A2198" s="9"/>
      <c r="B2198" s="15"/>
      <c r="C2198" s="9">
        <f>IFERROR(__xludf.DUMMYFUNCTION("""COMPUTED_VALUE"""),45121.6190038541)</f>
        <v>45121.619</v>
      </c>
      <c r="D2198" s="15">
        <f>IFERROR(__xludf.DUMMYFUNCTION("""COMPUTED_VALUE"""),1.003)</f>
        <v>1.003</v>
      </c>
      <c r="E2198" s="16">
        <f>IFERROR(__xludf.DUMMYFUNCTION("""COMPUTED_VALUE"""),72.0)</f>
        <v>72</v>
      </c>
      <c r="F2198" s="19" t="str">
        <f>IFERROR(__xludf.DUMMYFUNCTION("""COMPUTED_VALUE"""),"BLACK")</f>
        <v>BLACK</v>
      </c>
      <c r="G2198" s="20" t="str">
        <f>IFERROR(__xludf.DUMMYFUNCTION("""COMPUTED_VALUE"""),"Uncle Sams Cider (04/04/2023)")</f>
        <v>Uncle Sams Cider (04/04/2023)</v>
      </c>
      <c r="H2198" s="19"/>
    </row>
    <row r="2199">
      <c r="A2199" s="9"/>
      <c r="B2199" s="15"/>
      <c r="C2199" s="9">
        <f>IFERROR(__xludf.DUMMYFUNCTION("""COMPUTED_VALUE"""),45121.6085819676)</f>
        <v>45121.60858</v>
      </c>
      <c r="D2199" s="15">
        <f>IFERROR(__xludf.DUMMYFUNCTION("""COMPUTED_VALUE"""),1.003)</f>
        <v>1.003</v>
      </c>
      <c r="E2199" s="16">
        <f>IFERROR(__xludf.DUMMYFUNCTION("""COMPUTED_VALUE"""),72.0)</f>
        <v>72</v>
      </c>
      <c r="F2199" s="19" t="str">
        <f>IFERROR(__xludf.DUMMYFUNCTION("""COMPUTED_VALUE"""),"BLACK")</f>
        <v>BLACK</v>
      </c>
      <c r="G2199" s="20" t="str">
        <f>IFERROR(__xludf.DUMMYFUNCTION("""COMPUTED_VALUE"""),"Uncle Sams Cider (04/04/2023)")</f>
        <v>Uncle Sams Cider (04/04/2023)</v>
      </c>
      <c r="H2199" s="19"/>
    </row>
    <row r="2200">
      <c r="A2200" s="9"/>
      <c r="B2200" s="15"/>
      <c r="C2200" s="9">
        <f>IFERROR(__xludf.DUMMYFUNCTION("""COMPUTED_VALUE"""),45121.5981613194)</f>
        <v>45121.59816</v>
      </c>
      <c r="D2200" s="15">
        <f>IFERROR(__xludf.DUMMYFUNCTION("""COMPUTED_VALUE"""),1.003)</f>
        <v>1.003</v>
      </c>
      <c r="E2200" s="16">
        <f>IFERROR(__xludf.DUMMYFUNCTION("""COMPUTED_VALUE"""),72.0)</f>
        <v>72</v>
      </c>
      <c r="F2200" s="19" t="str">
        <f>IFERROR(__xludf.DUMMYFUNCTION("""COMPUTED_VALUE"""),"BLACK")</f>
        <v>BLACK</v>
      </c>
      <c r="G2200" s="20" t="str">
        <f>IFERROR(__xludf.DUMMYFUNCTION("""COMPUTED_VALUE"""),"Uncle Sams Cider (04/04/2023)")</f>
        <v>Uncle Sams Cider (04/04/2023)</v>
      </c>
      <c r="H2200" s="19"/>
    </row>
    <row r="2201">
      <c r="A2201" s="9"/>
      <c r="B2201" s="15"/>
      <c r="C2201" s="9">
        <f>IFERROR(__xludf.DUMMYFUNCTION("""COMPUTED_VALUE"""),45121.5877408333)</f>
        <v>45121.58774</v>
      </c>
      <c r="D2201" s="15">
        <f>IFERROR(__xludf.DUMMYFUNCTION("""COMPUTED_VALUE"""),1.003)</f>
        <v>1.003</v>
      </c>
      <c r="E2201" s="16">
        <f>IFERROR(__xludf.DUMMYFUNCTION("""COMPUTED_VALUE"""),72.0)</f>
        <v>72</v>
      </c>
      <c r="F2201" s="19" t="str">
        <f>IFERROR(__xludf.DUMMYFUNCTION("""COMPUTED_VALUE"""),"BLACK")</f>
        <v>BLACK</v>
      </c>
      <c r="G2201" s="20" t="str">
        <f>IFERROR(__xludf.DUMMYFUNCTION("""COMPUTED_VALUE"""),"Uncle Sams Cider (04/04/2023)")</f>
        <v>Uncle Sams Cider (04/04/2023)</v>
      </c>
      <c r="H2201" s="19"/>
    </row>
    <row r="2202">
      <c r="A2202" s="9"/>
      <c r="B2202" s="15"/>
      <c r="C2202" s="9">
        <f>IFERROR(__xludf.DUMMYFUNCTION("""COMPUTED_VALUE"""),45121.5773221064)</f>
        <v>45121.57732</v>
      </c>
      <c r="D2202" s="15">
        <f>IFERROR(__xludf.DUMMYFUNCTION("""COMPUTED_VALUE"""),1.003)</f>
        <v>1.003</v>
      </c>
      <c r="E2202" s="16">
        <f>IFERROR(__xludf.DUMMYFUNCTION("""COMPUTED_VALUE"""),72.0)</f>
        <v>72</v>
      </c>
      <c r="F2202" s="19" t="str">
        <f>IFERROR(__xludf.DUMMYFUNCTION("""COMPUTED_VALUE"""),"BLACK")</f>
        <v>BLACK</v>
      </c>
      <c r="G2202" s="20" t="str">
        <f>IFERROR(__xludf.DUMMYFUNCTION("""COMPUTED_VALUE"""),"Uncle Sams Cider (04/04/2023)")</f>
        <v>Uncle Sams Cider (04/04/2023)</v>
      </c>
      <c r="H2202" s="19"/>
    </row>
    <row r="2203">
      <c r="A2203" s="9"/>
      <c r="B2203" s="15"/>
      <c r="C2203" s="9">
        <f>IFERROR(__xludf.DUMMYFUNCTION("""COMPUTED_VALUE"""),45121.5669015625)</f>
        <v>45121.5669</v>
      </c>
      <c r="D2203" s="15">
        <f>IFERROR(__xludf.DUMMYFUNCTION("""COMPUTED_VALUE"""),1.003)</f>
        <v>1.003</v>
      </c>
      <c r="E2203" s="16">
        <f>IFERROR(__xludf.DUMMYFUNCTION("""COMPUTED_VALUE"""),72.0)</f>
        <v>72</v>
      </c>
      <c r="F2203" s="19" t="str">
        <f>IFERROR(__xludf.DUMMYFUNCTION("""COMPUTED_VALUE"""),"BLACK")</f>
        <v>BLACK</v>
      </c>
      <c r="G2203" s="20" t="str">
        <f>IFERROR(__xludf.DUMMYFUNCTION("""COMPUTED_VALUE"""),"Uncle Sams Cider (04/04/2023)")</f>
        <v>Uncle Sams Cider (04/04/2023)</v>
      </c>
      <c r="H2203" s="19"/>
    </row>
    <row r="2204">
      <c r="A2204" s="9"/>
      <c r="B2204" s="15"/>
      <c r="C2204" s="9">
        <f>IFERROR(__xludf.DUMMYFUNCTION("""COMPUTED_VALUE"""),45121.5564810069)</f>
        <v>45121.55648</v>
      </c>
      <c r="D2204" s="15">
        <f>IFERROR(__xludf.DUMMYFUNCTION("""COMPUTED_VALUE"""),1.003)</f>
        <v>1.003</v>
      </c>
      <c r="E2204" s="16">
        <f>IFERROR(__xludf.DUMMYFUNCTION("""COMPUTED_VALUE"""),72.0)</f>
        <v>72</v>
      </c>
      <c r="F2204" s="19" t="str">
        <f>IFERROR(__xludf.DUMMYFUNCTION("""COMPUTED_VALUE"""),"BLACK")</f>
        <v>BLACK</v>
      </c>
      <c r="G2204" s="20" t="str">
        <f>IFERROR(__xludf.DUMMYFUNCTION("""COMPUTED_VALUE"""),"Uncle Sams Cider (04/04/2023)")</f>
        <v>Uncle Sams Cider (04/04/2023)</v>
      </c>
      <c r="H2204" s="19"/>
    </row>
    <row r="2205">
      <c r="A2205" s="9"/>
      <c r="B2205" s="15"/>
      <c r="C2205" s="9">
        <f>IFERROR(__xludf.DUMMYFUNCTION("""COMPUTED_VALUE"""),45121.5460601273)</f>
        <v>45121.54606</v>
      </c>
      <c r="D2205" s="15">
        <f>IFERROR(__xludf.DUMMYFUNCTION("""COMPUTED_VALUE"""),1.003)</f>
        <v>1.003</v>
      </c>
      <c r="E2205" s="16">
        <f>IFERROR(__xludf.DUMMYFUNCTION("""COMPUTED_VALUE"""),72.0)</f>
        <v>72</v>
      </c>
      <c r="F2205" s="19" t="str">
        <f>IFERROR(__xludf.DUMMYFUNCTION("""COMPUTED_VALUE"""),"BLACK")</f>
        <v>BLACK</v>
      </c>
      <c r="G2205" s="20" t="str">
        <f>IFERROR(__xludf.DUMMYFUNCTION("""COMPUTED_VALUE"""),"Uncle Sams Cider (04/04/2023)")</f>
        <v>Uncle Sams Cider (04/04/2023)</v>
      </c>
      <c r="H2205" s="19"/>
    </row>
    <row r="2206">
      <c r="A2206" s="9"/>
      <c r="B2206" s="15"/>
      <c r="C2206" s="9">
        <f>IFERROR(__xludf.DUMMYFUNCTION("""COMPUTED_VALUE"""),45121.5356372453)</f>
        <v>45121.53564</v>
      </c>
      <c r="D2206" s="15">
        <f>IFERROR(__xludf.DUMMYFUNCTION("""COMPUTED_VALUE"""),1.003)</f>
        <v>1.003</v>
      </c>
      <c r="E2206" s="16">
        <f>IFERROR(__xludf.DUMMYFUNCTION("""COMPUTED_VALUE"""),72.0)</f>
        <v>72</v>
      </c>
      <c r="F2206" s="19" t="str">
        <f>IFERROR(__xludf.DUMMYFUNCTION("""COMPUTED_VALUE"""),"BLACK")</f>
        <v>BLACK</v>
      </c>
      <c r="G2206" s="20" t="str">
        <f>IFERROR(__xludf.DUMMYFUNCTION("""COMPUTED_VALUE"""),"Uncle Sams Cider (04/04/2023)")</f>
        <v>Uncle Sams Cider (04/04/2023)</v>
      </c>
      <c r="H2206" s="19"/>
    </row>
    <row r="2207">
      <c r="A2207" s="9"/>
      <c r="B2207" s="15"/>
      <c r="C2207" s="9">
        <f>IFERROR(__xludf.DUMMYFUNCTION("""COMPUTED_VALUE"""),45121.5252148958)</f>
        <v>45121.52521</v>
      </c>
      <c r="D2207" s="15">
        <f>IFERROR(__xludf.DUMMYFUNCTION("""COMPUTED_VALUE"""),1.003)</f>
        <v>1.003</v>
      </c>
      <c r="E2207" s="16">
        <f>IFERROR(__xludf.DUMMYFUNCTION("""COMPUTED_VALUE"""),72.0)</f>
        <v>72</v>
      </c>
      <c r="F2207" s="19" t="str">
        <f>IFERROR(__xludf.DUMMYFUNCTION("""COMPUTED_VALUE"""),"BLACK")</f>
        <v>BLACK</v>
      </c>
      <c r="G2207" s="20" t="str">
        <f>IFERROR(__xludf.DUMMYFUNCTION("""COMPUTED_VALUE"""),"Uncle Sams Cider (04/04/2023)")</f>
        <v>Uncle Sams Cider (04/04/2023)</v>
      </c>
      <c r="H2207" s="19"/>
    </row>
    <row r="2208">
      <c r="A2208" s="9"/>
      <c r="B2208" s="15"/>
      <c r="C2208" s="9">
        <f>IFERROR(__xludf.DUMMYFUNCTION("""COMPUTED_VALUE"""),45121.5147931018)</f>
        <v>45121.51479</v>
      </c>
      <c r="D2208" s="15">
        <f>IFERROR(__xludf.DUMMYFUNCTION("""COMPUTED_VALUE"""),1.003)</f>
        <v>1.003</v>
      </c>
      <c r="E2208" s="16">
        <f>IFERROR(__xludf.DUMMYFUNCTION("""COMPUTED_VALUE"""),72.0)</f>
        <v>72</v>
      </c>
      <c r="F2208" s="19" t="str">
        <f>IFERROR(__xludf.DUMMYFUNCTION("""COMPUTED_VALUE"""),"BLACK")</f>
        <v>BLACK</v>
      </c>
      <c r="G2208" s="20" t="str">
        <f>IFERROR(__xludf.DUMMYFUNCTION("""COMPUTED_VALUE"""),"Uncle Sams Cider (04/04/2023)")</f>
        <v>Uncle Sams Cider (04/04/2023)</v>
      </c>
      <c r="H2208" s="19"/>
    </row>
    <row r="2209">
      <c r="A2209" s="9"/>
      <c r="B2209" s="15"/>
      <c r="C2209" s="9">
        <f>IFERROR(__xludf.DUMMYFUNCTION("""COMPUTED_VALUE"""),45121.5043722569)</f>
        <v>45121.50437</v>
      </c>
      <c r="D2209" s="15">
        <f>IFERROR(__xludf.DUMMYFUNCTION("""COMPUTED_VALUE"""),1.004)</f>
        <v>1.004</v>
      </c>
      <c r="E2209" s="16">
        <f>IFERROR(__xludf.DUMMYFUNCTION("""COMPUTED_VALUE"""),72.0)</f>
        <v>72</v>
      </c>
      <c r="F2209" s="19" t="str">
        <f>IFERROR(__xludf.DUMMYFUNCTION("""COMPUTED_VALUE"""),"BLACK")</f>
        <v>BLACK</v>
      </c>
      <c r="G2209" s="20" t="str">
        <f>IFERROR(__xludf.DUMMYFUNCTION("""COMPUTED_VALUE"""),"Uncle Sams Cider (04/04/2023)")</f>
        <v>Uncle Sams Cider (04/04/2023)</v>
      </c>
      <c r="H2209" s="19"/>
    </row>
    <row r="2210">
      <c r="A2210" s="9"/>
      <c r="B2210" s="15"/>
      <c r="C2210" s="9">
        <f>IFERROR(__xludf.DUMMYFUNCTION("""COMPUTED_VALUE"""),45121.4939519907)</f>
        <v>45121.49395</v>
      </c>
      <c r="D2210" s="15">
        <f>IFERROR(__xludf.DUMMYFUNCTION("""COMPUTED_VALUE"""),1.003)</f>
        <v>1.003</v>
      </c>
      <c r="E2210" s="16">
        <f>IFERROR(__xludf.DUMMYFUNCTION("""COMPUTED_VALUE"""),72.0)</f>
        <v>72</v>
      </c>
      <c r="F2210" s="19" t="str">
        <f>IFERROR(__xludf.DUMMYFUNCTION("""COMPUTED_VALUE"""),"BLACK")</f>
        <v>BLACK</v>
      </c>
      <c r="G2210" s="20" t="str">
        <f>IFERROR(__xludf.DUMMYFUNCTION("""COMPUTED_VALUE"""),"Uncle Sams Cider (04/04/2023)")</f>
        <v>Uncle Sams Cider (04/04/2023)</v>
      </c>
      <c r="H2210" s="19"/>
    </row>
    <row r="2211">
      <c r="A2211" s="9"/>
      <c r="B2211" s="15"/>
      <c r="C2211" s="9">
        <f>IFERROR(__xludf.DUMMYFUNCTION("""COMPUTED_VALUE"""),45121.483530868)</f>
        <v>45121.48353</v>
      </c>
      <c r="D2211" s="15">
        <f>IFERROR(__xludf.DUMMYFUNCTION("""COMPUTED_VALUE"""),1.003)</f>
        <v>1.003</v>
      </c>
      <c r="E2211" s="16">
        <f>IFERROR(__xludf.DUMMYFUNCTION("""COMPUTED_VALUE"""),72.0)</f>
        <v>72</v>
      </c>
      <c r="F2211" s="19" t="str">
        <f>IFERROR(__xludf.DUMMYFUNCTION("""COMPUTED_VALUE"""),"BLACK")</f>
        <v>BLACK</v>
      </c>
      <c r="G2211" s="20" t="str">
        <f>IFERROR(__xludf.DUMMYFUNCTION("""COMPUTED_VALUE"""),"Uncle Sams Cider (04/04/2023)")</f>
        <v>Uncle Sams Cider (04/04/2023)</v>
      </c>
      <c r="H2211" s="19"/>
    </row>
    <row r="2212">
      <c r="A2212" s="9"/>
      <c r="B2212" s="15"/>
      <c r="C2212" s="9">
        <f>IFERROR(__xludf.DUMMYFUNCTION("""COMPUTED_VALUE"""),45121.4731096412)</f>
        <v>45121.47311</v>
      </c>
      <c r="D2212" s="15">
        <f>IFERROR(__xludf.DUMMYFUNCTION("""COMPUTED_VALUE"""),1.003)</f>
        <v>1.003</v>
      </c>
      <c r="E2212" s="16">
        <f>IFERROR(__xludf.DUMMYFUNCTION("""COMPUTED_VALUE"""),72.0)</f>
        <v>72</v>
      </c>
      <c r="F2212" s="19" t="str">
        <f>IFERROR(__xludf.DUMMYFUNCTION("""COMPUTED_VALUE"""),"BLACK")</f>
        <v>BLACK</v>
      </c>
      <c r="G2212" s="20" t="str">
        <f>IFERROR(__xludf.DUMMYFUNCTION("""COMPUTED_VALUE"""),"Uncle Sams Cider (04/04/2023)")</f>
        <v>Uncle Sams Cider (04/04/2023)</v>
      </c>
      <c r="H2212" s="19"/>
    </row>
    <row r="2213">
      <c r="A2213" s="9"/>
      <c r="B2213" s="15"/>
      <c r="C2213" s="9">
        <f>IFERROR(__xludf.DUMMYFUNCTION("""COMPUTED_VALUE"""),45121.4626895138)</f>
        <v>45121.46269</v>
      </c>
      <c r="D2213" s="15">
        <f>IFERROR(__xludf.DUMMYFUNCTION("""COMPUTED_VALUE"""),1.003)</f>
        <v>1.003</v>
      </c>
      <c r="E2213" s="16">
        <f>IFERROR(__xludf.DUMMYFUNCTION("""COMPUTED_VALUE"""),72.0)</f>
        <v>72</v>
      </c>
      <c r="F2213" s="19" t="str">
        <f>IFERROR(__xludf.DUMMYFUNCTION("""COMPUTED_VALUE"""),"BLACK")</f>
        <v>BLACK</v>
      </c>
      <c r="G2213" s="20" t="str">
        <f>IFERROR(__xludf.DUMMYFUNCTION("""COMPUTED_VALUE"""),"Uncle Sams Cider (04/04/2023)")</f>
        <v>Uncle Sams Cider (04/04/2023)</v>
      </c>
      <c r="H2213" s="19"/>
    </row>
    <row r="2214">
      <c r="A2214" s="9"/>
      <c r="B2214" s="15"/>
      <c r="C2214" s="9">
        <f>IFERROR(__xludf.DUMMYFUNCTION("""COMPUTED_VALUE"""),45121.4522696064)</f>
        <v>45121.45227</v>
      </c>
      <c r="D2214" s="15">
        <f>IFERROR(__xludf.DUMMYFUNCTION("""COMPUTED_VALUE"""),1.003)</f>
        <v>1.003</v>
      </c>
      <c r="E2214" s="16">
        <f>IFERROR(__xludf.DUMMYFUNCTION("""COMPUTED_VALUE"""),72.0)</f>
        <v>72</v>
      </c>
      <c r="F2214" s="19" t="str">
        <f>IFERROR(__xludf.DUMMYFUNCTION("""COMPUTED_VALUE"""),"BLACK")</f>
        <v>BLACK</v>
      </c>
      <c r="G2214" s="20" t="str">
        <f>IFERROR(__xludf.DUMMYFUNCTION("""COMPUTED_VALUE"""),"Uncle Sams Cider (04/04/2023)")</f>
        <v>Uncle Sams Cider (04/04/2023)</v>
      </c>
      <c r="H2214" s="19"/>
    </row>
    <row r="2215">
      <c r="A2215" s="9"/>
      <c r="B2215" s="15"/>
      <c r="C2215" s="9">
        <f>IFERROR(__xludf.DUMMYFUNCTION("""COMPUTED_VALUE"""),45121.4418476157)</f>
        <v>45121.44185</v>
      </c>
      <c r="D2215" s="15">
        <f>IFERROR(__xludf.DUMMYFUNCTION("""COMPUTED_VALUE"""),1.003)</f>
        <v>1.003</v>
      </c>
      <c r="E2215" s="16">
        <f>IFERROR(__xludf.DUMMYFUNCTION("""COMPUTED_VALUE"""),72.0)</f>
        <v>72</v>
      </c>
      <c r="F2215" s="19" t="str">
        <f>IFERROR(__xludf.DUMMYFUNCTION("""COMPUTED_VALUE"""),"BLACK")</f>
        <v>BLACK</v>
      </c>
      <c r="G2215" s="20" t="str">
        <f>IFERROR(__xludf.DUMMYFUNCTION("""COMPUTED_VALUE"""),"Uncle Sams Cider (04/04/2023)")</f>
        <v>Uncle Sams Cider (04/04/2023)</v>
      </c>
      <c r="H2215" s="19"/>
    </row>
    <row r="2216">
      <c r="A2216" s="9"/>
      <c r="B2216" s="15"/>
      <c r="C2216" s="9">
        <f>IFERROR(__xludf.DUMMYFUNCTION("""COMPUTED_VALUE"""),45121.4314245717)</f>
        <v>45121.43142</v>
      </c>
      <c r="D2216" s="15">
        <f>IFERROR(__xludf.DUMMYFUNCTION("""COMPUTED_VALUE"""),1.004)</f>
        <v>1.004</v>
      </c>
      <c r="E2216" s="16">
        <f>IFERROR(__xludf.DUMMYFUNCTION("""COMPUTED_VALUE"""),72.0)</f>
        <v>72</v>
      </c>
      <c r="F2216" s="19" t="str">
        <f>IFERROR(__xludf.DUMMYFUNCTION("""COMPUTED_VALUE"""),"BLACK")</f>
        <v>BLACK</v>
      </c>
      <c r="G2216" s="20" t="str">
        <f>IFERROR(__xludf.DUMMYFUNCTION("""COMPUTED_VALUE"""),"Uncle Sams Cider (04/04/2023)")</f>
        <v>Uncle Sams Cider (04/04/2023)</v>
      </c>
      <c r="H2216" s="19"/>
    </row>
    <row r="2217">
      <c r="A2217" s="9"/>
      <c r="B2217" s="15"/>
      <c r="C2217" s="9">
        <f>IFERROR(__xludf.DUMMYFUNCTION("""COMPUTED_VALUE"""),45121.4210026273)</f>
        <v>45121.421</v>
      </c>
      <c r="D2217" s="15">
        <f>IFERROR(__xludf.DUMMYFUNCTION("""COMPUTED_VALUE"""),1.003)</f>
        <v>1.003</v>
      </c>
      <c r="E2217" s="16">
        <f>IFERROR(__xludf.DUMMYFUNCTION("""COMPUTED_VALUE"""),72.0)</f>
        <v>72</v>
      </c>
      <c r="F2217" s="19" t="str">
        <f>IFERROR(__xludf.DUMMYFUNCTION("""COMPUTED_VALUE"""),"BLACK")</f>
        <v>BLACK</v>
      </c>
      <c r="G2217" s="20" t="str">
        <f>IFERROR(__xludf.DUMMYFUNCTION("""COMPUTED_VALUE"""),"Uncle Sams Cider (04/04/2023)")</f>
        <v>Uncle Sams Cider (04/04/2023)</v>
      </c>
      <c r="H2217" s="19"/>
    </row>
    <row r="2218">
      <c r="A2218" s="9"/>
      <c r="B2218" s="15"/>
      <c r="C2218" s="9">
        <f>IFERROR(__xludf.DUMMYFUNCTION("""COMPUTED_VALUE"""),45121.4105812615)</f>
        <v>45121.41058</v>
      </c>
      <c r="D2218" s="15">
        <f>IFERROR(__xludf.DUMMYFUNCTION("""COMPUTED_VALUE"""),1.003)</f>
        <v>1.003</v>
      </c>
      <c r="E2218" s="16">
        <f>IFERROR(__xludf.DUMMYFUNCTION("""COMPUTED_VALUE"""),72.0)</f>
        <v>72</v>
      </c>
      <c r="F2218" s="19" t="str">
        <f>IFERROR(__xludf.DUMMYFUNCTION("""COMPUTED_VALUE"""),"BLACK")</f>
        <v>BLACK</v>
      </c>
      <c r="G2218" s="20" t="str">
        <f>IFERROR(__xludf.DUMMYFUNCTION("""COMPUTED_VALUE"""),"Uncle Sams Cider (04/04/2023)")</f>
        <v>Uncle Sams Cider (04/04/2023)</v>
      </c>
      <c r="H2218" s="19"/>
    </row>
    <row r="2219">
      <c r="A2219" s="9"/>
      <c r="B2219" s="15"/>
      <c r="C2219" s="9">
        <f>IFERROR(__xludf.DUMMYFUNCTION("""COMPUTED_VALUE"""),45121.4001618287)</f>
        <v>45121.40016</v>
      </c>
      <c r="D2219" s="15">
        <f>IFERROR(__xludf.DUMMYFUNCTION("""COMPUTED_VALUE"""),1.003)</f>
        <v>1.003</v>
      </c>
      <c r="E2219" s="16">
        <f>IFERROR(__xludf.DUMMYFUNCTION("""COMPUTED_VALUE"""),72.0)</f>
        <v>72</v>
      </c>
      <c r="F2219" s="19" t="str">
        <f>IFERROR(__xludf.DUMMYFUNCTION("""COMPUTED_VALUE"""),"BLACK")</f>
        <v>BLACK</v>
      </c>
      <c r="G2219" s="20" t="str">
        <f>IFERROR(__xludf.DUMMYFUNCTION("""COMPUTED_VALUE"""),"Uncle Sams Cider (04/04/2023)")</f>
        <v>Uncle Sams Cider (04/04/2023)</v>
      </c>
      <c r="H2219" s="19"/>
    </row>
    <row r="2220">
      <c r="A2220" s="9"/>
      <c r="B2220" s="15"/>
      <c r="C2220" s="9">
        <f>IFERROR(__xludf.DUMMYFUNCTION("""COMPUTED_VALUE"""),45121.3897301388)</f>
        <v>45121.38973</v>
      </c>
      <c r="D2220" s="15">
        <f>IFERROR(__xludf.DUMMYFUNCTION("""COMPUTED_VALUE"""),1.004)</f>
        <v>1.004</v>
      </c>
      <c r="E2220" s="16">
        <f>IFERROR(__xludf.DUMMYFUNCTION("""COMPUTED_VALUE"""),72.0)</f>
        <v>72</v>
      </c>
      <c r="F2220" s="19" t="str">
        <f>IFERROR(__xludf.DUMMYFUNCTION("""COMPUTED_VALUE"""),"BLACK")</f>
        <v>BLACK</v>
      </c>
      <c r="G2220" s="20" t="str">
        <f>IFERROR(__xludf.DUMMYFUNCTION("""COMPUTED_VALUE"""),"Uncle Sams Cider (04/04/2023)")</f>
        <v>Uncle Sams Cider (04/04/2023)</v>
      </c>
      <c r="H2220" s="19"/>
    </row>
    <row r="2221">
      <c r="A2221" s="9"/>
      <c r="B2221" s="15"/>
      <c r="C2221" s="9">
        <f>IFERROR(__xludf.DUMMYFUNCTION("""COMPUTED_VALUE"""),45121.3792849884)</f>
        <v>45121.37928</v>
      </c>
      <c r="D2221" s="15">
        <f>IFERROR(__xludf.DUMMYFUNCTION("""COMPUTED_VALUE"""),1.003)</f>
        <v>1.003</v>
      </c>
      <c r="E2221" s="16">
        <f>IFERROR(__xludf.DUMMYFUNCTION("""COMPUTED_VALUE"""),72.0)</f>
        <v>72</v>
      </c>
      <c r="F2221" s="19" t="str">
        <f>IFERROR(__xludf.DUMMYFUNCTION("""COMPUTED_VALUE"""),"BLACK")</f>
        <v>BLACK</v>
      </c>
      <c r="G2221" s="20" t="str">
        <f>IFERROR(__xludf.DUMMYFUNCTION("""COMPUTED_VALUE"""),"Uncle Sams Cider (04/04/2023)")</f>
        <v>Uncle Sams Cider (04/04/2023)</v>
      </c>
      <c r="H2221" s="19"/>
    </row>
    <row r="2222">
      <c r="A2222" s="9"/>
      <c r="B2222" s="15"/>
      <c r="C2222" s="9">
        <f>IFERROR(__xludf.DUMMYFUNCTION("""COMPUTED_VALUE"""),45121.3688526967)</f>
        <v>45121.36885</v>
      </c>
      <c r="D2222" s="15">
        <f>IFERROR(__xludf.DUMMYFUNCTION("""COMPUTED_VALUE"""),1.003)</f>
        <v>1.003</v>
      </c>
      <c r="E2222" s="16">
        <f>IFERROR(__xludf.DUMMYFUNCTION("""COMPUTED_VALUE"""),72.0)</f>
        <v>72</v>
      </c>
      <c r="F2222" s="19" t="str">
        <f>IFERROR(__xludf.DUMMYFUNCTION("""COMPUTED_VALUE"""),"BLACK")</f>
        <v>BLACK</v>
      </c>
      <c r="G2222" s="20" t="str">
        <f>IFERROR(__xludf.DUMMYFUNCTION("""COMPUTED_VALUE"""),"Uncle Sams Cider (04/04/2023)")</f>
        <v>Uncle Sams Cider (04/04/2023)</v>
      </c>
      <c r="H2222" s="19"/>
    </row>
    <row r="2223">
      <c r="A2223" s="9"/>
      <c r="B2223" s="15"/>
      <c r="C2223" s="9">
        <f>IFERROR(__xludf.DUMMYFUNCTION("""COMPUTED_VALUE"""),45121.3584309722)</f>
        <v>45121.35843</v>
      </c>
      <c r="D2223" s="15">
        <f>IFERROR(__xludf.DUMMYFUNCTION("""COMPUTED_VALUE"""),1.004)</f>
        <v>1.004</v>
      </c>
      <c r="E2223" s="16">
        <f>IFERROR(__xludf.DUMMYFUNCTION("""COMPUTED_VALUE"""),72.0)</f>
        <v>72</v>
      </c>
      <c r="F2223" s="19" t="str">
        <f>IFERROR(__xludf.DUMMYFUNCTION("""COMPUTED_VALUE"""),"BLACK")</f>
        <v>BLACK</v>
      </c>
      <c r="G2223" s="20" t="str">
        <f>IFERROR(__xludf.DUMMYFUNCTION("""COMPUTED_VALUE"""),"Uncle Sams Cider (04/04/2023)")</f>
        <v>Uncle Sams Cider (04/04/2023)</v>
      </c>
      <c r="H2223" s="19"/>
    </row>
    <row r="2224">
      <c r="A2224" s="9"/>
      <c r="B2224" s="15"/>
      <c r="C2224" s="9">
        <f>IFERROR(__xludf.DUMMYFUNCTION("""COMPUTED_VALUE"""),45121.34799853)</f>
        <v>45121.348</v>
      </c>
      <c r="D2224" s="15">
        <f>IFERROR(__xludf.DUMMYFUNCTION("""COMPUTED_VALUE"""),1.004)</f>
        <v>1.004</v>
      </c>
      <c r="E2224" s="16">
        <f>IFERROR(__xludf.DUMMYFUNCTION("""COMPUTED_VALUE"""),72.0)</f>
        <v>72</v>
      </c>
      <c r="F2224" s="19" t="str">
        <f>IFERROR(__xludf.DUMMYFUNCTION("""COMPUTED_VALUE"""),"BLACK")</f>
        <v>BLACK</v>
      </c>
      <c r="G2224" s="20" t="str">
        <f>IFERROR(__xludf.DUMMYFUNCTION("""COMPUTED_VALUE"""),"Uncle Sams Cider (04/04/2023)")</f>
        <v>Uncle Sams Cider (04/04/2023)</v>
      </c>
      <c r="H2224" s="19"/>
    </row>
    <row r="2225">
      <c r="A2225" s="9"/>
      <c r="B2225" s="15"/>
      <c r="C2225" s="9">
        <f>IFERROR(__xludf.DUMMYFUNCTION("""COMPUTED_VALUE"""),45121.3375791319)</f>
        <v>45121.33758</v>
      </c>
      <c r="D2225" s="15">
        <f>IFERROR(__xludf.DUMMYFUNCTION("""COMPUTED_VALUE"""),1.003)</f>
        <v>1.003</v>
      </c>
      <c r="E2225" s="16">
        <f>IFERROR(__xludf.DUMMYFUNCTION("""COMPUTED_VALUE"""),72.0)</f>
        <v>72</v>
      </c>
      <c r="F2225" s="19" t="str">
        <f>IFERROR(__xludf.DUMMYFUNCTION("""COMPUTED_VALUE"""),"BLACK")</f>
        <v>BLACK</v>
      </c>
      <c r="G2225" s="20" t="str">
        <f>IFERROR(__xludf.DUMMYFUNCTION("""COMPUTED_VALUE"""),"Uncle Sams Cider (04/04/2023)")</f>
        <v>Uncle Sams Cider (04/04/2023)</v>
      </c>
      <c r="H2225" s="19"/>
    </row>
    <row r="2226">
      <c r="A2226" s="9"/>
      <c r="B2226" s="15"/>
      <c r="C2226" s="9">
        <f>IFERROR(__xludf.DUMMYFUNCTION("""COMPUTED_VALUE"""),45121.327159375)</f>
        <v>45121.32716</v>
      </c>
      <c r="D2226" s="15">
        <f>IFERROR(__xludf.DUMMYFUNCTION("""COMPUTED_VALUE"""),1.004)</f>
        <v>1.004</v>
      </c>
      <c r="E2226" s="16">
        <f>IFERROR(__xludf.DUMMYFUNCTION("""COMPUTED_VALUE"""),72.0)</f>
        <v>72</v>
      </c>
      <c r="F2226" s="19" t="str">
        <f>IFERROR(__xludf.DUMMYFUNCTION("""COMPUTED_VALUE"""),"BLACK")</f>
        <v>BLACK</v>
      </c>
      <c r="G2226" s="20" t="str">
        <f>IFERROR(__xludf.DUMMYFUNCTION("""COMPUTED_VALUE"""),"Uncle Sams Cider (04/04/2023)")</f>
        <v>Uncle Sams Cider (04/04/2023)</v>
      </c>
      <c r="H2226" s="19"/>
    </row>
    <row r="2227">
      <c r="A2227" s="9"/>
      <c r="B2227" s="15"/>
      <c r="C2227" s="9">
        <f>IFERROR(__xludf.DUMMYFUNCTION("""COMPUTED_VALUE"""),45121.3167386226)</f>
        <v>45121.31674</v>
      </c>
      <c r="D2227" s="15">
        <f>IFERROR(__xludf.DUMMYFUNCTION("""COMPUTED_VALUE"""),1.003)</f>
        <v>1.003</v>
      </c>
      <c r="E2227" s="16">
        <f>IFERROR(__xludf.DUMMYFUNCTION("""COMPUTED_VALUE"""),72.0)</f>
        <v>72</v>
      </c>
      <c r="F2227" s="19" t="str">
        <f>IFERROR(__xludf.DUMMYFUNCTION("""COMPUTED_VALUE"""),"BLACK")</f>
        <v>BLACK</v>
      </c>
      <c r="G2227" s="20" t="str">
        <f>IFERROR(__xludf.DUMMYFUNCTION("""COMPUTED_VALUE"""),"Uncle Sams Cider (04/04/2023)")</f>
        <v>Uncle Sams Cider (04/04/2023)</v>
      </c>
      <c r="H2227" s="19"/>
    </row>
    <row r="2228">
      <c r="A2228" s="9"/>
      <c r="B2228" s="15"/>
      <c r="C2228" s="9">
        <f>IFERROR(__xludf.DUMMYFUNCTION("""COMPUTED_VALUE"""),45121.3063183912)</f>
        <v>45121.30632</v>
      </c>
      <c r="D2228" s="15">
        <f>IFERROR(__xludf.DUMMYFUNCTION("""COMPUTED_VALUE"""),1.003)</f>
        <v>1.003</v>
      </c>
      <c r="E2228" s="16">
        <f>IFERROR(__xludf.DUMMYFUNCTION("""COMPUTED_VALUE"""),72.0)</f>
        <v>72</v>
      </c>
      <c r="F2228" s="19" t="str">
        <f>IFERROR(__xludf.DUMMYFUNCTION("""COMPUTED_VALUE"""),"BLACK")</f>
        <v>BLACK</v>
      </c>
      <c r="G2228" s="20" t="str">
        <f>IFERROR(__xludf.DUMMYFUNCTION("""COMPUTED_VALUE"""),"Uncle Sams Cider (04/04/2023)")</f>
        <v>Uncle Sams Cider (04/04/2023)</v>
      </c>
      <c r="H2228" s="19"/>
    </row>
    <row r="2229">
      <c r="A2229" s="9"/>
      <c r="B2229" s="15"/>
      <c r="C2229" s="9">
        <f>IFERROR(__xludf.DUMMYFUNCTION("""COMPUTED_VALUE"""),45121.295884537)</f>
        <v>45121.29588</v>
      </c>
      <c r="D2229" s="15">
        <f>IFERROR(__xludf.DUMMYFUNCTION("""COMPUTED_VALUE"""),1.003)</f>
        <v>1.003</v>
      </c>
      <c r="E2229" s="16">
        <f>IFERROR(__xludf.DUMMYFUNCTION("""COMPUTED_VALUE"""),72.0)</f>
        <v>72</v>
      </c>
      <c r="F2229" s="19" t="str">
        <f>IFERROR(__xludf.DUMMYFUNCTION("""COMPUTED_VALUE"""),"BLACK")</f>
        <v>BLACK</v>
      </c>
      <c r="G2229" s="20" t="str">
        <f>IFERROR(__xludf.DUMMYFUNCTION("""COMPUTED_VALUE"""),"Uncle Sams Cider (04/04/2023)")</f>
        <v>Uncle Sams Cider (04/04/2023)</v>
      </c>
      <c r="H2229" s="19"/>
    </row>
    <row r="2230">
      <c r="A2230" s="9"/>
      <c r="B2230" s="15"/>
      <c r="C2230" s="9">
        <f>IFERROR(__xludf.DUMMYFUNCTION("""COMPUTED_VALUE"""),45121.2854514814)</f>
        <v>45121.28545</v>
      </c>
      <c r="D2230" s="15">
        <f>IFERROR(__xludf.DUMMYFUNCTION("""COMPUTED_VALUE"""),1.003)</f>
        <v>1.003</v>
      </c>
      <c r="E2230" s="16">
        <f>IFERROR(__xludf.DUMMYFUNCTION("""COMPUTED_VALUE"""),72.0)</f>
        <v>72</v>
      </c>
      <c r="F2230" s="19" t="str">
        <f>IFERROR(__xludf.DUMMYFUNCTION("""COMPUTED_VALUE"""),"BLACK")</f>
        <v>BLACK</v>
      </c>
      <c r="G2230" s="20" t="str">
        <f>IFERROR(__xludf.DUMMYFUNCTION("""COMPUTED_VALUE"""),"Uncle Sams Cider (04/04/2023)")</f>
        <v>Uncle Sams Cider (04/04/2023)</v>
      </c>
      <c r="H2230" s="19"/>
    </row>
    <row r="2231">
      <c r="A2231" s="9"/>
      <c r="B2231" s="15"/>
      <c r="C2231" s="9">
        <f>IFERROR(__xludf.DUMMYFUNCTION("""COMPUTED_VALUE"""),45121.2750275231)</f>
        <v>45121.27503</v>
      </c>
      <c r="D2231" s="15">
        <f>IFERROR(__xludf.DUMMYFUNCTION("""COMPUTED_VALUE"""),1.003)</f>
        <v>1.003</v>
      </c>
      <c r="E2231" s="16">
        <f>IFERROR(__xludf.DUMMYFUNCTION("""COMPUTED_VALUE"""),72.0)</f>
        <v>72</v>
      </c>
      <c r="F2231" s="19" t="str">
        <f>IFERROR(__xludf.DUMMYFUNCTION("""COMPUTED_VALUE"""),"BLACK")</f>
        <v>BLACK</v>
      </c>
      <c r="G2231" s="20" t="str">
        <f>IFERROR(__xludf.DUMMYFUNCTION("""COMPUTED_VALUE"""),"Uncle Sams Cider (04/04/2023)")</f>
        <v>Uncle Sams Cider (04/04/2023)</v>
      </c>
      <c r="H2231" s="19"/>
    </row>
    <row r="2232">
      <c r="A2232" s="9"/>
      <c r="B2232" s="15"/>
      <c r="C2232" s="9">
        <f>IFERROR(__xludf.DUMMYFUNCTION("""COMPUTED_VALUE"""),45121.2645953935)</f>
        <v>45121.2646</v>
      </c>
      <c r="D2232" s="15">
        <f>IFERROR(__xludf.DUMMYFUNCTION("""COMPUTED_VALUE"""),1.004)</f>
        <v>1.004</v>
      </c>
      <c r="E2232" s="16">
        <f>IFERROR(__xludf.DUMMYFUNCTION("""COMPUTED_VALUE"""),72.0)</f>
        <v>72</v>
      </c>
      <c r="F2232" s="19" t="str">
        <f>IFERROR(__xludf.DUMMYFUNCTION("""COMPUTED_VALUE"""),"BLACK")</f>
        <v>BLACK</v>
      </c>
      <c r="G2232" s="20" t="str">
        <f>IFERROR(__xludf.DUMMYFUNCTION("""COMPUTED_VALUE"""),"Uncle Sams Cider (04/04/2023)")</f>
        <v>Uncle Sams Cider (04/04/2023)</v>
      </c>
      <c r="H2232" s="19"/>
    </row>
    <row r="2233">
      <c r="A2233" s="9"/>
      <c r="B2233" s="15"/>
      <c r="C2233" s="9">
        <f>IFERROR(__xludf.DUMMYFUNCTION("""COMPUTED_VALUE"""),45121.2541736921)</f>
        <v>45121.25417</v>
      </c>
      <c r="D2233" s="15">
        <f>IFERROR(__xludf.DUMMYFUNCTION("""COMPUTED_VALUE"""),1.004)</f>
        <v>1.004</v>
      </c>
      <c r="E2233" s="16">
        <f>IFERROR(__xludf.DUMMYFUNCTION("""COMPUTED_VALUE"""),72.0)</f>
        <v>72</v>
      </c>
      <c r="F2233" s="19" t="str">
        <f>IFERROR(__xludf.DUMMYFUNCTION("""COMPUTED_VALUE"""),"BLACK")</f>
        <v>BLACK</v>
      </c>
      <c r="G2233" s="20" t="str">
        <f>IFERROR(__xludf.DUMMYFUNCTION("""COMPUTED_VALUE"""),"Uncle Sams Cider (04/04/2023)")</f>
        <v>Uncle Sams Cider (04/04/2023)</v>
      </c>
      <c r="H2233" s="19"/>
    </row>
    <row r="2234">
      <c r="A2234" s="9"/>
      <c r="B2234" s="15"/>
      <c r="C2234" s="9">
        <f>IFERROR(__xludf.DUMMYFUNCTION("""COMPUTED_VALUE"""),45121.2437502314)</f>
        <v>45121.24375</v>
      </c>
      <c r="D2234" s="15">
        <f>IFERROR(__xludf.DUMMYFUNCTION("""COMPUTED_VALUE"""),1.004)</f>
        <v>1.004</v>
      </c>
      <c r="E2234" s="16">
        <f>IFERROR(__xludf.DUMMYFUNCTION("""COMPUTED_VALUE"""),72.0)</f>
        <v>72</v>
      </c>
      <c r="F2234" s="19" t="str">
        <f>IFERROR(__xludf.DUMMYFUNCTION("""COMPUTED_VALUE"""),"BLACK")</f>
        <v>BLACK</v>
      </c>
      <c r="G2234" s="20" t="str">
        <f>IFERROR(__xludf.DUMMYFUNCTION("""COMPUTED_VALUE"""),"Uncle Sams Cider (04/04/2023)")</f>
        <v>Uncle Sams Cider (04/04/2023)</v>
      </c>
      <c r="H2234" s="19"/>
    </row>
    <row r="2235">
      <c r="A2235" s="9"/>
      <c r="B2235" s="15"/>
      <c r="C2235" s="9">
        <f>IFERROR(__xludf.DUMMYFUNCTION("""COMPUTED_VALUE"""),45121.2333192476)</f>
        <v>45121.23332</v>
      </c>
      <c r="D2235" s="15">
        <f>IFERROR(__xludf.DUMMYFUNCTION("""COMPUTED_VALUE"""),1.003)</f>
        <v>1.003</v>
      </c>
      <c r="E2235" s="16">
        <f>IFERROR(__xludf.DUMMYFUNCTION("""COMPUTED_VALUE"""),72.0)</f>
        <v>72</v>
      </c>
      <c r="F2235" s="19" t="str">
        <f>IFERROR(__xludf.DUMMYFUNCTION("""COMPUTED_VALUE"""),"BLACK")</f>
        <v>BLACK</v>
      </c>
      <c r="G2235" s="20" t="str">
        <f>IFERROR(__xludf.DUMMYFUNCTION("""COMPUTED_VALUE"""),"Uncle Sams Cider (04/04/2023)")</f>
        <v>Uncle Sams Cider (04/04/2023)</v>
      </c>
      <c r="H2235" s="19"/>
    </row>
    <row r="2236">
      <c r="A2236" s="9"/>
      <c r="B2236" s="15"/>
      <c r="C2236" s="9">
        <f>IFERROR(__xludf.DUMMYFUNCTION("""COMPUTED_VALUE"""),45121.2228969097)</f>
        <v>45121.2229</v>
      </c>
      <c r="D2236" s="15">
        <f>IFERROR(__xludf.DUMMYFUNCTION("""COMPUTED_VALUE"""),1.004)</f>
        <v>1.004</v>
      </c>
      <c r="E2236" s="16">
        <f>IFERROR(__xludf.DUMMYFUNCTION("""COMPUTED_VALUE"""),72.0)</f>
        <v>72</v>
      </c>
      <c r="F2236" s="19" t="str">
        <f>IFERROR(__xludf.DUMMYFUNCTION("""COMPUTED_VALUE"""),"BLACK")</f>
        <v>BLACK</v>
      </c>
      <c r="G2236" s="20" t="str">
        <f>IFERROR(__xludf.DUMMYFUNCTION("""COMPUTED_VALUE"""),"Uncle Sams Cider (04/04/2023)")</f>
        <v>Uncle Sams Cider (04/04/2023)</v>
      </c>
      <c r="H2236" s="19"/>
    </row>
    <row r="2237">
      <c r="A2237" s="9"/>
      <c r="B2237" s="15"/>
      <c r="C2237" s="9">
        <f>IFERROR(__xludf.DUMMYFUNCTION("""COMPUTED_VALUE"""),45121.2124736226)</f>
        <v>45121.21247</v>
      </c>
      <c r="D2237" s="15">
        <f>IFERROR(__xludf.DUMMYFUNCTION("""COMPUTED_VALUE"""),1.004)</f>
        <v>1.004</v>
      </c>
      <c r="E2237" s="16">
        <f>IFERROR(__xludf.DUMMYFUNCTION("""COMPUTED_VALUE"""),72.0)</f>
        <v>72</v>
      </c>
      <c r="F2237" s="19" t="str">
        <f>IFERROR(__xludf.DUMMYFUNCTION("""COMPUTED_VALUE"""),"BLACK")</f>
        <v>BLACK</v>
      </c>
      <c r="G2237" s="20" t="str">
        <f>IFERROR(__xludf.DUMMYFUNCTION("""COMPUTED_VALUE"""),"Uncle Sams Cider (04/04/2023)")</f>
        <v>Uncle Sams Cider (04/04/2023)</v>
      </c>
      <c r="H2237" s="19"/>
    </row>
    <row r="2238">
      <c r="A2238" s="9"/>
      <c r="B2238" s="15"/>
      <c r="C2238" s="9">
        <f>IFERROR(__xludf.DUMMYFUNCTION("""COMPUTED_VALUE"""),45121.2020514467)</f>
        <v>45121.20205</v>
      </c>
      <c r="D2238" s="15">
        <f>IFERROR(__xludf.DUMMYFUNCTION("""COMPUTED_VALUE"""),1.003)</f>
        <v>1.003</v>
      </c>
      <c r="E2238" s="16">
        <f>IFERROR(__xludf.DUMMYFUNCTION("""COMPUTED_VALUE"""),72.0)</f>
        <v>72</v>
      </c>
      <c r="F2238" s="19" t="str">
        <f>IFERROR(__xludf.DUMMYFUNCTION("""COMPUTED_VALUE"""),"BLACK")</f>
        <v>BLACK</v>
      </c>
      <c r="G2238" s="20" t="str">
        <f>IFERROR(__xludf.DUMMYFUNCTION("""COMPUTED_VALUE"""),"Uncle Sams Cider (04/04/2023)")</f>
        <v>Uncle Sams Cider (04/04/2023)</v>
      </c>
      <c r="H2238" s="19"/>
    </row>
    <row r="2239">
      <c r="A2239" s="9"/>
      <c r="B2239" s="15"/>
      <c r="C2239" s="9">
        <f>IFERROR(__xludf.DUMMYFUNCTION("""COMPUTED_VALUE"""),45121.1916305208)</f>
        <v>45121.19163</v>
      </c>
      <c r="D2239" s="15">
        <f>IFERROR(__xludf.DUMMYFUNCTION("""COMPUTED_VALUE"""),1.004)</f>
        <v>1.004</v>
      </c>
      <c r="E2239" s="16">
        <f>IFERROR(__xludf.DUMMYFUNCTION("""COMPUTED_VALUE"""),72.0)</f>
        <v>72</v>
      </c>
      <c r="F2239" s="19" t="str">
        <f>IFERROR(__xludf.DUMMYFUNCTION("""COMPUTED_VALUE"""),"BLACK")</f>
        <v>BLACK</v>
      </c>
      <c r="G2239" s="20" t="str">
        <f>IFERROR(__xludf.DUMMYFUNCTION("""COMPUTED_VALUE"""),"Uncle Sams Cider (04/04/2023)")</f>
        <v>Uncle Sams Cider (04/04/2023)</v>
      </c>
      <c r="H2239" s="19"/>
    </row>
    <row r="2240">
      <c r="A2240" s="9"/>
      <c r="B2240" s="15"/>
      <c r="C2240" s="9">
        <f>IFERROR(__xludf.DUMMYFUNCTION("""COMPUTED_VALUE"""),45121.1812102546)</f>
        <v>45121.18121</v>
      </c>
      <c r="D2240" s="15">
        <f>IFERROR(__xludf.DUMMYFUNCTION("""COMPUTED_VALUE"""),1.004)</f>
        <v>1.004</v>
      </c>
      <c r="E2240" s="16">
        <f>IFERROR(__xludf.DUMMYFUNCTION("""COMPUTED_VALUE"""),72.0)</f>
        <v>72</v>
      </c>
      <c r="F2240" s="19" t="str">
        <f>IFERROR(__xludf.DUMMYFUNCTION("""COMPUTED_VALUE"""),"BLACK")</f>
        <v>BLACK</v>
      </c>
      <c r="G2240" s="20" t="str">
        <f>IFERROR(__xludf.DUMMYFUNCTION("""COMPUTED_VALUE"""),"Uncle Sams Cider (04/04/2023)")</f>
        <v>Uncle Sams Cider (04/04/2023)</v>
      </c>
      <c r="H2240" s="19"/>
    </row>
    <row r="2241">
      <c r="A2241" s="9"/>
      <c r="B2241" s="15"/>
      <c r="C2241" s="9">
        <f>IFERROR(__xludf.DUMMYFUNCTION("""COMPUTED_VALUE"""),45121.1707880787)</f>
        <v>45121.17079</v>
      </c>
      <c r="D2241" s="15">
        <f>IFERROR(__xludf.DUMMYFUNCTION("""COMPUTED_VALUE"""),1.003)</f>
        <v>1.003</v>
      </c>
      <c r="E2241" s="16">
        <f>IFERROR(__xludf.DUMMYFUNCTION("""COMPUTED_VALUE"""),72.0)</f>
        <v>72</v>
      </c>
      <c r="F2241" s="19" t="str">
        <f>IFERROR(__xludf.DUMMYFUNCTION("""COMPUTED_VALUE"""),"BLACK")</f>
        <v>BLACK</v>
      </c>
      <c r="G2241" s="20" t="str">
        <f>IFERROR(__xludf.DUMMYFUNCTION("""COMPUTED_VALUE"""),"Uncle Sams Cider (04/04/2023)")</f>
        <v>Uncle Sams Cider (04/04/2023)</v>
      </c>
      <c r="H2241" s="19"/>
    </row>
    <row r="2242">
      <c r="A2242" s="9"/>
      <c r="B2242" s="15"/>
      <c r="C2242" s="9">
        <f>IFERROR(__xludf.DUMMYFUNCTION("""COMPUTED_VALUE"""),45121.1603559259)</f>
        <v>45121.16036</v>
      </c>
      <c r="D2242" s="15">
        <f>IFERROR(__xludf.DUMMYFUNCTION("""COMPUTED_VALUE"""),1.003)</f>
        <v>1.003</v>
      </c>
      <c r="E2242" s="16">
        <f>IFERROR(__xludf.DUMMYFUNCTION("""COMPUTED_VALUE"""),72.0)</f>
        <v>72</v>
      </c>
      <c r="F2242" s="19" t="str">
        <f>IFERROR(__xludf.DUMMYFUNCTION("""COMPUTED_VALUE"""),"BLACK")</f>
        <v>BLACK</v>
      </c>
      <c r="G2242" s="20" t="str">
        <f>IFERROR(__xludf.DUMMYFUNCTION("""COMPUTED_VALUE"""),"Uncle Sams Cider (04/04/2023)")</f>
        <v>Uncle Sams Cider (04/04/2023)</v>
      </c>
      <c r="H2242" s="19"/>
    </row>
    <row r="2243">
      <c r="A2243" s="9"/>
      <c r="B2243" s="15"/>
      <c r="C2243" s="9">
        <f>IFERROR(__xludf.DUMMYFUNCTION("""COMPUTED_VALUE"""),45121.1499246064)</f>
        <v>45121.14992</v>
      </c>
      <c r="D2243" s="15">
        <f>IFERROR(__xludf.DUMMYFUNCTION("""COMPUTED_VALUE"""),1.003)</f>
        <v>1.003</v>
      </c>
      <c r="E2243" s="16">
        <f>IFERROR(__xludf.DUMMYFUNCTION("""COMPUTED_VALUE"""),72.0)</f>
        <v>72</v>
      </c>
      <c r="F2243" s="19" t="str">
        <f>IFERROR(__xludf.DUMMYFUNCTION("""COMPUTED_VALUE"""),"BLACK")</f>
        <v>BLACK</v>
      </c>
      <c r="G2243" s="20" t="str">
        <f>IFERROR(__xludf.DUMMYFUNCTION("""COMPUTED_VALUE"""),"Uncle Sams Cider (04/04/2023)")</f>
        <v>Uncle Sams Cider (04/04/2023)</v>
      </c>
      <c r="H2243" s="19"/>
    </row>
    <row r="2244">
      <c r="A2244" s="9"/>
      <c r="B2244" s="15"/>
      <c r="C2244" s="9">
        <f>IFERROR(__xludf.DUMMYFUNCTION("""COMPUTED_VALUE"""),45121.1395022916)</f>
        <v>45121.1395</v>
      </c>
      <c r="D2244" s="15">
        <f>IFERROR(__xludf.DUMMYFUNCTION("""COMPUTED_VALUE"""),1.003)</f>
        <v>1.003</v>
      </c>
      <c r="E2244" s="16">
        <f>IFERROR(__xludf.DUMMYFUNCTION("""COMPUTED_VALUE"""),72.0)</f>
        <v>72</v>
      </c>
      <c r="F2244" s="19" t="str">
        <f>IFERROR(__xludf.DUMMYFUNCTION("""COMPUTED_VALUE"""),"BLACK")</f>
        <v>BLACK</v>
      </c>
      <c r="G2244" s="20" t="str">
        <f>IFERROR(__xludf.DUMMYFUNCTION("""COMPUTED_VALUE"""),"Uncle Sams Cider (04/04/2023)")</f>
        <v>Uncle Sams Cider (04/04/2023)</v>
      </c>
      <c r="H2244" s="19"/>
    </row>
    <row r="2245">
      <c r="A2245" s="9"/>
      <c r="B2245" s="15"/>
      <c r="C2245" s="9">
        <f>IFERROR(__xludf.DUMMYFUNCTION("""COMPUTED_VALUE"""),45121.1290812615)</f>
        <v>45121.12908</v>
      </c>
      <c r="D2245" s="15">
        <f>IFERROR(__xludf.DUMMYFUNCTION("""COMPUTED_VALUE"""),1.004)</f>
        <v>1.004</v>
      </c>
      <c r="E2245" s="16">
        <f>IFERROR(__xludf.DUMMYFUNCTION("""COMPUTED_VALUE"""),72.0)</f>
        <v>72</v>
      </c>
      <c r="F2245" s="19" t="str">
        <f>IFERROR(__xludf.DUMMYFUNCTION("""COMPUTED_VALUE"""),"BLACK")</f>
        <v>BLACK</v>
      </c>
      <c r="G2245" s="20" t="str">
        <f>IFERROR(__xludf.DUMMYFUNCTION("""COMPUTED_VALUE"""),"Uncle Sams Cider (04/04/2023)")</f>
        <v>Uncle Sams Cider (04/04/2023)</v>
      </c>
      <c r="H2245" s="19"/>
    </row>
    <row r="2246">
      <c r="A2246" s="9"/>
      <c r="B2246" s="15"/>
      <c r="C2246" s="9">
        <f>IFERROR(__xludf.DUMMYFUNCTION("""COMPUTED_VALUE"""),45121.1186485532)</f>
        <v>45121.11865</v>
      </c>
      <c r="D2246" s="15">
        <f>IFERROR(__xludf.DUMMYFUNCTION("""COMPUTED_VALUE"""),1.003)</f>
        <v>1.003</v>
      </c>
      <c r="E2246" s="16">
        <f>IFERROR(__xludf.DUMMYFUNCTION("""COMPUTED_VALUE"""),72.0)</f>
        <v>72</v>
      </c>
      <c r="F2246" s="19" t="str">
        <f>IFERROR(__xludf.DUMMYFUNCTION("""COMPUTED_VALUE"""),"BLACK")</f>
        <v>BLACK</v>
      </c>
      <c r="G2246" s="20" t="str">
        <f>IFERROR(__xludf.DUMMYFUNCTION("""COMPUTED_VALUE"""),"Uncle Sams Cider (04/04/2023)")</f>
        <v>Uncle Sams Cider (04/04/2023)</v>
      </c>
      <c r="H2246" s="19"/>
    </row>
    <row r="2247">
      <c r="A2247" s="9"/>
      <c r="B2247" s="15"/>
      <c r="C2247" s="9">
        <f>IFERROR(__xludf.DUMMYFUNCTION("""COMPUTED_VALUE"""),45121.1082270949)</f>
        <v>45121.10823</v>
      </c>
      <c r="D2247" s="15">
        <f>IFERROR(__xludf.DUMMYFUNCTION("""COMPUTED_VALUE"""),1.003)</f>
        <v>1.003</v>
      </c>
      <c r="E2247" s="16">
        <f>IFERROR(__xludf.DUMMYFUNCTION("""COMPUTED_VALUE"""),72.0)</f>
        <v>72</v>
      </c>
      <c r="F2247" s="19" t="str">
        <f>IFERROR(__xludf.DUMMYFUNCTION("""COMPUTED_VALUE"""),"BLACK")</f>
        <v>BLACK</v>
      </c>
      <c r="G2247" s="20" t="str">
        <f>IFERROR(__xludf.DUMMYFUNCTION("""COMPUTED_VALUE"""),"Uncle Sams Cider (04/04/2023)")</f>
        <v>Uncle Sams Cider (04/04/2023)</v>
      </c>
      <c r="H2247" s="19"/>
    </row>
    <row r="2248">
      <c r="A2248" s="9"/>
      <c r="B2248" s="15"/>
      <c r="C2248" s="9">
        <f>IFERROR(__xludf.DUMMYFUNCTION("""COMPUTED_VALUE"""),45121.0978053472)</f>
        <v>45121.09781</v>
      </c>
      <c r="D2248" s="15">
        <f>IFERROR(__xludf.DUMMYFUNCTION("""COMPUTED_VALUE"""),1.004)</f>
        <v>1.004</v>
      </c>
      <c r="E2248" s="16">
        <f>IFERROR(__xludf.DUMMYFUNCTION("""COMPUTED_VALUE"""),72.0)</f>
        <v>72</v>
      </c>
      <c r="F2248" s="19" t="str">
        <f>IFERROR(__xludf.DUMMYFUNCTION("""COMPUTED_VALUE"""),"BLACK")</f>
        <v>BLACK</v>
      </c>
      <c r="G2248" s="20" t="str">
        <f>IFERROR(__xludf.DUMMYFUNCTION("""COMPUTED_VALUE"""),"Uncle Sams Cider (04/04/2023)")</f>
        <v>Uncle Sams Cider (04/04/2023)</v>
      </c>
      <c r="H2248" s="19"/>
    </row>
    <row r="2249">
      <c r="A2249" s="9"/>
      <c r="B2249" s="15"/>
      <c r="C2249" s="9">
        <f>IFERROR(__xludf.DUMMYFUNCTION("""COMPUTED_VALUE"""),45121.0873737037)</f>
        <v>45121.08737</v>
      </c>
      <c r="D2249" s="15">
        <f>IFERROR(__xludf.DUMMYFUNCTION("""COMPUTED_VALUE"""),1.004)</f>
        <v>1.004</v>
      </c>
      <c r="E2249" s="16">
        <f>IFERROR(__xludf.DUMMYFUNCTION("""COMPUTED_VALUE"""),72.0)</f>
        <v>72</v>
      </c>
      <c r="F2249" s="19" t="str">
        <f>IFERROR(__xludf.DUMMYFUNCTION("""COMPUTED_VALUE"""),"BLACK")</f>
        <v>BLACK</v>
      </c>
      <c r="G2249" s="20" t="str">
        <f>IFERROR(__xludf.DUMMYFUNCTION("""COMPUTED_VALUE"""),"Uncle Sams Cider (04/04/2023)")</f>
        <v>Uncle Sams Cider (04/04/2023)</v>
      </c>
      <c r="H2249" s="19"/>
    </row>
    <row r="2250">
      <c r="A2250" s="9"/>
      <c r="B2250" s="15"/>
      <c r="C2250" s="9">
        <f>IFERROR(__xludf.DUMMYFUNCTION("""COMPUTED_VALUE"""),45121.0665221527)</f>
        <v>45121.06652</v>
      </c>
      <c r="D2250" s="15">
        <f>IFERROR(__xludf.DUMMYFUNCTION("""COMPUTED_VALUE"""),1.004)</f>
        <v>1.004</v>
      </c>
      <c r="E2250" s="16">
        <f>IFERROR(__xludf.DUMMYFUNCTION("""COMPUTED_VALUE"""),72.0)</f>
        <v>72</v>
      </c>
      <c r="F2250" s="19" t="str">
        <f>IFERROR(__xludf.DUMMYFUNCTION("""COMPUTED_VALUE"""),"BLACK")</f>
        <v>BLACK</v>
      </c>
      <c r="G2250" s="20" t="str">
        <f>IFERROR(__xludf.DUMMYFUNCTION("""COMPUTED_VALUE"""),"Uncle Sams Cider (04/04/2023)")</f>
        <v>Uncle Sams Cider (04/04/2023)</v>
      </c>
      <c r="H2250" s="19"/>
    </row>
    <row r="2251">
      <c r="A2251" s="9"/>
      <c r="B2251" s="15"/>
      <c r="C2251" s="9">
        <f>IFERROR(__xludf.DUMMYFUNCTION("""COMPUTED_VALUE"""),45121.0560879745)</f>
        <v>45121.05609</v>
      </c>
      <c r="D2251" s="15">
        <f>IFERROR(__xludf.DUMMYFUNCTION("""COMPUTED_VALUE"""),1.004)</f>
        <v>1.004</v>
      </c>
      <c r="E2251" s="16">
        <f>IFERROR(__xludf.DUMMYFUNCTION("""COMPUTED_VALUE"""),72.0)</f>
        <v>72</v>
      </c>
      <c r="F2251" s="19" t="str">
        <f>IFERROR(__xludf.DUMMYFUNCTION("""COMPUTED_VALUE"""),"BLACK")</f>
        <v>BLACK</v>
      </c>
      <c r="G2251" s="20" t="str">
        <f>IFERROR(__xludf.DUMMYFUNCTION("""COMPUTED_VALUE"""),"Uncle Sams Cider (04/04/2023)")</f>
        <v>Uncle Sams Cider (04/04/2023)</v>
      </c>
      <c r="H2251" s="19"/>
    </row>
    <row r="2252">
      <c r="A2252" s="9"/>
      <c r="B2252" s="15"/>
      <c r="C2252" s="9">
        <f>IFERROR(__xludf.DUMMYFUNCTION("""COMPUTED_VALUE"""),45121.0456663773)</f>
        <v>45121.04567</v>
      </c>
      <c r="D2252" s="15">
        <f>IFERROR(__xludf.DUMMYFUNCTION("""COMPUTED_VALUE"""),1.003)</f>
        <v>1.003</v>
      </c>
      <c r="E2252" s="16">
        <f>IFERROR(__xludf.DUMMYFUNCTION("""COMPUTED_VALUE"""),72.0)</f>
        <v>72</v>
      </c>
      <c r="F2252" s="19" t="str">
        <f>IFERROR(__xludf.DUMMYFUNCTION("""COMPUTED_VALUE"""),"BLACK")</f>
        <v>BLACK</v>
      </c>
      <c r="G2252" s="20" t="str">
        <f>IFERROR(__xludf.DUMMYFUNCTION("""COMPUTED_VALUE"""),"Uncle Sams Cider (04/04/2023)")</f>
        <v>Uncle Sams Cider (04/04/2023)</v>
      </c>
      <c r="H2252" s="19"/>
    </row>
    <row r="2253">
      <c r="A2253" s="9"/>
      <c r="B2253" s="15"/>
      <c r="C2253" s="9">
        <f>IFERROR(__xludf.DUMMYFUNCTION("""COMPUTED_VALUE"""),45121.0352442708)</f>
        <v>45121.03524</v>
      </c>
      <c r="D2253" s="15">
        <f>IFERROR(__xludf.DUMMYFUNCTION("""COMPUTED_VALUE"""),1.003)</f>
        <v>1.003</v>
      </c>
      <c r="E2253" s="16">
        <f>IFERROR(__xludf.DUMMYFUNCTION("""COMPUTED_VALUE"""),72.0)</f>
        <v>72</v>
      </c>
      <c r="F2253" s="19" t="str">
        <f>IFERROR(__xludf.DUMMYFUNCTION("""COMPUTED_VALUE"""),"BLACK")</f>
        <v>BLACK</v>
      </c>
      <c r="G2253" s="20" t="str">
        <f>IFERROR(__xludf.DUMMYFUNCTION("""COMPUTED_VALUE"""),"Uncle Sams Cider (04/04/2023)")</f>
        <v>Uncle Sams Cider (04/04/2023)</v>
      </c>
      <c r="H2253" s="19"/>
    </row>
    <row r="2254">
      <c r="A2254" s="9"/>
      <c r="B2254" s="15"/>
      <c r="C2254" s="9">
        <f>IFERROR(__xludf.DUMMYFUNCTION("""COMPUTED_VALUE"""),45121.0248206713)</f>
        <v>45121.02482</v>
      </c>
      <c r="D2254" s="15">
        <f>IFERROR(__xludf.DUMMYFUNCTION("""COMPUTED_VALUE"""),1.004)</f>
        <v>1.004</v>
      </c>
      <c r="E2254" s="16">
        <f>IFERROR(__xludf.DUMMYFUNCTION("""COMPUTED_VALUE"""),72.0)</f>
        <v>72</v>
      </c>
      <c r="F2254" s="19" t="str">
        <f>IFERROR(__xludf.DUMMYFUNCTION("""COMPUTED_VALUE"""),"BLACK")</f>
        <v>BLACK</v>
      </c>
      <c r="G2254" s="20" t="str">
        <f>IFERROR(__xludf.DUMMYFUNCTION("""COMPUTED_VALUE"""),"Uncle Sams Cider (04/04/2023)")</f>
        <v>Uncle Sams Cider (04/04/2023)</v>
      </c>
      <c r="H2254" s="19"/>
    </row>
    <row r="2255">
      <c r="A2255" s="9"/>
      <c r="B2255" s="15"/>
      <c r="C2255" s="9">
        <f>IFERROR(__xludf.DUMMYFUNCTION("""COMPUTED_VALUE"""),45121.0143991898)</f>
        <v>45121.0144</v>
      </c>
      <c r="D2255" s="15">
        <f>IFERROR(__xludf.DUMMYFUNCTION("""COMPUTED_VALUE"""),1.004)</f>
        <v>1.004</v>
      </c>
      <c r="E2255" s="16">
        <f>IFERROR(__xludf.DUMMYFUNCTION("""COMPUTED_VALUE"""),72.0)</f>
        <v>72</v>
      </c>
      <c r="F2255" s="19" t="str">
        <f>IFERROR(__xludf.DUMMYFUNCTION("""COMPUTED_VALUE"""),"BLACK")</f>
        <v>BLACK</v>
      </c>
      <c r="G2255" s="20" t="str">
        <f>IFERROR(__xludf.DUMMYFUNCTION("""COMPUTED_VALUE"""),"Uncle Sams Cider (04/04/2023)")</f>
        <v>Uncle Sams Cider (04/04/2023)</v>
      </c>
      <c r="H2255" s="19"/>
    </row>
    <row r="2256">
      <c r="A2256" s="9"/>
      <c r="B2256" s="15"/>
      <c r="C2256" s="9">
        <f>IFERROR(__xludf.DUMMYFUNCTION("""COMPUTED_VALUE"""),45121.0039675)</f>
        <v>45121.00397</v>
      </c>
      <c r="D2256" s="15">
        <f>IFERROR(__xludf.DUMMYFUNCTION("""COMPUTED_VALUE"""),1.004)</f>
        <v>1.004</v>
      </c>
      <c r="E2256" s="16">
        <f>IFERROR(__xludf.DUMMYFUNCTION("""COMPUTED_VALUE"""),72.0)</f>
        <v>72</v>
      </c>
      <c r="F2256" s="19" t="str">
        <f>IFERROR(__xludf.DUMMYFUNCTION("""COMPUTED_VALUE"""),"BLACK")</f>
        <v>BLACK</v>
      </c>
      <c r="G2256" s="20" t="str">
        <f>IFERROR(__xludf.DUMMYFUNCTION("""COMPUTED_VALUE"""),"Uncle Sams Cider (04/04/2023)")</f>
        <v>Uncle Sams Cider (04/04/2023)</v>
      </c>
      <c r="H2256" s="19"/>
    </row>
    <row r="2257">
      <c r="A2257" s="9"/>
      <c r="B2257" s="15"/>
      <c r="C2257" s="9">
        <f>IFERROR(__xludf.DUMMYFUNCTION("""COMPUTED_VALUE"""),45120.9935356481)</f>
        <v>45120.99354</v>
      </c>
      <c r="D2257" s="15">
        <f>IFERROR(__xludf.DUMMYFUNCTION("""COMPUTED_VALUE"""),1.003)</f>
        <v>1.003</v>
      </c>
      <c r="E2257" s="16">
        <f>IFERROR(__xludf.DUMMYFUNCTION("""COMPUTED_VALUE"""),72.0)</f>
        <v>72</v>
      </c>
      <c r="F2257" s="19" t="str">
        <f>IFERROR(__xludf.DUMMYFUNCTION("""COMPUTED_VALUE"""),"BLACK")</f>
        <v>BLACK</v>
      </c>
      <c r="G2257" s="20" t="str">
        <f>IFERROR(__xludf.DUMMYFUNCTION("""COMPUTED_VALUE"""),"Uncle Sams Cider (04/04/2023)")</f>
        <v>Uncle Sams Cider (04/04/2023)</v>
      </c>
      <c r="H2257" s="19"/>
    </row>
    <row r="2258">
      <c r="A2258" s="9"/>
      <c r="B2258" s="15"/>
      <c r="C2258" s="9">
        <f>IFERROR(__xludf.DUMMYFUNCTION("""COMPUTED_VALUE"""),45120.9831130092)</f>
        <v>45120.98311</v>
      </c>
      <c r="D2258" s="15">
        <f>IFERROR(__xludf.DUMMYFUNCTION("""COMPUTED_VALUE"""),1.003)</f>
        <v>1.003</v>
      </c>
      <c r="E2258" s="16">
        <f>IFERROR(__xludf.DUMMYFUNCTION("""COMPUTED_VALUE"""),72.0)</f>
        <v>72</v>
      </c>
      <c r="F2258" s="19" t="str">
        <f>IFERROR(__xludf.DUMMYFUNCTION("""COMPUTED_VALUE"""),"BLACK")</f>
        <v>BLACK</v>
      </c>
      <c r="G2258" s="20" t="str">
        <f>IFERROR(__xludf.DUMMYFUNCTION("""COMPUTED_VALUE"""),"Uncle Sams Cider (04/04/2023)")</f>
        <v>Uncle Sams Cider (04/04/2023)</v>
      </c>
      <c r="H2258" s="19"/>
    </row>
    <row r="2259">
      <c r="A2259" s="9"/>
      <c r="B2259" s="15"/>
      <c r="C2259" s="9">
        <f>IFERROR(__xludf.DUMMYFUNCTION("""COMPUTED_VALUE"""),45120.9726801967)</f>
        <v>45120.97268</v>
      </c>
      <c r="D2259" s="15">
        <f>IFERROR(__xludf.DUMMYFUNCTION("""COMPUTED_VALUE"""),1.003)</f>
        <v>1.003</v>
      </c>
      <c r="E2259" s="16">
        <f>IFERROR(__xludf.DUMMYFUNCTION("""COMPUTED_VALUE"""),72.0)</f>
        <v>72</v>
      </c>
      <c r="F2259" s="19" t="str">
        <f>IFERROR(__xludf.DUMMYFUNCTION("""COMPUTED_VALUE"""),"BLACK")</f>
        <v>BLACK</v>
      </c>
      <c r="G2259" s="20" t="str">
        <f>IFERROR(__xludf.DUMMYFUNCTION("""COMPUTED_VALUE"""),"Uncle Sams Cider (04/04/2023)")</f>
        <v>Uncle Sams Cider (04/04/2023)</v>
      </c>
      <c r="H2259" s="19"/>
    </row>
    <row r="2260">
      <c r="A2260" s="9"/>
      <c r="B2260" s="15"/>
      <c r="C2260" s="9">
        <f>IFERROR(__xludf.DUMMYFUNCTION("""COMPUTED_VALUE"""),45120.9622598263)</f>
        <v>45120.96226</v>
      </c>
      <c r="D2260" s="15">
        <f>IFERROR(__xludf.DUMMYFUNCTION("""COMPUTED_VALUE"""),1.004)</f>
        <v>1.004</v>
      </c>
      <c r="E2260" s="16">
        <f>IFERROR(__xludf.DUMMYFUNCTION("""COMPUTED_VALUE"""),72.0)</f>
        <v>72</v>
      </c>
      <c r="F2260" s="19" t="str">
        <f>IFERROR(__xludf.DUMMYFUNCTION("""COMPUTED_VALUE"""),"BLACK")</f>
        <v>BLACK</v>
      </c>
      <c r="G2260" s="20" t="str">
        <f>IFERROR(__xludf.DUMMYFUNCTION("""COMPUTED_VALUE"""),"Uncle Sams Cider (04/04/2023)")</f>
        <v>Uncle Sams Cider (04/04/2023)</v>
      </c>
      <c r="H2260" s="19"/>
    </row>
    <row r="2261">
      <c r="A2261" s="9"/>
      <c r="B2261" s="15"/>
      <c r="C2261" s="9">
        <f>IFERROR(__xludf.DUMMYFUNCTION("""COMPUTED_VALUE"""),45120.95183978)</f>
        <v>45120.95184</v>
      </c>
      <c r="D2261" s="15">
        <f>IFERROR(__xludf.DUMMYFUNCTION("""COMPUTED_VALUE"""),1.003)</f>
        <v>1.003</v>
      </c>
      <c r="E2261" s="16">
        <f>IFERROR(__xludf.DUMMYFUNCTION("""COMPUTED_VALUE"""),72.0)</f>
        <v>72</v>
      </c>
      <c r="F2261" s="19" t="str">
        <f>IFERROR(__xludf.DUMMYFUNCTION("""COMPUTED_VALUE"""),"BLACK")</f>
        <v>BLACK</v>
      </c>
      <c r="G2261" s="20" t="str">
        <f>IFERROR(__xludf.DUMMYFUNCTION("""COMPUTED_VALUE"""),"Uncle Sams Cider (04/04/2023)")</f>
        <v>Uncle Sams Cider (04/04/2023)</v>
      </c>
      <c r="H2261" s="19"/>
    </row>
    <row r="2262">
      <c r="A2262" s="9"/>
      <c r="B2262" s="15"/>
      <c r="C2262" s="9">
        <f>IFERROR(__xludf.DUMMYFUNCTION("""COMPUTED_VALUE"""),45120.9414192476)</f>
        <v>45120.94142</v>
      </c>
      <c r="D2262" s="15">
        <f>IFERROR(__xludf.DUMMYFUNCTION("""COMPUTED_VALUE"""),1.004)</f>
        <v>1.004</v>
      </c>
      <c r="E2262" s="16">
        <f>IFERROR(__xludf.DUMMYFUNCTION("""COMPUTED_VALUE"""),72.0)</f>
        <v>72</v>
      </c>
      <c r="F2262" s="19" t="str">
        <f>IFERROR(__xludf.DUMMYFUNCTION("""COMPUTED_VALUE"""),"BLACK")</f>
        <v>BLACK</v>
      </c>
      <c r="G2262" s="20" t="str">
        <f>IFERROR(__xludf.DUMMYFUNCTION("""COMPUTED_VALUE"""),"Uncle Sams Cider (04/04/2023)")</f>
        <v>Uncle Sams Cider (04/04/2023)</v>
      </c>
      <c r="H2262" s="19"/>
    </row>
    <row r="2263">
      <c r="A2263" s="9"/>
      <c r="B2263" s="15"/>
      <c r="C2263" s="9">
        <f>IFERROR(__xludf.DUMMYFUNCTION("""COMPUTED_VALUE"""),45120.9309843402)</f>
        <v>45120.93098</v>
      </c>
      <c r="D2263" s="15">
        <f>IFERROR(__xludf.DUMMYFUNCTION("""COMPUTED_VALUE"""),1.004)</f>
        <v>1.004</v>
      </c>
      <c r="E2263" s="16">
        <f>IFERROR(__xludf.DUMMYFUNCTION("""COMPUTED_VALUE"""),72.0)</f>
        <v>72</v>
      </c>
      <c r="F2263" s="19" t="str">
        <f>IFERROR(__xludf.DUMMYFUNCTION("""COMPUTED_VALUE"""),"BLACK")</f>
        <v>BLACK</v>
      </c>
      <c r="G2263" s="20" t="str">
        <f>IFERROR(__xludf.DUMMYFUNCTION("""COMPUTED_VALUE"""),"Uncle Sams Cider (04/04/2023)")</f>
        <v>Uncle Sams Cider (04/04/2023)</v>
      </c>
      <c r="H2263" s="19"/>
    </row>
    <row r="2264">
      <c r="A2264" s="9"/>
      <c r="B2264" s="15"/>
      <c r="C2264" s="9">
        <f>IFERROR(__xludf.DUMMYFUNCTION("""COMPUTED_VALUE"""),45120.9205628588)</f>
        <v>45120.92056</v>
      </c>
      <c r="D2264" s="15">
        <f>IFERROR(__xludf.DUMMYFUNCTION("""COMPUTED_VALUE"""),1.003)</f>
        <v>1.003</v>
      </c>
      <c r="E2264" s="16">
        <f>IFERROR(__xludf.DUMMYFUNCTION("""COMPUTED_VALUE"""),72.0)</f>
        <v>72</v>
      </c>
      <c r="F2264" s="19" t="str">
        <f>IFERROR(__xludf.DUMMYFUNCTION("""COMPUTED_VALUE"""),"BLACK")</f>
        <v>BLACK</v>
      </c>
      <c r="G2264" s="20" t="str">
        <f>IFERROR(__xludf.DUMMYFUNCTION("""COMPUTED_VALUE"""),"Uncle Sams Cider (04/04/2023)")</f>
        <v>Uncle Sams Cider (04/04/2023)</v>
      </c>
      <c r="H2264" s="19"/>
    </row>
    <row r="2265">
      <c r="A2265" s="9"/>
      <c r="B2265" s="15"/>
      <c r="C2265" s="9">
        <f>IFERROR(__xludf.DUMMYFUNCTION("""COMPUTED_VALUE"""),45120.9101413773)</f>
        <v>45120.91014</v>
      </c>
      <c r="D2265" s="15">
        <f>IFERROR(__xludf.DUMMYFUNCTION("""COMPUTED_VALUE"""),1.004)</f>
        <v>1.004</v>
      </c>
      <c r="E2265" s="16">
        <f>IFERROR(__xludf.DUMMYFUNCTION("""COMPUTED_VALUE"""),72.0)</f>
        <v>72</v>
      </c>
      <c r="F2265" s="19" t="str">
        <f>IFERROR(__xludf.DUMMYFUNCTION("""COMPUTED_VALUE"""),"BLACK")</f>
        <v>BLACK</v>
      </c>
      <c r="G2265" s="20" t="str">
        <f>IFERROR(__xludf.DUMMYFUNCTION("""COMPUTED_VALUE"""),"Uncle Sams Cider (04/04/2023)")</f>
        <v>Uncle Sams Cider (04/04/2023)</v>
      </c>
      <c r="H2265" s="19"/>
    </row>
    <row r="2266">
      <c r="A2266" s="9"/>
      <c r="B2266" s="15"/>
      <c r="C2266" s="9">
        <f>IFERROR(__xludf.DUMMYFUNCTION("""COMPUTED_VALUE"""),45120.8997177893)</f>
        <v>45120.89972</v>
      </c>
      <c r="D2266" s="15">
        <f>IFERROR(__xludf.DUMMYFUNCTION("""COMPUTED_VALUE"""),1.004)</f>
        <v>1.004</v>
      </c>
      <c r="E2266" s="16">
        <f>IFERROR(__xludf.DUMMYFUNCTION("""COMPUTED_VALUE"""),72.0)</f>
        <v>72</v>
      </c>
      <c r="F2266" s="19" t="str">
        <f>IFERROR(__xludf.DUMMYFUNCTION("""COMPUTED_VALUE"""),"BLACK")</f>
        <v>BLACK</v>
      </c>
      <c r="G2266" s="20" t="str">
        <f>IFERROR(__xludf.DUMMYFUNCTION("""COMPUTED_VALUE"""),"Uncle Sams Cider (04/04/2023)")</f>
        <v>Uncle Sams Cider (04/04/2023)</v>
      </c>
      <c r="H2266" s="19"/>
    </row>
    <row r="2267">
      <c r="A2267" s="9"/>
      <c r="B2267" s="15"/>
      <c r="C2267" s="9">
        <f>IFERROR(__xludf.DUMMYFUNCTION("""COMPUTED_VALUE"""),45120.8892979629)</f>
        <v>45120.8893</v>
      </c>
      <c r="D2267" s="15">
        <f>IFERROR(__xludf.DUMMYFUNCTION("""COMPUTED_VALUE"""),1.003)</f>
        <v>1.003</v>
      </c>
      <c r="E2267" s="16">
        <f>IFERROR(__xludf.DUMMYFUNCTION("""COMPUTED_VALUE"""),72.0)</f>
        <v>72</v>
      </c>
      <c r="F2267" s="19" t="str">
        <f>IFERROR(__xludf.DUMMYFUNCTION("""COMPUTED_VALUE"""),"BLACK")</f>
        <v>BLACK</v>
      </c>
      <c r="G2267" s="20" t="str">
        <f>IFERROR(__xludf.DUMMYFUNCTION("""COMPUTED_VALUE"""),"Uncle Sams Cider (04/04/2023)")</f>
        <v>Uncle Sams Cider (04/04/2023)</v>
      </c>
      <c r="H2267" s="19"/>
    </row>
    <row r="2268">
      <c r="A2268" s="9"/>
      <c r="B2268" s="15"/>
      <c r="C2268" s="9">
        <f>IFERROR(__xludf.DUMMYFUNCTION("""COMPUTED_VALUE"""),45120.8788644097)</f>
        <v>45120.87886</v>
      </c>
      <c r="D2268" s="15">
        <f>IFERROR(__xludf.DUMMYFUNCTION("""COMPUTED_VALUE"""),1.004)</f>
        <v>1.004</v>
      </c>
      <c r="E2268" s="16">
        <f>IFERROR(__xludf.DUMMYFUNCTION("""COMPUTED_VALUE"""),72.0)</f>
        <v>72</v>
      </c>
      <c r="F2268" s="19" t="str">
        <f>IFERROR(__xludf.DUMMYFUNCTION("""COMPUTED_VALUE"""),"BLACK")</f>
        <v>BLACK</v>
      </c>
      <c r="G2268" s="20" t="str">
        <f>IFERROR(__xludf.DUMMYFUNCTION("""COMPUTED_VALUE"""),"Uncle Sams Cider (04/04/2023)")</f>
        <v>Uncle Sams Cider (04/04/2023)</v>
      </c>
      <c r="H2268" s="19"/>
    </row>
    <row r="2269">
      <c r="A2269" s="9"/>
      <c r="B2269" s="15"/>
      <c r="C2269" s="9">
        <f>IFERROR(__xludf.DUMMYFUNCTION("""COMPUTED_VALUE"""),45120.8684426504)</f>
        <v>45120.86844</v>
      </c>
      <c r="D2269" s="15">
        <f>IFERROR(__xludf.DUMMYFUNCTION("""COMPUTED_VALUE"""),1.004)</f>
        <v>1.004</v>
      </c>
      <c r="E2269" s="16">
        <f>IFERROR(__xludf.DUMMYFUNCTION("""COMPUTED_VALUE"""),72.0)</f>
        <v>72</v>
      </c>
      <c r="F2269" s="19" t="str">
        <f>IFERROR(__xludf.DUMMYFUNCTION("""COMPUTED_VALUE"""),"BLACK")</f>
        <v>BLACK</v>
      </c>
      <c r="G2269" s="20" t="str">
        <f>IFERROR(__xludf.DUMMYFUNCTION("""COMPUTED_VALUE"""),"Uncle Sams Cider (04/04/2023)")</f>
        <v>Uncle Sams Cider (04/04/2023)</v>
      </c>
      <c r="H2269" s="19"/>
    </row>
    <row r="2270">
      <c r="A2270" s="9"/>
      <c r="B2270" s="15"/>
      <c r="C2270" s="9">
        <f>IFERROR(__xludf.DUMMYFUNCTION("""COMPUTED_VALUE"""),45120.8580212731)</f>
        <v>45120.85802</v>
      </c>
      <c r="D2270" s="15">
        <f>IFERROR(__xludf.DUMMYFUNCTION("""COMPUTED_VALUE"""),1.003)</f>
        <v>1.003</v>
      </c>
      <c r="E2270" s="16">
        <f>IFERROR(__xludf.DUMMYFUNCTION("""COMPUTED_VALUE"""),72.0)</f>
        <v>72</v>
      </c>
      <c r="F2270" s="19" t="str">
        <f>IFERROR(__xludf.DUMMYFUNCTION("""COMPUTED_VALUE"""),"BLACK")</f>
        <v>BLACK</v>
      </c>
      <c r="G2270" s="20" t="str">
        <f>IFERROR(__xludf.DUMMYFUNCTION("""COMPUTED_VALUE"""),"Uncle Sams Cider (04/04/2023)")</f>
        <v>Uncle Sams Cider (04/04/2023)</v>
      </c>
      <c r="H2270" s="19"/>
    </row>
    <row r="2271">
      <c r="A2271" s="9"/>
      <c r="B2271" s="15"/>
      <c r="C2271" s="9">
        <f>IFERROR(__xludf.DUMMYFUNCTION("""COMPUTED_VALUE"""),45120.8475877777)</f>
        <v>45120.84759</v>
      </c>
      <c r="D2271" s="15">
        <f>IFERROR(__xludf.DUMMYFUNCTION("""COMPUTED_VALUE"""),1.003)</f>
        <v>1.003</v>
      </c>
      <c r="E2271" s="16">
        <f>IFERROR(__xludf.DUMMYFUNCTION("""COMPUTED_VALUE"""),72.0)</f>
        <v>72</v>
      </c>
      <c r="F2271" s="19" t="str">
        <f>IFERROR(__xludf.DUMMYFUNCTION("""COMPUTED_VALUE"""),"BLACK")</f>
        <v>BLACK</v>
      </c>
      <c r="G2271" s="20" t="str">
        <f>IFERROR(__xludf.DUMMYFUNCTION("""COMPUTED_VALUE"""),"Uncle Sams Cider (04/04/2023)")</f>
        <v>Uncle Sams Cider (04/04/2023)</v>
      </c>
      <c r="H2271" s="19"/>
    </row>
    <row r="2272">
      <c r="A2272" s="9"/>
      <c r="B2272" s="15"/>
      <c r="C2272" s="9">
        <f>IFERROR(__xludf.DUMMYFUNCTION("""COMPUTED_VALUE"""),45120.8371671412)</f>
        <v>45120.83717</v>
      </c>
      <c r="D2272" s="15">
        <f>IFERROR(__xludf.DUMMYFUNCTION("""COMPUTED_VALUE"""),1.003)</f>
        <v>1.003</v>
      </c>
      <c r="E2272" s="16">
        <f>IFERROR(__xludf.DUMMYFUNCTION("""COMPUTED_VALUE"""),72.0)</f>
        <v>72</v>
      </c>
      <c r="F2272" s="19" t="str">
        <f>IFERROR(__xludf.DUMMYFUNCTION("""COMPUTED_VALUE"""),"BLACK")</f>
        <v>BLACK</v>
      </c>
      <c r="G2272" s="20" t="str">
        <f>IFERROR(__xludf.DUMMYFUNCTION("""COMPUTED_VALUE"""),"Uncle Sams Cider (04/04/2023)")</f>
        <v>Uncle Sams Cider (04/04/2023)</v>
      </c>
      <c r="H2272" s="19"/>
    </row>
    <row r="2273">
      <c r="A2273" s="9"/>
      <c r="B2273" s="15"/>
      <c r="C2273" s="9">
        <f>IFERROR(__xludf.DUMMYFUNCTION("""COMPUTED_VALUE"""),45120.8267464699)</f>
        <v>45120.82675</v>
      </c>
      <c r="D2273" s="15">
        <f>IFERROR(__xludf.DUMMYFUNCTION("""COMPUTED_VALUE"""),1.003)</f>
        <v>1.003</v>
      </c>
      <c r="E2273" s="16">
        <f>IFERROR(__xludf.DUMMYFUNCTION("""COMPUTED_VALUE"""),72.0)</f>
        <v>72</v>
      </c>
      <c r="F2273" s="19" t="str">
        <f>IFERROR(__xludf.DUMMYFUNCTION("""COMPUTED_VALUE"""),"BLACK")</f>
        <v>BLACK</v>
      </c>
      <c r="G2273" s="20" t="str">
        <f>IFERROR(__xludf.DUMMYFUNCTION("""COMPUTED_VALUE"""),"Uncle Sams Cider (04/04/2023)")</f>
        <v>Uncle Sams Cider (04/04/2023)</v>
      </c>
      <c r="H2273" s="19"/>
    </row>
    <row r="2274">
      <c r="A2274" s="9"/>
      <c r="B2274" s="15"/>
      <c r="C2274" s="9">
        <f>IFERROR(__xludf.DUMMYFUNCTION("""COMPUTED_VALUE"""),45120.8163273379)</f>
        <v>45120.81633</v>
      </c>
      <c r="D2274" s="15">
        <f>IFERROR(__xludf.DUMMYFUNCTION("""COMPUTED_VALUE"""),1.004)</f>
        <v>1.004</v>
      </c>
      <c r="E2274" s="16">
        <f>IFERROR(__xludf.DUMMYFUNCTION("""COMPUTED_VALUE"""),72.0)</f>
        <v>72</v>
      </c>
      <c r="F2274" s="19" t="str">
        <f>IFERROR(__xludf.DUMMYFUNCTION("""COMPUTED_VALUE"""),"BLACK")</f>
        <v>BLACK</v>
      </c>
      <c r="G2274" s="20" t="str">
        <f>IFERROR(__xludf.DUMMYFUNCTION("""COMPUTED_VALUE"""),"Uncle Sams Cider (04/04/2023)")</f>
        <v>Uncle Sams Cider (04/04/2023)</v>
      </c>
      <c r="H2274" s="19"/>
    </row>
    <row r="2275">
      <c r="A2275" s="9"/>
      <c r="B2275" s="15"/>
      <c r="C2275" s="9">
        <f>IFERROR(__xludf.DUMMYFUNCTION("""COMPUTED_VALUE"""),45120.8059037152)</f>
        <v>45120.8059</v>
      </c>
      <c r="D2275" s="15">
        <f>IFERROR(__xludf.DUMMYFUNCTION("""COMPUTED_VALUE"""),1.003)</f>
        <v>1.003</v>
      </c>
      <c r="E2275" s="16">
        <f>IFERROR(__xludf.DUMMYFUNCTION("""COMPUTED_VALUE"""),72.0)</f>
        <v>72</v>
      </c>
      <c r="F2275" s="19" t="str">
        <f>IFERROR(__xludf.DUMMYFUNCTION("""COMPUTED_VALUE"""),"BLACK")</f>
        <v>BLACK</v>
      </c>
      <c r="G2275" s="20" t="str">
        <f>IFERROR(__xludf.DUMMYFUNCTION("""COMPUTED_VALUE"""),"Uncle Sams Cider (04/04/2023)")</f>
        <v>Uncle Sams Cider (04/04/2023)</v>
      </c>
      <c r="H2275" s="19"/>
    </row>
    <row r="2276">
      <c r="A2276" s="9"/>
      <c r="B2276" s="15"/>
      <c r="C2276" s="9">
        <f>IFERROR(__xludf.DUMMYFUNCTION("""COMPUTED_VALUE"""),45120.7954712037)</f>
        <v>45120.79547</v>
      </c>
      <c r="D2276" s="15">
        <f>IFERROR(__xludf.DUMMYFUNCTION("""COMPUTED_VALUE"""),1.003)</f>
        <v>1.003</v>
      </c>
      <c r="E2276" s="16">
        <f>IFERROR(__xludf.DUMMYFUNCTION("""COMPUTED_VALUE"""),72.0)</f>
        <v>72</v>
      </c>
      <c r="F2276" s="19" t="str">
        <f>IFERROR(__xludf.DUMMYFUNCTION("""COMPUTED_VALUE"""),"BLACK")</f>
        <v>BLACK</v>
      </c>
      <c r="G2276" s="20" t="str">
        <f>IFERROR(__xludf.DUMMYFUNCTION("""COMPUTED_VALUE"""),"Uncle Sams Cider (04/04/2023)")</f>
        <v>Uncle Sams Cider (04/04/2023)</v>
      </c>
      <c r="H2276" s="19"/>
    </row>
    <row r="2277">
      <c r="A2277" s="9"/>
      <c r="B2277" s="15"/>
      <c r="C2277" s="9">
        <f>IFERROR(__xludf.DUMMYFUNCTION("""COMPUTED_VALUE"""),45120.7850496527)</f>
        <v>45120.78505</v>
      </c>
      <c r="D2277" s="15">
        <f>IFERROR(__xludf.DUMMYFUNCTION("""COMPUTED_VALUE"""),1.004)</f>
        <v>1.004</v>
      </c>
      <c r="E2277" s="16">
        <f>IFERROR(__xludf.DUMMYFUNCTION("""COMPUTED_VALUE"""),72.0)</f>
        <v>72</v>
      </c>
      <c r="F2277" s="19" t="str">
        <f>IFERROR(__xludf.DUMMYFUNCTION("""COMPUTED_VALUE"""),"BLACK")</f>
        <v>BLACK</v>
      </c>
      <c r="G2277" s="20" t="str">
        <f>IFERROR(__xludf.DUMMYFUNCTION("""COMPUTED_VALUE"""),"Uncle Sams Cider (04/04/2023)")</f>
        <v>Uncle Sams Cider (04/04/2023)</v>
      </c>
      <c r="H2277" s="19"/>
    </row>
    <row r="2278">
      <c r="A2278" s="9"/>
      <c r="B2278" s="15"/>
      <c r="C2278" s="9">
        <f>IFERROR(__xludf.DUMMYFUNCTION("""COMPUTED_VALUE"""),45120.7746287615)</f>
        <v>45120.77463</v>
      </c>
      <c r="D2278" s="15">
        <f>IFERROR(__xludf.DUMMYFUNCTION("""COMPUTED_VALUE"""),1.003)</f>
        <v>1.003</v>
      </c>
      <c r="E2278" s="16">
        <f>IFERROR(__xludf.DUMMYFUNCTION("""COMPUTED_VALUE"""),72.0)</f>
        <v>72</v>
      </c>
      <c r="F2278" s="19" t="str">
        <f>IFERROR(__xludf.DUMMYFUNCTION("""COMPUTED_VALUE"""),"BLACK")</f>
        <v>BLACK</v>
      </c>
      <c r="G2278" s="20" t="str">
        <f>IFERROR(__xludf.DUMMYFUNCTION("""COMPUTED_VALUE"""),"Uncle Sams Cider (04/04/2023)")</f>
        <v>Uncle Sams Cider (04/04/2023)</v>
      </c>
      <c r="H2278" s="19"/>
    </row>
    <row r="2279">
      <c r="A2279" s="9"/>
      <c r="B2279" s="15"/>
      <c r="C2279" s="9">
        <f>IFERROR(__xludf.DUMMYFUNCTION("""COMPUTED_VALUE"""),45120.7642073611)</f>
        <v>45120.76421</v>
      </c>
      <c r="D2279" s="15">
        <f>IFERROR(__xludf.DUMMYFUNCTION("""COMPUTED_VALUE"""),1.003)</f>
        <v>1.003</v>
      </c>
      <c r="E2279" s="16">
        <f>IFERROR(__xludf.DUMMYFUNCTION("""COMPUTED_VALUE"""),72.0)</f>
        <v>72</v>
      </c>
      <c r="F2279" s="19" t="str">
        <f>IFERROR(__xludf.DUMMYFUNCTION("""COMPUTED_VALUE"""),"BLACK")</f>
        <v>BLACK</v>
      </c>
      <c r="G2279" s="20" t="str">
        <f>IFERROR(__xludf.DUMMYFUNCTION("""COMPUTED_VALUE"""),"Uncle Sams Cider (04/04/2023)")</f>
        <v>Uncle Sams Cider (04/04/2023)</v>
      </c>
      <c r="H2279" s="19"/>
    </row>
    <row r="2280">
      <c r="A2280" s="9"/>
      <c r="B2280" s="15"/>
      <c r="C2280" s="9">
        <f>IFERROR(__xludf.DUMMYFUNCTION("""COMPUTED_VALUE"""),45120.75378625)</f>
        <v>45120.75379</v>
      </c>
      <c r="D2280" s="15">
        <f>IFERROR(__xludf.DUMMYFUNCTION("""COMPUTED_VALUE"""),1.004)</f>
        <v>1.004</v>
      </c>
      <c r="E2280" s="16">
        <f>IFERROR(__xludf.DUMMYFUNCTION("""COMPUTED_VALUE"""),72.0)</f>
        <v>72</v>
      </c>
      <c r="F2280" s="19" t="str">
        <f>IFERROR(__xludf.DUMMYFUNCTION("""COMPUTED_VALUE"""),"BLACK")</f>
        <v>BLACK</v>
      </c>
      <c r="G2280" s="20" t="str">
        <f>IFERROR(__xludf.DUMMYFUNCTION("""COMPUTED_VALUE"""),"Uncle Sams Cider (04/04/2023)")</f>
        <v>Uncle Sams Cider (04/04/2023)</v>
      </c>
      <c r="H2280" s="19"/>
    </row>
    <row r="2281">
      <c r="A2281" s="9"/>
      <c r="B2281" s="15"/>
      <c r="C2281" s="9">
        <f>IFERROR(__xludf.DUMMYFUNCTION("""COMPUTED_VALUE"""),45120.7433655092)</f>
        <v>45120.74337</v>
      </c>
      <c r="D2281" s="15">
        <f>IFERROR(__xludf.DUMMYFUNCTION("""COMPUTED_VALUE"""),1.004)</f>
        <v>1.004</v>
      </c>
      <c r="E2281" s="16">
        <f>IFERROR(__xludf.DUMMYFUNCTION("""COMPUTED_VALUE"""),72.0)</f>
        <v>72</v>
      </c>
      <c r="F2281" s="19" t="str">
        <f>IFERROR(__xludf.DUMMYFUNCTION("""COMPUTED_VALUE"""),"BLACK")</f>
        <v>BLACK</v>
      </c>
      <c r="G2281" s="20" t="str">
        <f>IFERROR(__xludf.DUMMYFUNCTION("""COMPUTED_VALUE"""),"Uncle Sams Cider (04/04/2023)")</f>
        <v>Uncle Sams Cider (04/04/2023)</v>
      </c>
      <c r="H2281" s="19"/>
    </row>
    <row r="2282">
      <c r="A2282" s="9"/>
      <c r="B2282" s="15"/>
      <c r="C2282" s="9">
        <f>IFERROR(__xludf.DUMMYFUNCTION("""COMPUTED_VALUE"""),45120.7329443287)</f>
        <v>45120.73294</v>
      </c>
      <c r="D2282" s="15">
        <f>IFERROR(__xludf.DUMMYFUNCTION("""COMPUTED_VALUE"""),1.004)</f>
        <v>1.004</v>
      </c>
      <c r="E2282" s="16">
        <f>IFERROR(__xludf.DUMMYFUNCTION("""COMPUTED_VALUE"""),72.0)</f>
        <v>72</v>
      </c>
      <c r="F2282" s="19" t="str">
        <f>IFERROR(__xludf.DUMMYFUNCTION("""COMPUTED_VALUE"""),"BLACK")</f>
        <v>BLACK</v>
      </c>
      <c r="G2282" s="20" t="str">
        <f>IFERROR(__xludf.DUMMYFUNCTION("""COMPUTED_VALUE"""),"Uncle Sams Cider (04/04/2023)")</f>
        <v>Uncle Sams Cider (04/04/2023)</v>
      </c>
      <c r="H2282" s="19"/>
    </row>
    <row r="2283">
      <c r="A2283" s="9"/>
      <c r="B2283" s="15"/>
      <c r="C2283" s="9">
        <f>IFERROR(__xludf.DUMMYFUNCTION("""COMPUTED_VALUE"""),45120.7224990162)</f>
        <v>45120.7225</v>
      </c>
      <c r="D2283" s="15">
        <f>IFERROR(__xludf.DUMMYFUNCTION("""COMPUTED_VALUE"""),1.004)</f>
        <v>1.004</v>
      </c>
      <c r="E2283" s="16">
        <f>IFERROR(__xludf.DUMMYFUNCTION("""COMPUTED_VALUE"""),72.0)</f>
        <v>72</v>
      </c>
      <c r="F2283" s="19" t="str">
        <f>IFERROR(__xludf.DUMMYFUNCTION("""COMPUTED_VALUE"""),"BLACK")</f>
        <v>BLACK</v>
      </c>
      <c r="G2283" s="20" t="str">
        <f>IFERROR(__xludf.DUMMYFUNCTION("""COMPUTED_VALUE"""),"Uncle Sams Cider (04/04/2023)")</f>
        <v>Uncle Sams Cider (04/04/2023)</v>
      </c>
      <c r="H2283" s="19"/>
    </row>
    <row r="2284">
      <c r="A2284" s="9"/>
      <c r="B2284" s="15"/>
      <c r="C2284" s="9">
        <f>IFERROR(__xludf.DUMMYFUNCTION("""COMPUTED_VALUE"""),45120.7120656481)</f>
        <v>45120.71207</v>
      </c>
      <c r="D2284" s="15">
        <f>IFERROR(__xludf.DUMMYFUNCTION("""COMPUTED_VALUE"""),1.003)</f>
        <v>1.003</v>
      </c>
      <c r="E2284" s="16">
        <f>IFERROR(__xludf.DUMMYFUNCTION("""COMPUTED_VALUE"""),72.0)</f>
        <v>72</v>
      </c>
      <c r="F2284" s="19" t="str">
        <f>IFERROR(__xludf.DUMMYFUNCTION("""COMPUTED_VALUE"""),"BLACK")</f>
        <v>BLACK</v>
      </c>
      <c r="G2284" s="20" t="str">
        <f>IFERROR(__xludf.DUMMYFUNCTION("""COMPUTED_VALUE"""),"Uncle Sams Cider (04/04/2023)")</f>
        <v>Uncle Sams Cider (04/04/2023)</v>
      </c>
      <c r="H2284" s="19"/>
    </row>
    <row r="2285">
      <c r="A2285" s="9"/>
      <c r="B2285" s="15"/>
      <c r="C2285" s="9">
        <f>IFERROR(__xludf.DUMMYFUNCTION("""COMPUTED_VALUE"""),45120.7016441898)</f>
        <v>45120.70164</v>
      </c>
      <c r="D2285" s="15">
        <f>IFERROR(__xludf.DUMMYFUNCTION("""COMPUTED_VALUE"""),1.003)</f>
        <v>1.003</v>
      </c>
      <c r="E2285" s="16">
        <f>IFERROR(__xludf.DUMMYFUNCTION("""COMPUTED_VALUE"""),72.0)</f>
        <v>72</v>
      </c>
      <c r="F2285" s="19" t="str">
        <f>IFERROR(__xludf.DUMMYFUNCTION("""COMPUTED_VALUE"""),"BLACK")</f>
        <v>BLACK</v>
      </c>
      <c r="G2285" s="20" t="str">
        <f>IFERROR(__xludf.DUMMYFUNCTION("""COMPUTED_VALUE"""),"Uncle Sams Cider (04/04/2023)")</f>
        <v>Uncle Sams Cider (04/04/2023)</v>
      </c>
      <c r="H2285" s="19"/>
    </row>
    <row r="2286">
      <c r="A2286" s="9"/>
      <c r="B2286" s="15"/>
      <c r="C2286" s="9">
        <f>IFERROR(__xludf.DUMMYFUNCTION("""COMPUTED_VALUE"""),45120.6912236111)</f>
        <v>45120.69122</v>
      </c>
      <c r="D2286" s="15">
        <f>IFERROR(__xludf.DUMMYFUNCTION("""COMPUTED_VALUE"""),1.003)</f>
        <v>1.003</v>
      </c>
      <c r="E2286" s="16">
        <f>IFERROR(__xludf.DUMMYFUNCTION("""COMPUTED_VALUE"""),72.0)</f>
        <v>72</v>
      </c>
      <c r="F2286" s="19" t="str">
        <f>IFERROR(__xludf.DUMMYFUNCTION("""COMPUTED_VALUE"""),"BLACK")</f>
        <v>BLACK</v>
      </c>
      <c r="G2286" s="20" t="str">
        <f>IFERROR(__xludf.DUMMYFUNCTION("""COMPUTED_VALUE"""),"Uncle Sams Cider (04/04/2023)")</f>
        <v>Uncle Sams Cider (04/04/2023)</v>
      </c>
      <c r="H2286" s="19"/>
    </row>
    <row r="2287">
      <c r="A2287" s="9"/>
      <c r="B2287" s="15"/>
      <c r="C2287" s="9">
        <f>IFERROR(__xludf.DUMMYFUNCTION("""COMPUTED_VALUE"""),45120.6807912731)</f>
        <v>45120.68079</v>
      </c>
      <c r="D2287" s="15">
        <f>IFERROR(__xludf.DUMMYFUNCTION("""COMPUTED_VALUE"""),1.004)</f>
        <v>1.004</v>
      </c>
      <c r="E2287" s="16">
        <f>IFERROR(__xludf.DUMMYFUNCTION("""COMPUTED_VALUE"""),72.0)</f>
        <v>72</v>
      </c>
      <c r="F2287" s="19" t="str">
        <f>IFERROR(__xludf.DUMMYFUNCTION("""COMPUTED_VALUE"""),"BLACK")</f>
        <v>BLACK</v>
      </c>
      <c r="G2287" s="20" t="str">
        <f>IFERROR(__xludf.DUMMYFUNCTION("""COMPUTED_VALUE"""),"Uncle Sams Cider (04/04/2023)")</f>
        <v>Uncle Sams Cider (04/04/2023)</v>
      </c>
      <c r="H2287" s="19"/>
    </row>
    <row r="2288">
      <c r="A2288" s="9"/>
      <c r="B2288" s="15"/>
      <c r="C2288" s="9">
        <f>IFERROR(__xludf.DUMMYFUNCTION("""COMPUTED_VALUE"""),45120.6703578935)</f>
        <v>45120.67036</v>
      </c>
      <c r="D2288" s="15">
        <f>IFERROR(__xludf.DUMMYFUNCTION("""COMPUTED_VALUE"""),1.003)</f>
        <v>1.003</v>
      </c>
      <c r="E2288" s="16">
        <f>IFERROR(__xludf.DUMMYFUNCTION("""COMPUTED_VALUE"""),72.0)</f>
        <v>72</v>
      </c>
      <c r="F2288" s="19" t="str">
        <f>IFERROR(__xludf.DUMMYFUNCTION("""COMPUTED_VALUE"""),"BLACK")</f>
        <v>BLACK</v>
      </c>
      <c r="G2288" s="20" t="str">
        <f>IFERROR(__xludf.DUMMYFUNCTION("""COMPUTED_VALUE"""),"Uncle Sams Cider (04/04/2023)")</f>
        <v>Uncle Sams Cider (04/04/2023)</v>
      </c>
      <c r="H2288" s="19"/>
    </row>
    <row r="2289">
      <c r="A2289" s="9"/>
      <c r="B2289" s="15"/>
      <c r="C2289" s="9">
        <f>IFERROR(__xludf.DUMMYFUNCTION("""COMPUTED_VALUE"""),45120.6599352314)</f>
        <v>45120.65994</v>
      </c>
      <c r="D2289" s="15">
        <f>IFERROR(__xludf.DUMMYFUNCTION("""COMPUTED_VALUE"""),1.003)</f>
        <v>1.003</v>
      </c>
      <c r="E2289" s="16">
        <f>IFERROR(__xludf.DUMMYFUNCTION("""COMPUTED_VALUE"""),72.0)</f>
        <v>72</v>
      </c>
      <c r="F2289" s="19" t="str">
        <f>IFERROR(__xludf.DUMMYFUNCTION("""COMPUTED_VALUE"""),"BLACK")</f>
        <v>BLACK</v>
      </c>
      <c r="G2289" s="20" t="str">
        <f>IFERROR(__xludf.DUMMYFUNCTION("""COMPUTED_VALUE"""),"Uncle Sams Cider (04/04/2023)")</f>
        <v>Uncle Sams Cider (04/04/2023)</v>
      </c>
      <c r="H2289" s="19"/>
    </row>
    <row r="2290">
      <c r="A2290" s="9"/>
      <c r="B2290" s="15"/>
      <c r="C2290" s="9">
        <f>IFERROR(__xludf.DUMMYFUNCTION("""COMPUTED_VALUE"""),45120.6495128125)</f>
        <v>45120.64951</v>
      </c>
      <c r="D2290" s="15">
        <f>IFERROR(__xludf.DUMMYFUNCTION("""COMPUTED_VALUE"""),1.003)</f>
        <v>1.003</v>
      </c>
      <c r="E2290" s="16">
        <f>IFERROR(__xludf.DUMMYFUNCTION("""COMPUTED_VALUE"""),72.0)</f>
        <v>72</v>
      </c>
      <c r="F2290" s="19" t="str">
        <f>IFERROR(__xludf.DUMMYFUNCTION("""COMPUTED_VALUE"""),"BLACK")</f>
        <v>BLACK</v>
      </c>
      <c r="G2290" s="20" t="str">
        <f>IFERROR(__xludf.DUMMYFUNCTION("""COMPUTED_VALUE"""),"Uncle Sams Cider (04/04/2023)")</f>
        <v>Uncle Sams Cider (04/04/2023)</v>
      </c>
      <c r="H2290" s="19"/>
    </row>
    <row r="2291">
      <c r="A2291" s="9"/>
      <c r="B2291" s="15"/>
      <c r="C2291" s="9">
        <f>IFERROR(__xludf.DUMMYFUNCTION("""COMPUTED_VALUE"""),45120.6390898263)</f>
        <v>45120.63909</v>
      </c>
      <c r="D2291" s="15">
        <f>IFERROR(__xludf.DUMMYFUNCTION("""COMPUTED_VALUE"""),1.003)</f>
        <v>1.003</v>
      </c>
      <c r="E2291" s="16">
        <f>IFERROR(__xludf.DUMMYFUNCTION("""COMPUTED_VALUE"""),72.0)</f>
        <v>72</v>
      </c>
      <c r="F2291" s="19" t="str">
        <f>IFERROR(__xludf.DUMMYFUNCTION("""COMPUTED_VALUE"""),"BLACK")</f>
        <v>BLACK</v>
      </c>
      <c r="G2291" s="20" t="str">
        <f>IFERROR(__xludf.DUMMYFUNCTION("""COMPUTED_VALUE"""),"Uncle Sams Cider (04/04/2023)")</f>
        <v>Uncle Sams Cider (04/04/2023)</v>
      </c>
      <c r="H2291" s="19"/>
    </row>
    <row r="2292">
      <c r="A2292" s="9"/>
      <c r="B2292" s="15"/>
      <c r="C2292" s="9">
        <f>IFERROR(__xludf.DUMMYFUNCTION("""COMPUTED_VALUE"""),45120.6286704398)</f>
        <v>45120.62867</v>
      </c>
      <c r="D2292" s="15">
        <f>IFERROR(__xludf.DUMMYFUNCTION("""COMPUTED_VALUE"""),1.003)</f>
        <v>1.003</v>
      </c>
      <c r="E2292" s="16">
        <f>IFERROR(__xludf.DUMMYFUNCTION("""COMPUTED_VALUE"""),72.0)</f>
        <v>72</v>
      </c>
      <c r="F2292" s="19" t="str">
        <f>IFERROR(__xludf.DUMMYFUNCTION("""COMPUTED_VALUE"""),"BLACK")</f>
        <v>BLACK</v>
      </c>
      <c r="G2292" s="20" t="str">
        <f>IFERROR(__xludf.DUMMYFUNCTION("""COMPUTED_VALUE"""),"Uncle Sams Cider (04/04/2023)")</f>
        <v>Uncle Sams Cider (04/04/2023)</v>
      </c>
      <c r="H2292" s="19"/>
    </row>
    <row r="2293">
      <c r="A2293" s="9"/>
      <c r="B2293" s="15"/>
      <c r="C2293" s="9">
        <f>IFERROR(__xludf.DUMMYFUNCTION("""COMPUTED_VALUE"""),45120.6182498611)</f>
        <v>45120.61825</v>
      </c>
      <c r="D2293" s="15">
        <f>IFERROR(__xludf.DUMMYFUNCTION("""COMPUTED_VALUE"""),1.004)</f>
        <v>1.004</v>
      </c>
      <c r="E2293" s="16">
        <f>IFERROR(__xludf.DUMMYFUNCTION("""COMPUTED_VALUE"""),72.0)</f>
        <v>72</v>
      </c>
      <c r="F2293" s="19" t="str">
        <f>IFERROR(__xludf.DUMMYFUNCTION("""COMPUTED_VALUE"""),"BLACK")</f>
        <v>BLACK</v>
      </c>
      <c r="G2293" s="20" t="str">
        <f>IFERROR(__xludf.DUMMYFUNCTION("""COMPUTED_VALUE"""),"Uncle Sams Cider (04/04/2023)")</f>
        <v>Uncle Sams Cider (04/04/2023)</v>
      </c>
      <c r="H2293" s="19"/>
    </row>
    <row r="2294">
      <c r="A2294" s="9"/>
      <c r="B2294" s="15"/>
      <c r="C2294" s="9">
        <f>IFERROR(__xludf.DUMMYFUNCTION("""COMPUTED_VALUE"""),45120.6078301851)</f>
        <v>45120.60783</v>
      </c>
      <c r="D2294" s="15">
        <f>IFERROR(__xludf.DUMMYFUNCTION("""COMPUTED_VALUE"""),1.003)</f>
        <v>1.003</v>
      </c>
      <c r="E2294" s="16">
        <f>IFERROR(__xludf.DUMMYFUNCTION("""COMPUTED_VALUE"""),72.0)</f>
        <v>72</v>
      </c>
      <c r="F2294" s="19" t="str">
        <f>IFERROR(__xludf.DUMMYFUNCTION("""COMPUTED_VALUE"""),"BLACK")</f>
        <v>BLACK</v>
      </c>
      <c r="G2294" s="20" t="str">
        <f>IFERROR(__xludf.DUMMYFUNCTION("""COMPUTED_VALUE"""),"Uncle Sams Cider (04/04/2023)")</f>
        <v>Uncle Sams Cider (04/04/2023)</v>
      </c>
      <c r="H2294" s="19"/>
    </row>
    <row r="2295">
      <c r="A2295" s="9"/>
      <c r="B2295" s="15"/>
      <c r="C2295" s="9">
        <f>IFERROR(__xludf.DUMMYFUNCTION("""COMPUTED_VALUE"""),45120.5974073495)</f>
        <v>45120.59741</v>
      </c>
      <c r="D2295" s="15">
        <f>IFERROR(__xludf.DUMMYFUNCTION("""COMPUTED_VALUE"""),1.003)</f>
        <v>1.003</v>
      </c>
      <c r="E2295" s="16">
        <f>IFERROR(__xludf.DUMMYFUNCTION("""COMPUTED_VALUE"""),72.0)</f>
        <v>72</v>
      </c>
      <c r="F2295" s="19" t="str">
        <f>IFERROR(__xludf.DUMMYFUNCTION("""COMPUTED_VALUE"""),"BLACK")</f>
        <v>BLACK</v>
      </c>
      <c r="G2295" s="20" t="str">
        <f>IFERROR(__xludf.DUMMYFUNCTION("""COMPUTED_VALUE"""),"Uncle Sams Cider (04/04/2023)")</f>
        <v>Uncle Sams Cider (04/04/2023)</v>
      </c>
      <c r="H2295" s="19"/>
    </row>
    <row r="2296">
      <c r="A2296" s="9"/>
      <c r="B2296" s="15"/>
      <c r="C2296" s="9">
        <f>IFERROR(__xludf.DUMMYFUNCTION("""COMPUTED_VALUE"""),45120.5869864004)</f>
        <v>45120.58699</v>
      </c>
      <c r="D2296" s="15">
        <f>IFERROR(__xludf.DUMMYFUNCTION("""COMPUTED_VALUE"""),1.003)</f>
        <v>1.003</v>
      </c>
      <c r="E2296" s="16">
        <f>IFERROR(__xludf.DUMMYFUNCTION("""COMPUTED_VALUE"""),72.0)</f>
        <v>72</v>
      </c>
      <c r="F2296" s="19" t="str">
        <f>IFERROR(__xludf.DUMMYFUNCTION("""COMPUTED_VALUE"""),"BLACK")</f>
        <v>BLACK</v>
      </c>
      <c r="G2296" s="20" t="str">
        <f>IFERROR(__xludf.DUMMYFUNCTION("""COMPUTED_VALUE"""),"Uncle Sams Cider (04/04/2023)")</f>
        <v>Uncle Sams Cider (04/04/2023)</v>
      </c>
      <c r="H2296" s="19"/>
    </row>
    <row r="2297">
      <c r="A2297" s="9"/>
      <c r="B2297" s="15"/>
      <c r="C2297" s="9">
        <f>IFERROR(__xludf.DUMMYFUNCTION("""COMPUTED_VALUE"""),45120.5765664814)</f>
        <v>45120.57657</v>
      </c>
      <c r="D2297" s="15">
        <f>IFERROR(__xludf.DUMMYFUNCTION("""COMPUTED_VALUE"""),1.004)</f>
        <v>1.004</v>
      </c>
      <c r="E2297" s="16">
        <f>IFERROR(__xludf.DUMMYFUNCTION("""COMPUTED_VALUE"""),72.0)</f>
        <v>72</v>
      </c>
      <c r="F2297" s="19" t="str">
        <f>IFERROR(__xludf.DUMMYFUNCTION("""COMPUTED_VALUE"""),"BLACK")</f>
        <v>BLACK</v>
      </c>
      <c r="G2297" s="20" t="str">
        <f>IFERROR(__xludf.DUMMYFUNCTION("""COMPUTED_VALUE"""),"Uncle Sams Cider (04/04/2023)")</f>
        <v>Uncle Sams Cider (04/04/2023)</v>
      </c>
      <c r="H2297" s="19"/>
    </row>
    <row r="2298">
      <c r="A2298" s="9"/>
      <c r="B2298" s="15"/>
      <c r="C2298" s="9">
        <f>IFERROR(__xludf.DUMMYFUNCTION("""COMPUTED_VALUE"""),45120.5661337963)</f>
        <v>45120.56613</v>
      </c>
      <c r="D2298" s="15">
        <f>IFERROR(__xludf.DUMMYFUNCTION("""COMPUTED_VALUE"""),1.004)</f>
        <v>1.004</v>
      </c>
      <c r="E2298" s="16">
        <f>IFERROR(__xludf.DUMMYFUNCTION("""COMPUTED_VALUE"""),72.0)</f>
        <v>72</v>
      </c>
      <c r="F2298" s="19" t="str">
        <f>IFERROR(__xludf.DUMMYFUNCTION("""COMPUTED_VALUE"""),"BLACK")</f>
        <v>BLACK</v>
      </c>
      <c r="G2298" s="20" t="str">
        <f>IFERROR(__xludf.DUMMYFUNCTION("""COMPUTED_VALUE"""),"Uncle Sams Cider (04/04/2023)")</f>
        <v>Uncle Sams Cider (04/04/2023)</v>
      </c>
      <c r="H2298" s="19"/>
    </row>
    <row r="2299">
      <c r="A2299" s="9"/>
      <c r="B2299" s="15"/>
      <c r="C2299" s="9">
        <f>IFERROR(__xludf.DUMMYFUNCTION("""COMPUTED_VALUE"""),45120.5557133564)</f>
        <v>45120.55571</v>
      </c>
      <c r="D2299" s="15">
        <f>IFERROR(__xludf.DUMMYFUNCTION("""COMPUTED_VALUE"""),1.003)</f>
        <v>1.003</v>
      </c>
      <c r="E2299" s="16">
        <f>IFERROR(__xludf.DUMMYFUNCTION("""COMPUTED_VALUE"""),72.0)</f>
        <v>72</v>
      </c>
      <c r="F2299" s="19" t="str">
        <f>IFERROR(__xludf.DUMMYFUNCTION("""COMPUTED_VALUE"""),"BLACK")</f>
        <v>BLACK</v>
      </c>
      <c r="G2299" s="20" t="str">
        <f>IFERROR(__xludf.DUMMYFUNCTION("""COMPUTED_VALUE"""),"Uncle Sams Cider (04/04/2023)")</f>
        <v>Uncle Sams Cider (04/04/2023)</v>
      </c>
      <c r="H2299" s="19"/>
    </row>
    <row r="2300">
      <c r="A2300" s="9"/>
      <c r="B2300" s="15"/>
      <c r="C2300" s="9">
        <f>IFERROR(__xludf.DUMMYFUNCTION("""COMPUTED_VALUE"""),45120.545279699)</f>
        <v>45120.54528</v>
      </c>
      <c r="D2300" s="15">
        <f>IFERROR(__xludf.DUMMYFUNCTION("""COMPUTED_VALUE"""),1.004)</f>
        <v>1.004</v>
      </c>
      <c r="E2300" s="16">
        <f>IFERROR(__xludf.DUMMYFUNCTION("""COMPUTED_VALUE"""),72.0)</f>
        <v>72</v>
      </c>
      <c r="F2300" s="19" t="str">
        <f>IFERROR(__xludf.DUMMYFUNCTION("""COMPUTED_VALUE"""),"BLACK")</f>
        <v>BLACK</v>
      </c>
      <c r="G2300" s="20" t="str">
        <f>IFERROR(__xludf.DUMMYFUNCTION("""COMPUTED_VALUE"""),"Uncle Sams Cider (04/04/2023)")</f>
        <v>Uncle Sams Cider (04/04/2023)</v>
      </c>
      <c r="H2300" s="19"/>
    </row>
    <row r="2301">
      <c r="A2301" s="9"/>
      <c r="B2301" s="15"/>
      <c r="C2301" s="9">
        <f>IFERROR(__xludf.DUMMYFUNCTION("""COMPUTED_VALUE"""),45120.5348588888)</f>
        <v>45120.53486</v>
      </c>
      <c r="D2301" s="15">
        <f>IFERROR(__xludf.DUMMYFUNCTION("""COMPUTED_VALUE"""),1.003)</f>
        <v>1.003</v>
      </c>
      <c r="E2301" s="16">
        <f>IFERROR(__xludf.DUMMYFUNCTION("""COMPUTED_VALUE"""),72.0)</f>
        <v>72</v>
      </c>
      <c r="F2301" s="19" t="str">
        <f>IFERROR(__xludf.DUMMYFUNCTION("""COMPUTED_VALUE"""),"BLACK")</f>
        <v>BLACK</v>
      </c>
      <c r="G2301" s="20" t="str">
        <f>IFERROR(__xludf.DUMMYFUNCTION("""COMPUTED_VALUE"""),"Uncle Sams Cider (04/04/2023)")</f>
        <v>Uncle Sams Cider (04/04/2023)</v>
      </c>
      <c r="H2301" s="19"/>
    </row>
    <row r="2302">
      <c r="A2302" s="9"/>
      <c r="B2302" s="15"/>
      <c r="C2302" s="9">
        <f>IFERROR(__xludf.DUMMYFUNCTION("""COMPUTED_VALUE"""),45120.5244261111)</f>
        <v>45120.52443</v>
      </c>
      <c r="D2302" s="15">
        <f>IFERROR(__xludf.DUMMYFUNCTION("""COMPUTED_VALUE"""),1.003)</f>
        <v>1.003</v>
      </c>
      <c r="E2302" s="16">
        <f>IFERROR(__xludf.DUMMYFUNCTION("""COMPUTED_VALUE"""),72.0)</f>
        <v>72</v>
      </c>
      <c r="F2302" s="19" t="str">
        <f>IFERROR(__xludf.DUMMYFUNCTION("""COMPUTED_VALUE"""),"BLACK")</f>
        <v>BLACK</v>
      </c>
      <c r="G2302" s="20" t="str">
        <f>IFERROR(__xludf.DUMMYFUNCTION("""COMPUTED_VALUE"""),"Uncle Sams Cider (04/04/2023)")</f>
        <v>Uncle Sams Cider (04/04/2023)</v>
      </c>
      <c r="H2302" s="19"/>
    </row>
    <row r="2303">
      <c r="A2303" s="9"/>
      <c r="B2303" s="15"/>
      <c r="C2303" s="9">
        <f>IFERROR(__xludf.DUMMYFUNCTION("""COMPUTED_VALUE"""),45120.5140048495)</f>
        <v>45120.514</v>
      </c>
      <c r="D2303" s="15">
        <f>IFERROR(__xludf.DUMMYFUNCTION("""COMPUTED_VALUE"""),1.003)</f>
        <v>1.003</v>
      </c>
      <c r="E2303" s="16">
        <f>IFERROR(__xludf.DUMMYFUNCTION("""COMPUTED_VALUE"""),72.0)</f>
        <v>72</v>
      </c>
      <c r="F2303" s="19" t="str">
        <f>IFERROR(__xludf.DUMMYFUNCTION("""COMPUTED_VALUE"""),"BLACK")</f>
        <v>BLACK</v>
      </c>
      <c r="G2303" s="20" t="str">
        <f>IFERROR(__xludf.DUMMYFUNCTION("""COMPUTED_VALUE"""),"Uncle Sams Cider (04/04/2023)")</f>
        <v>Uncle Sams Cider (04/04/2023)</v>
      </c>
      <c r="H2303" s="19"/>
    </row>
    <row r="2304">
      <c r="A2304" s="9"/>
      <c r="B2304" s="15"/>
      <c r="C2304" s="9">
        <f>IFERROR(__xludf.DUMMYFUNCTION("""COMPUTED_VALUE"""),45120.503583993)</f>
        <v>45120.50358</v>
      </c>
      <c r="D2304" s="15">
        <f>IFERROR(__xludf.DUMMYFUNCTION("""COMPUTED_VALUE"""),1.004)</f>
        <v>1.004</v>
      </c>
      <c r="E2304" s="16">
        <f>IFERROR(__xludf.DUMMYFUNCTION("""COMPUTED_VALUE"""),72.0)</f>
        <v>72</v>
      </c>
      <c r="F2304" s="19" t="str">
        <f>IFERROR(__xludf.DUMMYFUNCTION("""COMPUTED_VALUE"""),"BLACK")</f>
        <v>BLACK</v>
      </c>
      <c r="G2304" s="20" t="str">
        <f>IFERROR(__xludf.DUMMYFUNCTION("""COMPUTED_VALUE"""),"Uncle Sams Cider (04/04/2023)")</f>
        <v>Uncle Sams Cider (04/04/2023)</v>
      </c>
      <c r="H2304" s="19"/>
    </row>
    <row r="2305">
      <c r="A2305" s="9"/>
      <c r="B2305" s="15"/>
      <c r="C2305" s="9">
        <f>IFERROR(__xludf.DUMMYFUNCTION("""COMPUTED_VALUE"""),45120.4931620138)</f>
        <v>45120.49316</v>
      </c>
      <c r="D2305" s="15">
        <f>IFERROR(__xludf.DUMMYFUNCTION("""COMPUTED_VALUE"""),1.003)</f>
        <v>1.003</v>
      </c>
      <c r="E2305" s="16">
        <f>IFERROR(__xludf.DUMMYFUNCTION("""COMPUTED_VALUE"""),72.0)</f>
        <v>72</v>
      </c>
      <c r="F2305" s="19" t="str">
        <f>IFERROR(__xludf.DUMMYFUNCTION("""COMPUTED_VALUE"""),"BLACK")</f>
        <v>BLACK</v>
      </c>
      <c r="G2305" s="20" t="str">
        <f>IFERROR(__xludf.DUMMYFUNCTION("""COMPUTED_VALUE"""),"Uncle Sams Cider (04/04/2023)")</f>
        <v>Uncle Sams Cider (04/04/2023)</v>
      </c>
      <c r="H2305" s="19"/>
    </row>
    <row r="2306">
      <c r="A2306" s="9"/>
      <c r="B2306" s="15"/>
      <c r="C2306" s="9">
        <f>IFERROR(__xludf.DUMMYFUNCTION("""COMPUTED_VALUE"""),45120.4827395254)</f>
        <v>45120.48274</v>
      </c>
      <c r="D2306" s="15">
        <f>IFERROR(__xludf.DUMMYFUNCTION("""COMPUTED_VALUE"""),1.003)</f>
        <v>1.003</v>
      </c>
      <c r="E2306" s="16">
        <f>IFERROR(__xludf.DUMMYFUNCTION("""COMPUTED_VALUE"""),72.0)</f>
        <v>72</v>
      </c>
      <c r="F2306" s="19" t="str">
        <f>IFERROR(__xludf.DUMMYFUNCTION("""COMPUTED_VALUE"""),"BLACK")</f>
        <v>BLACK</v>
      </c>
      <c r="G2306" s="20" t="str">
        <f>IFERROR(__xludf.DUMMYFUNCTION("""COMPUTED_VALUE"""),"Uncle Sams Cider (04/04/2023)")</f>
        <v>Uncle Sams Cider (04/04/2023)</v>
      </c>
      <c r="H2306" s="19"/>
    </row>
    <row r="2307">
      <c r="A2307" s="9"/>
      <c r="B2307" s="15"/>
      <c r="C2307" s="9">
        <f>IFERROR(__xludf.DUMMYFUNCTION("""COMPUTED_VALUE"""),45120.4723184722)</f>
        <v>45120.47232</v>
      </c>
      <c r="D2307" s="15">
        <f>IFERROR(__xludf.DUMMYFUNCTION("""COMPUTED_VALUE"""),1.004)</f>
        <v>1.004</v>
      </c>
      <c r="E2307" s="16">
        <f>IFERROR(__xludf.DUMMYFUNCTION("""COMPUTED_VALUE"""),72.0)</f>
        <v>72</v>
      </c>
      <c r="F2307" s="19" t="str">
        <f>IFERROR(__xludf.DUMMYFUNCTION("""COMPUTED_VALUE"""),"BLACK")</f>
        <v>BLACK</v>
      </c>
      <c r="G2307" s="20" t="str">
        <f>IFERROR(__xludf.DUMMYFUNCTION("""COMPUTED_VALUE"""),"Uncle Sams Cider (04/04/2023)")</f>
        <v>Uncle Sams Cider (04/04/2023)</v>
      </c>
      <c r="H2307" s="19"/>
    </row>
    <row r="2308">
      <c r="A2308" s="9"/>
      <c r="B2308" s="15"/>
      <c r="C2308" s="9">
        <f>IFERROR(__xludf.DUMMYFUNCTION("""COMPUTED_VALUE"""),45120.4618990509)</f>
        <v>45120.4619</v>
      </c>
      <c r="D2308" s="15">
        <f>IFERROR(__xludf.DUMMYFUNCTION("""COMPUTED_VALUE"""),1.003)</f>
        <v>1.003</v>
      </c>
      <c r="E2308" s="16">
        <f>IFERROR(__xludf.DUMMYFUNCTION("""COMPUTED_VALUE"""),72.0)</f>
        <v>72</v>
      </c>
      <c r="F2308" s="19" t="str">
        <f>IFERROR(__xludf.DUMMYFUNCTION("""COMPUTED_VALUE"""),"BLACK")</f>
        <v>BLACK</v>
      </c>
      <c r="G2308" s="20" t="str">
        <f>IFERROR(__xludf.DUMMYFUNCTION("""COMPUTED_VALUE"""),"Uncle Sams Cider (04/04/2023)")</f>
        <v>Uncle Sams Cider (04/04/2023)</v>
      </c>
      <c r="H2308" s="19"/>
    </row>
    <row r="2309">
      <c r="A2309" s="9"/>
      <c r="B2309" s="15"/>
      <c r="C2309" s="9">
        <f>IFERROR(__xludf.DUMMYFUNCTION("""COMPUTED_VALUE"""),45120.4514769791)</f>
        <v>45120.45148</v>
      </c>
      <c r="D2309" s="15">
        <f>IFERROR(__xludf.DUMMYFUNCTION("""COMPUTED_VALUE"""),1.004)</f>
        <v>1.004</v>
      </c>
      <c r="E2309" s="16">
        <f>IFERROR(__xludf.DUMMYFUNCTION("""COMPUTED_VALUE"""),72.0)</f>
        <v>72</v>
      </c>
      <c r="F2309" s="19" t="str">
        <f>IFERROR(__xludf.DUMMYFUNCTION("""COMPUTED_VALUE"""),"BLACK")</f>
        <v>BLACK</v>
      </c>
      <c r="G2309" s="20" t="str">
        <f>IFERROR(__xludf.DUMMYFUNCTION("""COMPUTED_VALUE"""),"Uncle Sams Cider (04/04/2023)")</f>
        <v>Uncle Sams Cider (04/04/2023)</v>
      </c>
      <c r="H2309" s="19"/>
    </row>
    <row r="2310">
      <c r="A2310" s="9"/>
      <c r="B2310" s="15"/>
      <c r="C2310" s="9">
        <f>IFERROR(__xludf.DUMMYFUNCTION("""COMPUTED_VALUE"""),45120.4410548032)</f>
        <v>45120.44105</v>
      </c>
      <c r="D2310" s="15">
        <f>IFERROR(__xludf.DUMMYFUNCTION("""COMPUTED_VALUE"""),1.003)</f>
        <v>1.003</v>
      </c>
      <c r="E2310" s="16">
        <f>IFERROR(__xludf.DUMMYFUNCTION("""COMPUTED_VALUE"""),72.0)</f>
        <v>72</v>
      </c>
      <c r="F2310" s="19" t="str">
        <f>IFERROR(__xludf.DUMMYFUNCTION("""COMPUTED_VALUE"""),"BLACK")</f>
        <v>BLACK</v>
      </c>
      <c r="G2310" s="20" t="str">
        <f>IFERROR(__xludf.DUMMYFUNCTION("""COMPUTED_VALUE"""),"Uncle Sams Cider (04/04/2023)")</f>
        <v>Uncle Sams Cider (04/04/2023)</v>
      </c>
      <c r="H2310" s="19"/>
    </row>
    <row r="2311">
      <c r="A2311" s="9"/>
      <c r="B2311" s="15"/>
      <c r="C2311" s="9">
        <f>IFERROR(__xludf.DUMMYFUNCTION("""COMPUTED_VALUE"""),45120.4306351157)</f>
        <v>45120.43064</v>
      </c>
      <c r="D2311" s="15">
        <f>IFERROR(__xludf.DUMMYFUNCTION("""COMPUTED_VALUE"""),1.004)</f>
        <v>1.004</v>
      </c>
      <c r="E2311" s="16">
        <f>IFERROR(__xludf.DUMMYFUNCTION("""COMPUTED_VALUE"""),72.0)</f>
        <v>72</v>
      </c>
      <c r="F2311" s="19" t="str">
        <f>IFERROR(__xludf.DUMMYFUNCTION("""COMPUTED_VALUE"""),"BLACK")</f>
        <v>BLACK</v>
      </c>
      <c r="G2311" s="20" t="str">
        <f>IFERROR(__xludf.DUMMYFUNCTION("""COMPUTED_VALUE"""),"Uncle Sams Cider (04/04/2023)")</f>
        <v>Uncle Sams Cider (04/04/2023)</v>
      </c>
      <c r="H2311" s="19"/>
    </row>
    <row r="2312">
      <c r="A2312" s="9"/>
      <c r="B2312" s="15"/>
      <c r="C2312" s="9">
        <f>IFERROR(__xludf.DUMMYFUNCTION("""COMPUTED_VALUE"""),45120.4202142129)</f>
        <v>45120.42021</v>
      </c>
      <c r="D2312" s="15">
        <f>IFERROR(__xludf.DUMMYFUNCTION("""COMPUTED_VALUE"""),1.004)</f>
        <v>1.004</v>
      </c>
      <c r="E2312" s="16">
        <f>IFERROR(__xludf.DUMMYFUNCTION("""COMPUTED_VALUE"""),72.0)</f>
        <v>72</v>
      </c>
      <c r="F2312" s="19" t="str">
        <f>IFERROR(__xludf.DUMMYFUNCTION("""COMPUTED_VALUE"""),"BLACK")</f>
        <v>BLACK</v>
      </c>
      <c r="G2312" s="20" t="str">
        <f>IFERROR(__xludf.DUMMYFUNCTION("""COMPUTED_VALUE"""),"Uncle Sams Cider (04/04/2023)")</f>
        <v>Uncle Sams Cider (04/04/2023)</v>
      </c>
      <c r="H2312" s="19"/>
    </row>
    <row r="2313">
      <c r="A2313" s="9"/>
      <c r="B2313" s="15"/>
      <c r="C2313" s="9">
        <f>IFERROR(__xludf.DUMMYFUNCTION("""COMPUTED_VALUE"""),45120.4097919444)</f>
        <v>45120.40979</v>
      </c>
      <c r="D2313" s="15">
        <f>IFERROR(__xludf.DUMMYFUNCTION("""COMPUTED_VALUE"""),1.004)</f>
        <v>1.004</v>
      </c>
      <c r="E2313" s="16">
        <f>IFERROR(__xludf.DUMMYFUNCTION("""COMPUTED_VALUE"""),72.0)</f>
        <v>72</v>
      </c>
      <c r="F2313" s="19" t="str">
        <f>IFERROR(__xludf.DUMMYFUNCTION("""COMPUTED_VALUE"""),"BLACK")</f>
        <v>BLACK</v>
      </c>
      <c r="G2313" s="20" t="str">
        <f>IFERROR(__xludf.DUMMYFUNCTION("""COMPUTED_VALUE"""),"Uncle Sams Cider (04/04/2023)")</f>
        <v>Uncle Sams Cider (04/04/2023)</v>
      </c>
      <c r="H2313" s="19"/>
    </row>
    <row r="2314">
      <c r="A2314" s="9"/>
      <c r="B2314" s="15"/>
      <c r="C2314" s="9">
        <f>IFERROR(__xludf.DUMMYFUNCTION("""COMPUTED_VALUE"""),45120.3993702199)</f>
        <v>45120.39937</v>
      </c>
      <c r="D2314" s="15">
        <f>IFERROR(__xludf.DUMMYFUNCTION("""COMPUTED_VALUE"""),1.004)</f>
        <v>1.004</v>
      </c>
      <c r="E2314" s="16">
        <f>IFERROR(__xludf.DUMMYFUNCTION("""COMPUTED_VALUE"""),72.0)</f>
        <v>72</v>
      </c>
      <c r="F2314" s="19" t="str">
        <f>IFERROR(__xludf.DUMMYFUNCTION("""COMPUTED_VALUE"""),"BLACK")</f>
        <v>BLACK</v>
      </c>
      <c r="G2314" s="20" t="str">
        <f>IFERROR(__xludf.DUMMYFUNCTION("""COMPUTED_VALUE"""),"Uncle Sams Cider (04/04/2023)")</f>
        <v>Uncle Sams Cider (04/04/2023)</v>
      </c>
      <c r="H2314" s="19"/>
    </row>
    <row r="2315">
      <c r="A2315" s="9"/>
      <c r="B2315" s="15"/>
      <c r="C2315" s="9">
        <f>IFERROR(__xludf.DUMMYFUNCTION("""COMPUTED_VALUE"""),45120.388937743)</f>
        <v>45120.38894</v>
      </c>
      <c r="D2315" s="15">
        <f>IFERROR(__xludf.DUMMYFUNCTION("""COMPUTED_VALUE"""),1.003)</f>
        <v>1.003</v>
      </c>
      <c r="E2315" s="16">
        <f>IFERROR(__xludf.DUMMYFUNCTION("""COMPUTED_VALUE"""),72.0)</f>
        <v>72</v>
      </c>
      <c r="F2315" s="19" t="str">
        <f>IFERROR(__xludf.DUMMYFUNCTION("""COMPUTED_VALUE"""),"BLACK")</f>
        <v>BLACK</v>
      </c>
      <c r="G2315" s="20" t="str">
        <f>IFERROR(__xludf.DUMMYFUNCTION("""COMPUTED_VALUE"""),"Uncle Sams Cider (04/04/2023)")</f>
        <v>Uncle Sams Cider (04/04/2023)</v>
      </c>
      <c r="H2315" s="19"/>
    </row>
    <row r="2316">
      <c r="A2316" s="9"/>
      <c r="B2316" s="15"/>
      <c r="C2316" s="9">
        <f>IFERROR(__xludf.DUMMYFUNCTION("""COMPUTED_VALUE"""),45120.3785167476)</f>
        <v>45120.37852</v>
      </c>
      <c r="D2316" s="15">
        <f>IFERROR(__xludf.DUMMYFUNCTION("""COMPUTED_VALUE"""),1.003)</f>
        <v>1.003</v>
      </c>
      <c r="E2316" s="16">
        <f>IFERROR(__xludf.DUMMYFUNCTION("""COMPUTED_VALUE"""),72.0)</f>
        <v>72</v>
      </c>
      <c r="F2316" s="19" t="str">
        <f>IFERROR(__xludf.DUMMYFUNCTION("""COMPUTED_VALUE"""),"BLACK")</f>
        <v>BLACK</v>
      </c>
      <c r="G2316" s="20" t="str">
        <f>IFERROR(__xludf.DUMMYFUNCTION("""COMPUTED_VALUE"""),"Uncle Sams Cider (04/04/2023)")</f>
        <v>Uncle Sams Cider (04/04/2023)</v>
      </c>
      <c r="H2316" s="19"/>
    </row>
    <row r="2317">
      <c r="A2317" s="9"/>
      <c r="B2317" s="15"/>
      <c r="C2317" s="9">
        <f>IFERROR(__xludf.DUMMYFUNCTION("""COMPUTED_VALUE"""),45120.3680731944)</f>
        <v>45120.36807</v>
      </c>
      <c r="D2317" s="15">
        <f>IFERROR(__xludf.DUMMYFUNCTION("""COMPUTED_VALUE"""),1.003)</f>
        <v>1.003</v>
      </c>
      <c r="E2317" s="16">
        <f>IFERROR(__xludf.DUMMYFUNCTION("""COMPUTED_VALUE"""),72.0)</f>
        <v>72</v>
      </c>
      <c r="F2317" s="19" t="str">
        <f>IFERROR(__xludf.DUMMYFUNCTION("""COMPUTED_VALUE"""),"BLACK")</f>
        <v>BLACK</v>
      </c>
      <c r="G2317" s="20" t="str">
        <f>IFERROR(__xludf.DUMMYFUNCTION("""COMPUTED_VALUE"""),"Uncle Sams Cider (04/04/2023)")</f>
        <v>Uncle Sams Cider (04/04/2023)</v>
      </c>
      <c r="H2317" s="19"/>
    </row>
    <row r="2318">
      <c r="A2318" s="9"/>
      <c r="B2318" s="15"/>
      <c r="C2318" s="9">
        <f>IFERROR(__xludf.DUMMYFUNCTION("""COMPUTED_VALUE"""),45120.3576183101)</f>
        <v>45120.35762</v>
      </c>
      <c r="D2318" s="15">
        <f>IFERROR(__xludf.DUMMYFUNCTION("""COMPUTED_VALUE"""),1.003)</f>
        <v>1.003</v>
      </c>
      <c r="E2318" s="16">
        <f>IFERROR(__xludf.DUMMYFUNCTION("""COMPUTED_VALUE"""),72.0)</f>
        <v>72</v>
      </c>
      <c r="F2318" s="19" t="str">
        <f>IFERROR(__xludf.DUMMYFUNCTION("""COMPUTED_VALUE"""),"BLACK")</f>
        <v>BLACK</v>
      </c>
      <c r="G2318" s="20" t="str">
        <f>IFERROR(__xludf.DUMMYFUNCTION("""COMPUTED_VALUE"""),"Uncle Sams Cider (04/04/2023)")</f>
        <v>Uncle Sams Cider (04/04/2023)</v>
      </c>
      <c r="H2318" s="19"/>
    </row>
    <row r="2319">
      <c r="A2319" s="9"/>
      <c r="B2319" s="15"/>
      <c r="C2319" s="9">
        <f>IFERROR(__xludf.DUMMYFUNCTION("""COMPUTED_VALUE"""),45120.3471972453)</f>
        <v>45120.3472</v>
      </c>
      <c r="D2319" s="15">
        <f>IFERROR(__xludf.DUMMYFUNCTION("""COMPUTED_VALUE"""),1.003)</f>
        <v>1.003</v>
      </c>
      <c r="E2319" s="16">
        <f>IFERROR(__xludf.DUMMYFUNCTION("""COMPUTED_VALUE"""),72.0)</f>
        <v>72</v>
      </c>
      <c r="F2319" s="19" t="str">
        <f>IFERROR(__xludf.DUMMYFUNCTION("""COMPUTED_VALUE"""),"BLACK")</f>
        <v>BLACK</v>
      </c>
      <c r="G2319" s="20" t="str">
        <f>IFERROR(__xludf.DUMMYFUNCTION("""COMPUTED_VALUE"""),"Uncle Sams Cider (04/04/2023)")</f>
        <v>Uncle Sams Cider (04/04/2023)</v>
      </c>
      <c r="H2319" s="19"/>
    </row>
    <row r="2320">
      <c r="A2320" s="9"/>
      <c r="B2320" s="15"/>
      <c r="C2320" s="9">
        <f>IFERROR(__xludf.DUMMYFUNCTION("""COMPUTED_VALUE"""),45120.3367634838)</f>
        <v>45120.33676</v>
      </c>
      <c r="D2320" s="15">
        <f>IFERROR(__xludf.DUMMYFUNCTION("""COMPUTED_VALUE"""),1.003)</f>
        <v>1.003</v>
      </c>
      <c r="E2320" s="16">
        <f>IFERROR(__xludf.DUMMYFUNCTION("""COMPUTED_VALUE"""),72.0)</f>
        <v>72</v>
      </c>
      <c r="F2320" s="19" t="str">
        <f>IFERROR(__xludf.DUMMYFUNCTION("""COMPUTED_VALUE"""),"BLACK")</f>
        <v>BLACK</v>
      </c>
      <c r="G2320" s="20" t="str">
        <f>IFERROR(__xludf.DUMMYFUNCTION("""COMPUTED_VALUE"""),"Uncle Sams Cider (04/04/2023)")</f>
        <v>Uncle Sams Cider (04/04/2023)</v>
      </c>
      <c r="H2320" s="19"/>
    </row>
    <row r="2321">
      <c r="A2321" s="9"/>
      <c r="B2321" s="15"/>
      <c r="C2321" s="9">
        <f>IFERROR(__xludf.DUMMYFUNCTION("""COMPUTED_VALUE"""),45120.3263429398)</f>
        <v>45120.32634</v>
      </c>
      <c r="D2321" s="15">
        <f>IFERROR(__xludf.DUMMYFUNCTION("""COMPUTED_VALUE"""),1.003)</f>
        <v>1.003</v>
      </c>
      <c r="E2321" s="16">
        <f>IFERROR(__xludf.DUMMYFUNCTION("""COMPUTED_VALUE"""),72.0)</f>
        <v>72</v>
      </c>
      <c r="F2321" s="19" t="str">
        <f>IFERROR(__xludf.DUMMYFUNCTION("""COMPUTED_VALUE"""),"BLACK")</f>
        <v>BLACK</v>
      </c>
      <c r="G2321" s="20" t="str">
        <f>IFERROR(__xludf.DUMMYFUNCTION("""COMPUTED_VALUE"""),"Uncle Sams Cider (04/04/2023)")</f>
        <v>Uncle Sams Cider (04/04/2023)</v>
      </c>
      <c r="H2321" s="19"/>
    </row>
    <row r="2322">
      <c r="A2322" s="9"/>
      <c r="B2322" s="15"/>
      <c r="C2322" s="9">
        <f>IFERROR(__xludf.DUMMYFUNCTION("""COMPUTED_VALUE"""),45120.3159229513)</f>
        <v>45120.31592</v>
      </c>
      <c r="D2322" s="15">
        <f>IFERROR(__xludf.DUMMYFUNCTION("""COMPUTED_VALUE"""),1.003)</f>
        <v>1.003</v>
      </c>
      <c r="E2322" s="16">
        <f>IFERROR(__xludf.DUMMYFUNCTION("""COMPUTED_VALUE"""),72.0)</f>
        <v>72</v>
      </c>
      <c r="F2322" s="19" t="str">
        <f>IFERROR(__xludf.DUMMYFUNCTION("""COMPUTED_VALUE"""),"BLACK")</f>
        <v>BLACK</v>
      </c>
      <c r="G2322" s="20" t="str">
        <f>IFERROR(__xludf.DUMMYFUNCTION("""COMPUTED_VALUE"""),"Uncle Sams Cider (04/04/2023)")</f>
        <v>Uncle Sams Cider (04/04/2023)</v>
      </c>
      <c r="H2322" s="19"/>
    </row>
    <row r="2323">
      <c r="A2323" s="9"/>
      <c r="B2323" s="15"/>
      <c r="C2323" s="9">
        <f>IFERROR(__xludf.DUMMYFUNCTION("""COMPUTED_VALUE"""),45120.3055013773)</f>
        <v>45120.3055</v>
      </c>
      <c r="D2323" s="15">
        <f>IFERROR(__xludf.DUMMYFUNCTION("""COMPUTED_VALUE"""),1.004)</f>
        <v>1.004</v>
      </c>
      <c r="E2323" s="16">
        <f>IFERROR(__xludf.DUMMYFUNCTION("""COMPUTED_VALUE"""),72.0)</f>
        <v>72</v>
      </c>
      <c r="F2323" s="19" t="str">
        <f>IFERROR(__xludf.DUMMYFUNCTION("""COMPUTED_VALUE"""),"BLACK")</f>
        <v>BLACK</v>
      </c>
      <c r="G2323" s="20" t="str">
        <f>IFERROR(__xludf.DUMMYFUNCTION("""COMPUTED_VALUE"""),"Uncle Sams Cider (04/04/2023)")</f>
        <v>Uncle Sams Cider (04/04/2023)</v>
      </c>
      <c r="H2323" s="19"/>
    </row>
    <row r="2324">
      <c r="A2324" s="9"/>
      <c r="B2324" s="15"/>
      <c r="C2324" s="9">
        <f>IFERROR(__xludf.DUMMYFUNCTION("""COMPUTED_VALUE"""),45120.2950805555)</f>
        <v>45120.29508</v>
      </c>
      <c r="D2324" s="15">
        <f>IFERROR(__xludf.DUMMYFUNCTION("""COMPUTED_VALUE"""),1.003)</f>
        <v>1.003</v>
      </c>
      <c r="E2324" s="16">
        <f>IFERROR(__xludf.DUMMYFUNCTION("""COMPUTED_VALUE"""),72.0)</f>
        <v>72</v>
      </c>
      <c r="F2324" s="19" t="str">
        <f>IFERROR(__xludf.DUMMYFUNCTION("""COMPUTED_VALUE"""),"BLACK")</f>
        <v>BLACK</v>
      </c>
      <c r="G2324" s="20" t="str">
        <f>IFERROR(__xludf.DUMMYFUNCTION("""COMPUTED_VALUE"""),"Uncle Sams Cider (04/04/2023)")</f>
        <v>Uncle Sams Cider (04/04/2023)</v>
      </c>
      <c r="H2324" s="19"/>
    </row>
    <row r="2325">
      <c r="A2325" s="9"/>
      <c r="B2325" s="15"/>
      <c r="C2325" s="9">
        <f>IFERROR(__xludf.DUMMYFUNCTION("""COMPUTED_VALUE"""),45120.284657199)</f>
        <v>45120.28466</v>
      </c>
      <c r="D2325" s="15">
        <f>IFERROR(__xludf.DUMMYFUNCTION("""COMPUTED_VALUE"""),1.003)</f>
        <v>1.003</v>
      </c>
      <c r="E2325" s="16">
        <f>IFERROR(__xludf.DUMMYFUNCTION("""COMPUTED_VALUE"""),72.0)</f>
        <v>72</v>
      </c>
      <c r="F2325" s="19" t="str">
        <f>IFERROR(__xludf.DUMMYFUNCTION("""COMPUTED_VALUE"""),"BLACK")</f>
        <v>BLACK</v>
      </c>
      <c r="G2325" s="20" t="str">
        <f>IFERROR(__xludf.DUMMYFUNCTION("""COMPUTED_VALUE"""),"Uncle Sams Cider (04/04/2023)")</f>
        <v>Uncle Sams Cider (04/04/2023)</v>
      </c>
      <c r="H2325" s="19"/>
    </row>
    <row r="2326">
      <c r="A2326" s="9"/>
      <c r="B2326" s="15"/>
      <c r="C2326" s="9">
        <f>IFERROR(__xludf.DUMMYFUNCTION("""COMPUTED_VALUE"""),45120.2742237731)</f>
        <v>45120.27422</v>
      </c>
      <c r="D2326" s="15">
        <f>IFERROR(__xludf.DUMMYFUNCTION("""COMPUTED_VALUE"""),1.003)</f>
        <v>1.003</v>
      </c>
      <c r="E2326" s="16">
        <f>IFERROR(__xludf.DUMMYFUNCTION("""COMPUTED_VALUE"""),72.0)</f>
        <v>72</v>
      </c>
      <c r="F2326" s="19" t="str">
        <f>IFERROR(__xludf.DUMMYFUNCTION("""COMPUTED_VALUE"""),"BLACK")</f>
        <v>BLACK</v>
      </c>
      <c r="G2326" s="20" t="str">
        <f>IFERROR(__xludf.DUMMYFUNCTION("""COMPUTED_VALUE"""),"Uncle Sams Cider (04/04/2023)")</f>
        <v>Uncle Sams Cider (04/04/2023)</v>
      </c>
      <c r="H2326" s="19"/>
    </row>
    <row r="2327">
      <c r="A2327" s="9"/>
      <c r="B2327" s="15"/>
      <c r="C2327" s="9">
        <f>IFERROR(__xludf.DUMMYFUNCTION("""COMPUTED_VALUE"""),45120.2638021064)</f>
        <v>45120.2638</v>
      </c>
      <c r="D2327" s="15">
        <f>IFERROR(__xludf.DUMMYFUNCTION("""COMPUTED_VALUE"""),1.003)</f>
        <v>1.003</v>
      </c>
      <c r="E2327" s="16">
        <f>IFERROR(__xludf.DUMMYFUNCTION("""COMPUTED_VALUE"""),72.0)</f>
        <v>72</v>
      </c>
      <c r="F2327" s="19" t="str">
        <f>IFERROR(__xludf.DUMMYFUNCTION("""COMPUTED_VALUE"""),"BLACK")</f>
        <v>BLACK</v>
      </c>
      <c r="G2327" s="20" t="str">
        <f>IFERROR(__xludf.DUMMYFUNCTION("""COMPUTED_VALUE"""),"Uncle Sams Cider (04/04/2023)")</f>
        <v>Uncle Sams Cider (04/04/2023)</v>
      </c>
      <c r="H2327" s="19"/>
    </row>
    <row r="2328">
      <c r="A2328" s="9"/>
      <c r="B2328" s="15"/>
      <c r="C2328" s="9">
        <f>IFERROR(__xludf.DUMMYFUNCTION("""COMPUTED_VALUE"""),45120.2533803356)</f>
        <v>45120.25338</v>
      </c>
      <c r="D2328" s="15">
        <f>IFERROR(__xludf.DUMMYFUNCTION("""COMPUTED_VALUE"""),1.004)</f>
        <v>1.004</v>
      </c>
      <c r="E2328" s="16">
        <f>IFERROR(__xludf.DUMMYFUNCTION("""COMPUTED_VALUE"""),72.0)</f>
        <v>72</v>
      </c>
      <c r="F2328" s="19" t="str">
        <f>IFERROR(__xludf.DUMMYFUNCTION("""COMPUTED_VALUE"""),"BLACK")</f>
        <v>BLACK</v>
      </c>
      <c r="G2328" s="20" t="str">
        <f>IFERROR(__xludf.DUMMYFUNCTION("""COMPUTED_VALUE"""),"Uncle Sams Cider (04/04/2023)")</f>
        <v>Uncle Sams Cider (04/04/2023)</v>
      </c>
      <c r="H2328" s="19"/>
    </row>
    <row r="2329">
      <c r="A2329" s="9"/>
      <c r="B2329" s="15"/>
      <c r="C2329" s="9">
        <f>IFERROR(__xludf.DUMMYFUNCTION("""COMPUTED_VALUE"""),45120.2429475)</f>
        <v>45120.24295</v>
      </c>
      <c r="D2329" s="15">
        <f>IFERROR(__xludf.DUMMYFUNCTION("""COMPUTED_VALUE"""),1.003)</f>
        <v>1.003</v>
      </c>
      <c r="E2329" s="16">
        <f>IFERROR(__xludf.DUMMYFUNCTION("""COMPUTED_VALUE"""),72.0)</f>
        <v>72</v>
      </c>
      <c r="F2329" s="19" t="str">
        <f>IFERROR(__xludf.DUMMYFUNCTION("""COMPUTED_VALUE"""),"BLACK")</f>
        <v>BLACK</v>
      </c>
      <c r="G2329" s="20" t="str">
        <f>IFERROR(__xludf.DUMMYFUNCTION("""COMPUTED_VALUE"""),"Uncle Sams Cider (04/04/2023)")</f>
        <v>Uncle Sams Cider (04/04/2023)</v>
      </c>
      <c r="H2329" s="19"/>
    </row>
    <row r="2330">
      <c r="A2330" s="9"/>
      <c r="B2330" s="15"/>
      <c r="C2330" s="9">
        <f>IFERROR(__xludf.DUMMYFUNCTION("""COMPUTED_VALUE"""),45120.2325270254)</f>
        <v>45120.23253</v>
      </c>
      <c r="D2330" s="15">
        <f>IFERROR(__xludf.DUMMYFUNCTION("""COMPUTED_VALUE"""),1.004)</f>
        <v>1.004</v>
      </c>
      <c r="E2330" s="16">
        <f>IFERROR(__xludf.DUMMYFUNCTION("""COMPUTED_VALUE"""),72.0)</f>
        <v>72</v>
      </c>
      <c r="F2330" s="19" t="str">
        <f>IFERROR(__xludf.DUMMYFUNCTION("""COMPUTED_VALUE"""),"BLACK")</f>
        <v>BLACK</v>
      </c>
      <c r="G2330" s="20" t="str">
        <f>IFERROR(__xludf.DUMMYFUNCTION("""COMPUTED_VALUE"""),"Uncle Sams Cider (04/04/2023)")</f>
        <v>Uncle Sams Cider (04/04/2023)</v>
      </c>
      <c r="H2330" s="19"/>
    </row>
    <row r="2331">
      <c r="A2331" s="9"/>
      <c r="B2331" s="15"/>
      <c r="C2331" s="9">
        <f>IFERROR(__xludf.DUMMYFUNCTION("""COMPUTED_VALUE"""),45120.2221055092)</f>
        <v>45120.22211</v>
      </c>
      <c r="D2331" s="15">
        <f>IFERROR(__xludf.DUMMYFUNCTION("""COMPUTED_VALUE"""),1.004)</f>
        <v>1.004</v>
      </c>
      <c r="E2331" s="16">
        <f>IFERROR(__xludf.DUMMYFUNCTION("""COMPUTED_VALUE"""),72.0)</f>
        <v>72</v>
      </c>
      <c r="F2331" s="19" t="str">
        <f>IFERROR(__xludf.DUMMYFUNCTION("""COMPUTED_VALUE"""),"BLACK")</f>
        <v>BLACK</v>
      </c>
      <c r="G2331" s="20" t="str">
        <f>IFERROR(__xludf.DUMMYFUNCTION("""COMPUTED_VALUE"""),"Uncle Sams Cider (04/04/2023)")</f>
        <v>Uncle Sams Cider (04/04/2023)</v>
      </c>
      <c r="H2331" s="19"/>
    </row>
    <row r="2332">
      <c r="A2332" s="9"/>
      <c r="B2332" s="15"/>
      <c r="C2332" s="9">
        <f>IFERROR(__xludf.DUMMYFUNCTION("""COMPUTED_VALUE"""),45120.2116834375)</f>
        <v>45120.21168</v>
      </c>
      <c r="D2332" s="15">
        <f>IFERROR(__xludf.DUMMYFUNCTION("""COMPUTED_VALUE"""),1.004)</f>
        <v>1.004</v>
      </c>
      <c r="E2332" s="16">
        <f>IFERROR(__xludf.DUMMYFUNCTION("""COMPUTED_VALUE"""),72.0)</f>
        <v>72</v>
      </c>
      <c r="F2332" s="19" t="str">
        <f>IFERROR(__xludf.DUMMYFUNCTION("""COMPUTED_VALUE"""),"BLACK")</f>
        <v>BLACK</v>
      </c>
      <c r="G2332" s="20" t="str">
        <f>IFERROR(__xludf.DUMMYFUNCTION("""COMPUTED_VALUE"""),"Uncle Sams Cider (04/04/2023)")</f>
        <v>Uncle Sams Cider (04/04/2023)</v>
      </c>
      <c r="H2332" s="19"/>
    </row>
    <row r="2333">
      <c r="A2333" s="9"/>
      <c r="B2333" s="15"/>
      <c r="C2333" s="9">
        <f>IFERROR(__xludf.DUMMYFUNCTION("""COMPUTED_VALUE"""),45120.2012631018)</f>
        <v>45120.20126</v>
      </c>
      <c r="D2333" s="15">
        <f>IFERROR(__xludf.DUMMYFUNCTION("""COMPUTED_VALUE"""),1.004)</f>
        <v>1.004</v>
      </c>
      <c r="E2333" s="16">
        <f>IFERROR(__xludf.DUMMYFUNCTION("""COMPUTED_VALUE"""),72.0)</f>
        <v>72</v>
      </c>
      <c r="F2333" s="19" t="str">
        <f>IFERROR(__xludf.DUMMYFUNCTION("""COMPUTED_VALUE"""),"BLACK")</f>
        <v>BLACK</v>
      </c>
      <c r="G2333" s="20" t="str">
        <f>IFERROR(__xludf.DUMMYFUNCTION("""COMPUTED_VALUE"""),"Uncle Sams Cider (04/04/2023)")</f>
        <v>Uncle Sams Cider (04/04/2023)</v>
      </c>
      <c r="H2333" s="19"/>
    </row>
    <row r="2334">
      <c r="A2334" s="9"/>
      <c r="B2334" s="15"/>
      <c r="C2334" s="9">
        <f>IFERROR(__xludf.DUMMYFUNCTION("""COMPUTED_VALUE"""),45120.1908420254)</f>
        <v>45120.19084</v>
      </c>
      <c r="D2334" s="15">
        <f>IFERROR(__xludf.DUMMYFUNCTION("""COMPUTED_VALUE"""),1.003)</f>
        <v>1.003</v>
      </c>
      <c r="E2334" s="16">
        <f>IFERROR(__xludf.DUMMYFUNCTION("""COMPUTED_VALUE"""),72.0)</f>
        <v>72</v>
      </c>
      <c r="F2334" s="19" t="str">
        <f>IFERROR(__xludf.DUMMYFUNCTION("""COMPUTED_VALUE"""),"BLACK")</f>
        <v>BLACK</v>
      </c>
      <c r="G2334" s="20" t="str">
        <f>IFERROR(__xludf.DUMMYFUNCTION("""COMPUTED_VALUE"""),"Uncle Sams Cider (04/04/2023)")</f>
        <v>Uncle Sams Cider (04/04/2023)</v>
      </c>
      <c r="H2334" s="19"/>
    </row>
    <row r="2335">
      <c r="A2335" s="9"/>
      <c r="B2335" s="15"/>
      <c r="C2335" s="9">
        <f>IFERROR(__xludf.DUMMYFUNCTION("""COMPUTED_VALUE"""),45120.180409375)</f>
        <v>45120.18041</v>
      </c>
      <c r="D2335" s="15">
        <f>IFERROR(__xludf.DUMMYFUNCTION("""COMPUTED_VALUE"""),1.003)</f>
        <v>1.003</v>
      </c>
      <c r="E2335" s="16">
        <f>IFERROR(__xludf.DUMMYFUNCTION("""COMPUTED_VALUE"""),72.0)</f>
        <v>72</v>
      </c>
      <c r="F2335" s="19" t="str">
        <f>IFERROR(__xludf.DUMMYFUNCTION("""COMPUTED_VALUE"""),"BLACK")</f>
        <v>BLACK</v>
      </c>
      <c r="G2335" s="20" t="str">
        <f>IFERROR(__xludf.DUMMYFUNCTION("""COMPUTED_VALUE"""),"Uncle Sams Cider (04/04/2023)")</f>
        <v>Uncle Sams Cider (04/04/2023)</v>
      </c>
      <c r="H2335" s="19"/>
    </row>
    <row r="2336">
      <c r="A2336" s="9"/>
      <c r="B2336" s="15"/>
      <c r="C2336" s="9">
        <f>IFERROR(__xludf.DUMMYFUNCTION("""COMPUTED_VALUE"""),45120.1699864004)</f>
        <v>45120.16999</v>
      </c>
      <c r="D2336" s="15">
        <f>IFERROR(__xludf.DUMMYFUNCTION("""COMPUTED_VALUE"""),1.004)</f>
        <v>1.004</v>
      </c>
      <c r="E2336" s="16">
        <f>IFERROR(__xludf.DUMMYFUNCTION("""COMPUTED_VALUE"""),72.0)</f>
        <v>72</v>
      </c>
      <c r="F2336" s="19" t="str">
        <f>IFERROR(__xludf.DUMMYFUNCTION("""COMPUTED_VALUE"""),"BLACK")</f>
        <v>BLACK</v>
      </c>
      <c r="G2336" s="20" t="str">
        <f>IFERROR(__xludf.DUMMYFUNCTION("""COMPUTED_VALUE"""),"Uncle Sams Cider (04/04/2023)")</f>
        <v>Uncle Sams Cider (04/04/2023)</v>
      </c>
      <c r="H2336" s="19"/>
    </row>
    <row r="2337">
      <c r="A2337" s="9"/>
      <c r="B2337" s="15"/>
      <c r="C2337" s="9">
        <f>IFERROR(__xludf.DUMMYFUNCTION("""COMPUTED_VALUE"""),45120.1595640277)</f>
        <v>45120.15956</v>
      </c>
      <c r="D2337" s="15">
        <f>IFERROR(__xludf.DUMMYFUNCTION("""COMPUTED_VALUE"""),1.003)</f>
        <v>1.003</v>
      </c>
      <c r="E2337" s="16">
        <f>IFERROR(__xludf.DUMMYFUNCTION("""COMPUTED_VALUE"""),72.0)</f>
        <v>72</v>
      </c>
      <c r="F2337" s="19" t="str">
        <f>IFERROR(__xludf.DUMMYFUNCTION("""COMPUTED_VALUE"""),"BLACK")</f>
        <v>BLACK</v>
      </c>
      <c r="G2337" s="20" t="str">
        <f>IFERROR(__xludf.DUMMYFUNCTION("""COMPUTED_VALUE"""),"Uncle Sams Cider (04/04/2023)")</f>
        <v>Uncle Sams Cider (04/04/2023)</v>
      </c>
      <c r="H2337" s="19"/>
    </row>
    <row r="2338">
      <c r="A2338" s="9"/>
      <c r="B2338" s="15"/>
      <c r="C2338" s="9">
        <f>IFERROR(__xludf.DUMMYFUNCTION("""COMPUTED_VALUE"""),45120.1491428588)</f>
        <v>45120.14914</v>
      </c>
      <c r="D2338" s="15">
        <f>IFERROR(__xludf.DUMMYFUNCTION("""COMPUTED_VALUE"""),1.004)</f>
        <v>1.004</v>
      </c>
      <c r="E2338" s="16">
        <f>IFERROR(__xludf.DUMMYFUNCTION("""COMPUTED_VALUE"""),72.0)</f>
        <v>72</v>
      </c>
      <c r="F2338" s="19" t="str">
        <f>IFERROR(__xludf.DUMMYFUNCTION("""COMPUTED_VALUE"""),"BLACK")</f>
        <v>BLACK</v>
      </c>
      <c r="G2338" s="20" t="str">
        <f>IFERROR(__xludf.DUMMYFUNCTION("""COMPUTED_VALUE"""),"Uncle Sams Cider (04/04/2023)")</f>
        <v>Uncle Sams Cider (04/04/2023)</v>
      </c>
      <c r="H2338" s="19"/>
    </row>
    <row r="2339">
      <c r="A2339" s="9"/>
      <c r="B2339" s="15"/>
      <c r="C2339" s="9">
        <f>IFERROR(__xludf.DUMMYFUNCTION("""COMPUTED_VALUE"""),45120.1387228472)</f>
        <v>45120.13872</v>
      </c>
      <c r="D2339" s="15">
        <f>IFERROR(__xludf.DUMMYFUNCTION("""COMPUTED_VALUE"""),1.004)</f>
        <v>1.004</v>
      </c>
      <c r="E2339" s="16">
        <f>IFERROR(__xludf.DUMMYFUNCTION("""COMPUTED_VALUE"""),72.0)</f>
        <v>72</v>
      </c>
      <c r="F2339" s="19" t="str">
        <f>IFERROR(__xludf.DUMMYFUNCTION("""COMPUTED_VALUE"""),"BLACK")</f>
        <v>BLACK</v>
      </c>
      <c r="G2339" s="20" t="str">
        <f>IFERROR(__xludf.DUMMYFUNCTION("""COMPUTED_VALUE"""),"Uncle Sams Cider (04/04/2023)")</f>
        <v>Uncle Sams Cider (04/04/2023)</v>
      </c>
      <c r="H2339" s="19"/>
    </row>
    <row r="2340">
      <c r="A2340" s="9"/>
      <c r="B2340" s="15"/>
      <c r="C2340" s="9">
        <f>IFERROR(__xludf.DUMMYFUNCTION("""COMPUTED_VALUE"""),45120.1282808796)</f>
        <v>45120.12828</v>
      </c>
      <c r="D2340" s="15">
        <f>IFERROR(__xludf.DUMMYFUNCTION("""COMPUTED_VALUE"""),1.004)</f>
        <v>1.004</v>
      </c>
      <c r="E2340" s="16">
        <f>IFERROR(__xludf.DUMMYFUNCTION("""COMPUTED_VALUE"""),72.0)</f>
        <v>72</v>
      </c>
      <c r="F2340" s="19" t="str">
        <f>IFERROR(__xludf.DUMMYFUNCTION("""COMPUTED_VALUE"""),"BLACK")</f>
        <v>BLACK</v>
      </c>
      <c r="G2340" s="20" t="str">
        <f>IFERROR(__xludf.DUMMYFUNCTION("""COMPUTED_VALUE"""),"Uncle Sams Cider (04/04/2023)")</f>
        <v>Uncle Sams Cider (04/04/2023)</v>
      </c>
      <c r="H2340" s="19"/>
    </row>
    <row r="2341">
      <c r="A2341" s="9"/>
      <c r="B2341" s="15"/>
      <c r="C2341" s="9">
        <f>IFERROR(__xludf.DUMMYFUNCTION("""COMPUTED_VALUE"""),45120.1178603009)</f>
        <v>45120.11786</v>
      </c>
      <c r="D2341" s="15">
        <f>IFERROR(__xludf.DUMMYFUNCTION("""COMPUTED_VALUE"""),1.004)</f>
        <v>1.004</v>
      </c>
      <c r="E2341" s="16">
        <f>IFERROR(__xludf.DUMMYFUNCTION("""COMPUTED_VALUE"""),72.0)</f>
        <v>72</v>
      </c>
      <c r="F2341" s="19" t="str">
        <f>IFERROR(__xludf.DUMMYFUNCTION("""COMPUTED_VALUE"""),"BLACK")</f>
        <v>BLACK</v>
      </c>
      <c r="G2341" s="20" t="str">
        <f>IFERROR(__xludf.DUMMYFUNCTION("""COMPUTED_VALUE"""),"Uncle Sams Cider (04/04/2023)")</f>
        <v>Uncle Sams Cider (04/04/2023)</v>
      </c>
      <c r="H2341" s="19"/>
    </row>
    <row r="2342">
      <c r="A2342" s="9"/>
      <c r="B2342" s="15"/>
      <c r="C2342" s="9">
        <f>IFERROR(__xludf.DUMMYFUNCTION("""COMPUTED_VALUE"""),45120.1074410416)</f>
        <v>45120.10744</v>
      </c>
      <c r="D2342" s="15">
        <f>IFERROR(__xludf.DUMMYFUNCTION("""COMPUTED_VALUE"""),1.003)</f>
        <v>1.003</v>
      </c>
      <c r="E2342" s="16">
        <f>IFERROR(__xludf.DUMMYFUNCTION("""COMPUTED_VALUE"""),72.0)</f>
        <v>72</v>
      </c>
      <c r="F2342" s="19" t="str">
        <f>IFERROR(__xludf.DUMMYFUNCTION("""COMPUTED_VALUE"""),"BLACK")</f>
        <v>BLACK</v>
      </c>
      <c r="G2342" s="20" t="str">
        <f>IFERROR(__xludf.DUMMYFUNCTION("""COMPUTED_VALUE"""),"Uncle Sams Cider (04/04/2023)")</f>
        <v>Uncle Sams Cider (04/04/2023)</v>
      </c>
      <c r="H2342" s="19"/>
    </row>
    <row r="2343">
      <c r="A2343" s="9"/>
      <c r="B2343" s="15"/>
      <c r="C2343" s="9">
        <f>IFERROR(__xludf.DUMMYFUNCTION("""COMPUTED_VALUE"""),45120.0970201504)</f>
        <v>45120.09702</v>
      </c>
      <c r="D2343" s="15">
        <f>IFERROR(__xludf.DUMMYFUNCTION("""COMPUTED_VALUE"""),1.003)</f>
        <v>1.003</v>
      </c>
      <c r="E2343" s="16">
        <f>IFERROR(__xludf.DUMMYFUNCTION("""COMPUTED_VALUE"""),72.0)</f>
        <v>72</v>
      </c>
      <c r="F2343" s="19" t="str">
        <f>IFERROR(__xludf.DUMMYFUNCTION("""COMPUTED_VALUE"""),"BLACK")</f>
        <v>BLACK</v>
      </c>
      <c r="G2343" s="20" t="str">
        <f>IFERROR(__xludf.DUMMYFUNCTION("""COMPUTED_VALUE"""),"Uncle Sams Cider (04/04/2023)")</f>
        <v>Uncle Sams Cider (04/04/2023)</v>
      </c>
      <c r="H2343" s="19"/>
    </row>
    <row r="2344">
      <c r="A2344" s="9"/>
      <c r="B2344" s="15"/>
      <c r="C2344" s="9">
        <f>IFERROR(__xludf.DUMMYFUNCTION("""COMPUTED_VALUE"""),45120.0865997685)</f>
        <v>45120.0866</v>
      </c>
      <c r="D2344" s="15">
        <f>IFERROR(__xludf.DUMMYFUNCTION("""COMPUTED_VALUE"""),1.003)</f>
        <v>1.003</v>
      </c>
      <c r="E2344" s="16">
        <f>IFERROR(__xludf.DUMMYFUNCTION("""COMPUTED_VALUE"""),72.0)</f>
        <v>72</v>
      </c>
      <c r="F2344" s="19" t="str">
        <f>IFERROR(__xludf.DUMMYFUNCTION("""COMPUTED_VALUE"""),"BLACK")</f>
        <v>BLACK</v>
      </c>
      <c r="G2344" s="20" t="str">
        <f>IFERROR(__xludf.DUMMYFUNCTION("""COMPUTED_VALUE"""),"Uncle Sams Cider (04/04/2023)")</f>
        <v>Uncle Sams Cider (04/04/2023)</v>
      </c>
      <c r="H2344" s="19"/>
    </row>
    <row r="2345">
      <c r="A2345" s="9"/>
      <c r="B2345" s="15"/>
      <c r="C2345" s="9">
        <f>IFERROR(__xludf.DUMMYFUNCTION("""COMPUTED_VALUE"""),45120.0761794097)</f>
        <v>45120.07618</v>
      </c>
      <c r="D2345" s="15">
        <f>IFERROR(__xludf.DUMMYFUNCTION("""COMPUTED_VALUE"""),1.003)</f>
        <v>1.003</v>
      </c>
      <c r="E2345" s="16">
        <f>IFERROR(__xludf.DUMMYFUNCTION("""COMPUTED_VALUE"""),72.0)</f>
        <v>72</v>
      </c>
      <c r="F2345" s="19" t="str">
        <f>IFERROR(__xludf.DUMMYFUNCTION("""COMPUTED_VALUE"""),"BLACK")</f>
        <v>BLACK</v>
      </c>
      <c r="G2345" s="20" t="str">
        <f>IFERROR(__xludf.DUMMYFUNCTION("""COMPUTED_VALUE"""),"Uncle Sams Cider (04/04/2023)")</f>
        <v>Uncle Sams Cider (04/04/2023)</v>
      </c>
      <c r="H2345" s="19"/>
    </row>
    <row r="2346">
      <c r="A2346" s="9"/>
      <c r="B2346" s="15"/>
      <c r="C2346" s="9">
        <f>IFERROR(__xludf.DUMMYFUNCTION("""COMPUTED_VALUE"""),45120.065758125)</f>
        <v>45120.06576</v>
      </c>
      <c r="D2346" s="15">
        <f>IFERROR(__xludf.DUMMYFUNCTION("""COMPUTED_VALUE"""),1.004)</f>
        <v>1.004</v>
      </c>
      <c r="E2346" s="16">
        <f>IFERROR(__xludf.DUMMYFUNCTION("""COMPUTED_VALUE"""),72.0)</f>
        <v>72</v>
      </c>
      <c r="F2346" s="19" t="str">
        <f>IFERROR(__xludf.DUMMYFUNCTION("""COMPUTED_VALUE"""),"BLACK")</f>
        <v>BLACK</v>
      </c>
      <c r="G2346" s="20" t="str">
        <f>IFERROR(__xludf.DUMMYFUNCTION("""COMPUTED_VALUE"""),"Uncle Sams Cider (04/04/2023)")</f>
        <v>Uncle Sams Cider (04/04/2023)</v>
      </c>
      <c r="H2346" s="19"/>
    </row>
    <row r="2347">
      <c r="A2347" s="9"/>
      <c r="B2347" s="15"/>
      <c r="C2347" s="9">
        <f>IFERROR(__xludf.DUMMYFUNCTION("""COMPUTED_VALUE"""),45120.0553364583)</f>
        <v>45120.05534</v>
      </c>
      <c r="D2347" s="15">
        <f>IFERROR(__xludf.DUMMYFUNCTION("""COMPUTED_VALUE"""),1.003)</f>
        <v>1.003</v>
      </c>
      <c r="E2347" s="16">
        <f>IFERROR(__xludf.DUMMYFUNCTION("""COMPUTED_VALUE"""),72.0)</f>
        <v>72</v>
      </c>
      <c r="F2347" s="19" t="str">
        <f>IFERROR(__xludf.DUMMYFUNCTION("""COMPUTED_VALUE"""),"BLACK")</f>
        <v>BLACK</v>
      </c>
      <c r="G2347" s="20" t="str">
        <f>IFERROR(__xludf.DUMMYFUNCTION("""COMPUTED_VALUE"""),"Uncle Sams Cider (04/04/2023)")</f>
        <v>Uncle Sams Cider (04/04/2023)</v>
      </c>
      <c r="H2347" s="19"/>
    </row>
    <row r="2348">
      <c r="A2348" s="9"/>
      <c r="B2348" s="15"/>
      <c r="C2348" s="9">
        <f>IFERROR(__xludf.DUMMYFUNCTION("""COMPUTED_VALUE"""),45120.0449155787)</f>
        <v>45120.04492</v>
      </c>
      <c r="D2348" s="15">
        <f>IFERROR(__xludf.DUMMYFUNCTION("""COMPUTED_VALUE"""),1.003)</f>
        <v>1.003</v>
      </c>
      <c r="E2348" s="16">
        <f>IFERROR(__xludf.DUMMYFUNCTION("""COMPUTED_VALUE"""),72.0)</f>
        <v>72</v>
      </c>
      <c r="F2348" s="19" t="str">
        <f>IFERROR(__xludf.DUMMYFUNCTION("""COMPUTED_VALUE"""),"BLACK")</f>
        <v>BLACK</v>
      </c>
      <c r="G2348" s="20" t="str">
        <f>IFERROR(__xludf.DUMMYFUNCTION("""COMPUTED_VALUE"""),"Uncle Sams Cider (04/04/2023)")</f>
        <v>Uncle Sams Cider (04/04/2023)</v>
      </c>
      <c r="H2348" s="19"/>
    </row>
    <row r="2349">
      <c r="A2349" s="9"/>
      <c r="B2349" s="15"/>
      <c r="C2349" s="9">
        <f>IFERROR(__xludf.DUMMYFUNCTION("""COMPUTED_VALUE"""),45120.0344951388)</f>
        <v>45120.0345</v>
      </c>
      <c r="D2349" s="15">
        <f>IFERROR(__xludf.DUMMYFUNCTION("""COMPUTED_VALUE"""),1.004)</f>
        <v>1.004</v>
      </c>
      <c r="E2349" s="16">
        <f>IFERROR(__xludf.DUMMYFUNCTION("""COMPUTED_VALUE"""),72.0)</f>
        <v>72</v>
      </c>
      <c r="F2349" s="19" t="str">
        <f>IFERROR(__xludf.DUMMYFUNCTION("""COMPUTED_VALUE"""),"BLACK")</f>
        <v>BLACK</v>
      </c>
      <c r="G2349" s="20" t="str">
        <f>IFERROR(__xludf.DUMMYFUNCTION("""COMPUTED_VALUE"""),"Uncle Sams Cider (04/04/2023)")</f>
        <v>Uncle Sams Cider (04/04/2023)</v>
      </c>
      <c r="H2349" s="19"/>
    </row>
    <row r="2350">
      <c r="A2350" s="9"/>
      <c r="B2350" s="15"/>
      <c r="C2350" s="9">
        <f>IFERROR(__xludf.DUMMYFUNCTION("""COMPUTED_VALUE"""),45120.024075949)</f>
        <v>45120.02408</v>
      </c>
      <c r="D2350" s="15">
        <f>IFERROR(__xludf.DUMMYFUNCTION("""COMPUTED_VALUE"""),1.004)</f>
        <v>1.004</v>
      </c>
      <c r="E2350" s="16">
        <f>IFERROR(__xludf.DUMMYFUNCTION("""COMPUTED_VALUE"""),72.0)</f>
        <v>72</v>
      </c>
      <c r="F2350" s="19" t="str">
        <f>IFERROR(__xludf.DUMMYFUNCTION("""COMPUTED_VALUE"""),"BLACK")</f>
        <v>BLACK</v>
      </c>
      <c r="G2350" s="20" t="str">
        <f>IFERROR(__xludf.DUMMYFUNCTION("""COMPUTED_VALUE"""),"Uncle Sams Cider (04/04/2023)")</f>
        <v>Uncle Sams Cider (04/04/2023)</v>
      </c>
      <c r="H2350" s="19"/>
    </row>
    <row r="2351">
      <c r="A2351" s="9"/>
      <c r="B2351" s="15"/>
      <c r="C2351" s="9">
        <f>IFERROR(__xludf.DUMMYFUNCTION("""COMPUTED_VALUE"""),45120.0136541666)</f>
        <v>45120.01365</v>
      </c>
      <c r="D2351" s="15">
        <f>IFERROR(__xludf.DUMMYFUNCTION("""COMPUTED_VALUE"""),1.004)</f>
        <v>1.004</v>
      </c>
      <c r="E2351" s="16">
        <f>IFERROR(__xludf.DUMMYFUNCTION("""COMPUTED_VALUE"""),72.0)</f>
        <v>72</v>
      </c>
      <c r="F2351" s="19" t="str">
        <f>IFERROR(__xludf.DUMMYFUNCTION("""COMPUTED_VALUE"""),"BLACK")</f>
        <v>BLACK</v>
      </c>
      <c r="G2351" s="20" t="str">
        <f>IFERROR(__xludf.DUMMYFUNCTION("""COMPUTED_VALUE"""),"Uncle Sams Cider (04/04/2023)")</f>
        <v>Uncle Sams Cider (04/04/2023)</v>
      </c>
      <c r="H2351" s="19"/>
    </row>
    <row r="2352">
      <c r="A2352" s="9"/>
      <c r="B2352" s="15"/>
      <c r="C2352" s="9">
        <f>IFERROR(__xludf.DUMMYFUNCTION("""COMPUTED_VALUE"""),45120.0032317708)</f>
        <v>45120.00323</v>
      </c>
      <c r="D2352" s="15">
        <f>IFERROR(__xludf.DUMMYFUNCTION("""COMPUTED_VALUE"""),1.003)</f>
        <v>1.003</v>
      </c>
      <c r="E2352" s="16">
        <f>IFERROR(__xludf.DUMMYFUNCTION("""COMPUTED_VALUE"""),72.0)</f>
        <v>72</v>
      </c>
      <c r="F2352" s="19" t="str">
        <f>IFERROR(__xludf.DUMMYFUNCTION("""COMPUTED_VALUE"""),"BLACK")</f>
        <v>BLACK</v>
      </c>
      <c r="G2352" s="20" t="str">
        <f>IFERROR(__xludf.DUMMYFUNCTION("""COMPUTED_VALUE"""),"Uncle Sams Cider (04/04/2023)")</f>
        <v>Uncle Sams Cider (04/04/2023)</v>
      </c>
      <c r="H2352" s="19"/>
    </row>
    <row r="2353">
      <c r="A2353" s="9"/>
      <c r="B2353" s="15"/>
      <c r="C2353" s="9">
        <f>IFERROR(__xludf.DUMMYFUNCTION("""COMPUTED_VALUE"""),45119.9928089467)</f>
        <v>45119.99281</v>
      </c>
      <c r="D2353" s="15">
        <f>IFERROR(__xludf.DUMMYFUNCTION("""COMPUTED_VALUE"""),1.004)</f>
        <v>1.004</v>
      </c>
      <c r="E2353" s="16">
        <f>IFERROR(__xludf.DUMMYFUNCTION("""COMPUTED_VALUE"""),72.0)</f>
        <v>72</v>
      </c>
      <c r="F2353" s="19" t="str">
        <f>IFERROR(__xludf.DUMMYFUNCTION("""COMPUTED_VALUE"""),"BLACK")</f>
        <v>BLACK</v>
      </c>
      <c r="G2353" s="20" t="str">
        <f>IFERROR(__xludf.DUMMYFUNCTION("""COMPUTED_VALUE"""),"Uncle Sams Cider (04/04/2023)")</f>
        <v>Uncle Sams Cider (04/04/2023)</v>
      </c>
      <c r="H2353" s="19"/>
    </row>
    <row r="2354">
      <c r="A2354" s="9"/>
      <c r="B2354" s="15"/>
      <c r="C2354" s="9">
        <f>IFERROR(__xludf.DUMMYFUNCTION("""COMPUTED_VALUE"""),45119.9823866088)</f>
        <v>45119.98239</v>
      </c>
      <c r="D2354" s="15">
        <f>IFERROR(__xludf.DUMMYFUNCTION("""COMPUTED_VALUE"""),1.004)</f>
        <v>1.004</v>
      </c>
      <c r="E2354" s="16">
        <f>IFERROR(__xludf.DUMMYFUNCTION("""COMPUTED_VALUE"""),72.0)</f>
        <v>72</v>
      </c>
      <c r="F2354" s="19" t="str">
        <f>IFERROR(__xludf.DUMMYFUNCTION("""COMPUTED_VALUE"""),"BLACK")</f>
        <v>BLACK</v>
      </c>
      <c r="G2354" s="20" t="str">
        <f>IFERROR(__xludf.DUMMYFUNCTION("""COMPUTED_VALUE"""),"Uncle Sams Cider (04/04/2023)")</f>
        <v>Uncle Sams Cider (04/04/2023)</v>
      </c>
      <c r="H2354" s="19"/>
    </row>
    <row r="2355">
      <c r="A2355" s="9"/>
      <c r="B2355" s="15"/>
      <c r="C2355" s="9">
        <f>IFERROR(__xludf.DUMMYFUNCTION("""COMPUTED_VALUE"""),45119.9719661921)</f>
        <v>45119.97197</v>
      </c>
      <c r="D2355" s="15">
        <f>IFERROR(__xludf.DUMMYFUNCTION("""COMPUTED_VALUE"""),1.004)</f>
        <v>1.004</v>
      </c>
      <c r="E2355" s="16">
        <f>IFERROR(__xludf.DUMMYFUNCTION("""COMPUTED_VALUE"""),72.0)</f>
        <v>72</v>
      </c>
      <c r="F2355" s="19" t="str">
        <f>IFERROR(__xludf.DUMMYFUNCTION("""COMPUTED_VALUE"""),"BLACK")</f>
        <v>BLACK</v>
      </c>
      <c r="G2355" s="20" t="str">
        <f>IFERROR(__xludf.DUMMYFUNCTION("""COMPUTED_VALUE"""),"Uncle Sams Cider (04/04/2023)")</f>
        <v>Uncle Sams Cider (04/04/2023)</v>
      </c>
      <c r="H2355" s="19"/>
    </row>
    <row r="2356">
      <c r="A2356" s="9"/>
      <c r="B2356" s="15"/>
      <c r="C2356" s="9">
        <f>IFERROR(__xludf.DUMMYFUNCTION("""COMPUTED_VALUE"""),45119.9615452083)</f>
        <v>45119.96155</v>
      </c>
      <c r="D2356" s="15">
        <f>IFERROR(__xludf.DUMMYFUNCTION("""COMPUTED_VALUE"""),1.003)</f>
        <v>1.003</v>
      </c>
      <c r="E2356" s="16">
        <f>IFERROR(__xludf.DUMMYFUNCTION("""COMPUTED_VALUE"""),72.0)</f>
        <v>72</v>
      </c>
      <c r="F2356" s="19" t="str">
        <f>IFERROR(__xludf.DUMMYFUNCTION("""COMPUTED_VALUE"""),"BLACK")</f>
        <v>BLACK</v>
      </c>
      <c r="G2356" s="20" t="str">
        <f>IFERROR(__xludf.DUMMYFUNCTION("""COMPUTED_VALUE"""),"Uncle Sams Cider (04/04/2023)")</f>
        <v>Uncle Sams Cider (04/04/2023)</v>
      </c>
      <c r="H2356" s="19"/>
    </row>
    <row r="2357">
      <c r="A2357" s="9"/>
      <c r="B2357" s="15"/>
      <c r="C2357" s="9">
        <f>IFERROR(__xludf.DUMMYFUNCTION("""COMPUTED_VALUE"""),45119.9511224768)</f>
        <v>45119.95112</v>
      </c>
      <c r="D2357" s="15">
        <f>IFERROR(__xludf.DUMMYFUNCTION("""COMPUTED_VALUE"""),1.003)</f>
        <v>1.003</v>
      </c>
      <c r="E2357" s="16">
        <f>IFERROR(__xludf.DUMMYFUNCTION("""COMPUTED_VALUE"""),72.0)</f>
        <v>72</v>
      </c>
      <c r="F2357" s="19" t="str">
        <f>IFERROR(__xludf.DUMMYFUNCTION("""COMPUTED_VALUE"""),"BLACK")</f>
        <v>BLACK</v>
      </c>
      <c r="G2357" s="20" t="str">
        <f>IFERROR(__xludf.DUMMYFUNCTION("""COMPUTED_VALUE"""),"Uncle Sams Cider (04/04/2023)")</f>
        <v>Uncle Sams Cider (04/04/2023)</v>
      </c>
      <c r="H2357" s="19"/>
    </row>
    <row r="2358">
      <c r="A2358" s="9"/>
      <c r="B2358" s="15"/>
      <c r="C2358" s="9">
        <f>IFERROR(__xludf.DUMMYFUNCTION("""COMPUTED_VALUE"""),45119.9406901504)</f>
        <v>45119.94069</v>
      </c>
      <c r="D2358" s="15">
        <f>IFERROR(__xludf.DUMMYFUNCTION("""COMPUTED_VALUE"""),1.003)</f>
        <v>1.003</v>
      </c>
      <c r="E2358" s="16">
        <f>IFERROR(__xludf.DUMMYFUNCTION("""COMPUTED_VALUE"""),72.0)</f>
        <v>72</v>
      </c>
      <c r="F2358" s="19" t="str">
        <f>IFERROR(__xludf.DUMMYFUNCTION("""COMPUTED_VALUE"""),"BLACK")</f>
        <v>BLACK</v>
      </c>
      <c r="G2358" s="20" t="str">
        <f>IFERROR(__xludf.DUMMYFUNCTION("""COMPUTED_VALUE"""),"Uncle Sams Cider (04/04/2023)")</f>
        <v>Uncle Sams Cider (04/04/2023)</v>
      </c>
      <c r="H2358" s="19"/>
    </row>
    <row r="2359">
      <c r="A2359" s="9"/>
      <c r="B2359" s="15"/>
      <c r="C2359" s="9">
        <f>IFERROR(__xludf.DUMMYFUNCTION("""COMPUTED_VALUE"""),45119.9302704513)</f>
        <v>45119.93027</v>
      </c>
      <c r="D2359" s="15">
        <f>IFERROR(__xludf.DUMMYFUNCTION("""COMPUTED_VALUE"""),1.004)</f>
        <v>1.004</v>
      </c>
      <c r="E2359" s="16">
        <f>IFERROR(__xludf.DUMMYFUNCTION("""COMPUTED_VALUE"""),72.0)</f>
        <v>72</v>
      </c>
      <c r="F2359" s="19" t="str">
        <f>IFERROR(__xludf.DUMMYFUNCTION("""COMPUTED_VALUE"""),"BLACK")</f>
        <v>BLACK</v>
      </c>
      <c r="G2359" s="20" t="str">
        <f>IFERROR(__xludf.DUMMYFUNCTION("""COMPUTED_VALUE"""),"Uncle Sams Cider (04/04/2023)")</f>
        <v>Uncle Sams Cider (04/04/2023)</v>
      </c>
      <c r="H2359" s="19"/>
    </row>
    <row r="2360">
      <c r="A2360" s="9"/>
      <c r="B2360" s="15"/>
      <c r="C2360" s="9">
        <f>IFERROR(__xludf.DUMMYFUNCTION("""COMPUTED_VALUE"""),45119.9198498611)</f>
        <v>45119.91985</v>
      </c>
      <c r="D2360" s="15">
        <f>IFERROR(__xludf.DUMMYFUNCTION("""COMPUTED_VALUE"""),1.003)</f>
        <v>1.003</v>
      </c>
      <c r="E2360" s="16">
        <f>IFERROR(__xludf.DUMMYFUNCTION("""COMPUTED_VALUE"""),72.0)</f>
        <v>72</v>
      </c>
      <c r="F2360" s="19" t="str">
        <f>IFERROR(__xludf.DUMMYFUNCTION("""COMPUTED_VALUE"""),"BLACK")</f>
        <v>BLACK</v>
      </c>
      <c r="G2360" s="20" t="str">
        <f>IFERROR(__xludf.DUMMYFUNCTION("""COMPUTED_VALUE"""),"Uncle Sams Cider (04/04/2023)")</f>
        <v>Uncle Sams Cider (04/04/2023)</v>
      </c>
      <c r="H2360" s="19"/>
    </row>
    <row r="2361">
      <c r="A2361" s="9"/>
      <c r="B2361" s="15"/>
      <c r="C2361" s="9">
        <f>IFERROR(__xludf.DUMMYFUNCTION("""COMPUTED_VALUE"""),45119.9094281713)</f>
        <v>45119.90943</v>
      </c>
      <c r="D2361" s="15">
        <f>IFERROR(__xludf.DUMMYFUNCTION("""COMPUTED_VALUE"""),1.004)</f>
        <v>1.004</v>
      </c>
      <c r="E2361" s="16">
        <f>IFERROR(__xludf.DUMMYFUNCTION("""COMPUTED_VALUE"""),72.0)</f>
        <v>72</v>
      </c>
      <c r="F2361" s="19" t="str">
        <f>IFERROR(__xludf.DUMMYFUNCTION("""COMPUTED_VALUE"""),"BLACK")</f>
        <v>BLACK</v>
      </c>
      <c r="G2361" s="20" t="str">
        <f>IFERROR(__xludf.DUMMYFUNCTION("""COMPUTED_VALUE"""),"Uncle Sams Cider (04/04/2023)")</f>
        <v>Uncle Sams Cider (04/04/2023)</v>
      </c>
      <c r="H2361" s="19"/>
    </row>
    <row r="2362">
      <c r="A2362" s="9"/>
      <c r="B2362" s="15"/>
      <c r="C2362" s="9">
        <f>IFERROR(__xludf.DUMMYFUNCTION("""COMPUTED_VALUE"""),45119.8989946527)</f>
        <v>45119.89899</v>
      </c>
      <c r="D2362" s="15">
        <f>IFERROR(__xludf.DUMMYFUNCTION("""COMPUTED_VALUE"""),1.003)</f>
        <v>1.003</v>
      </c>
      <c r="E2362" s="16">
        <f>IFERROR(__xludf.DUMMYFUNCTION("""COMPUTED_VALUE"""),72.0)</f>
        <v>72</v>
      </c>
      <c r="F2362" s="19" t="str">
        <f>IFERROR(__xludf.DUMMYFUNCTION("""COMPUTED_VALUE"""),"BLACK")</f>
        <v>BLACK</v>
      </c>
      <c r="G2362" s="20" t="str">
        <f>IFERROR(__xludf.DUMMYFUNCTION("""COMPUTED_VALUE"""),"Uncle Sams Cider (04/04/2023)")</f>
        <v>Uncle Sams Cider (04/04/2023)</v>
      </c>
      <c r="H2362" s="19"/>
    </row>
    <row r="2363">
      <c r="A2363" s="9"/>
      <c r="B2363" s="15"/>
      <c r="C2363" s="9">
        <f>IFERROR(__xludf.DUMMYFUNCTION("""COMPUTED_VALUE"""),45119.8885739004)</f>
        <v>45119.88857</v>
      </c>
      <c r="D2363" s="15">
        <f>IFERROR(__xludf.DUMMYFUNCTION("""COMPUTED_VALUE"""),1.003)</f>
        <v>1.003</v>
      </c>
      <c r="E2363" s="16">
        <f>IFERROR(__xludf.DUMMYFUNCTION("""COMPUTED_VALUE"""),72.0)</f>
        <v>72</v>
      </c>
      <c r="F2363" s="19" t="str">
        <f>IFERROR(__xludf.DUMMYFUNCTION("""COMPUTED_VALUE"""),"BLACK")</f>
        <v>BLACK</v>
      </c>
      <c r="G2363" s="20" t="str">
        <f>IFERROR(__xludf.DUMMYFUNCTION("""COMPUTED_VALUE"""),"Uncle Sams Cider (04/04/2023)")</f>
        <v>Uncle Sams Cider (04/04/2023)</v>
      </c>
      <c r="H2363" s="19"/>
    </row>
    <row r="2364">
      <c r="A2364" s="9"/>
      <c r="B2364" s="15"/>
      <c r="C2364" s="9">
        <f>IFERROR(__xludf.DUMMYFUNCTION("""COMPUTED_VALUE"""),45119.8781414004)</f>
        <v>45119.87814</v>
      </c>
      <c r="D2364" s="15">
        <f>IFERROR(__xludf.DUMMYFUNCTION("""COMPUTED_VALUE"""),1.004)</f>
        <v>1.004</v>
      </c>
      <c r="E2364" s="16">
        <f>IFERROR(__xludf.DUMMYFUNCTION("""COMPUTED_VALUE"""),72.0)</f>
        <v>72</v>
      </c>
      <c r="F2364" s="19" t="str">
        <f>IFERROR(__xludf.DUMMYFUNCTION("""COMPUTED_VALUE"""),"BLACK")</f>
        <v>BLACK</v>
      </c>
      <c r="G2364" s="20" t="str">
        <f>IFERROR(__xludf.DUMMYFUNCTION("""COMPUTED_VALUE"""),"Uncle Sams Cider (04/04/2023)")</f>
        <v>Uncle Sams Cider (04/04/2023)</v>
      </c>
      <c r="H2364" s="19"/>
    </row>
    <row r="2365">
      <c r="A2365" s="9"/>
      <c r="B2365" s="15"/>
      <c r="C2365" s="9">
        <f>IFERROR(__xludf.DUMMYFUNCTION("""COMPUTED_VALUE"""),45119.867720787)</f>
        <v>45119.86772</v>
      </c>
      <c r="D2365" s="15">
        <f>IFERROR(__xludf.DUMMYFUNCTION("""COMPUTED_VALUE"""),1.003)</f>
        <v>1.003</v>
      </c>
      <c r="E2365" s="16">
        <f>IFERROR(__xludf.DUMMYFUNCTION("""COMPUTED_VALUE"""),72.0)</f>
        <v>72</v>
      </c>
      <c r="F2365" s="19" t="str">
        <f>IFERROR(__xludf.DUMMYFUNCTION("""COMPUTED_VALUE"""),"BLACK")</f>
        <v>BLACK</v>
      </c>
      <c r="G2365" s="20" t="str">
        <f>IFERROR(__xludf.DUMMYFUNCTION("""COMPUTED_VALUE"""),"Uncle Sams Cider (04/04/2023)")</f>
        <v>Uncle Sams Cider (04/04/2023)</v>
      </c>
      <c r="H2365" s="19"/>
    </row>
    <row r="2366">
      <c r="A2366" s="9"/>
      <c r="B2366" s="15"/>
      <c r="C2366" s="9">
        <f>IFERROR(__xludf.DUMMYFUNCTION("""COMPUTED_VALUE"""),45119.8573017824)</f>
        <v>45119.8573</v>
      </c>
      <c r="D2366" s="15">
        <f>IFERROR(__xludf.DUMMYFUNCTION("""COMPUTED_VALUE"""),1.003)</f>
        <v>1.003</v>
      </c>
      <c r="E2366" s="16">
        <f>IFERROR(__xludf.DUMMYFUNCTION("""COMPUTED_VALUE"""),72.0)</f>
        <v>72</v>
      </c>
      <c r="F2366" s="19" t="str">
        <f>IFERROR(__xludf.DUMMYFUNCTION("""COMPUTED_VALUE"""),"BLACK")</f>
        <v>BLACK</v>
      </c>
      <c r="G2366" s="20" t="str">
        <f>IFERROR(__xludf.DUMMYFUNCTION("""COMPUTED_VALUE"""),"Uncle Sams Cider (04/04/2023)")</f>
        <v>Uncle Sams Cider (04/04/2023)</v>
      </c>
      <c r="H2366" s="19"/>
    </row>
    <row r="2367">
      <c r="A2367" s="9"/>
      <c r="B2367" s="15"/>
      <c r="C2367" s="9">
        <f>IFERROR(__xludf.DUMMYFUNCTION("""COMPUTED_VALUE"""),45119.8468814004)</f>
        <v>45119.84688</v>
      </c>
      <c r="D2367" s="15">
        <f>IFERROR(__xludf.DUMMYFUNCTION("""COMPUTED_VALUE"""),1.004)</f>
        <v>1.004</v>
      </c>
      <c r="E2367" s="16">
        <f>IFERROR(__xludf.DUMMYFUNCTION("""COMPUTED_VALUE"""),72.0)</f>
        <v>72</v>
      </c>
      <c r="F2367" s="19" t="str">
        <f>IFERROR(__xludf.DUMMYFUNCTION("""COMPUTED_VALUE"""),"BLACK")</f>
        <v>BLACK</v>
      </c>
      <c r="G2367" s="20" t="str">
        <f>IFERROR(__xludf.DUMMYFUNCTION("""COMPUTED_VALUE"""),"Uncle Sams Cider (04/04/2023)")</f>
        <v>Uncle Sams Cider (04/04/2023)</v>
      </c>
      <c r="H2367" s="19"/>
    </row>
    <row r="2368">
      <c r="A2368" s="9"/>
      <c r="B2368" s="15"/>
      <c r="C2368" s="9">
        <f>IFERROR(__xludf.DUMMYFUNCTION("""COMPUTED_VALUE"""),45119.8364599768)</f>
        <v>45119.83646</v>
      </c>
      <c r="D2368" s="15">
        <f>IFERROR(__xludf.DUMMYFUNCTION("""COMPUTED_VALUE"""),1.003)</f>
        <v>1.003</v>
      </c>
      <c r="E2368" s="16">
        <f>IFERROR(__xludf.DUMMYFUNCTION("""COMPUTED_VALUE"""),72.0)</f>
        <v>72</v>
      </c>
      <c r="F2368" s="19" t="str">
        <f>IFERROR(__xludf.DUMMYFUNCTION("""COMPUTED_VALUE"""),"BLACK")</f>
        <v>BLACK</v>
      </c>
      <c r="G2368" s="20" t="str">
        <f>IFERROR(__xludf.DUMMYFUNCTION("""COMPUTED_VALUE"""),"Uncle Sams Cider (04/04/2023)")</f>
        <v>Uncle Sams Cider (04/04/2023)</v>
      </c>
      <c r="H2368" s="19"/>
    </row>
    <row r="2369">
      <c r="A2369" s="9"/>
      <c r="B2369" s="15"/>
      <c r="C2369" s="9">
        <f>IFERROR(__xludf.DUMMYFUNCTION("""COMPUTED_VALUE"""),45119.8260383796)</f>
        <v>45119.82604</v>
      </c>
      <c r="D2369" s="15">
        <f>IFERROR(__xludf.DUMMYFUNCTION("""COMPUTED_VALUE"""),1.004)</f>
        <v>1.004</v>
      </c>
      <c r="E2369" s="16">
        <f>IFERROR(__xludf.DUMMYFUNCTION("""COMPUTED_VALUE"""),72.0)</f>
        <v>72</v>
      </c>
      <c r="F2369" s="19" t="str">
        <f>IFERROR(__xludf.DUMMYFUNCTION("""COMPUTED_VALUE"""),"BLACK")</f>
        <v>BLACK</v>
      </c>
      <c r="G2369" s="20" t="str">
        <f>IFERROR(__xludf.DUMMYFUNCTION("""COMPUTED_VALUE"""),"Uncle Sams Cider (04/04/2023)")</f>
        <v>Uncle Sams Cider (04/04/2023)</v>
      </c>
      <c r="H2369" s="19"/>
    </row>
    <row r="2370">
      <c r="A2370" s="9"/>
      <c r="B2370" s="15"/>
      <c r="C2370" s="9">
        <f>IFERROR(__xludf.DUMMYFUNCTION("""COMPUTED_VALUE"""),45119.8156177893)</f>
        <v>45119.81562</v>
      </c>
      <c r="D2370" s="15">
        <f>IFERROR(__xludf.DUMMYFUNCTION("""COMPUTED_VALUE"""),1.003)</f>
        <v>1.003</v>
      </c>
      <c r="E2370" s="16">
        <f>IFERROR(__xludf.DUMMYFUNCTION("""COMPUTED_VALUE"""),72.0)</f>
        <v>72</v>
      </c>
      <c r="F2370" s="19" t="str">
        <f>IFERROR(__xludf.DUMMYFUNCTION("""COMPUTED_VALUE"""),"BLACK")</f>
        <v>BLACK</v>
      </c>
      <c r="G2370" s="20" t="str">
        <f>IFERROR(__xludf.DUMMYFUNCTION("""COMPUTED_VALUE"""),"Uncle Sams Cider (04/04/2023)")</f>
        <v>Uncle Sams Cider (04/04/2023)</v>
      </c>
      <c r="H2370" s="19"/>
    </row>
    <row r="2371">
      <c r="A2371" s="9"/>
      <c r="B2371" s="15"/>
      <c r="C2371" s="9">
        <f>IFERROR(__xludf.DUMMYFUNCTION("""COMPUTED_VALUE"""),45119.8051982407)</f>
        <v>45119.8052</v>
      </c>
      <c r="D2371" s="15">
        <f>IFERROR(__xludf.DUMMYFUNCTION("""COMPUTED_VALUE"""),1.003)</f>
        <v>1.003</v>
      </c>
      <c r="E2371" s="16">
        <f>IFERROR(__xludf.DUMMYFUNCTION("""COMPUTED_VALUE"""),72.0)</f>
        <v>72</v>
      </c>
      <c r="F2371" s="19" t="str">
        <f>IFERROR(__xludf.DUMMYFUNCTION("""COMPUTED_VALUE"""),"BLACK")</f>
        <v>BLACK</v>
      </c>
      <c r="G2371" s="20" t="str">
        <f>IFERROR(__xludf.DUMMYFUNCTION("""COMPUTED_VALUE"""),"Uncle Sams Cider (04/04/2023)")</f>
        <v>Uncle Sams Cider (04/04/2023)</v>
      </c>
      <c r="H2371" s="19"/>
    </row>
    <row r="2372">
      <c r="A2372" s="9"/>
      <c r="B2372" s="15"/>
      <c r="C2372" s="9">
        <f>IFERROR(__xludf.DUMMYFUNCTION("""COMPUTED_VALUE"""),45119.7947786226)</f>
        <v>45119.79478</v>
      </c>
      <c r="D2372" s="15">
        <f>IFERROR(__xludf.DUMMYFUNCTION("""COMPUTED_VALUE"""),1.004)</f>
        <v>1.004</v>
      </c>
      <c r="E2372" s="16">
        <f>IFERROR(__xludf.DUMMYFUNCTION("""COMPUTED_VALUE"""),72.0)</f>
        <v>72</v>
      </c>
      <c r="F2372" s="19" t="str">
        <f>IFERROR(__xludf.DUMMYFUNCTION("""COMPUTED_VALUE"""),"BLACK")</f>
        <v>BLACK</v>
      </c>
      <c r="G2372" s="20" t="str">
        <f>IFERROR(__xludf.DUMMYFUNCTION("""COMPUTED_VALUE"""),"Uncle Sams Cider (04/04/2023)")</f>
        <v>Uncle Sams Cider (04/04/2023)</v>
      </c>
      <c r="H2372" s="19"/>
    </row>
    <row r="2373">
      <c r="A2373" s="9"/>
      <c r="B2373" s="15"/>
      <c r="C2373" s="9">
        <f>IFERROR(__xludf.DUMMYFUNCTION("""COMPUTED_VALUE"""),45119.7843564351)</f>
        <v>45119.78436</v>
      </c>
      <c r="D2373" s="15">
        <f>IFERROR(__xludf.DUMMYFUNCTION("""COMPUTED_VALUE"""),1.003)</f>
        <v>1.003</v>
      </c>
      <c r="E2373" s="16">
        <f>IFERROR(__xludf.DUMMYFUNCTION("""COMPUTED_VALUE"""),72.0)</f>
        <v>72</v>
      </c>
      <c r="F2373" s="19" t="str">
        <f>IFERROR(__xludf.DUMMYFUNCTION("""COMPUTED_VALUE"""),"BLACK")</f>
        <v>BLACK</v>
      </c>
      <c r="G2373" s="20" t="str">
        <f>IFERROR(__xludf.DUMMYFUNCTION("""COMPUTED_VALUE"""),"Uncle Sams Cider (04/04/2023)")</f>
        <v>Uncle Sams Cider (04/04/2023)</v>
      </c>
      <c r="H2373" s="19"/>
    </row>
    <row r="2374">
      <c r="A2374" s="9"/>
      <c r="B2374" s="15"/>
      <c r="C2374" s="9">
        <f>IFERROR(__xludf.DUMMYFUNCTION("""COMPUTED_VALUE"""),45119.7739238541)</f>
        <v>45119.77392</v>
      </c>
      <c r="D2374" s="15">
        <f>IFERROR(__xludf.DUMMYFUNCTION("""COMPUTED_VALUE"""),1.004)</f>
        <v>1.004</v>
      </c>
      <c r="E2374" s="16">
        <f>IFERROR(__xludf.DUMMYFUNCTION("""COMPUTED_VALUE"""),72.0)</f>
        <v>72</v>
      </c>
      <c r="F2374" s="19" t="str">
        <f>IFERROR(__xludf.DUMMYFUNCTION("""COMPUTED_VALUE"""),"BLACK")</f>
        <v>BLACK</v>
      </c>
      <c r="G2374" s="20" t="str">
        <f>IFERROR(__xludf.DUMMYFUNCTION("""COMPUTED_VALUE"""),"Uncle Sams Cider (04/04/2023)")</f>
        <v>Uncle Sams Cider (04/04/2023)</v>
      </c>
      <c r="H2374" s="19"/>
    </row>
    <row r="2375">
      <c r="A2375" s="9"/>
      <c r="B2375" s="15"/>
      <c r="C2375" s="9">
        <f>IFERROR(__xludf.DUMMYFUNCTION("""COMPUTED_VALUE"""),45119.7635028472)</f>
        <v>45119.7635</v>
      </c>
      <c r="D2375" s="15">
        <f>IFERROR(__xludf.DUMMYFUNCTION("""COMPUTED_VALUE"""),1.003)</f>
        <v>1.003</v>
      </c>
      <c r="E2375" s="16">
        <f>IFERROR(__xludf.DUMMYFUNCTION("""COMPUTED_VALUE"""),72.0)</f>
        <v>72</v>
      </c>
      <c r="F2375" s="19" t="str">
        <f>IFERROR(__xludf.DUMMYFUNCTION("""COMPUTED_VALUE"""),"BLACK")</f>
        <v>BLACK</v>
      </c>
      <c r="G2375" s="20" t="str">
        <f>IFERROR(__xludf.DUMMYFUNCTION("""COMPUTED_VALUE"""),"Uncle Sams Cider (04/04/2023)")</f>
        <v>Uncle Sams Cider (04/04/2023)</v>
      </c>
      <c r="H2375" s="19"/>
    </row>
    <row r="2376">
      <c r="A2376" s="9"/>
      <c r="B2376" s="15"/>
      <c r="C2376" s="9">
        <f>IFERROR(__xludf.DUMMYFUNCTION("""COMPUTED_VALUE"""),45119.7530693402)</f>
        <v>45119.75307</v>
      </c>
      <c r="D2376" s="15">
        <f>IFERROR(__xludf.DUMMYFUNCTION("""COMPUTED_VALUE"""),1.003)</f>
        <v>1.003</v>
      </c>
      <c r="E2376" s="16">
        <f>IFERROR(__xludf.DUMMYFUNCTION("""COMPUTED_VALUE"""),72.0)</f>
        <v>72</v>
      </c>
      <c r="F2376" s="19" t="str">
        <f>IFERROR(__xludf.DUMMYFUNCTION("""COMPUTED_VALUE"""),"BLACK")</f>
        <v>BLACK</v>
      </c>
      <c r="G2376" s="20" t="str">
        <f>IFERROR(__xludf.DUMMYFUNCTION("""COMPUTED_VALUE"""),"Uncle Sams Cider (04/04/2023)")</f>
        <v>Uncle Sams Cider (04/04/2023)</v>
      </c>
      <c r="H2376" s="19"/>
    </row>
    <row r="2377">
      <c r="A2377" s="9"/>
      <c r="B2377" s="15"/>
      <c r="C2377" s="9">
        <f>IFERROR(__xludf.DUMMYFUNCTION("""COMPUTED_VALUE"""),45119.7426495254)</f>
        <v>45119.74265</v>
      </c>
      <c r="D2377" s="15">
        <f>IFERROR(__xludf.DUMMYFUNCTION("""COMPUTED_VALUE"""),1.003)</f>
        <v>1.003</v>
      </c>
      <c r="E2377" s="16">
        <f>IFERROR(__xludf.DUMMYFUNCTION("""COMPUTED_VALUE"""),72.0)</f>
        <v>72</v>
      </c>
      <c r="F2377" s="19" t="str">
        <f>IFERROR(__xludf.DUMMYFUNCTION("""COMPUTED_VALUE"""),"BLACK")</f>
        <v>BLACK</v>
      </c>
      <c r="G2377" s="20" t="str">
        <f>IFERROR(__xludf.DUMMYFUNCTION("""COMPUTED_VALUE"""),"Uncle Sams Cider (04/04/2023)")</f>
        <v>Uncle Sams Cider (04/04/2023)</v>
      </c>
      <c r="H2377" s="19"/>
    </row>
    <row r="2378">
      <c r="A2378" s="9"/>
      <c r="B2378" s="15"/>
      <c r="C2378" s="9">
        <f>IFERROR(__xludf.DUMMYFUNCTION("""COMPUTED_VALUE"""),45119.7322171643)</f>
        <v>45119.73222</v>
      </c>
      <c r="D2378" s="15">
        <f>IFERROR(__xludf.DUMMYFUNCTION("""COMPUTED_VALUE"""),1.004)</f>
        <v>1.004</v>
      </c>
      <c r="E2378" s="16">
        <f>IFERROR(__xludf.DUMMYFUNCTION("""COMPUTED_VALUE"""),72.0)</f>
        <v>72</v>
      </c>
      <c r="F2378" s="19" t="str">
        <f>IFERROR(__xludf.DUMMYFUNCTION("""COMPUTED_VALUE"""),"BLACK")</f>
        <v>BLACK</v>
      </c>
      <c r="G2378" s="20" t="str">
        <f>IFERROR(__xludf.DUMMYFUNCTION("""COMPUTED_VALUE"""),"Uncle Sams Cider (04/04/2023)")</f>
        <v>Uncle Sams Cider (04/04/2023)</v>
      </c>
      <c r="H2378" s="19"/>
    </row>
    <row r="2379">
      <c r="A2379" s="9"/>
      <c r="B2379" s="15"/>
      <c r="C2379" s="9">
        <f>IFERROR(__xludf.DUMMYFUNCTION("""COMPUTED_VALUE"""),45119.7217708101)</f>
        <v>45119.72177</v>
      </c>
      <c r="D2379" s="15">
        <f>IFERROR(__xludf.DUMMYFUNCTION("""COMPUTED_VALUE"""),1.004)</f>
        <v>1.004</v>
      </c>
      <c r="E2379" s="16">
        <f>IFERROR(__xludf.DUMMYFUNCTION("""COMPUTED_VALUE"""),72.0)</f>
        <v>72</v>
      </c>
      <c r="F2379" s="19" t="str">
        <f>IFERROR(__xludf.DUMMYFUNCTION("""COMPUTED_VALUE"""),"BLACK")</f>
        <v>BLACK</v>
      </c>
      <c r="G2379" s="20" t="str">
        <f>IFERROR(__xludf.DUMMYFUNCTION("""COMPUTED_VALUE"""),"Uncle Sams Cider (04/04/2023)")</f>
        <v>Uncle Sams Cider (04/04/2023)</v>
      </c>
      <c r="H2379" s="19"/>
    </row>
    <row r="2380">
      <c r="A2380" s="9"/>
      <c r="B2380" s="15"/>
      <c r="C2380" s="9">
        <f>IFERROR(__xludf.DUMMYFUNCTION("""COMPUTED_VALUE"""),45119.7113499537)</f>
        <v>45119.71135</v>
      </c>
      <c r="D2380" s="15">
        <f>IFERROR(__xludf.DUMMYFUNCTION("""COMPUTED_VALUE"""),1.003)</f>
        <v>1.003</v>
      </c>
      <c r="E2380" s="16">
        <f>IFERROR(__xludf.DUMMYFUNCTION("""COMPUTED_VALUE"""),72.0)</f>
        <v>72</v>
      </c>
      <c r="F2380" s="19" t="str">
        <f>IFERROR(__xludf.DUMMYFUNCTION("""COMPUTED_VALUE"""),"BLACK")</f>
        <v>BLACK</v>
      </c>
      <c r="G2380" s="20" t="str">
        <f>IFERROR(__xludf.DUMMYFUNCTION("""COMPUTED_VALUE"""),"Uncle Sams Cider (04/04/2023)")</f>
        <v>Uncle Sams Cider (04/04/2023)</v>
      </c>
      <c r="H2380" s="19"/>
    </row>
    <row r="2381">
      <c r="A2381" s="9"/>
      <c r="B2381" s="15"/>
      <c r="C2381" s="9">
        <f>IFERROR(__xludf.DUMMYFUNCTION("""COMPUTED_VALUE"""),45119.700927743)</f>
        <v>45119.70093</v>
      </c>
      <c r="D2381" s="15">
        <f>IFERROR(__xludf.DUMMYFUNCTION("""COMPUTED_VALUE"""),1.004)</f>
        <v>1.004</v>
      </c>
      <c r="E2381" s="16">
        <f>IFERROR(__xludf.DUMMYFUNCTION("""COMPUTED_VALUE"""),72.0)</f>
        <v>72</v>
      </c>
      <c r="F2381" s="19" t="str">
        <f>IFERROR(__xludf.DUMMYFUNCTION("""COMPUTED_VALUE"""),"BLACK")</f>
        <v>BLACK</v>
      </c>
      <c r="G2381" s="20" t="str">
        <f>IFERROR(__xludf.DUMMYFUNCTION("""COMPUTED_VALUE"""),"Uncle Sams Cider (04/04/2023)")</f>
        <v>Uncle Sams Cider (04/04/2023)</v>
      </c>
      <c r="H2381" s="19"/>
    </row>
    <row r="2382">
      <c r="A2382" s="9"/>
      <c r="B2382" s="15"/>
      <c r="C2382" s="9">
        <f>IFERROR(__xludf.DUMMYFUNCTION("""COMPUTED_VALUE"""),45119.6905044907)</f>
        <v>45119.6905</v>
      </c>
      <c r="D2382" s="15">
        <f>IFERROR(__xludf.DUMMYFUNCTION("""COMPUTED_VALUE"""),1.004)</f>
        <v>1.004</v>
      </c>
      <c r="E2382" s="16">
        <f>IFERROR(__xludf.DUMMYFUNCTION("""COMPUTED_VALUE"""),72.0)</f>
        <v>72</v>
      </c>
      <c r="F2382" s="19" t="str">
        <f>IFERROR(__xludf.DUMMYFUNCTION("""COMPUTED_VALUE"""),"BLACK")</f>
        <v>BLACK</v>
      </c>
      <c r="G2382" s="20" t="str">
        <f>IFERROR(__xludf.DUMMYFUNCTION("""COMPUTED_VALUE"""),"Uncle Sams Cider (04/04/2023)")</f>
        <v>Uncle Sams Cider (04/04/2023)</v>
      </c>
      <c r="H2382" s="19"/>
    </row>
    <row r="2383">
      <c r="A2383" s="9"/>
      <c r="B2383" s="15"/>
      <c r="C2383" s="9">
        <f>IFERROR(__xludf.DUMMYFUNCTION("""COMPUTED_VALUE"""),45119.6800836458)</f>
        <v>45119.68008</v>
      </c>
      <c r="D2383" s="15">
        <f>IFERROR(__xludf.DUMMYFUNCTION("""COMPUTED_VALUE"""),1.004)</f>
        <v>1.004</v>
      </c>
      <c r="E2383" s="16">
        <f>IFERROR(__xludf.DUMMYFUNCTION("""COMPUTED_VALUE"""),72.0)</f>
        <v>72</v>
      </c>
      <c r="F2383" s="19" t="str">
        <f>IFERROR(__xludf.DUMMYFUNCTION("""COMPUTED_VALUE"""),"BLACK")</f>
        <v>BLACK</v>
      </c>
      <c r="G2383" s="20" t="str">
        <f>IFERROR(__xludf.DUMMYFUNCTION("""COMPUTED_VALUE"""),"Uncle Sams Cider (04/04/2023)")</f>
        <v>Uncle Sams Cider (04/04/2023)</v>
      </c>
      <c r="H2383" s="19"/>
    </row>
    <row r="2384">
      <c r="A2384" s="9"/>
      <c r="B2384" s="15"/>
      <c r="C2384" s="9">
        <f>IFERROR(__xludf.DUMMYFUNCTION("""COMPUTED_VALUE"""),45119.6696616203)</f>
        <v>45119.66966</v>
      </c>
      <c r="D2384" s="15">
        <f>IFERROR(__xludf.DUMMYFUNCTION("""COMPUTED_VALUE"""),1.004)</f>
        <v>1.004</v>
      </c>
      <c r="E2384" s="16">
        <f>IFERROR(__xludf.DUMMYFUNCTION("""COMPUTED_VALUE"""),72.0)</f>
        <v>72</v>
      </c>
      <c r="F2384" s="19" t="str">
        <f>IFERROR(__xludf.DUMMYFUNCTION("""COMPUTED_VALUE"""),"BLACK")</f>
        <v>BLACK</v>
      </c>
      <c r="G2384" s="20" t="str">
        <f>IFERROR(__xludf.DUMMYFUNCTION("""COMPUTED_VALUE"""),"Uncle Sams Cider (04/04/2023)")</f>
        <v>Uncle Sams Cider (04/04/2023)</v>
      </c>
      <c r="H2384" s="19"/>
    </row>
    <row r="2385">
      <c r="A2385" s="9"/>
      <c r="B2385" s="15"/>
      <c r="C2385" s="9">
        <f>IFERROR(__xludf.DUMMYFUNCTION("""COMPUTED_VALUE"""),45119.6592403703)</f>
        <v>45119.65924</v>
      </c>
      <c r="D2385" s="15">
        <f>IFERROR(__xludf.DUMMYFUNCTION("""COMPUTED_VALUE"""),1.003)</f>
        <v>1.003</v>
      </c>
      <c r="E2385" s="16">
        <f>IFERROR(__xludf.DUMMYFUNCTION("""COMPUTED_VALUE"""),72.0)</f>
        <v>72</v>
      </c>
      <c r="F2385" s="19" t="str">
        <f>IFERROR(__xludf.DUMMYFUNCTION("""COMPUTED_VALUE"""),"BLACK")</f>
        <v>BLACK</v>
      </c>
      <c r="G2385" s="20" t="str">
        <f>IFERROR(__xludf.DUMMYFUNCTION("""COMPUTED_VALUE"""),"Uncle Sams Cider (04/04/2023)")</f>
        <v>Uncle Sams Cider (04/04/2023)</v>
      </c>
      <c r="H2385" s="19"/>
    </row>
    <row r="2386">
      <c r="A2386" s="9"/>
      <c r="B2386" s="15"/>
      <c r="C2386" s="9">
        <f>IFERROR(__xludf.DUMMYFUNCTION("""COMPUTED_VALUE"""),45119.6488191319)</f>
        <v>45119.64882</v>
      </c>
      <c r="D2386" s="15">
        <f>IFERROR(__xludf.DUMMYFUNCTION("""COMPUTED_VALUE"""),1.003)</f>
        <v>1.003</v>
      </c>
      <c r="E2386" s="16">
        <f>IFERROR(__xludf.DUMMYFUNCTION("""COMPUTED_VALUE"""),72.0)</f>
        <v>72</v>
      </c>
      <c r="F2386" s="19" t="str">
        <f>IFERROR(__xludf.DUMMYFUNCTION("""COMPUTED_VALUE"""),"BLACK")</f>
        <v>BLACK</v>
      </c>
      <c r="G2386" s="20" t="str">
        <f>IFERROR(__xludf.DUMMYFUNCTION("""COMPUTED_VALUE"""),"Uncle Sams Cider (04/04/2023)")</f>
        <v>Uncle Sams Cider (04/04/2023)</v>
      </c>
      <c r="H2386" s="19"/>
    </row>
    <row r="2387">
      <c r="A2387" s="9"/>
      <c r="B2387" s="15"/>
      <c r="C2387" s="9">
        <f>IFERROR(__xludf.DUMMYFUNCTION("""COMPUTED_VALUE"""),45119.6383976273)</f>
        <v>45119.6384</v>
      </c>
      <c r="D2387" s="15">
        <f>IFERROR(__xludf.DUMMYFUNCTION("""COMPUTED_VALUE"""),1.003)</f>
        <v>1.003</v>
      </c>
      <c r="E2387" s="16">
        <f>IFERROR(__xludf.DUMMYFUNCTION("""COMPUTED_VALUE"""),72.0)</f>
        <v>72</v>
      </c>
      <c r="F2387" s="19" t="str">
        <f>IFERROR(__xludf.DUMMYFUNCTION("""COMPUTED_VALUE"""),"BLACK")</f>
        <v>BLACK</v>
      </c>
      <c r="G2387" s="20" t="str">
        <f>IFERROR(__xludf.DUMMYFUNCTION("""COMPUTED_VALUE"""),"Uncle Sams Cider (04/04/2023)")</f>
        <v>Uncle Sams Cider (04/04/2023)</v>
      </c>
      <c r="H2387" s="19"/>
    </row>
    <row r="2388">
      <c r="A2388" s="9"/>
      <c r="B2388" s="15"/>
      <c r="C2388" s="9">
        <f>IFERROR(__xludf.DUMMYFUNCTION("""COMPUTED_VALUE"""),45119.6279771412)</f>
        <v>45119.62798</v>
      </c>
      <c r="D2388" s="15">
        <f>IFERROR(__xludf.DUMMYFUNCTION("""COMPUTED_VALUE"""),1.004)</f>
        <v>1.004</v>
      </c>
      <c r="E2388" s="16">
        <f>IFERROR(__xludf.DUMMYFUNCTION("""COMPUTED_VALUE"""),72.0)</f>
        <v>72</v>
      </c>
      <c r="F2388" s="19" t="str">
        <f>IFERROR(__xludf.DUMMYFUNCTION("""COMPUTED_VALUE"""),"BLACK")</f>
        <v>BLACK</v>
      </c>
      <c r="G2388" s="20" t="str">
        <f>IFERROR(__xludf.DUMMYFUNCTION("""COMPUTED_VALUE"""),"Uncle Sams Cider (04/04/2023)")</f>
        <v>Uncle Sams Cider (04/04/2023)</v>
      </c>
      <c r="H2388" s="19"/>
    </row>
    <row r="2389">
      <c r="A2389" s="9"/>
      <c r="B2389" s="15"/>
      <c r="C2389" s="9">
        <f>IFERROR(__xludf.DUMMYFUNCTION("""COMPUTED_VALUE"""),45119.6175456018)</f>
        <v>45119.61755</v>
      </c>
      <c r="D2389" s="15">
        <f>IFERROR(__xludf.DUMMYFUNCTION("""COMPUTED_VALUE"""),1.004)</f>
        <v>1.004</v>
      </c>
      <c r="E2389" s="16">
        <f>IFERROR(__xludf.DUMMYFUNCTION("""COMPUTED_VALUE"""),72.0)</f>
        <v>72</v>
      </c>
      <c r="F2389" s="19" t="str">
        <f>IFERROR(__xludf.DUMMYFUNCTION("""COMPUTED_VALUE"""),"BLACK")</f>
        <v>BLACK</v>
      </c>
      <c r="G2389" s="20" t="str">
        <f>IFERROR(__xludf.DUMMYFUNCTION("""COMPUTED_VALUE"""),"Uncle Sams Cider (04/04/2023)")</f>
        <v>Uncle Sams Cider (04/04/2023)</v>
      </c>
      <c r="H2389" s="19"/>
    </row>
    <row r="2390">
      <c r="A2390" s="9"/>
      <c r="B2390" s="15"/>
      <c r="C2390" s="9">
        <f>IFERROR(__xludf.DUMMYFUNCTION("""COMPUTED_VALUE"""),45119.607124074)</f>
        <v>45119.60712</v>
      </c>
      <c r="D2390" s="15">
        <f>IFERROR(__xludf.DUMMYFUNCTION("""COMPUTED_VALUE"""),1.004)</f>
        <v>1.004</v>
      </c>
      <c r="E2390" s="16">
        <f>IFERROR(__xludf.DUMMYFUNCTION("""COMPUTED_VALUE"""),72.0)</f>
        <v>72</v>
      </c>
      <c r="F2390" s="19" t="str">
        <f>IFERROR(__xludf.DUMMYFUNCTION("""COMPUTED_VALUE"""),"BLACK")</f>
        <v>BLACK</v>
      </c>
      <c r="G2390" s="20" t="str">
        <f>IFERROR(__xludf.DUMMYFUNCTION("""COMPUTED_VALUE"""),"Uncle Sams Cider (04/04/2023)")</f>
        <v>Uncle Sams Cider (04/04/2023)</v>
      </c>
      <c r="H2390" s="19"/>
    </row>
    <row r="2391">
      <c r="A2391" s="9"/>
      <c r="B2391" s="15"/>
      <c r="C2391" s="9">
        <f>IFERROR(__xludf.DUMMYFUNCTION("""COMPUTED_VALUE"""),45119.5967011689)</f>
        <v>45119.5967</v>
      </c>
      <c r="D2391" s="15">
        <f>IFERROR(__xludf.DUMMYFUNCTION("""COMPUTED_VALUE"""),1.003)</f>
        <v>1.003</v>
      </c>
      <c r="E2391" s="16">
        <f>IFERROR(__xludf.DUMMYFUNCTION("""COMPUTED_VALUE"""),72.0)</f>
        <v>72</v>
      </c>
      <c r="F2391" s="19" t="str">
        <f>IFERROR(__xludf.DUMMYFUNCTION("""COMPUTED_VALUE"""),"BLACK")</f>
        <v>BLACK</v>
      </c>
      <c r="G2391" s="20" t="str">
        <f>IFERROR(__xludf.DUMMYFUNCTION("""COMPUTED_VALUE"""),"Uncle Sams Cider (04/04/2023)")</f>
        <v>Uncle Sams Cider (04/04/2023)</v>
      </c>
      <c r="H2391" s="19"/>
    </row>
    <row r="2392">
      <c r="A2392" s="9"/>
      <c r="B2392" s="15"/>
      <c r="C2392" s="9">
        <f>IFERROR(__xludf.DUMMYFUNCTION("""COMPUTED_VALUE"""),45119.586280868)</f>
        <v>45119.58628</v>
      </c>
      <c r="D2392" s="15">
        <f>IFERROR(__xludf.DUMMYFUNCTION("""COMPUTED_VALUE"""),1.004)</f>
        <v>1.004</v>
      </c>
      <c r="E2392" s="16">
        <f>IFERROR(__xludf.DUMMYFUNCTION("""COMPUTED_VALUE"""),72.0)</f>
        <v>72</v>
      </c>
      <c r="F2392" s="19" t="str">
        <f>IFERROR(__xludf.DUMMYFUNCTION("""COMPUTED_VALUE"""),"BLACK")</f>
        <v>BLACK</v>
      </c>
      <c r="G2392" s="20" t="str">
        <f>IFERROR(__xludf.DUMMYFUNCTION("""COMPUTED_VALUE"""),"Uncle Sams Cider (04/04/2023)")</f>
        <v>Uncle Sams Cider (04/04/2023)</v>
      </c>
      <c r="H2392" s="19"/>
    </row>
    <row r="2393">
      <c r="A2393" s="9"/>
      <c r="B2393" s="15"/>
      <c r="C2393" s="9">
        <f>IFERROR(__xludf.DUMMYFUNCTION("""COMPUTED_VALUE"""),45119.5758592939)</f>
        <v>45119.57586</v>
      </c>
      <c r="D2393" s="15">
        <f>IFERROR(__xludf.DUMMYFUNCTION("""COMPUTED_VALUE"""),1.003)</f>
        <v>1.003</v>
      </c>
      <c r="E2393" s="16">
        <f>IFERROR(__xludf.DUMMYFUNCTION("""COMPUTED_VALUE"""),72.0)</f>
        <v>72</v>
      </c>
      <c r="F2393" s="19" t="str">
        <f>IFERROR(__xludf.DUMMYFUNCTION("""COMPUTED_VALUE"""),"BLACK")</f>
        <v>BLACK</v>
      </c>
      <c r="G2393" s="20" t="str">
        <f>IFERROR(__xludf.DUMMYFUNCTION("""COMPUTED_VALUE"""),"Uncle Sams Cider (04/04/2023)")</f>
        <v>Uncle Sams Cider (04/04/2023)</v>
      </c>
      <c r="H2393" s="19"/>
    </row>
    <row r="2394">
      <c r="A2394" s="9"/>
      <c r="B2394" s="15"/>
      <c r="C2394" s="9">
        <f>IFERROR(__xludf.DUMMYFUNCTION("""COMPUTED_VALUE"""),45119.5654364351)</f>
        <v>45119.56544</v>
      </c>
      <c r="D2394" s="15">
        <f>IFERROR(__xludf.DUMMYFUNCTION("""COMPUTED_VALUE"""),1.003)</f>
        <v>1.003</v>
      </c>
      <c r="E2394" s="16">
        <f>IFERROR(__xludf.DUMMYFUNCTION("""COMPUTED_VALUE"""),72.0)</f>
        <v>72</v>
      </c>
      <c r="F2394" s="19" t="str">
        <f>IFERROR(__xludf.DUMMYFUNCTION("""COMPUTED_VALUE"""),"BLACK")</f>
        <v>BLACK</v>
      </c>
      <c r="G2394" s="20" t="str">
        <f>IFERROR(__xludf.DUMMYFUNCTION("""COMPUTED_VALUE"""),"Uncle Sams Cider (04/04/2023)")</f>
        <v>Uncle Sams Cider (04/04/2023)</v>
      </c>
      <c r="H2394" s="19"/>
    </row>
    <row r="2395">
      <c r="A2395" s="9"/>
      <c r="B2395" s="15"/>
      <c r="C2395" s="9">
        <f>IFERROR(__xludf.DUMMYFUNCTION("""COMPUTED_VALUE"""),45119.555002118)</f>
        <v>45119.555</v>
      </c>
      <c r="D2395" s="15">
        <f>IFERROR(__xludf.DUMMYFUNCTION("""COMPUTED_VALUE"""),1.003)</f>
        <v>1.003</v>
      </c>
      <c r="E2395" s="16">
        <f>IFERROR(__xludf.DUMMYFUNCTION("""COMPUTED_VALUE"""),72.0)</f>
        <v>72</v>
      </c>
      <c r="F2395" s="19" t="str">
        <f>IFERROR(__xludf.DUMMYFUNCTION("""COMPUTED_VALUE"""),"BLACK")</f>
        <v>BLACK</v>
      </c>
      <c r="G2395" s="20" t="str">
        <f>IFERROR(__xludf.DUMMYFUNCTION("""COMPUTED_VALUE"""),"Uncle Sams Cider (04/04/2023)")</f>
        <v>Uncle Sams Cider (04/04/2023)</v>
      </c>
      <c r="H2395" s="19"/>
    </row>
    <row r="2396">
      <c r="A2396" s="9"/>
      <c r="B2396" s="15"/>
      <c r="C2396" s="9">
        <f>IFERROR(__xludf.DUMMYFUNCTION("""COMPUTED_VALUE"""),45119.5445810995)</f>
        <v>45119.54458</v>
      </c>
      <c r="D2396" s="15">
        <f>IFERROR(__xludf.DUMMYFUNCTION("""COMPUTED_VALUE"""),1.004)</f>
        <v>1.004</v>
      </c>
      <c r="E2396" s="16">
        <f>IFERROR(__xludf.DUMMYFUNCTION("""COMPUTED_VALUE"""),72.0)</f>
        <v>72</v>
      </c>
      <c r="F2396" s="19" t="str">
        <f>IFERROR(__xludf.DUMMYFUNCTION("""COMPUTED_VALUE"""),"BLACK")</f>
        <v>BLACK</v>
      </c>
      <c r="G2396" s="20" t="str">
        <f>IFERROR(__xludf.DUMMYFUNCTION("""COMPUTED_VALUE"""),"Uncle Sams Cider (04/04/2023)")</f>
        <v>Uncle Sams Cider (04/04/2023)</v>
      </c>
      <c r="H2396" s="19"/>
    </row>
    <row r="2397">
      <c r="A2397" s="9"/>
      <c r="B2397" s="15"/>
      <c r="C2397" s="9">
        <f>IFERROR(__xludf.DUMMYFUNCTION("""COMPUTED_VALUE"""),45119.5341507176)</f>
        <v>45119.53415</v>
      </c>
      <c r="D2397" s="15">
        <f>IFERROR(__xludf.DUMMYFUNCTION("""COMPUTED_VALUE"""),1.004)</f>
        <v>1.004</v>
      </c>
      <c r="E2397" s="16">
        <f>IFERROR(__xludf.DUMMYFUNCTION("""COMPUTED_VALUE"""),72.0)</f>
        <v>72</v>
      </c>
      <c r="F2397" s="19" t="str">
        <f>IFERROR(__xludf.DUMMYFUNCTION("""COMPUTED_VALUE"""),"BLACK")</f>
        <v>BLACK</v>
      </c>
      <c r="G2397" s="20" t="str">
        <f>IFERROR(__xludf.DUMMYFUNCTION("""COMPUTED_VALUE"""),"Uncle Sams Cider (04/04/2023)")</f>
        <v>Uncle Sams Cider (04/04/2023)</v>
      </c>
      <c r="H2397" s="19"/>
    </row>
    <row r="2398">
      <c r="A2398" s="9"/>
      <c r="B2398" s="15"/>
      <c r="C2398" s="9">
        <f>IFERROR(__xludf.DUMMYFUNCTION("""COMPUTED_VALUE"""),45119.5237265625)</f>
        <v>45119.52373</v>
      </c>
      <c r="D2398" s="15">
        <f>IFERROR(__xludf.DUMMYFUNCTION("""COMPUTED_VALUE"""),1.003)</f>
        <v>1.003</v>
      </c>
      <c r="E2398" s="16">
        <f>IFERROR(__xludf.DUMMYFUNCTION("""COMPUTED_VALUE"""),72.0)</f>
        <v>72</v>
      </c>
      <c r="F2398" s="19" t="str">
        <f>IFERROR(__xludf.DUMMYFUNCTION("""COMPUTED_VALUE"""),"BLACK")</f>
        <v>BLACK</v>
      </c>
      <c r="G2398" s="20" t="str">
        <f>IFERROR(__xludf.DUMMYFUNCTION("""COMPUTED_VALUE"""),"Uncle Sams Cider (04/04/2023)")</f>
        <v>Uncle Sams Cider (04/04/2023)</v>
      </c>
      <c r="H2398" s="19"/>
    </row>
    <row r="2399">
      <c r="A2399" s="9"/>
      <c r="B2399" s="15"/>
      <c r="C2399" s="9">
        <f>IFERROR(__xludf.DUMMYFUNCTION("""COMPUTED_VALUE"""),45119.5133032175)</f>
        <v>45119.5133</v>
      </c>
      <c r="D2399" s="15">
        <f>IFERROR(__xludf.DUMMYFUNCTION("""COMPUTED_VALUE"""),1.003)</f>
        <v>1.003</v>
      </c>
      <c r="E2399" s="16">
        <f>IFERROR(__xludf.DUMMYFUNCTION("""COMPUTED_VALUE"""),72.0)</f>
        <v>72</v>
      </c>
      <c r="F2399" s="19" t="str">
        <f>IFERROR(__xludf.DUMMYFUNCTION("""COMPUTED_VALUE"""),"BLACK")</f>
        <v>BLACK</v>
      </c>
      <c r="G2399" s="20" t="str">
        <f>IFERROR(__xludf.DUMMYFUNCTION("""COMPUTED_VALUE"""),"Uncle Sams Cider (04/04/2023)")</f>
        <v>Uncle Sams Cider (04/04/2023)</v>
      </c>
      <c r="H2399" s="19"/>
    </row>
    <row r="2400">
      <c r="A2400" s="9"/>
      <c r="B2400" s="15"/>
      <c r="C2400" s="9">
        <f>IFERROR(__xludf.DUMMYFUNCTION("""COMPUTED_VALUE"""),45119.5028811689)</f>
        <v>45119.50288</v>
      </c>
      <c r="D2400" s="15">
        <f>IFERROR(__xludf.DUMMYFUNCTION("""COMPUTED_VALUE"""),1.004)</f>
        <v>1.004</v>
      </c>
      <c r="E2400" s="16">
        <f>IFERROR(__xludf.DUMMYFUNCTION("""COMPUTED_VALUE"""),72.0)</f>
        <v>72</v>
      </c>
      <c r="F2400" s="19" t="str">
        <f>IFERROR(__xludf.DUMMYFUNCTION("""COMPUTED_VALUE"""),"BLACK")</f>
        <v>BLACK</v>
      </c>
      <c r="G2400" s="20" t="str">
        <f>IFERROR(__xludf.DUMMYFUNCTION("""COMPUTED_VALUE"""),"Uncle Sams Cider (04/04/2023)")</f>
        <v>Uncle Sams Cider (04/04/2023)</v>
      </c>
      <c r="H2400" s="19"/>
    </row>
    <row r="2401">
      <c r="A2401" s="9"/>
      <c r="B2401" s="15"/>
      <c r="C2401" s="9">
        <f>IFERROR(__xludf.DUMMYFUNCTION("""COMPUTED_VALUE"""),45119.4924625347)</f>
        <v>45119.49246</v>
      </c>
      <c r="D2401" s="15">
        <f>IFERROR(__xludf.DUMMYFUNCTION("""COMPUTED_VALUE"""),1.003)</f>
        <v>1.003</v>
      </c>
      <c r="E2401" s="16">
        <f>IFERROR(__xludf.DUMMYFUNCTION("""COMPUTED_VALUE"""),72.0)</f>
        <v>72</v>
      </c>
      <c r="F2401" s="19" t="str">
        <f>IFERROR(__xludf.DUMMYFUNCTION("""COMPUTED_VALUE"""),"BLACK")</f>
        <v>BLACK</v>
      </c>
      <c r="G2401" s="20" t="str">
        <f>IFERROR(__xludf.DUMMYFUNCTION("""COMPUTED_VALUE"""),"Uncle Sams Cider (04/04/2023)")</f>
        <v>Uncle Sams Cider (04/04/2023)</v>
      </c>
      <c r="H2401" s="19"/>
    </row>
    <row r="2402">
      <c r="A2402" s="9"/>
      <c r="B2402" s="15"/>
      <c r="C2402" s="9">
        <f>IFERROR(__xludf.DUMMYFUNCTION("""COMPUTED_VALUE"""),45119.4820416319)</f>
        <v>45119.48204</v>
      </c>
      <c r="D2402" s="15">
        <f>IFERROR(__xludf.DUMMYFUNCTION("""COMPUTED_VALUE"""),1.004)</f>
        <v>1.004</v>
      </c>
      <c r="E2402" s="16">
        <f>IFERROR(__xludf.DUMMYFUNCTION("""COMPUTED_VALUE"""),72.0)</f>
        <v>72</v>
      </c>
      <c r="F2402" s="19" t="str">
        <f>IFERROR(__xludf.DUMMYFUNCTION("""COMPUTED_VALUE"""),"BLACK")</f>
        <v>BLACK</v>
      </c>
      <c r="G2402" s="20" t="str">
        <f>IFERROR(__xludf.DUMMYFUNCTION("""COMPUTED_VALUE"""),"Uncle Sams Cider (04/04/2023)")</f>
        <v>Uncle Sams Cider (04/04/2023)</v>
      </c>
      <c r="H2402" s="19"/>
    </row>
    <row r="2403">
      <c r="A2403" s="9"/>
      <c r="B2403" s="15"/>
      <c r="C2403" s="9">
        <f>IFERROR(__xludf.DUMMYFUNCTION("""COMPUTED_VALUE"""),45119.4716190625)</f>
        <v>45119.47162</v>
      </c>
      <c r="D2403" s="15">
        <f>IFERROR(__xludf.DUMMYFUNCTION("""COMPUTED_VALUE"""),1.003)</f>
        <v>1.003</v>
      </c>
      <c r="E2403" s="16">
        <f>IFERROR(__xludf.DUMMYFUNCTION("""COMPUTED_VALUE"""),72.0)</f>
        <v>72</v>
      </c>
      <c r="F2403" s="19" t="str">
        <f>IFERROR(__xludf.DUMMYFUNCTION("""COMPUTED_VALUE"""),"BLACK")</f>
        <v>BLACK</v>
      </c>
      <c r="G2403" s="20" t="str">
        <f>IFERROR(__xludf.DUMMYFUNCTION("""COMPUTED_VALUE"""),"Uncle Sams Cider (04/04/2023)")</f>
        <v>Uncle Sams Cider (04/04/2023)</v>
      </c>
      <c r="H2403" s="19"/>
    </row>
    <row r="2404">
      <c r="A2404" s="9"/>
      <c r="B2404" s="15"/>
      <c r="C2404" s="9">
        <f>IFERROR(__xludf.DUMMYFUNCTION("""COMPUTED_VALUE"""),45119.4611865509)</f>
        <v>45119.46119</v>
      </c>
      <c r="D2404" s="15">
        <f>IFERROR(__xludf.DUMMYFUNCTION("""COMPUTED_VALUE"""),1.003)</f>
        <v>1.003</v>
      </c>
      <c r="E2404" s="16">
        <f>IFERROR(__xludf.DUMMYFUNCTION("""COMPUTED_VALUE"""),72.0)</f>
        <v>72</v>
      </c>
      <c r="F2404" s="19" t="str">
        <f>IFERROR(__xludf.DUMMYFUNCTION("""COMPUTED_VALUE"""),"BLACK")</f>
        <v>BLACK</v>
      </c>
      <c r="G2404" s="20" t="str">
        <f>IFERROR(__xludf.DUMMYFUNCTION("""COMPUTED_VALUE"""),"Uncle Sams Cider (04/04/2023)")</f>
        <v>Uncle Sams Cider (04/04/2023)</v>
      </c>
      <c r="H2404" s="19"/>
    </row>
    <row r="2405">
      <c r="A2405" s="9"/>
      <c r="B2405" s="15"/>
      <c r="C2405" s="9">
        <f>IFERROR(__xludf.DUMMYFUNCTION("""COMPUTED_VALUE"""),45119.4507661226)</f>
        <v>45119.45077</v>
      </c>
      <c r="D2405" s="15">
        <f>IFERROR(__xludf.DUMMYFUNCTION("""COMPUTED_VALUE"""),1.003)</f>
        <v>1.003</v>
      </c>
      <c r="E2405" s="16">
        <f>IFERROR(__xludf.DUMMYFUNCTION("""COMPUTED_VALUE"""),72.0)</f>
        <v>72</v>
      </c>
      <c r="F2405" s="19" t="str">
        <f>IFERROR(__xludf.DUMMYFUNCTION("""COMPUTED_VALUE"""),"BLACK")</f>
        <v>BLACK</v>
      </c>
      <c r="G2405" s="20" t="str">
        <f>IFERROR(__xludf.DUMMYFUNCTION("""COMPUTED_VALUE"""),"Uncle Sams Cider (04/04/2023)")</f>
        <v>Uncle Sams Cider (04/04/2023)</v>
      </c>
      <c r="H2405" s="19"/>
    </row>
    <row r="2406">
      <c r="A2406" s="9"/>
      <c r="B2406" s="15"/>
      <c r="C2406" s="9">
        <f>IFERROR(__xludf.DUMMYFUNCTION("""COMPUTED_VALUE"""),45119.4403442824)</f>
        <v>45119.44034</v>
      </c>
      <c r="D2406" s="15">
        <f>IFERROR(__xludf.DUMMYFUNCTION("""COMPUTED_VALUE"""),1.003)</f>
        <v>1.003</v>
      </c>
      <c r="E2406" s="16">
        <f>IFERROR(__xludf.DUMMYFUNCTION("""COMPUTED_VALUE"""),72.0)</f>
        <v>72</v>
      </c>
      <c r="F2406" s="19" t="str">
        <f>IFERROR(__xludf.DUMMYFUNCTION("""COMPUTED_VALUE"""),"BLACK")</f>
        <v>BLACK</v>
      </c>
      <c r="G2406" s="20" t="str">
        <f>IFERROR(__xludf.DUMMYFUNCTION("""COMPUTED_VALUE"""),"Uncle Sams Cider (04/04/2023)")</f>
        <v>Uncle Sams Cider (04/04/2023)</v>
      </c>
      <c r="H2406" s="19"/>
    </row>
    <row r="2407">
      <c r="A2407" s="9"/>
      <c r="B2407" s="15"/>
      <c r="C2407" s="9">
        <f>IFERROR(__xludf.DUMMYFUNCTION("""COMPUTED_VALUE"""),45119.429923287)</f>
        <v>45119.42992</v>
      </c>
      <c r="D2407" s="15">
        <f>IFERROR(__xludf.DUMMYFUNCTION("""COMPUTED_VALUE"""),1.004)</f>
        <v>1.004</v>
      </c>
      <c r="E2407" s="16">
        <f>IFERROR(__xludf.DUMMYFUNCTION("""COMPUTED_VALUE"""),72.0)</f>
        <v>72</v>
      </c>
      <c r="F2407" s="19" t="str">
        <f>IFERROR(__xludf.DUMMYFUNCTION("""COMPUTED_VALUE"""),"BLACK")</f>
        <v>BLACK</v>
      </c>
      <c r="G2407" s="20" t="str">
        <f>IFERROR(__xludf.DUMMYFUNCTION("""COMPUTED_VALUE"""),"Uncle Sams Cider (04/04/2023)")</f>
        <v>Uncle Sams Cider (04/04/2023)</v>
      </c>
      <c r="H2407" s="19"/>
    </row>
    <row r="2408">
      <c r="A2408" s="9"/>
      <c r="B2408" s="15"/>
      <c r="C2408" s="9">
        <f>IFERROR(__xludf.DUMMYFUNCTION("""COMPUTED_VALUE"""),45119.4195010763)</f>
        <v>45119.4195</v>
      </c>
      <c r="D2408" s="15">
        <f>IFERROR(__xludf.DUMMYFUNCTION("""COMPUTED_VALUE"""),1.004)</f>
        <v>1.004</v>
      </c>
      <c r="E2408" s="16">
        <f>IFERROR(__xludf.DUMMYFUNCTION("""COMPUTED_VALUE"""),72.0)</f>
        <v>72</v>
      </c>
      <c r="F2408" s="19" t="str">
        <f>IFERROR(__xludf.DUMMYFUNCTION("""COMPUTED_VALUE"""),"BLACK")</f>
        <v>BLACK</v>
      </c>
      <c r="G2408" s="20" t="str">
        <f>IFERROR(__xludf.DUMMYFUNCTION("""COMPUTED_VALUE"""),"Uncle Sams Cider (04/04/2023)")</f>
        <v>Uncle Sams Cider (04/04/2023)</v>
      </c>
      <c r="H2408" s="19"/>
    </row>
    <row r="2409">
      <c r="A2409" s="9"/>
      <c r="B2409" s="15"/>
      <c r="C2409" s="9">
        <f>IFERROR(__xludf.DUMMYFUNCTION("""COMPUTED_VALUE"""),45119.4090798032)</f>
        <v>45119.40908</v>
      </c>
      <c r="D2409" s="15">
        <f>IFERROR(__xludf.DUMMYFUNCTION("""COMPUTED_VALUE"""),1.004)</f>
        <v>1.004</v>
      </c>
      <c r="E2409" s="16">
        <f>IFERROR(__xludf.DUMMYFUNCTION("""COMPUTED_VALUE"""),72.0)</f>
        <v>72</v>
      </c>
      <c r="F2409" s="19" t="str">
        <f>IFERROR(__xludf.DUMMYFUNCTION("""COMPUTED_VALUE"""),"BLACK")</f>
        <v>BLACK</v>
      </c>
      <c r="G2409" s="20" t="str">
        <f>IFERROR(__xludf.DUMMYFUNCTION("""COMPUTED_VALUE"""),"Uncle Sams Cider (04/04/2023)")</f>
        <v>Uncle Sams Cider (04/04/2023)</v>
      </c>
      <c r="H2409" s="19"/>
    </row>
    <row r="2410">
      <c r="A2410" s="9"/>
      <c r="B2410" s="15"/>
      <c r="C2410" s="9">
        <f>IFERROR(__xludf.DUMMYFUNCTION("""COMPUTED_VALUE"""),45119.3986584027)</f>
        <v>45119.39866</v>
      </c>
      <c r="D2410" s="15">
        <f>IFERROR(__xludf.DUMMYFUNCTION("""COMPUTED_VALUE"""),1.004)</f>
        <v>1.004</v>
      </c>
      <c r="E2410" s="16">
        <f>IFERROR(__xludf.DUMMYFUNCTION("""COMPUTED_VALUE"""),72.0)</f>
        <v>72</v>
      </c>
      <c r="F2410" s="19" t="str">
        <f>IFERROR(__xludf.DUMMYFUNCTION("""COMPUTED_VALUE"""),"BLACK")</f>
        <v>BLACK</v>
      </c>
      <c r="G2410" s="20" t="str">
        <f>IFERROR(__xludf.DUMMYFUNCTION("""COMPUTED_VALUE"""),"Uncle Sams Cider (04/04/2023)")</f>
        <v>Uncle Sams Cider (04/04/2023)</v>
      </c>
      <c r="H2410" s="19"/>
    </row>
    <row r="2411">
      <c r="A2411" s="9"/>
      <c r="B2411" s="15"/>
      <c r="C2411" s="9">
        <f>IFERROR(__xludf.DUMMYFUNCTION("""COMPUTED_VALUE"""),45119.3882358912)</f>
        <v>45119.38824</v>
      </c>
      <c r="D2411" s="15">
        <f>IFERROR(__xludf.DUMMYFUNCTION("""COMPUTED_VALUE"""),1.004)</f>
        <v>1.004</v>
      </c>
      <c r="E2411" s="16">
        <f>IFERROR(__xludf.DUMMYFUNCTION("""COMPUTED_VALUE"""),72.0)</f>
        <v>72</v>
      </c>
      <c r="F2411" s="19" t="str">
        <f>IFERROR(__xludf.DUMMYFUNCTION("""COMPUTED_VALUE"""),"BLACK")</f>
        <v>BLACK</v>
      </c>
      <c r="G2411" s="20" t="str">
        <f>IFERROR(__xludf.DUMMYFUNCTION("""COMPUTED_VALUE"""),"Uncle Sams Cider (04/04/2023)")</f>
        <v>Uncle Sams Cider (04/04/2023)</v>
      </c>
      <c r="H2411" s="19"/>
    </row>
    <row r="2412">
      <c r="A2412" s="9"/>
      <c r="B2412" s="15"/>
      <c r="C2412" s="9">
        <f>IFERROR(__xludf.DUMMYFUNCTION("""COMPUTED_VALUE"""),45119.3778150347)</f>
        <v>45119.37782</v>
      </c>
      <c r="D2412" s="15">
        <f>IFERROR(__xludf.DUMMYFUNCTION("""COMPUTED_VALUE"""),1.004)</f>
        <v>1.004</v>
      </c>
      <c r="E2412" s="16">
        <f>IFERROR(__xludf.DUMMYFUNCTION("""COMPUTED_VALUE"""),72.0)</f>
        <v>72</v>
      </c>
      <c r="F2412" s="19" t="str">
        <f>IFERROR(__xludf.DUMMYFUNCTION("""COMPUTED_VALUE"""),"BLACK")</f>
        <v>BLACK</v>
      </c>
      <c r="G2412" s="20" t="str">
        <f>IFERROR(__xludf.DUMMYFUNCTION("""COMPUTED_VALUE"""),"Uncle Sams Cider (04/04/2023)")</f>
        <v>Uncle Sams Cider (04/04/2023)</v>
      </c>
      <c r="H2412" s="19"/>
    </row>
    <row r="2413">
      <c r="A2413" s="9"/>
      <c r="B2413" s="15"/>
      <c r="C2413" s="9">
        <f>IFERROR(__xludf.DUMMYFUNCTION("""COMPUTED_VALUE"""),45119.3673920601)</f>
        <v>45119.36739</v>
      </c>
      <c r="D2413" s="15">
        <f>IFERROR(__xludf.DUMMYFUNCTION("""COMPUTED_VALUE"""),1.003)</f>
        <v>1.003</v>
      </c>
      <c r="E2413" s="16">
        <f>IFERROR(__xludf.DUMMYFUNCTION("""COMPUTED_VALUE"""),72.0)</f>
        <v>72</v>
      </c>
      <c r="F2413" s="19" t="str">
        <f>IFERROR(__xludf.DUMMYFUNCTION("""COMPUTED_VALUE"""),"BLACK")</f>
        <v>BLACK</v>
      </c>
      <c r="G2413" s="20" t="str">
        <f>IFERROR(__xludf.DUMMYFUNCTION("""COMPUTED_VALUE"""),"Uncle Sams Cider (04/04/2023)")</f>
        <v>Uncle Sams Cider (04/04/2023)</v>
      </c>
      <c r="H2413" s="19"/>
    </row>
    <row r="2414">
      <c r="A2414" s="9"/>
      <c r="B2414" s="15"/>
      <c r="C2414" s="9">
        <f>IFERROR(__xludf.DUMMYFUNCTION("""COMPUTED_VALUE"""),45119.3569717013)</f>
        <v>45119.35697</v>
      </c>
      <c r="D2414" s="15">
        <f>IFERROR(__xludf.DUMMYFUNCTION("""COMPUTED_VALUE"""),1.003)</f>
        <v>1.003</v>
      </c>
      <c r="E2414" s="16">
        <f>IFERROR(__xludf.DUMMYFUNCTION("""COMPUTED_VALUE"""),72.0)</f>
        <v>72</v>
      </c>
      <c r="F2414" s="19" t="str">
        <f>IFERROR(__xludf.DUMMYFUNCTION("""COMPUTED_VALUE"""),"BLACK")</f>
        <v>BLACK</v>
      </c>
      <c r="G2414" s="20" t="str">
        <f>IFERROR(__xludf.DUMMYFUNCTION("""COMPUTED_VALUE"""),"Uncle Sams Cider (04/04/2023)")</f>
        <v>Uncle Sams Cider (04/04/2023)</v>
      </c>
      <c r="H2414" s="19"/>
    </row>
    <row r="2415">
      <c r="A2415" s="9"/>
      <c r="B2415" s="15"/>
      <c r="C2415" s="9">
        <f>IFERROR(__xludf.DUMMYFUNCTION("""COMPUTED_VALUE"""),45119.3465488425)</f>
        <v>45119.34655</v>
      </c>
      <c r="D2415" s="15">
        <f>IFERROR(__xludf.DUMMYFUNCTION("""COMPUTED_VALUE"""),1.003)</f>
        <v>1.003</v>
      </c>
      <c r="E2415" s="16">
        <f>IFERROR(__xludf.DUMMYFUNCTION("""COMPUTED_VALUE"""),72.0)</f>
        <v>72</v>
      </c>
      <c r="F2415" s="19" t="str">
        <f>IFERROR(__xludf.DUMMYFUNCTION("""COMPUTED_VALUE"""),"BLACK")</f>
        <v>BLACK</v>
      </c>
      <c r="G2415" s="20" t="str">
        <f>IFERROR(__xludf.DUMMYFUNCTION("""COMPUTED_VALUE"""),"Uncle Sams Cider (04/04/2023)")</f>
        <v>Uncle Sams Cider (04/04/2023)</v>
      </c>
      <c r="H2415" s="19"/>
    </row>
    <row r="2416">
      <c r="A2416" s="9"/>
      <c r="B2416" s="15"/>
      <c r="C2416" s="9">
        <f>IFERROR(__xludf.DUMMYFUNCTION("""COMPUTED_VALUE"""),45119.336129155)</f>
        <v>45119.33613</v>
      </c>
      <c r="D2416" s="15">
        <f>IFERROR(__xludf.DUMMYFUNCTION("""COMPUTED_VALUE"""),1.004)</f>
        <v>1.004</v>
      </c>
      <c r="E2416" s="16">
        <f>IFERROR(__xludf.DUMMYFUNCTION("""COMPUTED_VALUE"""),72.0)</f>
        <v>72</v>
      </c>
      <c r="F2416" s="19" t="str">
        <f>IFERROR(__xludf.DUMMYFUNCTION("""COMPUTED_VALUE"""),"BLACK")</f>
        <v>BLACK</v>
      </c>
      <c r="G2416" s="20" t="str">
        <f>IFERROR(__xludf.DUMMYFUNCTION("""COMPUTED_VALUE"""),"Uncle Sams Cider (04/04/2023)")</f>
        <v>Uncle Sams Cider (04/04/2023)</v>
      </c>
      <c r="H2416" s="19"/>
    </row>
    <row r="2417">
      <c r="A2417" s="9"/>
      <c r="B2417" s="15"/>
      <c r="C2417" s="9">
        <f>IFERROR(__xludf.DUMMYFUNCTION("""COMPUTED_VALUE"""),45119.3257075463)</f>
        <v>45119.32571</v>
      </c>
      <c r="D2417" s="15">
        <f>IFERROR(__xludf.DUMMYFUNCTION("""COMPUTED_VALUE"""),1.004)</f>
        <v>1.004</v>
      </c>
      <c r="E2417" s="16">
        <f>IFERROR(__xludf.DUMMYFUNCTION("""COMPUTED_VALUE"""),72.0)</f>
        <v>72</v>
      </c>
      <c r="F2417" s="19" t="str">
        <f>IFERROR(__xludf.DUMMYFUNCTION("""COMPUTED_VALUE"""),"BLACK")</f>
        <v>BLACK</v>
      </c>
      <c r="G2417" s="20" t="str">
        <f>IFERROR(__xludf.DUMMYFUNCTION("""COMPUTED_VALUE"""),"Uncle Sams Cider (04/04/2023)")</f>
        <v>Uncle Sams Cider (04/04/2023)</v>
      </c>
      <c r="H2417" s="19"/>
    </row>
    <row r="2418">
      <c r="A2418" s="9"/>
      <c r="B2418" s="15"/>
      <c r="C2418" s="9">
        <f>IFERROR(__xludf.DUMMYFUNCTION("""COMPUTED_VALUE"""),45119.3152870023)</f>
        <v>45119.31529</v>
      </c>
      <c r="D2418" s="15">
        <f>IFERROR(__xludf.DUMMYFUNCTION("""COMPUTED_VALUE"""),1.004)</f>
        <v>1.004</v>
      </c>
      <c r="E2418" s="16">
        <f>IFERROR(__xludf.DUMMYFUNCTION("""COMPUTED_VALUE"""),72.0)</f>
        <v>72</v>
      </c>
      <c r="F2418" s="19" t="str">
        <f>IFERROR(__xludf.DUMMYFUNCTION("""COMPUTED_VALUE"""),"BLACK")</f>
        <v>BLACK</v>
      </c>
      <c r="G2418" s="20" t="str">
        <f>IFERROR(__xludf.DUMMYFUNCTION("""COMPUTED_VALUE"""),"Uncle Sams Cider (04/04/2023)")</f>
        <v>Uncle Sams Cider (04/04/2023)</v>
      </c>
      <c r="H2418" s="19"/>
    </row>
    <row r="2419">
      <c r="A2419" s="9"/>
      <c r="B2419" s="15"/>
      <c r="C2419" s="9">
        <f>IFERROR(__xludf.DUMMYFUNCTION("""COMPUTED_VALUE"""),45119.3048552199)</f>
        <v>45119.30486</v>
      </c>
      <c r="D2419" s="15">
        <f>IFERROR(__xludf.DUMMYFUNCTION("""COMPUTED_VALUE"""),1.003)</f>
        <v>1.003</v>
      </c>
      <c r="E2419" s="16">
        <f>IFERROR(__xludf.DUMMYFUNCTION("""COMPUTED_VALUE"""),72.0)</f>
        <v>72</v>
      </c>
      <c r="F2419" s="19" t="str">
        <f>IFERROR(__xludf.DUMMYFUNCTION("""COMPUTED_VALUE"""),"BLACK")</f>
        <v>BLACK</v>
      </c>
      <c r="G2419" s="20" t="str">
        <f>IFERROR(__xludf.DUMMYFUNCTION("""COMPUTED_VALUE"""),"Uncle Sams Cider (04/04/2023)")</f>
        <v>Uncle Sams Cider (04/04/2023)</v>
      </c>
      <c r="H2419" s="19"/>
    </row>
    <row r="2420">
      <c r="A2420" s="9"/>
      <c r="B2420" s="15"/>
      <c r="C2420" s="9">
        <f>IFERROR(__xludf.DUMMYFUNCTION("""COMPUTED_VALUE"""),45119.2944119328)</f>
        <v>45119.29441</v>
      </c>
      <c r="D2420" s="15">
        <f>IFERROR(__xludf.DUMMYFUNCTION("""COMPUTED_VALUE"""),1.004)</f>
        <v>1.004</v>
      </c>
      <c r="E2420" s="16">
        <f>IFERROR(__xludf.DUMMYFUNCTION("""COMPUTED_VALUE"""),72.0)</f>
        <v>72</v>
      </c>
      <c r="F2420" s="19" t="str">
        <f>IFERROR(__xludf.DUMMYFUNCTION("""COMPUTED_VALUE"""),"BLACK")</f>
        <v>BLACK</v>
      </c>
      <c r="G2420" s="20" t="str">
        <f>IFERROR(__xludf.DUMMYFUNCTION("""COMPUTED_VALUE"""),"Uncle Sams Cider (04/04/2023)")</f>
        <v>Uncle Sams Cider (04/04/2023)</v>
      </c>
      <c r="H2420" s="19"/>
    </row>
    <row r="2421">
      <c r="A2421" s="9"/>
      <c r="B2421" s="15"/>
      <c r="C2421" s="9">
        <f>IFERROR(__xludf.DUMMYFUNCTION("""COMPUTED_VALUE"""),45119.2839911921)</f>
        <v>45119.28399</v>
      </c>
      <c r="D2421" s="15">
        <f>IFERROR(__xludf.DUMMYFUNCTION("""COMPUTED_VALUE"""),1.004)</f>
        <v>1.004</v>
      </c>
      <c r="E2421" s="16">
        <f>IFERROR(__xludf.DUMMYFUNCTION("""COMPUTED_VALUE"""),72.0)</f>
        <v>72</v>
      </c>
      <c r="F2421" s="19" t="str">
        <f>IFERROR(__xludf.DUMMYFUNCTION("""COMPUTED_VALUE"""),"BLACK")</f>
        <v>BLACK</v>
      </c>
      <c r="G2421" s="20" t="str">
        <f>IFERROR(__xludf.DUMMYFUNCTION("""COMPUTED_VALUE"""),"Uncle Sams Cider (04/04/2023)")</f>
        <v>Uncle Sams Cider (04/04/2023)</v>
      </c>
      <c r="H2421" s="19"/>
    </row>
    <row r="2422">
      <c r="A2422" s="9"/>
      <c r="B2422" s="15"/>
      <c r="C2422" s="9">
        <f>IFERROR(__xludf.DUMMYFUNCTION("""COMPUTED_VALUE"""),45119.2735707291)</f>
        <v>45119.27357</v>
      </c>
      <c r="D2422" s="15">
        <f>IFERROR(__xludf.DUMMYFUNCTION("""COMPUTED_VALUE"""),1.003)</f>
        <v>1.003</v>
      </c>
      <c r="E2422" s="16">
        <f>IFERROR(__xludf.DUMMYFUNCTION("""COMPUTED_VALUE"""),72.0)</f>
        <v>72</v>
      </c>
      <c r="F2422" s="19" t="str">
        <f>IFERROR(__xludf.DUMMYFUNCTION("""COMPUTED_VALUE"""),"BLACK")</f>
        <v>BLACK</v>
      </c>
      <c r="G2422" s="20" t="str">
        <f>IFERROR(__xludf.DUMMYFUNCTION("""COMPUTED_VALUE"""),"Uncle Sams Cider (04/04/2023)")</f>
        <v>Uncle Sams Cider (04/04/2023)</v>
      </c>
      <c r="H2422" s="19"/>
    </row>
    <row r="2423">
      <c r="A2423" s="9"/>
      <c r="B2423" s="15"/>
      <c r="C2423" s="9">
        <f>IFERROR(__xludf.DUMMYFUNCTION("""COMPUTED_VALUE"""),45119.2631494213)</f>
        <v>45119.26315</v>
      </c>
      <c r="D2423" s="15">
        <f>IFERROR(__xludf.DUMMYFUNCTION("""COMPUTED_VALUE"""),1.003)</f>
        <v>1.003</v>
      </c>
      <c r="E2423" s="16">
        <f>IFERROR(__xludf.DUMMYFUNCTION("""COMPUTED_VALUE"""),72.0)</f>
        <v>72</v>
      </c>
      <c r="F2423" s="19" t="str">
        <f>IFERROR(__xludf.DUMMYFUNCTION("""COMPUTED_VALUE"""),"BLACK")</f>
        <v>BLACK</v>
      </c>
      <c r="G2423" s="20" t="str">
        <f>IFERROR(__xludf.DUMMYFUNCTION("""COMPUTED_VALUE"""),"Uncle Sams Cider (04/04/2023)")</f>
        <v>Uncle Sams Cider (04/04/2023)</v>
      </c>
      <c r="H2423" s="19"/>
    </row>
    <row r="2424">
      <c r="A2424" s="9"/>
      <c r="B2424" s="15"/>
      <c r="C2424" s="9">
        <f>IFERROR(__xludf.DUMMYFUNCTION("""COMPUTED_VALUE"""),45119.2527162268)</f>
        <v>45119.25272</v>
      </c>
      <c r="D2424" s="15">
        <f>IFERROR(__xludf.DUMMYFUNCTION("""COMPUTED_VALUE"""),1.004)</f>
        <v>1.004</v>
      </c>
      <c r="E2424" s="16">
        <f>IFERROR(__xludf.DUMMYFUNCTION("""COMPUTED_VALUE"""),72.0)</f>
        <v>72</v>
      </c>
      <c r="F2424" s="19" t="str">
        <f>IFERROR(__xludf.DUMMYFUNCTION("""COMPUTED_VALUE"""),"BLACK")</f>
        <v>BLACK</v>
      </c>
      <c r="G2424" s="20" t="str">
        <f>IFERROR(__xludf.DUMMYFUNCTION("""COMPUTED_VALUE"""),"Uncle Sams Cider (04/04/2023)")</f>
        <v>Uncle Sams Cider (04/04/2023)</v>
      </c>
      <c r="H2424" s="19"/>
    </row>
    <row r="2425">
      <c r="A2425" s="9"/>
      <c r="B2425" s="15"/>
      <c r="C2425" s="9">
        <f>IFERROR(__xludf.DUMMYFUNCTION("""COMPUTED_VALUE"""),45119.2422952893)</f>
        <v>45119.2423</v>
      </c>
      <c r="D2425" s="15">
        <f>IFERROR(__xludf.DUMMYFUNCTION("""COMPUTED_VALUE"""),1.004)</f>
        <v>1.004</v>
      </c>
      <c r="E2425" s="16">
        <f>IFERROR(__xludf.DUMMYFUNCTION("""COMPUTED_VALUE"""),72.0)</f>
        <v>72</v>
      </c>
      <c r="F2425" s="19" t="str">
        <f>IFERROR(__xludf.DUMMYFUNCTION("""COMPUTED_VALUE"""),"BLACK")</f>
        <v>BLACK</v>
      </c>
      <c r="G2425" s="20" t="str">
        <f>IFERROR(__xludf.DUMMYFUNCTION("""COMPUTED_VALUE"""),"Uncle Sams Cider (04/04/2023)")</f>
        <v>Uncle Sams Cider (04/04/2023)</v>
      </c>
      <c r="H2425" s="19"/>
    </row>
    <row r="2426">
      <c r="A2426" s="9"/>
      <c r="B2426" s="15"/>
      <c r="C2426" s="9">
        <f>IFERROR(__xludf.DUMMYFUNCTION("""COMPUTED_VALUE"""),45119.2318750347)</f>
        <v>45119.23188</v>
      </c>
      <c r="D2426" s="15">
        <f>IFERROR(__xludf.DUMMYFUNCTION("""COMPUTED_VALUE"""),1.004)</f>
        <v>1.004</v>
      </c>
      <c r="E2426" s="16">
        <f>IFERROR(__xludf.DUMMYFUNCTION("""COMPUTED_VALUE"""),72.0)</f>
        <v>72</v>
      </c>
      <c r="F2426" s="19" t="str">
        <f>IFERROR(__xludf.DUMMYFUNCTION("""COMPUTED_VALUE"""),"BLACK")</f>
        <v>BLACK</v>
      </c>
      <c r="G2426" s="20" t="str">
        <f>IFERROR(__xludf.DUMMYFUNCTION("""COMPUTED_VALUE"""),"Uncle Sams Cider (04/04/2023)")</f>
        <v>Uncle Sams Cider (04/04/2023)</v>
      </c>
      <c r="H2426" s="19"/>
    </row>
    <row r="2427">
      <c r="A2427" s="9"/>
      <c r="B2427" s="15"/>
      <c r="C2427" s="9">
        <f>IFERROR(__xludf.DUMMYFUNCTION("""COMPUTED_VALUE"""),45119.2214536574)</f>
        <v>45119.22145</v>
      </c>
      <c r="D2427" s="15">
        <f>IFERROR(__xludf.DUMMYFUNCTION("""COMPUTED_VALUE"""),1.003)</f>
        <v>1.003</v>
      </c>
      <c r="E2427" s="16">
        <f>IFERROR(__xludf.DUMMYFUNCTION("""COMPUTED_VALUE"""),72.0)</f>
        <v>72</v>
      </c>
      <c r="F2427" s="19" t="str">
        <f>IFERROR(__xludf.DUMMYFUNCTION("""COMPUTED_VALUE"""),"BLACK")</f>
        <v>BLACK</v>
      </c>
      <c r="G2427" s="20" t="str">
        <f>IFERROR(__xludf.DUMMYFUNCTION("""COMPUTED_VALUE"""),"Uncle Sams Cider (04/04/2023)")</f>
        <v>Uncle Sams Cider (04/04/2023)</v>
      </c>
      <c r="H2427" s="19"/>
    </row>
    <row r="2428">
      <c r="A2428" s="9"/>
      <c r="B2428" s="15"/>
      <c r="C2428" s="9">
        <f>IFERROR(__xludf.DUMMYFUNCTION("""COMPUTED_VALUE"""),45119.2110214467)</f>
        <v>45119.21102</v>
      </c>
      <c r="D2428" s="15">
        <f>IFERROR(__xludf.DUMMYFUNCTION("""COMPUTED_VALUE"""),1.004)</f>
        <v>1.004</v>
      </c>
      <c r="E2428" s="16">
        <f>IFERROR(__xludf.DUMMYFUNCTION("""COMPUTED_VALUE"""),72.0)</f>
        <v>72</v>
      </c>
      <c r="F2428" s="19" t="str">
        <f>IFERROR(__xludf.DUMMYFUNCTION("""COMPUTED_VALUE"""),"BLACK")</f>
        <v>BLACK</v>
      </c>
      <c r="G2428" s="20" t="str">
        <f>IFERROR(__xludf.DUMMYFUNCTION("""COMPUTED_VALUE"""),"Uncle Sams Cider (04/04/2023)")</f>
        <v>Uncle Sams Cider (04/04/2023)</v>
      </c>
      <c r="H2428" s="19"/>
    </row>
    <row r="2429">
      <c r="A2429" s="9"/>
      <c r="B2429" s="15"/>
      <c r="C2429" s="9">
        <f>IFERROR(__xludf.DUMMYFUNCTION("""COMPUTED_VALUE"""),45119.2005971643)</f>
        <v>45119.2006</v>
      </c>
      <c r="D2429" s="15">
        <f>IFERROR(__xludf.DUMMYFUNCTION("""COMPUTED_VALUE"""),1.004)</f>
        <v>1.004</v>
      </c>
      <c r="E2429" s="16">
        <f>IFERROR(__xludf.DUMMYFUNCTION("""COMPUTED_VALUE"""),72.0)</f>
        <v>72</v>
      </c>
      <c r="F2429" s="19" t="str">
        <f>IFERROR(__xludf.DUMMYFUNCTION("""COMPUTED_VALUE"""),"BLACK")</f>
        <v>BLACK</v>
      </c>
      <c r="G2429" s="20" t="str">
        <f>IFERROR(__xludf.DUMMYFUNCTION("""COMPUTED_VALUE"""),"Uncle Sams Cider (04/04/2023)")</f>
        <v>Uncle Sams Cider (04/04/2023)</v>
      </c>
      <c r="H2429" s="19"/>
    </row>
    <row r="2430">
      <c r="A2430" s="9"/>
      <c r="B2430" s="15"/>
      <c r="C2430" s="9">
        <f>IFERROR(__xludf.DUMMYFUNCTION("""COMPUTED_VALUE"""),45119.1901668287)</f>
        <v>45119.19017</v>
      </c>
      <c r="D2430" s="15">
        <f>IFERROR(__xludf.DUMMYFUNCTION("""COMPUTED_VALUE"""),1.004)</f>
        <v>1.004</v>
      </c>
      <c r="E2430" s="16">
        <f>IFERROR(__xludf.DUMMYFUNCTION("""COMPUTED_VALUE"""),72.0)</f>
        <v>72</v>
      </c>
      <c r="F2430" s="19" t="str">
        <f>IFERROR(__xludf.DUMMYFUNCTION("""COMPUTED_VALUE"""),"BLACK")</f>
        <v>BLACK</v>
      </c>
      <c r="G2430" s="20" t="str">
        <f>IFERROR(__xludf.DUMMYFUNCTION("""COMPUTED_VALUE"""),"Uncle Sams Cider (04/04/2023)")</f>
        <v>Uncle Sams Cider (04/04/2023)</v>
      </c>
      <c r="H2430" s="19"/>
    </row>
    <row r="2431">
      <c r="A2431" s="9"/>
      <c r="B2431" s="15"/>
      <c r="C2431" s="9">
        <f>IFERROR(__xludf.DUMMYFUNCTION("""COMPUTED_VALUE"""),45119.1797444444)</f>
        <v>45119.17974</v>
      </c>
      <c r="D2431" s="15">
        <f>IFERROR(__xludf.DUMMYFUNCTION("""COMPUTED_VALUE"""),1.004)</f>
        <v>1.004</v>
      </c>
      <c r="E2431" s="16">
        <f>IFERROR(__xludf.DUMMYFUNCTION("""COMPUTED_VALUE"""),72.0)</f>
        <v>72</v>
      </c>
      <c r="F2431" s="19" t="str">
        <f>IFERROR(__xludf.DUMMYFUNCTION("""COMPUTED_VALUE"""),"BLACK")</f>
        <v>BLACK</v>
      </c>
      <c r="G2431" s="20" t="str">
        <f>IFERROR(__xludf.DUMMYFUNCTION("""COMPUTED_VALUE"""),"Uncle Sams Cider (04/04/2023)")</f>
        <v>Uncle Sams Cider (04/04/2023)</v>
      </c>
      <c r="H2431" s="19"/>
    </row>
    <row r="2432">
      <c r="A2432" s="9"/>
      <c r="B2432" s="15"/>
      <c r="C2432" s="9">
        <f>IFERROR(__xludf.DUMMYFUNCTION("""COMPUTED_VALUE"""),45119.1693236111)</f>
        <v>45119.16932</v>
      </c>
      <c r="D2432" s="15">
        <f>IFERROR(__xludf.DUMMYFUNCTION("""COMPUTED_VALUE"""),1.004)</f>
        <v>1.004</v>
      </c>
      <c r="E2432" s="16">
        <f>IFERROR(__xludf.DUMMYFUNCTION("""COMPUTED_VALUE"""),72.0)</f>
        <v>72</v>
      </c>
      <c r="F2432" s="19" t="str">
        <f>IFERROR(__xludf.DUMMYFUNCTION("""COMPUTED_VALUE"""),"BLACK")</f>
        <v>BLACK</v>
      </c>
      <c r="G2432" s="20" t="str">
        <f>IFERROR(__xludf.DUMMYFUNCTION("""COMPUTED_VALUE"""),"Uncle Sams Cider (04/04/2023)")</f>
        <v>Uncle Sams Cider (04/04/2023)</v>
      </c>
      <c r="H2432" s="19"/>
    </row>
    <row r="2433">
      <c r="A2433" s="9"/>
      <c r="B2433" s="15"/>
      <c r="C2433" s="9">
        <f>IFERROR(__xludf.DUMMYFUNCTION("""COMPUTED_VALUE"""),45119.1589032407)</f>
        <v>45119.1589</v>
      </c>
      <c r="D2433" s="15">
        <f>IFERROR(__xludf.DUMMYFUNCTION("""COMPUTED_VALUE"""),1.004)</f>
        <v>1.004</v>
      </c>
      <c r="E2433" s="16">
        <f>IFERROR(__xludf.DUMMYFUNCTION("""COMPUTED_VALUE"""),72.0)</f>
        <v>72</v>
      </c>
      <c r="F2433" s="19" t="str">
        <f>IFERROR(__xludf.DUMMYFUNCTION("""COMPUTED_VALUE"""),"BLACK")</f>
        <v>BLACK</v>
      </c>
      <c r="G2433" s="20" t="str">
        <f>IFERROR(__xludf.DUMMYFUNCTION("""COMPUTED_VALUE"""),"Uncle Sams Cider (04/04/2023)")</f>
        <v>Uncle Sams Cider (04/04/2023)</v>
      </c>
      <c r="H2433" s="19"/>
    </row>
    <row r="2434">
      <c r="A2434" s="9"/>
      <c r="B2434" s="15"/>
      <c r="C2434" s="9">
        <f>IFERROR(__xludf.DUMMYFUNCTION("""COMPUTED_VALUE"""),45119.1484711226)</f>
        <v>45119.14847</v>
      </c>
      <c r="D2434" s="15">
        <f>IFERROR(__xludf.DUMMYFUNCTION("""COMPUTED_VALUE"""),1.004)</f>
        <v>1.004</v>
      </c>
      <c r="E2434" s="16">
        <f>IFERROR(__xludf.DUMMYFUNCTION("""COMPUTED_VALUE"""),72.0)</f>
        <v>72</v>
      </c>
      <c r="F2434" s="19" t="str">
        <f>IFERROR(__xludf.DUMMYFUNCTION("""COMPUTED_VALUE"""),"BLACK")</f>
        <v>BLACK</v>
      </c>
      <c r="G2434" s="20" t="str">
        <f>IFERROR(__xludf.DUMMYFUNCTION("""COMPUTED_VALUE"""),"Uncle Sams Cider (04/04/2023)")</f>
        <v>Uncle Sams Cider (04/04/2023)</v>
      </c>
      <c r="H2434" s="19"/>
    </row>
    <row r="2435">
      <c r="A2435" s="9"/>
      <c r="B2435" s="15"/>
      <c r="C2435" s="9">
        <f>IFERROR(__xludf.DUMMYFUNCTION("""COMPUTED_VALUE"""),45119.1380481713)</f>
        <v>45119.13805</v>
      </c>
      <c r="D2435" s="15">
        <f>IFERROR(__xludf.DUMMYFUNCTION("""COMPUTED_VALUE"""),1.004)</f>
        <v>1.004</v>
      </c>
      <c r="E2435" s="16">
        <f>IFERROR(__xludf.DUMMYFUNCTION("""COMPUTED_VALUE"""),72.0)</f>
        <v>72</v>
      </c>
      <c r="F2435" s="19" t="str">
        <f>IFERROR(__xludf.DUMMYFUNCTION("""COMPUTED_VALUE"""),"BLACK")</f>
        <v>BLACK</v>
      </c>
      <c r="G2435" s="20" t="str">
        <f>IFERROR(__xludf.DUMMYFUNCTION("""COMPUTED_VALUE"""),"Uncle Sams Cider (04/04/2023)")</f>
        <v>Uncle Sams Cider (04/04/2023)</v>
      </c>
      <c r="H2435" s="19"/>
    </row>
    <row r="2436">
      <c r="A2436" s="9"/>
      <c r="B2436" s="15"/>
      <c r="C2436" s="9">
        <f>IFERROR(__xludf.DUMMYFUNCTION("""COMPUTED_VALUE"""),45119.1276272337)</f>
        <v>45119.12763</v>
      </c>
      <c r="D2436" s="15">
        <f>IFERROR(__xludf.DUMMYFUNCTION("""COMPUTED_VALUE"""),1.003)</f>
        <v>1.003</v>
      </c>
      <c r="E2436" s="16">
        <f>IFERROR(__xludf.DUMMYFUNCTION("""COMPUTED_VALUE"""),72.0)</f>
        <v>72</v>
      </c>
      <c r="F2436" s="19" t="str">
        <f>IFERROR(__xludf.DUMMYFUNCTION("""COMPUTED_VALUE"""),"BLACK")</f>
        <v>BLACK</v>
      </c>
      <c r="G2436" s="20" t="str">
        <f>IFERROR(__xludf.DUMMYFUNCTION("""COMPUTED_VALUE"""),"Uncle Sams Cider (04/04/2023)")</f>
        <v>Uncle Sams Cider (04/04/2023)</v>
      </c>
      <c r="H2436" s="19"/>
    </row>
    <row r="2437">
      <c r="A2437" s="9"/>
      <c r="B2437" s="15"/>
      <c r="C2437" s="9">
        <f>IFERROR(__xludf.DUMMYFUNCTION("""COMPUTED_VALUE"""),45119.1172054398)</f>
        <v>45119.11721</v>
      </c>
      <c r="D2437" s="15">
        <f>IFERROR(__xludf.DUMMYFUNCTION("""COMPUTED_VALUE"""),1.003)</f>
        <v>1.003</v>
      </c>
      <c r="E2437" s="16">
        <f>IFERROR(__xludf.DUMMYFUNCTION("""COMPUTED_VALUE"""),72.0)</f>
        <v>72</v>
      </c>
      <c r="F2437" s="19" t="str">
        <f>IFERROR(__xludf.DUMMYFUNCTION("""COMPUTED_VALUE"""),"BLACK")</f>
        <v>BLACK</v>
      </c>
      <c r="G2437" s="20" t="str">
        <f>IFERROR(__xludf.DUMMYFUNCTION("""COMPUTED_VALUE"""),"Uncle Sams Cider (04/04/2023)")</f>
        <v>Uncle Sams Cider (04/04/2023)</v>
      </c>
      <c r="H2437" s="19"/>
    </row>
    <row r="2438">
      <c r="A2438" s="9"/>
      <c r="B2438" s="15"/>
      <c r="C2438" s="9">
        <f>IFERROR(__xludf.DUMMYFUNCTION("""COMPUTED_VALUE"""),45119.1067859606)</f>
        <v>45119.10679</v>
      </c>
      <c r="D2438" s="15">
        <f>IFERROR(__xludf.DUMMYFUNCTION("""COMPUTED_VALUE"""),1.004)</f>
        <v>1.004</v>
      </c>
      <c r="E2438" s="16">
        <f>IFERROR(__xludf.DUMMYFUNCTION("""COMPUTED_VALUE"""),72.0)</f>
        <v>72</v>
      </c>
      <c r="F2438" s="19" t="str">
        <f>IFERROR(__xludf.DUMMYFUNCTION("""COMPUTED_VALUE"""),"BLACK")</f>
        <v>BLACK</v>
      </c>
      <c r="G2438" s="20" t="str">
        <f>IFERROR(__xludf.DUMMYFUNCTION("""COMPUTED_VALUE"""),"Uncle Sams Cider (04/04/2023)")</f>
        <v>Uncle Sams Cider (04/04/2023)</v>
      </c>
      <c r="H2438" s="19"/>
    </row>
    <row r="2439">
      <c r="A2439" s="9"/>
      <c r="B2439" s="15"/>
      <c r="C2439" s="9">
        <f>IFERROR(__xludf.DUMMYFUNCTION("""COMPUTED_VALUE"""),45119.0963543634)</f>
        <v>45119.09635</v>
      </c>
      <c r="D2439" s="15">
        <f>IFERROR(__xludf.DUMMYFUNCTION("""COMPUTED_VALUE"""),1.004)</f>
        <v>1.004</v>
      </c>
      <c r="E2439" s="16">
        <f>IFERROR(__xludf.DUMMYFUNCTION("""COMPUTED_VALUE"""),72.0)</f>
        <v>72</v>
      </c>
      <c r="F2439" s="19" t="str">
        <f>IFERROR(__xludf.DUMMYFUNCTION("""COMPUTED_VALUE"""),"BLACK")</f>
        <v>BLACK</v>
      </c>
      <c r="G2439" s="20" t="str">
        <f>IFERROR(__xludf.DUMMYFUNCTION("""COMPUTED_VALUE"""),"Uncle Sams Cider (04/04/2023)")</f>
        <v>Uncle Sams Cider (04/04/2023)</v>
      </c>
      <c r="H2439" s="19"/>
    </row>
    <row r="2440">
      <c r="A2440" s="9"/>
      <c r="B2440" s="15"/>
      <c r="C2440" s="9">
        <f>IFERROR(__xludf.DUMMYFUNCTION("""COMPUTED_VALUE"""),45119.0859336921)</f>
        <v>45119.08593</v>
      </c>
      <c r="D2440" s="15">
        <f>IFERROR(__xludf.DUMMYFUNCTION("""COMPUTED_VALUE"""),1.004)</f>
        <v>1.004</v>
      </c>
      <c r="E2440" s="16">
        <f>IFERROR(__xludf.DUMMYFUNCTION("""COMPUTED_VALUE"""),72.0)</f>
        <v>72</v>
      </c>
      <c r="F2440" s="19" t="str">
        <f>IFERROR(__xludf.DUMMYFUNCTION("""COMPUTED_VALUE"""),"BLACK")</f>
        <v>BLACK</v>
      </c>
      <c r="G2440" s="20" t="str">
        <f>IFERROR(__xludf.DUMMYFUNCTION("""COMPUTED_VALUE"""),"Uncle Sams Cider (04/04/2023)")</f>
        <v>Uncle Sams Cider (04/04/2023)</v>
      </c>
      <c r="H2440" s="19"/>
    </row>
    <row r="2441">
      <c r="A2441" s="9"/>
      <c r="B2441" s="15"/>
      <c r="C2441" s="9">
        <f>IFERROR(__xludf.DUMMYFUNCTION("""COMPUTED_VALUE"""),45119.0755130208)</f>
        <v>45119.07551</v>
      </c>
      <c r="D2441" s="15">
        <f>IFERROR(__xludf.DUMMYFUNCTION("""COMPUTED_VALUE"""),1.004)</f>
        <v>1.004</v>
      </c>
      <c r="E2441" s="16">
        <f>IFERROR(__xludf.DUMMYFUNCTION("""COMPUTED_VALUE"""),72.0)</f>
        <v>72</v>
      </c>
      <c r="F2441" s="19" t="str">
        <f>IFERROR(__xludf.DUMMYFUNCTION("""COMPUTED_VALUE"""),"BLACK")</f>
        <v>BLACK</v>
      </c>
      <c r="G2441" s="20" t="str">
        <f>IFERROR(__xludf.DUMMYFUNCTION("""COMPUTED_VALUE"""),"Uncle Sams Cider (04/04/2023)")</f>
        <v>Uncle Sams Cider (04/04/2023)</v>
      </c>
      <c r="H2441" s="19"/>
    </row>
    <row r="2442">
      <c r="A2442" s="9"/>
      <c r="B2442" s="15"/>
      <c r="C2442" s="9">
        <f>IFERROR(__xludf.DUMMYFUNCTION("""COMPUTED_VALUE"""),45119.0650917013)</f>
        <v>45119.06509</v>
      </c>
      <c r="D2442" s="15">
        <f>IFERROR(__xludf.DUMMYFUNCTION("""COMPUTED_VALUE"""),1.004)</f>
        <v>1.004</v>
      </c>
      <c r="E2442" s="16">
        <f>IFERROR(__xludf.DUMMYFUNCTION("""COMPUTED_VALUE"""),72.0)</f>
        <v>72</v>
      </c>
      <c r="F2442" s="19" t="str">
        <f>IFERROR(__xludf.DUMMYFUNCTION("""COMPUTED_VALUE"""),"BLACK")</f>
        <v>BLACK</v>
      </c>
      <c r="G2442" s="20" t="str">
        <f>IFERROR(__xludf.DUMMYFUNCTION("""COMPUTED_VALUE"""),"Uncle Sams Cider (04/04/2023)")</f>
        <v>Uncle Sams Cider (04/04/2023)</v>
      </c>
      <c r="H2442" s="19"/>
    </row>
    <row r="2443">
      <c r="A2443" s="9"/>
      <c r="B2443" s="15"/>
      <c r="C2443" s="9">
        <f>IFERROR(__xludf.DUMMYFUNCTION("""COMPUTED_VALUE"""),45119.0546684259)</f>
        <v>45119.05467</v>
      </c>
      <c r="D2443" s="15">
        <f>IFERROR(__xludf.DUMMYFUNCTION("""COMPUTED_VALUE"""),1.004)</f>
        <v>1.004</v>
      </c>
      <c r="E2443" s="16">
        <f>IFERROR(__xludf.DUMMYFUNCTION("""COMPUTED_VALUE"""),72.0)</f>
        <v>72</v>
      </c>
      <c r="F2443" s="19" t="str">
        <f>IFERROR(__xludf.DUMMYFUNCTION("""COMPUTED_VALUE"""),"BLACK")</f>
        <v>BLACK</v>
      </c>
      <c r="G2443" s="20" t="str">
        <f>IFERROR(__xludf.DUMMYFUNCTION("""COMPUTED_VALUE"""),"Uncle Sams Cider (04/04/2023)")</f>
        <v>Uncle Sams Cider (04/04/2023)</v>
      </c>
      <c r="H2443" s="19"/>
    </row>
    <row r="2444">
      <c r="A2444" s="9"/>
      <c r="B2444" s="15"/>
      <c r="C2444" s="9">
        <f>IFERROR(__xludf.DUMMYFUNCTION("""COMPUTED_VALUE"""),45119.0442362615)</f>
        <v>45119.04424</v>
      </c>
      <c r="D2444" s="15">
        <f>IFERROR(__xludf.DUMMYFUNCTION("""COMPUTED_VALUE"""),1.003)</f>
        <v>1.003</v>
      </c>
      <c r="E2444" s="16">
        <f>IFERROR(__xludf.DUMMYFUNCTION("""COMPUTED_VALUE"""),72.0)</f>
        <v>72</v>
      </c>
      <c r="F2444" s="19" t="str">
        <f>IFERROR(__xludf.DUMMYFUNCTION("""COMPUTED_VALUE"""),"BLACK")</f>
        <v>BLACK</v>
      </c>
      <c r="G2444" s="20" t="str">
        <f>IFERROR(__xludf.DUMMYFUNCTION("""COMPUTED_VALUE"""),"Uncle Sams Cider (04/04/2023)")</f>
        <v>Uncle Sams Cider (04/04/2023)</v>
      </c>
      <c r="H2444" s="19"/>
    </row>
    <row r="2445">
      <c r="A2445" s="9"/>
      <c r="B2445" s="15"/>
      <c r="C2445" s="9">
        <f>IFERROR(__xludf.DUMMYFUNCTION("""COMPUTED_VALUE"""),45119.0338149884)</f>
        <v>45119.03381</v>
      </c>
      <c r="D2445" s="15">
        <f>IFERROR(__xludf.DUMMYFUNCTION("""COMPUTED_VALUE"""),1.004)</f>
        <v>1.004</v>
      </c>
      <c r="E2445" s="16">
        <f>IFERROR(__xludf.DUMMYFUNCTION("""COMPUTED_VALUE"""),72.0)</f>
        <v>72</v>
      </c>
      <c r="F2445" s="19" t="str">
        <f>IFERROR(__xludf.DUMMYFUNCTION("""COMPUTED_VALUE"""),"BLACK")</f>
        <v>BLACK</v>
      </c>
      <c r="G2445" s="20" t="str">
        <f>IFERROR(__xludf.DUMMYFUNCTION("""COMPUTED_VALUE"""),"Uncle Sams Cider (04/04/2023)")</f>
        <v>Uncle Sams Cider (04/04/2023)</v>
      </c>
      <c r="H2445" s="19"/>
    </row>
    <row r="2446">
      <c r="A2446" s="9"/>
      <c r="B2446" s="15"/>
      <c r="C2446" s="9">
        <f>IFERROR(__xludf.DUMMYFUNCTION("""COMPUTED_VALUE"""),45119.0233942245)</f>
        <v>45119.02339</v>
      </c>
      <c r="D2446" s="15">
        <f>IFERROR(__xludf.DUMMYFUNCTION("""COMPUTED_VALUE"""),1.004)</f>
        <v>1.004</v>
      </c>
      <c r="E2446" s="16">
        <f>IFERROR(__xludf.DUMMYFUNCTION("""COMPUTED_VALUE"""),72.0)</f>
        <v>72</v>
      </c>
      <c r="F2446" s="19" t="str">
        <f>IFERROR(__xludf.DUMMYFUNCTION("""COMPUTED_VALUE"""),"BLACK")</f>
        <v>BLACK</v>
      </c>
      <c r="G2446" s="20" t="str">
        <f>IFERROR(__xludf.DUMMYFUNCTION("""COMPUTED_VALUE"""),"Uncle Sams Cider (04/04/2023)")</f>
        <v>Uncle Sams Cider (04/04/2023)</v>
      </c>
      <c r="H2446" s="19"/>
    </row>
    <row r="2447">
      <c r="A2447" s="9"/>
      <c r="B2447" s="15"/>
      <c r="C2447" s="9">
        <f>IFERROR(__xludf.DUMMYFUNCTION("""COMPUTED_VALUE"""),45119.0129378009)</f>
        <v>45119.01294</v>
      </c>
      <c r="D2447" s="15">
        <f>IFERROR(__xludf.DUMMYFUNCTION("""COMPUTED_VALUE"""),1.004)</f>
        <v>1.004</v>
      </c>
      <c r="E2447" s="16">
        <f>IFERROR(__xludf.DUMMYFUNCTION("""COMPUTED_VALUE"""),72.0)</f>
        <v>72</v>
      </c>
      <c r="F2447" s="19" t="str">
        <f>IFERROR(__xludf.DUMMYFUNCTION("""COMPUTED_VALUE"""),"BLACK")</f>
        <v>BLACK</v>
      </c>
      <c r="G2447" s="20" t="str">
        <f>IFERROR(__xludf.DUMMYFUNCTION("""COMPUTED_VALUE"""),"Uncle Sams Cider (04/04/2023)")</f>
        <v>Uncle Sams Cider (04/04/2023)</v>
      </c>
      <c r="H2447" s="19"/>
    </row>
    <row r="2448">
      <c r="A2448" s="9"/>
      <c r="B2448" s="15"/>
      <c r="C2448" s="9">
        <f>IFERROR(__xludf.DUMMYFUNCTION("""COMPUTED_VALUE"""),45119.002518287)</f>
        <v>45119.00252</v>
      </c>
      <c r="D2448" s="15">
        <f>IFERROR(__xludf.DUMMYFUNCTION("""COMPUTED_VALUE"""),1.003)</f>
        <v>1.003</v>
      </c>
      <c r="E2448" s="16">
        <f>IFERROR(__xludf.DUMMYFUNCTION("""COMPUTED_VALUE"""),72.0)</f>
        <v>72</v>
      </c>
      <c r="F2448" s="19" t="str">
        <f>IFERROR(__xludf.DUMMYFUNCTION("""COMPUTED_VALUE"""),"BLACK")</f>
        <v>BLACK</v>
      </c>
      <c r="G2448" s="20" t="str">
        <f>IFERROR(__xludf.DUMMYFUNCTION("""COMPUTED_VALUE"""),"Uncle Sams Cider (04/04/2023)")</f>
        <v>Uncle Sams Cider (04/04/2023)</v>
      </c>
      <c r="H2448" s="19"/>
    </row>
    <row r="2449">
      <c r="A2449" s="9"/>
      <c r="B2449" s="15"/>
      <c r="C2449" s="9">
        <f>IFERROR(__xludf.DUMMYFUNCTION("""COMPUTED_VALUE"""),45118.9920848495)</f>
        <v>45118.99208</v>
      </c>
      <c r="D2449" s="15">
        <f>IFERROR(__xludf.DUMMYFUNCTION("""COMPUTED_VALUE"""),1.004)</f>
        <v>1.004</v>
      </c>
      <c r="E2449" s="16">
        <f>IFERROR(__xludf.DUMMYFUNCTION("""COMPUTED_VALUE"""),72.0)</f>
        <v>72</v>
      </c>
      <c r="F2449" s="19" t="str">
        <f>IFERROR(__xludf.DUMMYFUNCTION("""COMPUTED_VALUE"""),"BLACK")</f>
        <v>BLACK</v>
      </c>
      <c r="G2449" s="20" t="str">
        <f>IFERROR(__xludf.DUMMYFUNCTION("""COMPUTED_VALUE"""),"Uncle Sams Cider (04/04/2023)")</f>
        <v>Uncle Sams Cider (04/04/2023)</v>
      </c>
      <c r="H2449" s="19"/>
    </row>
    <row r="2450">
      <c r="A2450" s="9"/>
      <c r="B2450" s="15"/>
      <c r="C2450" s="9">
        <f>IFERROR(__xludf.DUMMYFUNCTION("""COMPUTED_VALUE"""),45118.9816645486)</f>
        <v>45118.98166</v>
      </c>
      <c r="D2450" s="15">
        <f>IFERROR(__xludf.DUMMYFUNCTION("""COMPUTED_VALUE"""),1.004)</f>
        <v>1.004</v>
      </c>
      <c r="E2450" s="16">
        <f>IFERROR(__xludf.DUMMYFUNCTION("""COMPUTED_VALUE"""),72.0)</f>
        <v>72</v>
      </c>
      <c r="F2450" s="19" t="str">
        <f>IFERROR(__xludf.DUMMYFUNCTION("""COMPUTED_VALUE"""),"BLACK")</f>
        <v>BLACK</v>
      </c>
      <c r="G2450" s="20" t="str">
        <f>IFERROR(__xludf.DUMMYFUNCTION("""COMPUTED_VALUE"""),"Uncle Sams Cider (04/04/2023)")</f>
        <v>Uncle Sams Cider (04/04/2023)</v>
      </c>
      <c r="H2450" s="19"/>
    </row>
    <row r="2451">
      <c r="A2451" s="9"/>
      <c r="B2451" s="15"/>
      <c r="C2451" s="9">
        <f>IFERROR(__xludf.DUMMYFUNCTION("""COMPUTED_VALUE"""),45118.9712430902)</f>
        <v>45118.97124</v>
      </c>
      <c r="D2451" s="15">
        <f>IFERROR(__xludf.DUMMYFUNCTION("""COMPUTED_VALUE"""),1.003)</f>
        <v>1.003</v>
      </c>
      <c r="E2451" s="16">
        <f>IFERROR(__xludf.DUMMYFUNCTION("""COMPUTED_VALUE"""),72.0)</f>
        <v>72</v>
      </c>
      <c r="F2451" s="19" t="str">
        <f>IFERROR(__xludf.DUMMYFUNCTION("""COMPUTED_VALUE"""),"BLACK")</f>
        <v>BLACK</v>
      </c>
      <c r="G2451" s="20" t="str">
        <f>IFERROR(__xludf.DUMMYFUNCTION("""COMPUTED_VALUE"""),"Uncle Sams Cider (04/04/2023)")</f>
        <v>Uncle Sams Cider (04/04/2023)</v>
      </c>
      <c r="H2451" s="19"/>
    </row>
    <row r="2452">
      <c r="A2452" s="9"/>
      <c r="B2452" s="15"/>
      <c r="C2452" s="9">
        <f>IFERROR(__xludf.DUMMYFUNCTION("""COMPUTED_VALUE"""),45118.9608211921)</f>
        <v>45118.96082</v>
      </c>
      <c r="D2452" s="15">
        <f>IFERROR(__xludf.DUMMYFUNCTION("""COMPUTED_VALUE"""),1.003)</f>
        <v>1.003</v>
      </c>
      <c r="E2452" s="16">
        <f>IFERROR(__xludf.DUMMYFUNCTION("""COMPUTED_VALUE"""),72.0)</f>
        <v>72</v>
      </c>
      <c r="F2452" s="19" t="str">
        <f>IFERROR(__xludf.DUMMYFUNCTION("""COMPUTED_VALUE"""),"BLACK")</f>
        <v>BLACK</v>
      </c>
      <c r="G2452" s="20" t="str">
        <f>IFERROR(__xludf.DUMMYFUNCTION("""COMPUTED_VALUE"""),"Uncle Sams Cider (04/04/2023)")</f>
        <v>Uncle Sams Cider (04/04/2023)</v>
      </c>
      <c r="H2452" s="19"/>
    </row>
    <row r="2453">
      <c r="A2453" s="9"/>
      <c r="B2453" s="15"/>
      <c r="C2453" s="9">
        <f>IFERROR(__xludf.DUMMYFUNCTION("""COMPUTED_VALUE"""),45118.950400787)</f>
        <v>45118.9504</v>
      </c>
      <c r="D2453" s="15">
        <f>IFERROR(__xludf.DUMMYFUNCTION("""COMPUTED_VALUE"""),1.003)</f>
        <v>1.003</v>
      </c>
      <c r="E2453" s="16">
        <f>IFERROR(__xludf.DUMMYFUNCTION("""COMPUTED_VALUE"""),72.0)</f>
        <v>72</v>
      </c>
      <c r="F2453" s="19" t="str">
        <f>IFERROR(__xludf.DUMMYFUNCTION("""COMPUTED_VALUE"""),"BLACK")</f>
        <v>BLACK</v>
      </c>
      <c r="G2453" s="20" t="str">
        <f>IFERROR(__xludf.DUMMYFUNCTION("""COMPUTED_VALUE"""),"Uncle Sams Cider (04/04/2023)")</f>
        <v>Uncle Sams Cider (04/04/2023)</v>
      </c>
      <c r="H2453" s="19"/>
    </row>
    <row r="2454">
      <c r="A2454" s="9"/>
      <c r="B2454" s="15"/>
      <c r="C2454" s="9">
        <f>IFERROR(__xludf.DUMMYFUNCTION("""COMPUTED_VALUE"""),45118.9399801273)</f>
        <v>45118.93998</v>
      </c>
      <c r="D2454" s="15">
        <f>IFERROR(__xludf.DUMMYFUNCTION("""COMPUTED_VALUE"""),1.004)</f>
        <v>1.004</v>
      </c>
      <c r="E2454" s="16">
        <f>IFERROR(__xludf.DUMMYFUNCTION("""COMPUTED_VALUE"""),72.0)</f>
        <v>72</v>
      </c>
      <c r="F2454" s="19" t="str">
        <f>IFERROR(__xludf.DUMMYFUNCTION("""COMPUTED_VALUE"""),"BLACK")</f>
        <v>BLACK</v>
      </c>
      <c r="G2454" s="20" t="str">
        <f>IFERROR(__xludf.DUMMYFUNCTION("""COMPUTED_VALUE"""),"Uncle Sams Cider (04/04/2023)")</f>
        <v>Uncle Sams Cider (04/04/2023)</v>
      </c>
      <c r="H2454" s="19"/>
    </row>
    <row r="2455">
      <c r="A2455" s="9"/>
      <c r="B2455" s="15"/>
      <c r="C2455" s="9">
        <f>IFERROR(__xludf.DUMMYFUNCTION("""COMPUTED_VALUE"""),45118.9295571759)</f>
        <v>45118.92956</v>
      </c>
      <c r="D2455" s="15">
        <f>IFERROR(__xludf.DUMMYFUNCTION("""COMPUTED_VALUE"""),1.004)</f>
        <v>1.004</v>
      </c>
      <c r="E2455" s="16">
        <f>IFERROR(__xludf.DUMMYFUNCTION("""COMPUTED_VALUE"""),72.0)</f>
        <v>72</v>
      </c>
      <c r="F2455" s="19" t="str">
        <f>IFERROR(__xludf.DUMMYFUNCTION("""COMPUTED_VALUE"""),"BLACK")</f>
        <v>BLACK</v>
      </c>
      <c r="G2455" s="20" t="str">
        <f>IFERROR(__xludf.DUMMYFUNCTION("""COMPUTED_VALUE"""),"Uncle Sams Cider (04/04/2023)")</f>
        <v>Uncle Sams Cider (04/04/2023)</v>
      </c>
      <c r="H2455" s="19"/>
    </row>
    <row r="2456">
      <c r="A2456" s="9"/>
      <c r="B2456" s="15"/>
      <c r="C2456" s="9">
        <f>IFERROR(__xludf.DUMMYFUNCTION("""COMPUTED_VALUE"""),45118.9191369907)</f>
        <v>45118.91914</v>
      </c>
      <c r="D2456" s="15">
        <f>IFERROR(__xludf.DUMMYFUNCTION("""COMPUTED_VALUE"""),1.003)</f>
        <v>1.003</v>
      </c>
      <c r="E2456" s="16">
        <f>IFERROR(__xludf.DUMMYFUNCTION("""COMPUTED_VALUE"""),72.0)</f>
        <v>72</v>
      </c>
      <c r="F2456" s="19" t="str">
        <f>IFERROR(__xludf.DUMMYFUNCTION("""COMPUTED_VALUE"""),"BLACK")</f>
        <v>BLACK</v>
      </c>
      <c r="G2456" s="20" t="str">
        <f>IFERROR(__xludf.DUMMYFUNCTION("""COMPUTED_VALUE"""),"Uncle Sams Cider (04/04/2023)")</f>
        <v>Uncle Sams Cider (04/04/2023)</v>
      </c>
      <c r="H2456" s="19"/>
    </row>
    <row r="2457">
      <c r="A2457" s="9"/>
      <c r="B2457" s="15"/>
      <c r="C2457" s="9">
        <f>IFERROR(__xludf.DUMMYFUNCTION("""COMPUTED_VALUE"""),45118.90871603)</f>
        <v>45118.90872</v>
      </c>
      <c r="D2457" s="15">
        <f>IFERROR(__xludf.DUMMYFUNCTION("""COMPUTED_VALUE"""),1.003)</f>
        <v>1.003</v>
      </c>
      <c r="E2457" s="16">
        <f>IFERROR(__xludf.DUMMYFUNCTION("""COMPUTED_VALUE"""),72.0)</f>
        <v>72</v>
      </c>
      <c r="F2457" s="19" t="str">
        <f>IFERROR(__xludf.DUMMYFUNCTION("""COMPUTED_VALUE"""),"BLACK")</f>
        <v>BLACK</v>
      </c>
      <c r="G2457" s="20" t="str">
        <f>IFERROR(__xludf.DUMMYFUNCTION("""COMPUTED_VALUE"""),"Uncle Sams Cider (04/04/2023)")</f>
        <v>Uncle Sams Cider (04/04/2023)</v>
      </c>
      <c r="H2457" s="19"/>
    </row>
    <row r="2458">
      <c r="A2458" s="9"/>
      <c r="B2458" s="15"/>
      <c r="C2458" s="9">
        <f>IFERROR(__xludf.DUMMYFUNCTION("""COMPUTED_VALUE"""),45118.8982822106)</f>
        <v>45118.89828</v>
      </c>
      <c r="D2458" s="15">
        <f>IFERROR(__xludf.DUMMYFUNCTION("""COMPUTED_VALUE"""),1.003)</f>
        <v>1.003</v>
      </c>
      <c r="E2458" s="16">
        <f>IFERROR(__xludf.DUMMYFUNCTION("""COMPUTED_VALUE"""),72.0)</f>
        <v>72</v>
      </c>
      <c r="F2458" s="19" t="str">
        <f>IFERROR(__xludf.DUMMYFUNCTION("""COMPUTED_VALUE"""),"BLACK")</f>
        <v>BLACK</v>
      </c>
      <c r="G2458" s="20" t="str">
        <f>IFERROR(__xludf.DUMMYFUNCTION("""COMPUTED_VALUE"""),"Uncle Sams Cider (04/04/2023)")</f>
        <v>Uncle Sams Cider (04/04/2023)</v>
      </c>
      <c r="H2458" s="19"/>
    </row>
    <row r="2459">
      <c r="A2459" s="9"/>
      <c r="B2459" s="15"/>
      <c r="C2459" s="9">
        <f>IFERROR(__xludf.DUMMYFUNCTION("""COMPUTED_VALUE"""),45118.8878601273)</f>
        <v>45118.88786</v>
      </c>
      <c r="D2459" s="15">
        <f>IFERROR(__xludf.DUMMYFUNCTION("""COMPUTED_VALUE"""),1.003)</f>
        <v>1.003</v>
      </c>
      <c r="E2459" s="16">
        <f>IFERROR(__xludf.DUMMYFUNCTION("""COMPUTED_VALUE"""),72.0)</f>
        <v>72</v>
      </c>
      <c r="F2459" s="19" t="str">
        <f>IFERROR(__xludf.DUMMYFUNCTION("""COMPUTED_VALUE"""),"BLACK")</f>
        <v>BLACK</v>
      </c>
      <c r="G2459" s="20" t="str">
        <f>IFERROR(__xludf.DUMMYFUNCTION("""COMPUTED_VALUE"""),"Uncle Sams Cider (04/04/2023)")</f>
        <v>Uncle Sams Cider (04/04/2023)</v>
      </c>
      <c r="H2459" s="19"/>
    </row>
    <row r="2460">
      <c r="A2460" s="9"/>
      <c r="B2460" s="15"/>
      <c r="C2460" s="9">
        <f>IFERROR(__xludf.DUMMYFUNCTION("""COMPUTED_VALUE"""),45118.8774385879)</f>
        <v>45118.87744</v>
      </c>
      <c r="D2460" s="15">
        <f>IFERROR(__xludf.DUMMYFUNCTION("""COMPUTED_VALUE"""),1.003)</f>
        <v>1.003</v>
      </c>
      <c r="E2460" s="16">
        <f>IFERROR(__xludf.DUMMYFUNCTION("""COMPUTED_VALUE"""),72.0)</f>
        <v>72</v>
      </c>
      <c r="F2460" s="19" t="str">
        <f>IFERROR(__xludf.DUMMYFUNCTION("""COMPUTED_VALUE"""),"BLACK")</f>
        <v>BLACK</v>
      </c>
      <c r="G2460" s="20" t="str">
        <f>IFERROR(__xludf.DUMMYFUNCTION("""COMPUTED_VALUE"""),"Uncle Sams Cider (04/04/2023)")</f>
        <v>Uncle Sams Cider (04/04/2023)</v>
      </c>
      <c r="H2460" s="19"/>
    </row>
    <row r="2461">
      <c r="A2461" s="9"/>
      <c r="B2461" s="15"/>
      <c r="C2461" s="9">
        <f>IFERROR(__xludf.DUMMYFUNCTION("""COMPUTED_VALUE"""),45118.8669940277)</f>
        <v>45118.86699</v>
      </c>
      <c r="D2461" s="15">
        <f>IFERROR(__xludf.DUMMYFUNCTION("""COMPUTED_VALUE"""),1.003)</f>
        <v>1.003</v>
      </c>
      <c r="E2461" s="16">
        <f>IFERROR(__xludf.DUMMYFUNCTION("""COMPUTED_VALUE"""),72.0)</f>
        <v>72</v>
      </c>
      <c r="F2461" s="19" t="str">
        <f>IFERROR(__xludf.DUMMYFUNCTION("""COMPUTED_VALUE"""),"BLACK")</f>
        <v>BLACK</v>
      </c>
      <c r="G2461" s="20" t="str">
        <f>IFERROR(__xludf.DUMMYFUNCTION("""COMPUTED_VALUE"""),"Uncle Sams Cider (04/04/2023)")</f>
        <v>Uncle Sams Cider (04/04/2023)</v>
      </c>
      <c r="H2461" s="19"/>
    </row>
    <row r="2462">
      <c r="A2462" s="9"/>
      <c r="B2462" s="15"/>
      <c r="C2462" s="9">
        <f>IFERROR(__xludf.DUMMYFUNCTION("""COMPUTED_VALUE"""),45118.8565723842)</f>
        <v>45118.85657</v>
      </c>
      <c r="D2462" s="15">
        <f>IFERROR(__xludf.DUMMYFUNCTION("""COMPUTED_VALUE"""),1.004)</f>
        <v>1.004</v>
      </c>
      <c r="E2462" s="16">
        <f>IFERROR(__xludf.DUMMYFUNCTION("""COMPUTED_VALUE"""),72.0)</f>
        <v>72</v>
      </c>
      <c r="F2462" s="19" t="str">
        <f>IFERROR(__xludf.DUMMYFUNCTION("""COMPUTED_VALUE"""),"BLACK")</f>
        <v>BLACK</v>
      </c>
      <c r="G2462" s="20" t="str">
        <f>IFERROR(__xludf.DUMMYFUNCTION("""COMPUTED_VALUE"""),"Uncle Sams Cider (04/04/2023)")</f>
        <v>Uncle Sams Cider (04/04/2023)</v>
      </c>
      <c r="H2462" s="19"/>
    </row>
    <row r="2463">
      <c r="A2463" s="9"/>
      <c r="B2463" s="15"/>
      <c r="C2463" s="9">
        <f>IFERROR(__xludf.DUMMYFUNCTION("""COMPUTED_VALUE"""),45118.8461511342)</f>
        <v>45118.84615</v>
      </c>
      <c r="D2463" s="15">
        <f>IFERROR(__xludf.DUMMYFUNCTION("""COMPUTED_VALUE"""),1.004)</f>
        <v>1.004</v>
      </c>
      <c r="E2463" s="16">
        <f>IFERROR(__xludf.DUMMYFUNCTION("""COMPUTED_VALUE"""),72.0)</f>
        <v>72</v>
      </c>
      <c r="F2463" s="19" t="str">
        <f>IFERROR(__xludf.DUMMYFUNCTION("""COMPUTED_VALUE"""),"BLACK")</f>
        <v>BLACK</v>
      </c>
      <c r="G2463" s="20" t="str">
        <f>IFERROR(__xludf.DUMMYFUNCTION("""COMPUTED_VALUE"""),"Uncle Sams Cider (04/04/2023)")</f>
        <v>Uncle Sams Cider (04/04/2023)</v>
      </c>
      <c r="H2463" s="19"/>
    </row>
    <row r="2464">
      <c r="A2464" s="9"/>
      <c r="B2464" s="15"/>
      <c r="C2464" s="9">
        <f>IFERROR(__xludf.DUMMYFUNCTION("""COMPUTED_VALUE"""),45118.8357168981)</f>
        <v>45118.83572</v>
      </c>
      <c r="D2464" s="15">
        <f>IFERROR(__xludf.DUMMYFUNCTION("""COMPUTED_VALUE"""),1.003)</f>
        <v>1.003</v>
      </c>
      <c r="E2464" s="16">
        <f>IFERROR(__xludf.DUMMYFUNCTION("""COMPUTED_VALUE"""),72.0)</f>
        <v>72</v>
      </c>
      <c r="F2464" s="19" t="str">
        <f>IFERROR(__xludf.DUMMYFUNCTION("""COMPUTED_VALUE"""),"BLACK")</f>
        <v>BLACK</v>
      </c>
      <c r="G2464" s="20" t="str">
        <f>IFERROR(__xludf.DUMMYFUNCTION("""COMPUTED_VALUE"""),"Uncle Sams Cider (04/04/2023)")</f>
        <v>Uncle Sams Cider (04/04/2023)</v>
      </c>
      <c r="H2464" s="19"/>
    </row>
    <row r="2465">
      <c r="A2465" s="9"/>
      <c r="B2465" s="15"/>
      <c r="C2465" s="9">
        <f>IFERROR(__xludf.DUMMYFUNCTION("""COMPUTED_VALUE"""),45118.8252826504)</f>
        <v>45118.82528</v>
      </c>
      <c r="D2465" s="15">
        <f>IFERROR(__xludf.DUMMYFUNCTION("""COMPUTED_VALUE"""),1.004)</f>
        <v>1.004</v>
      </c>
      <c r="E2465" s="16">
        <f>IFERROR(__xludf.DUMMYFUNCTION("""COMPUTED_VALUE"""),72.0)</f>
        <v>72</v>
      </c>
      <c r="F2465" s="19" t="str">
        <f>IFERROR(__xludf.DUMMYFUNCTION("""COMPUTED_VALUE"""),"BLACK")</f>
        <v>BLACK</v>
      </c>
      <c r="G2465" s="20" t="str">
        <f>IFERROR(__xludf.DUMMYFUNCTION("""COMPUTED_VALUE"""),"Uncle Sams Cider (04/04/2023)")</f>
        <v>Uncle Sams Cider (04/04/2023)</v>
      </c>
      <c r="H2465" s="19"/>
    </row>
    <row r="2466">
      <c r="A2466" s="9"/>
      <c r="B2466" s="15"/>
      <c r="C2466" s="9">
        <f>IFERROR(__xludf.DUMMYFUNCTION("""COMPUTED_VALUE"""),45118.8148613888)</f>
        <v>45118.81486</v>
      </c>
      <c r="D2466" s="15">
        <f>IFERROR(__xludf.DUMMYFUNCTION("""COMPUTED_VALUE"""),1.004)</f>
        <v>1.004</v>
      </c>
      <c r="E2466" s="16">
        <f>IFERROR(__xludf.DUMMYFUNCTION("""COMPUTED_VALUE"""),72.0)</f>
        <v>72</v>
      </c>
      <c r="F2466" s="19" t="str">
        <f>IFERROR(__xludf.DUMMYFUNCTION("""COMPUTED_VALUE"""),"BLACK")</f>
        <v>BLACK</v>
      </c>
      <c r="G2466" s="20" t="str">
        <f>IFERROR(__xludf.DUMMYFUNCTION("""COMPUTED_VALUE"""),"Uncle Sams Cider (04/04/2023)")</f>
        <v>Uncle Sams Cider (04/04/2023)</v>
      </c>
      <c r="H2466" s="19"/>
    </row>
    <row r="2467">
      <c r="A2467" s="9"/>
      <c r="B2467" s="15"/>
      <c r="C2467" s="9">
        <f>IFERROR(__xludf.DUMMYFUNCTION("""COMPUTED_VALUE"""),45118.8044392129)</f>
        <v>45118.80444</v>
      </c>
      <c r="D2467" s="15">
        <f>IFERROR(__xludf.DUMMYFUNCTION("""COMPUTED_VALUE"""),1.004)</f>
        <v>1.004</v>
      </c>
      <c r="E2467" s="16">
        <f>IFERROR(__xludf.DUMMYFUNCTION("""COMPUTED_VALUE"""),72.0)</f>
        <v>72</v>
      </c>
      <c r="F2467" s="19" t="str">
        <f>IFERROR(__xludf.DUMMYFUNCTION("""COMPUTED_VALUE"""),"BLACK")</f>
        <v>BLACK</v>
      </c>
      <c r="G2467" s="20" t="str">
        <f>IFERROR(__xludf.DUMMYFUNCTION("""COMPUTED_VALUE"""),"Uncle Sams Cider (04/04/2023)")</f>
        <v>Uncle Sams Cider (04/04/2023)</v>
      </c>
      <c r="H2467" s="19"/>
    </row>
    <row r="2468">
      <c r="A2468" s="9"/>
      <c r="B2468" s="15"/>
      <c r="C2468" s="9">
        <f>IFERROR(__xludf.DUMMYFUNCTION("""COMPUTED_VALUE"""),45118.794017118)</f>
        <v>45118.79402</v>
      </c>
      <c r="D2468" s="15">
        <f>IFERROR(__xludf.DUMMYFUNCTION("""COMPUTED_VALUE"""),1.004)</f>
        <v>1.004</v>
      </c>
      <c r="E2468" s="16">
        <f>IFERROR(__xludf.DUMMYFUNCTION("""COMPUTED_VALUE"""),72.0)</f>
        <v>72</v>
      </c>
      <c r="F2468" s="19" t="str">
        <f>IFERROR(__xludf.DUMMYFUNCTION("""COMPUTED_VALUE"""),"BLACK")</f>
        <v>BLACK</v>
      </c>
      <c r="G2468" s="20" t="str">
        <f>IFERROR(__xludf.DUMMYFUNCTION("""COMPUTED_VALUE"""),"Uncle Sams Cider (04/04/2023)")</f>
        <v>Uncle Sams Cider (04/04/2023)</v>
      </c>
      <c r="H2468" s="19"/>
    </row>
    <row r="2469">
      <c r="A2469" s="9"/>
      <c r="B2469" s="15"/>
      <c r="C2469" s="9">
        <f>IFERROR(__xludf.DUMMYFUNCTION("""COMPUTED_VALUE"""),45118.7835950347)</f>
        <v>45118.7836</v>
      </c>
      <c r="D2469" s="15">
        <f>IFERROR(__xludf.DUMMYFUNCTION("""COMPUTED_VALUE"""),1.003)</f>
        <v>1.003</v>
      </c>
      <c r="E2469" s="16">
        <f>IFERROR(__xludf.DUMMYFUNCTION("""COMPUTED_VALUE"""),72.0)</f>
        <v>72</v>
      </c>
      <c r="F2469" s="19" t="str">
        <f>IFERROR(__xludf.DUMMYFUNCTION("""COMPUTED_VALUE"""),"BLACK")</f>
        <v>BLACK</v>
      </c>
      <c r="G2469" s="20" t="str">
        <f>IFERROR(__xludf.DUMMYFUNCTION("""COMPUTED_VALUE"""),"Uncle Sams Cider (04/04/2023)")</f>
        <v>Uncle Sams Cider (04/04/2023)</v>
      </c>
      <c r="H2469" s="19"/>
    </row>
    <row r="2470">
      <c r="A2470" s="9"/>
      <c r="B2470" s="15"/>
      <c r="C2470" s="9">
        <f>IFERROR(__xludf.DUMMYFUNCTION("""COMPUTED_VALUE"""),45118.7731623379)</f>
        <v>45118.77316</v>
      </c>
      <c r="D2470" s="15">
        <f>IFERROR(__xludf.DUMMYFUNCTION("""COMPUTED_VALUE"""),1.004)</f>
        <v>1.004</v>
      </c>
      <c r="E2470" s="16">
        <f>IFERROR(__xludf.DUMMYFUNCTION("""COMPUTED_VALUE"""),72.0)</f>
        <v>72</v>
      </c>
      <c r="F2470" s="19" t="str">
        <f>IFERROR(__xludf.DUMMYFUNCTION("""COMPUTED_VALUE"""),"BLACK")</f>
        <v>BLACK</v>
      </c>
      <c r="G2470" s="20" t="str">
        <f>IFERROR(__xludf.DUMMYFUNCTION("""COMPUTED_VALUE"""),"Uncle Sams Cider (04/04/2023)")</f>
        <v>Uncle Sams Cider (04/04/2023)</v>
      </c>
      <c r="H2470" s="19"/>
    </row>
    <row r="2471">
      <c r="A2471" s="9"/>
      <c r="B2471" s="15"/>
      <c r="C2471" s="9">
        <f>IFERROR(__xludf.DUMMYFUNCTION("""COMPUTED_VALUE"""),45118.7627408333)</f>
        <v>45118.76274</v>
      </c>
      <c r="D2471" s="15">
        <f>IFERROR(__xludf.DUMMYFUNCTION("""COMPUTED_VALUE"""),1.004)</f>
        <v>1.004</v>
      </c>
      <c r="E2471" s="16">
        <f>IFERROR(__xludf.DUMMYFUNCTION("""COMPUTED_VALUE"""),72.0)</f>
        <v>72</v>
      </c>
      <c r="F2471" s="19" t="str">
        <f>IFERROR(__xludf.DUMMYFUNCTION("""COMPUTED_VALUE"""),"BLACK")</f>
        <v>BLACK</v>
      </c>
      <c r="G2471" s="20" t="str">
        <f>IFERROR(__xludf.DUMMYFUNCTION("""COMPUTED_VALUE"""),"Uncle Sams Cider (04/04/2023)")</f>
        <v>Uncle Sams Cider (04/04/2023)</v>
      </c>
      <c r="H2471" s="19"/>
    </row>
    <row r="2472">
      <c r="A2472" s="9"/>
      <c r="B2472" s="15"/>
      <c r="C2472" s="9">
        <f>IFERROR(__xludf.DUMMYFUNCTION("""COMPUTED_VALUE"""),45118.7523210995)</f>
        <v>45118.75232</v>
      </c>
      <c r="D2472" s="15">
        <f>IFERROR(__xludf.DUMMYFUNCTION("""COMPUTED_VALUE"""),1.004)</f>
        <v>1.004</v>
      </c>
      <c r="E2472" s="16">
        <f>IFERROR(__xludf.DUMMYFUNCTION("""COMPUTED_VALUE"""),72.0)</f>
        <v>72</v>
      </c>
      <c r="F2472" s="19" t="str">
        <f>IFERROR(__xludf.DUMMYFUNCTION("""COMPUTED_VALUE"""),"BLACK")</f>
        <v>BLACK</v>
      </c>
      <c r="G2472" s="20" t="str">
        <f>IFERROR(__xludf.DUMMYFUNCTION("""COMPUTED_VALUE"""),"Uncle Sams Cider (04/04/2023)")</f>
        <v>Uncle Sams Cider (04/04/2023)</v>
      </c>
      <c r="H2472" s="19"/>
    </row>
    <row r="2473">
      <c r="A2473" s="9"/>
      <c r="B2473" s="15"/>
      <c r="C2473" s="9">
        <f>IFERROR(__xludf.DUMMYFUNCTION("""COMPUTED_VALUE"""),45118.7418652199)</f>
        <v>45118.74187</v>
      </c>
      <c r="D2473" s="15">
        <f>IFERROR(__xludf.DUMMYFUNCTION("""COMPUTED_VALUE"""),1.004)</f>
        <v>1.004</v>
      </c>
      <c r="E2473" s="16">
        <f>IFERROR(__xludf.DUMMYFUNCTION("""COMPUTED_VALUE"""),72.0)</f>
        <v>72</v>
      </c>
      <c r="F2473" s="19" t="str">
        <f>IFERROR(__xludf.DUMMYFUNCTION("""COMPUTED_VALUE"""),"BLACK")</f>
        <v>BLACK</v>
      </c>
      <c r="G2473" s="20" t="str">
        <f>IFERROR(__xludf.DUMMYFUNCTION("""COMPUTED_VALUE"""),"Uncle Sams Cider (04/04/2023)")</f>
        <v>Uncle Sams Cider (04/04/2023)</v>
      </c>
      <c r="H2473" s="19"/>
    </row>
    <row r="2474">
      <c r="A2474" s="9"/>
      <c r="B2474" s="15"/>
      <c r="C2474" s="9">
        <f>IFERROR(__xludf.DUMMYFUNCTION("""COMPUTED_VALUE"""),45118.731430405)</f>
        <v>45118.73143</v>
      </c>
      <c r="D2474" s="15">
        <f>IFERROR(__xludf.DUMMYFUNCTION("""COMPUTED_VALUE"""),1.003)</f>
        <v>1.003</v>
      </c>
      <c r="E2474" s="16">
        <f>IFERROR(__xludf.DUMMYFUNCTION("""COMPUTED_VALUE"""),72.0)</f>
        <v>72</v>
      </c>
      <c r="F2474" s="19" t="str">
        <f>IFERROR(__xludf.DUMMYFUNCTION("""COMPUTED_VALUE"""),"BLACK")</f>
        <v>BLACK</v>
      </c>
      <c r="G2474" s="20" t="str">
        <f>IFERROR(__xludf.DUMMYFUNCTION("""COMPUTED_VALUE"""),"Uncle Sams Cider (04/04/2023)")</f>
        <v>Uncle Sams Cider (04/04/2023)</v>
      </c>
      <c r="H2474" s="19"/>
    </row>
    <row r="2475">
      <c r="A2475" s="9"/>
      <c r="B2475" s="15"/>
      <c r="C2475" s="9">
        <f>IFERROR(__xludf.DUMMYFUNCTION("""COMPUTED_VALUE"""),45118.7210102662)</f>
        <v>45118.72101</v>
      </c>
      <c r="D2475" s="15">
        <f>IFERROR(__xludf.DUMMYFUNCTION("""COMPUTED_VALUE"""),1.004)</f>
        <v>1.004</v>
      </c>
      <c r="E2475" s="16">
        <f>IFERROR(__xludf.DUMMYFUNCTION("""COMPUTED_VALUE"""),72.0)</f>
        <v>72</v>
      </c>
      <c r="F2475" s="19" t="str">
        <f>IFERROR(__xludf.DUMMYFUNCTION("""COMPUTED_VALUE"""),"BLACK")</f>
        <v>BLACK</v>
      </c>
      <c r="G2475" s="20" t="str">
        <f>IFERROR(__xludf.DUMMYFUNCTION("""COMPUTED_VALUE"""),"Uncle Sams Cider (04/04/2023)")</f>
        <v>Uncle Sams Cider (04/04/2023)</v>
      </c>
      <c r="H2475" s="19"/>
    </row>
    <row r="2476">
      <c r="A2476" s="9"/>
      <c r="B2476" s="15"/>
      <c r="C2476" s="9">
        <f>IFERROR(__xludf.DUMMYFUNCTION("""COMPUTED_VALUE"""),45118.710577118)</f>
        <v>45118.71058</v>
      </c>
      <c r="D2476" s="15">
        <f>IFERROR(__xludf.DUMMYFUNCTION("""COMPUTED_VALUE"""),1.004)</f>
        <v>1.004</v>
      </c>
      <c r="E2476" s="16">
        <f>IFERROR(__xludf.DUMMYFUNCTION("""COMPUTED_VALUE"""),72.0)</f>
        <v>72</v>
      </c>
      <c r="F2476" s="19" t="str">
        <f>IFERROR(__xludf.DUMMYFUNCTION("""COMPUTED_VALUE"""),"BLACK")</f>
        <v>BLACK</v>
      </c>
      <c r="G2476" s="20" t="str">
        <f>IFERROR(__xludf.DUMMYFUNCTION("""COMPUTED_VALUE"""),"Uncle Sams Cider (04/04/2023)")</f>
        <v>Uncle Sams Cider (04/04/2023)</v>
      </c>
      <c r="H2476" s="19"/>
    </row>
    <row r="2477">
      <c r="A2477" s="9"/>
      <c r="B2477" s="15"/>
      <c r="C2477" s="9">
        <f>IFERROR(__xludf.DUMMYFUNCTION("""COMPUTED_VALUE"""),45118.7001319212)</f>
        <v>45118.70013</v>
      </c>
      <c r="D2477" s="15">
        <f>IFERROR(__xludf.DUMMYFUNCTION("""COMPUTED_VALUE"""),1.004)</f>
        <v>1.004</v>
      </c>
      <c r="E2477" s="16">
        <f>IFERROR(__xludf.DUMMYFUNCTION("""COMPUTED_VALUE"""),72.0)</f>
        <v>72</v>
      </c>
      <c r="F2477" s="19" t="str">
        <f>IFERROR(__xludf.DUMMYFUNCTION("""COMPUTED_VALUE"""),"BLACK")</f>
        <v>BLACK</v>
      </c>
      <c r="G2477" s="20" t="str">
        <f>IFERROR(__xludf.DUMMYFUNCTION("""COMPUTED_VALUE"""),"Uncle Sams Cider (04/04/2023)")</f>
        <v>Uncle Sams Cider (04/04/2023)</v>
      </c>
      <c r="H2477" s="19"/>
    </row>
    <row r="2478">
      <c r="A2478" s="9"/>
      <c r="B2478" s="15"/>
      <c r="C2478" s="9">
        <f>IFERROR(__xludf.DUMMYFUNCTION("""COMPUTED_VALUE"""),45118.6897107291)</f>
        <v>45118.68971</v>
      </c>
      <c r="D2478" s="15">
        <f>IFERROR(__xludf.DUMMYFUNCTION("""COMPUTED_VALUE"""),1.004)</f>
        <v>1.004</v>
      </c>
      <c r="E2478" s="16">
        <f>IFERROR(__xludf.DUMMYFUNCTION("""COMPUTED_VALUE"""),72.0)</f>
        <v>72</v>
      </c>
      <c r="F2478" s="19" t="str">
        <f>IFERROR(__xludf.DUMMYFUNCTION("""COMPUTED_VALUE"""),"BLACK")</f>
        <v>BLACK</v>
      </c>
      <c r="G2478" s="20" t="str">
        <f>IFERROR(__xludf.DUMMYFUNCTION("""COMPUTED_VALUE"""),"Uncle Sams Cider (04/04/2023)")</f>
        <v>Uncle Sams Cider (04/04/2023)</v>
      </c>
      <c r="H2478" s="19"/>
    </row>
    <row r="2479">
      <c r="A2479" s="9"/>
      <c r="B2479" s="15"/>
      <c r="C2479" s="9">
        <f>IFERROR(__xludf.DUMMYFUNCTION("""COMPUTED_VALUE"""),45118.6792897569)</f>
        <v>45118.67929</v>
      </c>
      <c r="D2479" s="15">
        <f>IFERROR(__xludf.DUMMYFUNCTION("""COMPUTED_VALUE"""),1.003)</f>
        <v>1.003</v>
      </c>
      <c r="E2479" s="16">
        <f>IFERROR(__xludf.DUMMYFUNCTION("""COMPUTED_VALUE"""),72.0)</f>
        <v>72</v>
      </c>
      <c r="F2479" s="19" t="str">
        <f>IFERROR(__xludf.DUMMYFUNCTION("""COMPUTED_VALUE"""),"BLACK")</f>
        <v>BLACK</v>
      </c>
      <c r="G2479" s="20" t="str">
        <f>IFERROR(__xludf.DUMMYFUNCTION("""COMPUTED_VALUE"""),"Uncle Sams Cider (04/04/2023)")</f>
        <v>Uncle Sams Cider (04/04/2023)</v>
      </c>
      <c r="H2479" s="19"/>
    </row>
    <row r="2480">
      <c r="A2480" s="9"/>
      <c r="B2480" s="15"/>
      <c r="C2480" s="9">
        <f>IFERROR(__xludf.DUMMYFUNCTION("""COMPUTED_VALUE"""),45118.6688680902)</f>
        <v>45118.66887</v>
      </c>
      <c r="D2480" s="15">
        <f>IFERROR(__xludf.DUMMYFUNCTION("""COMPUTED_VALUE"""),1.004)</f>
        <v>1.004</v>
      </c>
      <c r="E2480" s="16">
        <f>IFERROR(__xludf.DUMMYFUNCTION("""COMPUTED_VALUE"""),72.0)</f>
        <v>72</v>
      </c>
      <c r="F2480" s="19" t="str">
        <f>IFERROR(__xludf.DUMMYFUNCTION("""COMPUTED_VALUE"""),"BLACK")</f>
        <v>BLACK</v>
      </c>
      <c r="G2480" s="20" t="str">
        <f>IFERROR(__xludf.DUMMYFUNCTION("""COMPUTED_VALUE"""),"Uncle Sams Cider (04/04/2023)")</f>
        <v>Uncle Sams Cider (04/04/2023)</v>
      </c>
      <c r="H2480" s="19"/>
    </row>
    <row r="2481">
      <c r="A2481" s="9"/>
      <c r="B2481" s="15"/>
      <c r="C2481" s="9">
        <f>IFERROR(__xludf.DUMMYFUNCTION("""COMPUTED_VALUE"""),45118.6584488888)</f>
        <v>45118.65845</v>
      </c>
      <c r="D2481" s="15">
        <f>IFERROR(__xludf.DUMMYFUNCTION("""COMPUTED_VALUE"""),1.003)</f>
        <v>1.003</v>
      </c>
      <c r="E2481" s="16">
        <f>IFERROR(__xludf.DUMMYFUNCTION("""COMPUTED_VALUE"""),72.0)</f>
        <v>72</v>
      </c>
      <c r="F2481" s="19" t="str">
        <f>IFERROR(__xludf.DUMMYFUNCTION("""COMPUTED_VALUE"""),"BLACK")</f>
        <v>BLACK</v>
      </c>
      <c r="G2481" s="20" t="str">
        <f>IFERROR(__xludf.DUMMYFUNCTION("""COMPUTED_VALUE"""),"Uncle Sams Cider (04/04/2023)")</f>
        <v>Uncle Sams Cider (04/04/2023)</v>
      </c>
      <c r="H2481" s="19"/>
    </row>
    <row r="2482">
      <c r="A2482" s="9"/>
      <c r="B2482" s="15"/>
      <c r="C2482" s="9">
        <f>IFERROR(__xludf.DUMMYFUNCTION("""COMPUTED_VALUE"""),45118.6480047916)</f>
        <v>45118.648</v>
      </c>
      <c r="D2482" s="15">
        <f>IFERROR(__xludf.DUMMYFUNCTION("""COMPUTED_VALUE"""),1.004)</f>
        <v>1.004</v>
      </c>
      <c r="E2482" s="16">
        <f>IFERROR(__xludf.DUMMYFUNCTION("""COMPUTED_VALUE"""),72.0)</f>
        <v>72</v>
      </c>
      <c r="F2482" s="19" t="str">
        <f>IFERROR(__xludf.DUMMYFUNCTION("""COMPUTED_VALUE"""),"BLACK")</f>
        <v>BLACK</v>
      </c>
      <c r="G2482" s="20" t="str">
        <f>IFERROR(__xludf.DUMMYFUNCTION("""COMPUTED_VALUE"""),"Uncle Sams Cider (04/04/2023)")</f>
        <v>Uncle Sams Cider (04/04/2023)</v>
      </c>
      <c r="H2482" s="19"/>
    </row>
    <row r="2483">
      <c r="A2483" s="9"/>
      <c r="B2483" s="15"/>
      <c r="C2483" s="9">
        <f>IFERROR(__xludf.DUMMYFUNCTION("""COMPUTED_VALUE"""),45118.6375817708)</f>
        <v>45118.63758</v>
      </c>
      <c r="D2483" s="15">
        <f>IFERROR(__xludf.DUMMYFUNCTION("""COMPUTED_VALUE"""),1.003)</f>
        <v>1.003</v>
      </c>
      <c r="E2483" s="16">
        <f>IFERROR(__xludf.DUMMYFUNCTION("""COMPUTED_VALUE"""),72.0)</f>
        <v>72</v>
      </c>
      <c r="F2483" s="19" t="str">
        <f>IFERROR(__xludf.DUMMYFUNCTION("""COMPUTED_VALUE"""),"BLACK")</f>
        <v>BLACK</v>
      </c>
      <c r="G2483" s="20" t="str">
        <f>IFERROR(__xludf.DUMMYFUNCTION("""COMPUTED_VALUE"""),"Uncle Sams Cider (04/04/2023)")</f>
        <v>Uncle Sams Cider (04/04/2023)</v>
      </c>
      <c r="H2483" s="19"/>
    </row>
    <row r="2484">
      <c r="A2484" s="9"/>
      <c r="B2484" s="15"/>
      <c r="C2484" s="9">
        <f>IFERROR(__xludf.DUMMYFUNCTION("""COMPUTED_VALUE"""),45118.6271612731)</f>
        <v>45118.62716</v>
      </c>
      <c r="D2484" s="15">
        <f>IFERROR(__xludf.DUMMYFUNCTION("""COMPUTED_VALUE"""),1.003)</f>
        <v>1.003</v>
      </c>
      <c r="E2484" s="16">
        <f>IFERROR(__xludf.DUMMYFUNCTION("""COMPUTED_VALUE"""),72.0)</f>
        <v>72</v>
      </c>
      <c r="F2484" s="19" t="str">
        <f>IFERROR(__xludf.DUMMYFUNCTION("""COMPUTED_VALUE"""),"BLACK")</f>
        <v>BLACK</v>
      </c>
      <c r="G2484" s="20" t="str">
        <f>IFERROR(__xludf.DUMMYFUNCTION("""COMPUTED_VALUE"""),"Uncle Sams Cider (04/04/2023)")</f>
        <v>Uncle Sams Cider (04/04/2023)</v>
      </c>
      <c r="H2484" s="19"/>
    </row>
    <row r="2485">
      <c r="A2485" s="9"/>
      <c r="B2485" s="15"/>
      <c r="C2485" s="9">
        <f>IFERROR(__xludf.DUMMYFUNCTION("""COMPUTED_VALUE"""),45118.6167281018)</f>
        <v>45118.61673</v>
      </c>
      <c r="D2485" s="15">
        <f>IFERROR(__xludf.DUMMYFUNCTION("""COMPUTED_VALUE"""),1.003)</f>
        <v>1.003</v>
      </c>
      <c r="E2485" s="16">
        <f>IFERROR(__xludf.DUMMYFUNCTION("""COMPUTED_VALUE"""),72.0)</f>
        <v>72</v>
      </c>
      <c r="F2485" s="19" t="str">
        <f>IFERROR(__xludf.DUMMYFUNCTION("""COMPUTED_VALUE"""),"BLACK")</f>
        <v>BLACK</v>
      </c>
      <c r="G2485" s="20" t="str">
        <f>IFERROR(__xludf.DUMMYFUNCTION("""COMPUTED_VALUE"""),"Uncle Sams Cider (04/04/2023)")</f>
        <v>Uncle Sams Cider (04/04/2023)</v>
      </c>
      <c r="H2485" s="19"/>
    </row>
    <row r="2486">
      <c r="A2486" s="9"/>
      <c r="B2486" s="15"/>
      <c r="C2486" s="9">
        <f>IFERROR(__xludf.DUMMYFUNCTION("""COMPUTED_VALUE"""),45118.6062929166)</f>
        <v>45118.60629</v>
      </c>
      <c r="D2486" s="15">
        <f>IFERROR(__xludf.DUMMYFUNCTION("""COMPUTED_VALUE"""),1.003)</f>
        <v>1.003</v>
      </c>
      <c r="E2486" s="16">
        <f>IFERROR(__xludf.DUMMYFUNCTION("""COMPUTED_VALUE"""),72.0)</f>
        <v>72</v>
      </c>
      <c r="F2486" s="19" t="str">
        <f>IFERROR(__xludf.DUMMYFUNCTION("""COMPUTED_VALUE"""),"BLACK")</f>
        <v>BLACK</v>
      </c>
      <c r="G2486" s="20" t="str">
        <f>IFERROR(__xludf.DUMMYFUNCTION("""COMPUTED_VALUE"""),"Uncle Sams Cider (04/04/2023)")</f>
        <v>Uncle Sams Cider (04/04/2023)</v>
      </c>
      <c r="H2486" s="19"/>
    </row>
    <row r="2487">
      <c r="A2487" s="9"/>
      <c r="B2487" s="15"/>
      <c r="C2487" s="9">
        <f>IFERROR(__xludf.DUMMYFUNCTION("""COMPUTED_VALUE"""),45118.5958726504)</f>
        <v>45118.59587</v>
      </c>
      <c r="D2487" s="15">
        <f>IFERROR(__xludf.DUMMYFUNCTION("""COMPUTED_VALUE"""),1.004)</f>
        <v>1.004</v>
      </c>
      <c r="E2487" s="16">
        <f>IFERROR(__xludf.DUMMYFUNCTION("""COMPUTED_VALUE"""),72.0)</f>
        <v>72</v>
      </c>
      <c r="F2487" s="19" t="str">
        <f>IFERROR(__xludf.DUMMYFUNCTION("""COMPUTED_VALUE"""),"BLACK")</f>
        <v>BLACK</v>
      </c>
      <c r="G2487" s="20" t="str">
        <f>IFERROR(__xludf.DUMMYFUNCTION("""COMPUTED_VALUE"""),"Uncle Sams Cider (04/04/2023)")</f>
        <v>Uncle Sams Cider (04/04/2023)</v>
      </c>
      <c r="H2487" s="19"/>
    </row>
    <row r="2488">
      <c r="A2488" s="9"/>
      <c r="B2488" s="15"/>
      <c r="C2488" s="9">
        <f>IFERROR(__xludf.DUMMYFUNCTION("""COMPUTED_VALUE"""),45118.5854511689)</f>
        <v>45118.58545</v>
      </c>
      <c r="D2488" s="15">
        <f>IFERROR(__xludf.DUMMYFUNCTION("""COMPUTED_VALUE"""),1.003)</f>
        <v>1.003</v>
      </c>
      <c r="E2488" s="16">
        <f>IFERROR(__xludf.DUMMYFUNCTION("""COMPUTED_VALUE"""),72.0)</f>
        <v>72</v>
      </c>
      <c r="F2488" s="19" t="str">
        <f>IFERROR(__xludf.DUMMYFUNCTION("""COMPUTED_VALUE"""),"BLACK")</f>
        <v>BLACK</v>
      </c>
      <c r="G2488" s="20" t="str">
        <f>IFERROR(__xludf.DUMMYFUNCTION("""COMPUTED_VALUE"""),"Uncle Sams Cider (04/04/2023)")</f>
        <v>Uncle Sams Cider (04/04/2023)</v>
      </c>
      <c r="H2488" s="19"/>
    </row>
    <row r="2489">
      <c r="A2489" s="9"/>
      <c r="B2489" s="15"/>
      <c r="C2489" s="9">
        <f>IFERROR(__xludf.DUMMYFUNCTION("""COMPUTED_VALUE"""),45118.5750192708)</f>
        <v>45118.57502</v>
      </c>
      <c r="D2489" s="15">
        <f>IFERROR(__xludf.DUMMYFUNCTION("""COMPUTED_VALUE"""),1.004)</f>
        <v>1.004</v>
      </c>
      <c r="E2489" s="16">
        <f>IFERROR(__xludf.DUMMYFUNCTION("""COMPUTED_VALUE"""),72.0)</f>
        <v>72</v>
      </c>
      <c r="F2489" s="19" t="str">
        <f>IFERROR(__xludf.DUMMYFUNCTION("""COMPUTED_VALUE"""),"BLACK")</f>
        <v>BLACK</v>
      </c>
      <c r="G2489" s="20" t="str">
        <f>IFERROR(__xludf.DUMMYFUNCTION("""COMPUTED_VALUE"""),"Uncle Sams Cider (04/04/2023)")</f>
        <v>Uncle Sams Cider (04/04/2023)</v>
      </c>
      <c r="H2489" s="19"/>
    </row>
    <row r="2490">
      <c r="A2490" s="9"/>
      <c r="B2490" s="15"/>
      <c r="C2490" s="9">
        <f>IFERROR(__xludf.DUMMYFUNCTION("""COMPUTED_VALUE"""),45118.5645992013)</f>
        <v>45118.5646</v>
      </c>
      <c r="D2490" s="15">
        <f>IFERROR(__xludf.DUMMYFUNCTION("""COMPUTED_VALUE"""),1.004)</f>
        <v>1.004</v>
      </c>
      <c r="E2490" s="16">
        <f>IFERROR(__xludf.DUMMYFUNCTION("""COMPUTED_VALUE"""),72.0)</f>
        <v>72</v>
      </c>
      <c r="F2490" s="19" t="str">
        <f>IFERROR(__xludf.DUMMYFUNCTION("""COMPUTED_VALUE"""),"BLACK")</f>
        <v>BLACK</v>
      </c>
      <c r="G2490" s="20" t="str">
        <f>IFERROR(__xludf.DUMMYFUNCTION("""COMPUTED_VALUE"""),"Uncle Sams Cider (04/04/2023)")</f>
        <v>Uncle Sams Cider (04/04/2023)</v>
      </c>
      <c r="H2490" s="19"/>
    </row>
    <row r="2491">
      <c r="A2491" s="9"/>
      <c r="B2491" s="15"/>
      <c r="C2491" s="9">
        <f>IFERROR(__xludf.DUMMYFUNCTION("""COMPUTED_VALUE"""),45118.5541675)</f>
        <v>45118.55417</v>
      </c>
      <c r="D2491" s="15">
        <f>IFERROR(__xludf.DUMMYFUNCTION("""COMPUTED_VALUE"""),1.004)</f>
        <v>1.004</v>
      </c>
      <c r="E2491" s="16">
        <f>IFERROR(__xludf.DUMMYFUNCTION("""COMPUTED_VALUE"""),72.0)</f>
        <v>72</v>
      </c>
      <c r="F2491" s="19" t="str">
        <f>IFERROR(__xludf.DUMMYFUNCTION("""COMPUTED_VALUE"""),"BLACK")</f>
        <v>BLACK</v>
      </c>
      <c r="G2491" s="20" t="str">
        <f>IFERROR(__xludf.DUMMYFUNCTION("""COMPUTED_VALUE"""),"Uncle Sams Cider (04/04/2023)")</f>
        <v>Uncle Sams Cider (04/04/2023)</v>
      </c>
      <c r="H2491" s="19"/>
    </row>
    <row r="2492">
      <c r="A2492" s="9"/>
      <c r="B2492" s="15"/>
      <c r="C2492" s="9">
        <f>IFERROR(__xludf.DUMMYFUNCTION("""COMPUTED_VALUE"""),45118.5437344328)</f>
        <v>45118.54373</v>
      </c>
      <c r="D2492" s="15">
        <f>IFERROR(__xludf.DUMMYFUNCTION("""COMPUTED_VALUE"""),1.004)</f>
        <v>1.004</v>
      </c>
      <c r="E2492" s="16">
        <f>IFERROR(__xludf.DUMMYFUNCTION("""COMPUTED_VALUE"""),72.0)</f>
        <v>72</v>
      </c>
      <c r="F2492" s="19" t="str">
        <f>IFERROR(__xludf.DUMMYFUNCTION("""COMPUTED_VALUE"""),"BLACK")</f>
        <v>BLACK</v>
      </c>
      <c r="G2492" s="20" t="str">
        <f>IFERROR(__xludf.DUMMYFUNCTION("""COMPUTED_VALUE"""),"Uncle Sams Cider (04/04/2023)")</f>
        <v>Uncle Sams Cider (04/04/2023)</v>
      </c>
      <c r="H2492" s="19"/>
    </row>
    <row r="2493">
      <c r="A2493" s="9"/>
      <c r="B2493" s="15"/>
      <c r="C2493" s="9">
        <f>IFERROR(__xludf.DUMMYFUNCTION("""COMPUTED_VALUE"""),45118.533313125)</f>
        <v>45118.53331</v>
      </c>
      <c r="D2493" s="15">
        <f>IFERROR(__xludf.DUMMYFUNCTION("""COMPUTED_VALUE"""),1.003)</f>
        <v>1.003</v>
      </c>
      <c r="E2493" s="16">
        <f>IFERROR(__xludf.DUMMYFUNCTION("""COMPUTED_VALUE"""),72.0)</f>
        <v>72</v>
      </c>
      <c r="F2493" s="19" t="str">
        <f>IFERROR(__xludf.DUMMYFUNCTION("""COMPUTED_VALUE"""),"BLACK")</f>
        <v>BLACK</v>
      </c>
      <c r="G2493" s="20" t="str">
        <f>IFERROR(__xludf.DUMMYFUNCTION("""COMPUTED_VALUE"""),"Uncle Sams Cider (04/04/2023)")</f>
        <v>Uncle Sams Cider (04/04/2023)</v>
      </c>
      <c r="H2493" s="19"/>
    </row>
    <row r="2494">
      <c r="A2494" s="9"/>
      <c r="B2494" s="15"/>
      <c r="C2494" s="9">
        <f>IFERROR(__xludf.DUMMYFUNCTION("""COMPUTED_VALUE"""),45118.5228921759)</f>
        <v>45118.52289</v>
      </c>
      <c r="D2494" s="15">
        <f>IFERROR(__xludf.DUMMYFUNCTION("""COMPUTED_VALUE"""),1.004)</f>
        <v>1.004</v>
      </c>
      <c r="E2494" s="16">
        <f>IFERROR(__xludf.DUMMYFUNCTION("""COMPUTED_VALUE"""),72.0)</f>
        <v>72</v>
      </c>
      <c r="F2494" s="19" t="str">
        <f>IFERROR(__xludf.DUMMYFUNCTION("""COMPUTED_VALUE"""),"BLACK")</f>
        <v>BLACK</v>
      </c>
      <c r="G2494" s="20" t="str">
        <f>IFERROR(__xludf.DUMMYFUNCTION("""COMPUTED_VALUE"""),"Uncle Sams Cider (04/04/2023)")</f>
        <v>Uncle Sams Cider (04/04/2023)</v>
      </c>
      <c r="H2494" s="19"/>
    </row>
    <row r="2495">
      <c r="A2495" s="9"/>
      <c r="B2495" s="15"/>
      <c r="C2495" s="9">
        <f>IFERROR(__xludf.DUMMYFUNCTION("""COMPUTED_VALUE"""),45118.5124712962)</f>
        <v>45118.51247</v>
      </c>
      <c r="D2495" s="15">
        <f>IFERROR(__xludf.DUMMYFUNCTION("""COMPUTED_VALUE"""),1.004)</f>
        <v>1.004</v>
      </c>
      <c r="E2495" s="16">
        <f>IFERROR(__xludf.DUMMYFUNCTION("""COMPUTED_VALUE"""),72.0)</f>
        <v>72</v>
      </c>
      <c r="F2495" s="19" t="str">
        <f>IFERROR(__xludf.DUMMYFUNCTION("""COMPUTED_VALUE"""),"BLACK")</f>
        <v>BLACK</v>
      </c>
      <c r="G2495" s="20" t="str">
        <f>IFERROR(__xludf.DUMMYFUNCTION("""COMPUTED_VALUE"""),"Uncle Sams Cider (04/04/2023)")</f>
        <v>Uncle Sams Cider (04/04/2023)</v>
      </c>
      <c r="H2495" s="19"/>
    </row>
    <row r="2496">
      <c r="A2496" s="9"/>
      <c r="B2496" s="15"/>
      <c r="C2496" s="9">
        <f>IFERROR(__xludf.DUMMYFUNCTION("""COMPUTED_VALUE"""),45118.5020495138)</f>
        <v>45118.50205</v>
      </c>
      <c r="D2496" s="15">
        <f>IFERROR(__xludf.DUMMYFUNCTION("""COMPUTED_VALUE"""),1.004)</f>
        <v>1.004</v>
      </c>
      <c r="E2496" s="16">
        <f>IFERROR(__xludf.DUMMYFUNCTION("""COMPUTED_VALUE"""),72.0)</f>
        <v>72</v>
      </c>
      <c r="F2496" s="19" t="str">
        <f>IFERROR(__xludf.DUMMYFUNCTION("""COMPUTED_VALUE"""),"BLACK")</f>
        <v>BLACK</v>
      </c>
      <c r="G2496" s="20" t="str">
        <f>IFERROR(__xludf.DUMMYFUNCTION("""COMPUTED_VALUE"""),"Uncle Sams Cider (04/04/2023)")</f>
        <v>Uncle Sams Cider (04/04/2023)</v>
      </c>
      <c r="H2496" s="19"/>
    </row>
    <row r="2497">
      <c r="A2497" s="9"/>
      <c r="B2497" s="15"/>
      <c r="C2497" s="9">
        <f>IFERROR(__xludf.DUMMYFUNCTION("""COMPUTED_VALUE"""),45118.4916270601)</f>
        <v>45118.49163</v>
      </c>
      <c r="D2497" s="15">
        <f>IFERROR(__xludf.DUMMYFUNCTION("""COMPUTED_VALUE"""),1.004)</f>
        <v>1.004</v>
      </c>
      <c r="E2497" s="16">
        <f>IFERROR(__xludf.DUMMYFUNCTION("""COMPUTED_VALUE"""),72.0)</f>
        <v>72</v>
      </c>
      <c r="F2497" s="19" t="str">
        <f>IFERROR(__xludf.DUMMYFUNCTION("""COMPUTED_VALUE"""),"BLACK")</f>
        <v>BLACK</v>
      </c>
      <c r="G2497" s="20" t="str">
        <f>IFERROR(__xludf.DUMMYFUNCTION("""COMPUTED_VALUE"""),"Uncle Sams Cider (04/04/2023)")</f>
        <v>Uncle Sams Cider (04/04/2023)</v>
      </c>
      <c r="H2497" s="19"/>
    </row>
    <row r="2498">
      <c r="A2498" s="9"/>
      <c r="B2498" s="15"/>
      <c r="C2498" s="9">
        <f>IFERROR(__xludf.DUMMYFUNCTION("""COMPUTED_VALUE"""),45118.4812061458)</f>
        <v>45118.48121</v>
      </c>
      <c r="D2498" s="15">
        <f>IFERROR(__xludf.DUMMYFUNCTION("""COMPUTED_VALUE"""),1.004)</f>
        <v>1.004</v>
      </c>
      <c r="E2498" s="16">
        <f>IFERROR(__xludf.DUMMYFUNCTION("""COMPUTED_VALUE"""),72.0)</f>
        <v>72</v>
      </c>
      <c r="F2498" s="19" t="str">
        <f>IFERROR(__xludf.DUMMYFUNCTION("""COMPUTED_VALUE"""),"BLACK")</f>
        <v>BLACK</v>
      </c>
      <c r="G2498" s="20" t="str">
        <f>IFERROR(__xludf.DUMMYFUNCTION("""COMPUTED_VALUE"""),"Uncle Sams Cider (04/04/2023)")</f>
        <v>Uncle Sams Cider (04/04/2023)</v>
      </c>
      <c r="H2498" s="19"/>
    </row>
    <row r="2499">
      <c r="A2499" s="9"/>
      <c r="B2499" s="15"/>
      <c r="C2499" s="9">
        <f>IFERROR(__xludf.DUMMYFUNCTION("""COMPUTED_VALUE"""),45118.4707837963)</f>
        <v>45118.47078</v>
      </c>
      <c r="D2499" s="15">
        <f>IFERROR(__xludf.DUMMYFUNCTION("""COMPUTED_VALUE"""),1.004)</f>
        <v>1.004</v>
      </c>
      <c r="E2499" s="16">
        <f>IFERROR(__xludf.DUMMYFUNCTION("""COMPUTED_VALUE"""),72.0)</f>
        <v>72</v>
      </c>
      <c r="F2499" s="19" t="str">
        <f>IFERROR(__xludf.DUMMYFUNCTION("""COMPUTED_VALUE"""),"BLACK")</f>
        <v>BLACK</v>
      </c>
      <c r="G2499" s="20" t="str">
        <f>IFERROR(__xludf.DUMMYFUNCTION("""COMPUTED_VALUE"""),"Uncle Sams Cider (04/04/2023)")</f>
        <v>Uncle Sams Cider (04/04/2023)</v>
      </c>
      <c r="H2499" s="19"/>
    </row>
    <row r="2500">
      <c r="A2500" s="9"/>
      <c r="B2500" s="15"/>
      <c r="C2500" s="9">
        <f>IFERROR(__xludf.DUMMYFUNCTION("""COMPUTED_VALUE"""),45118.4603629629)</f>
        <v>45118.46036</v>
      </c>
      <c r="D2500" s="15">
        <f>IFERROR(__xludf.DUMMYFUNCTION("""COMPUTED_VALUE"""),1.004)</f>
        <v>1.004</v>
      </c>
      <c r="E2500" s="16">
        <f>IFERROR(__xludf.DUMMYFUNCTION("""COMPUTED_VALUE"""),72.0)</f>
        <v>72</v>
      </c>
      <c r="F2500" s="19" t="str">
        <f>IFERROR(__xludf.DUMMYFUNCTION("""COMPUTED_VALUE"""),"BLACK")</f>
        <v>BLACK</v>
      </c>
      <c r="G2500" s="20" t="str">
        <f>IFERROR(__xludf.DUMMYFUNCTION("""COMPUTED_VALUE"""),"Uncle Sams Cider (04/04/2023)")</f>
        <v>Uncle Sams Cider (04/04/2023)</v>
      </c>
      <c r="H2500" s="19"/>
    </row>
    <row r="2501">
      <c r="A2501" s="9"/>
      <c r="B2501" s="15"/>
      <c r="C2501" s="9">
        <f>IFERROR(__xludf.DUMMYFUNCTION("""COMPUTED_VALUE"""),45118.449941412)</f>
        <v>45118.44994</v>
      </c>
      <c r="D2501" s="15">
        <f>IFERROR(__xludf.DUMMYFUNCTION("""COMPUTED_VALUE"""),1.003)</f>
        <v>1.003</v>
      </c>
      <c r="E2501" s="16">
        <f>IFERROR(__xludf.DUMMYFUNCTION("""COMPUTED_VALUE"""),72.0)</f>
        <v>72</v>
      </c>
      <c r="F2501" s="19" t="str">
        <f>IFERROR(__xludf.DUMMYFUNCTION("""COMPUTED_VALUE"""),"BLACK")</f>
        <v>BLACK</v>
      </c>
      <c r="G2501" s="20" t="str">
        <f>IFERROR(__xludf.DUMMYFUNCTION("""COMPUTED_VALUE"""),"Uncle Sams Cider (04/04/2023)")</f>
        <v>Uncle Sams Cider (04/04/2023)</v>
      </c>
      <c r="H2501" s="19"/>
    </row>
    <row r="2502">
      <c r="A2502" s="9"/>
      <c r="B2502" s="15"/>
      <c r="C2502" s="9">
        <f>IFERROR(__xludf.DUMMYFUNCTION("""COMPUTED_VALUE"""),45118.4395201851)</f>
        <v>45118.43952</v>
      </c>
      <c r="D2502" s="15">
        <f>IFERROR(__xludf.DUMMYFUNCTION("""COMPUTED_VALUE"""),1.003)</f>
        <v>1.003</v>
      </c>
      <c r="E2502" s="16">
        <f>IFERROR(__xludf.DUMMYFUNCTION("""COMPUTED_VALUE"""),72.0)</f>
        <v>72</v>
      </c>
      <c r="F2502" s="19" t="str">
        <f>IFERROR(__xludf.DUMMYFUNCTION("""COMPUTED_VALUE"""),"BLACK")</f>
        <v>BLACK</v>
      </c>
      <c r="G2502" s="20" t="str">
        <f>IFERROR(__xludf.DUMMYFUNCTION("""COMPUTED_VALUE"""),"Uncle Sams Cider (04/04/2023)")</f>
        <v>Uncle Sams Cider (04/04/2023)</v>
      </c>
      <c r="H2502" s="19"/>
    </row>
    <row r="2503">
      <c r="A2503" s="9"/>
      <c r="B2503" s="15"/>
      <c r="C2503" s="9">
        <f>IFERROR(__xludf.DUMMYFUNCTION("""COMPUTED_VALUE"""),45118.4290879976)</f>
        <v>45118.42909</v>
      </c>
      <c r="D2503" s="15">
        <f>IFERROR(__xludf.DUMMYFUNCTION("""COMPUTED_VALUE"""),1.003)</f>
        <v>1.003</v>
      </c>
      <c r="E2503" s="16">
        <f>IFERROR(__xludf.DUMMYFUNCTION("""COMPUTED_VALUE"""),72.0)</f>
        <v>72</v>
      </c>
      <c r="F2503" s="19" t="str">
        <f>IFERROR(__xludf.DUMMYFUNCTION("""COMPUTED_VALUE"""),"BLACK")</f>
        <v>BLACK</v>
      </c>
      <c r="G2503" s="20" t="str">
        <f>IFERROR(__xludf.DUMMYFUNCTION("""COMPUTED_VALUE"""),"Uncle Sams Cider (04/04/2023)")</f>
        <v>Uncle Sams Cider (04/04/2023)</v>
      </c>
      <c r="H2503" s="19"/>
    </row>
    <row r="2504">
      <c r="A2504" s="9"/>
      <c r="B2504" s="15"/>
      <c r="C2504" s="9">
        <f>IFERROR(__xludf.DUMMYFUNCTION("""COMPUTED_VALUE"""),45118.4186553819)</f>
        <v>45118.41866</v>
      </c>
      <c r="D2504" s="15">
        <f>IFERROR(__xludf.DUMMYFUNCTION("""COMPUTED_VALUE"""),1.003)</f>
        <v>1.003</v>
      </c>
      <c r="E2504" s="16">
        <f>IFERROR(__xludf.DUMMYFUNCTION("""COMPUTED_VALUE"""),72.0)</f>
        <v>72</v>
      </c>
      <c r="F2504" s="19" t="str">
        <f>IFERROR(__xludf.DUMMYFUNCTION("""COMPUTED_VALUE"""),"BLACK")</f>
        <v>BLACK</v>
      </c>
      <c r="G2504" s="20" t="str">
        <f>IFERROR(__xludf.DUMMYFUNCTION("""COMPUTED_VALUE"""),"Uncle Sams Cider (04/04/2023)")</f>
        <v>Uncle Sams Cider (04/04/2023)</v>
      </c>
      <c r="H2504" s="19"/>
    </row>
    <row r="2505">
      <c r="A2505" s="9"/>
      <c r="B2505" s="15"/>
      <c r="C2505" s="9">
        <f>IFERROR(__xludf.DUMMYFUNCTION("""COMPUTED_VALUE"""),45118.4081881944)</f>
        <v>45118.40819</v>
      </c>
      <c r="D2505" s="15">
        <f>IFERROR(__xludf.DUMMYFUNCTION("""COMPUTED_VALUE"""),1.003)</f>
        <v>1.003</v>
      </c>
      <c r="E2505" s="16">
        <f>IFERROR(__xludf.DUMMYFUNCTION("""COMPUTED_VALUE"""),72.0)</f>
        <v>72</v>
      </c>
      <c r="F2505" s="19" t="str">
        <f>IFERROR(__xludf.DUMMYFUNCTION("""COMPUTED_VALUE"""),"BLACK")</f>
        <v>BLACK</v>
      </c>
      <c r="G2505" s="20" t="str">
        <f>IFERROR(__xludf.DUMMYFUNCTION("""COMPUTED_VALUE"""),"Uncle Sams Cider (04/04/2023)")</f>
        <v>Uncle Sams Cider (04/04/2023)</v>
      </c>
      <c r="H2505" s="19"/>
    </row>
    <row r="2506">
      <c r="A2506" s="9"/>
      <c r="B2506" s="15"/>
      <c r="C2506" s="9">
        <f>IFERROR(__xludf.DUMMYFUNCTION("""COMPUTED_VALUE"""),45118.3977680439)</f>
        <v>45118.39777</v>
      </c>
      <c r="D2506" s="15">
        <f>IFERROR(__xludf.DUMMYFUNCTION("""COMPUTED_VALUE"""),1.004)</f>
        <v>1.004</v>
      </c>
      <c r="E2506" s="16">
        <f>IFERROR(__xludf.DUMMYFUNCTION("""COMPUTED_VALUE"""),72.0)</f>
        <v>72</v>
      </c>
      <c r="F2506" s="19" t="str">
        <f>IFERROR(__xludf.DUMMYFUNCTION("""COMPUTED_VALUE"""),"BLACK")</f>
        <v>BLACK</v>
      </c>
      <c r="G2506" s="20" t="str">
        <f>IFERROR(__xludf.DUMMYFUNCTION("""COMPUTED_VALUE"""),"Uncle Sams Cider (04/04/2023)")</f>
        <v>Uncle Sams Cider (04/04/2023)</v>
      </c>
      <c r="H2506" s="19"/>
    </row>
    <row r="2507">
      <c r="A2507" s="9"/>
      <c r="B2507" s="15"/>
      <c r="C2507" s="9">
        <f>IFERROR(__xludf.DUMMYFUNCTION("""COMPUTED_VALUE"""),45118.387344699)</f>
        <v>45118.38734</v>
      </c>
      <c r="D2507" s="15">
        <f>IFERROR(__xludf.DUMMYFUNCTION("""COMPUTED_VALUE"""),1.004)</f>
        <v>1.004</v>
      </c>
      <c r="E2507" s="16">
        <f>IFERROR(__xludf.DUMMYFUNCTION("""COMPUTED_VALUE"""),72.0)</f>
        <v>72</v>
      </c>
      <c r="F2507" s="19" t="str">
        <f>IFERROR(__xludf.DUMMYFUNCTION("""COMPUTED_VALUE"""),"BLACK")</f>
        <v>BLACK</v>
      </c>
      <c r="G2507" s="20" t="str">
        <f>IFERROR(__xludf.DUMMYFUNCTION("""COMPUTED_VALUE"""),"Uncle Sams Cider (04/04/2023)")</f>
        <v>Uncle Sams Cider (04/04/2023)</v>
      </c>
      <c r="H2507" s="19"/>
    </row>
    <row r="2508">
      <c r="A2508" s="9"/>
      <c r="B2508" s="15"/>
      <c r="C2508" s="9">
        <f>IFERROR(__xludf.DUMMYFUNCTION("""COMPUTED_VALUE"""),45118.3769234375)</f>
        <v>45118.37692</v>
      </c>
      <c r="D2508" s="15">
        <f>IFERROR(__xludf.DUMMYFUNCTION("""COMPUTED_VALUE"""),1.003)</f>
        <v>1.003</v>
      </c>
      <c r="E2508" s="16">
        <f>IFERROR(__xludf.DUMMYFUNCTION("""COMPUTED_VALUE"""),72.0)</f>
        <v>72</v>
      </c>
      <c r="F2508" s="19" t="str">
        <f>IFERROR(__xludf.DUMMYFUNCTION("""COMPUTED_VALUE"""),"BLACK")</f>
        <v>BLACK</v>
      </c>
      <c r="G2508" s="20" t="str">
        <f>IFERROR(__xludf.DUMMYFUNCTION("""COMPUTED_VALUE"""),"Uncle Sams Cider (04/04/2023)")</f>
        <v>Uncle Sams Cider (04/04/2023)</v>
      </c>
      <c r="H2508" s="19"/>
    </row>
    <row r="2509">
      <c r="A2509" s="9"/>
      <c r="B2509" s="15"/>
      <c r="C2509" s="9">
        <f>IFERROR(__xludf.DUMMYFUNCTION("""COMPUTED_VALUE"""),45118.3665017708)</f>
        <v>45118.3665</v>
      </c>
      <c r="D2509" s="15">
        <f>IFERROR(__xludf.DUMMYFUNCTION("""COMPUTED_VALUE"""),1.003)</f>
        <v>1.003</v>
      </c>
      <c r="E2509" s="16">
        <f>IFERROR(__xludf.DUMMYFUNCTION("""COMPUTED_VALUE"""),72.0)</f>
        <v>72</v>
      </c>
      <c r="F2509" s="19" t="str">
        <f>IFERROR(__xludf.DUMMYFUNCTION("""COMPUTED_VALUE"""),"BLACK")</f>
        <v>BLACK</v>
      </c>
      <c r="G2509" s="20" t="str">
        <f>IFERROR(__xludf.DUMMYFUNCTION("""COMPUTED_VALUE"""),"Uncle Sams Cider (04/04/2023)")</f>
        <v>Uncle Sams Cider (04/04/2023)</v>
      </c>
      <c r="H2509" s="19"/>
    </row>
    <row r="2510">
      <c r="A2510" s="9"/>
      <c r="B2510" s="15"/>
      <c r="C2510" s="9">
        <f>IFERROR(__xludf.DUMMYFUNCTION("""COMPUTED_VALUE"""),45118.3560819212)</f>
        <v>45118.35608</v>
      </c>
      <c r="D2510" s="15">
        <f>IFERROR(__xludf.DUMMYFUNCTION("""COMPUTED_VALUE"""),1.003)</f>
        <v>1.003</v>
      </c>
      <c r="E2510" s="16">
        <f>IFERROR(__xludf.DUMMYFUNCTION("""COMPUTED_VALUE"""),72.0)</f>
        <v>72</v>
      </c>
      <c r="F2510" s="19" t="str">
        <f>IFERROR(__xludf.DUMMYFUNCTION("""COMPUTED_VALUE"""),"BLACK")</f>
        <v>BLACK</v>
      </c>
      <c r="G2510" s="20" t="str">
        <f>IFERROR(__xludf.DUMMYFUNCTION("""COMPUTED_VALUE"""),"Uncle Sams Cider (04/04/2023)")</f>
        <v>Uncle Sams Cider (04/04/2023)</v>
      </c>
      <c r="H2510" s="19"/>
    </row>
    <row r="2511">
      <c r="A2511" s="9"/>
      <c r="B2511" s="15"/>
      <c r="C2511" s="9">
        <f>IFERROR(__xludf.DUMMYFUNCTION("""COMPUTED_VALUE"""),45118.3456513888)</f>
        <v>45118.34565</v>
      </c>
      <c r="D2511" s="15">
        <f>IFERROR(__xludf.DUMMYFUNCTION("""COMPUTED_VALUE"""),1.003)</f>
        <v>1.003</v>
      </c>
      <c r="E2511" s="16">
        <f>IFERROR(__xludf.DUMMYFUNCTION("""COMPUTED_VALUE"""),72.0)</f>
        <v>72</v>
      </c>
      <c r="F2511" s="19" t="str">
        <f>IFERROR(__xludf.DUMMYFUNCTION("""COMPUTED_VALUE"""),"BLACK")</f>
        <v>BLACK</v>
      </c>
      <c r="G2511" s="20" t="str">
        <f>IFERROR(__xludf.DUMMYFUNCTION("""COMPUTED_VALUE"""),"Uncle Sams Cider (04/04/2023)")</f>
        <v>Uncle Sams Cider (04/04/2023)</v>
      </c>
      <c r="H2511" s="19"/>
    </row>
    <row r="2512">
      <c r="A2512" s="9"/>
      <c r="B2512" s="15"/>
      <c r="C2512" s="9">
        <f>IFERROR(__xludf.DUMMYFUNCTION("""COMPUTED_VALUE"""),45118.3352303009)</f>
        <v>45118.33523</v>
      </c>
      <c r="D2512" s="15">
        <f>IFERROR(__xludf.DUMMYFUNCTION("""COMPUTED_VALUE"""),1.003)</f>
        <v>1.003</v>
      </c>
      <c r="E2512" s="16">
        <f>IFERROR(__xludf.DUMMYFUNCTION("""COMPUTED_VALUE"""),72.0)</f>
        <v>72</v>
      </c>
      <c r="F2512" s="19" t="str">
        <f>IFERROR(__xludf.DUMMYFUNCTION("""COMPUTED_VALUE"""),"BLACK")</f>
        <v>BLACK</v>
      </c>
      <c r="G2512" s="20" t="str">
        <f>IFERROR(__xludf.DUMMYFUNCTION("""COMPUTED_VALUE"""),"Uncle Sams Cider (04/04/2023)")</f>
        <v>Uncle Sams Cider (04/04/2023)</v>
      </c>
      <c r="H2512" s="19"/>
    </row>
    <row r="2513">
      <c r="A2513" s="9"/>
      <c r="B2513" s="15"/>
      <c r="C2513" s="9">
        <f>IFERROR(__xludf.DUMMYFUNCTION("""COMPUTED_VALUE"""),45118.3248090856)</f>
        <v>45118.32481</v>
      </c>
      <c r="D2513" s="15">
        <f>IFERROR(__xludf.DUMMYFUNCTION("""COMPUTED_VALUE"""),1.003)</f>
        <v>1.003</v>
      </c>
      <c r="E2513" s="16">
        <f>IFERROR(__xludf.DUMMYFUNCTION("""COMPUTED_VALUE"""),72.0)</f>
        <v>72</v>
      </c>
      <c r="F2513" s="19" t="str">
        <f>IFERROR(__xludf.DUMMYFUNCTION("""COMPUTED_VALUE"""),"BLACK")</f>
        <v>BLACK</v>
      </c>
      <c r="G2513" s="20" t="str">
        <f>IFERROR(__xludf.DUMMYFUNCTION("""COMPUTED_VALUE"""),"Uncle Sams Cider (04/04/2023)")</f>
        <v>Uncle Sams Cider (04/04/2023)</v>
      </c>
      <c r="H2513" s="19"/>
    </row>
    <row r="2514">
      <c r="A2514" s="9"/>
      <c r="B2514" s="15"/>
      <c r="C2514" s="9">
        <f>IFERROR(__xludf.DUMMYFUNCTION("""COMPUTED_VALUE"""),45118.3143766087)</f>
        <v>45118.31438</v>
      </c>
      <c r="D2514" s="15">
        <f>IFERROR(__xludf.DUMMYFUNCTION("""COMPUTED_VALUE"""),1.004)</f>
        <v>1.004</v>
      </c>
      <c r="E2514" s="16">
        <f>IFERROR(__xludf.DUMMYFUNCTION("""COMPUTED_VALUE"""),72.0)</f>
        <v>72</v>
      </c>
      <c r="F2514" s="19" t="str">
        <f>IFERROR(__xludf.DUMMYFUNCTION("""COMPUTED_VALUE"""),"BLACK")</f>
        <v>BLACK</v>
      </c>
      <c r="G2514" s="20" t="str">
        <f>IFERROR(__xludf.DUMMYFUNCTION("""COMPUTED_VALUE"""),"Uncle Sams Cider (04/04/2023)")</f>
        <v>Uncle Sams Cider (04/04/2023)</v>
      </c>
      <c r="H2514" s="19"/>
    </row>
    <row r="2515">
      <c r="A2515" s="9"/>
      <c r="B2515" s="15"/>
      <c r="C2515" s="9">
        <f>IFERROR(__xludf.DUMMYFUNCTION("""COMPUTED_VALUE"""),45118.3039560763)</f>
        <v>45118.30396</v>
      </c>
      <c r="D2515" s="15">
        <f>IFERROR(__xludf.DUMMYFUNCTION("""COMPUTED_VALUE"""),1.004)</f>
        <v>1.004</v>
      </c>
      <c r="E2515" s="16">
        <f>IFERROR(__xludf.DUMMYFUNCTION("""COMPUTED_VALUE"""),72.0)</f>
        <v>72</v>
      </c>
      <c r="F2515" s="19" t="str">
        <f>IFERROR(__xludf.DUMMYFUNCTION("""COMPUTED_VALUE"""),"BLACK")</f>
        <v>BLACK</v>
      </c>
      <c r="G2515" s="20" t="str">
        <f>IFERROR(__xludf.DUMMYFUNCTION("""COMPUTED_VALUE"""),"Uncle Sams Cider (04/04/2023)")</f>
        <v>Uncle Sams Cider (04/04/2023)</v>
      </c>
      <c r="H2515" s="19"/>
    </row>
    <row r="2516">
      <c r="A2516" s="9"/>
      <c r="B2516" s="15"/>
      <c r="C2516" s="9">
        <f>IFERROR(__xludf.DUMMYFUNCTION("""COMPUTED_VALUE"""),45118.2935347453)</f>
        <v>45118.29353</v>
      </c>
      <c r="D2516" s="15">
        <f>IFERROR(__xludf.DUMMYFUNCTION("""COMPUTED_VALUE"""),1.004)</f>
        <v>1.004</v>
      </c>
      <c r="E2516" s="16">
        <f>IFERROR(__xludf.DUMMYFUNCTION("""COMPUTED_VALUE"""),72.0)</f>
        <v>72</v>
      </c>
      <c r="F2516" s="19" t="str">
        <f>IFERROR(__xludf.DUMMYFUNCTION("""COMPUTED_VALUE"""),"BLACK")</f>
        <v>BLACK</v>
      </c>
      <c r="G2516" s="20" t="str">
        <f>IFERROR(__xludf.DUMMYFUNCTION("""COMPUTED_VALUE"""),"Uncle Sams Cider (04/04/2023)")</f>
        <v>Uncle Sams Cider (04/04/2023)</v>
      </c>
      <c r="H2516" s="19"/>
    </row>
    <row r="2517">
      <c r="A2517" s="9"/>
      <c r="B2517" s="15"/>
      <c r="C2517" s="9">
        <f>IFERROR(__xludf.DUMMYFUNCTION("""COMPUTED_VALUE"""),45118.2831132523)</f>
        <v>45118.28311</v>
      </c>
      <c r="D2517" s="15">
        <f>IFERROR(__xludf.DUMMYFUNCTION("""COMPUTED_VALUE"""),1.004)</f>
        <v>1.004</v>
      </c>
      <c r="E2517" s="16">
        <f>IFERROR(__xludf.DUMMYFUNCTION("""COMPUTED_VALUE"""),72.0)</f>
        <v>72</v>
      </c>
      <c r="F2517" s="19" t="str">
        <f>IFERROR(__xludf.DUMMYFUNCTION("""COMPUTED_VALUE"""),"BLACK")</f>
        <v>BLACK</v>
      </c>
      <c r="G2517" s="20" t="str">
        <f>IFERROR(__xludf.DUMMYFUNCTION("""COMPUTED_VALUE"""),"Uncle Sams Cider (04/04/2023)")</f>
        <v>Uncle Sams Cider (04/04/2023)</v>
      </c>
      <c r="H2517" s="19"/>
    </row>
    <row r="2518">
      <c r="A2518" s="9"/>
      <c r="B2518" s="15"/>
      <c r="C2518" s="9">
        <f>IFERROR(__xludf.DUMMYFUNCTION("""COMPUTED_VALUE"""),45118.2726671643)</f>
        <v>45118.27267</v>
      </c>
      <c r="D2518" s="15">
        <f>IFERROR(__xludf.DUMMYFUNCTION("""COMPUTED_VALUE"""),1.004)</f>
        <v>1.004</v>
      </c>
      <c r="E2518" s="16">
        <f>IFERROR(__xludf.DUMMYFUNCTION("""COMPUTED_VALUE"""),72.0)</f>
        <v>72</v>
      </c>
      <c r="F2518" s="19" t="str">
        <f>IFERROR(__xludf.DUMMYFUNCTION("""COMPUTED_VALUE"""),"BLACK")</f>
        <v>BLACK</v>
      </c>
      <c r="G2518" s="20" t="str">
        <f>IFERROR(__xludf.DUMMYFUNCTION("""COMPUTED_VALUE"""),"Uncle Sams Cider (04/04/2023)")</f>
        <v>Uncle Sams Cider (04/04/2023)</v>
      </c>
      <c r="H2518" s="19"/>
    </row>
    <row r="2519">
      <c r="A2519" s="9"/>
      <c r="B2519" s="15"/>
      <c r="C2519" s="9">
        <f>IFERROR(__xludf.DUMMYFUNCTION("""COMPUTED_VALUE"""),45118.2622464699)</f>
        <v>45118.26225</v>
      </c>
      <c r="D2519" s="15">
        <f>IFERROR(__xludf.DUMMYFUNCTION("""COMPUTED_VALUE"""),1.003)</f>
        <v>1.003</v>
      </c>
      <c r="E2519" s="16">
        <f>IFERROR(__xludf.DUMMYFUNCTION("""COMPUTED_VALUE"""),72.0)</f>
        <v>72</v>
      </c>
      <c r="F2519" s="19" t="str">
        <f>IFERROR(__xludf.DUMMYFUNCTION("""COMPUTED_VALUE"""),"BLACK")</f>
        <v>BLACK</v>
      </c>
      <c r="G2519" s="20" t="str">
        <f>IFERROR(__xludf.DUMMYFUNCTION("""COMPUTED_VALUE"""),"Uncle Sams Cider (04/04/2023)")</f>
        <v>Uncle Sams Cider (04/04/2023)</v>
      </c>
      <c r="H2519" s="19"/>
    </row>
    <row r="2520">
      <c r="A2520" s="9"/>
      <c r="B2520" s="15"/>
      <c r="C2520" s="9">
        <f>IFERROR(__xludf.DUMMYFUNCTION("""COMPUTED_VALUE"""),45118.2518245023)</f>
        <v>45118.25182</v>
      </c>
      <c r="D2520" s="15">
        <f>IFERROR(__xludf.DUMMYFUNCTION("""COMPUTED_VALUE"""),1.003)</f>
        <v>1.003</v>
      </c>
      <c r="E2520" s="16">
        <f>IFERROR(__xludf.DUMMYFUNCTION("""COMPUTED_VALUE"""),72.0)</f>
        <v>72</v>
      </c>
      <c r="F2520" s="19" t="str">
        <f>IFERROR(__xludf.DUMMYFUNCTION("""COMPUTED_VALUE"""),"BLACK")</f>
        <v>BLACK</v>
      </c>
      <c r="G2520" s="20" t="str">
        <f>IFERROR(__xludf.DUMMYFUNCTION("""COMPUTED_VALUE"""),"Uncle Sams Cider (04/04/2023)")</f>
        <v>Uncle Sams Cider (04/04/2023)</v>
      </c>
      <c r="H2520" s="19"/>
    </row>
    <row r="2521">
      <c r="A2521" s="9"/>
      <c r="B2521" s="15"/>
      <c r="C2521" s="9">
        <f>IFERROR(__xludf.DUMMYFUNCTION("""COMPUTED_VALUE"""),45118.2414044213)</f>
        <v>45118.2414</v>
      </c>
      <c r="D2521" s="15">
        <f>IFERROR(__xludf.DUMMYFUNCTION("""COMPUTED_VALUE"""),1.003)</f>
        <v>1.003</v>
      </c>
      <c r="E2521" s="16">
        <f>IFERROR(__xludf.DUMMYFUNCTION("""COMPUTED_VALUE"""),72.0)</f>
        <v>72</v>
      </c>
      <c r="F2521" s="19" t="str">
        <f>IFERROR(__xludf.DUMMYFUNCTION("""COMPUTED_VALUE"""),"BLACK")</f>
        <v>BLACK</v>
      </c>
      <c r="G2521" s="20" t="str">
        <f>IFERROR(__xludf.DUMMYFUNCTION("""COMPUTED_VALUE"""),"Uncle Sams Cider (04/04/2023)")</f>
        <v>Uncle Sams Cider (04/04/2023)</v>
      </c>
      <c r="H2521" s="19"/>
    </row>
    <row r="2522">
      <c r="A2522" s="9"/>
      <c r="B2522" s="15"/>
      <c r="C2522" s="9">
        <f>IFERROR(__xludf.DUMMYFUNCTION("""COMPUTED_VALUE"""),45118.2309846759)</f>
        <v>45118.23098</v>
      </c>
      <c r="D2522" s="15">
        <f>IFERROR(__xludf.DUMMYFUNCTION("""COMPUTED_VALUE"""),1.004)</f>
        <v>1.004</v>
      </c>
      <c r="E2522" s="16">
        <f>IFERROR(__xludf.DUMMYFUNCTION("""COMPUTED_VALUE"""),72.0)</f>
        <v>72</v>
      </c>
      <c r="F2522" s="19" t="str">
        <f>IFERROR(__xludf.DUMMYFUNCTION("""COMPUTED_VALUE"""),"BLACK")</f>
        <v>BLACK</v>
      </c>
      <c r="G2522" s="20" t="str">
        <f>IFERROR(__xludf.DUMMYFUNCTION("""COMPUTED_VALUE"""),"Uncle Sams Cider (04/04/2023)")</f>
        <v>Uncle Sams Cider (04/04/2023)</v>
      </c>
      <c r="H2522" s="19"/>
    </row>
    <row r="2523">
      <c r="A2523" s="9"/>
      <c r="B2523" s="15"/>
      <c r="C2523" s="9">
        <f>IFERROR(__xludf.DUMMYFUNCTION("""COMPUTED_VALUE"""),45118.2205628356)</f>
        <v>45118.22056</v>
      </c>
      <c r="D2523" s="15">
        <f>IFERROR(__xludf.DUMMYFUNCTION("""COMPUTED_VALUE"""),1.004)</f>
        <v>1.004</v>
      </c>
      <c r="E2523" s="16">
        <f>IFERROR(__xludf.DUMMYFUNCTION("""COMPUTED_VALUE"""),72.0)</f>
        <v>72</v>
      </c>
      <c r="F2523" s="19" t="str">
        <f>IFERROR(__xludf.DUMMYFUNCTION("""COMPUTED_VALUE"""),"BLACK")</f>
        <v>BLACK</v>
      </c>
      <c r="G2523" s="20" t="str">
        <f>IFERROR(__xludf.DUMMYFUNCTION("""COMPUTED_VALUE"""),"Uncle Sams Cider (04/04/2023)")</f>
        <v>Uncle Sams Cider (04/04/2023)</v>
      </c>
      <c r="H2523" s="19"/>
    </row>
    <row r="2524">
      <c r="A2524" s="9"/>
      <c r="B2524" s="15"/>
      <c r="C2524" s="9">
        <f>IFERROR(__xludf.DUMMYFUNCTION("""COMPUTED_VALUE"""),45118.2101421643)</f>
        <v>45118.21014</v>
      </c>
      <c r="D2524" s="15">
        <f>IFERROR(__xludf.DUMMYFUNCTION("""COMPUTED_VALUE"""),1.003)</f>
        <v>1.003</v>
      </c>
      <c r="E2524" s="16">
        <f>IFERROR(__xludf.DUMMYFUNCTION("""COMPUTED_VALUE"""),72.0)</f>
        <v>72</v>
      </c>
      <c r="F2524" s="19" t="str">
        <f>IFERROR(__xludf.DUMMYFUNCTION("""COMPUTED_VALUE"""),"BLACK")</f>
        <v>BLACK</v>
      </c>
      <c r="G2524" s="20" t="str">
        <f>IFERROR(__xludf.DUMMYFUNCTION("""COMPUTED_VALUE"""),"Uncle Sams Cider (04/04/2023)")</f>
        <v>Uncle Sams Cider (04/04/2023)</v>
      </c>
      <c r="H2524" s="19"/>
    </row>
    <row r="2525">
      <c r="A2525" s="9"/>
      <c r="B2525" s="15"/>
      <c r="C2525" s="9">
        <f>IFERROR(__xludf.DUMMYFUNCTION("""COMPUTED_VALUE"""),45118.1997209143)</f>
        <v>45118.19972</v>
      </c>
      <c r="D2525" s="15">
        <f>IFERROR(__xludf.DUMMYFUNCTION("""COMPUTED_VALUE"""),1.004)</f>
        <v>1.004</v>
      </c>
      <c r="E2525" s="16">
        <f>IFERROR(__xludf.DUMMYFUNCTION("""COMPUTED_VALUE"""),72.0)</f>
        <v>72</v>
      </c>
      <c r="F2525" s="19" t="str">
        <f>IFERROR(__xludf.DUMMYFUNCTION("""COMPUTED_VALUE"""),"BLACK")</f>
        <v>BLACK</v>
      </c>
      <c r="G2525" s="20" t="str">
        <f>IFERROR(__xludf.DUMMYFUNCTION("""COMPUTED_VALUE"""),"Uncle Sams Cider (04/04/2023)")</f>
        <v>Uncle Sams Cider (04/04/2023)</v>
      </c>
      <c r="H2525" s="19"/>
    </row>
    <row r="2526">
      <c r="A2526" s="9"/>
      <c r="B2526" s="15"/>
      <c r="C2526" s="9">
        <f>IFERROR(__xludf.DUMMYFUNCTION("""COMPUTED_VALUE"""),45118.1893001504)</f>
        <v>45118.1893</v>
      </c>
      <c r="D2526" s="15">
        <f>IFERROR(__xludf.DUMMYFUNCTION("""COMPUTED_VALUE"""),1.003)</f>
        <v>1.003</v>
      </c>
      <c r="E2526" s="16">
        <f>IFERROR(__xludf.DUMMYFUNCTION("""COMPUTED_VALUE"""),72.0)</f>
        <v>72</v>
      </c>
      <c r="F2526" s="19" t="str">
        <f>IFERROR(__xludf.DUMMYFUNCTION("""COMPUTED_VALUE"""),"BLACK")</f>
        <v>BLACK</v>
      </c>
      <c r="G2526" s="20" t="str">
        <f>IFERROR(__xludf.DUMMYFUNCTION("""COMPUTED_VALUE"""),"Uncle Sams Cider (04/04/2023)")</f>
        <v>Uncle Sams Cider (04/04/2023)</v>
      </c>
      <c r="H2526" s="19"/>
    </row>
    <row r="2527">
      <c r="A2527" s="9"/>
      <c r="B2527" s="15"/>
      <c r="C2527" s="9">
        <f>IFERROR(__xludf.DUMMYFUNCTION("""COMPUTED_VALUE"""),45118.1788673148)</f>
        <v>45118.17887</v>
      </c>
      <c r="D2527" s="15">
        <f>IFERROR(__xludf.DUMMYFUNCTION("""COMPUTED_VALUE"""),1.003)</f>
        <v>1.003</v>
      </c>
      <c r="E2527" s="16">
        <f>IFERROR(__xludf.DUMMYFUNCTION("""COMPUTED_VALUE"""),72.0)</f>
        <v>72</v>
      </c>
      <c r="F2527" s="19" t="str">
        <f>IFERROR(__xludf.DUMMYFUNCTION("""COMPUTED_VALUE"""),"BLACK")</f>
        <v>BLACK</v>
      </c>
      <c r="G2527" s="20" t="str">
        <f>IFERROR(__xludf.DUMMYFUNCTION("""COMPUTED_VALUE"""),"Uncle Sams Cider (04/04/2023)")</f>
        <v>Uncle Sams Cider (04/04/2023)</v>
      </c>
      <c r="H2527" s="19"/>
    </row>
    <row r="2528">
      <c r="A2528" s="9"/>
      <c r="B2528" s="15"/>
      <c r="C2528" s="9">
        <f>IFERROR(__xludf.DUMMYFUNCTION("""COMPUTED_VALUE"""),45118.1684463078)</f>
        <v>45118.16845</v>
      </c>
      <c r="D2528" s="15">
        <f>IFERROR(__xludf.DUMMYFUNCTION("""COMPUTED_VALUE"""),1.004)</f>
        <v>1.004</v>
      </c>
      <c r="E2528" s="16">
        <f>IFERROR(__xludf.DUMMYFUNCTION("""COMPUTED_VALUE"""),72.0)</f>
        <v>72</v>
      </c>
      <c r="F2528" s="19" t="str">
        <f>IFERROR(__xludf.DUMMYFUNCTION("""COMPUTED_VALUE"""),"BLACK")</f>
        <v>BLACK</v>
      </c>
      <c r="G2528" s="20" t="str">
        <f>IFERROR(__xludf.DUMMYFUNCTION("""COMPUTED_VALUE"""),"Uncle Sams Cider (04/04/2023)")</f>
        <v>Uncle Sams Cider (04/04/2023)</v>
      </c>
      <c r="H2528" s="19"/>
    </row>
    <row r="2529">
      <c r="A2529" s="9"/>
      <c r="B2529" s="15"/>
      <c r="C2529" s="9">
        <f>IFERROR(__xludf.DUMMYFUNCTION("""COMPUTED_VALUE"""),45118.1580125231)</f>
        <v>45118.15801</v>
      </c>
      <c r="D2529" s="15">
        <f>IFERROR(__xludf.DUMMYFUNCTION("""COMPUTED_VALUE"""),1.003)</f>
        <v>1.003</v>
      </c>
      <c r="E2529" s="16">
        <f>IFERROR(__xludf.DUMMYFUNCTION("""COMPUTED_VALUE"""),72.0)</f>
        <v>72</v>
      </c>
      <c r="F2529" s="19" t="str">
        <f>IFERROR(__xludf.DUMMYFUNCTION("""COMPUTED_VALUE"""),"BLACK")</f>
        <v>BLACK</v>
      </c>
      <c r="G2529" s="20" t="str">
        <f>IFERROR(__xludf.DUMMYFUNCTION("""COMPUTED_VALUE"""),"Uncle Sams Cider (04/04/2023)")</f>
        <v>Uncle Sams Cider (04/04/2023)</v>
      </c>
      <c r="H2529" s="19"/>
    </row>
    <row r="2530">
      <c r="A2530" s="9"/>
      <c r="B2530" s="15"/>
      <c r="C2530" s="9">
        <f>IFERROR(__xludf.DUMMYFUNCTION("""COMPUTED_VALUE"""),45118.1475925347)</f>
        <v>45118.14759</v>
      </c>
      <c r="D2530" s="15">
        <f>IFERROR(__xludf.DUMMYFUNCTION("""COMPUTED_VALUE"""),1.003)</f>
        <v>1.003</v>
      </c>
      <c r="E2530" s="16">
        <f>IFERROR(__xludf.DUMMYFUNCTION("""COMPUTED_VALUE"""),72.0)</f>
        <v>72</v>
      </c>
      <c r="F2530" s="19" t="str">
        <f>IFERROR(__xludf.DUMMYFUNCTION("""COMPUTED_VALUE"""),"BLACK")</f>
        <v>BLACK</v>
      </c>
      <c r="G2530" s="20" t="str">
        <f>IFERROR(__xludf.DUMMYFUNCTION("""COMPUTED_VALUE"""),"Uncle Sams Cider (04/04/2023)")</f>
        <v>Uncle Sams Cider (04/04/2023)</v>
      </c>
      <c r="H2530" s="19"/>
    </row>
    <row r="2531">
      <c r="A2531" s="9"/>
      <c r="B2531" s="15"/>
      <c r="C2531" s="9">
        <f>IFERROR(__xludf.DUMMYFUNCTION("""COMPUTED_VALUE"""),45118.1371702546)</f>
        <v>45118.13717</v>
      </c>
      <c r="D2531" s="15">
        <f>IFERROR(__xludf.DUMMYFUNCTION("""COMPUTED_VALUE"""),1.004)</f>
        <v>1.004</v>
      </c>
      <c r="E2531" s="16">
        <f>IFERROR(__xludf.DUMMYFUNCTION("""COMPUTED_VALUE"""),72.0)</f>
        <v>72</v>
      </c>
      <c r="F2531" s="19" t="str">
        <f>IFERROR(__xludf.DUMMYFUNCTION("""COMPUTED_VALUE"""),"BLACK")</f>
        <v>BLACK</v>
      </c>
      <c r="G2531" s="20" t="str">
        <f>IFERROR(__xludf.DUMMYFUNCTION("""COMPUTED_VALUE"""),"Uncle Sams Cider (04/04/2023)")</f>
        <v>Uncle Sams Cider (04/04/2023)</v>
      </c>
      <c r="H2531" s="19"/>
    </row>
    <row r="2532">
      <c r="A2532" s="9"/>
      <c r="B2532" s="15"/>
      <c r="C2532" s="9">
        <f>IFERROR(__xludf.DUMMYFUNCTION("""COMPUTED_VALUE"""),45118.1267488541)</f>
        <v>45118.12675</v>
      </c>
      <c r="D2532" s="15">
        <f>IFERROR(__xludf.DUMMYFUNCTION("""COMPUTED_VALUE"""),1.004)</f>
        <v>1.004</v>
      </c>
      <c r="E2532" s="16">
        <f>IFERROR(__xludf.DUMMYFUNCTION("""COMPUTED_VALUE"""),72.0)</f>
        <v>72</v>
      </c>
      <c r="F2532" s="19" t="str">
        <f>IFERROR(__xludf.DUMMYFUNCTION("""COMPUTED_VALUE"""),"BLACK")</f>
        <v>BLACK</v>
      </c>
      <c r="G2532" s="20" t="str">
        <f>IFERROR(__xludf.DUMMYFUNCTION("""COMPUTED_VALUE"""),"Uncle Sams Cider (04/04/2023)")</f>
        <v>Uncle Sams Cider (04/04/2023)</v>
      </c>
      <c r="H2532" s="19"/>
    </row>
    <row r="2533">
      <c r="A2533" s="9"/>
      <c r="B2533" s="15"/>
      <c r="C2533" s="9">
        <f>IFERROR(__xludf.DUMMYFUNCTION("""COMPUTED_VALUE"""),45118.1163284375)</f>
        <v>45118.11633</v>
      </c>
      <c r="D2533" s="15">
        <f>IFERROR(__xludf.DUMMYFUNCTION("""COMPUTED_VALUE"""),1.004)</f>
        <v>1.004</v>
      </c>
      <c r="E2533" s="16">
        <f>IFERROR(__xludf.DUMMYFUNCTION("""COMPUTED_VALUE"""),72.0)</f>
        <v>72</v>
      </c>
      <c r="F2533" s="19" t="str">
        <f>IFERROR(__xludf.DUMMYFUNCTION("""COMPUTED_VALUE"""),"BLACK")</f>
        <v>BLACK</v>
      </c>
      <c r="G2533" s="20" t="str">
        <f>IFERROR(__xludf.DUMMYFUNCTION("""COMPUTED_VALUE"""),"Uncle Sams Cider (04/04/2023)")</f>
        <v>Uncle Sams Cider (04/04/2023)</v>
      </c>
      <c r="H2533" s="19"/>
    </row>
    <row r="2534">
      <c r="A2534" s="9"/>
      <c r="B2534" s="15"/>
      <c r="C2534" s="9">
        <f>IFERROR(__xludf.DUMMYFUNCTION("""COMPUTED_VALUE"""),45118.1058952314)</f>
        <v>45118.1059</v>
      </c>
      <c r="D2534" s="15">
        <f>IFERROR(__xludf.DUMMYFUNCTION("""COMPUTED_VALUE"""),1.004)</f>
        <v>1.004</v>
      </c>
      <c r="E2534" s="16">
        <f>IFERROR(__xludf.DUMMYFUNCTION("""COMPUTED_VALUE"""),72.0)</f>
        <v>72</v>
      </c>
      <c r="F2534" s="19" t="str">
        <f>IFERROR(__xludf.DUMMYFUNCTION("""COMPUTED_VALUE"""),"BLACK")</f>
        <v>BLACK</v>
      </c>
      <c r="G2534" s="20" t="str">
        <f>IFERROR(__xludf.DUMMYFUNCTION("""COMPUTED_VALUE"""),"Uncle Sams Cider (04/04/2023)")</f>
        <v>Uncle Sams Cider (04/04/2023)</v>
      </c>
      <c r="H2534" s="19"/>
    </row>
    <row r="2535">
      <c r="A2535" s="9"/>
      <c r="B2535" s="15"/>
      <c r="C2535" s="9">
        <f>IFERROR(__xludf.DUMMYFUNCTION("""COMPUTED_VALUE"""),45118.0954735069)</f>
        <v>45118.09547</v>
      </c>
      <c r="D2535" s="15">
        <f>IFERROR(__xludf.DUMMYFUNCTION("""COMPUTED_VALUE"""),1.003)</f>
        <v>1.003</v>
      </c>
      <c r="E2535" s="16">
        <f>IFERROR(__xludf.DUMMYFUNCTION("""COMPUTED_VALUE"""),72.0)</f>
        <v>72</v>
      </c>
      <c r="F2535" s="19" t="str">
        <f>IFERROR(__xludf.DUMMYFUNCTION("""COMPUTED_VALUE"""),"BLACK")</f>
        <v>BLACK</v>
      </c>
      <c r="G2535" s="20" t="str">
        <f>IFERROR(__xludf.DUMMYFUNCTION("""COMPUTED_VALUE"""),"Uncle Sams Cider (04/04/2023)")</f>
        <v>Uncle Sams Cider (04/04/2023)</v>
      </c>
      <c r="H2535" s="19"/>
    </row>
    <row r="2536">
      <c r="A2536" s="9"/>
      <c r="B2536" s="15"/>
      <c r="C2536" s="9">
        <f>IFERROR(__xludf.DUMMYFUNCTION("""COMPUTED_VALUE"""),45118.0850401736)</f>
        <v>45118.08504</v>
      </c>
      <c r="D2536" s="15">
        <f>IFERROR(__xludf.DUMMYFUNCTION("""COMPUTED_VALUE"""),1.003)</f>
        <v>1.003</v>
      </c>
      <c r="E2536" s="16">
        <f>IFERROR(__xludf.DUMMYFUNCTION("""COMPUTED_VALUE"""),72.0)</f>
        <v>72</v>
      </c>
      <c r="F2536" s="19" t="str">
        <f>IFERROR(__xludf.DUMMYFUNCTION("""COMPUTED_VALUE"""),"BLACK")</f>
        <v>BLACK</v>
      </c>
      <c r="G2536" s="20" t="str">
        <f>IFERROR(__xludf.DUMMYFUNCTION("""COMPUTED_VALUE"""),"Uncle Sams Cider (04/04/2023)")</f>
        <v>Uncle Sams Cider (04/04/2023)</v>
      </c>
      <c r="H2536" s="19"/>
    </row>
    <row r="2537">
      <c r="A2537" s="9"/>
      <c r="B2537" s="15"/>
      <c r="C2537" s="9">
        <f>IFERROR(__xludf.DUMMYFUNCTION("""COMPUTED_VALUE"""),45118.0745956481)</f>
        <v>45118.0746</v>
      </c>
      <c r="D2537" s="15">
        <f>IFERROR(__xludf.DUMMYFUNCTION("""COMPUTED_VALUE"""),1.003)</f>
        <v>1.003</v>
      </c>
      <c r="E2537" s="16">
        <f>IFERROR(__xludf.DUMMYFUNCTION("""COMPUTED_VALUE"""),72.0)</f>
        <v>72</v>
      </c>
      <c r="F2537" s="19" t="str">
        <f>IFERROR(__xludf.DUMMYFUNCTION("""COMPUTED_VALUE"""),"BLACK")</f>
        <v>BLACK</v>
      </c>
      <c r="G2537" s="20" t="str">
        <f>IFERROR(__xludf.DUMMYFUNCTION("""COMPUTED_VALUE"""),"Uncle Sams Cider (04/04/2023)")</f>
        <v>Uncle Sams Cider (04/04/2023)</v>
      </c>
      <c r="H2537" s="19"/>
    </row>
    <row r="2538">
      <c r="A2538" s="9"/>
      <c r="B2538" s="15"/>
      <c r="C2538" s="9">
        <f>IFERROR(__xludf.DUMMYFUNCTION("""COMPUTED_VALUE"""),45118.0641749421)</f>
        <v>45118.06417</v>
      </c>
      <c r="D2538" s="15">
        <f>IFERROR(__xludf.DUMMYFUNCTION("""COMPUTED_VALUE"""),1.003)</f>
        <v>1.003</v>
      </c>
      <c r="E2538" s="16">
        <f>IFERROR(__xludf.DUMMYFUNCTION("""COMPUTED_VALUE"""),72.0)</f>
        <v>72</v>
      </c>
      <c r="F2538" s="19" t="str">
        <f>IFERROR(__xludf.DUMMYFUNCTION("""COMPUTED_VALUE"""),"BLACK")</f>
        <v>BLACK</v>
      </c>
      <c r="G2538" s="20" t="str">
        <f>IFERROR(__xludf.DUMMYFUNCTION("""COMPUTED_VALUE"""),"Uncle Sams Cider (04/04/2023)")</f>
        <v>Uncle Sams Cider (04/04/2023)</v>
      </c>
      <c r="H2538" s="19"/>
    </row>
    <row r="2539">
      <c r="A2539" s="9"/>
      <c r="B2539" s="15"/>
      <c r="C2539" s="9">
        <f>IFERROR(__xludf.DUMMYFUNCTION("""COMPUTED_VALUE"""),45118.0537551736)</f>
        <v>45118.05376</v>
      </c>
      <c r="D2539" s="15">
        <f>IFERROR(__xludf.DUMMYFUNCTION("""COMPUTED_VALUE"""),1.004)</f>
        <v>1.004</v>
      </c>
      <c r="E2539" s="16">
        <f>IFERROR(__xludf.DUMMYFUNCTION("""COMPUTED_VALUE"""),72.0)</f>
        <v>72</v>
      </c>
      <c r="F2539" s="19" t="str">
        <f>IFERROR(__xludf.DUMMYFUNCTION("""COMPUTED_VALUE"""),"BLACK")</f>
        <v>BLACK</v>
      </c>
      <c r="G2539" s="20" t="str">
        <f>IFERROR(__xludf.DUMMYFUNCTION("""COMPUTED_VALUE"""),"Uncle Sams Cider (04/04/2023)")</f>
        <v>Uncle Sams Cider (04/04/2023)</v>
      </c>
      <c r="H2539" s="19"/>
    </row>
    <row r="2540">
      <c r="A2540" s="9"/>
      <c r="B2540" s="15"/>
      <c r="C2540" s="9">
        <f>IFERROR(__xludf.DUMMYFUNCTION("""COMPUTED_VALUE"""),45118.0433234838)</f>
        <v>45118.04332</v>
      </c>
      <c r="D2540" s="15">
        <f>IFERROR(__xludf.DUMMYFUNCTION("""COMPUTED_VALUE"""),1.004)</f>
        <v>1.004</v>
      </c>
      <c r="E2540" s="16">
        <f>IFERROR(__xludf.DUMMYFUNCTION("""COMPUTED_VALUE"""),72.0)</f>
        <v>72</v>
      </c>
      <c r="F2540" s="19" t="str">
        <f>IFERROR(__xludf.DUMMYFUNCTION("""COMPUTED_VALUE"""),"BLACK")</f>
        <v>BLACK</v>
      </c>
      <c r="G2540" s="20" t="str">
        <f>IFERROR(__xludf.DUMMYFUNCTION("""COMPUTED_VALUE"""),"Uncle Sams Cider (04/04/2023)")</f>
        <v>Uncle Sams Cider (04/04/2023)</v>
      </c>
      <c r="H2540" s="19"/>
    </row>
    <row r="2541">
      <c r="A2541" s="9"/>
      <c r="B2541" s="15"/>
      <c r="C2541" s="9">
        <f>IFERROR(__xludf.DUMMYFUNCTION("""COMPUTED_VALUE"""),45118.032901574)</f>
        <v>45118.0329</v>
      </c>
      <c r="D2541" s="15">
        <f>IFERROR(__xludf.DUMMYFUNCTION("""COMPUTED_VALUE"""),1.004)</f>
        <v>1.004</v>
      </c>
      <c r="E2541" s="16">
        <f>IFERROR(__xludf.DUMMYFUNCTION("""COMPUTED_VALUE"""),72.0)</f>
        <v>72</v>
      </c>
      <c r="F2541" s="19" t="str">
        <f>IFERROR(__xludf.DUMMYFUNCTION("""COMPUTED_VALUE"""),"BLACK")</f>
        <v>BLACK</v>
      </c>
      <c r="G2541" s="20" t="str">
        <f>IFERROR(__xludf.DUMMYFUNCTION("""COMPUTED_VALUE"""),"Uncle Sams Cider (04/04/2023)")</f>
        <v>Uncle Sams Cider (04/04/2023)</v>
      </c>
      <c r="H2541" s="19"/>
    </row>
    <row r="2542">
      <c r="A2542" s="9"/>
      <c r="B2542" s="15"/>
      <c r="C2542" s="9">
        <f>IFERROR(__xludf.DUMMYFUNCTION("""COMPUTED_VALUE"""),45118.0224780902)</f>
        <v>45118.02248</v>
      </c>
      <c r="D2542" s="15">
        <f>IFERROR(__xludf.DUMMYFUNCTION("""COMPUTED_VALUE"""),1.004)</f>
        <v>1.004</v>
      </c>
      <c r="E2542" s="16">
        <f>IFERROR(__xludf.DUMMYFUNCTION("""COMPUTED_VALUE"""),72.0)</f>
        <v>72</v>
      </c>
      <c r="F2542" s="19" t="str">
        <f>IFERROR(__xludf.DUMMYFUNCTION("""COMPUTED_VALUE"""),"BLACK")</f>
        <v>BLACK</v>
      </c>
      <c r="G2542" s="20" t="str">
        <f>IFERROR(__xludf.DUMMYFUNCTION("""COMPUTED_VALUE"""),"Uncle Sams Cider (04/04/2023)")</f>
        <v>Uncle Sams Cider (04/04/2023)</v>
      </c>
      <c r="H2542" s="19"/>
    </row>
    <row r="2543">
      <c r="A2543" s="9"/>
      <c r="B2543" s="15"/>
      <c r="C2543" s="9">
        <f>IFERROR(__xludf.DUMMYFUNCTION("""COMPUTED_VALUE"""),45118.0120576041)</f>
        <v>45118.01206</v>
      </c>
      <c r="D2543" s="15">
        <f>IFERROR(__xludf.DUMMYFUNCTION("""COMPUTED_VALUE"""),1.004)</f>
        <v>1.004</v>
      </c>
      <c r="E2543" s="16">
        <f>IFERROR(__xludf.DUMMYFUNCTION("""COMPUTED_VALUE"""),72.0)</f>
        <v>72</v>
      </c>
      <c r="F2543" s="19" t="str">
        <f>IFERROR(__xludf.DUMMYFUNCTION("""COMPUTED_VALUE"""),"BLACK")</f>
        <v>BLACK</v>
      </c>
      <c r="G2543" s="20" t="str">
        <f>IFERROR(__xludf.DUMMYFUNCTION("""COMPUTED_VALUE"""),"Uncle Sams Cider (04/04/2023)")</f>
        <v>Uncle Sams Cider (04/04/2023)</v>
      </c>
      <c r="H2543" s="19"/>
    </row>
    <row r="2544">
      <c r="A2544" s="9"/>
      <c r="B2544" s="15"/>
      <c r="C2544" s="9">
        <f>IFERROR(__xludf.DUMMYFUNCTION("""COMPUTED_VALUE"""),45118.0016343171)</f>
        <v>45118.00163</v>
      </c>
      <c r="D2544" s="15">
        <f>IFERROR(__xludf.DUMMYFUNCTION("""COMPUTED_VALUE"""),1.003)</f>
        <v>1.003</v>
      </c>
      <c r="E2544" s="16">
        <f>IFERROR(__xludf.DUMMYFUNCTION("""COMPUTED_VALUE"""),72.0)</f>
        <v>72</v>
      </c>
      <c r="F2544" s="19" t="str">
        <f>IFERROR(__xludf.DUMMYFUNCTION("""COMPUTED_VALUE"""),"BLACK")</f>
        <v>BLACK</v>
      </c>
      <c r="G2544" s="20" t="str">
        <f>IFERROR(__xludf.DUMMYFUNCTION("""COMPUTED_VALUE"""),"Uncle Sams Cider (04/04/2023)")</f>
        <v>Uncle Sams Cider (04/04/2023)</v>
      </c>
      <c r="H2544" s="19"/>
    </row>
    <row r="2545">
      <c r="A2545" s="9"/>
      <c r="B2545" s="15"/>
      <c r="C2545" s="9">
        <f>IFERROR(__xludf.DUMMYFUNCTION("""COMPUTED_VALUE"""),45117.9912120254)</f>
        <v>45117.99121</v>
      </c>
      <c r="D2545" s="15">
        <f>IFERROR(__xludf.DUMMYFUNCTION("""COMPUTED_VALUE"""),1.004)</f>
        <v>1.004</v>
      </c>
      <c r="E2545" s="16">
        <f>IFERROR(__xludf.DUMMYFUNCTION("""COMPUTED_VALUE"""),72.0)</f>
        <v>72</v>
      </c>
      <c r="F2545" s="19" t="str">
        <f>IFERROR(__xludf.DUMMYFUNCTION("""COMPUTED_VALUE"""),"BLACK")</f>
        <v>BLACK</v>
      </c>
      <c r="G2545" s="20" t="str">
        <f>IFERROR(__xludf.DUMMYFUNCTION("""COMPUTED_VALUE"""),"Uncle Sams Cider (04/04/2023)")</f>
        <v>Uncle Sams Cider (04/04/2023)</v>
      </c>
      <c r="H2545" s="19"/>
    </row>
    <row r="2546">
      <c r="A2546" s="9"/>
      <c r="B2546" s="15"/>
      <c r="C2546" s="9">
        <f>IFERROR(__xludf.DUMMYFUNCTION("""COMPUTED_VALUE"""),45117.9807783449)</f>
        <v>45117.98078</v>
      </c>
      <c r="D2546" s="15">
        <f>IFERROR(__xludf.DUMMYFUNCTION("""COMPUTED_VALUE"""),1.004)</f>
        <v>1.004</v>
      </c>
      <c r="E2546" s="16">
        <f>IFERROR(__xludf.DUMMYFUNCTION("""COMPUTED_VALUE"""),72.0)</f>
        <v>72</v>
      </c>
      <c r="F2546" s="19" t="str">
        <f>IFERROR(__xludf.DUMMYFUNCTION("""COMPUTED_VALUE"""),"BLACK")</f>
        <v>BLACK</v>
      </c>
      <c r="G2546" s="20" t="str">
        <f>IFERROR(__xludf.DUMMYFUNCTION("""COMPUTED_VALUE"""),"Uncle Sams Cider (04/04/2023)")</f>
        <v>Uncle Sams Cider (04/04/2023)</v>
      </c>
      <c r="H2546" s="19"/>
    </row>
    <row r="2547">
      <c r="A2547" s="9"/>
      <c r="B2547" s="15"/>
      <c r="C2547" s="9">
        <f>IFERROR(__xludf.DUMMYFUNCTION("""COMPUTED_VALUE"""),45117.9703562731)</f>
        <v>45117.97036</v>
      </c>
      <c r="D2547" s="15">
        <f>IFERROR(__xludf.DUMMYFUNCTION("""COMPUTED_VALUE"""),1.003)</f>
        <v>1.003</v>
      </c>
      <c r="E2547" s="16">
        <f>IFERROR(__xludf.DUMMYFUNCTION("""COMPUTED_VALUE"""),72.0)</f>
        <v>72</v>
      </c>
      <c r="F2547" s="19" t="str">
        <f>IFERROR(__xludf.DUMMYFUNCTION("""COMPUTED_VALUE"""),"BLACK")</f>
        <v>BLACK</v>
      </c>
      <c r="G2547" s="20" t="str">
        <f>IFERROR(__xludf.DUMMYFUNCTION("""COMPUTED_VALUE"""),"Uncle Sams Cider (04/04/2023)")</f>
        <v>Uncle Sams Cider (04/04/2023)</v>
      </c>
      <c r="H2547" s="19"/>
    </row>
    <row r="2548">
      <c r="A2548" s="9"/>
      <c r="B2548" s="15"/>
      <c r="C2548" s="9">
        <f>IFERROR(__xludf.DUMMYFUNCTION("""COMPUTED_VALUE"""),45117.9599343171)</f>
        <v>45117.95993</v>
      </c>
      <c r="D2548" s="15">
        <f>IFERROR(__xludf.DUMMYFUNCTION("""COMPUTED_VALUE"""),1.004)</f>
        <v>1.004</v>
      </c>
      <c r="E2548" s="16">
        <f>IFERROR(__xludf.DUMMYFUNCTION("""COMPUTED_VALUE"""),72.0)</f>
        <v>72</v>
      </c>
      <c r="F2548" s="19" t="str">
        <f>IFERROR(__xludf.DUMMYFUNCTION("""COMPUTED_VALUE"""),"BLACK")</f>
        <v>BLACK</v>
      </c>
      <c r="G2548" s="20" t="str">
        <f>IFERROR(__xludf.DUMMYFUNCTION("""COMPUTED_VALUE"""),"Uncle Sams Cider (04/04/2023)")</f>
        <v>Uncle Sams Cider (04/04/2023)</v>
      </c>
      <c r="H2548" s="19"/>
    </row>
    <row r="2549">
      <c r="A2549" s="9"/>
      <c r="B2549" s="15"/>
      <c r="C2549" s="9">
        <f>IFERROR(__xludf.DUMMYFUNCTION("""COMPUTED_VALUE"""),45117.9495127893)</f>
        <v>45117.94951</v>
      </c>
      <c r="D2549" s="15">
        <f>IFERROR(__xludf.DUMMYFUNCTION("""COMPUTED_VALUE"""),1.004)</f>
        <v>1.004</v>
      </c>
      <c r="E2549" s="16">
        <f>IFERROR(__xludf.DUMMYFUNCTION("""COMPUTED_VALUE"""),72.0)</f>
        <v>72</v>
      </c>
      <c r="F2549" s="19" t="str">
        <f>IFERROR(__xludf.DUMMYFUNCTION("""COMPUTED_VALUE"""),"BLACK")</f>
        <v>BLACK</v>
      </c>
      <c r="G2549" s="20" t="str">
        <f>IFERROR(__xludf.DUMMYFUNCTION("""COMPUTED_VALUE"""),"Uncle Sams Cider (04/04/2023)")</f>
        <v>Uncle Sams Cider (04/04/2023)</v>
      </c>
      <c r="H2549" s="19"/>
    </row>
    <row r="2550">
      <c r="A2550" s="9"/>
      <c r="B2550" s="15"/>
      <c r="C2550" s="9">
        <f>IFERROR(__xludf.DUMMYFUNCTION("""COMPUTED_VALUE"""),45117.9390894907)</f>
        <v>45117.93909</v>
      </c>
      <c r="D2550" s="15">
        <f>IFERROR(__xludf.DUMMYFUNCTION("""COMPUTED_VALUE"""),1.003)</f>
        <v>1.003</v>
      </c>
      <c r="E2550" s="16">
        <f>IFERROR(__xludf.DUMMYFUNCTION("""COMPUTED_VALUE"""),72.0)</f>
        <v>72</v>
      </c>
      <c r="F2550" s="19" t="str">
        <f>IFERROR(__xludf.DUMMYFUNCTION("""COMPUTED_VALUE"""),"BLACK")</f>
        <v>BLACK</v>
      </c>
      <c r="G2550" s="20" t="str">
        <f>IFERROR(__xludf.DUMMYFUNCTION("""COMPUTED_VALUE"""),"Uncle Sams Cider (04/04/2023)")</f>
        <v>Uncle Sams Cider (04/04/2023)</v>
      </c>
      <c r="H2550" s="19"/>
    </row>
    <row r="2551">
      <c r="A2551" s="9"/>
      <c r="B2551" s="15"/>
      <c r="C2551" s="9">
        <f>IFERROR(__xludf.DUMMYFUNCTION("""COMPUTED_VALUE"""),45117.9286681365)</f>
        <v>45117.92867</v>
      </c>
      <c r="D2551" s="15">
        <f>IFERROR(__xludf.DUMMYFUNCTION("""COMPUTED_VALUE"""),1.004)</f>
        <v>1.004</v>
      </c>
      <c r="E2551" s="16">
        <f>IFERROR(__xludf.DUMMYFUNCTION("""COMPUTED_VALUE"""),72.0)</f>
        <v>72</v>
      </c>
      <c r="F2551" s="19" t="str">
        <f>IFERROR(__xludf.DUMMYFUNCTION("""COMPUTED_VALUE"""),"BLACK")</f>
        <v>BLACK</v>
      </c>
      <c r="G2551" s="20" t="str">
        <f>IFERROR(__xludf.DUMMYFUNCTION("""COMPUTED_VALUE"""),"Uncle Sams Cider (04/04/2023)")</f>
        <v>Uncle Sams Cider (04/04/2023)</v>
      </c>
      <c r="H2551" s="19"/>
    </row>
    <row r="2552">
      <c r="A2552" s="9"/>
      <c r="B2552" s="15"/>
      <c r="C2552" s="9">
        <f>IFERROR(__xludf.DUMMYFUNCTION("""COMPUTED_VALUE"""),45117.9182475347)</f>
        <v>45117.91825</v>
      </c>
      <c r="D2552" s="15">
        <f>IFERROR(__xludf.DUMMYFUNCTION("""COMPUTED_VALUE"""),1.004)</f>
        <v>1.004</v>
      </c>
      <c r="E2552" s="16">
        <f>IFERROR(__xludf.DUMMYFUNCTION("""COMPUTED_VALUE"""),72.0)</f>
        <v>72</v>
      </c>
      <c r="F2552" s="19" t="str">
        <f>IFERROR(__xludf.DUMMYFUNCTION("""COMPUTED_VALUE"""),"BLACK")</f>
        <v>BLACK</v>
      </c>
      <c r="G2552" s="20" t="str">
        <f>IFERROR(__xludf.DUMMYFUNCTION("""COMPUTED_VALUE"""),"Uncle Sams Cider (04/04/2023)")</f>
        <v>Uncle Sams Cider (04/04/2023)</v>
      </c>
      <c r="H2552" s="19"/>
    </row>
    <row r="2553">
      <c r="A2553" s="9"/>
      <c r="B2553" s="15"/>
      <c r="C2553" s="9">
        <f>IFERROR(__xludf.DUMMYFUNCTION("""COMPUTED_VALUE"""),45117.9078259838)</f>
        <v>45117.90783</v>
      </c>
      <c r="D2553" s="15">
        <f>IFERROR(__xludf.DUMMYFUNCTION("""COMPUTED_VALUE"""),1.004)</f>
        <v>1.004</v>
      </c>
      <c r="E2553" s="16">
        <f>IFERROR(__xludf.DUMMYFUNCTION("""COMPUTED_VALUE"""),72.0)</f>
        <v>72</v>
      </c>
      <c r="F2553" s="19" t="str">
        <f>IFERROR(__xludf.DUMMYFUNCTION("""COMPUTED_VALUE"""),"BLACK")</f>
        <v>BLACK</v>
      </c>
      <c r="G2553" s="20" t="str">
        <f>IFERROR(__xludf.DUMMYFUNCTION("""COMPUTED_VALUE"""),"Uncle Sams Cider (04/04/2023)")</f>
        <v>Uncle Sams Cider (04/04/2023)</v>
      </c>
      <c r="H2553" s="19"/>
    </row>
    <row r="2554">
      <c r="A2554" s="9"/>
      <c r="B2554" s="15"/>
      <c r="C2554" s="9">
        <f>IFERROR(__xludf.DUMMYFUNCTION("""COMPUTED_VALUE"""),45117.8974043171)</f>
        <v>45117.8974</v>
      </c>
      <c r="D2554" s="15">
        <f>IFERROR(__xludf.DUMMYFUNCTION("""COMPUTED_VALUE"""),1.003)</f>
        <v>1.003</v>
      </c>
      <c r="E2554" s="16">
        <f>IFERROR(__xludf.DUMMYFUNCTION("""COMPUTED_VALUE"""),72.0)</f>
        <v>72</v>
      </c>
      <c r="F2554" s="19" t="str">
        <f>IFERROR(__xludf.DUMMYFUNCTION("""COMPUTED_VALUE"""),"BLACK")</f>
        <v>BLACK</v>
      </c>
      <c r="G2554" s="20" t="str">
        <f>IFERROR(__xludf.DUMMYFUNCTION("""COMPUTED_VALUE"""),"Uncle Sams Cider (04/04/2023)")</f>
        <v>Uncle Sams Cider (04/04/2023)</v>
      </c>
      <c r="H2554" s="19"/>
    </row>
    <row r="2555">
      <c r="A2555" s="9"/>
      <c r="B2555" s="15"/>
      <c r="C2555" s="9">
        <f>IFERROR(__xludf.DUMMYFUNCTION("""COMPUTED_VALUE"""),45117.8869836805)</f>
        <v>45117.88698</v>
      </c>
      <c r="D2555" s="15">
        <f>IFERROR(__xludf.DUMMYFUNCTION("""COMPUTED_VALUE"""),1.003)</f>
        <v>1.003</v>
      </c>
      <c r="E2555" s="16">
        <f>IFERROR(__xludf.DUMMYFUNCTION("""COMPUTED_VALUE"""),72.0)</f>
        <v>72</v>
      </c>
      <c r="F2555" s="19" t="str">
        <f>IFERROR(__xludf.DUMMYFUNCTION("""COMPUTED_VALUE"""),"BLACK")</f>
        <v>BLACK</v>
      </c>
      <c r="G2555" s="20" t="str">
        <f>IFERROR(__xludf.DUMMYFUNCTION("""COMPUTED_VALUE"""),"Uncle Sams Cider (04/04/2023)")</f>
        <v>Uncle Sams Cider (04/04/2023)</v>
      </c>
      <c r="H2555" s="19"/>
    </row>
    <row r="2556">
      <c r="A2556" s="9"/>
      <c r="B2556" s="15"/>
      <c r="C2556" s="9">
        <f>IFERROR(__xludf.DUMMYFUNCTION("""COMPUTED_VALUE"""),45117.8765641666)</f>
        <v>45117.87656</v>
      </c>
      <c r="D2556" s="15">
        <f>IFERROR(__xludf.DUMMYFUNCTION("""COMPUTED_VALUE"""),1.004)</f>
        <v>1.004</v>
      </c>
      <c r="E2556" s="16">
        <f>IFERROR(__xludf.DUMMYFUNCTION("""COMPUTED_VALUE"""),72.0)</f>
        <v>72</v>
      </c>
      <c r="F2556" s="19" t="str">
        <f>IFERROR(__xludf.DUMMYFUNCTION("""COMPUTED_VALUE"""),"BLACK")</f>
        <v>BLACK</v>
      </c>
      <c r="G2556" s="20" t="str">
        <f>IFERROR(__xludf.DUMMYFUNCTION("""COMPUTED_VALUE"""),"Uncle Sams Cider (04/04/2023)")</f>
        <v>Uncle Sams Cider (04/04/2023)</v>
      </c>
      <c r="H2556" s="19"/>
    </row>
    <row r="2557">
      <c r="A2557" s="9"/>
      <c r="B2557" s="15"/>
      <c r="C2557" s="9">
        <f>IFERROR(__xludf.DUMMYFUNCTION("""COMPUTED_VALUE"""),45117.8661431597)</f>
        <v>45117.86614</v>
      </c>
      <c r="D2557" s="15">
        <f>IFERROR(__xludf.DUMMYFUNCTION("""COMPUTED_VALUE"""),1.003)</f>
        <v>1.003</v>
      </c>
      <c r="E2557" s="16">
        <f>IFERROR(__xludf.DUMMYFUNCTION("""COMPUTED_VALUE"""),72.0)</f>
        <v>72</v>
      </c>
      <c r="F2557" s="19" t="str">
        <f>IFERROR(__xludf.DUMMYFUNCTION("""COMPUTED_VALUE"""),"BLACK")</f>
        <v>BLACK</v>
      </c>
      <c r="G2557" s="20" t="str">
        <f>IFERROR(__xludf.DUMMYFUNCTION("""COMPUTED_VALUE"""),"Uncle Sams Cider (04/04/2023)")</f>
        <v>Uncle Sams Cider (04/04/2023)</v>
      </c>
      <c r="H2557" s="19"/>
    </row>
    <row r="2558">
      <c r="A2558" s="9"/>
      <c r="B2558" s="15"/>
      <c r="C2558" s="9">
        <f>IFERROR(__xludf.DUMMYFUNCTION("""COMPUTED_VALUE"""),45117.8557094791)</f>
        <v>45117.85571</v>
      </c>
      <c r="D2558" s="15">
        <f>IFERROR(__xludf.DUMMYFUNCTION("""COMPUTED_VALUE"""),1.003)</f>
        <v>1.003</v>
      </c>
      <c r="E2558" s="16">
        <f>IFERROR(__xludf.DUMMYFUNCTION("""COMPUTED_VALUE"""),72.0)</f>
        <v>72</v>
      </c>
      <c r="F2558" s="19" t="str">
        <f>IFERROR(__xludf.DUMMYFUNCTION("""COMPUTED_VALUE"""),"BLACK")</f>
        <v>BLACK</v>
      </c>
      <c r="G2558" s="20" t="str">
        <f>IFERROR(__xludf.DUMMYFUNCTION("""COMPUTED_VALUE"""),"Uncle Sams Cider (04/04/2023)")</f>
        <v>Uncle Sams Cider (04/04/2023)</v>
      </c>
      <c r="H2558" s="19"/>
    </row>
    <row r="2559">
      <c r="A2559" s="9"/>
      <c r="B2559" s="15"/>
      <c r="C2559" s="9">
        <f>IFERROR(__xludf.DUMMYFUNCTION("""COMPUTED_VALUE"""),45117.8452877662)</f>
        <v>45117.84529</v>
      </c>
      <c r="D2559" s="15">
        <f>IFERROR(__xludf.DUMMYFUNCTION("""COMPUTED_VALUE"""),1.003)</f>
        <v>1.003</v>
      </c>
      <c r="E2559" s="16">
        <f>IFERROR(__xludf.DUMMYFUNCTION("""COMPUTED_VALUE"""),72.0)</f>
        <v>72</v>
      </c>
      <c r="F2559" s="19" t="str">
        <f>IFERROR(__xludf.DUMMYFUNCTION("""COMPUTED_VALUE"""),"BLACK")</f>
        <v>BLACK</v>
      </c>
      <c r="G2559" s="20" t="str">
        <f>IFERROR(__xludf.DUMMYFUNCTION("""COMPUTED_VALUE"""),"Uncle Sams Cider (04/04/2023)")</f>
        <v>Uncle Sams Cider (04/04/2023)</v>
      </c>
      <c r="H2559" s="19"/>
    </row>
    <row r="2560">
      <c r="A2560" s="9"/>
      <c r="B2560" s="15"/>
      <c r="C2560" s="9">
        <f>IFERROR(__xludf.DUMMYFUNCTION("""COMPUTED_VALUE"""),45117.8348454976)</f>
        <v>45117.83485</v>
      </c>
      <c r="D2560" s="15">
        <f>IFERROR(__xludf.DUMMYFUNCTION("""COMPUTED_VALUE"""),1.004)</f>
        <v>1.004</v>
      </c>
      <c r="E2560" s="16">
        <f>IFERROR(__xludf.DUMMYFUNCTION("""COMPUTED_VALUE"""),72.0)</f>
        <v>72</v>
      </c>
      <c r="F2560" s="19" t="str">
        <f>IFERROR(__xludf.DUMMYFUNCTION("""COMPUTED_VALUE"""),"BLACK")</f>
        <v>BLACK</v>
      </c>
      <c r="G2560" s="20" t="str">
        <f>IFERROR(__xludf.DUMMYFUNCTION("""COMPUTED_VALUE"""),"Uncle Sams Cider (04/04/2023)")</f>
        <v>Uncle Sams Cider (04/04/2023)</v>
      </c>
      <c r="H2560" s="19"/>
    </row>
    <row r="2561">
      <c r="A2561" s="9"/>
      <c r="B2561" s="15"/>
      <c r="C2561" s="9">
        <f>IFERROR(__xludf.DUMMYFUNCTION("""COMPUTED_VALUE"""),45117.824425324)</f>
        <v>45117.82443</v>
      </c>
      <c r="D2561" s="15">
        <f>IFERROR(__xludf.DUMMYFUNCTION("""COMPUTED_VALUE"""),1.004)</f>
        <v>1.004</v>
      </c>
      <c r="E2561" s="16">
        <f>IFERROR(__xludf.DUMMYFUNCTION("""COMPUTED_VALUE"""),72.0)</f>
        <v>72</v>
      </c>
      <c r="F2561" s="19" t="str">
        <f>IFERROR(__xludf.DUMMYFUNCTION("""COMPUTED_VALUE"""),"BLACK")</f>
        <v>BLACK</v>
      </c>
      <c r="G2561" s="20" t="str">
        <f>IFERROR(__xludf.DUMMYFUNCTION("""COMPUTED_VALUE"""),"Uncle Sams Cider (04/04/2023)")</f>
        <v>Uncle Sams Cider (04/04/2023)</v>
      </c>
      <c r="H2561" s="19"/>
    </row>
    <row r="2562">
      <c r="A2562" s="9"/>
      <c r="B2562" s="15"/>
      <c r="C2562" s="9">
        <f>IFERROR(__xludf.DUMMYFUNCTION("""COMPUTED_VALUE"""),45117.8140052083)</f>
        <v>45117.81401</v>
      </c>
      <c r="D2562" s="15">
        <f>IFERROR(__xludf.DUMMYFUNCTION("""COMPUTED_VALUE"""),1.004)</f>
        <v>1.004</v>
      </c>
      <c r="E2562" s="16">
        <f>IFERROR(__xludf.DUMMYFUNCTION("""COMPUTED_VALUE"""),72.0)</f>
        <v>72</v>
      </c>
      <c r="F2562" s="19" t="str">
        <f>IFERROR(__xludf.DUMMYFUNCTION("""COMPUTED_VALUE"""),"BLACK")</f>
        <v>BLACK</v>
      </c>
      <c r="G2562" s="20" t="str">
        <f>IFERROR(__xludf.DUMMYFUNCTION("""COMPUTED_VALUE"""),"Uncle Sams Cider (04/04/2023)")</f>
        <v>Uncle Sams Cider (04/04/2023)</v>
      </c>
      <c r="H2562" s="19"/>
    </row>
    <row r="2563">
      <c r="A2563" s="9"/>
      <c r="B2563" s="15"/>
      <c r="C2563" s="9">
        <f>IFERROR(__xludf.DUMMYFUNCTION("""COMPUTED_VALUE"""),45117.8035725578)</f>
        <v>45117.80357</v>
      </c>
      <c r="D2563" s="15">
        <f>IFERROR(__xludf.DUMMYFUNCTION("""COMPUTED_VALUE"""),1.004)</f>
        <v>1.004</v>
      </c>
      <c r="E2563" s="16">
        <f>IFERROR(__xludf.DUMMYFUNCTION("""COMPUTED_VALUE"""),72.0)</f>
        <v>72</v>
      </c>
      <c r="F2563" s="19" t="str">
        <f>IFERROR(__xludf.DUMMYFUNCTION("""COMPUTED_VALUE"""),"BLACK")</f>
        <v>BLACK</v>
      </c>
      <c r="G2563" s="20" t="str">
        <f>IFERROR(__xludf.DUMMYFUNCTION("""COMPUTED_VALUE"""),"Uncle Sams Cider (04/04/2023)")</f>
        <v>Uncle Sams Cider (04/04/2023)</v>
      </c>
      <c r="H2563" s="19"/>
    </row>
    <row r="2564">
      <c r="A2564" s="9"/>
      <c r="B2564" s="15"/>
      <c r="C2564" s="9">
        <f>IFERROR(__xludf.DUMMYFUNCTION("""COMPUTED_VALUE"""),45117.7931415393)</f>
        <v>45117.79314</v>
      </c>
      <c r="D2564" s="15">
        <f>IFERROR(__xludf.DUMMYFUNCTION("""COMPUTED_VALUE"""),1.004)</f>
        <v>1.004</v>
      </c>
      <c r="E2564" s="16">
        <f>IFERROR(__xludf.DUMMYFUNCTION("""COMPUTED_VALUE"""),72.0)</f>
        <v>72</v>
      </c>
      <c r="F2564" s="19" t="str">
        <f>IFERROR(__xludf.DUMMYFUNCTION("""COMPUTED_VALUE"""),"BLACK")</f>
        <v>BLACK</v>
      </c>
      <c r="G2564" s="20" t="str">
        <f>IFERROR(__xludf.DUMMYFUNCTION("""COMPUTED_VALUE"""),"Uncle Sams Cider (04/04/2023)")</f>
        <v>Uncle Sams Cider (04/04/2023)</v>
      </c>
      <c r="H2564" s="19"/>
    </row>
    <row r="2565">
      <c r="A2565" s="9"/>
      <c r="B2565" s="15"/>
      <c r="C2565" s="9">
        <f>IFERROR(__xludf.DUMMYFUNCTION("""COMPUTED_VALUE"""),45117.7827207638)</f>
        <v>45117.78272</v>
      </c>
      <c r="D2565" s="15">
        <f>IFERROR(__xludf.DUMMYFUNCTION("""COMPUTED_VALUE"""),1.003)</f>
        <v>1.003</v>
      </c>
      <c r="E2565" s="16">
        <f>IFERROR(__xludf.DUMMYFUNCTION("""COMPUTED_VALUE"""),72.0)</f>
        <v>72</v>
      </c>
      <c r="F2565" s="19" t="str">
        <f>IFERROR(__xludf.DUMMYFUNCTION("""COMPUTED_VALUE"""),"BLACK")</f>
        <v>BLACK</v>
      </c>
      <c r="G2565" s="20" t="str">
        <f>IFERROR(__xludf.DUMMYFUNCTION("""COMPUTED_VALUE"""),"Uncle Sams Cider (04/04/2023)")</f>
        <v>Uncle Sams Cider (04/04/2023)</v>
      </c>
      <c r="H2565" s="19"/>
    </row>
    <row r="2566">
      <c r="A2566" s="9"/>
      <c r="B2566" s="15"/>
      <c r="C2566" s="9">
        <f>IFERROR(__xludf.DUMMYFUNCTION("""COMPUTED_VALUE"""),45117.7722888194)</f>
        <v>45117.77229</v>
      </c>
      <c r="D2566" s="15">
        <f>IFERROR(__xludf.DUMMYFUNCTION("""COMPUTED_VALUE"""),1.003)</f>
        <v>1.003</v>
      </c>
      <c r="E2566" s="16">
        <f>IFERROR(__xludf.DUMMYFUNCTION("""COMPUTED_VALUE"""),72.0)</f>
        <v>72</v>
      </c>
      <c r="F2566" s="19" t="str">
        <f>IFERROR(__xludf.DUMMYFUNCTION("""COMPUTED_VALUE"""),"BLACK")</f>
        <v>BLACK</v>
      </c>
      <c r="G2566" s="20" t="str">
        <f>IFERROR(__xludf.DUMMYFUNCTION("""COMPUTED_VALUE"""),"Uncle Sams Cider (04/04/2023)")</f>
        <v>Uncle Sams Cider (04/04/2023)</v>
      </c>
      <c r="H2566" s="19"/>
    </row>
    <row r="2567">
      <c r="A2567" s="9"/>
      <c r="B2567" s="15"/>
      <c r="C2567" s="9">
        <f>IFERROR(__xludf.DUMMYFUNCTION("""COMPUTED_VALUE"""),45117.76186603)</f>
        <v>45117.76187</v>
      </c>
      <c r="D2567" s="15">
        <f>IFERROR(__xludf.DUMMYFUNCTION("""COMPUTED_VALUE"""),1.004)</f>
        <v>1.004</v>
      </c>
      <c r="E2567" s="16">
        <f>IFERROR(__xludf.DUMMYFUNCTION("""COMPUTED_VALUE"""),72.0)</f>
        <v>72</v>
      </c>
      <c r="F2567" s="19" t="str">
        <f>IFERROR(__xludf.DUMMYFUNCTION("""COMPUTED_VALUE"""),"BLACK")</f>
        <v>BLACK</v>
      </c>
      <c r="G2567" s="20" t="str">
        <f>IFERROR(__xludf.DUMMYFUNCTION("""COMPUTED_VALUE"""),"Uncle Sams Cider (04/04/2023)")</f>
        <v>Uncle Sams Cider (04/04/2023)</v>
      </c>
      <c r="H2567" s="19"/>
    </row>
    <row r="2568">
      <c r="A2568" s="9"/>
      <c r="B2568" s="15"/>
      <c r="C2568" s="9">
        <f>IFERROR(__xludf.DUMMYFUNCTION("""COMPUTED_VALUE"""),45117.7514217824)</f>
        <v>45117.75142</v>
      </c>
      <c r="D2568" s="15">
        <f>IFERROR(__xludf.DUMMYFUNCTION("""COMPUTED_VALUE"""),1.003)</f>
        <v>1.003</v>
      </c>
      <c r="E2568" s="16">
        <f>IFERROR(__xludf.DUMMYFUNCTION("""COMPUTED_VALUE"""),72.0)</f>
        <v>72</v>
      </c>
      <c r="F2568" s="19" t="str">
        <f>IFERROR(__xludf.DUMMYFUNCTION("""COMPUTED_VALUE"""),"BLACK")</f>
        <v>BLACK</v>
      </c>
      <c r="G2568" s="20" t="str">
        <f>IFERROR(__xludf.DUMMYFUNCTION("""COMPUTED_VALUE"""),"Uncle Sams Cider (04/04/2023)")</f>
        <v>Uncle Sams Cider (04/04/2023)</v>
      </c>
      <c r="H2568" s="19"/>
    </row>
    <row r="2569">
      <c r="A2569" s="9"/>
      <c r="B2569" s="15"/>
      <c r="C2569" s="9">
        <f>IFERROR(__xludf.DUMMYFUNCTION("""COMPUTED_VALUE"""),45117.7409992939)</f>
        <v>45117.741</v>
      </c>
      <c r="D2569" s="15">
        <f>IFERROR(__xludf.DUMMYFUNCTION("""COMPUTED_VALUE"""),1.004)</f>
        <v>1.004</v>
      </c>
      <c r="E2569" s="16">
        <f>IFERROR(__xludf.DUMMYFUNCTION("""COMPUTED_VALUE"""),72.0)</f>
        <v>72</v>
      </c>
      <c r="F2569" s="19" t="str">
        <f>IFERROR(__xludf.DUMMYFUNCTION("""COMPUTED_VALUE"""),"BLACK")</f>
        <v>BLACK</v>
      </c>
      <c r="G2569" s="20" t="str">
        <f>IFERROR(__xludf.DUMMYFUNCTION("""COMPUTED_VALUE"""),"Uncle Sams Cider (04/04/2023)")</f>
        <v>Uncle Sams Cider (04/04/2023)</v>
      </c>
      <c r="H2569" s="19"/>
    </row>
    <row r="2570">
      <c r="A2570" s="9"/>
      <c r="B2570" s="15"/>
      <c r="C2570" s="9">
        <f>IFERROR(__xludf.DUMMYFUNCTION("""COMPUTED_VALUE"""),45117.7305567013)</f>
        <v>45117.73056</v>
      </c>
      <c r="D2570" s="15">
        <f>IFERROR(__xludf.DUMMYFUNCTION("""COMPUTED_VALUE"""),1.004)</f>
        <v>1.004</v>
      </c>
      <c r="E2570" s="16">
        <f>IFERROR(__xludf.DUMMYFUNCTION("""COMPUTED_VALUE"""),72.0)</f>
        <v>72</v>
      </c>
      <c r="F2570" s="19" t="str">
        <f>IFERROR(__xludf.DUMMYFUNCTION("""COMPUTED_VALUE"""),"BLACK")</f>
        <v>BLACK</v>
      </c>
      <c r="G2570" s="20" t="str">
        <f>IFERROR(__xludf.DUMMYFUNCTION("""COMPUTED_VALUE"""),"Uncle Sams Cider (04/04/2023)")</f>
        <v>Uncle Sams Cider (04/04/2023)</v>
      </c>
      <c r="H2570" s="19"/>
    </row>
    <row r="2571">
      <c r="A2571" s="9"/>
      <c r="B2571" s="15"/>
      <c r="C2571" s="9">
        <f>IFERROR(__xludf.DUMMYFUNCTION("""COMPUTED_VALUE"""),45117.7201357754)</f>
        <v>45117.72014</v>
      </c>
      <c r="D2571" s="15">
        <f>IFERROR(__xludf.DUMMYFUNCTION("""COMPUTED_VALUE"""),1.003)</f>
        <v>1.003</v>
      </c>
      <c r="E2571" s="16">
        <f>IFERROR(__xludf.DUMMYFUNCTION("""COMPUTED_VALUE"""),72.0)</f>
        <v>72</v>
      </c>
      <c r="F2571" s="19" t="str">
        <f>IFERROR(__xludf.DUMMYFUNCTION("""COMPUTED_VALUE"""),"BLACK")</f>
        <v>BLACK</v>
      </c>
      <c r="G2571" s="20" t="str">
        <f>IFERROR(__xludf.DUMMYFUNCTION("""COMPUTED_VALUE"""),"Uncle Sams Cider (04/04/2023)")</f>
        <v>Uncle Sams Cider (04/04/2023)</v>
      </c>
      <c r="H2571" s="19"/>
    </row>
    <row r="2572">
      <c r="A2572" s="9"/>
      <c r="B2572" s="15"/>
      <c r="C2572" s="9">
        <f>IFERROR(__xludf.DUMMYFUNCTION("""COMPUTED_VALUE"""),45117.7097142129)</f>
        <v>45117.70971</v>
      </c>
      <c r="D2572" s="15">
        <f>IFERROR(__xludf.DUMMYFUNCTION("""COMPUTED_VALUE"""),1.004)</f>
        <v>1.004</v>
      </c>
      <c r="E2572" s="16">
        <f>IFERROR(__xludf.DUMMYFUNCTION("""COMPUTED_VALUE"""),72.0)</f>
        <v>72</v>
      </c>
      <c r="F2572" s="19" t="str">
        <f>IFERROR(__xludf.DUMMYFUNCTION("""COMPUTED_VALUE"""),"BLACK")</f>
        <v>BLACK</v>
      </c>
      <c r="G2572" s="20" t="str">
        <f>IFERROR(__xludf.DUMMYFUNCTION("""COMPUTED_VALUE"""),"Uncle Sams Cider (04/04/2023)")</f>
        <v>Uncle Sams Cider (04/04/2023)</v>
      </c>
      <c r="H2572" s="19"/>
    </row>
    <row r="2573">
      <c r="A2573" s="9"/>
      <c r="B2573" s="15"/>
      <c r="C2573" s="9">
        <f>IFERROR(__xludf.DUMMYFUNCTION("""COMPUTED_VALUE"""),45117.6992699537)</f>
        <v>45117.69927</v>
      </c>
      <c r="D2573" s="15">
        <f>IFERROR(__xludf.DUMMYFUNCTION("""COMPUTED_VALUE"""),1.003)</f>
        <v>1.003</v>
      </c>
      <c r="E2573" s="16">
        <f>IFERROR(__xludf.DUMMYFUNCTION("""COMPUTED_VALUE"""),72.0)</f>
        <v>72</v>
      </c>
      <c r="F2573" s="19" t="str">
        <f>IFERROR(__xludf.DUMMYFUNCTION("""COMPUTED_VALUE"""),"BLACK")</f>
        <v>BLACK</v>
      </c>
      <c r="G2573" s="20" t="str">
        <f>IFERROR(__xludf.DUMMYFUNCTION("""COMPUTED_VALUE"""),"Uncle Sams Cider (04/04/2023)")</f>
        <v>Uncle Sams Cider (04/04/2023)</v>
      </c>
      <c r="H2573" s="19"/>
    </row>
    <row r="2574">
      <c r="A2574" s="9"/>
      <c r="B2574" s="15"/>
      <c r="C2574" s="9">
        <f>IFERROR(__xludf.DUMMYFUNCTION("""COMPUTED_VALUE"""),45117.6888363657)</f>
        <v>45117.68884</v>
      </c>
      <c r="D2574" s="15">
        <f>IFERROR(__xludf.DUMMYFUNCTION("""COMPUTED_VALUE"""),1.004)</f>
        <v>1.004</v>
      </c>
      <c r="E2574" s="16">
        <f>IFERROR(__xludf.DUMMYFUNCTION("""COMPUTED_VALUE"""),72.0)</f>
        <v>72</v>
      </c>
      <c r="F2574" s="19" t="str">
        <f>IFERROR(__xludf.DUMMYFUNCTION("""COMPUTED_VALUE"""),"BLACK")</f>
        <v>BLACK</v>
      </c>
      <c r="G2574" s="20" t="str">
        <f>IFERROR(__xludf.DUMMYFUNCTION("""COMPUTED_VALUE"""),"Uncle Sams Cider (04/04/2023)")</f>
        <v>Uncle Sams Cider (04/04/2023)</v>
      </c>
      <c r="H2574" s="19"/>
    </row>
    <row r="2575">
      <c r="A2575" s="9"/>
      <c r="B2575" s="15"/>
      <c r="C2575" s="9">
        <f>IFERROR(__xludf.DUMMYFUNCTION("""COMPUTED_VALUE"""),45117.6784152546)</f>
        <v>45117.67842</v>
      </c>
      <c r="D2575" s="15">
        <f>IFERROR(__xludf.DUMMYFUNCTION("""COMPUTED_VALUE"""),1.004)</f>
        <v>1.004</v>
      </c>
      <c r="E2575" s="16">
        <f>IFERROR(__xludf.DUMMYFUNCTION("""COMPUTED_VALUE"""),72.0)</f>
        <v>72</v>
      </c>
      <c r="F2575" s="19" t="str">
        <f>IFERROR(__xludf.DUMMYFUNCTION("""COMPUTED_VALUE"""),"BLACK")</f>
        <v>BLACK</v>
      </c>
      <c r="G2575" s="20" t="str">
        <f>IFERROR(__xludf.DUMMYFUNCTION("""COMPUTED_VALUE"""),"Uncle Sams Cider (04/04/2023)")</f>
        <v>Uncle Sams Cider (04/04/2023)</v>
      </c>
      <c r="H2575" s="19"/>
    </row>
    <row r="2576">
      <c r="A2576" s="9"/>
      <c r="B2576" s="15"/>
      <c r="C2576" s="9">
        <f>IFERROR(__xludf.DUMMYFUNCTION("""COMPUTED_VALUE"""),45117.6679816435)</f>
        <v>45117.66798</v>
      </c>
      <c r="D2576" s="15">
        <f>IFERROR(__xludf.DUMMYFUNCTION("""COMPUTED_VALUE"""),1.004)</f>
        <v>1.004</v>
      </c>
      <c r="E2576" s="16">
        <f>IFERROR(__xludf.DUMMYFUNCTION("""COMPUTED_VALUE"""),72.0)</f>
        <v>72</v>
      </c>
      <c r="F2576" s="19" t="str">
        <f>IFERROR(__xludf.DUMMYFUNCTION("""COMPUTED_VALUE"""),"BLACK")</f>
        <v>BLACK</v>
      </c>
      <c r="G2576" s="20" t="str">
        <f>IFERROR(__xludf.DUMMYFUNCTION("""COMPUTED_VALUE"""),"Uncle Sams Cider (04/04/2023)")</f>
        <v>Uncle Sams Cider (04/04/2023)</v>
      </c>
      <c r="H2576" s="19"/>
    </row>
    <row r="2577">
      <c r="A2577" s="9"/>
      <c r="B2577" s="15"/>
      <c r="C2577" s="9">
        <f>IFERROR(__xludf.DUMMYFUNCTION("""COMPUTED_VALUE"""),45117.6575605671)</f>
        <v>45117.65756</v>
      </c>
      <c r="D2577" s="15">
        <f>IFERROR(__xludf.DUMMYFUNCTION("""COMPUTED_VALUE"""),1.003)</f>
        <v>1.003</v>
      </c>
      <c r="E2577" s="16">
        <f>IFERROR(__xludf.DUMMYFUNCTION("""COMPUTED_VALUE"""),72.0)</f>
        <v>72</v>
      </c>
      <c r="F2577" s="19" t="str">
        <f>IFERROR(__xludf.DUMMYFUNCTION("""COMPUTED_VALUE"""),"BLACK")</f>
        <v>BLACK</v>
      </c>
      <c r="G2577" s="20" t="str">
        <f>IFERROR(__xludf.DUMMYFUNCTION("""COMPUTED_VALUE"""),"Uncle Sams Cider (04/04/2023)")</f>
        <v>Uncle Sams Cider (04/04/2023)</v>
      </c>
      <c r="H2577" s="19"/>
    </row>
    <row r="2578">
      <c r="A2578" s="9"/>
      <c r="B2578" s="15"/>
      <c r="C2578" s="9">
        <f>IFERROR(__xludf.DUMMYFUNCTION("""COMPUTED_VALUE"""),45117.6471411574)</f>
        <v>45117.64714</v>
      </c>
      <c r="D2578" s="15">
        <f>IFERROR(__xludf.DUMMYFUNCTION("""COMPUTED_VALUE"""),1.004)</f>
        <v>1.004</v>
      </c>
      <c r="E2578" s="16">
        <f>IFERROR(__xludf.DUMMYFUNCTION("""COMPUTED_VALUE"""),72.0)</f>
        <v>72</v>
      </c>
      <c r="F2578" s="19" t="str">
        <f>IFERROR(__xludf.DUMMYFUNCTION("""COMPUTED_VALUE"""),"BLACK")</f>
        <v>BLACK</v>
      </c>
      <c r="G2578" s="20" t="str">
        <f>IFERROR(__xludf.DUMMYFUNCTION("""COMPUTED_VALUE"""),"Uncle Sams Cider (04/04/2023)")</f>
        <v>Uncle Sams Cider (04/04/2023)</v>
      </c>
      <c r="H2578" s="19"/>
    </row>
    <row r="2579">
      <c r="A2579" s="9"/>
      <c r="B2579" s="15"/>
      <c r="C2579" s="9">
        <f>IFERROR(__xludf.DUMMYFUNCTION("""COMPUTED_VALUE"""),45117.6367200578)</f>
        <v>45117.63672</v>
      </c>
      <c r="D2579" s="15">
        <f>IFERROR(__xludf.DUMMYFUNCTION("""COMPUTED_VALUE"""),1.004)</f>
        <v>1.004</v>
      </c>
      <c r="E2579" s="16">
        <f>IFERROR(__xludf.DUMMYFUNCTION("""COMPUTED_VALUE"""),72.0)</f>
        <v>72</v>
      </c>
      <c r="F2579" s="19" t="str">
        <f>IFERROR(__xludf.DUMMYFUNCTION("""COMPUTED_VALUE"""),"BLACK")</f>
        <v>BLACK</v>
      </c>
      <c r="G2579" s="20" t="str">
        <f>IFERROR(__xludf.DUMMYFUNCTION("""COMPUTED_VALUE"""),"Uncle Sams Cider (04/04/2023)")</f>
        <v>Uncle Sams Cider (04/04/2023)</v>
      </c>
      <c r="H2579" s="19"/>
    </row>
    <row r="2580">
      <c r="A2580" s="9"/>
      <c r="B2580" s="15"/>
      <c r="C2580" s="9">
        <f>IFERROR(__xludf.DUMMYFUNCTION("""COMPUTED_VALUE"""),45117.6262994676)</f>
        <v>45117.6263</v>
      </c>
      <c r="D2580" s="15">
        <f>IFERROR(__xludf.DUMMYFUNCTION("""COMPUTED_VALUE"""),1.004)</f>
        <v>1.004</v>
      </c>
      <c r="E2580" s="16">
        <f>IFERROR(__xludf.DUMMYFUNCTION("""COMPUTED_VALUE"""),72.0)</f>
        <v>72</v>
      </c>
      <c r="F2580" s="19" t="str">
        <f>IFERROR(__xludf.DUMMYFUNCTION("""COMPUTED_VALUE"""),"BLACK")</f>
        <v>BLACK</v>
      </c>
      <c r="G2580" s="20" t="str">
        <f>IFERROR(__xludf.DUMMYFUNCTION("""COMPUTED_VALUE"""),"Uncle Sams Cider (04/04/2023)")</f>
        <v>Uncle Sams Cider (04/04/2023)</v>
      </c>
      <c r="H2580" s="19"/>
    </row>
    <row r="2581">
      <c r="A2581" s="9"/>
      <c r="B2581" s="15"/>
      <c r="C2581" s="9">
        <f>IFERROR(__xludf.DUMMYFUNCTION("""COMPUTED_VALUE"""),45117.61587625)</f>
        <v>45117.61588</v>
      </c>
      <c r="D2581" s="15">
        <f>IFERROR(__xludf.DUMMYFUNCTION("""COMPUTED_VALUE"""),1.004)</f>
        <v>1.004</v>
      </c>
      <c r="E2581" s="16">
        <f>IFERROR(__xludf.DUMMYFUNCTION("""COMPUTED_VALUE"""),72.0)</f>
        <v>72</v>
      </c>
      <c r="F2581" s="19" t="str">
        <f>IFERROR(__xludf.DUMMYFUNCTION("""COMPUTED_VALUE"""),"BLACK")</f>
        <v>BLACK</v>
      </c>
      <c r="G2581" s="20" t="str">
        <f>IFERROR(__xludf.DUMMYFUNCTION("""COMPUTED_VALUE"""),"Uncle Sams Cider (04/04/2023)")</f>
        <v>Uncle Sams Cider (04/04/2023)</v>
      </c>
      <c r="H2581" s="19"/>
    </row>
    <row r="2582">
      <c r="A2582" s="9"/>
      <c r="B2582" s="15"/>
      <c r="C2582" s="9">
        <f>IFERROR(__xludf.DUMMYFUNCTION("""COMPUTED_VALUE"""),45117.6054545023)</f>
        <v>45117.60545</v>
      </c>
      <c r="D2582" s="15">
        <f>IFERROR(__xludf.DUMMYFUNCTION("""COMPUTED_VALUE"""),1.003)</f>
        <v>1.003</v>
      </c>
      <c r="E2582" s="16">
        <f>IFERROR(__xludf.DUMMYFUNCTION("""COMPUTED_VALUE"""),72.0)</f>
        <v>72</v>
      </c>
      <c r="F2582" s="19" t="str">
        <f>IFERROR(__xludf.DUMMYFUNCTION("""COMPUTED_VALUE"""),"BLACK")</f>
        <v>BLACK</v>
      </c>
      <c r="G2582" s="20" t="str">
        <f>IFERROR(__xludf.DUMMYFUNCTION("""COMPUTED_VALUE"""),"Uncle Sams Cider (04/04/2023)")</f>
        <v>Uncle Sams Cider (04/04/2023)</v>
      </c>
      <c r="H2582" s="19"/>
    </row>
    <row r="2583">
      <c r="A2583" s="9"/>
      <c r="B2583" s="15"/>
      <c r="C2583" s="9">
        <f>IFERROR(__xludf.DUMMYFUNCTION("""COMPUTED_VALUE"""),45117.5950339467)</f>
        <v>45117.59503</v>
      </c>
      <c r="D2583" s="15">
        <f>IFERROR(__xludf.DUMMYFUNCTION("""COMPUTED_VALUE"""),1.003)</f>
        <v>1.003</v>
      </c>
      <c r="E2583" s="16">
        <f>IFERROR(__xludf.DUMMYFUNCTION("""COMPUTED_VALUE"""),72.0)</f>
        <v>72</v>
      </c>
      <c r="F2583" s="19" t="str">
        <f>IFERROR(__xludf.DUMMYFUNCTION("""COMPUTED_VALUE"""),"BLACK")</f>
        <v>BLACK</v>
      </c>
      <c r="G2583" s="20" t="str">
        <f>IFERROR(__xludf.DUMMYFUNCTION("""COMPUTED_VALUE"""),"Uncle Sams Cider (04/04/2023)")</f>
        <v>Uncle Sams Cider (04/04/2023)</v>
      </c>
      <c r="H2583" s="19"/>
    </row>
    <row r="2584">
      <c r="A2584" s="9"/>
      <c r="B2584" s="15"/>
      <c r="C2584" s="9">
        <f>IFERROR(__xludf.DUMMYFUNCTION("""COMPUTED_VALUE"""),45117.5846154976)</f>
        <v>45117.58462</v>
      </c>
      <c r="D2584" s="15">
        <f>IFERROR(__xludf.DUMMYFUNCTION("""COMPUTED_VALUE"""),1.003)</f>
        <v>1.003</v>
      </c>
      <c r="E2584" s="16">
        <f>IFERROR(__xludf.DUMMYFUNCTION("""COMPUTED_VALUE"""),72.0)</f>
        <v>72</v>
      </c>
      <c r="F2584" s="19" t="str">
        <f>IFERROR(__xludf.DUMMYFUNCTION("""COMPUTED_VALUE"""),"BLACK")</f>
        <v>BLACK</v>
      </c>
      <c r="G2584" s="20" t="str">
        <f>IFERROR(__xludf.DUMMYFUNCTION("""COMPUTED_VALUE"""),"Uncle Sams Cider (04/04/2023)")</f>
        <v>Uncle Sams Cider (04/04/2023)</v>
      </c>
      <c r="H2584" s="19"/>
    </row>
    <row r="2585">
      <c r="A2585" s="9"/>
      <c r="B2585" s="15"/>
      <c r="C2585" s="9">
        <f>IFERROR(__xludf.DUMMYFUNCTION("""COMPUTED_VALUE"""),45117.5741816666)</f>
        <v>45117.57418</v>
      </c>
      <c r="D2585" s="15">
        <f>IFERROR(__xludf.DUMMYFUNCTION("""COMPUTED_VALUE"""),1.004)</f>
        <v>1.004</v>
      </c>
      <c r="E2585" s="16">
        <f>IFERROR(__xludf.DUMMYFUNCTION("""COMPUTED_VALUE"""),72.0)</f>
        <v>72</v>
      </c>
      <c r="F2585" s="19" t="str">
        <f>IFERROR(__xludf.DUMMYFUNCTION("""COMPUTED_VALUE"""),"BLACK")</f>
        <v>BLACK</v>
      </c>
      <c r="G2585" s="20" t="str">
        <f>IFERROR(__xludf.DUMMYFUNCTION("""COMPUTED_VALUE"""),"Uncle Sams Cider (04/04/2023)")</f>
        <v>Uncle Sams Cider (04/04/2023)</v>
      </c>
      <c r="H2585" s="19"/>
    </row>
    <row r="2586">
      <c r="A2586" s="9"/>
      <c r="B2586" s="15"/>
      <c r="C2586" s="9">
        <f>IFERROR(__xludf.DUMMYFUNCTION("""COMPUTED_VALUE"""),45117.5637612037)</f>
        <v>45117.56376</v>
      </c>
      <c r="D2586" s="15">
        <f>IFERROR(__xludf.DUMMYFUNCTION("""COMPUTED_VALUE"""),1.003)</f>
        <v>1.003</v>
      </c>
      <c r="E2586" s="16">
        <f>IFERROR(__xludf.DUMMYFUNCTION("""COMPUTED_VALUE"""),72.0)</f>
        <v>72</v>
      </c>
      <c r="F2586" s="19" t="str">
        <f>IFERROR(__xludf.DUMMYFUNCTION("""COMPUTED_VALUE"""),"BLACK")</f>
        <v>BLACK</v>
      </c>
      <c r="G2586" s="20" t="str">
        <f>IFERROR(__xludf.DUMMYFUNCTION("""COMPUTED_VALUE"""),"Uncle Sams Cider (04/04/2023)")</f>
        <v>Uncle Sams Cider (04/04/2023)</v>
      </c>
      <c r="H2586" s="19"/>
    </row>
    <row r="2587">
      <c r="A2587" s="9"/>
      <c r="B2587" s="15"/>
      <c r="C2587" s="9">
        <f>IFERROR(__xludf.DUMMYFUNCTION("""COMPUTED_VALUE"""),45117.5533412615)</f>
        <v>45117.55334</v>
      </c>
      <c r="D2587" s="15">
        <f>IFERROR(__xludf.DUMMYFUNCTION("""COMPUTED_VALUE"""),1.003)</f>
        <v>1.003</v>
      </c>
      <c r="E2587" s="16">
        <f>IFERROR(__xludf.DUMMYFUNCTION("""COMPUTED_VALUE"""),72.0)</f>
        <v>72</v>
      </c>
      <c r="F2587" s="19" t="str">
        <f>IFERROR(__xludf.DUMMYFUNCTION("""COMPUTED_VALUE"""),"BLACK")</f>
        <v>BLACK</v>
      </c>
      <c r="G2587" s="20" t="str">
        <f>IFERROR(__xludf.DUMMYFUNCTION("""COMPUTED_VALUE"""),"Uncle Sams Cider (04/04/2023)")</f>
        <v>Uncle Sams Cider (04/04/2023)</v>
      </c>
      <c r="H2587" s="19"/>
    </row>
    <row r="2588">
      <c r="A2588" s="9"/>
      <c r="B2588" s="15"/>
      <c r="C2588" s="9">
        <f>IFERROR(__xludf.DUMMYFUNCTION("""COMPUTED_VALUE"""),45117.542921574)</f>
        <v>45117.54292</v>
      </c>
      <c r="D2588" s="15">
        <f>IFERROR(__xludf.DUMMYFUNCTION("""COMPUTED_VALUE"""),1.003)</f>
        <v>1.003</v>
      </c>
      <c r="E2588" s="16">
        <f>IFERROR(__xludf.DUMMYFUNCTION("""COMPUTED_VALUE"""),72.0)</f>
        <v>72</v>
      </c>
      <c r="F2588" s="19" t="str">
        <f>IFERROR(__xludf.DUMMYFUNCTION("""COMPUTED_VALUE"""),"BLACK")</f>
        <v>BLACK</v>
      </c>
      <c r="G2588" s="20" t="str">
        <f>IFERROR(__xludf.DUMMYFUNCTION("""COMPUTED_VALUE"""),"Uncle Sams Cider (04/04/2023)")</f>
        <v>Uncle Sams Cider (04/04/2023)</v>
      </c>
      <c r="H2588" s="19"/>
    </row>
    <row r="2589">
      <c r="A2589" s="9"/>
      <c r="B2589" s="15"/>
      <c r="C2589" s="9">
        <f>IFERROR(__xludf.DUMMYFUNCTION("""COMPUTED_VALUE"""),45117.5324997453)</f>
        <v>45117.5325</v>
      </c>
      <c r="D2589" s="15">
        <f>IFERROR(__xludf.DUMMYFUNCTION("""COMPUTED_VALUE"""),1.004)</f>
        <v>1.004</v>
      </c>
      <c r="E2589" s="16">
        <f>IFERROR(__xludf.DUMMYFUNCTION("""COMPUTED_VALUE"""),72.0)</f>
        <v>72</v>
      </c>
      <c r="F2589" s="19" t="str">
        <f>IFERROR(__xludf.DUMMYFUNCTION("""COMPUTED_VALUE"""),"BLACK")</f>
        <v>BLACK</v>
      </c>
      <c r="G2589" s="20" t="str">
        <f>IFERROR(__xludf.DUMMYFUNCTION("""COMPUTED_VALUE"""),"Uncle Sams Cider (04/04/2023)")</f>
        <v>Uncle Sams Cider (04/04/2023)</v>
      </c>
      <c r="H2589" s="19"/>
    </row>
    <row r="2590">
      <c r="A2590" s="9"/>
      <c r="B2590" s="15"/>
      <c r="C2590" s="9">
        <f>IFERROR(__xludf.DUMMYFUNCTION("""COMPUTED_VALUE"""),45117.5220677662)</f>
        <v>45117.52207</v>
      </c>
      <c r="D2590" s="15">
        <f>IFERROR(__xludf.DUMMYFUNCTION("""COMPUTED_VALUE"""),1.003)</f>
        <v>1.003</v>
      </c>
      <c r="E2590" s="16">
        <f>IFERROR(__xludf.DUMMYFUNCTION("""COMPUTED_VALUE"""),72.0)</f>
        <v>72</v>
      </c>
      <c r="F2590" s="19" t="str">
        <f>IFERROR(__xludf.DUMMYFUNCTION("""COMPUTED_VALUE"""),"BLACK")</f>
        <v>BLACK</v>
      </c>
      <c r="G2590" s="20" t="str">
        <f>IFERROR(__xludf.DUMMYFUNCTION("""COMPUTED_VALUE"""),"Uncle Sams Cider (04/04/2023)")</f>
        <v>Uncle Sams Cider (04/04/2023)</v>
      </c>
      <c r="H2590" s="19"/>
    </row>
    <row r="2591">
      <c r="A2591" s="9"/>
      <c r="B2591" s="15"/>
      <c r="C2591" s="9">
        <f>IFERROR(__xludf.DUMMYFUNCTION("""COMPUTED_VALUE"""),45117.5116465509)</f>
        <v>45117.51165</v>
      </c>
      <c r="D2591" s="15">
        <f>IFERROR(__xludf.DUMMYFUNCTION("""COMPUTED_VALUE"""),1.004)</f>
        <v>1.004</v>
      </c>
      <c r="E2591" s="16">
        <f>IFERROR(__xludf.DUMMYFUNCTION("""COMPUTED_VALUE"""),72.0)</f>
        <v>72</v>
      </c>
      <c r="F2591" s="19" t="str">
        <f>IFERROR(__xludf.DUMMYFUNCTION("""COMPUTED_VALUE"""),"BLACK")</f>
        <v>BLACK</v>
      </c>
      <c r="G2591" s="20" t="str">
        <f>IFERROR(__xludf.DUMMYFUNCTION("""COMPUTED_VALUE"""),"Uncle Sams Cider (04/04/2023)")</f>
        <v>Uncle Sams Cider (04/04/2023)</v>
      </c>
      <c r="H2591" s="19"/>
    </row>
    <row r="2592">
      <c r="A2592" s="9"/>
      <c r="B2592" s="15"/>
      <c r="C2592" s="9">
        <f>IFERROR(__xludf.DUMMYFUNCTION("""COMPUTED_VALUE"""),45117.5011902314)</f>
        <v>45117.50119</v>
      </c>
      <c r="D2592" s="15">
        <f>IFERROR(__xludf.DUMMYFUNCTION("""COMPUTED_VALUE"""),1.004)</f>
        <v>1.004</v>
      </c>
      <c r="E2592" s="16">
        <f>IFERROR(__xludf.DUMMYFUNCTION("""COMPUTED_VALUE"""),72.0)</f>
        <v>72</v>
      </c>
      <c r="F2592" s="19" t="str">
        <f>IFERROR(__xludf.DUMMYFUNCTION("""COMPUTED_VALUE"""),"BLACK")</f>
        <v>BLACK</v>
      </c>
      <c r="G2592" s="20" t="str">
        <f>IFERROR(__xludf.DUMMYFUNCTION("""COMPUTED_VALUE"""),"Uncle Sams Cider (04/04/2023)")</f>
        <v>Uncle Sams Cider (04/04/2023)</v>
      </c>
      <c r="H2592" s="19"/>
    </row>
    <row r="2593">
      <c r="A2593" s="9"/>
      <c r="B2593" s="15"/>
      <c r="C2593" s="9">
        <f>IFERROR(__xludf.DUMMYFUNCTION("""COMPUTED_VALUE"""),45117.4907681828)</f>
        <v>45117.49077</v>
      </c>
      <c r="D2593" s="15">
        <f>IFERROR(__xludf.DUMMYFUNCTION("""COMPUTED_VALUE"""),1.004)</f>
        <v>1.004</v>
      </c>
      <c r="E2593" s="16">
        <f>IFERROR(__xludf.DUMMYFUNCTION("""COMPUTED_VALUE"""),72.0)</f>
        <v>72</v>
      </c>
      <c r="F2593" s="19" t="str">
        <f>IFERROR(__xludf.DUMMYFUNCTION("""COMPUTED_VALUE"""),"BLACK")</f>
        <v>BLACK</v>
      </c>
      <c r="G2593" s="20" t="str">
        <f>IFERROR(__xludf.DUMMYFUNCTION("""COMPUTED_VALUE"""),"Uncle Sams Cider (04/04/2023)")</f>
        <v>Uncle Sams Cider (04/04/2023)</v>
      </c>
      <c r="H2593" s="19"/>
    </row>
    <row r="2594">
      <c r="A2594" s="9"/>
      <c r="B2594" s="15"/>
      <c r="C2594" s="9">
        <f>IFERROR(__xludf.DUMMYFUNCTION("""COMPUTED_VALUE"""),45117.4803464583)</f>
        <v>45117.48035</v>
      </c>
      <c r="D2594" s="15">
        <f>IFERROR(__xludf.DUMMYFUNCTION("""COMPUTED_VALUE"""),1.004)</f>
        <v>1.004</v>
      </c>
      <c r="E2594" s="16">
        <f>IFERROR(__xludf.DUMMYFUNCTION("""COMPUTED_VALUE"""),72.0)</f>
        <v>72</v>
      </c>
      <c r="F2594" s="19" t="str">
        <f>IFERROR(__xludf.DUMMYFUNCTION("""COMPUTED_VALUE"""),"BLACK")</f>
        <v>BLACK</v>
      </c>
      <c r="G2594" s="20" t="str">
        <f>IFERROR(__xludf.DUMMYFUNCTION("""COMPUTED_VALUE"""),"Uncle Sams Cider (04/04/2023)")</f>
        <v>Uncle Sams Cider (04/04/2023)</v>
      </c>
      <c r="H2594" s="19"/>
    </row>
    <row r="2595">
      <c r="A2595" s="9"/>
      <c r="B2595" s="15"/>
      <c r="C2595" s="9">
        <f>IFERROR(__xludf.DUMMYFUNCTION("""COMPUTED_VALUE"""),45117.4699156365)</f>
        <v>45117.46992</v>
      </c>
      <c r="D2595" s="15">
        <f>IFERROR(__xludf.DUMMYFUNCTION("""COMPUTED_VALUE"""),1.004)</f>
        <v>1.004</v>
      </c>
      <c r="E2595" s="16">
        <f>IFERROR(__xludf.DUMMYFUNCTION("""COMPUTED_VALUE"""),72.0)</f>
        <v>72</v>
      </c>
      <c r="F2595" s="19" t="str">
        <f>IFERROR(__xludf.DUMMYFUNCTION("""COMPUTED_VALUE"""),"BLACK")</f>
        <v>BLACK</v>
      </c>
      <c r="G2595" s="20" t="str">
        <f>IFERROR(__xludf.DUMMYFUNCTION("""COMPUTED_VALUE"""),"Uncle Sams Cider (04/04/2023)")</f>
        <v>Uncle Sams Cider (04/04/2023)</v>
      </c>
      <c r="H2595" s="19"/>
    </row>
    <row r="2596">
      <c r="A2596" s="9"/>
      <c r="B2596" s="15"/>
      <c r="C2596" s="9">
        <f>IFERROR(__xludf.DUMMYFUNCTION("""COMPUTED_VALUE"""),45117.4594818981)</f>
        <v>45117.45948</v>
      </c>
      <c r="D2596" s="15">
        <f>IFERROR(__xludf.DUMMYFUNCTION("""COMPUTED_VALUE"""),1.004)</f>
        <v>1.004</v>
      </c>
      <c r="E2596" s="16">
        <f>IFERROR(__xludf.DUMMYFUNCTION("""COMPUTED_VALUE"""),72.0)</f>
        <v>72</v>
      </c>
      <c r="F2596" s="19" t="str">
        <f>IFERROR(__xludf.DUMMYFUNCTION("""COMPUTED_VALUE"""),"BLACK")</f>
        <v>BLACK</v>
      </c>
      <c r="G2596" s="20" t="str">
        <f>IFERROR(__xludf.DUMMYFUNCTION("""COMPUTED_VALUE"""),"Uncle Sams Cider (04/04/2023)")</f>
        <v>Uncle Sams Cider (04/04/2023)</v>
      </c>
      <c r="H2596" s="19"/>
    </row>
    <row r="2597">
      <c r="A2597" s="9"/>
      <c r="B2597" s="15"/>
      <c r="C2597" s="9">
        <f>IFERROR(__xludf.DUMMYFUNCTION("""COMPUTED_VALUE"""),45117.449061574)</f>
        <v>45117.44906</v>
      </c>
      <c r="D2597" s="15">
        <f>IFERROR(__xludf.DUMMYFUNCTION("""COMPUTED_VALUE"""),1.004)</f>
        <v>1.004</v>
      </c>
      <c r="E2597" s="16">
        <f>IFERROR(__xludf.DUMMYFUNCTION("""COMPUTED_VALUE"""),72.0)</f>
        <v>72</v>
      </c>
      <c r="F2597" s="19" t="str">
        <f>IFERROR(__xludf.DUMMYFUNCTION("""COMPUTED_VALUE"""),"BLACK")</f>
        <v>BLACK</v>
      </c>
      <c r="G2597" s="20" t="str">
        <f>IFERROR(__xludf.DUMMYFUNCTION("""COMPUTED_VALUE"""),"Uncle Sams Cider (04/04/2023)")</f>
        <v>Uncle Sams Cider (04/04/2023)</v>
      </c>
      <c r="H2597" s="19"/>
    </row>
    <row r="2598">
      <c r="A2598" s="9"/>
      <c r="B2598" s="15"/>
      <c r="C2598" s="9">
        <f>IFERROR(__xludf.DUMMYFUNCTION("""COMPUTED_VALUE"""),45117.4386390972)</f>
        <v>45117.43864</v>
      </c>
      <c r="D2598" s="15">
        <f>IFERROR(__xludf.DUMMYFUNCTION("""COMPUTED_VALUE"""),1.004)</f>
        <v>1.004</v>
      </c>
      <c r="E2598" s="16">
        <f>IFERROR(__xludf.DUMMYFUNCTION("""COMPUTED_VALUE"""),72.0)</f>
        <v>72</v>
      </c>
      <c r="F2598" s="19" t="str">
        <f>IFERROR(__xludf.DUMMYFUNCTION("""COMPUTED_VALUE"""),"BLACK")</f>
        <v>BLACK</v>
      </c>
      <c r="G2598" s="20" t="str">
        <f>IFERROR(__xludf.DUMMYFUNCTION("""COMPUTED_VALUE"""),"Uncle Sams Cider (04/04/2023)")</f>
        <v>Uncle Sams Cider (04/04/2023)</v>
      </c>
      <c r="H2598" s="19"/>
    </row>
    <row r="2599">
      <c r="A2599" s="9"/>
      <c r="B2599" s="15"/>
      <c r="C2599" s="9">
        <f>IFERROR(__xludf.DUMMYFUNCTION("""COMPUTED_VALUE"""),45117.4282177546)</f>
        <v>45117.42822</v>
      </c>
      <c r="D2599" s="15">
        <f>IFERROR(__xludf.DUMMYFUNCTION("""COMPUTED_VALUE"""),1.003)</f>
        <v>1.003</v>
      </c>
      <c r="E2599" s="16">
        <f>IFERROR(__xludf.DUMMYFUNCTION("""COMPUTED_VALUE"""),72.0)</f>
        <v>72</v>
      </c>
      <c r="F2599" s="19" t="str">
        <f>IFERROR(__xludf.DUMMYFUNCTION("""COMPUTED_VALUE"""),"BLACK")</f>
        <v>BLACK</v>
      </c>
      <c r="G2599" s="20" t="str">
        <f>IFERROR(__xludf.DUMMYFUNCTION("""COMPUTED_VALUE"""),"Uncle Sams Cider (04/04/2023)")</f>
        <v>Uncle Sams Cider (04/04/2023)</v>
      </c>
      <c r="H2599" s="19"/>
    </row>
    <row r="2600">
      <c r="A2600" s="9"/>
      <c r="B2600" s="15"/>
      <c r="C2600" s="9">
        <f>IFERROR(__xludf.DUMMYFUNCTION("""COMPUTED_VALUE"""),45117.417796956)</f>
        <v>45117.4178</v>
      </c>
      <c r="D2600" s="15">
        <f>IFERROR(__xludf.DUMMYFUNCTION("""COMPUTED_VALUE"""),1.003)</f>
        <v>1.003</v>
      </c>
      <c r="E2600" s="16">
        <f>IFERROR(__xludf.DUMMYFUNCTION("""COMPUTED_VALUE"""),72.0)</f>
        <v>72</v>
      </c>
      <c r="F2600" s="19" t="str">
        <f>IFERROR(__xludf.DUMMYFUNCTION("""COMPUTED_VALUE"""),"BLACK")</f>
        <v>BLACK</v>
      </c>
      <c r="G2600" s="20" t="str">
        <f>IFERROR(__xludf.DUMMYFUNCTION("""COMPUTED_VALUE"""),"Uncle Sams Cider (04/04/2023)")</f>
        <v>Uncle Sams Cider (04/04/2023)</v>
      </c>
      <c r="H2600" s="19"/>
    </row>
    <row r="2601">
      <c r="A2601" s="9"/>
      <c r="B2601" s="15"/>
      <c r="C2601" s="9">
        <f>IFERROR(__xludf.DUMMYFUNCTION("""COMPUTED_VALUE"""),45117.4073521875)</f>
        <v>45117.40735</v>
      </c>
      <c r="D2601" s="15">
        <f>IFERROR(__xludf.DUMMYFUNCTION("""COMPUTED_VALUE"""),1.004)</f>
        <v>1.004</v>
      </c>
      <c r="E2601" s="16">
        <f>IFERROR(__xludf.DUMMYFUNCTION("""COMPUTED_VALUE"""),72.0)</f>
        <v>72</v>
      </c>
      <c r="F2601" s="19" t="str">
        <f>IFERROR(__xludf.DUMMYFUNCTION("""COMPUTED_VALUE"""),"BLACK")</f>
        <v>BLACK</v>
      </c>
      <c r="G2601" s="20" t="str">
        <f>IFERROR(__xludf.DUMMYFUNCTION("""COMPUTED_VALUE"""),"Uncle Sams Cider (04/04/2023)")</f>
        <v>Uncle Sams Cider (04/04/2023)</v>
      </c>
      <c r="H2601" s="19"/>
    </row>
    <row r="2602">
      <c r="A2602" s="9"/>
      <c r="B2602" s="15"/>
      <c r="C2602" s="9">
        <f>IFERROR(__xludf.DUMMYFUNCTION("""COMPUTED_VALUE"""),45117.396931331)</f>
        <v>45117.39693</v>
      </c>
      <c r="D2602" s="15">
        <f>IFERROR(__xludf.DUMMYFUNCTION("""COMPUTED_VALUE"""),1.003)</f>
        <v>1.003</v>
      </c>
      <c r="E2602" s="16">
        <f>IFERROR(__xludf.DUMMYFUNCTION("""COMPUTED_VALUE"""),72.0)</f>
        <v>72</v>
      </c>
      <c r="F2602" s="19" t="str">
        <f>IFERROR(__xludf.DUMMYFUNCTION("""COMPUTED_VALUE"""),"BLACK")</f>
        <v>BLACK</v>
      </c>
      <c r="G2602" s="20" t="str">
        <f>IFERROR(__xludf.DUMMYFUNCTION("""COMPUTED_VALUE"""),"Uncle Sams Cider (04/04/2023)")</f>
        <v>Uncle Sams Cider (04/04/2023)</v>
      </c>
      <c r="H2602" s="19"/>
    </row>
    <row r="2603">
      <c r="A2603" s="9"/>
      <c r="B2603" s="15"/>
      <c r="C2603" s="9">
        <f>IFERROR(__xludf.DUMMYFUNCTION("""COMPUTED_VALUE"""),45117.3865096759)</f>
        <v>45117.38651</v>
      </c>
      <c r="D2603" s="15">
        <f>IFERROR(__xludf.DUMMYFUNCTION("""COMPUTED_VALUE"""),1.004)</f>
        <v>1.004</v>
      </c>
      <c r="E2603" s="16">
        <f>IFERROR(__xludf.DUMMYFUNCTION("""COMPUTED_VALUE"""),72.0)</f>
        <v>72</v>
      </c>
      <c r="F2603" s="19" t="str">
        <f>IFERROR(__xludf.DUMMYFUNCTION("""COMPUTED_VALUE"""),"BLACK")</f>
        <v>BLACK</v>
      </c>
      <c r="G2603" s="20" t="str">
        <f>IFERROR(__xludf.DUMMYFUNCTION("""COMPUTED_VALUE"""),"Uncle Sams Cider (04/04/2023)")</f>
        <v>Uncle Sams Cider (04/04/2023)</v>
      </c>
      <c r="H2603" s="19"/>
    </row>
    <row r="2604">
      <c r="A2604" s="9"/>
      <c r="B2604" s="15"/>
      <c r="C2604" s="9">
        <f>IFERROR(__xludf.DUMMYFUNCTION("""COMPUTED_VALUE"""),45117.3760892476)</f>
        <v>45117.37609</v>
      </c>
      <c r="D2604" s="15">
        <f>IFERROR(__xludf.DUMMYFUNCTION("""COMPUTED_VALUE"""),1.004)</f>
        <v>1.004</v>
      </c>
      <c r="E2604" s="16">
        <f>IFERROR(__xludf.DUMMYFUNCTION("""COMPUTED_VALUE"""),72.0)</f>
        <v>72</v>
      </c>
      <c r="F2604" s="19" t="str">
        <f>IFERROR(__xludf.DUMMYFUNCTION("""COMPUTED_VALUE"""),"BLACK")</f>
        <v>BLACK</v>
      </c>
      <c r="G2604" s="20" t="str">
        <f>IFERROR(__xludf.DUMMYFUNCTION("""COMPUTED_VALUE"""),"Uncle Sams Cider (04/04/2023)")</f>
        <v>Uncle Sams Cider (04/04/2023)</v>
      </c>
      <c r="H2604" s="19"/>
    </row>
    <row r="2605">
      <c r="A2605" s="9"/>
      <c r="B2605" s="15"/>
      <c r="C2605" s="9">
        <f>IFERROR(__xludf.DUMMYFUNCTION("""COMPUTED_VALUE"""),45117.3656689004)</f>
        <v>45117.36567</v>
      </c>
      <c r="D2605" s="15">
        <f>IFERROR(__xludf.DUMMYFUNCTION("""COMPUTED_VALUE"""),1.004)</f>
        <v>1.004</v>
      </c>
      <c r="E2605" s="16">
        <f>IFERROR(__xludf.DUMMYFUNCTION("""COMPUTED_VALUE"""),72.0)</f>
        <v>72</v>
      </c>
      <c r="F2605" s="19" t="str">
        <f>IFERROR(__xludf.DUMMYFUNCTION("""COMPUTED_VALUE"""),"BLACK")</f>
        <v>BLACK</v>
      </c>
      <c r="G2605" s="20" t="str">
        <f>IFERROR(__xludf.DUMMYFUNCTION("""COMPUTED_VALUE"""),"Uncle Sams Cider (04/04/2023)")</f>
        <v>Uncle Sams Cider (04/04/2023)</v>
      </c>
      <c r="H2605" s="19"/>
    </row>
    <row r="2606">
      <c r="A2606" s="9"/>
      <c r="B2606" s="15"/>
      <c r="C2606" s="9">
        <f>IFERROR(__xludf.DUMMYFUNCTION("""COMPUTED_VALUE"""),45117.3552480787)</f>
        <v>45117.35525</v>
      </c>
      <c r="D2606" s="15">
        <f>IFERROR(__xludf.DUMMYFUNCTION("""COMPUTED_VALUE"""),1.003)</f>
        <v>1.003</v>
      </c>
      <c r="E2606" s="16">
        <f>IFERROR(__xludf.DUMMYFUNCTION("""COMPUTED_VALUE"""),72.0)</f>
        <v>72</v>
      </c>
      <c r="F2606" s="19" t="str">
        <f>IFERROR(__xludf.DUMMYFUNCTION("""COMPUTED_VALUE"""),"BLACK")</f>
        <v>BLACK</v>
      </c>
      <c r="G2606" s="20" t="str">
        <f>IFERROR(__xludf.DUMMYFUNCTION("""COMPUTED_VALUE"""),"Uncle Sams Cider (04/04/2023)")</f>
        <v>Uncle Sams Cider (04/04/2023)</v>
      </c>
      <c r="H2606" s="19"/>
    </row>
    <row r="2607">
      <c r="A2607" s="9"/>
      <c r="B2607" s="15"/>
      <c r="C2607" s="9">
        <f>IFERROR(__xludf.DUMMYFUNCTION("""COMPUTED_VALUE"""),45117.3448267361)</f>
        <v>45117.34483</v>
      </c>
      <c r="D2607" s="15">
        <f>IFERROR(__xludf.DUMMYFUNCTION("""COMPUTED_VALUE"""),1.004)</f>
        <v>1.004</v>
      </c>
      <c r="E2607" s="16">
        <f>IFERROR(__xludf.DUMMYFUNCTION("""COMPUTED_VALUE"""),72.0)</f>
        <v>72</v>
      </c>
      <c r="F2607" s="19" t="str">
        <f>IFERROR(__xludf.DUMMYFUNCTION("""COMPUTED_VALUE"""),"BLACK")</f>
        <v>BLACK</v>
      </c>
      <c r="G2607" s="20" t="str">
        <f>IFERROR(__xludf.DUMMYFUNCTION("""COMPUTED_VALUE"""),"Uncle Sams Cider (04/04/2023)")</f>
        <v>Uncle Sams Cider (04/04/2023)</v>
      </c>
      <c r="H2607" s="19"/>
    </row>
    <row r="2608">
      <c r="A2608" s="9"/>
      <c r="B2608" s="15"/>
      <c r="C2608" s="9">
        <f>IFERROR(__xludf.DUMMYFUNCTION("""COMPUTED_VALUE"""),45117.3344053356)</f>
        <v>45117.33441</v>
      </c>
      <c r="D2608" s="15">
        <f>IFERROR(__xludf.DUMMYFUNCTION("""COMPUTED_VALUE"""),1.004)</f>
        <v>1.004</v>
      </c>
      <c r="E2608" s="16">
        <f>IFERROR(__xludf.DUMMYFUNCTION("""COMPUTED_VALUE"""),72.0)</f>
        <v>72</v>
      </c>
      <c r="F2608" s="19" t="str">
        <f>IFERROR(__xludf.DUMMYFUNCTION("""COMPUTED_VALUE"""),"BLACK")</f>
        <v>BLACK</v>
      </c>
      <c r="G2608" s="20" t="str">
        <f>IFERROR(__xludf.DUMMYFUNCTION("""COMPUTED_VALUE"""),"Uncle Sams Cider (04/04/2023)")</f>
        <v>Uncle Sams Cider (04/04/2023)</v>
      </c>
      <c r="H2608" s="19"/>
    </row>
    <row r="2609">
      <c r="A2609" s="9"/>
      <c r="B2609" s="15"/>
      <c r="C2609" s="9">
        <f>IFERROR(__xludf.DUMMYFUNCTION("""COMPUTED_VALUE"""),45117.3239741088)</f>
        <v>45117.32397</v>
      </c>
      <c r="D2609" s="15">
        <f>IFERROR(__xludf.DUMMYFUNCTION("""COMPUTED_VALUE"""),1.004)</f>
        <v>1.004</v>
      </c>
      <c r="E2609" s="16">
        <f>IFERROR(__xludf.DUMMYFUNCTION("""COMPUTED_VALUE"""),72.0)</f>
        <v>72</v>
      </c>
      <c r="F2609" s="19" t="str">
        <f>IFERROR(__xludf.DUMMYFUNCTION("""COMPUTED_VALUE"""),"BLACK")</f>
        <v>BLACK</v>
      </c>
      <c r="G2609" s="20" t="str">
        <f>IFERROR(__xludf.DUMMYFUNCTION("""COMPUTED_VALUE"""),"Uncle Sams Cider (04/04/2023)")</f>
        <v>Uncle Sams Cider (04/04/2023)</v>
      </c>
      <c r="H2609" s="19"/>
    </row>
    <row r="2610">
      <c r="A2610" s="9"/>
      <c r="B2610" s="15"/>
      <c r="C2610" s="9">
        <f>IFERROR(__xludf.DUMMYFUNCTION("""COMPUTED_VALUE"""),45117.3135523611)</f>
        <v>45117.31355</v>
      </c>
      <c r="D2610" s="15">
        <f>IFERROR(__xludf.DUMMYFUNCTION("""COMPUTED_VALUE"""),1.003)</f>
        <v>1.003</v>
      </c>
      <c r="E2610" s="16">
        <f>IFERROR(__xludf.DUMMYFUNCTION("""COMPUTED_VALUE"""),72.0)</f>
        <v>72</v>
      </c>
      <c r="F2610" s="19" t="str">
        <f>IFERROR(__xludf.DUMMYFUNCTION("""COMPUTED_VALUE"""),"BLACK")</f>
        <v>BLACK</v>
      </c>
      <c r="G2610" s="20" t="str">
        <f>IFERROR(__xludf.DUMMYFUNCTION("""COMPUTED_VALUE"""),"Uncle Sams Cider (04/04/2023)")</f>
        <v>Uncle Sams Cider (04/04/2023)</v>
      </c>
      <c r="H2610" s="19"/>
    </row>
    <row r="2611">
      <c r="A2611" s="9"/>
      <c r="B2611" s="15"/>
      <c r="C2611" s="9">
        <f>IFERROR(__xludf.DUMMYFUNCTION("""COMPUTED_VALUE"""),45117.303130625)</f>
        <v>45117.30313</v>
      </c>
      <c r="D2611" s="15">
        <f>IFERROR(__xludf.DUMMYFUNCTION("""COMPUTED_VALUE"""),1.004)</f>
        <v>1.004</v>
      </c>
      <c r="E2611" s="16">
        <f>IFERROR(__xludf.DUMMYFUNCTION("""COMPUTED_VALUE"""),72.0)</f>
        <v>72</v>
      </c>
      <c r="F2611" s="19" t="str">
        <f>IFERROR(__xludf.DUMMYFUNCTION("""COMPUTED_VALUE"""),"BLACK")</f>
        <v>BLACK</v>
      </c>
      <c r="G2611" s="20" t="str">
        <f>IFERROR(__xludf.DUMMYFUNCTION("""COMPUTED_VALUE"""),"Uncle Sams Cider (04/04/2023)")</f>
        <v>Uncle Sams Cider (04/04/2023)</v>
      </c>
      <c r="H2611" s="19"/>
    </row>
    <row r="2612">
      <c r="A2612" s="9"/>
      <c r="B2612" s="15"/>
      <c r="C2612" s="9">
        <f>IFERROR(__xludf.DUMMYFUNCTION("""COMPUTED_VALUE"""),45117.2927106481)</f>
        <v>45117.29271</v>
      </c>
      <c r="D2612" s="15">
        <f>IFERROR(__xludf.DUMMYFUNCTION("""COMPUTED_VALUE"""),1.004)</f>
        <v>1.004</v>
      </c>
      <c r="E2612" s="16">
        <f>IFERROR(__xludf.DUMMYFUNCTION("""COMPUTED_VALUE"""),72.0)</f>
        <v>72</v>
      </c>
      <c r="F2612" s="19" t="str">
        <f>IFERROR(__xludf.DUMMYFUNCTION("""COMPUTED_VALUE"""),"BLACK")</f>
        <v>BLACK</v>
      </c>
      <c r="G2612" s="20" t="str">
        <f>IFERROR(__xludf.DUMMYFUNCTION("""COMPUTED_VALUE"""),"Uncle Sams Cider (04/04/2023)")</f>
        <v>Uncle Sams Cider (04/04/2023)</v>
      </c>
      <c r="H2612" s="19"/>
    </row>
    <row r="2613">
      <c r="A2613" s="9"/>
      <c r="B2613" s="15"/>
      <c r="C2613" s="9">
        <f>IFERROR(__xludf.DUMMYFUNCTION("""COMPUTED_VALUE"""),45117.2822898263)</f>
        <v>45117.28229</v>
      </c>
      <c r="D2613" s="15">
        <f>IFERROR(__xludf.DUMMYFUNCTION("""COMPUTED_VALUE"""),1.004)</f>
        <v>1.004</v>
      </c>
      <c r="E2613" s="16">
        <f>IFERROR(__xludf.DUMMYFUNCTION("""COMPUTED_VALUE"""),72.0)</f>
        <v>72</v>
      </c>
      <c r="F2613" s="19" t="str">
        <f>IFERROR(__xludf.DUMMYFUNCTION("""COMPUTED_VALUE"""),"BLACK")</f>
        <v>BLACK</v>
      </c>
      <c r="G2613" s="20" t="str">
        <f>IFERROR(__xludf.DUMMYFUNCTION("""COMPUTED_VALUE"""),"Uncle Sams Cider (04/04/2023)")</f>
        <v>Uncle Sams Cider (04/04/2023)</v>
      </c>
      <c r="H2613" s="19"/>
    </row>
    <row r="2614">
      <c r="A2614" s="9"/>
      <c r="B2614" s="15"/>
      <c r="C2614" s="9">
        <f>IFERROR(__xludf.DUMMYFUNCTION("""COMPUTED_VALUE"""),45117.2718693055)</f>
        <v>45117.27187</v>
      </c>
      <c r="D2614" s="15">
        <f>IFERROR(__xludf.DUMMYFUNCTION("""COMPUTED_VALUE"""),1.004)</f>
        <v>1.004</v>
      </c>
      <c r="E2614" s="16">
        <f>IFERROR(__xludf.DUMMYFUNCTION("""COMPUTED_VALUE"""),72.0)</f>
        <v>72</v>
      </c>
      <c r="F2614" s="19" t="str">
        <f>IFERROR(__xludf.DUMMYFUNCTION("""COMPUTED_VALUE"""),"BLACK")</f>
        <v>BLACK</v>
      </c>
      <c r="G2614" s="20" t="str">
        <f>IFERROR(__xludf.DUMMYFUNCTION("""COMPUTED_VALUE"""),"Uncle Sams Cider (04/04/2023)")</f>
        <v>Uncle Sams Cider (04/04/2023)</v>
      </c>
      <c r="H2614" s="19"/>
    </row>
    <row r="2615">
      <c r="A2615" s="9"/>
      <c r="B2615" s="15"/>
      <c r="C2615" s="9">
        <f>IFERROR(__xludf.DUMMYFUNCTION("""COMPUTED_VALUE"""),45117.2614474884)</f>
        <v>45117.26145</v>
      </c>
      <c r="D2615" s="15">
        <f>IFERROR(__xludf.DUMMYFUNCTION("""COMPUTED_VALUE"""),1.004)</f>
        <v>1.004</v>
      </c>
      <c r="E2615" s="16">
        <f>IFERROR(__xludf.DUMMYFUNCTION("""COMPUTED_VALUE"""),72.0)</f>
        <v>72</v>
      </c>
      <c r="F2615" s="19" t="str">
        <f>IFERROR(__xludf.DUMMYFUNCTION("""COMPUTED_VALUE"""),"BLACK")</f>
        <v>BLACK</v>
      </c>
      <c r="G2615" s="20" t="str">
        <f>IFERROR(__xludf.DUMMYFUNCTION("""COMPUTED_VALUE"""),"Uncle Sams Cider (04/04/2023)")</f>
        <v>Uncle Sams Cider (04/04/2023)</v>
      </c>
      <c r="H2615" s="19"/>
    </row>
    <row r="2616">
      <c r="A2616" s="9"/>
      <c r="B2616" s="15"/>
      <c r="C2616" s="9">
        <f>IFERROR(__xludf.DUMMYFUNCTION("""COMPUTED_VALUE"""),45117.2510264814)</f>
        <v>45117.25103</v>
      </c>
      <c r="D2616" s="15">
        <f>IFERROR(__xludf.DUMMYFUNCTION("""COMPUTED_VALUE"""),1.003)</f>
        <v>1.003</v>
      </c>
      <c r="E2616" s="16">
        <f>IFERROR(__xludf.DUMMYFUNCTION("""COMPUTED_VALUE"""),72.0)</f>
        <v>72</v>
      </c>
      <c r="F2616" s="19" t="str">
        <f>IFERROR(__xludf.DUMMYFUNCTION("""COMPUTED_VALUE"""),"BLACK")</f>
        <v>BLACK</v>
      </c>
      <c r="G2616" s="20" t="str">
        <f>IFERROR(__xludf.DUMMYFUNCTION("""COMPUTED_VALUE"""),"Uncle Sams Cider (04/04/2023)")</f>
        <v>Uncle Sams Cider (04/04/2023)</v>
      </c>
      <c r="H2616" s="19"/>
    </row>
    <row r="2617">
      <c r="A2617" s="9"/>
      <c r="B2617" s="15"/>
      <c r="C2617" s="9">
        <f>IFERROR(__xludf.DUMMYFUNCTION("""COMPUTED_VALUE"""),45117.2405719328)</f>
        <v>45117.24057</v>
      </c>
      <c r="D2617" s="15">
        <f>IFERROR(__xludf.DUMMYFUNCTION("""COMPUTED_VALUE"""),1.004)</f>
        <v>1.004</v>
      </c>
      <c r="E2617" s="16">
        <f>IFERROR(__xludf.DUMMYFUNCTION("""COMPUTED_VALUE"""),72.0)</f>
        <v>72</v>
      </c>
      <c r="F2617" s="19" t="str">
        <f>IFERROR(__xludf.DUMMYFUNCTION("""COMPUTED_VALUE"""),"BLACK")</f>
        <v>BLACK</v>
      </c>
      <c r="G2617" s="20" t="str">
        <f>IFERROR(__xludf.DUMMYFUNCTION("""COMPUTED_VALUE"""),"Uncle Sams Cider (04/04/2023)")</f>
        <v>Uncle Sams Cider (04/04/2023)</v>
      </c>
      <c r="H2617" s="19"/>
    </row>
    <row r="2618">
      <c r="A2618" s="9"/>
      <c r="B2618" s="15"/>
      <c r="C2618" s="9">
        <f>IFERROR(__xludf.DUMMYFUNCTION("""COMPUTED_VALUE"""),45117.2301516203)</f>
        <v>45117.23015</v>
      </c>
      <c r="D2618" s="15">
        <f>IFERROR(__xludf.DUMMYFUNCTION("""COMPUTED_VALUE"""),1.004)</f>
        <v>1.004</v>
      </c>
      <c r="E2618" s="16">
        <f>IFERROR(__xludf.DUMMYFUNCTION("""COMPUTED_VALUE"""),72.0)</f>
        <v>72</v>
      </c>
      <c r="F2618" s="19" t="str">
        <f>IFERROR(__xludf.DUMMYFUNCTION("""COMPUTED_VALUE"""),"BLACK")</f>
        <v>BLACK</v>
      </c>
      <c r="G2618" s="20" t="str">
        <f>IFERROR(__xludf.DUMMYFUNCTION("""COMPUTED_VALUE"""),"Uncle Sams Cider (04/04/2023)")</f>
        <v>Uncle Sams Cider (04/04/2023)</v>
      </c>
      <c r="H2618" s="19"/>
    </row>
    <row r="2619">
      <c r="A2619" s="9"/>
      <c r="B2619" s="15"/>
      <c r="C2619" s="9">
        <f>IFERROR(__xludf.DUMMYFUNCTION("""COMPUTED_VALUE"""),45117.2197300347)</f>
        <v>45117.21973</v>
      </c>
      <c r="D2619" s="15">
        <f>IFERROR(__xludf.DUMMYFUNCTION("""COMPUTED_VALUE"""),1.004)</f>
        <v>1.004</v>
      </c>
      <c r="E2619" s="16">
        <f>IFERROR(__xludf.DUMMYFUNCTION("""COMPUTED_VALUE"""),72.0)</f>
        <v>72</v>
      </c>
      <c r="F2619" s="19" t="str">
        <f>IFERROR(__xludf.DUMMYFUNCTION("""COMPUTED_VALUE"""),"BLACK")</f>
        <v>BLACK</v>
      </c>
      <c r="G2619" s="20" t="str">
        <f>IFERROR(__xludf.DUMMYFUNCTION("""COMPUTED_VALUE"""),"Uncle Sams Cider (04/04/2023)")</f>
        <v>Uncle Sams Cider (04/04/2023)</v>
      </c>
      <c r="H2619" s="19"/>
    </row>
    <row r="2620">
      <c r="A2620" s="9"/>
      <c r="B2620" s="15"/>
      <c r="C2620" s="9">
        <f>IFERROR(__xludf.DUMMYFUNCTION("""COMPUTED_VALUE"""),45117.2093083217)</f>
        <v>45117.20931</v>
      </c>
      <c r="D2620" s="15">
        <f>IFERROR(__xludf.DUMMYFUNCTION("""COMPUTED_VALUE"""),1.003)</f>
        <v>1.003</v>
      </c>
      <c r="E2620" s="16">
        <f>IFERROR(__xludf.DUMMYFUNCTION("""COMPUTED_VALUE"""),72.0)</f>
        <v>72</v>
      </c>
      <c r="F2620" s="19" t="str">
        <f>IFERROR(__xludf.DUMMYFUNCTION("""COMPUTED_VALUE"""),"BLACK")</f>
        <v>BLACK</v>
      </c>
      <c r="G2620" s="20" t="str">
        <f>IFERROR(__xludf.DUMMYFUNCTION("""COMPUTED_VALUE"""),"Uncle Sams Cider (04/04/2023)")</f>
        <v>Uncle Sams Cider (04/04/2023)</v>
      </c>
      <c r="H2620" s="19"/>
    </row>
    <row r="2621">
      <c r="A2621" s="9"/>
      <c r="B2621" s="15"/>
      <c r="C2621" s="9">
        <f>IFERROR(__xludf.DUMMYFUNCTION("""COMPUTED_VALUE"""),45117.1988870138)</f>
        <v>45117.19889</v>
      </c>
      <c r="D2621" s="15">
        <f>IFERROR(__xludf.DUMMYFUNCTION("""COMPUTED_VALUE"""),1.003)</f>
        <v>1.003</v>
      </c>
      <c r="E2621" s="16">
        <f>IFERROR(__xludf.DUMMYFUNCTION("""COMPUTED_VALUE"""),72.0)</f>
        <v>72</v>
      </c>
      <c r="F2621" s="19" t="str">
        <f>IFERROR(__xludf.DUMMYFUNCTION("""COMPUTED_VALUE"""),"BLACK")</f>
        <v>BLACK</v>
      </c>
      <c r="G2621" s="20" t="str">
        <f>IFERROR(__xludf.DUMMYFUNCTION("""COMPUTED_VALUE"""),"Uncle Sams Cider (04/04/2023)")</f>
        <v>Uncle Sams Cider (04/04/2023)</v>
      </c>
      <c r="H2621" s="19"/>
    </row>
    <row r="2622">
      <c r="A2622" s="9"/>
      <c r="B2622" s="15"/>
      <c r="C2622" s="9">
        <f>IFERROR(__xludf.DUMMYFUNCTION("""COMPUTED_VALUE"""),45117.1884541319)</f>
        <v>45117.18845</v>
      </c>
      <c r="D2622" s="15">
        <f>IFERROR(__xludf.DUMMYFUNCTION("""COMPUTED_VALUE"""),1.004)</f>
        <v>1.004</v>
      </c>
      <c r="E2622" s="16">
        <f>IFERROR(__xludf.DUMMYFUNCTION("""COMPUTED_VALUE"""),72.0)</f>
        <v>72</v>
      </c>
      <c r="F2622" s="19" t="str">
        <f>IFERROR(__xludf.DUMMYFUNCTION("""COMPUTED_VALUE"""),"BLACK")</f>
        <v>BLACK</v>
      </c>
      <c r="G2622" s="20" t="str">
        <f>IFERROR(__xludf.DUMMYFUNCTION("""COMPUTED_VALUE"""),"Uncle Sams Cider (04/04/2023)")</f>
        <v>Uncle Sams Cider (04/04/2023)</v>
      </c>
      <c r="H2622" s="19"/>
    </row>
    <row r="2623">
      <c r="A2623" s="9"/>
      <c r="B2623" s="15"/>
      <c r="C2623" s="9">
        <f>IFERROR(__xludf.DUMMYFUNCTION("""COMPUTED_VALUE"""),45117.1780329629)</f>
        <v>45117.17803</v>
      </c>
      <c r="D2623" s="15">
        <f>IFERROR(__xludf.DUMMYFUNCTION("""COMPUTED_VALUE"""),1.004)</f>
        <v>1.004</v>
      </c>
      <c r="E2623" s="16">
        <f>IFERROR(__xludf.DUMMYFUNCTION("""COMPUTED_VALUE"""),72.0)</f>
        <v>72</v>
      </c>
      <c r="F2623" s="19" t="str">
        <f>IFERROR(__xludf.DUMMYFUNCTION("""COMPUTED_VALUE"""),"BLACK")</f>
        <v>BLACK</v>
      </c>
      <c r="G2623" s="20" t="str">
        <f>IFERROR(__xludf.DUMMYFUNCTION("""COMPUTED_VALUE"""),"Uncle Sams Cider (04/04/2023)")</f>
        <v>Uncle Sams Cider (04/04/2023)</v>
      </c>
      <c r="H2623" s="19"/>
    </row>
    <row r="2624">
      <c r="A2624" s="9"/>
      <c r="B2624" s="15"/>
      <c r="C2624" s="9">
        <f>IFERROR(__xludf.DUMMYFUNCTION("""COMPUTED_VALUE"""),45117.1676141203)</f>
        <v>45117.16761</v>
      </c>
      <c r="D2624" s="15">
        <f>IFERROR(__xludf.DUMMYFUNCTION("""COMPUTED_VALUE"""),1.003)</f>
        <v>1.003</v>
      </c>
      <c r="E2624" s="16">
        <f>IFERROR(__xludf.DUMMYFUNCTION("""COMPUTED_VALUE"""),72.0)</f>
        <v>72</v>
      </c>
      <c r="F2624" s="19" t="str">
        <f>IFERROR(__xludf.DUMMYFUNCTION("""COMPUTED_VALUE"""),"BLACK")</f>
        <v>BLACK</v>
      </c>
      <c r="G2624" s="20" t="str">
        <f>IFERROR(__xludf.DUMMYFUNCTION("""COMPUTED_VALUE"""),"Uncle Sams Cider (04/04/2023)")</f>
        <v>Uncle Sams Cider (04/04/2023)</v>
      </c>
      <c r="H2624" s="19"/>
    </row>
    <row r="2625">
      <c r="A2625" s="9"/>
      <c r="B2625" s="15"/>
      <c r="C2625" s="9">
        <f>IFERROR(__xludf.DUMMYFUNCTION("""COMPUTED_VALUE"""),45117.1571933912)</f>
        <v>45117.15719</v>
      </c>
      <c r="D2625" s="15">
        <f>IFERROR(__xludf.DUMMYFUNCTION("""COMPUTED_VALUE"""),1.004)</f>
        <v>1.004</v>
      </c>
      <c r="E2625" s="16">
        <f>IFERROR(__xludf.DUMMYFUNCTION("""COMPUTED_VALUE"""),72.0)</f>
        <v>72</v>
      </c>
      <c r="F2625" s="19" t="str">
        <f>IFERROR(__xludf.DUMMYFUNCTION("""COMPUTED_VALUE"""),"BLACK")</f>
        <v>BLACK</v>
      </c>
      <c r="G2625" s="20" t="str">
        <f>IFERROR(__xludf.DUMMYFUNCTION("""COMPUTED_VALUE"""),"Uncle Sams Cider (04/04/2023)")</f>
        <v>Uncle Sams Cider (04/04/2023)</v>
      </c>
      <c r="H2625" s="19"/>
    </row>
    <row r="2626">
      <c r="A2626" s="9"/>
      <c r="B2626" s="15"/>
      <c r="C2626" s="9">
        <f>IFERROR(__xludf.DUMMYFUNCTION("""COMPUTED_VALUE"""),45117.1467731481)</f>
        <v>45117.14677</v>
      </c>
      <c r="D2626" s="15">
        <f>IFERROR(__xludf.DUMMYFUNCTION("""COMPUTED_VALUE"""),1.003)</f>
        <v>1.003</v>
      </c>
      <c r="E2626" s="16">
        <f>IFERROR(__xludf.DUMMYFUNCTION("""COMPUTED_VALUE"""),72.0)</f>
        <v>72</v>
      </c>
      <c r="F2626" s="19" t="str">
        <f>IFERROR(__xludf.DUMMYFUNCTION("""COMPUTED_VALUE"""),"BLACK")</f>
        <v>BLACK</v>
      </c>
      <c r="G2626" s="20" t="str">
        <f>IFERROR(__xludf.DUMMYFUNCTION("""COMPUTED_VALUE"""),"Uncle Sams Cider (04/04/2023)")</f>
        <v>Uncle Sams Cider (04/04/2023)</v>
      </c>
      <c r="H2626" s="19"/>
    </row>
    <row r="2627">
      <c r="A2627" s="9"/>
      <c r="B2627" s="15"/>
      <c r="C2627" s="9">
        <f>IFERROR(__xludf.DUMMYFUNCTION("""COMPUTED_VALUE"""),45117.1363404745)</f>
        <v>45117.13634</v>
      </c>
      <c r="D2627" s="15">
        <f>IFERROR(__xludf.DUMMYFUNCTION("""COMPUTED_VALUE"""),1.004)</f>
        <v>1.004</v>
      </c>
      <c r="E2627" s="16">
        <f>IFERROR(__xludf.DUMMYFUNCTION("""COMPUTED_VALUE"""),72.0)</f>
        <v>72</v>
      </c>
      <c r="F2627" s="19" t="str">
        <f>IFERROR(__xludf.DUMMYFUNCTION("""COMPUTED_VALUE"""),"BLACK")</f>
        <v>BLACK</v>
      </c>
      <c r="G2627" s="20" t="str">
        <f>IFERROR(__xludf.DUMMYFUNCTION("""COMPUTED_VALUE"""),"Uncle Sams Cider (04/04/2023)")</f>
        <v>Uncle Sams Cider (04/04/2023)</v>
      </c>
      <c r="H2627" s="19"/>
    </row>
    <row r="2628">
      <c r="A2628" s="9"/>
      <c r="B2628" s="15"/>
      <c r="C2628" s="9">
        <f>IFERROR(__xludf.DUMMYFUNCTION("""COMPUTED_VALUE"""),45117.1259189699)</f>
        <v>45117.12592</v>
      </c>
      <c r="D2628" s="15">
        <f>IFERROR(__xludf.DUMMYFUNCTION("""COMPUTED_VALUE"""),1.003)</f>
        <v>1.003</v>
      </c>
      <c r="E2628" s="16">
        <f>IFERROR(__xludf.DUMMYFUNCTION("""COMPUTED_VALUE"""),72.0)</f>
        <v>72</v>
      </c>
      <c r="F2628" s="19" t="str">
        <f>IFERROR(__xludf.DUMMYFUNCTION("""COMPUTED_VALUE"""),"BLACK")</f>
        <v>BLACK</v>
      </c>
      <c r="G2628" s="20" t="str">
        <f>IFERROR(__xludf.DUMMYFUNCTION("""COMPUTED_VALUE"""),"Uncle Sams Cider (04/04/2023)")</f>
        <v>Uncle Sams Cider (04/04/2023)</v>
      </c>
      <c r="H2628" s="19"/>
    </row>
    <row r="2629">
      <c r="A2629" s="9"/>
      <c r="B2629" s="15"/>
      <c r="C2629" s="9">
        <f>IFERROR(__xludf.DUMMYFUNCTION("""COMPUTED_VALUE"""),45117.1154766666)</f>
        <v>45117.11548</v>
      </c>
      <c r="D2629" s="15">
        <f>IFERROR(__xludf.DUMMYFUNCTION("""COMPUTED_VALUE"""),1.004)</f>
        <v>1.004</v>
      </c>
      <c r="E2629" s="16">
        <f>IFERROR(__xludf.DUMMYFUNCTION("""COMPUTED_VALUE"""),72.0)</f>
        <v>72</v>
      </c>
      <c r="F2629" s="19" t="str">
        <f>IFERROR(__xludf.DUMMYFUNCTION("""COMPUTED_VALUE"""),"BLACK")</f>
        <v>BLACK</v>
      </c>
      <c r="G2629" s="20" t="str">
        <f>IFERROR(__xludf.DUMMYFUNCTION("""COMPUTED_VALUE"""),"Uncle Sams Cider (04/04/2023)")</f>
        <v>Uncle Sams Cider (04/04/2023)</v>
      </c>
      <c r="H2629" s="19"/>
    </row>
    <row r="2630">
      <c r="A2630" s="9"/>
      <c r="B2630" s="15"/>
      <c r="C2630" s="9">
        <f>IFERROR(__xludf.DUMMYFUNCTION("""COMPUTED_VALUE"""),45117.1050446412)</f>
        <v>45117.10504</v>
      </c>
      <c r="D2630" s="15">
        <f>IFERROR(__xludf.DUMMYFUNCTION("""COMPUTED_VALUE"""),1.004)</f>
        <v>1.004</v>
      </c>
      <c r="E2630" s="16">
        <f>IFERROR(__xludf.DUMMYFUNCTION("""COMPUTED_VALUE"""),72.0)</f>
        <v>72</v>
      </c>
      <c r="F2630" s="19" t="str">
        <f>IFERROR(__xludf.DUMMYFUNCTION("""COMPUTED_VALUE"""),"BLACK")</f>
        <v>BLACK</v>
      </c>
      <c r="G2630" s="20" t="str">
        <f>IFERROR(__xludf.DUMMYFUNCTION("""COMPUTED_VALUE"""),"Uncle Sams Cider (04/04/2023)")</f>
        <v>Uncle Sams Cider (04/04/2023)</v>
      </c>
      <c r="H2630" s="19"/>
    </row>
    <row r="2631">
      <c r="A2631" s="9"/>
      <c r="B2631" s="15"/>
      <c r="C2631" s="9">
        <f>IFERROR(__xludf.DUMMYFUNCTION("""COMPUTED_VALUE"""),45117.0946218055)</f>
        <v>45117.09462</v>
      </c>
      <c r="D2631" s="15">
        <f>IFERROR(__xludf.DUMMYFUNCTION("""COMPUTED_VALUE"""),1.003)</f>
        <v>1.003</v>
      </c>
      <c r="E2631" s="16">
        <f>IFERROR(__xludf.DUMMYFUNCTION("""COMPUTED_VALUE"""),72.0)</f>
        <v>72</v>
      </c>
      <c r="F2631" s="19" t="str">
        <f>IFERROR(__xludf.DUMMYFUNCTION("""COMPUTED_VALUE"""),"BLACK")</f>
        <v>BLACK</v>
      </c>
      <c r="G2631" s="20" t="str">
        <f>IFERROR(__xludf.DUMMYFUNCTION("""COMPUTED_VALUE"""),"Uncle Sams Cider (04/04/2023)")</f>
        <v>Uncle Sams Cider (04/04/2023)</v>
      </c>
      <c r="H2631" s="19"/>
    </row>
    <row r="2632">
      <c r="A2632" s="9"/>
      <c r="B2632" s="15"/>
      <c r="C2632" s="9">
        <f>IFERROR(__xludf.DUMMYFUNCTION("""COMPUTED_VALUE"""),45117.0842006134)</f>
        <v>45117.0842</v>
      </c>
      <c r="D2632" s="15">
        <f>IFERROR(__xludf.DUMMYFUNCTION("""COMPUTED_VALUE"""),1.004)</f>
        <v>1.004</v>
      </c>
      <c r="E2632" s="16">
        <f>IFERROR(__xludf.DUMMYFUNCTION("""COMPUTED_VALUE"""),72.0)</f>
        <v>72</v>
      </c>
      <c r="F2632" s="19" t="str">
        <f>IFERROR(__xludf.DUMMYFUNCTION("""COMPUTED_VALUE"""),"BLACK")</f>
        <v>BLACK</v>
      </c>
      <c r="G2632" s="20" t="str">
        <f>IFERROR(__xludf.DUMMYFUNCTION("""COMPUTED_VALUE"""),"Uncle Sams Cider (04/04/2023)")</f>
        <v>Uncle Sams Cider (04/04/2023)</v>
      </c>
      <c r="H2632" s="19"/>
    </row>
    <row r="2633">
      <c r="A2633" s="9"/>
      <c r="B2633" s="15"/>
      <c r="C2633" s="9">
        <f>IFERROR(__xludf.DUMMYFUNCTION("""COMPUTED_VALUE"""),45117.0737672453)</f>
        <v>45117.07377</v>
      </c>
      <c r="D2633" s="15">
        <f>IFERROR(__xludf.DUMMYFUNCTION("""COMPUTED_VALUE"""),1.004)</f>
        <v>1.004</v>
      </c>
      <c r="E2633" s="16">
        <f>IFERROR(__xludf.DUMMYFUNCTION("""COMPUTED_VALUE"""),72.0)</f>
        <v>72</v>
      </c>
      <c r="F2633" s="19" t="str">
        <f>IFERROR(__xludf.DUMMYFUNCTION("""COMPUTED_VALUE"""),"BLACK")</f>
        <v>BLACK</v>
      </c>
      <c r="G2633" s="20" t="str">
        <f>IFERROR(__xludf.DUMMYFUNCTION("""COMPUTED_VALUE"""),"Uncle Sams Cider (04/04/2023)")</f>
        <v>Uncle Sams Cider (04/04/2023)</v>
      </c>
      <c r="H2633" s="19"/>
    </row>
    <row r="2634">
      <c r="A2634" s="9"/>
      <c r="B2634" s="15"/>
      <c r="C2634" s="9">
        <f>IFERROR(__xludf.DUMMYFUNCTION("""COMPUTED_VALUE"""),45117.0633098842)</f>
        <v>45117.06331</v>
      </c>
      <c r="D2634" s="15">
        <f>IFERROR(__xludf.DUMMYFUNCTION("""COMPUTED_VALUE"""),1.004)</f>
        <v>1.004</v>
      </c>
      <c r="E2634" s="16">
        <f>IFERROR(__xludf.DUMMYFUNCTION("""COMPUTED_VALUE"""),72.0)</f>
        <v>72</v>
      </c>
      <c r="F2634" s="19" t="str">
        <f>IFERROR(__xludf.DUMMYFUNCTION("""COMPUTED_VALUE"""),"BLACK")</f>
        <v>BLACK</v>
      </c>
      <c r="G2634" s="20" t="str">
        <f>IFERROR(__xludf.DUMMYFUNCTION("""COMPUTED_VALUE"""),"Uncle Sams Cider (04/04/2023)")</f>
        <v>Uncle Sams Cider (04/04/2023)</v>
      </c>
      <c r="H2634" s="19"/>
    </row>
    <row r="2635">
      <c r="A2635" s="9"/>
      <c r="B2635" s="15"/>
      <c r="C2635" s="9">
        <f>IFERROR(__xludf.DUMMYFUNCTION("""COMPUTED_VALUE"""),45117.05288875)</f>
        <v>45117.05289</v>
      </c>
      <c r="D2635" s="15">
        <f>IFERROR(__xludf.DUMMYFUNCTION("""COMPUTED_VALUE"""),1.004)</f>
        <v>1.004</v>
      </c>
      <c r="E2635" s="16">
        <f>IFERROR(__xludf.DUMMYFUNCTION("""COMPUTED_VALUE"""),72.0)</f>
        <v>72</v>
      </c>
      <c r="F2635" s="19" t="str">
        <f>IFERROR(__xludf.DUMMYFUNCTION("""COMPUTED_VALUE"""),"BLACK")</f>
        <v>BLACK</v>
      </c>
      <c r="G2635" s="20" t="str">
        <f>IFERROR(__xludf.DUMMYFUNCTION("""COMPUTED_VALUE"""),"Uncle Sams Cider (04/04/2023)")</f>
        <v>Uncle Sams Cider (04/04/2023)</v>
      </c>
      <c r="H2635" s="19"/>
    </row>
    <row r="2636">
      <c r="A2636" s="9"/>
      <c r="B2636" s="15"/>
      <c r="C2636" s="9">
        <f>IFERROR(__xludf.DUMMYFUNCTION("""COMPUTED_VALUE"""),45117.0424677083)</f>
        <v>45117.04247</v>
      </c>
      <c r="D2636" s="15">
        <f>IFERROR(__xludf.DUMMYFUNCTION("""COMPUTED_VALUE"""),1.004)</f>
        <v>1.004</v>
      </c>
      <c r="E2636" s="16">
        <f>IFERROR(__xludf.DUMMYFUNCTION("""COMPUTED_VALUE"""),72.0)</f>
        <v>72</v>
      </c>
      <c r="F2636" s="19" t="str">
        <f>IFERROR(__xludf.DUMMYFUNCTION("""COMPUTED_VALUE"""),"BLACK")</f>
        <v>BLACK</v>
      </c>
      <c r="G2636" s="20" t="str">
        <f>IFERROR(__xludf.DUMMYFUNCTION("""COMPUTED_VALUE"""),"Uncle Sams Cider (04/04/2023)")</f>
        <v>Uncle Sams Cider (04/04/2023)</v>
      </c>
      <c r="H2636" s="19"/>
    </row>
    <row r="2637">
      <c r="A2637" s="9"/>
      <c r="B2637" s="15"/>
      <c r="C2637" s="9">
        <f>IFERROR(__xludf.DUMMYFUNCTION("""COMPUTED_VALUE"""),45117.0320460532)</f>
        <v>45117.03205</v>
      </c>
      <c r="D2637" s="15">
        <f>IFERROR(__xludf.DUMMYFUNCTION("""COMPUTED_VALUE"""),1.004)</f>
        <v>1.004</v>
      </c>
      <c r="E2637" s="16">
        <f>IFERROR(__xludf.DUMMYFUNCTION("""COMPUTED_VALUE"""),72.0)</f>
        <v>72</v>
      </c>
      <c r="F2637" s="19" t="str">
        <f>IFERROR(__xludf.DUMMYFUNCTION("""COMPUTED_VALUE"""),"BLACK")</f>
        <v>BLACK</v>
      </c>
      <c r="G2637" s="20" t="str">
        <f>IFERROR(__xludf.DUMMYFUNCTION("""COMPUTED_VALUE"""),"Uncle Sams Cider (04/04/2023)")</f>
        <v>Uncle Sams Cider (04/04/2023)</v>
      </c>
      <c r="H2637" s="19"/>
    </row>
    <row r="2638">
      <c r="A2638" s="9"/>
      <c r="B2638" s="15"/>
      <c r="C2638" s="9">
        <f>IFERROR(__xludf.DUMMYFUNCTION("""COMPUTED_VALUE"""),45117.0216233796)</f>
        <v>45117.02162</v>
      </c>
      <c r="D2638" s="15">
        <f>IFERROR(__xludf.DUMMYFUNCTION("""COMPUTED_VALUE"""),1.003)</f>
        <v>1.003</v>
      </c>
      <c r="E2638" s="16">
        <f>IFERROR(__xludf.DUMMYFUNCTION("""COMPUTED_VALUE"""),72.0)</f>
        <v>72</v>
      </c>
      <c r="F2638" s="19" t="str">
        <f>IFERROR(__xludf.DUMMYFUNCTION("""COMPUTED_VALUE"""),"BLACK")</f>
        <v>BLACK</v>
      </c>
      <c r="G2638" s="20" t="str">
        <f>IFERROR(__xludf.DUMMYFUNCTION("""COMPUTED_VALUE"""),"Uncle Sams Cider (04/04/2023)")</f>
        <v>Uncle Sams Cider (04/04/2023)</v>
      </c>
      <c r="H2638" s="19"/>
    </row>
    <row r="2639">
      <c r="A2639" s="9"/>
      <c r="B2639" s="15"/>
      <c r="C2639" s="9">
        <f>IFERROR(__xludf.DUMMYFUNCTION("""COMPUTED_VALUE"""),45117.0111900231)</f>
        <v>45117.01119</v>
      </c>
      <c r="D2639" s="15">
        <f>IFERROR(__xludf.DUMMYFUNCTION("""COMPUTED_VALUE"""),1.003)</f>
        <v>1.003</v>
      </c>
      <c r="E2639" s="16">
        <f>IFERROR(__xludf.DUMMYFUNCTION("""COMPUTED_VALUE"""),72.0)</f>
        <v>72</v>
      </c>
      <c r="F2639" s="19" t="str">
        <f>IFERROR(__xludf.DUMMYFUNCTION("""COMPUTED_VALUE"""),"BLACK")</f>
        <v>BLACK</v>
      </c>
      <c r="G2639" s="20" t="str">
        <f>IFERROR(__xludf.DUMMYFUNCTION("""COMPUTED_VALUE"""),"Uncle Sams Cider (04/04/2023)")</f>
        <v>Uncle Sams Cider (04/04/2023)</v>
      </c>
      <c r="H2639" s="19"/>
    </row>
    <row r="2640">
      <c r="A2640" s="9"/>
      <c r="B2640" s="15"/>
      <c r="C2640" s="9">
        <f>IFERROR(__xludf.DUMMYFUNCTION("""COMPUTED_VALUE"""),45117.0007678935)</f>
        <v>45117.00077</v>
      </c>
      <c r="D2640" s="15">
        <f>IFERROR(__xludf.DUMMYFUNCTION("""COMPUTED_VALUE"""),1.003)</f>
        <v>1.003</v>
      </c>
      <c r="E2640" s="16">
        <f>IFERROR(__xludf.DUMMYFUNCTION("""COMPUTED_VALUE"""),72.0)</f>
        <v>72</v>
      </c>
      <c r="F2640" s="19" t="str">
        <f>IFERROR(__xludf.DUMMYFUNCTION("""COMPUTED_VALUE"""),"BLACK")</f>
        <v>BLACK</v>
      </c>
      <c r="G2640" s="20" t="str">
        <f>IFERROR(__xludf.DUMMYFUNCTION("""COMPUTED_VALUE"""),"Uncle Sams Cider (04/04/2023)")</f>
        <v>Uncle Sams Cider (04/04/2023)</v>
      </c>
      <c r="H2640" s="19"/>
    </row>
    <row r="2641">
      <c r="A2641" s="9"/>
      <c r="B2641" s="15"/>
      <c r="C2641" s="9">
        <f>IFERROR(__xludf.DUMMYFUNCTION("""COMPUTED_VALUE"""),45116.990345243)</f>
        <v>45116.99035</v>
      </c>
      <c r="D2641" s="15">
        <f>IFERROR(__xludf.DUMMYFUNCTION("""COMPUTED_VALUE"""),1.004)</f>
        <v>1.004</v>
      </c>
      <c r="E2641" s="16">
        <f>IFERROR(__xludf.DUMMYFUNCTION("""COMPUTED_VALUE"""),72.0)</f>
        <v>72</v>
      </c>
      <c r="F2641" s="19" t="str">
        <f>IFERROR(__xludf.DUMMYFUNCTION("""COMPUTED_VALUE"""),"BLACK")</f>
        <v>BLACK</v>
      </c>
      <c r="G2641" s="20" t="str">
        <f>IFERROR(__xludf.DUMMYFUNCTION("""COMPUTED_VALUE"""),"Uncle Sams Cider (04/04/2023)")</f>
        <v>Uncle Sams Cider (04/04/2023)</v>
      </c>
      <c r="H2641" s="19"/>
    </row>
    <row r="2642">
      <c r="A2642" s="9"/>
      <c r="B2642" s="15"/>
      <c r="C2642" s="9">
        <f>IFERROR(__xludf.DUMMYFUNCTION("""COMPUTED_VALUE"""),45116.9799248032)</f>
        <v>45116.97992</v>
      </c>
      <c r="D2642" s="15">
        <f>IFERROR(__xludf.DUMMYFUNCTION("""COMPUTED_VALUE"""),1.004)</f>
        <v>1.004</v>
      </c>
      <c r="E2642" s="16">
        <f>IFERROR(__xludf.DUMMYFUNCTION("""COMPUTED_VALUE"""),72.0)</f>
        <v>72</v>
      </c>
      <c r="F2642" s="19" t="str">
        <f>IFERROR(__xludf.DUMMYFUNCTION("""COMPUTED_VALUE"""),"BLACK")</f>
        <v>BLACK</v>
      </c>
      <c r="G2642" s="20" t="str">
        <f>IFERROR(__xludf.DUMMYFUNCTION("""COMPUTED_VALUE"""),"Uncle Sams Cider (04/04/2023)")</f>
        <v>Uncle Sams Cider (04/04/2023)</v>
      </c>
      <c r="H2642" s="19"/>
    </row>
    <row r="2643">
      <c r="A2643" s="9"/>
      <c r="B2643" s="15"/>
      <c r="C2643" s="9">
        <f>IFERROR(__xludf.DUMMYFUNCTION("""COMPUTED_VALUE"""),45116.9694903819)</f>
        <v>45116.96949</v>
      </c>
      <c r="D2643" s="15">
        <f>IFERROR(__xludf.DUMMYFUNCTION("""COMPUTED_VALUE"""),1.004)</f>
        <v>1.004</v>
      </c>
      <c r="E2643" s="16">
        <f>IFERROR(__xludf.DUMMYFUNCTION("""COMPUTED_VALUE"""),72.0)</f>
        <v>72</v>
      </c>
      <c r="F2643" s="19" t="str">
        <f>IFERROR(__xludf.DUMMYFUNCTION("""COMPUTED_VALUE"""),"BLACK")</f>
        <v>BLACK</v>
      </c>
      <c r="G2643" s="20" t="str">
        <f>IFERROR(__xludf.DUMMYFUNCTION("""COMPUTED_VALUE"""),"Uncle Sams Cider (04/04/2023)")</f>
        <v>Uncle Sams Cider (04/04/2023)</v>
      </c>
      <c r="H2643" s="19"/>
    </row>
    <row r="2644">
      <c r="A2644" s="9"/>
      <c r="B2644" s="15"/>
      <c r="C2644" s="9">
        <f>IFERROR(__xludf.DUMMYFUNCTION("""COMPUTED_VALUE"""),45116.9590681018)</f>
        <v>45116.95907</v>
      </c>
      <c r="D2644" s="15">
        <f>IFERROR(__xludf.DUMMYFUNCTION("""COMPUTED_VALUE"""),1.004)</f>
        <v>1.004</v>
      </c>
      <c r="E2644" s="16">
        <f>IFERROR(__xludf.DUMMYFUNCTION("""COMPUTED_VALUE"""),72.0)</f>
        <v>72</v>
      </c>
      <c r="F2644" s="19" t="str">
        <f>IFERROR(__xludf.DUMMYFUNCTION("""COMPUTED_VALUE"""),"BLACK")</f>
        <v>BLACK</v>
      </c>
      <c r="G2644" s="20" t="str">
        <f>IFERROR(__xludf.DUMMYFUNCTION("""COMPUTED_VALUE"""),"Uncle Sams Cider (04/04/2023)")</f>
        <v>Uncle Sams Cider (04/04/2023)</v>
      </c>
      <c r="H2644" s="19"/>
    </row>
    <row r="2645">
      <c r="A2645" s="9"/>
      <c r="B2645" s="15"/>
      <c r="C2645" s="9">
        <f>IFERROR(__xludf.DUMMYFUNCTION("""COMPUTED_VALUE"""),45116.948635243)</f>
        <v>45116.94864</v>
      </c>
      <c r="D2645" s="15">
        <f>IFERROR(__xludf.DUMMYFUNCTION("""COMPUTED_VALUE"""),1.003)</f>
        <v>1.003</v>
      </c>
      <c r="E2645" s="16">
        <f>IFERROR(__xludf.DUMMYFUNCTION("""COMPUTED_VALUE"""),72.0)</f>
        <v>72</v>
      </c>
      <c r="F2645" s="19" t="str">
        <f>IFERROR(__xludf.DUMMYFUNCTION("""COMPUTED_VALUE"""),"BLACK")</f>
        <v>BLACK</v>
      </c>
      <c r="G2645" s="20" t="str">
        <f>IFERROR(__xludf.DUMMYFUNCTION("""COMPUTED_VALUE"""),"Uncle Sams Cider (04/04/2023)")</f>
        <v>Uncle Sams Cider (04/04/2023)</v>
      </c>
      <c r="H2645" s="19"/>
    </row>
    <row r="2646">
      <c r="A2646" s="9"/>
      <c r="B2646" s="15"/>
      <c r="C2646" s="9">
        <f>IFERROR(__xludf.DUMMYFUNCTION("""COMPUTED_VALUE"""),45116.938212905)</f>
        <v>45116.93821</v>
      </c>
      <c r="D2646" s="15">
        <f>IFERROR(__xludf.DUMMYFUNCTION("""COMPUTED_VALUE"""),1.004)</f>
        <v>1.004</v>
      </c>
      <c r="E2646" s="16">
        <f>IFERROR(__xludf.DUMMYFUNCTION("""COMPUTED_VALUE"""),72.0)</f>
        <v>72</v>
      </c>
      <c r="F2646" s="19" t="str">
        <f>IFERROR(__xludf.DUMMYFUNCTION("""COMPUTED_VALUE"""),"BLACK")</f>
        <v>BLACK</v>
      </c>
      <c r="G2646" s="20" t="str">
        <f>IFERROR(__xludf.DUMMYFUNCTION("""COMPUTED_VALUE"""),"Uncle Sams Cider (04/04/2023)")</f>
        <v>Uncle Sams Cider (04/04/2023)</v>
      </c>
      <c r="H2646" s="19"/>
    </row>
    <row r="2647">
      <c r="A2647" s="9"/>
      <c r="B2647" s="15"/>
      <c r="C2647" s="9">
        <f>IFERROR(__xludf.DUMMYFUNCTION("""COMPUTED_VALUE"""),45116.9277920023)</f>
        <v>45116.92779</v>
      </c>
      <c r="D2647" s="15">
        <f>IFERROR(__xludf.DUMMYFUNCTION("""COMPUTED_VALUE"""),1.004)</f>
        <v>1.004</v>
      </c>
      <c r="E2647" s="16">
        <f>IFERROR(__xludf.DUMMYFUNCTION("""COMPUTED_VALUE"""),72.0)</f>
        <v>72</v>
      </c>
      <c r="F2647" s="19" t="str">
        <f>IFERROR(__xludf.DUMMYFUNCTION("""COMPUTED_VALUE"""),"BLACK")</f>
        <v>BLACK</v>
      </c>
      <c r="G2647" s="20" t="str">
        <f>IFERROR(__xludf.DUMMYFUNCTION("""COMPUTED_VALUE"""),"Uncle Sams Cider (04/04/2023)")</f>
        <v>Uncle Sams Cider (04/04/2023)</v>
      </c>
      <c r="H2647" s="19"/>
    </row>
    <row r="2648">
      <c r="A2648" s="9"/>
      <c r="B2648" s="15"/>
      <c r="C2648" s="9">
        <f>IFERROR(__xludf.DUMMYFUNCTION("""COMPUTED_VALUE"""),45116.9173718865)</f>
        <v>45116.91737</v>
      </c>
      <c r="D2648" s="15">
        <f>IFERROR(__xludf.DUMMYFUNCTION("""COMPUTED_VALUE"""),1.004)</f>
        <v>1.004</v>
      </c>
      <c r="E2648" s="16">
        <f>IFERROR(__xludf.DUMMYFUNCTION("""COMPUTED_VALUE"""),72.0)</f>
        <v>72</v>
      </c>
      <c r="F2648" s="19" t="str">
        <f>IFERROR(__xludf.DUMMYFUNCTION("""COMPUTED_VALUE"""),"BLACK")</f>
        <v>BLACK</v>
      </c>
      <c r="G2648" s="20" t="str">
        <f>IFERROR(__xludf.DUMMYFUNCTION("""COMPUTED_VALUE"""),"Uncle Sams Cider (04/04/2023)")</f>
        <v>Uncle Sams Cider (04/04/2023)</v>
      </c>
      <c r="H2648" s="19"/>
    </row>
    <row r="2649">
      <c r="A2649" s="9"/>
      <c r="B2649" s="15"/>
      <c r="C2649" s="9">
        <f>IFERROR(__xludf.DUMMYFUNCTION("""COMPUTED_VALUE"""),45116.9069526157)</f>
        <v>45116.90695</v>
      </c>
      <c r="D2649" s="15">
        <f>IFERROR(__xludf.DUMMYFUNCTION("""COMPUTED_VALUE"""),1.004)</f>
        <v>1.004</v>
      </c>
      <c r="E2649" s="16">
        <f>IFERROR(__xludf.DUMMYFUNCTION("""COMPUTED_VALUE"""),72.0)</f>
        <v>72</v>
      </c>
      <c r="F2649" s="19" t="str">
        <f>IFERROR(__xludf.DUMMYFUNCTION("""COMPUTED_VALUE"""),"BLACK")</f>
        <v>BLACK</v>
      </c>
      <c r="G2649" s="20" t="str">
        <f>IFERROR(__xludf.DUMMYFUNCTION("""COMPUTED_VALUE"""),"Uncle Sams Cider (04/04/2023)")</f>
        <v>Uncle Sams Cider (04/04/2023)</v>
      </c>
      <c r="H2649" s="19"/>
    </row>
    <row r="2650">
      <c r="A2650" s="9"/>
      <c r="B2650" s="15"/>
      <c r="C2650" s="9">
        <f>IFERROR(__xludf.DUMMYFUNCTION("""COMPUTED_VALUE"""),45116.8965312963)</f>
        <v>45116.89653</v>
      </c>
      <c r="D2650" s="15">
        <f>IFERROR(__xludf.DUMMYFUNCTION("""COMPUTED_VALUE"""),1.004)</f>
        <v>1.004</v>
      </c>
      <c r="E2650" s="16">
        <f>IFERROR(__xludf.DUMMYFUNCTION("""COMPUTED_VALUE"""),72.0)</f>
        <v>72</v>
      </c>
      <c r="F2650" s="19" t="str">
        <f>IFERROR(__xludf.DUMMYFUNCTION("""COMPUTED_VALUE"""),"BLACK")</f>
        <v>BLACK</v>
      </c>
      <c r="G2650" s="20" t="str">
        <f>IFERROR(__xludf.DUMMYFUNCTION("""COMPUTED_VALUE"""),"Uncle Sams Cider (04/04/2023)")</f>
        <v>Uncle Sams Cider (04/04/2023)</v>
      </c>
      <c r="H2650" s="19"/>
    </row>
    <row r="2651">
      <c r="A2651" s="9"/>
      <c r="B2651" s="15"/>
      <c r="C2651" s="9">
        <f>IFERROR(__xludf.DUMMYFUNCTION("""COMPUTED_VALUE"""),45116.8860989351)</f>
        <v>45116.8861</v>
      </c>
      <c r="D2651" s="15">
        <f>IFERROR(__xludf.DUMMYFUNCTION("""COMPUTED_VALUE"""),1.004)</f>
        <v>1.004</v>
      </c>
      <c r="E2651" s="16">
        <f>IFERROR(__xludf.DUMMYFUNCTION("""COMPUTED_VALUE"""),72.0)</f>
        <v>72</v>
      </c>
      <c r="F2651" s="19" t="str">
        <f>IFERROR(__xludf.DUMMYFUNCTION("""COMPUTED_VALUE"""),"BLACK")</f>
        <v>BLACK</v>
      </c>
      <c r="G2651" s="20" t="str">
        <f>IFERROR(__xludf.DUMMYFUNCTION("""COMPUTED_VALUE"""),"Uncle Sams Cider (04/04/2023)")</f>
        <v>Uncle Sams Cider (04/04/2023)</v>
      </c>
      <c r="H2651" s="19"/>
    </row>
    <row r="2652">
      <c r="A2652" s="9"/>
      <c r="B2652" s="15"/>
      <c r="C2652" s="9">
        <f>IFERROR(__xludf.DUMMYFUNCTION("""COMPUTED_VALUE"""),45116.8756809722)</f>
        <v>45116.87568</v>
      </c>
      <c r="D2652" s="15">
        <f>IFERROR(__xludf.DUMMYFUNCTION("""COMPUTED_VALUE"""),1.004)</f>
        <v>1.004</v>
      </c>
      <c r="E2652" s="16">
        <f>IFERROR(__xludf.DUMMYFUNCTION("""COMPUTED_VALUE"""),72.0)</f>
        <v>72</v>
      </c>
      <c r="F2652" s="19" t="str">
        <f>IFERROR(__xludf.DUMMYFUNCTION("""COMPUTED_VALUE"""),"BLACK")</f>
        <v>BLACK</v>
      </c>
      <c r="G2652" s="20" t="str">
        <f>IFERROR(__xludf.DUMMYFUNCTION("""COMPUTED_VALUE"""),"Uncle Sams Cider (04/04/2023)")</f>
        <v>Uncle Sams Cider (04/04/2023)</v>
      </c>
      <c r="H2652" s="19"/>
    </row>
    <row r="2653">
      <c r="A2653" s="9"/>
      <c r="B2653" s="15"/>
      <c r="C2653" s="9">
        <f>IFERROR(__xludf.DUMMYFUNCTION("""COMPUTED_VALUE"""),45116.8652480555)</f>
        <v>45116.86525</v>
      </c>
      <c r="D2653" s="15">
        <f>IFERROR(__xludf.DUMMYFUNCTION("""COMPUTED_VALUE"""),1.004)</f>
        <v>1.004</v>
      </c>
      <c r="E2653" s="16">
        <f>IFERROR(__xludf.DUMMYFUNCTION("""COMPUTED_VALUE"""),72.0)</f>
        <v>72</v>
      </c>
      <c r="F2653" s="19" t="str">
        <f>IFERROR(__xludf.DUMMYFUNCTION("""COMPUTED_VALUE"""),"BLACK")</f>
        <v>BLACK</v>
      </c>
      <c r="G2653" s="20" t="str">
        <f>IFERROR(__xludf.DUMMYFUNCTION("""COMPUTED_VALUE"""),"Uncle Sams Cider (04/04/2023)")</f>
        <v>Uncle Sams Cider (04/04/2023)</v>
      </c>
      <c r="H2653" s="19"/>
    </row>
    <row r="2654">
      <c r="A2654" s="9"/>
      <c r="B2654" s="15"/>
      <c r="C2654" s="9">
        <f>IFERROR(__xludf.DUMMYFUNCTION("""COMPUTED_VALUE"""),45116.8548269907)</f>
        <v>45116.85483</v>
      </c>
      <c r="D2654" s="15">
        <f>IFERROR(__xludf.DUMMYFUNCTION("""COMPUTED_VALUE"""),1.003)</f>
        <v>1.003</v>
      </c>
      <c r="E2654" s="16">
        <f>IFERROR(__xludf.DUMMYFUNCTION("""COMPUTED_VALUE"""),72.0)</f>
        <v>72</v>
      </c>
      <c r="F2654" s="19" t="str">
        <f>IFERROR(__xludf.DUMMYFUNCTION("""COMPUTED_VALUE"""),"BLACK")</f>
        <v>BLACK</v>
      </c>
      <c r="G2654" s="20" t="str">
        <f>IFERROR(__xludf.DUMMYFUNCTION("""COMPUTED_VALUE"""),"Uncle Sams Cider (04/04/2023)")</f>
        <v>Uncle Sams Cider (04/04/2023)</v>
      </c>
      <c r="H2654" s="19"/>
    </row>
    <row r="2655">
      <c r="A2655" s="9"/>
      <c r="B2655" s="15"/>
      <c r="C2655" s="9">
        <f>IFERROR(__xludf.DUMMYFUNCTION("""COMPUTED_VALUE"""),45116.8443824768)</f>
        <v>45116.84438</v>
      </c>
      <c r="D2655" s="15">
        <f>IFERROR(__xludf.DUMMYFUNCTION("""COMPUTED_VALUE"""),1.004)</f>
        <v>1.004</v>
      </c>
      <c r="E2655" s="16">
        <f>IFERROR(__xludf.DUMMYFUNCTION("""COMPUTED_VALUE"""),72.0)</f>
        <v>72</v>
      </c>
      <c r="F2655" s="19" t="str">
        <f>IFERROR(__xludf.DUMMYFUNCTION("""COMPUTED_VALUE"""),"BLACK")</f>
        <v>BLACK</v>
      </c>
      <c r="G2655" s="20" t="str">
        <f>IFERROR(__xludf.DUMMYFUNCTION("""COMPUTED_VALUE"""),"Uncle Sams Cider (04/04/2023)")</f>
        <v>Uncle Sams Cider (04/04/2023)</v>
      </c>
      <c r="H2655" s="19"/>
    </row>
    <row r="2656">
      <c r="A2656" s="9"/>
      <c r="B2656" s="15"/>
      <c r="C2656" s="9">
        <f>IFERROR(__xludf.DUMMYFUNCTION("""COMPUTED_VALUE"""),45116.8339620949)</f>
        <v>45116.83396</v>
      </c>
      <c r="D2656" s="15">
        <f>IFERROR(__xludf.DUMMYFUNCTION("""COMPUTED_VALUE"""),1.004)</f>
        <v>1.004</v>
      </c>
      <c r="E2656" s="16">
        <f>IFERROR(__xludf.DUMMYFUNCTION("""COMPUTED_VALUE"""),72.0)</f>
        <v>72</v>
      </c>
      <c r="F2656" s="19" t="str">
        <f>IFERROR(__xludf.DUMMYFUNCTION("""COMPUTED_VALUE"""),"BLACK")</f>
        <v>BLACK</v>
      </c>
      <c r="G2656" s="20" t="str">
        <f>IFERROR(__xludf.DUMMYFUNCTION("""COMPUTED_VALUE"""),"Uncle Sams Cider (04/04/2023)")</f>
        <v>Uncle Sams Cider (04/04/2023)</v>
      </c>
      <c r="H2656" s="19"/>
    </row>
    <row r="2657">
      <c r="A2657" s="9"/>
      <c r="B2657" s="15"/>
      <c r="C2657" s="9">
        <f>IFERROR(__xludf.DUMMYFUNCTION("""COMPUTED_VALUE"""),45116.8235377662)</f>
        <v>45116.82354</v>
      </c>
      <c r="D2657" s="15">
        <f>IFERROR(__xludf.DUMMYFUNCTION("""COMPUTED_VALUE"""),1.003)</f>
        <v>1.003</v>
      </c>
      <c r="E2657" s="16">
        <f>IFERROR(__xludf.DUMMYFUNCTION("""COMPUTED_VALUE"""),72.0)</f>
        <v>72</v>
      </c>
      <c r="F2657" s="19" t="str">
        <f>IFERROR(__xludf.DUMMYFUNCTION("""COMPUTED_VALUE"""),"BLACK")</f>
        <v>BLACK</v>
      </c>
      <c r="G2657" s="20" t="str">
        <f>IFERROR(__xludf.DUMMYFUNCTION("""COMPUTED_VALUE"""),"Uncle Sams Cider (04/04/2023)")</f>
        <v>Uncle Sams Cider (04/04/2023)</v>
      </c>
      <c r="H2657" s="19"/>
    </row>
    <row r="2658">
      <c r="A2658" s="9"/>
      <c r="B2658" s="15"/>
      <c r="C2658" s="9">
        <f>IFERROR(__xludf.DUMMYFUNCTION("""COMPUTED_VALUE"""),45116.8130825694)</f>
        <v>45116.81308</v>
      </c>
      <c r="D2658" s="15">
        <f>IFERROR(__xludf.DUMMYFUNCTION("""COMPUTED_VALUE"""),1.004)</f>
        <v>1.004</v>
      </c>
      <c r="E2658" s="16">
        <f>IFERROR(__xludf.DUMMYFUNCTION("""COMPUTED_VALUE"""),72.0)</f>
        <v>72</v>
      </c>
      <c r="F2658" s="19" t="str">
        <f>IFERROR(__xludf.DUMMYFUNCTION("""COMPUTED_VALUE"""),"BLACK")</f>
        <v>BLACK</v>
      </c>
      <c r="G2658" s="20" t="str">
        <f>IFERROR(__xludf.DUMMYFUNCTION("""COMPUTED_VALUE"""),"Uncle Sams Cider (04/04/2023)")</f>
        <v>Uncle Sams Cider (04/04/2023)</v>
      </c>
      <c r="H2658" s="19"/>
    </row>
    <row r="2659">
      <c r="A2659" s="9"/>
      <c r="B2659" s="15"/>
      <c r="C2659" s="9">
        <f>IFERROR(__xludf.DUMMYFUNCTION("""COMPUTED_VALUE"""),45116.8026605439)</f>
        <v>45116.80266</v>
      </c>
      <c r="D2659" s="15">
        <f>IFERROR(__xludf.DUMMYFUNCTION("""COMPUTED_VALUE"""),1.004)</f>
        <v>1.004</v>
      </c>
      <c r="E2659" s="16">
        <f>IFERROR(__xludf.DUMMYFUNCTION("""COMPUTED_VALUE"""),72.0)</f>
        <v>72</v>
      </c>
      <c r="F2659" s="19" t="str">
        <f>IFERROR(__xludf.DUMMYFUNCTION("""COMPUTED_VALUE"""),"BLACK")</f>
        <v>BLACK</v>
      </c>
      <c r="G2659" s="20" t="str">
        <f>IFERROR(__xludf.DUMMYFUNCTION("""COMPUTED_VALUE"""),"Uncle Sams Cider (04/04/2023)")</f>
        <v>Uncle Sams Cider (04/04/2023)</v>
      </c>
      <c r="H2659" s="19"/>
    </row>
    <row r="2660">
      <c r="A2660" s="9"/>
      <c r="B2660" s="15"/>
      <c r="C2660" s="9">
        <f>IFERROR(__xludf.DUMMYFUNCTION("""COMPUTED_VALUE"""),45116.792240706)</f>
        <v>45116.79224</v>
      </c>
      <c r="D2660" s="15">
        <f>IFERROR(__xludf.DUMMYFUNCTION("""COMPUTED_VALUE"""),1.004)</f>
        <v>1.004</v>
      </c>
      <c r="E2660" s="16">
        <f>IFERROR(__xludf.DUMMYFUNCTION("""COMPUTED_VALUE"""),72.0)</f>
        <v>72</v>
      </c>
      <c r="F2660" s="19" t="str">
        <f>IFERROR(__xludf.DUMMYFUNCTION("""COMPUTED_VALUE"""),"BLACK")</f>
        <v>BLACK</v>
      </c>
      <c r="G2660" s="20" t="str">
        <f>IFERROR(__xludf.DUMMYFUNCTION("""COMPUTED_VALUE"""),"Uncle Sams Cider (04/04/2023)")</f>
        <v>Uncle Sams Cider (04/04/2023)</v>
      </c>
      <c r="H2660" s="19"/>
    </row>
    <row r="2661">
      <c r="A2661" s="9"/>
      <c r="B2661" s="15"/>
      <c r="C2661" s="9">
        <f>IFERROR(__xludf.DUMMYFUNCTION("""COMPUTED_VALUE"""),45116.7818186342)</f>
        <v>45116.78182</v>
      </c>
      <c r="D2661" s="15">
        <f>IFERROR(__xludf.DUMMYFUNCTION("""COMPUTED_VALUE"""),1.004)</f>
        <v>1.004</v>
      </c>
      <c r="E2661" s="16">
        <f>IFERROR(__xludf.DUMMYFUNCTION("""COMPUTED_VALUE"""),72.0)</f>
        <v>72</v>
      </c>
      <c r="F2661" s="19" t="str">
        <f>IFERROR(__xludf.DUMMYFUNCTION("""COMPUTED_VALUE"""),"BLACK")</f>
        <v>BLACK</v>
      </c>
      <c r="G2661" s="20" t="str">
        <f>IFERROR(__xludf.DUMMYFUNCTION("""COMPUTED_VALUE"""),"Uncle Sams Cider (04/04/2023)")</f>
        <v>Uncle Sams Cider (04/04/2023)</v>
      </c>
      <c r="H2661" s="19"/>
    </row>
    <row r="2662">
      <c r="A2662" s="9"/>
      <c r="B2662" s="15"/>
      <c r="C2662" s="9">
        <f>IFERROR(__xludf.DUMMYFUNCTION("""COMPUTED_VALUE"""),45116.7713991435)</f>
        <v>45116.7714</v>
      </c>
      <c r="D2662" s="15">
        <f>IFERROR(__xludf.DUMMYFUNCTION("""COMPUTED_VALUE"""),1.003)</f>
        <v>1.003</v>
      </c>
      <c r="E2662" s="16">
        <f>IFERROR(__xludf.DUMMYFUNCTION("""COMPUTED_VALUE"""),72.0)</f>
        <v>72</v>
      </c>
      <c r="F2662" s="19" t="str">
        <f>IFERROR(__xludf.DUMMYFUNCTION("""COMPUTED_VALUE"""),"BLACK")</f>
        <v>BLACK</v>
      </c>
      <c r="G2662" s="20" t="str">
        <f>IFERROR(__xludf.DUMMYFUNCTION("""COMPUTED_VALUE"""),"Uncle Sams Cider (04/04/2023)")</f>
        <v>Uncle Sams Cider (04/04/2023)</v>
      </c>
      <c r="H2662" s="19"/>
    </row>
    <row r="2663">
      <c r="A2663" s="9"/>
      <c r="B2663" s="15"/>
      <c r="C2663" s="9">
        <f>IFERROR(__xludf.DUMMYFUNCTION("""COMPUTED_VALUE"""),45116.7609771064)</f>
        <v>45116.76098</v>
      </c>
      <c r="D2663" s="15">
        <f>IFERROR(__xludf.DUMMYFUNCTION("""COMPUTED_VALUE"""),1.004)</f>
        <v>1.004</v>
      </c>
      <c r="E2663" s="16">
        <f>IFERROR(__xludf.DUMMYFUNCTION("""COMPUTED_VALUE"""),72.0)</f>
        <v>72</v>
      </c>
      <c r="F2663" s="19" t="str">
        <f>IFERROR(__xludf.DUMMYFUNCTION("""COMPUTED_VALUE"""),"BLACK")</f>
        <v>BLACK</v>
      </c>
      <c r="G2663" s="20" t="str">
        <f>IFERROR(__xludf.DUMMYFUNCTION("""COMPUTED_VALUE"""),"Uncle Sams Cider (04/04/2023)")</f>
        <v>Uncle Sams Cider (04/04/2023)</v>
      </c>
      <c r="H2663" s="19"/>
    </row>
    <row r="2664">
      <c r="A2664" s="9"/>
      <c r="B2664" s="15"/>
      <c r="C2664" s="9">
        <f>IFERROR(__xludf.DUMMYFUNCTION("""COMPUTED_VALUE"""),45116.7505551967)</f>
        <v>45116.75056</v>
      </c>
      <c r="D2664" s="15">
        <f>IFERROR(__xludf.DUMMYFUNCTION("""COMPUTED_VALUE"""),1.003)</f>
        <v>1.003</v>
      </c>
      <c r="E2664" s="16">
        <f>IFERROR(__xludf.DUMMYFUNCTION("""COMPUTED_VALUE"""),72.0)</f>
        <v>72</v>
      </c>
      <c r="F2664" s="19" t="str">
        <f>IFERROR(__xludf.DUMMYFUNCTION("""COMPUTED_VALUE"""),"BLACK")</f>
        <v>BLACK</v>
      </c>
      <c r="G2664" s="20" t="str">
        <f>IFERROR(__xludf.DUMMYFUNCTION("""COMPUTED_VALUE"""),"Uncle Sams Cider (04/04/2023)")</f>
        <v>Uncle Sams Cider (04/04/2023)</v>
      </c>
      <c r="H2664" s="19"/>
    </row>
    <row r="2665">
      <c r="A2665" s="9"/>
      <c r="B2665" s="15"/>
      <c r="C2665" s="9">
        <f>IFERROR(__xludf.DUMMYFUNCTION("""COMPUTED_VALUE"""),45116.7401340625)</f>
        <v>45116.74013</v>
      </c>
      <c r="D2665" s="15">
        <f>IFERROR(__xludf.DUMMYFUNCTION("""COMPUTED_VALUE"""),1.004)</f>
        <v>1.004</v>
      </c>
      <c r="E2665" s="16">
        <f>IFERROR(__xludf.DUMMYFUNCTION("""COMPUTED_VALUE"""),72.0)</f>
        <v>72</v>
      </c>
      <c r="F2665" s="19" t="str">
        <f>IFERROR(__xludf.DUMMYFUNCTION("""COMPUTED_VALUE"""),"BLACK")</f>
        <v>BLACK</v>
      </c>
      <c r="G2665" s="20" t="str">
        <f>IFERROR(__xludf.DUMMYFUNCTION("""COMPUTED_VALUE"""),"Uncle Sams Cider (04/04/2023)")</f>
        <v>Uncle Sams Cider (04/04/2023)</v>
      </c>
      <c r="H2665" s="19"/>
    </row>
    <row r="2666">
      <c r="A2666" s="9"/>
      <c r="B2666" s="15"/>
      <c r="C2666" s="9">
        <f>IFERROR(__xludf.DUMMYFUNCTION("""COMPUTED_VALUE"""),45116.729700625)</f>
        <v>45116.7297</v>
      </c>
      <c r="D2666" s="15">
        <f>IFERROR(__xludf.DUMMYFUNCTION("""COMPUTED_VALUE"""),1.003)</f>
        <v>1.003</v>
      </c>
      <c r="E2666" s="16">
        <f>IFERROR(__xludf.DUMMYFUNCTION("""COMPUTED_VALUE"""),72.0)</f>
        <v>72</v>
      </c>
      <c r="F2666" s="19" t="str">
        <f>IFERROR(__xludf.DUMMYFUNCTION("""COMPUTED_VALUE"""),"BLACK")</f>
        <v>BLACK</v>
      </c>
      <c r="G2666" s="20" t="str">
        <f>IFERROR(__xludf.DUMMYFUNCTION("""COMPUTED_VALUE"""),"Uncle Sams Cider (04/04/2023)")</f>
        <v>Uncle Sams Cider (04/04/2023)</v>
      </c>
      <c r="H2666" s="19"/>
    </row>
    <row r="2667">
      <c r="A2667" s="9"/>
      <c r="B2667" s="15"/>
      <c r="C2667" s="9">
        <f>IFERROR(__xludf.DUMMYFUNCTION("""COMPUTED_VALUE"""),45116.7192807754)</f>
        <v>45116.71928</v>
      </c>
      <c r="D2667" s="15">
        <f>IFERROR(__xludf.DUMMYFUNCTION("""COMPUTED_VALUE"""),1.003)</f>
        <v>1.003</v>
      </c>
      <c r="E2667" s="16">
        <f>IFERROR(__xludf.DUMMYFUNCTION("""COMPUTED_VALUE"""),72.0)</f>
        <v>72</v>
      </c>
      <c r="F2667" s="19" t="str">
        <f>IFERROR(__xludf.DUMMYFUNCTION("""COMPUTED_VALUE"""),"BLACK")</f>
        <v>BLACK</v>
      </c>
      <c r="G2667" s="20" t="str">
        <f>IFERROR(__xludf.DUMMYFUNCTION("""COMPUTED_VALUE"""),"Uncle Sams Cider (04/04/2023)")</f>
        <v>Uncle Sams Cider (04/04/2023)</v>
      </c>
      <c r="H2667" s="19"/>
    </row>
    <row r="2668">
      <c r="A2668" s="9"/>
      <c r="B2668" s="15"/>
      <c r="C2668" s="9">
        <f>IFERROR(__xludf.DUMMYFUNCTION("""COMPUTED_VALUE"""),45116.7088587384)</f>
        <v>45116.70886</v>
      </c>
      <c r="D2668" s="15">
        <f>IFERROR(__xludf.DUMMYFUNCTION("""COMPUTED_VALUE"""),1.003)</f>
        <v>1.003</v>
      </c>
      <c r="E2668" s="16">
        <f>IFERROR(__xludf.DUMMYFUNCTION("""COMPUTED_VALUE"""),72.0)</f>
        <v>72</v>
      </c>
      <c r="F2668" s="19" t="str">
        <f>IFERROR(__xludf.DUMMYFUNCTION("""COMPUTED_VALUE"""),"BLACK")</f>
        <v>BLACK</v>
      </c>
      <c r="G2668" s="20" t="str">
        <f>IFERROR(__xludf.DUMMYFUNCTION("""COMPUTED_VALUE"""),"Uncle Sams Cider (04/04/2023)")</f>
        <v>Uncle Sams Cider (04/04/2023)</v>
      </c>
      <c r="H2668" s="19"/>
    </row>
    <row r="2669">
      <c r="A2669" s="9"/>
      <c r="B2669" s="15"/>
      <c r="C2669" s="9">
        <f>IFERROR(__xludf.DUMMYFUNCTION("""COMPUTED_VALUE"""),45116.6984376967)</f>
        <v>45116.69844</v>
      </c>
      <c r="D2669" s="15">
        <f>IFERROR(__xludf.DUMMYFUNCTION("""COMPUTED_VALUE"""),1.004)</f>
        <v>1.004</v>
      </c>
      <c r="E2669" s="16">
        <f>IFERROR(__xludf.DUMMYFUNCTION("""COMPUTED_VALUE"""),72.0)</f>
        <v>72</v>
      </c>
      <c r="F2669" s="19" t="str">
        <f>IFERROR(__xludf.DUMMYFUNCTION("""COMPUTED_VALUE"""),"BLACK")</f>
        <v>BLACK</v>
      </c>
      <c r="G2669" s="20" t="str">
        <f>IFERROR(__xludf.DUMMYFUNCTION("""COMPUTED_VALUE"""),"Uncle Sams Cider (04/04/2023)")</f>
        <v>Uncle Sams Cider (04/04/2023)</v>
      </c>
      <c r="H2669" s="19"/>
    </row>
    <row r="2670">
      <c r="A2670" s="9"/>
      <c r="B2670" s="15"/>
      <c r="C2670" s="9">
        <f>IFERROR(__xludf.DUMMYFUNCTION("""COMPUTED_VALUE"""),45116.6880034027)</f>
        <v>45116.688</v>
      </c>
      <c r="D2670" s="15">
        <f>IFERROR(__xludf.DUMMYFUNCTION("""COMPUTED_VALUE"""),1.004)</f>
        <v>1.004</v>
      </c>
      <c r="E2670" s="16">
        <f>IFERROR(__xludf.DUMMYFUNCTION("""COMPUTED_VALUE"""),72.0)</f>
        <v>72</v>
      </c>
      <c r="F2670" s="19" t="str">
        <f>IFERROR(__xludf.DUMMYFUNCTION("""COMPUTED_VALUE"""),"BLACK")</f>
        <v>BLACK</v>
      </c>
      <c r="G2670" s="20" t="str">
        <f>IFERROR(__xludf.DUMMYFUNCTION("""COMPUTED_VALUE"""),"Uncle Sams Cider (04/04/2023)")</f>
        <v>Uncle Sams Cider (04/04/2023)</v>
      </c>
      <c r="H2670" s="19"/>
    </row>
    <row r="2671">
      <c r="A2671" s="9"/>
      <c r="B2671" s="15"/>
      <c r="C2671" s="9">
        <f>IFERROR(__xludf.DUMMYFUNCTION("""COMPUTED_VALUE"""),45116.6775810185)</f>
        <v>45116.67758</v>
      </c>
      <c r="D2671" s="15">
        <f>IFERROR(__xludf.DUMMYFUNCTION("""COMPUTED_VALUE"""),1.004)</f>
        <v>1.004</v>
      </c>
      <c r="E2671" s="16">
        <f>IFERROR(__xludf.DUMMYFUNCTION("""COMPUTED_VALUE"""),72.0)</f>
        <v>72</v>
      </c>
      <c r="F2671" s="19" t="str">
        <f>IFERROR(__xludf.DUMMYFUNCTION("""COMPUTED_VALUE"""),"BLACK")</f>
        <v>BLACK</v>
      </c>
      <c r="G2671" s="20" t="str">
        <f>IFERROR(__xludf.DUMMYFUNCTION("""COMPUTED_VALUE"""),"Uncle Sams Cider (04/04/2023)")</f>
        <v>Uncle Sams Cider (04/04/2023)</v>
      </c>
      <c r="H2671" s="19"/>
    </row>
    <row r="2672">
      <c r="A2672" s="9"/>
      <c r="B2672" s="15"/>
      <c r="C2672" s="9">
        <f>IFERROR(__xludf.DUMMYFUNCTION("""COMPUTED_VALUE"""),45116.6671619791)</f>
        <v>45116.66716</v>
      </c>
      <c r="D2672" s="15">
        <f>IFERROR(__xludf.DUMMYFUNCTION("""COMPUTED_VALUE"""),1.004)</f>
        <v>1.004</v>
      </c>
      <c r="E2672" s="16">
        <f>IFERROR(__xludf.DUMMYFUNCTION("""COMPUTED_VALUE"""),72.0)</f>
        <v>72</v>
      </c>
      <c r="F2672" s="19" t="str">
        <f>IFERROR(__xludf.DUMMYFUNCTION("""COMPUTED_VALUE"""),"BLACK")</f>
        <v>BLACK</v>
      </c>
      <c r="G2672" s="20" t="str">
        <f>IFERROR(__xludf.DUMMYFUNCTION("""COMPUTED_VALUE"""),"Uncle Sams Cider (04/04/2023)")</f>
        <v>Uncle Sams Cider (04/04/2023)</v>
      </c>
      <c r="H2672" s="19"/>
    </row>
    <row r="2673">
      <c r="A2673" s="9"/>
      <c r="B2673" s="15"/>
      <c r="C2673" s="9">
        <f>IFERROR(__xludf.DUMMYFUNCTION("""COMPUTED_VALUE"""),45116.6567393518)</f>
        <v>45116.65674</v>
      </c>
      <c r="D2673" s="15">
        <f>IFERROR(__xludf.DUMMYFUNCTION("""COMPUTED_VALUE"""),1.004)</f>
        <v>1.004</v>
      </c>
      <c r="E2673" s="16">
        <f>IFERROR(__xludf.DUMMYFUNCTION("""COMPUTED_VALUE"""),72.0)</f>
        <v>72</v>
      </c>
      <c r="F2673" s="19" t="str">
        <f>IFERROR(__xludf.DUMMYFUNCTION("""COMPUTED_VALUE"""),"BLACK")</f>
        <v>BLACK</v>
      </c>
      <c r="G2673" s="20" t="str">
        <f>IFERROR(__xludf.DUMMYFUNCTION("""COMPUTED_VALUE"""),"Uncle Sams Cider (04/04/2023)")</f>
        <v>Uncle Sams Cider (04/04/2023)</v>
      </c>
      <c r="H2673" s="19"/>
    </row>
    <row r="2674">
      <c r="A2674" s="9"/>
      <c r="B2674" s="15"/>
      <c r="C2674" s="9">
        <f>IFERROR(__xludf.DUMMYFUNCTION("""COMPUTED_VALUE"""),45116.6462967592)</f>
        <v>45116.6463</v>
      </c>
      <c r="D2674" s="15">
        <f>IFERROR(__xludf.DUMMYFUNCTION("""COMPUTED_VALUE"""),1.004)</f>
        <v>1.004</v>
      </c>
      <c r="E2674" s="16">
        <f>IFERROR(__xludf.DUMMYFUNCTION("""COMPUTED_VALUE"""),72.0)</f>
        <v>72</v>
      </c>
      <c r="F2674" s="19" t="str">
        <f>IFERROR(__xludf.DUMMYFUNCTION("""COMPUTED_VALUE"""),"BLACK")</f>
        <v>BLACK</v>
      </c>
      <c r="G2674" s="20" t="str">
        <f>IFERROR(__xludf.DUMMYFUNCTION("""COMPUTED_VALUE"""),"Uncle Sams Cider (04/04/2023)")</f>
        <v>Uncle Sams Cider (04/04/2023)</v>
      </c>
      <c r="H2674" s="19"/>
    </row>
    <row r="2675">
      <c r="A2675" s="9"/>
      <c r="B2675" s="15"/>
      <c r="C2675" s="9">
        <f>IFERROR(__xludf.DUMMYFUNCTION("""COMPUTED_VALUE"""),45116.6358739004)</f>
        <v>45116.63587</v>
      </c>
      <c r="D2675" s="15">
        <f>IFERROR(__xludf.DUMMYFUNCTION("""COMPUTED_VALUE"""),1.004)</f>
        <v>1.004</v>
      </c>
      <c r="E2675" s="16">
        <f>IFERROR(__xludf.DUMMYFUNCTION("""COMPUTED_VALUE"""),72.0)</f>
        <v>72</v>
      </c>
      <c r="F2675" s="19" t="str">
        <f>IFERROR(__xludf.DUMMYFUNCTION("""COMPUTED_VALUE"""),"BLACK")</f>
        <v>BLACK</v>
      </c>
      <c r="G2675" s="20" t="str">
        <f>IFERROR(__xludf.DUMMYFUNCTION("""COMPUTED_VALUE"""),"Uncle Sams Cider (04/04/2023)")</f>
        <v>Uncle Sams Cider (04/04/2023)</v>
      </c>
      <c r="H2675" s="19"/>
    </row>
    <row r="2676">
      <c r="A2676" s="9"/>
      <c r="B2676" s="15"/>
      <c r="C2676" s="9">
        <f>IFERROR(__xludf.DUMMYFUNCTION("""COMPUTED_VALUE"""),45116.6254404398)</f>
        <v>45116.62544</v>
      </c>
      <c r="D2676" s="15">
        <f>IFERROR(__xludf.DUMMYFUNCTION("""COMPUTED_VALUE"""),1.003)</f>
        <v>1.003</v>
      </c>
      <c r="E2676" s="16">
        <f>IFERROR(__xludf.DUMMYFUNCTION("""COMPUTED_VALUE"""),72.0)</f>
        <v>72</v>
      </c>
      <c r="F2676" s="19" t="str">
        <f>IFERROR(__xludf.DUMMYFUNCTION("""COMPUTED_VALUE"""),"BLACK")</f>
        <v>BLACK</v>
      </c>
      <c r="G2676" s="20" t="str">
        <f>IFERROR(__xludf.DUMMYFUNCTION("""COMPUTED_VALUE"""),"Uncle Sams Cider (04/04/2023)")</f>
        <v>Uncle Sams Cider (04/04/2023)</v>
      </c>
      <c r="H2676" s="19"/>
    </row>
    <row r="2677">
      <c r="A2677" s="9"/>
      <c r="B2677" s="15"/>
      <c r="C2677" s="9">
        <f>IFERROR(__xludf.DUMMYFUNCTION("""COMPUTED_VALUE"""),45116.6150177314)</f>
        <v>45116.61502</v>
      </c>
      <c r="D2677" s="15">
        <f>IFERROR(__xludf.DUMMYFUNCTION("""COMPUTED_VALUE"""),1.004)</f>
        <v>1.004</v>
      </c>
      <c r="E2677" s="16">
        <f>IFERROR(__xludf.DUMMYFUNCTION("""COMPUTED_VALUE"""),72.0)</f>
        <v>72</v>
      </c>
      <c r="F2677" s="19" t="str">
        <f>IFERROR(__xludf.DUMMYFUNCTION("""COMPUTED_VALUE"""),"BLACK")</f>
        <v>BLACK</v>
      </c>
      <c r="G2677" s="20" t="str">
        <f>IFERROR(__xludf.DUMMYFUNCTION("""COMPUTED_VALUE"""),"Uncle Sams Cider (04/04/2023)")</f>
        <v>Uncle Sams Cider (04/04/2023)</v>
      </c>
      <c r="H2677" s="19"/>
    </row>
    <row r="2678">
      <c r="A2678" s="9"/>
      <c r="B2678" s="15"/>
      <c r="C2678" s="9">
        <f>IFERROR(__xludf.DUMMYFUNCTION("""COMPUTED_VALUE"""),45116.604597662)</f>
        <v>45116.6046</v>
      </c>
      <c r="D2678" s="15">
        <f>IFERROR(__xludf.DUMMYFUNCTION("""COMPUTED_VALUE"""),1.003)</f>
        <v>1.003</v>
      </c>
      <c r="E2678" s="16">
        <f>IFERROR(__xludf.DUMMYFUNCTION("""COMPUTED_VALUE"""),72.0)</f>
        <v>72</v>
      </c>
      <c r="F2678" s="19" t="str">
        <f>IFERROR(__xludf.DUMMYFUNCTION("""COMPUTED_VALUE"""),"BLACK")</f>
        <v>BLACK</v>
      </c>
      <c r="G2678" s="20" t="str">
        <f>IFERROR(__xludf.DUMMYFUNCTION("""COMPUTED_VALUE"""),"Uncle Sams Cider (04/04/2023)")</f>
        <v>Uncle Sams Cider (04/04/2023)</v>
      </c>
      <c r="H2678" s="19"/>
    </row>
    <row r="2679">
      <c r="A2679" s="9"/>
      <c r="B2679" s="15"/>
      <c r="C2679" s="9">
        <f>IFERROR(__xludf.DUMMYFUNCTION("""COMPUTED_VALUE"""),45116.594165324)</f>
        <v>45116.59417</v>
      </c>
      <c r="D2679" s="15">
        <f>IFERROR(__xludf.DUMMYFUNCTION("""COMPUTED_VALUE"""),1.004)</f>
        <v>1.004</v>
      </c>
      <c r="E2679" s="16">
        <f>IFERROR(__xludf.DUMMYFUNCTION("""COMPUTED_VALUE"""),72.0)</f>
        <v>72</v>
      </c>
      <c r="F2679" s="19" t="str">
        <f>IFERROR(__xludf.DUMMYFUNCTION("""COMPUTED_VALUE"""),"BLACK")</f>
        <v>BLACK</v>
      </c>
      <c r="G2679" s="20" t="str">
        <f>IFERROR(__xludf.DUMMYFUNCTION("""COMPUTED_VALUE"""),"Uncle Sams Cider (04/04/2023)")</f>
        <v>Uncle Sams Cider (04/04/2023)</v>
      </c>
      <c r="H2679" s="19"/>
    </row>
    <row r="2680">
      <c r="A2680" s="9"/>
      <c r="B2680" s="15"/>
      <c r="C2680" s="9">
        <f>IFERROR(__xludf.DUMMYFUNCTION("""COMPUTED_VALUE"""),45116.583744375)</f>
        <v>45116.58374</v>
      </c>
      <c r="D2680" s="15">
        <f>IFERROR(__xludf.DUMMYFUNCTION("""COMPUTED_VALUE"""),1.004)</f>
        <v>1.004</v>
      </c>
      <c r="E2680" s="16">
        <f>IFERROR(__xludf.DUMMYFUNCTION("""COMPUTED_VALUE"""),72.0)</f>
        <v>72</v>
      </c>
      <c r="F2680" s="19" t="str">
        <f>IFERROR(__xludf.DUMMYFUNCTION("""COMPUTED_VALUE"""),"BLACK")</f>
        <v>BLACK</v>
      </c>
      <c r="G2680" s="20" t="str">
        <f>IFERROR(__xludf.DUMMYFUNCTION("""COMPUTED_VALUE"""),"Uncle Sams Cider (04/04/2023)")</f>
        <v>Uncle Sams Cider (04/04/2023)</v>
      </c>
      <c r="H2680" s="19"/>
    </row>
    <row r="2681">
      <c r="A2681" s="9"/>
      <c r="B2681" s="15"/>
      <c r="C2681" s="9">
        <f>IFERROR(__xludf.DUMMYFUNCTION("""COMPUTED_VALUE"""),45116.5770800115)</f>
        <v>45116.57708</v>
      </c>
      <c r="D2681" s="15">
        <f>IFERROR(__xludf.DUMMYFUNCTION("""COMPUTED_VALUE"""),1.004)</f>
        <v>1.004</v>
      </c>
      <c r="E2681" s="16">
        <f>IFERROR(__xludf.DUMMYFUNCTION("""COMPUTED_VALUE"""),72.0)</f>
        <v>72</v>
      </c>
      <c r="F2681" s="19" t="str">
        <f>IFERROR(__xludf.DUMMYFUNCTION("""COMPUTED_VALUE"""),"BLACK")</f>
        <v>BLACK</v>
      </c>
      <c r="G2681" s="20" t="str">
        <f>IFERROR(__xludf.DUMMYFUNCTION("""COMPUTED_VALUE"""),"Uncle Sams Cider (04/04/2023)")</f>
        <v>Uncle Sams Cider (04/04/2023)</v>
      </c>
      <c r="H2681" s="19"/>
    </row>
    <row r="2682">
      <c r="A2682" s="9"/>
      <c r="B2682" s="15"/>
      <c r="C2682" s="9">
        <f>IFERROR(__xludf.DUMMYFUNCTION("""COMPUTED_VALUE"""),45116.5666578588)</f>
        <v>45116.56666</v>
      </c>
      <c r="D2682" s="15">
        <f>IFERROR(__xludf.DUMMYFUNCTION("""COMPUTED_VALUE"""),1.003)</f>
        <v>1.003</v>
      </c>
      <c r="E2682" s="16">
        <f>IFERROR(__xludf.DUMMYFUNCTION("""COMPUTED_VALUE"""),72.0)</f>
        <v>72</v>
      </c>
      <c r="F2682" s="19" t="str">
        <f>IFERROR(__xludf.DUMMYFUNCTION("""COMPUTED_VALUE"""),"BLACK")</f>
        <v>BLACK</v>
      </c>
      <c r="G2682" s="20" t="str">
        <f>IFERROR(__xludf.DUMMYFUNCTION("""COMPUTED_VALUE"""),"Uncle Sams Cider (04/04/2023)")</f>
        <v>Uncle Sams Cider (04/04/2023)</v>
      </c>
      <c r="H2682" s="19"/>
    </row>
    <row r="2683">
      <c r="A2683" s="9"/>
      <c r="B2683" s="15"/>
      <c r="C2683" s="9">
        <f>IFERROR(__xludf.DUMMYFUNCTION("""COMPUTED_VALUE"""),45116.5562347569)</f>
        <v>45116.55623</v>
      </c>
      <c r="D2683" s="15">
        <f>IFERROR(__xludf.DUMMYFUNCTION("""COMPUTED_VALUE"""),1.004)</f>
        <v>1.004</v>
      </c>
      <c r="E2683" s="16">
        <f>IFERROR(__xludf.DUMMYFUNCTION("""COMPUTED_VALUE"""),72.0)</f>
        <v>72</v>
      </c>
      <c r="F2683" s="19" t="str">
        <f>IFERROR(__xludf.DUMMYFUNCTION("""COMPUTED_VALUE"""),"BLACK")</f>
        <v>BLACK</v>
      </c>
      <c r="G2683" s="20" t="str">
        <f>IFERROR(__xludf.DUMMYFUNCTION("""COMPUTED_VALUE"""),"Uncle Sams Cider (04/04/2023)")</f>
        <v>Uncle Sams Cider (04/04/2023)</v>
      </c>
      <c r="H2683" s="19"/>
    </row>
    <row r="2684">
      <c r="A2684" s="9"/>
      <c r="B2684" s="15"/>
      <c r="C2684" s="9">
        <f>IFERROR(__xludf.DUMMYFUNCTION("""COMPUTED_VALUE"""),45116.5458133796)</f>
        <v>45116.54581</v>
      </c>
      <c r="D2684" s="15">
        <f>IFERROR(__xludf.DUMMYFUNCTION("""COMPUTED_VALUE"""),1.004)</f>
        <v>1.004</v>
      </c>
      <c r="E2684" s="16">
        <f>IFERROR(__xludf.DUMMYFUNCTION("""COMPUTED_VALUE"""),72.0)</f>
        <v>72</v>
      </c>
      <c r="F2684" s="19" t="str">
        <f>IFERROR(__xludf.DUMMYFUNCTION("""COMPUTED_VALUE"""),"BLACK")</f>
        <v>BLACK</v>
      </c>
      <c r="G2684" s="20" t="str">
        <f>IFERROR(__xludf.DUMMYFUNCTION("""COMPUTED_VALUE"""),"Uncle Sams Cider (04/04/2023)")</f>
        <v>Uncle Sams Cider (04/04/2023)</v>
      </c>
      <c r="H2684" s="19"/>
    </row>
    <row r="2685">
      <c r="A2685" s="9"/>
      <c r="B2685" s="15"/>
      <c r="C2685" s="9">
        <f>IFERROR(__xludf.DUMMYFUNCTION("""COMPUTED_VALUE"""),45116.5353914351)</f>
        <v>45116.53539</v>
      </c>
      <c r="D2685" s="15">
        <f>IFERROR(__xludf.DUMMYFUNCTION("""COMPUTED_VALUE"""),1.003)</f>
        <v>1.003</v>
      </c>
      <c r="E2685" s="16">
        <f>IFERROR(__xludf.DUMMYFUNCTION("""COMPUTED_VALUE"""),72.0)</f>
        <v>72</v>
      </c>
      <c r="F2685" s="19" t="str">
        <f>IFERROR(__xludf.DUMMYFUNCTION("""COMPUTED_VALUE"""),"BLACK")</f>
        <v>BLACK</v>
      </c>
      <c r="G2685" s="20" t="str">
        <f>IFERROR(__xludf.DUMMYFUNCTION("""COMPUTED_VALUE"""),"Uncle Sams Cider (04/04/2023)")</f>
        <v>Uncle Sams Cider (04/04/2023)</v>
      </c>
      <c r="H2685" s="19"/>
    </row>
    <row r="2686">
      <c r="A2686" s="9"/>
      <c r="B2686" s="15"/>
      <c r="C2686" s="9">
        <f>IFERROR(__xludf.DUMMYFUNCTION("""COMPUTED_VALUE"""),45116.5249691203)</f>
        <v>45116.52497</v>
      </c>
      <c r="D2686" s="15">
        <f>IFERROR(__xludf.DUMMYFUNCTION("""COMPUTED_VALUE"""),1.003)</f>
        <v>1.003</v>
      </c>
      <c r="E2686" s="16">
        <f>IFERROR(__xludf.DUMMYFUNCTION("""COMPUTED_VALUE"""),72.0)</f>
        <v>72</v>
      </c>
      <c r="F2686" s="19" t="str">
        <f>IFERROR(__xludf.DUMMYFUNCTION("""COMPUTED_VALUE"""),"BLACK")</f>
        <v>BLACK</v>
      </c>
      <c r="G2686" s="20" t="str">
        <f>IFERROR(__xludf.DUMMYFUNCTION("""COMPUTED_VALUE"""),"Uncle Sams Cider (04/04/2023)")</f>
        <v>Uncle Sams Cider (04/04/2023)</v>
      </c>
      <c r="H2686" s="19"/>
    </row>
    <row r="2687">
      <c r="A2687" s="9"/>
      <c r="B2687" s="15"/>
      <c r="C2687" s="9">
        <f>IFERROR(__xludf.DUMMYFUNCTION("""COMPUTED_VALUE"""),45116.5145491898)</f>
        <v>45116.51455</v>
      </c>
      <c r="D2687" s="15">
        <f>IFERROR(__xludf.DUMMYFUNCTION("""COMPUTED_VALUE"""),1.004)</f>
        <v>1.004</v>
      </c>
      <c r="E2687" s="16">
        <f>IFERROR(__xludf.DUMMYFUNCTION("""COMPUTED_VALUE"""),72.0)</f>
        <v>72</v>
      </c>
      <c r="F2687" s="19" t="str">
        <f>IFERROR(__xludf.DUMMYFUNCTION("""COMPUTED_VALUE"""),"BLACK")</f>
        <v>BLACK</v>
      </c>
      <c r="G2687" s="20" t="str">
        <f>IFERROR(__xludf.DUMMYFUNCTION("""COMPUTED_VALUE"""),"Uncle Sams Cider (04/04/2023)")</f>
        <v>Uncle Sams Cider (04/04/2023)</v>
      </c>
      <c r="H2687" s="19"/>
    </row>
    <row r="2688">
      <c r="A2688" s="9"/>
      <c r="B2688" s="15"/>
      <c r="C2688" s="9">
        <f>IFERROR(__xludf.DUMMYFUNCTION("""COMPUTED_VALUE"""),45116.5041296527)</f>
        <v>45116.50413</v>
      </c>
      <c r="D2688" s="15">
        <f>IFERROR(__xludf.DUMMYFUNCTION("""COMPUTED_VALUE"""),1.004)</f>
        <v>1.004</v>
      </c>
      <c r="E2688" s="16">
        <f>IFERROR(__xludf.DUMMYFUNCTION("""COMPUTED_VALUE"""),72.0)</f>
        <v>72</v>
      </c>
      <c r="F2688" s="19" t="str">
        <f>IFERROR(__xludf.DUMMYFUNCTION("""COMPUTED_VALUE"""),"BLACK")</f>
        <v>BLACK</v>
      </c>
      <c r="G2688" s="20" t="str">
        <f>IFERROR(__xludf.DUMMYFUNCTION("""COMPUTED_VALUE"""),"Uncle Sams Cider (04/04/2023)")</f>
        <v>Uncle Sams Cider (04/04/2023)</v>
      </c>
      <c r="H2688" s="19"/>
    </row>
    <row r="2689">
      <c r="A2689" s="9"/>
      <c r="B2689" s="15"/>
      <c r="C2689" s="9">
        <f>IFERROR(__xludf.DUMMYFUNCTION("""COMPUTED_VALUE"""),45116.4936850694)</f>
        <v>45116.49369</v>
      </c>
      <c r="D2689" s="15">
        <f>IFERROR(__xludf.DUMMYFUNCTION("""COMPUTED_VALUE"""),1.004)</f>
        <v>1.004</v>
      </c>
      <c r="E2689" s="16">
        <f>IFERROR(__xludf.DUMMYFUNCTION("""COMPUTED_VALUE"""),72.0)</f>
        <v>72</v>
      </c>
      <c r="F2689" s="19" t="str">
        <f>IFERROR(__xludf.DUMMYFUNCTION("""COMPUTED_VALUE"""),"BLACK")</f>
        <v>BLACK</v>
      </c>
      <c r="G2689" s="20" t="str">
        <f>IFERROR(__xludf.DUMMYFUNCTION("""COMPUTED_VALUE"""),"Uncle Sams Cider (04/04/2023)")</f>
        <v>Uncle Sams Cider (04/04/2023)</v>
      </c>
      <c r="H2689" s="19"/>
    </row>
    <row r="2690">
      <c r="A2690" s="9"/>
      <c r="B2690" s="15"/>
      <c r="C2690" s="9">
        <f>IFERROR(__xludf.DUMMYFUNCTION("""COMPUTED_VALUE"""),45116.4832645717)</f>
        <v>45116.48326</v>
      </c>
      <c r="D2690" s="15">
        <f>IFERROR(__xludf.DUMMYFUNCTION("""COMPUTED_VALUE"""),1.003)</f>
        <v>1.003</v>
      </c>
      <c r="E2690" s="16">
        <f>IFERROR(__xludf.DUMMYFUNCTION("""COMPUTED_VALUE"""),72.0)</f>
        <v>72</v>
      </c>
      <c r="F2690" s="19" t="str">
        <f>IFERROR(__xludf.DUMMYFUNCTION("""COMPUTED_VALUE"""),"BLACK")</f>
        <v>BLACK</v>
      </c>
      <c r="G2690" s="20" t="str">
        <f>IFERROR(__xludf.DUMMYFUNCTION("""COMPUTED_VALUE"""),"Uncle Sams Cider (04/04/2023)")</f>
        <v>Uncle Sams Cider (04/04/2023)</v>
      </c>
      <c r="H2690" s="19"/>
    </row>
    <row r="2691">
      <c r="A2691" s="9"/>
      <c r="B2691" s="15"/>
      <c r="C2691" s="9">
        <f>IFERROR(__xludf.DUMMYFUNCTION("""COMPUTED_VALUE"""),45116.4728429976)</f>
        <v>45116.47284</v>
      </c>
      <c r="D2691" s="15">
        <f>IFERROR(__xludf.DUMMYFUNCTION("""COMPUTED_VALUE"""),1.003)</f>
        <v>1.003</v>
      </c>
      <c r="E2691" s="16">
        <f>IFERROR(__xludf.DUMMYFUNCTION("""COMPUTED_VALUE"""),72.0)</f>
        <v>72</v>
      </c>
      <c r="F2691" s="19" t="str">
        <f>IFERROR(__xludf.DUMMYFUNCTION("""COMPUTED_VALUE"""),"BLACK")</f>
        <v>BLACK</v>
      </c>
      <c r="G2691" s="20" t="str">
        <f>IFERROR(__xludf.DUMMYFUNCTION("""COMPUTED_VALUE"""),"Uncle Sams Cider (04/04/2023)")</f>
        <v>Uncle Sams Cider (04/04/2023)</v>
      </c>
      <c r="H2691" s="19"/>
    </row>
    <row r="2692">
      <c r="A2692" s="9"/>
      <c r="B2692" s="15"/>
      <c r="C2692" s="9">
        <f>IFERROR(__xludf.DUMMYFUNCTION("""COMPUTED_VALUE"""),45116.4624224189)</f>
        <v>45116.46242</v>
      </c>
      <c r="D2692" s="15">
        <f>IFERROR(__xludf.DUMMYFUNCTION("""COMPUTED_VALUE"""),1.004)</f>
        <v>1.004</v>
      </c>
      <c r="E2692" s="16">
        <f>IFERROR(__xludf.DUMMYFUNCTION("""COMPUTED_VALUE"""),72.0)</f>
        <v>72</v>
      </c>
      <c r="F2692" s="19" t="str">
        <f>IFERROR(__xludf.DUMMYFUNCTION("""COMPUTED_VALUE"""),"BLACK")</f>
        <v>BLACK</v>
      </c>
      <c r="G2692" s="20" t="str">
        <f>IFERROR(__xludf.DUMMYFUNCTION("""COMPUTED_VALUE"""),"Uncle Sams Cider (04/04/2023)")</f>
        <v>Uncle Sams Cider (04/04/2023)</v>
      </c>
      <c r="H2692" s="19"/>
    </row>
    <row r="2693">
      <c r="A2693" s="9"/>
      <c r="B2693" s="15"/>
      <c r="C2693" s="9">
        <f>IFERROR(__xludf.DUMMYFUNCTION("""COMPUTED_VALUE"""),45116.4520008101)</f>
        <v>45116.452</v>
      </c>
      <c r="D2693" s="15">
        <f>IFERROR(__xludf.DUMMYFUNCTION("""COMPUTED_VALUE"""),1.004)</f>
        <v>1.004</v>
      </c>
      <c r="E2693" s="16">
        <f>IFERROR(__xludf.DUMMYFUNCTION("""COMPUTED_VALUE"""),72.0)</f>
        <v>72</v>
      </c>
      <c r="F2693" s="19" t="str">
        <f>IFERROR(__xludf.DUMMYFUNCTION("""COMPUTED_VALUE"""),"BLACK")</f>
        <v>BLACK</v>
      </c>
      <c r="G2693" s="20" t="str">
        <f>IFERROR(__xludf.DUMMYFUNCTION("""COMPUTED_VALUE"""),"Uncle Sams Cider (04/04/2023)")</f>
        <v>Uncle Sams Cider (04/04/2023)</v>
      </c>
      <c r="H2693" s="19"/>
    </row>
    <row r="2694">
      <c r="A2694" s="9"/>
      <c r="B2694" s="15"/>
      <c r="C2694" s="9">
        <f>IFERROR(__xludf.DUMMYFUNCTION("""COMPUTED_VALUE"""),45116.4415812963)</f>
        <v>45116.44158</v>
      </c>
      <c r="D2694" s="15">
        <f>IFERROR(__xludf.DUMMYFUNCTION("""COMPUTED_VALUE"""),1.004)</f>
        <v>1.004</v>
      </c>
      <c r="E2694" s="16">
        <f>IFERROR(__xludf.DUMMYFUNCTION("""COMPUTED_VALUE"""),72.0)</f>
        <v>72</v>
      </c>
      <c r="F2694" s="19" t="str">
        <f>IFERROR(__xludf.DUMMYFUNCTION("""COMPUTED_VALUE"""),"BLACK")</f>
        <v>BLACK</v>
      </c>
      <c r="G2694" s="20" t="str">
        <f>IFERROR(__xludf.DUMMYFUNCTION("""COMPUTED_VALUE"""),"Uncle Sams Cider (04/04/2023)")</f>
        <v>Uncle Sams Cider (04/04/2023)</v>
      </c>
      <c r="H2694" s="19"/>
    </row>
    <row r="2695">
      <c r="A2695" s="9"/>
      <c r="B2695" s="15"/>
      <c r="C2695" s="9">
        <f>IFERROR(__xludf.DUMMYFUNCTION("""COMPUTED_VALUE"""),45116.4311606597)</f>
        <v>45116.43116</v>
      </c>
      <c r="D2695" s="15">
        <f>IFERROR(__xludf.DUMMYFUNCTION("""COMPUTED_VALUE"""),1.004)</f>
        <v>1.004</v>
      </c>
      <c r="E2695" s="16">
        <f>IFERROR(__xludf.DUMMYFUNCTION("""COMPUTED_VALUE"""),72.0)</f>
        <v>72</v>
      </c>
      <c r="F2695" s="19" t="str">
        <f>IFERROR(__xludf.DUMMYFUNCTION("""COMPUTED_VALUE"""),"BLACK")</f>
        <v>BLACK</v>
      </c>
      <c r="G2695" s="20" t="str">
        <f>IFERROR(__xludf.DUMMYFUNCTION("""COMPUTED_VALUE"""),"Uncle Sams Cider (04/04/2023)")</f>
        <v>Uncle Sams Cider (04/04/2023)</v>
      </c>
      <c r="H2695" s="19"/>
    </row>
    <row r="2696">
      <c r="A2696" s="9"/>
      <c r="B2696" s="15"/>
      <c r="C2696" s="9">
        <f>IFERROR(__xludf.DUMMYFUNCTION("""COMPUTED_VALUE"""),45116.4207407175)</f>
        <v>45116.42074</v>
      </c>
      <c r="D2696" s="15">
        <f>IFERROR(__xludf.DUMMYFUNCTION("""COMPUTED_VALUE"""),1.004)</f>
        <v>1.004</v>
      </c>
      <c r="E2696" s="16">
        <f>IFERROR(__xludf.DUMMYFUNCTION("""COMPUTED_VALUE"""),72.0)</f>
        <v>72</v>
      </c>
      <c r="F2696" s="19" t="str">
        <f>IFERROR(__xludf.DUMMYFUNCTION("""COMPUTED_VALUE"""),"BLACK")</f>
        <v>BLACK</v>
      </c>
      <c r="G2696" s="20" t="str">
        <f>IFERROR(__xludf.DUMMYFUNCTION("""COMPUTED_VALUE"""),"Uncle Sams Cider (04/04/2023)")</f>
        <v>Uncle Sams Cider (04/04/2023)</v>
      </c>
      <c r="H2696" s="19"/>
    </row>
    <row r="2697">
      <c r="A2697" s="9"/>
      <c r="B2697" s="15"/>
      <c r="C2697" s="9">
        <f>IFERROR(__xludf.DUMMYFUNCTION("""COMPUTED_VALUE"""),45116.4103082639)</f>
        <v>45116.41031</v>
      </c>
      <c r="D2697" s="15">
        <f>IFERROR(__xludf.DUMMYFUNCTION("""COMPUTED_VALUE"""),1.004)</f>
        <v>1.004</v>
      </c>
      <c r="E2697" s="16">
        <f>IFERROR(__xludf.DUMMYFUNCTION("""COMPUTED_VALUE"""),72.0)</f>
        <v>72</v>
      </c>
      <c r="F2697" s="19" t="str">
        <f>IFERROR(__xludf.DUMMYFUNCTION("""COMPUTED_VALUE"""),"BLACK")</f>
        <v>BLACK</v>
      </c>
      <c r="G2697" s="20" t="str">
        <f>IFERROR(__xludf.DUMMYFUNCTION("""COMPUTED_VALUE"""),"Uncle Sams Cider (04/04/2023)")</f>
        <v>Uncle Sams Cider (04/04/2023)</v>
      </c>
      <c r="H2697" s="19"/>
    </row>
    <row r="2698">
      <c r="A2698" s="9"/>
      <c r="B2698" s="15"/>
      <c r="C2698" s="9">
        <f>IFERROR(__xludf.DUMMYFUNCTION("""COMPUTED_VALUE"""),45116.3998757523)</f>
        <v>45116.39988</v>
      </c>
      <c r="D2698" s="15">
        <f>IFERROR(__xludf.DUMMYFUNCTION("""COMPUTED_VALUE"""),1.003)</f>
        <v>1.003</v>
      </c>
      <c r="E2698" s="16">
        <f>IFERROR(__xludf.DUMMYFUNCTION("""COMPUTED_VALUE"""),72.0)</f>
        <v>72</v>
      </c>
      <c r="F2698" s="19" t="str">
        <f>IFERROR(__xludf.DUMMYFUNCTION("""COMPUTED_VALUE"""),"BLACK")</f>
        <v>BLACK</v>
      </c>
      <c r="G2698" s="20" t="str">
        <f>IFERROR(__xludf.DUMMYFUNCTION("""COMPUTED_VALUE"""),"Uncle Sams Cider (04/04/2023)")</f>
        <v>Uncle Sams Cider (04/04/2023)</v>
      </c>
      <c r="H2698" s="19"/>
    </row>
    <row r="2699">
      <c r="A2699" s="9"/>
      <c r="B2699" s="15"/>
      <c r="C2699" s="9">
        <f>IFERROR(__xludf.DUMMYFUNCTION("""COMPUTED_VALUE"""),45116.3894428472)</f>
        <v>45116.38944</v>
      </c>
      <c r="D2699" s="15">
        <f>IFERROR(__xludf.DUMMYFUNCTION("""COMPUTED_VALUE"""),1.004)</f>
        <v>1.004</v>
      </c>
      <c r="E2699" s="16">
        <f>IFERROR(__xludf.DUMMYFUNCTION("""COMPUTED_VALUE"""),72.0)</f>
        <v>72</v>
      </c>
      <c r="F2699" s="19" t="str">
        <f>IFERROR(__xludf.DUMMYFUNCTION("""COMPUTED_VALUE"""),"BLACK")</f>
        <v>BLACK</v>
      </c>
      <c r="G2699" s="20" t="str">
        <f>IFERROR(__xludf.DUMMYFUNCTION("""COMPUTED_VALUE"""),"Uncle Sams Cider (04/04/2023)")</f>
        <v>Uncle Sams Cider (04/04/2023)</v>
      </c>
      <c r="H2699" s="19"/>
    </row>
    <row r="2700">
      <c r="A2700" s="9"/>
      <c r="B2700" s="15"/>
      <c r="C2700" s="9">
        <f>IFERROR(__xludf.DUMMYFUNCTION("""COMPUTED_VALUE"""),45116.3790209953)</f>
        <v>45116.37902</v>
      </c>
      <c r="D2700" s="15">
        <f>IFERROR(__xludf.DUMMYFUNCTION("""COMPUTED_VALUE"""),1.004)</f>
        <v>1.004</v>
      </c>
      <c r="E2700" s="16">
        <f>IFERROR(__xludf.DUMMYFUNCTION("""COMPUTED_VALUE"""),72.0)</f>
        <v>72</v>
      </c>
      <c r="F2700" s="19" t="str">
        <f>IFERROR(__xludf.DUMMYFUNCTION("""COMPUTED_VALUE"""),"BLACK")</f>
        <v>BLACK</v>
      </c>
      <c r="G2700" s="20" t="str">
        <f>IFERROR(__xludf.DUMMYFUNCTION("""COMPUTED_VALUE"""),"Uncle Sams Cider (04/04/2023)")</f>
        <v>Uncle Sams Cider (04/04/2023)</v>
      </c>
      <c r="H2700" s="19"/>
    </row>
    <row r="2701">
      <c r="A2701" s="9"/>
      <c r="B2701" s="15"/>
      <c r="C2701" s="9">
        <f>IFERROR(__xludf.DUMMYFUNCTION("""COMPUTED_VALUE"""),45116.3686019444)</f>
        <v>45116.3686</v>
      </c>
      <c r="D2701" s="15">
        <f>IFERROR(__xludf.DUMMYFUNCTION("""COMPUTED_VALUE"""),1.003)</f>
        <v>1.003</v>
      </c>
      <c r="E2701" s="16">
        <f>IFERROR(__xludf.DUMMYFUNCTION("""COMPUTED_VALUE"""),72.0)</f>
        <v>72</v>
      </c>
      <c r="F2701" s="19" t="str">
        <f>IFERROR(__xludf.DUMMYFUNCTION("""COMPUTED_VALUE"""),"BLACK")</f>
        <v>BLACK</v>
      </c>
      <c r="G2701" s="20" t="str">
        <f>IFERROR(__xludf.DUMMYFUNCTION("""COMPUTED_VALUE"""),"Uncle Sams Cider (04/04/2023)")</f>
        <v>Uncle Sams Cider (04/04/2023)</v>
      </c>
      <c r="H2701" s="19"/>
    </row>
    <row r="2702">
      <c r="A2702" s="9"/>
      <c r="B2702" s="15"/>
      <c r="C2702" s="9">
        <f>IFERROR(__xludf.DUMMYFUNCTION("""COMPUTED_VALUE"""),45116.3581799537)</f>
        <v>45116.35818</v>
      </c>
      <c r="D2702" s="15">
        <f>IFERROR(__xludf.DUMMYFUNCTION("""COMPUTED_VALUE"""),1.004)</f>
        <v>1.004</v>
      </c>
      <c r="E2702" s="16">
        <f>IFERROR(__xludf.DUMMYFUNCTION("""COMPUTED_VALUE"""),72.0)</f>
        <v>72</v>
      </c>
      <c r="F2702" s="19" t="str">
        <f>IFERROR(__xludf.DUMMYFUNCTION("""COMPUTED_VALUE"""),"BLACK")</f>
        <v>BLACK</v>
      </c>
      <c r="G2702" s="20" t="str">
        <f>IFERROR(__xludf.DUMMYFUNCTION("""COMPUTED_VALUE"""),"Uncle Sams Cider (04/04/2023)")</f>
        <v>Uncle Sams Cider (04/04/2023)</v>
      </c>
      <c r="H2702" s="19"/>
    </row>
    <row r="2703">
      <c r="A2703" s="9"/>
      <c r="B2703" s="15"/>
      <c r="C2703" s="9">
        <f>IFERROR(__xludf.DUMMYFUNCTION("""COMPUTED_VALUE"""),45116.3477584259)</f>
        <v>45116.34776</v>
      </c>
      <c r="D2703" s="15">
        <f>IFERROR(__xludf.DUMMYFUNCTION("""COMPUTED_VALUE"""),1.004)</f>
        <v>1.004</v>
      </c>
      <c r="E2703" s="16">
        <f>IFERROR(__xludf.DUMMYFUNCTION("""COMPUTED_VALUE"""),72.0)</f>
        <v>72</v>
      </c>
      <c r="F2703" s="19" t="str">
        <f>IFERROR(__xludf.DUMMYFUNCTION("""COMPUTED_VALUE"""),"BLACK")</f>
        <v>BLACK</v>
      </c>
      <c r="G2703" s="20" t="str">
        <f>IFERROR(__xludf.DUMMYFUNCTION("""COMPUTED_VALUE"""),"Uncle Sams Cider (04/04/2023)")</f>
        <v>Uncle Sams Cider (04/04/2023)</v>
      </c>
      <c r="H2703" s="19"/>
    </row>
    <row r="2704">
      <c r="A2704" s="9"/>
      <c r="B2704" s="15"/>
      <c r="C2704" s="9">
        <f>IFERROR(__xludf.DUMMYFUNCTION("""COMPUTED_VALUE"""),45116.3373371643)</f>
        <v>45116.33734</v>
      </c>
      <c r="D2704" s="15">
        <f>IFERROR(__xludf.DUMMYFUNCTION("""COMPUTED_VALUE"""),1.004)</f>
        <v>1.004</v>
      </c>
      <c r="E2704" s="16">
        <f>IFERROR(__xludf.DUMMYFUNCTION("""COMPUTED_VALUE"""),72.0)</f>
        <v>72</v>
      </c>
      <c r="F2704" s="19" t="str">
        <f>IFERROR(__xludf.DUMMYFUNCTION("""COMPUTED_VALUE"""),"BLACK")</f>
        <v>BLACK</v>
      </c>
      <c r="G2704" s="20" t="str">
        <f>IFERROR(__xludf.DUMMYFUNCTION("""COMPUTED_VALUE"""),"Uncle Sams Cider (04/04/2023)")</f>
        <v>Uncle Sams Cider (04/04/2023)</v>
      </c>
      <c r="H2704" s="19"/>
    </row>
    <row r="2705">
      <c r="A2705" s="9"/>
      <c r="B2705" s="15"/>
      <c r="C2705" s="9">
        <f>IFERROR(__xludf.DUMMYFUNCTION("""COMPUTED_VALUE"""),45116.3269177314)</f>
        <v>45116.32692</v>
      </c>
      <c r="D2705" s="15">
        <f>IFERROR(__xludf.DUMMYFUNCTION("""COMPUTED_VALUE"""),1.004)</f>
        <v>1.004</v>
      </c>
      <c r="E2705" s="16">
        <f>IFERROR(__xludf.DUMMYFUNCTION("""COMPUTED_VALUE"""),72.0)</f>
        <v>72</v>
      </c>
      <c r="F2705" s="19" t="str">
        <f>IFERROR(__xludf.DUMMYFUNCTION("""COMPUTED_VALUE"""),"BLACK")</f>
        <v>BLACK</v>
      </c>
      <c r="G2705" s="20" t="str">
        <f>IFERROR(__xludf.DUMMYFUNCTION("""COMPUTED_VALUE"""),"Uncle Sams Cider (04/04/2023)")</f>
        <v>Uncle Sams Cider (04/04/2023)</v>
      </c>
      <c r="H2705" s="19"/>
    </row>
    <row r="2706">
      <c r="A2706" s="9"/>
      <c r="B2706" s="15"/>
      <c r="C2706" s="9">
        <f>IFERROR(__xludf.DUMMYFUNCTION("""COMPUTED_VALUE"""),45116.3164849652)</f>
        <v>45116.31648</v>
      </c>
      <c r="D2706" s="15">
        <f>IFERROR(__xludf.DUMMYFUNCTION("""COMPUTED_VALUE"""),1.004)</f>
        <v>1.004</v>
      </c>
      <c r="E2706" s="16">
        <f>IFERROR(__xludf.DUMMYFUNCTION("""COMPUTED_VALUE"""),72.0)</f>
        <v>72</v>
      </c>
      <c r="F2706" s="19" t="str">
        <f>IFERROR(__xludf.DUMMYFUNCTION("""COMPUTED_VALUE"""),"BLACK")</f>
        <v>BLACK</v>
      </c>
      <c r="G2706" s="20" t="str">
        <f>IFERROR(__xludf.DUMMYFUNCTION("""COMPUTED_VALUE"""),"Uncle Sams Cider (04/04/2023)")</f>
        <v>Uncle Sams Cider (04/04/2023)</v>
      </c>
      <c r="H2706" s="19"/>
    </row>
    <row r="2707">
      <c r="A2707" s="9"/>
      <c r="B2707" s="15"/>
      <c r="C2707" s="9">
        <f>IFERROR(__xludf.DUMMYFUNCTION("""COMPUTED_VALUE"""),45116.3060645139)</f>
        <v>45116.30606</v>
      </c>
      <c r="D2707" s="15">
        <f>IFERROR(__xludf.DUMMYFUNCTION("""COMPUTED_VALUE"""),1.004)</f>
        <v>1.004</v>
      </c>
      <c r="E2707" s="16">
        <f>IFERROR(__xludf.DUMMYFUNCTION("""COMPUTED_VALUE"""),72.0)</f>
        <v>72</v>
      </c>
      <c r="F2707" s="19" t="str">
        <f>IFERROR(__xludf.DUMMYFUNCTION("""COMPUTED_VALUE"""),"BLACK")</f>
        <v>BLACK</v>
      </c>
      <c r="G2707" s="20" t="str">
        <f>IFERROR(__xludf.DUMMYFUNCTION("""COMPUTED_VALUE"""),"Uncle Sams Cider (04/04/2023)")</f>
        <v>Uncle Sams Cider (04/04/2023)</v>
      </c>
      <c r="H2707" s="19"/>
    </row>
    <row r="2708">
      <c r="A2708" s="9"/>
      <c r="B2708" s="15"/>
      <c r="C2708" s="9">
        <f>IFERROR(__xludf.DUMMYFUNCTION("""COMPUTED_VALUE"""),45116.2956434027)</f>
        <v>45116.29564</v>
      </c>
      <c r="D2708" s="15">
        <f>IFERROR(__xludf.DUMMYFUNCTION("""COMPUTED_VALUE"""),1.004)</f>
        <v>1.004</v>
      </c>
      <c r="E2708" s="16">
        <f>IFERROR(__xludf.DUMMYFUNCTION("""COMPUTED_VALUE"""),72.0)</f>
        <v>72</v>
      </c>
      <c r="F2708" s="19" t="str">
        <f>IFERROR(__xludf.DUMMYFUNCTION("""COMPUTED_VALUE"""),"BLACK")</f>
        <v>BLACK</v>
      </c>
      <c r="G2708" s="20" t="str">
        <f>IFERROR(__xludf.DUMMYFUNCTION("""COMPUTED_VALUE"""),"Uncle Sams Cider (04/04/2023)")</f>
        <v>Uncle Sams Cider (04/04/2023)</v>
      </c>
      <c r="H2708" s="19"/>
    </row>
    <row r="2709">
      <c r="A2709" s="9"/>
      <c r="B2709" s="15"/>
      <c r="C2709" s="9">
        <f>IFERROR(__xludf.DUMMYFUNCTION("""COMPUTED_VALUE"""),45116.2852212037)</f>
        <v>45116.28522</v>
      </c>
      <c r="D2709" s="15">
        <f>IFERROR(__xludf.DUMMYFUNCTION("""COMPUTED_VALUE"""),1.003)</f>
        <v>1.003</v>
      </c>
      <c r="E2709" s="16">
        <f>IFERROR(__xludf.DUMMYFUNCTION("""COMPUTED_VALUE"""),72.0)</f>
        <v>72</v>
      </c>
      <c r="F2709" s="19" t="str">
        <f>IFERROR(__xludf.DUMMYFUNCTION("""COMPUTED_VALUE"""),"BLACK")</f>
        <v>BLACK</v>
      </c>
      <c r="G2709" s="20" t="str">
        <f>IFERROR(__xludf.DUMMYFUNCTION("""COMPUTED_VALUE"""),"Uncle Sams Cider (04/04/2023)")</f>
        <v>Uncle Sams Cider (04/04/2023)</v>
      </c>
      <c r="H2709" s="19"/>
    </row>
    <row r="2710">
      <c r="A2710" s="9"/>
      <c r="B2710" s="15"/>
      <c r="C2710" s="9">
        <f>IFERROR(__xludf.DUMMYFUNCTION("""COMPUTED_VALUE"""),45116.2747768402)</f>
        <v>45116.27478</v>
      </c>
      <c r="D2710" s="15">
        <f>IFERROR(__xludf.DUMMYFUNCTION("""COMPUTED_VALUE"""),1.004)</f>
        <v>1.004</v>
      </c>
      <c r="E2710" s="16">
        <f>IFERROR(__xludf.DUMMYFUNCTION("""COMPUTED_VALUE"""),72.0)</f>
        <v>72</v>
      </c>
      <c r="F2710" s="19" t="str">
        <f>IFERROR(__xludf.DUMMYFUNCTION("""COMPUTED_VALUE"""),"BLACK")</f>
        <v>BLACK</v>
      </c>
      <c r="G2710" s="20" t="str">
        <f>IFERROR(__xludf.DUMMYFUNCTION("""COMPUTED_VALUE"""),"Uncle Sams Cider (04/04/2023)")</f>
        <v>Uncle Sams Cider (04/04/2023)</v>
      </c>
      <c r="H2710" s="19"/>
    </row>
    <row r="2711">
      <c r="A2711" s="9"/>
      <c r="B2711" s="15"/>
      <c r="C2711" s="9">
        <f>IFERROR(__xludf.DUMMYFUNCTION("""COMPUTED_VALUE"""),45116.2643523263)</f>
        <v>45116.26435</v>
      </c>
      <c r="D2711" s="15">
        <f>IFERROR(__xludf.DUMMYFUNCTION("""COMPUTED_VALUE"""),1.004)</f>
        <v>1.004</v>
      </c>
      <c r="E2711" s="16">
        <f>IFERROR(__xludf.DUMMYFUNCTION("""COMPUTED_VALUE"""),72.0)</f>
        <v>72</v>
      </c>
      <c r="F2711" s="19" t="str">
        <f>IFERROR(__xludf.DUMMYFUNCTION("""COMPUTED_VALUE"""),"BLACK")</f>
        <v>BLACK</v>
      </c>
      <c r="G2711" s="20" t="str">
        <f>IFERROR(__xludf.DUMMYFUNCTION("""COMPUTED_VALUE"""),"Uncle Sams Cider (04/04/2023)")</f>
        <v>Uncle Sams Cider (04/04/2023)</v>
      </c>
      <c r="H2711" s="19"/>
    </row>
    <row r="2712">
      <c r="A2712" s="9"/>
      <c r="B2712" s="15"/>
      <c r="C2712" s="9">
        <f>IFERROR(__xludf.DUMMYFUNCTION("""COMPUTED_VALUE"""),45116.2539319328)</f>
        <v>45116.25393</v>
      </c>
      <c r="D2712" s="15">
        <f>IFERROR(__xludf.DUMMYFUNCTION("""COMPUTED_VALUE"""),1.004)</f>
        <v>1.004</v>
      </c>
      <c r="E2712" s="16">
        <f>IFERROR(__xludf.DUMMYFUNCTION("""COMPUTED_VALUE"""),72.0)</f>
        <v>72</v>
      </c>
      <c r="F2712" s="19" t="str">
        <f>IFERROR(__xludf.DUMMYFUNCTION("""COMPUTED_VALUE"""),"BLACK")</f>
        <v>BLACK</v>
      </c>
      <c r="G2712" s="20" t="str">
        <f>IFERROR(__xludf.DUMMYFUNCTION("""COMPUTED_VALUE"""),"Uncle Sams Cider (04/04/2023)")</f>
        <v>Uncle Sams Cider (04/04/2023)</v>
      </c>
      <c r="H2712" s="19"/>
    </row>
    <row r="2713">
      <c r="A2713" s="9"/>
      <c r="B2713" s="15"/>
      <c r="C2713" s="9">
        <f>IFERROR(__xludf.DUMMYFUNCTION("""COMPUTED_VALUE"""),45116.2435112847)</f>
        <v>45116.24351</v>
      </c>
      <c r="D2713" s="15">
        <f>IFERROR(__xludf.DUMMYFUNCTION("""COMPUTED_VALUE"""),1.004)</f>
        <v>1.004</v>
      </c>
      <c r="E2713" s="16">
        <f>IFERROR(__xludf.DUMMYFUNCTION("""COMPUTED_VALUE"""),72.0)</f>
        <v>72</v>
      </c>
      <c r="F2713" s="19" t="str">
        <f>IFERROR(__xludf.DUMMYFUNCTION("""COMPUTED_VALUE"""),"BLACK")</f>
        <v>BLACK</v>
      </c>
      <c r="G2713" s="20" t="str">
        <f>IFERROR(__xludf.DUMMYFUNCTION("""COMPUTED_VALUE"""),"Uncle Sams Cider (04/04/2023)")</f>
        <v>Uncle Sams Cider (04/04/2023)</v>
      </c>
      <c r="H2713" s="19"/>
    </row>
    <row r="2714">
      <c r="A2714" s="9"/>
      <c r="B2714" s="15"/>
      <c r="C2714" s="9">
        <f>IFERROR(__xludf.DUMMYFUNCTION("""COMPUTED_VALUE"""),45116.2330791319)</f>
        <v>45116.23308</v>
      </c>
      <c r="D2714" s="15">
        <f>IFERROR(__xludf.DUMMYFUNCTION("""COMPUTED_VALUE"""),1.004)</f>
        <v>1.004</v>
      </c>
      <c r="E2714" s="16">
        <f>IFERROR(__xludf.DUMMYFUNCTION("""COMPUTED_VALUE"""),72.0)</f>
        <v>72</v>
      </c>
      <c r="F2714" s="19" t="str">
        <f>IFERROR(__xludf.DUMMYFUNCTION("""COMPUTED_VALUE"""),"BLACK")</f>
        <v>BLACK</v>
      </c>
      <c r="G2714" s="20" t="str">
        <f>IFERROR(__xludf.DUMMYFUNCTION("""COMPUTED_VALUE"""),"Uncle Sams Cider (04/04/2023)")</f>
        <v>Uncle Sams Cider (04/04/2023)</v>
      </c>
      <c r="H2714" s="19"/>
    </row>
    <row r="2715">
      <c r="A2715" s="9"/>
      <c r="B2715" s="15"/>
      <c r="C2715" s="9">
        <f>IFERROR(__xludf.DUMMYFUNCTION("""COMPUTED_VALUE"""),45116.2226562963)</f>
        <v>45116.22266</v>
      </c>
      <c r="D2715" s="15">
        <f>IFERROR(__xludf.DUMMYFUNCTION("""COMPUTED_VALUE"""),1.003)</f>
        <v>1.003</v>
      </c>
      <c r="E2715" s="16">
        <f>IFERROR(__xludf.DUMMYFUNCTION("""COMPUTED_VALUE"""),72.0)</f>
        <v>72</v>
      </c>
      <c r="F2715" s="19" t="str">
        <f>IFERROR(__xludf.DUMMYFUNCTION("""COMPUTED_VALUE"""),"BLACK")</f>
        <v>BLACK</v>
      </c>
      <c r="G2715" s="20" t="str">
        <f>IFERROR(__xludf.DUMMYFUNCTION("""COMPUTED_VALUE"""),"Uncle Sams Cider (04/04/2023)")</f>
        <v>Uncle Sams Cider (04/04/2023)</v>
      </c>
      <c r="H2715" s="19"/>
    </row>
    <row r="2716">
      <c r="A2716" s="9"/>
      <c r="B2716" s="15"/>
      <c r="C2716" s="9">
        <f>IFERROR(__xludf.DUMMYFUNCTION("""COMPUTED_VALUE"""),45116.2122086111)</f>
        <v>45116.21221</v>
      </c>
      <c r="D2716" s="15">
        <f>IFERROR(__xludf.DUMMYFUNCTION("""COMPUTED_VALUE"""),1.004)</f>
        <v>1.004</v>
      </c>
      <c r="E2716" s="16">
        <f>IFERROR(__xludf.DUMMYFUNCTION("""COMPUTED_VALUE"""),72.0)</f>
        <v>72</v>
      </c>
      <c r="F2716" s="19" t="str">
        <f>IFERROR(__xludf.DUMMYFUNCTION("""COMPUTED_VALUE"""),"BLACK")</f>
        <v>BLACK</v>
      </c>
      <c r="G2716" s="20" t="str">
        <f>IFERROR(__xludf.DUMMYFUNCTION("""COMPUTED_VALUE"""),"Uncle Sams Cider (04/04/2023)")</f>
        <v>Uncle Sams Cider (04/04/2023)</v>
      </c>
      <c r="H2716" s="19"/>
    </row>
    <row r="2717">
      <c r="A2717" s="9"/>
      <c r="B2717" s="15"/>
      <c r="C2717" s="9">
        <f>IFERROR(__xludf.DUMMYFUNCTION("""COMPUTED_VALUE"""),45116.2017873726)</f>
        <v>45116.20179</v>
      </c>
      <c r="D2717" s="15">
        <f>IFERROR(__xludf.DUMMYFUNCTION("""COMPUTED_VALUE"""),1.004)</f>
        <v>1.004</v>
      </c>
      <c r="E2717" s="16">
        <f>IFERROR(__xludf.DUMMYFUNCTION("""COMPUTED_VALUE"""),72.0)</f>
        <v>72</v>
      </c>
      <c r="F2717" s="19" t="str">
        <f>IFERROR(__xludf.DUMMYFUNCTION("""COMPUTED_VALUE"""),"BLACK")</f>
        <v>BLACK</v>
      </c>
      <c r="G2717" s="20" t="str">
        <f>IFERROR(__xludf.DUMMYFUNCTION("""COMPUTED_VALUE"""),"Uncle Sams Cider (04/04/2023)")</f>
        <v>Uncle Sams Cider (04/04/2023)</v>
      </c>
      <c r="H2717" s="19"/>
    </row>
    <row r="2718">
      <c r="A2718" s="9"/>
      <c r="B2718" s="15"/>
      <c r="C2718" s="9">
        <f>IFERROR(__xludf.DUMMYFUNCTION("""COMPUTED_VALUE"""),45116.1913437615)</f>
        <v>45116.19134</v>
      </c>
      <c r="D2718" s="15">
        <f>IFERROR(__xludf.DUMMYFUNCTION("""COMPUTED_VALUE"""),1.004)</f>
        <v>1.004</v>
      </c>
      <c r="E2718" s="16">
        <f>IFERROR(__xludf.DUMMYFUNCTION("""COMPUTED_VALUE"""),72.0)</f>
        <v>72</v>
      </c>
      <c r="F2718" s="19" t="str">
        <f>IFERROR(__xludf.DUMMYFUNCTION("""COMPUTED_VALUE"""),"BLACK")</f>
        <v>BLACK</v>
      </c>
      <c r="G2718" s="20" t="str">
        <f>IFERROR(__xludf.DUMMYFUNCTION("""COMPUTED_VALUE"""),"Uncle Sams Cider (04/04/2023)")</f>
        <v>Uncle Sams Cider (04/04/2023)</v>
      </c>
      <c r="H2718" s="19"/>
    </row>
    <row r="2719">
      <c r="A2719" s="9"/>
      <c r="B2719" s="15"/>
      <c r="C2719" s="9">
        <f>IFERROR(__xludf.DUMMYFUNCTION("""COMPUTED_VALUE"""),45116.1809220138)</f>
        <v>45116.18092</v>
      </c>
      <c r="D2719" s="15">
        <f>IFERROR(__xludf.DUMMYFUNCTION("""COMPUTED_VALUE"""),1.004)</f>
        <v>1.004</v>
      </c>
      <c r="E2719" s="16">
        <f>IFERROR(__xludf.DUMMYFUNCTION("""COMPUTED_VALUE"""),72.0)</f>
        <v>72</v>
      </c>
      <c r="F2719" s="19" t="str">
        <f>IFERROR(__xludf.DUMMYFUNCTION("""COMPUTED_VALUE"""),"BLACK")</f>
        <v>BLACK</v>
      </c>
      <c r="G2719" s="20" t="str">
        <f>IFERROR(__xludf.DUMMYFUNCTION("""COMPUTED_VALUE"""),"Uncle Sams Cider (04/04/2023)")</f>
        <v>Uncle Sams Cider (04/04/2023)</v>
      </c>
      <c r="H2719" s="19"/>
    </row>
    <row r="2720">
      <c r="A2720" s="9"/>
      <c r="B2720" s="15"/>
      <c r="C2720" s="9">
        <f>IFERROR(__xludf.DUMMYFUNCTION("""COMPUTED_VALUE"""),45116.1705026273)</f>
        <v>45116.1705</v>
      </c>
      <c r="D2720" s="15">
        <f>IFERROR(__xludf.DUMMYFUNCTION("""COMPUTED_VALUE"""),1.004)</f>
        <v>1.004</v>
      </c>
      <c r="E2720" s="16">
        <f>IFERROR(__xludf.DUMMYFUNCTION("""COMPUTED_VALUE"""),72.0)</f>
        <v>72</v>
      </c>
      <c r="F2720" s="19" t="str">
        <f>IFERROR(__xludf.DUMMYFUNCTION("""COMPUTED_VALUE"""),"BLACK")</f>
        <v>BLACK</v>
      </c>
      <c r="G2720" s="20" t="str">
        <f>IFERROR(__xludf.DUMMYFUNCTION("""COMPUTED_VALUE"""),"Uncle Sams Cider (04/04/2023)")</f>
        <v>Uncle Sams Cider (04/04/2023)</v>
      </c>
      <c r="H2720" s="19"/>
    </row>
    <row r="2721">
      <c r="A2721" s="9"/>
      <c r="B2721" s="15"/>
      <c r="C2721" s="9">
        <f>IFERROR(__xludf.DUMMYFUNCTION("""COMPUTED_VALUE"""),45116.1600797685)</f>
        <v>45116.16008</v>
      </c>
      <c r="D2721" s="15">
        <f>IFERROR(__xludf.DUMMYFUNCTION("""COMPUTED_VALUE"""),1.004)</f>
        <v>1.004</v>
      </c>
      <c r="E2721" s="16">
        <f>IFERROR(__xludf.DUMMYFUNCTION("""COMPUTED_VALUE"""),72.0)</f>
        <v>72</v>
      </c>
      <c r="F2721" s="19" t="str">
        <f>IFERROR(__xludf.DUMMYFUNCTION("""COMPUTED_VALUE"""),"BLACK")</f>
        <v>BLACK</v>
      </c>
      <c r="G2721" s="20" t="str">
        <f>IFERROR(__xludf.DUMMYFUNCTION("""COMPUTED_VALUE"""),"Uncle Sams Cider (04/04/2023)")</f>
        <v>Uncle Sams Cider (04/04/2023)</v>
      </c>
      <c r="H2721" s="19"/>
    </row>
    <row r="2722">
      <c r="A2722" s="9"/>
      <c r="B2722" s="15"/>
      <c r="C2722" s="9">
        <f>IFERROR(__xludf.DUMMYFUNCTION("""COMPUTED_VALUE"""),45116.1496584606)</f>
        <v>45116.14966</v>
      </c>
      <c r="D2722" s="15">
        <f>IFERROR(__xludf.DUMMYFUNCTION("""COMPUTED_VALUE"""),1.004)</f>
        <v>1.004</v>
      </c>
      <c r="E2722" s="16">
        <f>IFERROR(__xludf.DUMMYFUNCTION("""COMPUTED_VALUE"""),72.0)</f>
        <v>72</v>
      </c>
      <c r="F2722" s="19" t="str">
        <f>IFERROR(__xludf.DUMMYFUNCTION("""COMPUTED_VALUE"""),"BLACK")</f>
        <v>BLACK</v>
      </c>
      <c r="G2722" s="20" t="str">
        <f>IFERROR(__xludf.DUMMYFUNCTION("""COMPUTED_VALUE"""),"Uncle Sams Cider (04/04/2023)")</f>
        <v>Uncle Sams Cider (04/04/2023)</v>
      </c>
      <c r="H2722" s="19"/>
    </row>
    <row r="2723">
      <c r="A2723" s="9"/>
      <c r="B2723" s="15"/>
      <c r="C2723" s="9">
        <f>IFERROR(__xludf.DUMMYFUNCTION("""COMPUTED_VALUE"""),45116.1392374305)</f>
        <v>45116.13924</v>
      </c>
      <c r="D2723" s="15">
        <f>IFERROR(__xludf.DUMMYFUNCTION("""COMPUTED_VALUE"""),1.004)</f>
        <v>1.004</v>
      </c>
      <c r="E2723" s="16">
        <f>IFERROR(__xludf.DUMMYFUNCTION("""COMPUTED_VALUE"""),72.0)</f>
        <v>72</v>
      </c>
      <c r="F2723" s="19" t="str">
        <f>IFERROR(__xludf.DUMMYFUNCTION("""COMPUTED_VALUE"""),"BLACK")</f>
        <v>BLACK</v>
      </c>
      <c r="G2723" s="20" t="str">
        <f>IFERROR(__xludf.DUMMYFUNCTION("""COMPUTED_VALUE"""),"Uncle Sams Cider (04/04/2023)")</f>
        <v>Uncle Sams Cider (04/04/2023)</v>
      </c>
      <c r="H2723" s="19"/>
    </row>
    <row r="2724">
      <c r="A2724" s="9"/>
      <c r="B2724" s="15"/>
      <c r="C2724" s="9">
        <f>IFERROR(__xludf.DUMMYFUNCTION("""COMPUTED_VALUE"""),45116.1288152893)</f>
        <v>45116.12882</v>
      </c>
      <c r="D2724" s="15">
        <f>IFERROR(__xludf.DUMMYFUNCTION("""COMPUTED_VALUE"""),1.004)</f>
        <v>1.004</v>
      </c>
      <c r="E2724" s="16">
        <f>IFERROR(__xludf.DUMMYFUNCTION("""COMPUTED_VALUE"""),72.0)</f>
        <v>72</v>
      </c>
      <c r="F2724" s="19" t="str">
        <f>IFERROR(__xludf.DUMMYFUNCTION("""COMPUTED_VALUE"""),"BLACK")</f>
        <v>BLACK</v>
      </c>
      <c r="G2724" s="20" t="str">
        <f>IFERROR(__xludf.DUMMYFUNCTION("""COMPUTED_VALUE"""),"Uncle Sams Cider (04/04/2023)")</f>
        <v>Uncle Sams Cider (04/04/2023)</v>
      </c>
      <c r="H2724" s="19"/>
    </row>
    <row r="2725">
      <c r="A2725" s="9"/>
      <c r="B2725" s="15"/>
      <c r="C2725" s="9">
        <f>IFERROR(__xludf.DUMMYFUNCTION("""COMPUTED_VALUE"""),45116.1183953009)</f>
        <v>45116.1184</v>
      </c>
      <c r="D2725" s="15">
        <f>IFERROR(__xludf.DUMMYFUNCTION("""COMPUTED_VALUE"""),1.003)</f>
        <v>1.003</v>
      </c>
      <c r="E2725" s="16">
        <f>IFERROR(__xludf.DUMMYFUNCTION("""COMPUTED_VALUE"""),72.0)</f>
        <v>72</v>
      </c>
      <c r="F2725" s="19" t="str">
        <f>IFERROR(__xludf.DUMMYFUNCTION("""COMPUTED_VALUE"""),"BLACK")</f>
        <v>BLACK</v>
      </c>
      <c r="G2725" s="20" t="str">
        <f>IFERROR(__xludf.DUMMYFUNCTION("""COMPUTED_VALUE"""),"Uncle Sams Cider (04/04/2023)")</f>
        <v>Uncle Sams Cider (04/04/2023)</v>
      </c>
      <c r="H2725" s="19"/>
    </row>
    <row r="2726">
      <c r="A2726" s="9"/>
      <c r="B2726" s="15"/>
      <c r="C2726" s="9">
        <f>IFERROR(__xludf.DUMMYFUNCTION("""COMPUTED_VALUE"""),45116.1079498032)</f>
        <v>45116.10795</v>
      </c>
      <c r="D2726" s="15">
        <f>IFERROR(__xludf.DUMMYFUNCTION("""COMPUTED_VALUE"""),1.004)</f>
        <v>1.004</v>
      </c>
      <c r="E2726" s="16">
        <f>IFERROR(__xludf.DUMMYFUNCTION("""COMPUTED_VALUE"""),72.0)</f>
        <v>72</v>
      </c>
      <c r="F2726" s="19" t="str">
        <f>IFERROR(__xludf.DUMMYFUNCTION("""COMPUTED_VALUE"""),"BLACK")</f>
        <v>BLACK</v>
      </c>
      <c r="G2726" s="20" t="str">
        <f>IFERROR(__xludf.DUMMYFUNCTION("""COMPUTED_VALUE"""),"Uncle Sams Cider (04/04/2023)")</f>
        <v>Uncle Sams Cider (04/04/2023)</v>
      </c>
      <c r="H2726" s="19"/>
    </row>
    <row r="2727">
      <c r="A2727" s="9"/>
      <c r="B2727" s="15"/>
      <c r="C2727" s="9">
        <f>IFERROR(__xludf.DUMMYFUNCTION("""COMPUTED_VALUE"""),45116.0975277199)</f>
        <v>45116.09753</v>
      </c>
      <c r="D2727" s="15">
        <f>IFERROR(__xludf.DUMMYFUNCTION("""COMPUTED_VALUE"""),1.003)</f>
        <v>1.003</v>
      </c>
      <c r="E2727" s="16">
        <f>IFERROR(__xludf.DUMMYFUNCTION("""COMPUTED_VALUE"""),72.0)</f>
        <v>72</v>
      </c>
      <c r="F2727" s="19" t="str">
        <f>IFERROR(__xludf.DUMMYFUNCTION("""COMPUTED_VALUE"""),"BLACK")</f>
        <v>BLACK</v>
      </c>
      <c r="G2727" s="20" t="str">
        <f>IFERROR(__xludf.DUMMYFUNCTION("""COMPUTED_VALUE"""),"Uncle Sams Cider (04/04/2023)")</f>
        <v>Uncle Sams Cider (04/04/2023)</v>
      </c>
      <c r="H2727" s="19"/>
    </row>
    <row r="2728">
      <c r="A2728" s="9"/>
      <c r="B2728" s="15"/>
      <c r="C2728" s="9">
        <f>IFERROR(__xludf.DUMMYFUNCTION("""COMPUTED_VALUE"""),45116.0871058101)</f>
        <v>45116.08711</v>
      </c>
      <c r="D2728" s="15">
        <f>IFERROR(__xludf.DUMMYFUNCTION("""COMPUTED_VALUE"""),1.004)</f>
        <v>1.004</v>
      </c>
      <c r="E2728" s="16">
        <f>IFERROR(__xludf.DUMMYFUNCTION("""COMPUTED_VALUE"""),72.0)</f>
        <v>72</v>
      </c>
      <c r="F2728" s="19" t="str">
        <f>IFERROR(__xludf.DUMMYFUNCTION("""COMPUTED_VALUE"""),"BLACK")</f>
        <v>BLACK</v>
      </c>
      <c r="G2728" s="20" t="str">
        <f>IFERROR(__xludf.DUMMYFUNCTION("""COMPUTED_VALUE"""),"Uncle Sams Cider (04/04/2023)")</f>
        <v>Uncle Sams Cider (04/04/2023)</v>
      </c>
      <c r="H2728" s="19"/>
    </row>
    <row r="2729">
      <c r="A2729" s="9"/>
      <c r="B2729" s="15"/>
      <c r="C2729" s="9">
        <f>IFERROR(__xludf.DUMMYFUNCTION("""COMPUTED_VALUE"""),45116.0766835648)</f>
        <v>45116.07668</v>
      </c>
      <c r="D2729" s="15">
        <f>IFERROR(__xludf.DUMMYFUNCTION("""COMPUTED_VALUE"""),1.004)</f>
        <v>1.004</v>
      </c>
      <c r="E2729" s="16">
        <f>IFERROR(__xludf.DUMMYFUNCTION("""COMPUTED_VALUE"""),72.0)</f>
        <v>72</v>
      </c>
      <c r="F2729" s="19" t="str">
        <f>IFERROR(__xludf.DUMMYFUNCTION("""COMPUTED_VALUE"""),"BLACK")</f>
        <v>BLACK</v>
      </c>
      <c r="G2729" s="20" t="str">
        <f>IFERROR(__xludf.DUMMYFUNCTION("""COMPUTED_VALUE"""),"Uncle Sams Cider (04/04/2023)")</f>
        <v>Uncle Sams Cider (04/04/2023)</v>
      </c>
      <c r="H2729" s="19"/>
    </row>
    <row r="2730">
      <c r="A2730" s="9"/>
      <c r="B2730" s="15"/>
      <c r="C2730" s="9">
        <f>IFERROR(__xludf.DUMMYFUNCTION("""COMPUTED_VALUE"""),45116.0662612963)</f>
        <v>45116.06626</v>
      </c>
      <c r="D2730" s="15">
        <f>IFERROR(__xludf.DUMMYFUNCTION("""COMPUTED_VALUE"""),1.004)</f>
        <v>1.004</v>
      </c>
      <c r="E2730" s="16">
        <f>IFERROR(__xludf.DUMMYFUNCTION("""COMPUTED_VALUE"""),72.0)</f>
        <v>72</v>
      </c>
      <c r="F2730" s="19" t="str">
        <f>IFERROR(__xludf.DUMMYFUNCTION("""COMPUTED_VALUE"""),"BLACK")</f>
        <v>BLACK</v>
      </c>
      <c r="G2730" s="20" t="str">
        <f>IFERROR(__xludf.DUMMYFUNCTION("""COMPUTED_VALUE"""),"Uncle Sams Cider (04/04/2023)")</f>
        <v>Uncle Sams Cider (04/04/2023)</v>
      </c>
      <c r="H2730" s="19"/>
    </row>
    <row r="2731">
      <c r="A2731" s="9"/>
      <c r="B2731" s="15"/>
      <c r="C2731" s="9">
        <f>IFERROR(__xludf.DUMMYFUNCTION("""COMPUTED_VALUE"""),45116.0558409606)</f>
        <v>45116.05584</v>
      </c>
      <c r="D2731" s="15">
        <f>IFERROR(__xludf.DUMMYFUNCTION("""COMPUTED_VALUE"""),1.004)</f>
        <v>1.004</v>
      </c>
      <c r="E2731" s="16">
        <f>IFERROR(__xludf.DUMMYFUNCTION("""COMPUTED_VALUE"""),72.0)</f>
        <v>72</v>
      </c>
      <c r="F2731" s="19" t="str">
        <f>IFERROR(__xludf.DUMMYFUNCTION("""COMPUTED_VALUE"""),"BLACK")</f>
        <v>BLACK</v>
      </c>
      <c r="G2731" s="20" t="str">
        <f>IFERROR(__xludf.DUMMYFUNCTION("""COMPUTED_VALUE"""),"Uncle Sams Cider (04/04/2023)")</f>
        <v>Uncle Sams Cider (04/04/2023)</v>
      </c>
      <c r="H2731" s="19"/>
    </row>
    <row r="2732">
      <c r="A2732" s="9"/>
      <c r="B2732" s="15"/>
      <c r="C2732" s="9">
        <f>IFERROR(__xludf.DUMMYFUNCTION("""COMPUTED_VALUE"""),45116.0453978356)</f>
        <v>45116.0454</v>
      </c>
      <c r="D2732" s="15">
        <f>IFERROR(__xludf.DUMMYFUNCTION("""COMPUTED_VALUE"""),1.004)</f>
        <v>1.004</v>
      </c>
      <c r="E2732" s="16">
        <f>IFERROR(__xludf.DUMMYFUNCTION("""COMPUTED_VALUE"""),72.0)</f>
        <v>72</v>
      </c>
      <c r="F2732" s="19" t="str">
        <f>IFERROR(__xludf.DUMMYFUNCTION("""COMPUTED_VALUE"""),"BLACK")</f>
        <v>BLACK</v>
      </c>
      <c r="G2732" s="20" t="str">
        <f>IFERROR(__xludf.DUMMYFUNCTION("""COMPUTED_VALUE"""),"Uncle Sams Cider (04/04/2023)")</f>
        <v>Uncle Sams Cider (04/04/2023)</v>
      </c>
      <c r="H2732" s="19"/>
    </row>
    <row r="2733">
      <c r="A2733" s="9"/>
      <c r="B2733" s="15"/>
      <c r="C2733" s="9">
        <f>IFERROR(__xludf.DUMMYFUNCTION("""COMPUTED_VALUE"""),45116.0349781597)</f>
        <v>45116.03498</v>
      </c>
      <c r="D2733" s="15">
        <f>IFERROR(__xludf.DUMMYFUNCTION("""COMPUTED_VALUE"""),1.004)</f>
        <v>1.004</v>
      </c>
      <c r="E2733" s="16">
        <f>IFERROR(__xludf.DUMMYFUNCTION("""COMPUTED_VALUE"""),72.0)</f>
        <v>72</v>
      </c>
      <c r="F2733" s="19" t="str">
        <f>IFERROR(__xludf.DUMMYFUNCTION("""COMPUTED_VALUE"""),"BLACK")</f>
        <v>BLACK</v>
      </c>
      <c r="G2733" s="20" t="str">
        <f>IFERROR(__xludf.DUMMYFUNCTION("""COMPUTED_VALUE"""),"Uncle Sams Cider (04/04/2023)")</f>
        <v>Uncle Sams Cider (04/04/2023)</v>
      </c>
      <c r="H2733" s="19"/>
    </row>
    <row r="2734">
      <c r="A2734" s="9"/>
      <c r="B2734" s="15"/>
      <c r="C2734" s="9">
        <f>IFERROR(__xludf.DUMMYFUNCTION("""COMPUTED_VALUE"""),45116.0245576967)</f>
        <v>45116.02456</v>
      </c>
      <c r="D2734" s="15">
        <f>IFERROR(__xludf.DUMMYFUNCTION("""COMPUTED_VALUE"""),1.004)</f>
        <v>1.004</v>
      </c>
      <c r="E2734" s="16">
        <f>IFERROR(__xludf.DUMMYFUNCTION("""COMPUTED_VALUE"""),72.0)</f>
        <v>72</v>
      </c>
      <c r="F2734" s="19" t="str">
        <f>IFERROR(__xludf.DUMMYFUNCTION("""COMPUTED_VALUE"""),"BLACK")</f>
        <v>BLACK</v>
      </c>
      <c r="G2734" s="20" t="str">
        <f>IFERROR(__xludf.DUMMYFUNCTION("""COMPUTED_VALUE"""),"Uncle Sams Cider (04/04/2023)")</f>
        <v>Uncle Sams Cider (04/04/2023)</v>
      </c>
      <c r="H2734" s="19"/>
    </row>
    <row r="2735">
      <c r="A2735" s="9"/>
      <c r="B2735" s="15"/>
      <c r="C2735" s="9">
        <f>IFERROR(__xludf.DUMMYFUNCTION("""COMPUTED_VALUE"""),45116.0141357754)</f>
        <v>45116.01414</v>
      </c>
      <c r="D2735" s="15">
        <f>IFERROR(__xludf.DUMMYFUNCTION("""COMPUTED_VALUE"""),1.004)</f>
        <v>1.004</v>
      </c>
      <c r="E2735" s="16">
        <f>IFERROR(__xludf.DUMMYFUNCTION("""COMPUTED_VALUE"""),72.0)</f>
        <v>72</v>
      </c>
      <c r="F2735" s="19" t="str">
        <f>IFERROR(__xludf.DUMMYFUNCTION("""COMPUTED_VALUE"""),"BLACK")</f>
        <v>BLACK</v>
      </c>
      <c r="G2735" s="20" t="str">
        <f>IFERROR(__xludf.DUMMYFUNCTION("""COMPUTED_VALUE"""),"Uncle Sams Cider (04/04/2023)")</f>
        <v>Uncle Sams Cider (04/04/2023)</v>
      </c>
      <c r="H2735" s="19"/>
    </row>
    <row r="2736">
      <c r="A2736" s="9"/>
      <c r="B2736" s="15"/>
      <c r="C2736" s="9">
        <f>IFERROR(__xludf.DUMMYFUNCTION("""COMPUTED_VALUE"""),45116.0037135879)</f>
        <v>45116.00371</v>
      </c>
      <c r="D2736" s="15">
        <f>IFERROR(__xludf.DUMMYFUNCTION("""COMPUTED_VALUE"""),1.004)</f>
        <v>1.004</v>
      </c>
      <c r="E2736" s="16">
        <f>IFERROR(__xludf.DUMMYFUNCTION("""COMPUTED_VALUE"""),72.0)</f>
        <v>72</v>
      </c>
      <c r="F2736" s="19" t="str">
        <f>IFERROR(__xludf.DUMMYFUNCTION("""COMPUTED_VALUE"""),"BLACK")</f>
        <v>BLACK</v>
      </c>
      <c r="G2736" s="20" t="str">
        <f>IFERROR(__xludf.DUMMYFUNCTION("""COMPUTED_VALUE"""),"Uncle Sams Cider (04/04/2023)")</f>
        <v>Uncle Sams Cider (04/04/2023)</v>
      </c>
      <c r="H2736" s="19"/>
    </row>
    <row r="2737">
      <c r="A2737" s="9"/>
      <c r="B2737" s="15"/>
      <c r="C2737" s="9">
        <f>IFERROR(__xludf.DUMMYFUNCTION("""COMPUTED_VALUE"""),45115.9932802893)</f>
        <v>45115.99328</v>
      </c>
      <c r="D2737" s="15">
        <f>IFERROR(__xludf.DUMMYFUNCTION("""COMPUTED_VALUE"""),1.004)</f>
        <v>1.004</v>
      </c>
      <c r="E2737" s="16">
        <f>IFERROR(__xludf.DUMMYFUNCTION("""COMPUTED_VALUE"""),72.0)</f>
        <v>72</v>
      </c>
      <c r="F2737" s="19" t="str">
        <f>IFERROR(__xludf.DUMMYFUNCTION("""COMPUTED_VALUE"""),"BLACK")</f>
        <v>BLACK</v>
      </c>
      <c r="G2737" s="20" t="str">
        <f>IFERROR(__xludf.DUMMYFUNCTION("""COMPUTED_VALUE"""),"Uncle Sams Cider (04/04/2023)")</f>
        <v>Uncle Sams Cider (04/04/2023)</v>
      </c>
      <c r="H2737" s="19"/>
    </row>
    <row r="2738">
      <c r="A2738" s="9"/>
      <c r="B2738" s="15"/>
      <c r="C2738" s="9">
        <f>IFERROR(__xludf.DUMMYFUNCTION("""COMPUTED_VALUE"""),45115.9828489467)</f>
        <v>45115.98285</v>
      </c>
      <c r="D2738" s="15">
        <f>IFERROR(__xludf.DUMMYFUNCTION("""COMPUTED_VALUE"""),1.004)</f>
        <v>1.004</v>
      </c>
      <c r="E2738" s="16">
        <f>IFERROR(__xludf.DUMMYFUNCTION("""COMPUTED_VALUE"""),72.0)</f>
        <v>72</v>
      </c>
      <c r="F2738" s="19" t="str">
        <f>IFERROR(__xludf.DUMMYFUNCTION("""COMPUTED_VALUE"""),"BLACK")</f>
        <v>BLACK</v>
      </c>
      <c r="G2738" s="20" t="str">
        <f>IFERROR(__xludf.DUMMYFUNCTION("""COMPUTED_VALUE"""),"Uncle Sams Cider (04/04/2023)")</f>
        <v>Uncle Sams Cider (04/04/2023)</v>
      </c>
      <c r="H2738" s="19"/>
    </row>
    <row r="2739">
      <c r="A2739" s="9"/>
      <c r="B2739" s="15"/>
      <c r="C2739" s="9">
        <f>IFERROR(__xludf.DUMMYFUNCTION("""COMPUTED_VALUE"""),45115.972428368)</f>
        <v>45115.97243</v>
      </c>
      <c r="D2739" s="15">
        <f>IFERROR(__xludf.DUMMYFUNCTION("""COMPUTED_VALUE"""),1.004)</f>
        <v>1.004</v>
      </c>
      <c r="E2739" s="16">
        <f>IFERROR(__xludf.DUMMYFUNCTION("""COMPUTED_VALUE"""),72.0)</f>
        <v>72</v>
      </c>
      <c r="F2739" s="19" t="str">
        <f>IFERROR(__xludf.DUMMYFUNCTION("""COMPUTED_VALUE"""),"BLACK")</f>
        <v>BLACK</v>
      </c>
      <c r="G2739" s="20" t="str">
        <f>IFERROR(__xludf.DUMMYFUNCTION("""COMPUTED_VALUE"""),"Uncle Sams Cider (04/04/2023)")</f>
        <v>Uncle Sams Cider (04/04/2023)</v>
      </c>
      <c r="H2739" s="19"/>
    </row>
    <row r="2740">
      <c r="A2740" s="9"/>
      <c r="B2740" s="15"/>
      <c r="C2740" s="9">
        <f>IFERROR(__xludf.DUMMYFUNCTION("""COMPUTED_VALUE"""),45115.9620091319)</f>
        <v>45115.96201</v>
      </c>
      <c r="D2740" s="15">
        <f>IFERROR(__xludf.DUMMYFUNCTION("""COMPUTED_VALUE"""),1.004)</f>
        <v>1.004</v>
      </c>
      <c r="E2740" s="16">
        <f>IFERROR(__xludf.DUMMYFUNCTION("""COMPUTED_VALUE"""),72.0)</f>
        <v>72</v>
      </c>
      <c r="F2740" s="19" t="str">
        <f>IFERROR(__xludf.DUMMYFUNCTION("""COMPUTED_VALUE"""),"BLACK")</f>
        <v>BLACK</v>
      </c>
      <c r="G2740" s="20" t="str">
        <f>IFERROR(__xludf.DUMMYFUNCTION("""COMPUTED_VALUE"""),"Uncle Sams Cider (04/04/2023)")</f>
        <v>Uncle Sams Cider (04/04/2023)</v>
      </c>
      <c r="H2740" s="19"/>
    </row>
    <row r="2741">
      <c r="A2741" s="9"/>
      <c r="B2741" s="15"/>
      <c r="C2741" s="9">
        <f>IFERROR(__xludf.DUMMYFUNCTION("""COMPUTED_VALUE"""),45115.9515874421)</f>
        <v>45115.95159</v>
      </c>
      <c r="D2741" s="15">
        <f>IFERROR(__xludf.DUMMYFUNCTION("""COMPUTED_VALUE"""),1.004)</f>
        <v>1.004</v>
      </c>
      <c r="E2741" s="16">
        <f>IFERROR(__xludf.DUMMYFUNCTION("""COMPUTED_VALUE"""),72.0)</f>
        <v>72</v>
      </c>
      <c r="F2741" s="19" t="str">
        <f>IFERROR(__xludf.DUMMYFUNCTION("""COMPUTED_VALUE"""),"BLACK")</f>
        <v>BLACK</v>
      </c>
      <c r="G2741" s="20" t="str">
        <f>IFERROR(__xludf.DUMMYFUNCTION("""COMPUTED_VALUE"""),"Uncle Sams Cider (04/04/2023)")</f>
        <v>Uncle Sams Cider (04/04/2023)</v>
      </c>
      <c r="H2741" s="19"/>
    </row>
    <row r="2742">
      <c r="A2742" s="9"/>
      <c r="B2742" s="15"/>
      <c r="C2742" s="9">
        <f>IFERROR(__xludf.DUMMYFUNCTION("""COMPUTED_VALUE"""),45115.941165)</f>
        <v>45115.94117</v>
      </c>
      <c r="D2742" s="15">
        <f>IFERROR(__xludf.DUMMYFUNCTION("""COMPUTED_VALUE"""),1.004)</f>
        <v>1.004</v>
      </c>
      <c r="E2742" s="16">
        <f>IFERROR(__xludf.DUMMYFUNCTION("""COMPUTED_VALUE"""),71.0)</f>
        <v>71</v>
      </c>
      <c r="F2742" s="19" t="str">
        <f>IFERROR(__xludf.DUMMYFUNCTION("""COMPUTED_VALUE"""),"BLACK")</f>
        <v>BLACK</v>
      </c>
      <c r="G2742" s="20" t="str">
        <f>IFERROR(__xludf.DUMMYFUNCTION("""COMPUTED_VALUE"""),"Uncle Sams Cider (04/04/2023)")</f>
        <v>Uncle Sams Cider (04/04/2023)</v>
      </c>
      <c r="H2742" s="19"/>
    </row>
    <row r="2743">
      <c r="A2743" s="9"/>
      <c r="B2743" s="15"/>
      <c r="C2743" s="9">
        <f>IFERROR(__xludf.DUMMYFUNCTION("""COMPUTED_VALUE"""),45115.9307420717)</f>
        <v>45115.93074</v>
      </c>
      <c r="D2743" s="15">
        <f>IFERROR(__xludf.DUMMYFUNCTION("""COMPUTED_VALUE"""),1.004)</f>
        <v>1.004</v>
      </c>
      <c r="E2743" s="16">
        <f>IFERROR(__xludf.DUMMYFUNCTION("""COMPUTED_VALUE"""),72.0)</f>
        <v>72</v>
      </c>
      <c r="F2743" s="19" t="str">
        <f>IFERROR(__xludf.DUMMYFUNCTION("""COMPUTED_VALUE"""),"BLACK")</f>
        <v>BLACK</v>
      </c>
      <c r="G2743" s="20" t="str">
        <f>IFERROR(__xludf.DUMMYFUNCTION("""COMPUTED_VALUE"""),"Uncle Sams Cider (04/04/2023)")</f>
        <v>Uncle Sams Cider (04/04/2023)</v>
      </c>
      <c r="H2743" s="19"/>
    </row>
    <row r="2744">
      <c r="A2744" s="9"/>
      <c r="B2744" s="15"/>
      <c r="C2744" s="9">
        <f>IFERROR(__xludf.DUMMYFUNCTION("""COMPUTED_VALUE"""),45115.920321412)</f>
        <v>45115.92032</v>
      </c>
      <c r="D2744" s="15">
        <f>IFERROR(__xludf.DUMMYFUNCTION("""COMPUTED_VALUE"""),1.004)</f>
        <v>1.004</v>
      </c>
      <c r="E2744" s="16">
        <f>IFERROR(__xludf.DUMMYFUNCTION("""COMPUTED_VALUE"""),72.0)</f>
        <v>72</v>
      </c>
      <c r="F2744" s="19" t="str">
        <f>IFERROR(__xludf.DUMMYFUNCTION("""COMPUTED_VALUE"""),"BLACK")</f>
        <v>BLACK</v>
      </c>
      <c r="G2744" s="20" t="str">
        <f>IFERROR(__xludf.DUMMYFUNCTION("""COMPUTED_VALUE"""),"Uncle Sams Cider (04/04/2023)")</f>
        <v>Uncle Sams Cider (04/04/2023)</v>
      </c>
      <c r="H2744" s="19"/>
    </row>
    <row r="2745">
      <c r="A2745" s="9"/>
      <c r="B2745" s="15"/>
      <c r="C2745" s="9">
        <f>IFERROR(__xludf.DUMMYFUNCTION("""COMPUTED_VALUE"""),45115.9098903587)</f>
        <v>45115.90989</v>
      </c>
      <c r="D2745" s="15">
        <f>IFERROR(__xludf.DUMMYFUNCTION("""COMPUTED_VALUE"""),1.004)</f>
        <v>1.004</v>
      </c>
      <c r="E2745" s="16">
        <f>IFERROR(__xludf.DUMMYFUNCTION("""COMPUTED_VALUE"""),72.0)</f>
        <v>72</v>
      </c>
      <c r="F2745" s="19" t="str">
        <f>IFERROR(__xludf.DUMMYFUNCTION("""COMPUTED_VALUE"""),"BLACK")</f>
        <v>BLACK</v>
      </c>
      <c r="G2745" s="20" t="str">
        <f>IFERROR(__xludf.DUMMYFUNCTION("""COMPUTED_VALUE"""),"Uncle Sams Cider (04/04/2023)")</f>
        <v>Uncle Sams Cider (04/04/2023)</v>
      </c>
      <c r="H2745" s="19"/>
    </row>
    <row r="2746">
      <c r="A2746" s="9"/>
      <c r="B2746" s="15"/>
      <c r="C2746" s="9">
        <f>IFERROR(__xludf.DUMMYFUNCTION("""COMPUTED_VALUE"""),45115.8994599884)</f>
        <v>45115.89946</v>
      </c>
      <c r="D2746" s="15">
        <f>IFERROR(__xludf.DUMMYFUNCTION("""COMPUTED_VALUE"""),1.004)</f>
        <v>1.004</v>
      </c>
      <c r="E2746" s="16">
        <f>IFERROR(__xludf.DUMMYFUNCTION("""COMPUTED_VALUE"""),71.0)</f>
        <v>71</v>
      </c>
      <c r="F2746" s="19" t="str">
        <f>IFERROR(__xludf.DUMMYFUNCTION("""COMPUTED_VALUE"""),"BLACK")</f>
        <v>BLACK</v>
      </c>
      <c r="G2746" s="20" t="str">
        <f>IFERROR(__xludf.DUMMYFUNCTION("""COMPUTED_VALUE"""),"Uncle Sams Cider (04/04/2023)")</f>
        <v>Uncle Sams Cider (04/04/2023)</v>
      </c>
      <c r="H2746" s="19"/>
    </row>
    <row r="2747">
      <c r="A2747" s="9"/>
      <c r="B2747" s="15"/>
      <c r="C2747" s="9">
        <f>IFERROR(__xludf.DUMMYFUNCTION("""COMPUTED_VALUE"""),45115.8890407176)</f>
        <v>45115.88904</v>
      </c>
      <c r="D2747" s="15">
        <f>IFERROR(__xludf.DUMMYFUNCTION("""COMPUTED_VALUE"""),1.003)</f>
        <v>1.003</v>
      </c>
      <c r="E2747" s="16">
        <f>IFERROR(__xludf.DUMMYFUNCTION("""COMPUTED_VALUE"""),72.0)</f>
        <v>72</v>
      </c>
      <c r="F2747" s="19" t="str">
        <f>IFERROR(__xludf.DUMMYFUNCTION("""COMPUTED_VALUE"""),"BLACK")</f>
        <v>BLACK</v>
      </c>
      <c r="G2747" s="20" t="str">
        <f>IFERROR(__xludf.DUMMYFUNCTION("""COMPUTED_VALUE"""),"Uncle Sams Cider (04/04/2023)")</f>
        <v>Uncle Sams Cider (04/04/2023)</v>
      </c>
      <c r="H2747" s="19"/>
    </row>
    <row r="2748">
      <c r="A2748" s="9"/>
      <c r="B2748" s="15"/>
      <c r="C2748" s="9">
        <f>IFERROR(__xludf.DUMMYFUNCTION("""COMPUTED_VALUE"""),45115.8786087152)</f>
        <v>45115.87861</v>
      </c>
      <c r="D2748" s="15">
        <f>IFERROR(__xludf.DUMMYFUNCTION("""COMPUTED_VALUE"""),1.004)</f>
        <v>1.004</v>
      </c>
      <c r="E2748" s="16">
        <f>IFERROR(__xludf.DUMMYFUNCTION("""COMPUTED_VALUE"""),72.0)</f>
        <v>72</v>
      </c>
      <c r="F2748" s="19" t="str">
        <f>IFERROR(__xludf.DUMMYFUNCTION("""COMPUTED_VALUE"""),"BLACK")</f>
        <v>BLACK</v>
      </c>
      <c r="G2748" s="20" t="str">
        <f>IFERROR(__xludf.DUMMYFUNCTION("""COMPUTED_VALUE"""),"Uncle Sams Cider (04/04/2023)")</f>
        <v>Uncle Sams Cider (04/04/2023)</v>
      </c>
      <c r="H2748" s="19"/>
    </row>
    <row r="2749">
      <c r="A2749" s="9"/>
      <c r="B2749" s="15"/>
      <c r="C2749" s="9">
        <f>IFERROR(__xludf.DUMMYFUNCTION("""COMPUTED_VALUE"""),45115.868176574)</f>
        <v>45115.86818</v>
      </c>
      <c r="D2749" s="15">
        <f>IFERROR(__xludf.DUMMYFUNCTION("""COMPUTED_VALUE"""),1.004)</f>
        <v>1.004</v>
      </c>
      <c r="E2749" s="16">
        <f>IFERROR(__xludf.DUMMYFUNCTION("""COMPUTED_VALUE"""),72.0)</f>
        <v>72</v>
      </c>
      <c r="F2749" s="19" t="str">
        <f>IFERROR(__xludf.DUMMYFUNCTION("""COMPUTED_VALUE"""),"BLACK")</f>
        <v>BLACK</v>
      </c>
      <c r="G2749" s="20" t="str">
        <f>IFERROR(__xludf.DUMMYFUNCTION("""COMPUTED_VALUE"""),"Uncle Sams Cider (04/04/2023)")</f>
        <v>Uncle Sams Cider (04/04/2023)</v>
      </c>
      <c r="H2749" s="19"/>
    </row>
    <row r="2750">
      <c r="A2750" s="9"/>
      <c r="B2750" s="15"/>
      <c r="C2750" s="9">
        <f>IFERROR(__xludf.DUMMYFUNCTION("""COMPUTED_VALUE"""),45115.8577537963)</f>
        <v>45115.85775</v>
      </c>
      <c r="D2750" s="15">
        <f>IFERROR(__xludf.DUMMYFUNCTION("""COMPUTED_VALUE"""),1.004)</f>
        <v>1.004</v>
      </c>
      <c r="E2750" s="16">
        <f>IFERROR(__xludf.DUMMYFUNCTION("""COMPUTED_VALUE"""),71.0)</f>
        <v>71</v>
      </c>
      <c r="F2750" s="19" t="str">
        <f>IFERROR(__xludf.DUMMYFUNCTION("""COMPUTED_VALUE"""),"BLACK")</f>
        <v>BLACK</v>
      </c>
      <c r="G2750" s="20" t="str">
        <f>IFERROR(__xludf.DUMMYFUNCTION("""COMPUTED_VALUE"""),"Uncle Sams Cider (04/04/2023)")</f>
        <v>Uncle Sams Cider (04/04/2023)</v>
      </c>
      <c r="H2750" s="19"/>
    </row>
    <row r="2751">
      <c r="A2751" s="9"/>
      <c r="B2751" s="15"/>
      <c r="C2751" s="9">
        <f>IFERROR(__xludf.DUMMYFUNCTION("""COMPUTED_VALUE"""),45115.8473331712)</f>
        <v>45115.84733</v>
      </c>
      <c r="D2751" s="15">
        <f>IFERROR(__xludf.DUMMYFUNCTION("""COMPUTED_VALUE"""),1.004)</f>
        <v>1.004</v>
      </c>
      <c r="E2751" s="16">
        <f>IFERROR(__xludf.DUMMYFUNCTION("""COMPUTED_VALUE"""),71.0)</f>
        <v>71</v>
      </c>
      <c r="F2751" s="19" t="str">
        <f>IFERROR(__xludf.DUMMYFUNCTION("""COMPUTED_VALUE"""),"BLACK")</f>
        <v>BLACK</v>
      </c>
      <c r="G2751" s="20" t="str">
        <f>IFERROR(__xludf.DUMMYFUNCTION("""COMPUTED_VALUE"""),"Uncle Sams Cider (04/04/2023)")</f>
        <v>Uncle Sams Cider (04/04/2023)</v>
      </c>
      <c r="H2751" s="19"/>
    </row>
    <row r="2752">
      <c r="A2752" s="9"/>
      <c r="B2752" s="15"/>
      <c r="C2752" s="9">
        <f>IFERROR(__xludf.DUMMYFUNCTION("""COMPUTED_VALUE"""),45115.8369109259)</f>
        <v>45115.83691</v>
      </c>
      <c r="D2752" s="15">
        <f>IFERROR(__xludf.DUMMYFUNCTION("""COMPUTED_VALUE"""),1.004)</f>
        <v>1.004</v>
      </c>
      <c r="E2752" s="16">
        <f>IFERROR(__xludf.DUMMYFUNCTION("""COMPUTED_VALUE"""),71.0)</f>
        <v>71</v>
      </c>
      <c r="F2752" s="19" t="str">
        <f>IFERROR(__xludf.DUMMYFUNCTION("""COMPUTED_VALUE"""),"BLACK")</f>
        <v>BLACK</v>
      </c>
      <c r="G2752" s="20" t="str">
        <f>IFERROR(__xludf.DUMMYFUNCTION("""COMPUTED_VALUE"""),"Uncle Sams Cider (04/04/2023)")</f>
        <v>Uncle Sams Cider (04/04/2023)</v>
      </c>
      <c r="H2752" s="19"/>
    </row>
    <row r="2753">
      <c r="A2753" s="9"/>
      <c r="B2753" s="15"/>
      <c r="C2753" s="9">
        <f>IFERROR(__xludf.DUMMYFUNCTION("""COMPUTED_VALUE"""),45115.8264908564)</f>
        <v>45115.82649</v>
      </c>
      <c r="D2753" s="15">
        <f>IFERROR(__xludf.DUMMYFUNCTION("""COMPUTED_VALUE"""),1.004)</f>
        <v>1.004</v>
      </c>
      <c r="E2753" s="16">
        <f>IFERROR(__xludf.DUMMYFUNCTION("""COMPUTED_VALUE"""),71.0)</f>
        <v>71</v>
      </c>
      <c r="F2753" s="19" t="str">
        <f>IFERROR(__xludf.DUMMYFUNCTION("""COMPUTED_VALUE"""),"BLACK")</f>
        <v>BLACK</v>
      </c>
      <c r="G2753" s="20" t="str">
        <f>IFERROR(__xludf.DUMMYFUNCTION("""COMPUTED_VALUE"""),"Uncle Sams Cider (04/04/2023)")</f>
        <v>Uncle Sams Cider (04/04/2023)</v>
      </c>
      <c r="H2753" s="19"/>
    </row>
    <row r="2754">
      <c r="A2754" s="9"/>
      <c r="B2754" s="15"/>
      <c r="C2754" s="9">
        <f>IFERROR(__xludf.DUMMYFUNCTION("""COMPUTED_VALUE"""),45115.8160687037)</f>
        <v>45115.81607</v>
      </c>
      <c r="D2754" s="15">
        <f>IFERROR(__xludf.DUMMYFUNCTION("""COMPUTED_VALUE"""),1.003)</f>
        <v>1.003</v>
      </c>
      <c r="E2754" s="16">
        <f>IFERROR(__xludf.DUMMYFUNCTION("""COMPUTED_VALUE"""),71.0)</f>
        <v>71</v>
      </c>
      <c r="F2754" s="19" t="str">
        <f>IFERROR(__xludf.DUMMYFUNCTION("""COMPUTED_VALUE"""),"BLACK")</f>
        <v>BLACK</v>
      </c>
      <c r="G2754" s="20" t="str">
        <f>IFERROR(__xludf.DUMMYFUNCTION("""COMPUTED_VALUE"""),"Uncle Sams Cider (04/04/2023)")</f>
        <v>Uncle Sams Cider (04/04/2023)</v>
      </c>
      <c r="H2754" s="19"/>
    </row>
    <row r="2755">
      <c r="A2755" s="9"/>
      <c r="B2755" s="15"/>
      <c r="C2755" s="9">
        <f>IFERROR(__xludf.DUMMYFUNCTION("""COMPUTED_VALUE"""),45115.8056458912)</f>
        <v>45115.80565</v>
      </c>
      <c r="D2755" s="15">
        <f>IFERROR(__xludf.DUMMYFUNCTION("""COMPUTED_VALUE"""),1.004)</f>
        <v>1.004</v>
      </c>
      <c r="E2755" s="16">
        <f>IFERROR(__xludf.DUMMYFUNCTION("""COMPUTED_VALUE"""),72.0)</f>
        <v>72</v>
      </c>
      <c r="F2755" s="19" t="str">
        <f>IFERROR(__xludf.DUMMYFUNCTION("""COMPUTED_VALUE"""),"BLACK")</f>
        <v>BLACK</v>
      </c>
      <c r="G2755" s="20" t="str">
        <f>IFERROR(__xludf.DUMMYFUNCTION("""COMPUTED_VALUE"""),"Uncle Sams Cider (04/04/2023)")</f>
        <v>Uncle Sams Cider (04/04/2023)</v>
      </c>
      <c r="H2755" s="19"/>
    </row>
    <row r="2756">
      <c r="A2756" s="9"/>
      <c r="B2756" s="15"/>
      <c r="C2756" s="9">
        <f>IFERROR(__xludf.DUMMYFUNCTION("""COMPUTED_VALUE"""),45115.7952247569)</f>
        <v>45115.79522</v>
      </c>
      <c r="D2756" s="15">
        <f>IFERROR(__xludf.DUMMYFUNCTION("""COMPUTED_VALUE"""),1.004)</f>
        <v>1.004</v>
      </c>
      <c r="E2756" s="16">
        <f>IFERROR(__xludf.DUMMYFUNCTION("""COMPUTED_VALUE"""),72.0)</f>
        <v>72</v>
      </c>
      <c r="F2756" s="19" t="str">
        <f>IFERROR(__xludf.DUMMYFUNCTION("""COMPUTED_VALUE"""),"BLACK")</f>
        <v>BLACK</v>
      </c>
      <c r="G2756" s="20" t="str">
        <f>IFERROR(__xludf.DUMMYFUNCTION("""COMPUTED_VALUE"""),"Uncle Sams Cider (04/04/2023)")</f>
        <v>Uncle Sams Cider (04/04/2023)</v>
      </c>
      <c r="H2756" s="19"/>
    </row>
    <row r="2757">
      <c r="A2757" s="9"/>
      <c r="B2757" s="15"/>
      <c r="C2757" s="9">
        <f>IFERROR(__xludf.DUMMYFUNCTION("""COMPUTED_VALUE"""),45115.7848026504)</f>
        <v>45115.7848</v>
      </c>
      <c r="D2757" s="15">
        <f>IFERROR(__xludf.DUMMYFUNCTION("""COMPUTED_VALUE"""),1.004)</f>
        <v>1.004</v>
      </c>
      <c r="E2757" s="16">
        <f>IFERROR(__xludf.DUMMYFUNCTION("""COMPUTED_VALUE"""),72.0)</f>
        <v>72</v>
      </c>
      <c r="F2757" s="19" t="str">
        <f>IFERROR(__xludf.DUMMYFUNCTION("""COMPUTED_VALUE"""),"BLACK")</f>
        <v>BLACK</v>
      </c>
      <c r="G2757" s="20" t="str">
        <f>IFERROR(__xludf.DUMMYFUNCTION("""COMPUTED_VALUE"""),"Uncle Sams Cider (04/04/2023)")</f>
        <v>Uncle Sams Cider (04/04/2023)</v>
      </c>
      <c r="H2757" s="19"/>
    </row>
    <row r="2758">
      <c r="A2758" s="9"/>
      <c r="B2758" s="15"/>
      <c r="C2758" s="9">
        <f>IFERROR(__xludf.DUMMYFUNCTION("""COMPUTED_VALUE"""),45115.7743812731)</f>
        <v>45115.77438</v>
      </c>
      <c r="D2758" s="15">
        <f>IFERROR(__xludf.DUMMYFUNCTION("""COMPUTED_VALUE"""),1.004)</f>
        <v>1.004</v>
      </c>
      <c r="E2758" s="16">
        <f>IFERROR(__xludf.DUMMYFUNCTION("""COMPUTED_VALUE"""),71.0)</f>
        <v>71</v>
      </c>
      <c r="F2758" s="19" t="str">
        <f>IFERROR(__xludf.DUMMYFUNCTION("""COMPUTED_VALUE"""),"BLACK")</f>
        <v>BLACK</v>
      </c>
      <c r="G2758" s="20" t="str">
        <f>IFERROR(__xludf.DUMMYFUNCTION("""COMPUTED_VALUE"""),"Uncle Sams Cider (04/04/2023)")</f>
        <v>Uncle Sams Cider (04/04/2023)</v>
      </c>
      <c r="H2758" s="19"/>
    </row>
    <row r="2759">
      <c r="A2759" s="9"/>
      <c r="B2759" s="15"/>
      <c r="C2759" s="9">
        <f>IFERROR(__xludf.DUMMYFUNCTION("""COMPUTED_VALUE"""),45115.7639586574)</f>
        <v>45115.76396</v>
      </c>
      <c r="D2759" s="15">
        <f>IFERROR(__xludf.DUMMYFUNCTION("""COMPUTED_VALUE"""),1.004)</f>
        <v>1.004</v>
      </c>
      <c r="E2759" s="16">
        <f>IFERROR(__xludf.DUMMYFUNCTION("""COMPUTED_VALUE"""),71.0)</f>
        <v>71</v>
      </c>
      <c r="F2759" s="19" t="str">
        <f>IFERROR(__xludf.DUMMYFUNCTION("""COMPUTED_VALUE"""),"BLACK")</f>
        <v>BLACK</v>
      </c>
      <c r="G2759" s="20" t="str">
        <f>IFERROR(__xludf.DUMMYFUNCTION("""COMPUTED_VALUE"""),"Uncle Sams Cider (04/04/2023)")</f>
        <v>Uncle Sams Cider (04/04/2023)</v>
      </c>
      <c r="H2759" s="19"/>
    </row>
    <row r="2760">
      <c r="A2760" s="9"/>
      <c r="B2760" s="15"/>
      <c r="C2760" s="9">
        <f>IFERROR(__xludf.DUMMYFUNCTION("""COMPUTED_VALUE"""),45115.7535372916)</f>
        <v>45115.75354</v>
      </c>
      <c r="D2760" s="15">
        <f>IFERROR(__xludf.DUMMYFUNCTION("""COMPUTED_VALUE"""),1.004)</f>
        <v>1.004</v>
      </c>
      <c r="E2760" s="16">
        <f>IFERROR(__xludf.DUMMYFUNCTION("""COMPUTED_VALUE"""),72.0)</f>
        <v>72</v>
      </c>
      <c r="F2760" s="19" t="str">
        <f>IFERROR(__xludf.DUMMYFUNCTION("""COMPUTED_VALUE"""),"BLACK")</f>
        <v>BLACK</v>
      </c>
      <c r="G2760" s="20" t="str">
        <f>IFERROR(__xludf.DUMMYFUNCTION("""COMPUTED_VALUE"""),"Uncle Sams Cider (04/04/2023)")</f>
        <v>Uncle Sams Cider (04/04/2023)</v>
      </c>
      <c r="H2760" s="19"/>
    </row>
    <row r="2761">
      <c r="A2761" s="9"/>
      <c r="B2761" s="15"/>
      <c r="C2761" s="9">
        <f>IFERROR(__xludf.DUMMYFUNCTION("""COMPUTED_VALUE"""),45115.7431037152)</f>
        <v>45115.7431</v>
      </c>
      <c r="D2761" s="15">
        <f>IFERROR(__xludf.DUMMYFUNCTION("""COMPUTED_VALUE"""),1.004)</f>
        <v>1.004</v>
      </c>
      <c r="E2761" s="16">
        <f>IFERROR(__xludf.DUMMYFUNCTION("""COMPUTED_VALUE"""),71.0)</f>
        <v>71</v>
      </c>
      <c r="F2761" s="19" t="str">
        <f>IFERROR(__xludf.DUMMYFUNCTION("""COMPUTED_VALUE"""),"BLACK")</f>
        <v>BLACK</v>
      </c>
      <c r="G2761" s="20" t="str">
        <f>IFERROR(__xludf.DUMMYFUNCTION("""COMPUTED_VALUE"""),"Uncle Sams Cider (04/04/2023)")</f>
        <v>Uncle Sams Cider (04/04/2023)</v>
      </c>
      <c r="H2761" s="19"/>
    </row>
    <row r="2762">
      <c r="A2762" s="9"/>
      <c r="B2762" s="15"/>
      <c r="C2762" s="9">
        <f>IFERROR(__xludf.DUMMYFUNCTION("""COMPUTED_VALUE"""),45115.7326700115)</f>
        <v>45115.73267</v>
      </c>
      <c r="D2762" s="15">
        <f>IFERROR(__xludf.DUMMYFUNCTION("""COMPUTED_VALUE"""),1.004)</f>
        <v>1.004</v>
      </c>
      <c r="E2762" s="16">
        <f>IFERROR(__xludf.DUMMYFUNCTION("""COMPUTED_VALUE"""),72.0)</f>
        <v>72</v>
      </c>
      <c r="F2762" s="19" t="str">
        <f>IFERROR(__xludf.DUMMYFUNCTION("""COMPUTED_VALUE"""),"BLACK")</f>
        <v>BLACK</v>
      </c>
      <c r="G2762" s="20" t="str">
        <f>IFERROR(__xludf.DUMMYFUNCTION("""COMPUTED_VALUE"""),"Uncle Sams Cider (04/04/2023)")</f>
        <v>Uncle Sams Cider (04/04/2023)</v>
      </c>
      <c r="H2762" s="19"/>
    </row>
    <row r="2763">
      <c r="A2763" s="9"/>
      <c r="B2763" s="15"/>
      <c r="C2763" s="9">
        <f>IFERROR(__xludf.DUMMYFUNCTION("""COMPUTED_VALUE"""),45115.7222483217)</f>
        <v>45115.72225</v>
      </c>
      <c r="D2763" s="15">
        <f>IFERROR(__xludf.DUMMYFUNCTION("""COMPUTED_VALUE"""),1.004)</f>
        <v>1.004</v>
      </c>
      <c r="E2763" s="16">
        <f>IFERROR(__xludf.DUMMYFUNCTION("""COMPUTED_VALUE"""),72.0)</f>
        <v>72</v>
      </c>
      <c r="F2763" s="19" t="str">
        <f>IFERROR(__xludf.DUMMYFUNCTION("""COMPUTED_VALUE"""),"BLACK")</f>
        <v>BLACK</v>
      </c>
      <c r="G2763" s="20" t="str">
        <f>IFERROR(__xludf.DUMMYFUNCTION("""COMPUTED_VALUE"""),"Uncle Sams Cider (04/04/2023)")</f>
        <v>Uncle Sams Cider (04/04/2023)</v>
      </c>
      <c r="H2763" s="19"/>
    </row>
    <row r="2764">
      <c r="A2764" s="9"/>
      <c r="B2764" s="15"/>
      <c r="C2764" s="9">
        <f>IFERROR(__xludf.DUMMYFUNCTION("""COMPUTED_VALUE"""),45115.7118288194)</f>
        <v>45115.71183</v>
      </c>
      <c r="D2764" s="15">
        <f>IFERROR(__xludf.DUMMYFUNCTION("""COMPUTED_VALUE"""),1.003)</f>
        <v>1.003</v>
      </c>
      <c r="E2764" s="16">
        <f>IFERROR(__xludf.DUMMYFUNCTION("""COMPUTED_VALUE"""),72.0)</f>
        <v>72</v>
      </c>
      <c r="F2764" s="19" t="str">
        <f>IFERROR(__xludf.DUMMYFUNCTION("""COMPUTED_VALUE"""),"BLACK")</f>
        <v>BLACK</v>
      </c>
      <c r="G2764" s="20" t="str">
        <f>IFERROR(__xludf.DUMMYFUNCTION("""COMPUTED_VALUE"""),"Uncle Sams Cider (04/04/2023)")</f>
        <v>Uncle Sams Cider (04/04/2023)</v>
      </c>
      <c r="H2764" s="19"/>
    </row>
    <row r="2765">
      <c r="A2765" s="9"/>
      <c r="B2765" s="15"/>
      <c r="C2765" s="9">
        <f>IFERROR(__xludf.DUMMYFUNCTION("""COMPUTED_VALUE"""),45115.701405949)</f>
        <v>45115.70141</v>
      </c>
      <c r="D2765" s="15">
        <f>IFERROR(__xludf.DUMMYFUNCTION("""COMPUTED_VALUE"""),1.004)</f>
        <v>1.004</v>
      </c>
      <c r="E2765" s="16">
        <f>IFERROR(__xludf.DUMMYFUNCTION("""COMPUTED_VALUE"""),72.0)</f>
        <v>72</v>
      </c>
      <c r="F2765" s="19" t="str">
        <f>IFERROR(__xludf.DUMMYFUNCTION("""COMPUTED_VALUE"""),"BLACK")</f>
        <v>BLACK</v>
      </c>
      <c r="G2765" s="20" t="str">
        <f>IFERROR(__xludf.DUMMYFUNCTION("""COMPUTED_VALUE"""),"Uncle Sams Cider (04/04/2023)")</f>
        <v>Uncle Sams Cider (04/04/2023)</v>
      </c>
      <c r="H2765" s="19"/>
    </row>
    <row r="2766">
      <c r="A2766" s="9"/>
      <c r="B2766" s="15"/>
      <c r="C2766" s="9">
        <f>IFERROR(__xludf.DUMMYFUNCTION("""COMPUTED_VALUE"""),45115.6909486805)</f>
        <v>45115.69095</v>
      </c>
      <c r="D2766" s="15">
        <f>IFERROR(__xludf.DUMMYFUNCTION("""COMPUTED_VALUE"""),1.004)</f>
        <v>1.004</v>
      </c>
      <c r="E2766" s="16">
        <f>IFERROR(__xludf.DUMMYFUNCTION("""COMPUTED_VALUE"""),72.0)</f>
        <v>72</v>
      </c>
      <c r="F2766" s="19" t="str">
        <f>IFERROR(__xludf.DUMMYFUNCTION("""COMPUTED_VALUE"""),"BLACK")</f>
        <v>BLACK</v>
      </c>
      <c r="G2766" s="20" t="str">
        <f>IFERROR(__xludf.DUMMYFUNCTION("""COMPUTED_VALUE"""),"Uncle Sams Cider (04/04/2023)")</f>
        <v>Uncle Sams Cider (04/04/2023)</v>
      </c>
      <c r="H2766" s="19"/>
    </row>
    <row r="2767">
      <c r="A2767" s="9"/>
      <c r="B2767" s="15"/>
      <c r="C2767" s="9">
        <f>IFERROR(__xludf.DUMMYFUNCTION("""COMPUTED_VALUE"""),45115.6805286342)</f>
        <v>45115.68053</v>
      </c>
      <c r="D2767" s="15">
        <f>IFERROR(__xludf.DUMMYFUNCTION("""COMPUTED_VALUE"""),1.003)</f>
        <v>1.003</v>
      </c>
      <c r="E2767" s="16">
        <f>IFERROR(__xludf.DUMMYFUNCTION("""COMPUTED_VALUE"""),72.0)</f>
        <v>72</v>
      </c>
      <c r="F2767" s="19" t="str">
        <f>IFERROR(__xludf.DUMMYFUNCTION("""COMPUTED_VALUE"""),"BLACK")</f>
        <v>BLACK</v>
      </c>
      <c r="G2767" s="20" t="str">
        <f>IFERROR(__xludf.DUMMYFUNCTION("""COMPUTED_VALUE"""),"Uncle Sams Cider (04/04/2023)")</f>
        <v>Uncle Sams Cider (04/04/2023)</v>
      </c>
      <c r="H2767" s="19"/>
    </row>
    <row r="2768">
      <c r="A2768" s="9"/>
      <c r="B2768" s="15"/>
      <c r="C2768" s="9">
        <f>IFERROR(__xludf.DUMMYFUNCTION("""COMPUTED_VALUE"""),45115.6700968287)</f>
        <v>45115.6701</v>
      </c>
      <c r="D2768" s="15">
        <f>IFERROR(__xludf.DUMMYFUNCTION("""COMPUTED_VALUE"""),1.004)</f>
        <v>1.004</v>
      </c>
      <c r="E2768" s="16">
        <f>IFERROR(__xludf.DUMMYFUNCTION("""COMPUTED_VALUE"""),72.0)</f>
        <v>72</v>
      </c>
      <c r="F2768" s="19" t="str">
        <f>IFERROR(__xludf.DUMMYFUNCTION("""COMPUTED_VALUE"""),"BLACK")</f>
        <v>BLACK</v>
      </c>
      <c r="G2768" s="20" t="str">
        <f>IFERROR(__xludf.DUMMYFUNCTION("""COMPUTED_VALUE"""),"Uncle Sams Cider (04/04/2023)")</f>
        <v>Uncle Sams Cider (04/04/2023)</v>
      </c>
      <c r="H2768" s="19"/>
    </row>
    <row r="2769">
      <c r="A2769" s="9"/>
      <c r="B2769" s="15"/>
      <c r="C2769" s="9">
        <f>IFERROR(__xludf.DUMMYFUNCTION("""COMPUTED_VALUE"""),45115.6596751273)</f>
        <v>45115.65968</v>
      </c>
      <c r="D2769" s="15">
        <f>IFERROR(__xludf.DUMMYFUNCTION("""COMPUTED_VALUE"""),1.004)</f>
        <v>1.004</v>
      </c>
      <c r="E2769" s="16">
        <f>IFERROR(__xludf.DUMMYFUNCTION("""COMPUTED_VALUE"""),71.0)</f>
        <v>71</v>
      </c>
      <c r="F2769" s="19" t="str">
        <f>IFERROR(__xludf.DUMMYFUNCTION("""COMPUTED_VALUE"""),"BLACK")</f>
        <v>BLACK</v>
      </c>
      <c r="G2769" s="20" t="str">
        <f>IFERROR(__xludf.DUMMYFUNCTION("""COMPUTED_VALUE"""),"Uncle Sams Cider (04/04/2023)")</f>
        <v>Uncle Sams Cider (04/04/2023)</v>
      </c>
      <c r="H2769" s="19"/>
    </row>
    <row r="2770">
      <c r="A2770" s="9"/>
      <c r="B2770" s="15"/>
      <c r="C2770" s="9">
        <f>IFERROR(__xludf.DUMMYFUNCTION("""COMPUTED_VALUE"""),45115.6492527314)</f>
        <v>45115.64925</v>
      </c>
      <c r="D2770" s="15">
        <f>IFERROR(__xludf.DUMMYFUNCTION("""COMPUTED_VALUE"""),1.004)</f>
        <v>1.004</v>
      </c>
      <c r="E2770" s="16">
        <f>IFERROR(__xludf.DUMMYFUNCTION("""COMPUTED_VALUE"""),72.0)</f>
        <v>72</v>
      </c>
      <c r="F2770" s="19" t="str">
        <f>IFERROR(__xludf.DUMMYFUNCTION("""COMPUTED_VALUE"""),"BLACK")</f>
        <v>BLACK</v>
      </c>
      <c r="G2770" s="20" t="str">
        <f>IFERROR(__xludf.DUMMYFUNCTION("""COMPUTED_VALUE"""),"Uncle Sams Cider (04/04/2023)")</f>
        <v>Uncle Sams Cider (04/04/2023)</v>
      </c>
      <c r="H2770" s="19"/>
    </row>
    <row r="2771">
      <c r="A2771" s="9"/>
      <c r="B2771" s="15"/>
      <c r="C2771" s="9">
        <f>IFERROR(__xludf.DUMMYFUNCTION("""COMPUTED_VALUE"""),45115.6388312963)</f>
        <v>45115.63883</v>
      </c>
      <c r="D2771" s="15">
        <f>IFERROR(__xludf.DUMMYFUNCTION("""COMPUTED_VALUE"""),1.004)</f>
        <v>1.004</v>
      </c>
      <c r="E2771" s="16">
        <f>IFERROR(__xludf.DUMMYFUNCTION("""COMPUTED_VALUE"""),72.0)</f>
        <v>72</v>
      </c>
      <c r="F2771" s="19" t="str">
        <f>IFERROR(__xludf.DUMMYFUNCTION("""COMPUTED_VALUE"""),"BLACK")</f>
        <v>BLACK</v>
      </c>
      <c r="G2771" s="20" t="str">
        <f>IFERROR(__xludf.DUMMYFUNCTION("""COMPUTED_VALUE"""),"Uncle Sams Cider (04/04/2023)")</f>
        <v>Uncle Sams Cider (04/04/2023)</v>
      </c>
      <c r="H2771" s="19"/>
    </row>
    <row r="2772">
      <c r="A2772" s="9"/>
      <c r="B2772" s="15"/>
      <c r="C2772" s="9">
        <f>IFERROR(__xludf.DUMMYFUNCTION("""COMPUTED_VALUE"""),45115.6284107407)</f>
        <v>45115.62841</v>
      </c>
      <c r="D2772" s="15">
        <f>IFERROR(__xludf.DUMMYFUNCTION("""COMPUTED_VALUE"""),1.004)</f>
        <v>1.004</v>
      </c>
      <c r="E2772" s="16">
        <f>IFERROR(__xludf.DUMMYFUNCTION("""COMPUTED_VALUE"""),72.0)</f>
        <v>72</v>
      </c>
      <c r="F2772" s="19" t="str">
        <f>IFERROR(__xludf.DUMMYFUNCTION("""COMPUTED_VALUE"""),"BLACK")</f>
        <v>BLACK</v>
      </c>
      <c r="G2772" s="20" t="str">
        <f>IFERROR(__xludf.DUMMYFUNCTION("""COMPUTED_VALUE"""),"Uncle Sams Cider (04/04/2023)")</f>
        <v>Uncle Sams Cider (04/04/2023)</v>
      </c>
      <c r="H2772" s="19"/>
    </row>
    <row r="2773">
      <c r="A2773" s="9"/>
      <c r="B2773" s="15"/>
      <c r="C2773" s="9">
        <f>IFERROR(__xludf.DUMMYFUNCTION("""COMPUTED_VALUE"""),45115.6179782176)</f>
        <v>45115.61798</v>
      </c>
      <c r="D2773" s="15">
        <f>IFERROR(__xludf.DUMMYFUNCTION("""COMPUTED_VALUE"""),1.004)</f>
        <v>1.004</v>
      </c>
      <c r="E2773" s="16">
        <f>IFERROR(__xludf.DUMMYFUNCTION("""COMPUTED_VALUE"""),72.0)</f>
        <v>72</v>
      </c>
      <c r="F2773" s="19" t="str">
        <f>IFERROR(__xludf.DUMMYFUNCTION("""COMPUTED_VALUE"""),"BLACK")</f>
        <v>BLACK</v>
      </c>
      <c r="G2773" s="20" t="str">
        <f>IFERROR(__xludf.DUMMYFUNCTION("""COMPUTED_VALUE"""),"Uncle Sams Cider (04/04/2023)")</f>
        <v>Uncle Sams Cider (04/04/2023)</v>
      </c>
      <c r="H2773" s="19"/>
    </row>
    <row r="2774">
      <c r="A2774" s="9"/>
      <c r="B2774" s="15"/>
      <c r="C2774" s="9">
        <f>IFERROR(__xludf.DUMMYFUNCTION("""COMPUTED_VALUE"""),45115.6075580439)</f>
        <v>45115.60756</v>
      </c>
      <c r="D2774" s="15">
        <f>IFERROR(__xludf.DUMMYFUNCTION("""COMPUTED_VALUE"""),1.004)</f>
        <v>1.004</v>
      </c>
      <c r="E2774" s="16">
        <f>IFERROR(__xludf.DUMMYFUNCTION("""COMPUTED_VALUE"""),71.0)</f>
        <v>71</v>
      </c>
      <c r="F2774" s="19" t="str">
        <f>IFERROR(__xludf.DUMMYFUNCTION("""COMPUTED_VALUE"""),"BLACK")</f>
        <v>BLACK</v>
      </c>
      <c r="G2774" s="20" t="str">
        <f>IFERROR(__xludf.DUMMYFUNCTION("""COMPUTED_VALUE"""),"Uncle Sams Cider (04/04/2023)")</f>
        <v>Uncle Sams Cider (04/04/2023)</v>
      </c>
      <c r="H2774" s="19"/>
    </row>
    <row r="2775">
      <c r="A2775" s="9"/>
      <c r="B2775" s="15"/>
      <c r="C2775" s="9">
        <f>IFERROR(__xludf.DUMMYFUNCTION("""COMPUTED_VALUE"""),45115.5971350347)</f>
        <v>45115.59714</v>
      </c>
      <c r="D2775" s="15">
        <f>IFERROR(__xludf.DUMMYFUNCTION("""COMPUTED_VALUE"""),1.004)</f>
        <v>1.004</v>
      </c>
      <c r="E2775" s="16">
        <f>IFERROR(__xludf.DUMMYFUNCTION("""COMPUTED_VALUE"""),72.0)</f>
        <v>72</v>
      </c>
      <c r="F2775" s="19" t="str">
        <f>IFERROR(__xludf.DUMMYFUNCTION("""COMPUTED_VALUE"""),"BLACK")</f>
        <v>BLACK</v>
      </c>
      <c r="G2775" s="20" t="str">
        <f>IFERROR(__xludf.DUMMYFUNCTION("""COMPUTED_VALUE"""),"Uncle Sams Cider (04/04/2023)")</f>
        <v>Uncle Sams Cider (04/04/2023)</v>
      </c>
      <c r="H2775" s="19"/>
    </row>
    <row r="2776">
      <c r="A2776" s="9"/>
      <c r="B2776" s="15"/>
      <c r="C2776" s="9">
        <f>IFERROR(__xludf.DUMMYFUNCTION("""COMPUTED_VALUE"""),45115.5867140972)</f>
        <v>45115.58671</v>
      </c>
      <c r="D2776" s="15">
        <f>IFERROR(__xludf.DUMMYFUNCTION("""COMPUTED_VALUE"""),1.004)</f>
        <v>1.004</v>
      </c>
      <c r="E2776" s="16">
        <f>IFERROR(__xludf.DUMMYFUNCTION("""COMPUTED_VALUE"""),72.0)</f>
        <v>72</v>
      </c>
      <c r="F2776" s="19" t="str">
        <f>IFERROR(__xludf.DUMMYFUNCTION("""COMPUTED_VALUE"""),"BLACK")</f>
        <v>BLACK</v>
      </c>
      <c r="G2776" s="20" t="str">
        <f>IFERROR(__xludf.DUMMYFUNCTION("""COMPUTED_VALUE"""),"Uncle Sams Cider (04/04/2023)")</f>
        <v>Uncle Sams Cider (04/04/2023)</v>
      </c>
      <c r="H2776" s="19"/>
    </row>
    <row r="2777">
      <c r="A2777" s="9"/>
      <c r="B2777" s="15"/>
      <c r="C2777" s="9">
        <f>IFERROR(__xludf.DUMMYFUNCTION("""COMPUTED_VALUE"""),45115.5762718287)</f>
        <v>45115.57627</v>
      </c>
      <c r="D2777" s="15">
        <f>IFERROR(__xludf.DUMMYFUNCTION("""COMPUTED_VALUE"""),1.003)</f>
        <v>1.003</v>
      </c>
      <c r="E2777" s="16">
        <f>IFERROR(__xludf.DUMMYFUNCTION("""COMPUTED_VALUE"""),72.0)</f>
        <v>72</v>
      </c>
      <c r="F2777" s="19" t="str">
        <f>IFERROR(__xludf.DUMMYFUNCTION("""COMPUTED_VALUE"""),"BLACK")</f>
        <v>BLACK</v>
      </c>
      <c r="G2777" s="20" t="str">
        <f>IFERROR(__xludf.DUMMYFUNCTION("""COMPUTED_VALUE"""),"Uncle Sams Cider (04/04/2023)")</f>
        <v>Uncle Sams Cider (04/04/2023)</v>
      </c>
      <c r="H2777" s="19"/>
    </row>
    <row r="2778">
      <c r="A2778" s="9"/>
      <c r="B2778" s="15"/>
      <c r="C2778" s="9">
        <f>IFERROR(__xludf.DUMMYFUNCTION("""COMPUTED_VALUE"""),45115.5658513541)</f>
        <v>45115.56585</v>
      </c>
      <c r="D2778" s="15">
        <f>IFERROR(__xludf.DUMMYFUNCTION("""COMPUTED_VALUE"""),1.004)</f>
        <v>1.004</v>
      </c>
      <c r="E2778" s="16">
        <f>IFERROR(__xludf.DUMMYFUNCTION("""COMPUTED_VALUE"""),72.0)</f>
        <v>72</v>
      </c>
      <c r="F2778" s="19" t="str">
        <f>IFERROR(__xludf.DUMMYFUNCTION("""COMPUTED_VALUE"""),"BLACK")</f>
        <v>BLACK</v>
      </c>
      <c r="G2778" s="20" t="str">
        <f>IFERROR(__xludf.DUMMYFUNCTION("""COMPUTED_VALUE"""),"Uncle Sams Cider (04/04/2023)")</f>
        <v>Uncle Sams Cider (04/04/2023)</v>
      </c>
      <c r="H2778" s="19"/>
    </row>
    <row r="2779">
      <c r="A2779" s="9"/>
      <c r="B2779" s="15"/>
      <c r="C2779" s="9">
        <f>IFERROR(__xludf.DUMMYFUNCTION("""COMPUTED_VALUE"""),45115.5554065046)</f>
        <v>45115.55541</v>
      </c>
      <c r="D2779" s="15">
        <f>IFERROR(__xludf.DUMMYFUNCTION("""COMPUTED_VALUE"""),1.004)</f>
        <v>1.004</v>
      </c>
      <c r="E2779" s="16">
        <f>IFERROR(__xludf.DUMMYFUNCTION("""COMPUTED_VALUE"""),72.0)</f>
        <v>72</v>
      </c>
      <c r="F2779" s="19" t="str">
        <f>IFERROR(__xludf.DUMMYFUNCTION("""COMPUTED_VALUE"""),"BLACK")</f>
        <v>BLACK</v>
      </c>
      <c r="G2779" s="20" t="str">
        <f>IFERROR(__xludf.DUMMYFUNCTION("""COMPUTED_VALUE"""),"Uncle Sams Cider (04/04/2023)")</f>
        <v>Uncle Sams Cider (04/04/2023)</v>
      </c>
      <c r="H2779" s="19"/>
    </row>
    <row r="2780">
      <c r="A2780" s="9"/>
      <c r="B2780" s="15"/>
      <c r="C2780" s="9">
        <f>IFERROR(__xludf.DUMMYFUNCTION("""COMPUTED_VALUE"""),45115.5449848611)</f>
        <v>45115.54498</v>
      </c>
      <c r="D2780" s="15">
        <f>IFERROR(__xludf.DUMMYFUNCTION("""COMPUTED_VALUE"""),1.003)</f>
        <v>1.003</v>
      </c>
      <c r="E2780" s="16">
        <f>IFERROR(__xludf.DUMMYFUNCTION("""COMPUTED_VALUE"""),72.0)</f>
        <v>72</v>
      </c>
      <c r="F2780" s="19" t="str">
        <f>IFERROR(__xludf.DUMMYFUNCTION("""COMPUTED_VALUE"""),"BLACK")</f>
        <v>BLACK</v>
      </c>
      <c r="G2780" s="20" t="str">
        <f>IFERROR(__xludf.DUMMYFUNCTION("""COMPUTED_VALUE"""),"Uncle Sams Cider (04/04/2023)")</f>
        <v>Uncle Sams Cider (04/04/2023)</v>
      </c>
      <c r="H2780" s="19"/>
    </row>
    <row r="2781">
      <c r="A2781" s="9"/>
      <c r="B2781" s="15"/>
      <c r="C2781" s="9">
        <f>IFERROR(__xludf.DUMMYFUNCTION("""COMPUTED_VALUE"""),45115.5345622106)</f>
        <v>45115.53456</v>
      </c>
      <c r="D2781" s="15">
        <f>IFERROR(__xludf.DUMMYFUNCTION("""COMPUTED_VALUE"""),1.004)</f>
        <v>1.004</v>
      </c>
      <c r="E2781" s="16">
        <f>IFERROR(__xludf.DUMMYFUNCTION("""COMPUTED_VALUE"""),72.0)</f>
        <v>72</v>
      </c>
      <c r="F2781" s="19" t="str">
        <f>IFERROR(__xludf.DUMMYFUNCTION("""COMPUTED_VALUE"""),"BLACK")</f>
        <v>BLACK</v>
      </c>
      <c r="G2781" s="20" t="str">
        <f>IFERROR(__xludf.DUMMYFUNCTION("""COMPUTED_VALUE"""),"Uncle Sams Cider (04/04/2023)")</f>
        <v>Uncle Sams Cider (04/04/2023)</v>
      </c>
      <c r="H2781" s="19"/>
    </row>
    <row r="2782">
      <c r="A2782" s="9"/>
      <c r="B2782" s="15"/>
      <c r="C2782" s="9">
        <f>IFERROR(__xludf.DUMMYFUNCTION("""COMPUTED_VALUE"""),45115.5241405671)</f>
        <v>45115.52414</v>
      </c>
      <c r="D2782" s="15">
        <f>IFERROR(__xludf.DUMMYFUNCTION("""COMPUTED_VALUE"""),1.004)</f>
        <v>1.004</v>
      </c>
      <c r="E2782" s="16">
        <f>IFERROR(__xludf.DUMMYFUNCTION("""COMPUTED_VALUE"""),72.0)</f>
        <v>72</v>
      </c>
      <c r="F2782" s="19" t="str">
        <f>IFERROR(__xludf.DUMMYFUNCTION("""COMPUTED_VALUE"""),"BLACK")</f>
        <v>BLACK</v>
      </c>
      <c r="G2782" s="20" t="str">
        <f>IFERROR(__xludf.DUMMYFUNCTION("""COMPUTED_VALUE"""),"Uncle Sams Cider (04/04/2023)")</f>
        <v>Uncle Sams Cider (04/04/2023)</v>
      </c>
      <c r="H2782" s="19"/>
    </row>
    <row r="2783">
      <c r="A2783" s="9"/>
      <c r="B2783" s="15"/>
      <c r="C2783" s="9">
        <f>IFERROR(__xludf.DUMMYFUNCTION("""COMPUTED_VALUE"""),45115.5137191088)</f>
        <v>45115.51372</v>
      </c>
      <c r="D2783" s="15">
        <f>IFERROR(__xludf.DUMMYFUNCTION("""COMPUTED_VALUE"""),1.004)</f>
        <v>1.004</v>
      </c>
      <c r="E2783" s="16">
        <f>IFERROR(__xludf.DUMMYFUNCTION("""COMPUTED_VALUE"""),72.0)</f>
        <v>72</v>
      </c>
      <c r="F2783" s="19" t="str">
        <f>IFERROR(__xludf.DUMMYFUNCTION("""COMPUTED_VALUE"""),"BLACK")</f>
        <v>BLACK</v>
      </c>
      <c r="G2783" s="20" t="str">
        <f>IFERROR(__xludf.DUMMYFUNCTION("""COMPUTED_VALUE"""),"Uncle Sams Cider (04/04/2023)")</f>
        <v>Uncle Sams Cider (04/04/2023)</v>
      </c>
      <c r="H2783" s="19"/>
    </row>
    <row r="2784">
      <c r="A2784" s="9"/>
      <c r="B2784" s="15"/>
      <c r="C2784" s="9">
        <f>IFERROR(__xludf.DUMMYFUNCTION("""COMPUTED_VALUE"""),45115.5032981597)</f>
        <v>45115.5033</v>
      </c>
      <c r="D2784" s="15">
        <f>IFERROR(__xludf.DUMMYFUNCTION("""COMPUTED_VALUE"""),1.003)</f>
        <v>1.003</v>
      </c>
      <c r="E2784" s="16">
        <f>IFERROR(__xludf.DUMMYFUNCTION("""COMPUTED_VALUE"""),72.0)</f>
        <v>72</v>
      </c>
      <c r="F2784" s="19" t="str">
        <f>IFERROR(__xludf.DUMMYFUNCTION("""COMPUTED_VALUE"""),"BLACK")</f>
        <v>BLACK</v>
      </c>
      <c r="G2784" s="20" t="str">
        <f>IFERROR(__xludf.DUMMYFUNCTION("""COMPUTED_VALUE"""),"Uncle Sams Cider (04/04/2023)")</f>
        <v>Uncle Sams Cider (04/04/2023)</v>
      </c>
      <c r="H2784" s="19"/>
    </row>
    <row r="2785">
      <c r="A2785" s="9"/>
      <c r="B2785" s="15"/>
      <c r="C2785" s="9">
        <f>IFERROR(__xludf.DUMMYFUNCTION("""COMPUTED_VALUE"""),45115.4928771875)</f>
        <v>45115.49288</v>
      </c>
      <c r="D2785" s="15">
        <f>IFERROR(__xludf.DUMMYFUNCTION("""COMPUTED_VALUE"""),1.004)</f>
        <v>1.004</v>
      </c>
      <c r="E2785" s="16">
        <f>IFERROR(__xludf.DUMMYFUNCTION("""COMPUTED_VALUE"""),71.0)</f>
        <v>71</v>
      </c>
      <c r="F2785" s="19" t="str">
        <f>IFERROR(__xludf.DUMMYFUNCTION("""COMPUTED_VALUE"""),"BLACK")</f>
        <v>BLACK</v>
      </c>
      <c r="G2785" s="20" t="str">
        <f>IFERROR(__xludf.DUMMYFUNCTION("""COMPUTED_VALUE"""),"Uncle Sams Cider (04/04/2023)")</f>
        <v>Uncle Sams Cider (04/04/2023)</v>
      </c>
      <c r="H2785" s="19"/>
    </row>
    <row r="2786">
      <c r="A2786" s="9"/>
      <c r="B2786" s="15"/>
      <c r="C2786" s="9">
        <f>IFERROR(__xludf.DUMMYFUNCTION("""COMPUTED_VALUE"""),45115.4824318055)</f>
        <v>45115.48243</v>
      </c>
      <c r="D2786" s="15">
        <f>IFERROR(__xludf.DUMMYFUNCTION("""COMPUTED_VALUE"""),1.004)</f>
        <v>1.004</v>
      </c>
      <c r="E2786" s="16">
        <f>IFERROR(__xludf.DUMMYFUNCTION("""COMPUTED_VALUE"""),71.0)</f>
        <v>71</v>
      </c>
      <c r="F2786" s="19" t="str">
        <f>IFERROR(__xludf.DUMMYFUNCTION("""COMPUTED_VALUE"""),"BLACK")</f>
        <v>BLACK</v>
      </c>
      <c r="G2786" s="20" t="str">
        <f>IFERROR(__xludf.DUMMYFUNCTION("""COMPUTED_VALUE"""),"Uncle Sams Cider (04/04/2023)")</f>
        <v>Uncle Sams Cider (04/04/2023)</v>
      </c>
      <c r="H2786" s="19"/>
    </row>
    <row r="2787">
      <c r="A2787" s="9"/>
      <c r="B2787" s="15"/>
      <c r="C2787" s="9">
        <f>IFERROR(__xludf.DUMMYFUNCTION("""COMPUTED_VALUE"""),45115.4720002777)</f>
        <v>45115.472</v>
      </c>
      <c r="D2787" s="15">
        <f>IFERROR(__xludf.DUMMYFUNCTION("""COMPUTED_VALUE"""),1.004)</f>
        <v>1.004</v>
      </c>
      <c r="E2787" s="16">
        <f>IFERROR(__xludf.DUMMYFUNCTION("""COMPUTED_VALUE"""),72.0)</f>
        <v>72</v>
      </c>
      <c r="F2787" s="19" t="str">
        <f>IFERROR(__xludf.DUMMYFUNCTION("""COMPUTED_VALUE"""),"BLACK")</f>
        <v>BLACK</v>
      </c>
      <c r="G2787" s="20" t="str">
        <f>IFERROR(__xludf.DUMMYFUNCTION("""COMPUTED_VALUE"""),"Uncle Sams Cider (04/04/2023)")</f>
        <v>Uncle Sams Cider (04/04/2023)</v>
      </c>
      <c r="H2787" s="19"/>
    </row>
    <row r="2788">
      <c r="A2788" s="9"/>
      <c r="B2788" s="15"/>
      <c r="C2788" s="9">
        <f>IFERROR(__xludf.DUMMYFUNCTION("""COMPUTED_VALUE"""),45115.4615780902)</f>
        <v>45115.46158</v>
      </c>
      <c r="D2788" s="15">
        <f>IFERROR(__xludf.DUMMYFUNCTION("""COMPUTED_VALUE"""),1.004)</f>
        <v>1.004</v>
      </c>
      <c r="E2788" s="16">
        <f>IFERROR(__xludf.DUMMYFUNCTION("""COMPUTED_VALUE"""),72.0)</f>
        <v>72</v>
      </c>
      <c r="F2788" s="19" t="str">
        <f>IFERROR(__xludf.DUMMYFUNCTION("""COMPUTED_VALUE"""),"BLACK")</f>
        <v>BLACK</v>
      </c>
      <c r="G2788" s="20" t="str">
        <f>IFERROR(__xludf.DUMMYFUNCTION("""COMPUTED_VALUE"""),"Uncle Sams Cider (04/04/2023)")</f>
        <v>Uncle Sams Cider (04/04/2023)</v>
      </c>
      <c r="H2788" s="19"/>
    </row>
    <row r="2789">
      <c r="A2789" s="9"/>
      <c r="B2789" s="15"/>
      <c r="C2789" s="9">
        <f>IFERROR(__xludf.DUMMYFUNCTION("""COMPUTED_VALUE"""),45115.4511449652)</f>
        <v>45115.45114</v>
      </c>
      <c r="D2789" s="15">
        <f>IFERROR(__xludf.DUMMYFUNCTION("""COMPUTED_VALUE"""),1.004)</f>
        <v>1.004</v>
      </c>
      <c r="E2789" s="16">
        <f>IFERROR(__xludf.DUMMYFUNCTION("""COMPUTED_VALUE"""),72.0)</f>
        <v>72</v>
      </c>
      <c r="F2789" s="19" t="str">
        <f>IFERROR(__xludf.DUMMYFUNCTION("""COMPUTED_VALUE"""),"BLACK")</f>
        <v>BLACK</v>
      </c>
      <c r="G2789" s="20" t="str">
        <f>IFERROR(__xludf.DUMMYFUNCTION("""COMPUTED_VALUE"""),"Uncle Sams Cider (04/04/2023)")</f>
        <v>Uncle Sams Cider (04/04/2023)</v>
      </c>
      <c r="H2789" s="19"/>
    </row>
    <row r="2790">
      <c r="A2790" s="9"/>
      <c r="B2790" s="15"/>
      <c r="C2790" s="9">
        <f>IFERROR(__xludf.DUMMYFUNCTION("""COMPUTED_VALUE"""),45115.4407019791)</f>
        <v>45115.4407</v>
      </c>
      <c r="D2790" s="15">
        <f>IFERROR(__xludf.DUMMYFUNCTION("""COMPUTED_VALUE"""),1.004)</f>
        <v>1.004</v>
      </c>
      <c r="E2790" s="16">
        <f>IFERROR(__xludf.DUMMYFUNCTION("""COMPUTED_VALUE"""),72.0)</f>
        <v>72</v>
      </c>
      <c r="F2790" s="19" t="str">
        <f>IFERROR(__xludf.DUMMYFUNCTION("""COMPUTED_VALUE"""),"BLACK")</f>
        <v>BLACK</v>
      </c>
      <c r="G2790" s="20" t="str">
        <f>IFERROR(__xludf.DUMMYFUNCTION("""COMPUTED_VALUE"""),"Uncle Sams Cider (04/04/2023)")</f>
        <v>Uncle Sams Cider (04/04/2023)</v>
      </c>
      <c r="H2790" s="19"/>
    </row>
    <row r="2791">
      <c r="A2791" s="9"/>
      <c r="B2791" s="15"/>
      <c r="C2791" s="9">
        <f>IFERROR(__xludf.DUMMYFUNCTION("""COMPUTED_VALUE"""),45115.4302693402)</f>
        <v>45115.43027</v>
      </c>
      <c r="D2791" s="15">
        <f>IFERROR(__xludf.DUMMYFUNCTION("""COMPUTED_VALUE"""),1.004)</f>
        <v>1.004</v>
      </c>
      <c r="E2791" s="16">
        <f>IFERROR(__xludf.DUMMYFUNCTION("""COMPUTED_VALUE"""),72.0)</f>
        <v>72</v>
      </c>
      <c r="F2791" s="19" t="str">
        <f>IFERROR(__xludf.DUMMYFUNCTION("""COMPUTED_VALUE"""),"BLACK")</f>
        <v>BLACK</v>
      </c>
      <c r="G2791" s="20" t="str">
        <f>IFERROR(__xludf.DUMMYFUNCTION("""COMPUTED_VALUE"""),"Uncle Sams Cider (04/04/2023)")</f>
        <v>Uncle Sams Cider (04/04/2023)</v>
      </c>
      <c r="H2791" s="19"/>
    </row>
    <row r="2792">
      <c r="A2792" s="9"/>
      <c r="B2792" s="15"/>
      <c r="C2792" s="9">
        <f>IFERROR(__xludf.DUMMYFUNCTION("""COMPUTED_VALUE"""),45115.4198484375)</f>
        <v>45115.41985</v>
      </c>
      <c r="D2792" s="15">
        <f>IFERROR(__xludf.DUMMYFUNCTION("""COMPUTED_VALUE"""),1.004)</f>
        <v>1.004</v>
      </c>
      <c r="E2792" s="16">
        <f>IFERROR(__xludf.DUMMYFUNCTION("""COMPUTED_VALUE"""),72.0)</f>
        <v>72</v>
      </c>
      <c r="F2792" s="19" t="str">
        <f>IFERROR(__xludf.DUMMYFUNCTION("""COMPUTED_VALUE"""),"BLACK")</f>
        <v>BLACK</v>
      </c>
      <c r="G2792" s="20" t="str">
        <f>IFERROR(__xludf.DUMMYFUNCTION("""COMPUTED_VALUE"""),"Uncle Sams Cider (04/04/2023)")</f>
        <v>Uncle Sams Cider (04/04/2023)</v>
      </c>
      <c r="H2792" s="19"/>
    </row>
    <row r="2793">
      <c r="A2793" s="9"/>
      <c r="B2793" s="15"/>
      <c r="C2793" s="9">
        <f>IFERROR(__xludf.DUMMYFUNCTION("""COMPUTED_VALUE"""),45115.40942728)</f>
        <v>45115.40943</v>
      </c>
      <c r="D2793" s="15">
        <f>IFERROR(__xludf.DUMMYFUNCTION("""COMPUTED_VALUE"""),1.004)</f>
        <v>1.004</v>
      </c>
      <c r="E2793" s="16">
        <f>IFERROR(__xludf.DUMMYFUNCTION("""COMPUTED_VALUE"""),72.0)</f>
        <v>72</v>
      </c>
      <c r="F2793" s="19" t="str">
        <f>IFERROR(__xludf.DUMMYFUNCTION("""COMPUTED_VALUE"""),"BLACK")</f>
        <v>BLACK</v>
      </c>
      <c r="G2793" s="20" t="str">
        <f>IFERROR(__xludf.DUMMYFUNCTION("""COMPUTED_VALUE"""),"Uncle Sams Cider (04/04/2023)")</f>
        <v>Uncle Sams Cider (04/04/2023)</v>
      </c>
      <c r="H2793" s="19"/>
    </row>
    <row r="2794">
      <c r="A2794" s="9"/>
      <c r="B2794" s="15"/>
      <c r="C2794" s="9">
        <f>IFERROR(__xludf.DUMMYFUNCTION("""COMPUTED_VALUE"""),45115.3990056944)</f>
        <v>45115.39901</v>
      </c>
      <c r="D2794" s="15">
        <f>IFERROR(__xludf.DUMMYFUNCTION("""COMPUTED_VALUE"""),1.004)</f>
        <v>1.004</v>
      </c>
      <c r="E2794" s="16">
        <f>IFERROR(__xludf.DUMMYFUNCTION("""COMPUTED_VALUE"""),72.0)</f>
        <v>72</v>
      </c>
      <c r="F2794" s="19" t="str">
        <f>IFERROR(__xludf.DUMMYFUNCTION("""COMPUTED_VALUE"""),"BLACK")</f>
        <v>BLACK</v>
      </c>
      <c r="G2794" s="20" t="str">
        <f>IFERROR(__xludf.DUMMYFUNCTION("""COMPUTED_VALUE"""),"Uncle Sams Cider (04/04/2023)")</f>
        <v>Uncle Sams Cider (04/04/2023)</v>
      </c>
      <c r="H2794" s="19"/>
    </row>
    <row r="2795">
      <c r="A2795" s="9"/>
      <c r="B2795" s="15"/>
      <c r="C2795" s="9">
        <f>IFERROR(__xludf.DUMMYFUNCTION("""COMPUTED_VALUE"""),45115.3885709259)</f>
        <v>45115.38857</v>
      </c>
      <c r="D2795" s="15">
        <f>IFERROR(__xludf.DUMMYFUNCTION("""COMPUTED_VALUE"""),1.004)</f>
        <v>1.004</v>
      </c>
      <c r="E2795" s="16">
        <f>IFERROR(__xludf.DUMMYFUNCTION("""COMPUTED_VALUE"""),71.0)</f>
        <v>71</v>
      </c>
      <c r="F2795" s="19" t="str">
        <f>IFERROR(__xludf.DUMMYFUNCTION("""COMPUTED_VALUE"""),"BLACK")</f>
        <v>BLACK</v>
      </c>
      <c r="G2795" s="20" t="str">
        <f>IFERROR(__xludf.DUMMYFUNCTION("""COMPUTED_VALUE"""),"Uncle Sams Cider (04/04/2023)")</f>
        <v>Uncle Sams Cider (04/04/2023)</v>
      </c>
      <c r="H2795" s="19"/>
    </row>
    <row r="2796">
      <c r="A2796" s="9"/>
      <c r="B2796" s="15"/>
      <c r="C2796" s="9">
        <f>IFERROR(__xludf.DUMMYFUNCTION("""COMPUTED_VALUE"""),45115.3781513773)</f>
        <v>45115.37815</v>
      </c>
      <c r="D2796" s="15">
        <f>IFERROR(__xludf.DUMMYFUNCTION("""COMPUTED_VALUE"""),1.004)</f>
        <v>1.004</v>
      </c>
      <c r="E2796" s="16">
        <f>IFERROR(__xludf.DUMMYFUNCTION("""COMPUTED_VALUE"""),72.0)</f>
        <v>72</v>
      </c>
      <c r="F2796" s="19" t="str">
        <f>IFERROR(__xludf.DUMMYFUNCTION("""COMPUTED_VALUE"""),"BLACK")</f>
        <v>BLACK</v>
      </c>
      <c r="G2796" s="20" t="str">
        <f>IFERROR(__xludf.DUMMYFUNCTION("""COMPUTED_VALUE"""),"Uncle Sams Cider (04/04/2023)")</f>
        <v>Uncle Sams Cider (04/04/2023)</v>
      </c>
      <c r="H2796" s="19"/>
    </row>
    <row r="2797">
      <c r="A2797" s="9"/>
      <c r="B2797" s="15"/>
      <c r="C2797" s="9">
        <f>IFERROR(__xludf.DUMMYFUNCTION("""COMPUTED_VALUE"""),45115.3677297453)</f>
        <v>45115.36773</v>
      </c>
      <c r="D2797" s="15">
        <f>IFERROR(__xludf.DUMMYFUNCTION("""COMPUTED_VALUE"""),1.004)</f>
        <v>1.004</v>
      </c>
      <c r="E2797" s="16">
        <f>IFERROR(__xludf.DUMMYFUNCTION("""COMPUTED_VALUE"""),72.0)</f>
        <v>72</v>
      </c>
      <c r="F2797" s="19" t="str">
        <f>IFERROR(__xludf.DUMMYFUNCTION("""COMPUTED_VALUE"""),"BLACK")</f>
        <v>BLACK</v>
      </c>
      <c r="G2797" s="20" t="str">
        <f>IFERROR(__xludf.DUMMYFUNCTION("""COMPUTED_VALUE"""),"Uncle Sams Cider (04/04/2023)")</f>
        <v>Uncle Sams Cider (04/04/2023)</v>
      </c>
      <c r="H2797" s="19"/>
    </row>
    <row r="2798">
      <c r="A2798" s="9"/>
      <c r="B2798" s="15"/>
      <c r="C2798" s="9">
        <f>IFERROR(__xludf.DUMMYFUNCTION("""COMPUTED_VALUE"""),45115.3573080555)</f>
        <v>45115.35731</v>
      </c>
      <c r="D2798" s="15">
        <f>IFERROR(__xludf.DUMMYFUNCTION("""COMPUTED_VALUE"""),1.004)</f>
        <v>1.004</v>
      </c>
      <c r="E2798" s="16">
        <f>IFERROR(__xludf.DUMMYFUNCTION("""COMPUTED_VALUE"""),72.0)</f>
        <v>72</v>
      </c>
      <c r="F2798" s="19" t="str">
        <f>IFERROR(__xludf.DUMMYFUNCTION("""COMPUTED_VALUE"""),"BLACK")</f>
        <v>BLACK</v>
      </c>
      <c r="G2798" s="20" t="str">
        <f>IFERROR(__xludf.DUMMYFUNCTION("""COMPUTED_VALUE"""),"Uncle Sams Cider (04/04/2023)")</f>
        <v>Uncle Sams Cider (04/04/2023)</v>
      </c>
      <c r="H2798" s="19"/>
    </row>
    <row r="2799">
      <c r="A2799" s="9"/>
      <c r="B2799" s="15"/>
      <c r="C2799" s="9">
        <f>IFERROR(__xludf.DUMMYFUNCTION("""COMPUTED_VALUE"""),45115.3468874305)</f>
        <v>45115.34689</v>
      </c>
      <c r="D2799" s="15">
        <f>IFERROR(__xludf.DUMMYFUNCTION("""COMPUTED_VALUE"""),1.004)</f>
        <v>1.004</v>
      </c>
      <c r="E2799" s="16">
        <f>IFERROR(__xludf.DUMMYFUNCTION("""COMPUTED_VALUE"""),72.0)</f>
        <v>72</v>
      </c>
      <c r="F2799" s="19" t="str">
        <f>IFERROR(__xludf.DUMMYFUNCTION("""COMPUTED_VALUE"""),"BLACK")</f>
        <v>BLACK</v>
      </c>
      <c r="G2799" s="20" t="str">
        <f>IFERROR(__xludf.DUMMYFUNCTION("""COMPUTED_VALUE"""),"Uncle Sams Cider (04/04/2023)")</f>
        <v>Uncle Sams Cider (04/04/2023)</v>
      </c>
      <c r="H2799" s="19"/>
    </row>
    <row r="2800">
      <c r="A2800" s="9"/>
      <c r="B2800" s="15"/>
      <c r="C2800" s="9">
        <f>IFERROR(__xludf.DUMMYFUNCTION("""COMPUTED_VALUE"""),45115.336466493)</f>
        <v>45115.33647</v>
      </c>
      <c r="D2800" s="15">
        <f>IFERROR(__xludf.DUMMYFUNCTION("""COMPUTED_VALUE"""),1.004)</f>
        <v>1.004</v>
      </c>
      <c r="E2800" s="16">
        <f>IFERROR(__xludf.DUMMYFUNCTION("""COMPUTED_VALUE"""),71.0)</f>
        <v>71</v>
      </c>
      <c r="F2800" s="19" t="str">
        <f>IFERROR(__xludf.DUMMYFUNCTION("""COMPUTED_VALUE"""),"BLACK")</f>
        <v>BLACK</v>
      </c>
      <c r="G2800" s="20" t="str">
        <f>IFERROR(__xludf.DUMMYFUNCTION("""COMPUTED_VALUE"""),"Uncle Sams Cider (04/04/2023)")</f>
        <v>Uncle Sams Cider (04/04/2023)</v>
      </c>
      <c r="H2800" s="19"/>
    </row>
    <row r="2801">
      <c r="A2801" s="9"/>
      <c r="B2801" s="15"/>
      <c r="C2801" s="9">
        <f>IFERROR(__xludf.DUMMYFUNCTION("""COMPUTED_VALUE"""),45115.326046574)</f>
        <v>45115.32605</v>
      </c>
      <c r="D2801" s="15">
        <f>IFERROR(__xludf.DUMMYFUNCTION("""COMPUTED_VALUE"""),1.004)</f>
        <v>1.004</v>
      </c>
      <c r="E2801" s="16">
        <f>IFERROR(__xludf.DUMMYFUNCTION("""COMPUTED_VALUE"""),72.0)</f>
        <v>72</v>
      </c>
      <c r="F2801" s="19" t="str">
        <f>IFERROR(__xludf.DUMMYFUNCTION("""COMPUTED_VALUE"""),"BLACK")</f>
        <v>BLACK</v>
      </c>
      <c r="G2801" s="20" t="str">
        <f>IFERROR(__xludf.DUMMYFUNCTION("""COMPUTED_VALUE"""),"Uncle Sams Cider (04/04/2023)")</f>
        <v>Uncle Sams Cider (04/04/2023)</v>
      </c>
      <c r="H2801" s="19"/>
    </row>
    <row r="2802">
      <c r="A2802" s="9"/>
      <c r="B2802" s="15"/>
      <c r="C2802" s="9">
        <f>IFERROR(__xludf.DUMMYFUNCTION("""COMPUTED_VALUE"""),45115.3156148842)</f>
        <v>45115.31561</v>
      </c>
      <c r="D2802" s="15">
        <f>IFERROR(__xludf.DUMMYFUNCTION("""COMPUTED_VALUE"""),1.004)</f>
        <v>1.004</v>
      </c>
      <c r="E2802" s="16">
        <f>IFERROR(__xludf.DUMMYFUNCTION("""COMPUTED_VALUE"""),72.0)</f>
        <v>72</v>
      </c>
      <c r="F2802" s="19" t="str">
        <f>IFERROR(__xludf.DUMMYFUNCTION("""COMPUTED_VALUE"""),"BLACK")</f>
        <v>BLACK</v>
      </c>
      <c r="G2802" s="20" t="str">
        <f>IFERROR(__xludf.DUMMYFUNCTION("""COMPUTED_VALUE"""),"Uncle Sams Cider (04/04/2023)")</f>
        <v>Uncle Sams Cider (04/04/2023)</v>
      </c>
      <c r="H2802" s="19"/>
    </row>
    <row r="2803">
      <c r="A2803" s="9"/>
      <c r="B2803" s="15"/>
      <c r="C2803" s="9">
        <f>IFERROR(__xludf.DUMMYFUNCTION("""COMPUTED_VALUE"""),45115.3051689467)</f>
        <v>45115.30517</v>
      </c>
      <c r="D2803" s="15">
        <f>IFERROR(__xludf.DUMMYFUNCTION("""COMPUTED_VALUE"""),1.004)</f>
        <v>1.004</v>
      </c>
      <c r="E2803" s="16">
        <f>IFERROR(__xludf.DUMMYFUNCTION("""COMPUTED_VALUE"""),71.0)</f>
        <v>71</v>
      </c>
      <c r="F2803" s="19" t="str">
        <f>IFERROR(__xludf.DUMMYFUNCTION("""COMPUTED_VALUE"""),"BLACK")</f>
        <v>BLACK</v>
      </c>
      <c r="G2803" s="20" t="str">
        <f>IFERROR(__xludf.DUMMYFUNCTION("""COMPUTED_VALUE"""),"Uncle Sams Cider (04/04/2023)")</f>
        <v>Uncle Sams Cider (04/04/2023)</v>
      </c>
      <c r="H2803" s="19"/>
    </row>
    <row r="2804">
      <c r="A2804" s="9"/>
      <c r="B2804" s="15"/>
      <c r="C2804" s="9">
        <f>IFERROR(__xludf.DUMMYFUNCTION("""COMPUTED_VALUE"""),45115.2947227546)</f>
        <v>45115.29472</v>
      </c>
      <c r="D2804" s="15">
        <f>IFERROR(__xludf.DUMMYFUNCTION("""COMPUTED_VALUE"""),1.004)</f>
        <v>1.004</v>
      </c>
      <c r="E2804" s="16">
        <f>IFERROR(__xludf.DUMMYFUNCTION("""COMPUTED_VALUE"""),71.0)</f>
        <v>71</v>
      </c>
      <c r="F2804" s="19" t="str">
        <f>IFERROR(__xludf.DUMMYFUNCTION("""COMPUTED_VALUE"""),"BLACK")</f>
        <v>BLACK</v>
      </c>
      <c r="G2804" s="20" t="str">
        <f>IFERROR(__xludf.DUMMYFUNCTION("""COMPUTED_VALUE"""),"Uncle Sams Cider (04/04/2023)")</f>
        <v>Uncle Sams Cider (04/04/2023)</v>
      </c>
      <c r="H2804" s="19"/>
    </row>
    <row r="2805">
      <c r="A2805" s="9"/>
      <c r="B2805" s="15"/>
      <c r="C2805" s="9">
        <f>IFERROR(__xludf.DUMMYFUNCTION("""COMPUTED_VALUE"""),45115.2843017939)</f>
        <v>45115.2843</v>
      </c>
      <c r="D2805" s="15">
        <f>IFERROR(__xludf.DUMMYFUNCTION("""COMPUTED_VALUE"""),1.004)</f>
        <v>1.004</v>
      </c>
      <c r="E2805" s="16">
        <f>IFERROR(__xludf.DUMMYFUNCTION("""COMPUTED_VALUE"""),71.0)</f>
        <v>71</v>
      </c>
      <c r="F2805" s="19" t="str">
        <f>IFERROR(__xludf.DUMMYFUNCTION("""COMPUTED_VALUE"""),"BLACK")</f>
        <v>BLACK</v>
      </c>
      <c r="G2805" s="20" t="str">
        <f>IFERROR(__xludf.DUMMYFUNCTION("""COMPUTED_VALUE"""),"Uncle Sams Cider (04/04/2023)")</f>
        <v>Uncle Sams Cider (04/04/2023)</v>
      </c>
      <c r="H2805" s="19"/>
    </row>
    <row r="2806">
      <c r="A2806" s="9"/>
      <c r="B2806" s="15"/>
      <c r="C2806" s="9">
        <f>IFERROR(__xludf.DUMMYFUNCTION("""COMPUTED_VALUE"""),45115.2738805555)</f>
        <v>45115.27388</v>
      </c>
      <c r="D2806" s="15">
        <f>IFERROR(__xludf.DUMMYFUNCTION("""COMPUTED_VALUE"""),1.004)</f>
        <v>1.004</v>
      </c>
      <c r="E2806" s="16">
        <f>IFERROR(__xludf.DUMMYFUNCTION("""COMPUTED_VALUE"""),71.0)</f>
        <v>71</v>
      </c>
      <c r="F2806" s="19" t="str">
        <f>IFERROR(__xludf.DUMMYFUNCTION("""COMPUTED_VALUE"""),"BLACK")</f>
        <v>BLACK</v>
      </c>
      <c r="G2806" s="20" t="str">
        <f>IFERROR(__xludf.DUMMYFUNCTION("""COMPUTED_VALUE"""),"Uncle Sams Cider (04/04/2023)")</f>
        <v>Uncle Sams Cider (04/04/2023)</v>
      </c>
      <c r="H2806" s="19"/>
    </row>
    <row r="2807">
      <c r="A2807" s="9"/>
      <c r="B2807" s="15"/>
      <c r="C2807" s="9">
        <f>IFERROR(__xludf.DUMMYFUNCTION("""COMPUTED_VALUE"""),45115.2634594907)</f>
        <v>45115.26346</v>
      </c>
      <c r="D2807" s="15">
        <f>IFERROR(__xludf.DUMMYFUNCTION("""COMPUTED_VALUE"""),1.004)</f>
        <v>1.004</v>
      </c>
      <c r="E2807" s="16">
        <f>IFERROR(__xludf.DUMMYFUNCTION("""COMPUTED_VALUE"""),72.0)</f>
        <v>72</v>
      </c>
      <c r="F2807" s="19" t="str">
        <f>IFERROR(__xludf.DUMMYFUNCTION("""COMPUTED_VALUE"""),"BLACK")</f>
        <v>BLACK</v>
      </c>
      <c r="G2807" s="20" t="str">
        <f>IFERROR(__xludf.DUMMYFUNCTION("""COMPUTED_VALUE"""),"Uncle Sams Cider (04/04/2023)")</f>
        <v>Uncle Sams Cider (04/04/2023)</v>
      </c>
      <c r="H2807" s="19"/>
    </row>
    <row r="2808">
      <c r="A2808" s="9"/>
      <c r="B2808" s="15"/>
      <c r="C2808" s="9">
        <f>IFERROR(__xludf.DUMMYFUNCTION("""COMPUTED_VALUE"""),45115.2530378935)</f>
        <v>45115.25304</v>
      </c>
      <c r="D2808" s="15">
        <f>IFERROR(__xludf.DUMMYFUNCTION("""COMPUTED_VALUE"""),1.004)</f>
        <v>1.004</v>
      </c>
      <c r="E2808" s="16">
        <f>IFERROR(__xludf.DUMMYFUNCTION("""COMPUTED_VALUE"""),72.0)</f>
        <v>72</v>
      </c>
      <c r="F2808" s="19" t="str">
        <f>IFERROR(__xludf.DUMMYFUNCTION("""COMPUTED_VALUE"""),"BLACK")</f>
        <v>BLACK</v>
      </c>
      <c r="G2808" s="20" t="str">
        <f>IFERROR(__xludf.DUMMYFUNCTION("""COMPUTED_VALUE"""),"Uncle Sams Cider (04/04/2023)")</f>
        <v>Uncle Sams Cider (04/04/2023)</v>
      </c>
      <c r="H2808" s="19"/>
    </row>
    <row r="2809">
      <c r="A2809" s="9"/>
      <c r="B2809" s="15"/>
      <c r="C2809" s="9">
        <f>IFERROR(__xludf.DUMMYFUNCTION("""COMPUTED_VALUE"""),45115.2425818171)</f>
        <v>45115.24258</v>
      </c>
      <c r="D2809" s="15">
        <f>IFERROR(__xludf.DUMMYFUNCTION("""COMPUTED_VALUE"""),1.004)</f>
        <v>1.004</v>
      </c>
      <c r="E2809" s="16">
        <f>IFERROR(__xludf.DUMMYFUNCTION("""COMPUTED_VALUE"""),71.0)</f>
        <v>71</v>
      </c>
      <c r="F2809" s="19" t="str">
        <f>IFERROR(__xludf.DUMMYFUNCTION("""COMPUTED_VALUE"""),"BLACK")</f>
        <v>BLACK</v>
      </c>
      <c r="G2809" s="20" t="str">
        <f>IFERROR(__xludf.DUMMYFUNCTION("""COMPUTED_VALUE"""),"Uncle Sams Cider (04/04/2023)")</f>
        <v>Uncle Sams Cider (04/04/2023)</v>
      </c>
      <c r="H2809" s="19"/>
    </row>
    <row r="2810">
      <c r="A2810" s="9"/>
      <c r="B2810" s="15"/>
      <c r="C2810" s="9">
        <f>IFERROR(__xludf.DUMMYFUNCTION("""COMPUTED_VALUE"""),45115.2321614236)</f>
        <v>45115.23216</v>
      </c>
      <c r="D2810" s="15">
        <f>IFERROR(__xludf.DUMMYFUNCTION("""COMPUTED_VALUE"""),1.004)</f>
        <v>1.004</v>
      </c>
      <c r="E2810" s="16">
        <f>IFERROR(__xludf.DUMMYFUNCTION("""COMPUTED_VALUE"""),71.0)</f>
        <v>71</v>
      </c>
      <c r="F2810" s="19" t="str">
        <f>IFERROR(__xludf.DUMMYFUNCTION("""COMPUTED_VALUE"""),"BLACK")</f>
        <v>BLACK</v>
      </c>
      <c r="G2810" s="20" t="str">
        <f>IFERROR(__xludf.DUMMYFUNCTION("""COMPUTED_VALUE"""),"Uncle Sams Cider (04/04/2023)")</f>
        <v>Uncle Sams Cider (04/04/2023)</v>
      </c>
      <c r="H2810" s="19"/>
    </row>
    <row r="2811">
      <c r="A2811" s="9"/>
      <c r="B2811" s="15"/>
      <c r="C2811" s="9">
        <f>IFERROR(__xludf.DUMMYFUNCTION("""COMPUTED_VALUE"""),45115.2217403935)</f>
        <v>45115.22174</v>
      </c>
      <c r="D2811" s="15">
        <f>IFERROR(__xludf.DUMMYFUNCTION("""COMPUTED_VALUE"""),1.004)</f>
        <v>1.004</v>
      </c>
      <c r="E2811" s="16">
        <f>IFERROR(__xludf.DUMMYFUNCTION("""COMPUTED_VALUE"""),72.0)</f>
        <v>72</v>
      </c>
      <c r="F2811" s="19" t="str">
        <f>IFERROR(__xludf.DUMMYFUNCTION("""COMPUTED_VALUE"""),"BLACK")</f>
        <v>BLACK</v>
      </c>
      <c r="G2811" s="20" t="str">
        <f>IFERROR(__xludf.DUMMYFUNCTION("""COMPUTED_VALUE"""),"Uncle Sams Cider (04/04/2023)")</f>
        <v>Uncle Sams Cider (04/04/2023)</v>
      </c>
      <c r="H2811" s="19"/>
    </row>
    <row r="2812">
      <c r="A2812" s="9"/>
      <c r="B2812" s="15"/>
      <c r="C2812" s="9">
        <f>IFERROR(__xludf.DUMMYFUNCTION("""COMPUTED_VALUE"""),45115.2112967013)</f>
        <v>45115.2113</v>
      </c>
      <c r="D2812" s="15">
        <f>IFERROR(__xludf.DUMMYFUNCTION("""COMPUTED_VALUE"""),1.004)</f>
        <v>1.004</v>
      </c>
      <c r="E2812" s="16">
        <f>IFERROR(__xludf.DUMMYFUNCTION("""COMPUTED_VALUE"""),72.0)</f>
        <v>72</v>
      </c>
      <c r="F2812" s="19" t="str">
        <f>IFERROR(__xludf.DUMMYFUNCTION("""COMPUTED_VALUE"""),"BLACK")</f>
        <v>BLACK</v>
      </c>
      <c r="G2812" s="20" t="str">
        <f>IFERROR(__xludf.DUMMYFUNCTION("""COMPUTED_VALUE"""),"Uncle Sams Cider (04/04/2023)")</f>
        <v>Uncle Sams Cider (04/04/2023)</v>
      </c>
      <c r="H2812" s="19"/>
    </row>
    <row r="2813">
      <c r="A2813" s="9"/>
      <c r="B2813" s="15"/>
      <c r="C2813" s="9">
        <f>IFERROR(__xludf.DUMMYFUNCTION("""COMPUTED_VALUE"""),45115.2008754398)</f>
        <v>45115.20088</v>
      </c>
      <c r="D2813" s="15">
        <f>IFERROR(__xludf.DUMMYFUNCTION("""COMPUTED_VALUE"""),1.004)</f>
        <v>1.004</v>
      </c>
      <c r="E2813" s="16">
        <f>IFERROR(__xludf.DUMMYFUNCTION("""COMPUTED_VALUE"""),71.0)</f>
        <v>71</v>
      </c>
      <c r="F2813" s="19" t="str">
        <f>IFERROR(__xludf.DUMMYFUNCTION("""COMPUTED_VALUE"""),"BLACK")</f>
        <v>BLACK</v>
      </c>
      <c r="G2813" s="20" t="str">
        <f>IFERROR(__xludf.DUMMYFUNCTION("""COMPUTED_VALUE"""),"Uncle Sams Cider (04/04/2023)")</f>
        <v>Uncle Sams Cider (04/04/2023)</v>
      </c>
      <c r="H2813" s="19"/>
    </row>
    <row r="2814">
      <c r="A2814" s="9"/>
      <c r="B2814" s="15"/>
      <c r="C2814" s="9">
        <f>IFERROR(__xludf.DUMMYFUNCTION("""COMPUTED_VALUE"""),45115.1904559953)</f>
        <v>45115.19046</v>
      </c>
      <c r="D2814" s="15">
        <f>IFERROR(__xludf.DUMMYFUNCTION("""COMPUTED_VALUE"""),1.004)</f>
        <v>1.004</v>
      </c>
      <c r="E2814" s="16">
        <f>IFERROR(__xludf.DUMMYFUNCTION("""COMPUTED_VALUE"""),72.0)</f>
        <v>72</v>
      </c>
      <c r="F2814" s="19" t="str">
        <f>IFERROR(__xludf.DUMMYFUNCTION("""COMPUTED_VALUE"""),"BLACK")</f>
        <v>BLACK</v>
      </c>
      <c r="G2814" s="20" t="str">
        <f>IFERROR(__xludf.DUMMYFUNCTION("""COMPUTED_VALUE"""),"Uncle Sams Cider (04/04/2023)")</f>
        <v>Uncle Sams Cider (04/04/2023)</v>
      </c>
      <c r="H2814" s="19"/>
    </row>
    <row r="2815">
      <c r="A2815" s="9"/>
      <c r="B2815" s="15"/>
      <c r="C2815" s="9">
        <f>IFERROR(__xludf.DUMMYFUNCTION("""COMPUTED_VALUE"""),45115.1800319791)</f>
        <v>45115.18003</v>
      </c>
      <c r="D2815" s="15">
        <f>IFERROR(__xludf.DUMMYFUNCTION("""COMPUTED_VALUE"""),1.004)</f>
        <v>1.004</v>
      </c>
      <c r="E2815" s="16">
        <f>IFERROR(__xludf.DUMMYFUNCTION("""COMPUTED_VALUE"""),72.0)</f>
        <v>72</v>
      </c>
      <c r="F2815" s="19" t="str">
        <f>IFERROR(__xludf.DUMMYFUNCTION("""COMPUTED_VALUE"""),"BLACK")</f>
        <v>BLACK</v>
      </c>
      <c r="G2815" s="20" t="str">
        <f>IFERROR(__xludf.DUMMYFUNCTION("""COMPUTED_VALUE"""),"Uncle Sams Cider (04/04/2023)")</f>
        <v>Uncle Sams Cider (04/04/2023)</v>
      </c>
      <c r="H2815" s="19"/>
    </row>
    <row r="2816">
      <c r="A2816" s="9"/>
      <c r="B2816" s="15"/>
      <c r="C2816" s="9">
        <f>IFERROR(__xludf.DUMMYFUNCTION("""COMPUTED_VALUE"""),45115.1696110879)</f>
        <v>45115.16961</v>
      </c>
      <c r="D2816" s="15">
        <f>IFERROR(__xludf.DUMMYFUNCTION("""COMPUTED_VALUE"""),1.004)</f>
        <v>1.004</v>
      </c>
      <c r="E2816" s="16">
        <f>IFERROR(__xludf.DUMMYFUNCTION("""COMPUTED_VALUE"""),72.0)</f>
        <v>72</v>
      </c>
      <c r="F2816" s="19" t="str">
        <f>IFERROR(__xludf.DUMMYFUNCTION("""COMPUTED_VALUE"""),"BLACK")</f>
        <v>BLACK</v>
      </c>
      <c r="G2816" s="20" t="str">
        <f>IFERROR(__xludf.DUMMYFUNCTION("""COMPUTED_VALUE"""),"Uncle Sams Cider (04/04/2023)")</f>
        <v>Uncle Sams Cider (04/04/2023)</v>
      </c>
      <c r="H2816" s="19"/>
    </row>
    <row r="2817">
      <c r="A2817" s="9"/>
      <c r="B2817" s="15"/>
      <c r="C2817" s="9">
        <f>IFERROR(__xludf.DUMMYFUNCTION("""COMPUTED_VALUE"""),45115.1591899652)</f>
        <v>45115.15919</v>
      </c>
      <c r="D2817" s="15">
        <f>IFERROR(__xludf.DUMMYFUNCTION("""COMPUTED_VALUE"""),1.004)</f>
        <v>1.004</v>
      </c>
      <c r="E2817" s="16">
        <f>IFERROR(__xludf.DUMMYFUNCTION("""COMPUTED_VALUE"""),72.0)</f>
        <v>72</v>
      </c>
      <c r="F2817" s="19" t="str">
        <f>IFERROR(__xludf.DUMMYFUNCTION("""COMPUTED_VALUE"""),"BLACK")</f>
        <v>BLACK</v>
      </c>
      <c r="G2817" s="20" t="str">
        <f>IFERROR(__xludf.DUMMYFUNCTION("""COMPUTED_VALUE"""),"Uncle Sams Cider (04/04/2023)")</f>
        <v>Uncle Sams Cider (04/04/2023)</v>
      </c>
      <c r="H2817" s="19"/>
    </row>
    <row r="2818">
      <c r="A2818" s="9"/>
      <c r="B2818" s="15"/>
      <c r="C2818" s="9">
        <f>IFERROR(__xludf.DUMMYFUNCTION("""COMPUTED_VALUE"""),45115.1487682986)</f>
        <v>45115.14877</v>
      </c>
      <c r="D2818" s="15">
        <f>IFERROR(__xludf.DUMMYFUNCTION("""COMPUTED_VALUE"""),1.003)</f>
        <v>1.003</v>
      </c>
      <c r="E2818" s="16">
        <f>IFERROR(__xludf.DUMMYFUNCTION("""COMPUTED_VALUE"""),72.0)</f>
        <v>72</v>
      </c>
      <c r="F2818" s="19" t="str">
        <f>IFERROR(__xludf.DUMMYFUNCTION("""COMPUTED_VALUE"""),"BLACK")</f>
        <v>BLACK</v>
      </c>
      <c r="G2818" s="20" t="str">
        <f>IFERROR(__xludf.DUMMYFUNCTION("""COMPUTED_VALUE"""),"Uncle Sams Cider (04/04/2023)")</f>
        <v>Uncle Sams Cider (04/04/2023)</v>
      </c>
      <c r="H2818" s="19"/>
    </row>
    <row r="2819">
      <c r="A2819" s="9"/>
      <c r="B2819" s="15"/>
      <c r="C2819" s="9">
        <f>IFERROR(__xludf.DUMMYFUNCTION("""COMPUTED_VALUE"""),45115.1383458333)</f>
        <v>45115.13835</v>
      </c>
      <c r="D2819" s="15">
        <f>IFERROR(__xludf.DUMMYFUNCTION("""COMPUTED_VALUE"""),1.004)</f>
        <v>1.004</v>
      </c>
      <c r="E2819" s="16">
        <f>IFERROR(__xludf.DUMMYFUNCTION("""COMPUTED_VALUE"""),72.0)</f>
        <v>72</v>
      </c>
      <c r="F2819" s="19" t="str">
        <f>IFERROR(__xludf.DUMMYFUNCTION("""COMPUTED_VALUE"""),"BLACK")</f>
        <v>BLACK</v>
      </c>
      <c r="G2819" s="20" t="str">
        <f>IFERROR(__xludf.DUMMYFUNCTION("""COMPUTED_VALUE"""),"Uncle Sams Cider (04/04/2023)")</f>
        <v>Uncle Sams Cider (04/04/2023)</v>
      </c>
      <c r="H2819" s="19"/>
    </row>
    <row r="2820">
      <c r="A2820" s="9"/>
      <c r="B2820" s="15"/>
      <c r="C2820" s="9">
        <f>IFERROR(__xludf.DUMMYFUNCTION("""COMPUTED_VALUE"""),45115.1279240046)</f>
        <v>45115.12792</v>
      </c>
      <c r="D2820" s="15">
        <f>IFERROR(__xludf.DUMMYFUNCTION("""COMPUTED_VALUE"""),1.003)</f>
        <v>1.003</v>
      </c>
      <c r="E2820" s="16">
        <f>IFERROR(__xludf.DUMMYFUNCTION("""COMPUTED_VALUE"""),71.0)</f>
        <v>71</v>
      </c>
      <c r="F2820" s="19" t="str">
        <f>IFERROR(__xludf.DUMMYFUNCTION("""COMPUTED_VALUE"""),"BLACK")</f>
        <v>BLACK</v>
      </c>
      <c r="G2820" s="20" t="str">
        <f>IFERROR(__xludf.DUMMYFUNCTION("""COMPUTED_VALUE"""),"Uncle Sams Cider (04/04/2023)")</f>
        <v>Uncle Sams Cider (04/04/2023)</v>
      </c>
      <c r="H2820" s="19"/>
    </row>
    <row r="2821">
      <c r="A2821" s="9"/>
      <c r="B2821" s="15"/>
      <c r="C2821" s="9">
        <f>IFERROR(__xludf.DUMMYFUNCTION("""COMPUTED_VALUE"""),45115.1174929513)</f>
        <v>45115.11749</v>
      </c>
      <c r="D2821" s="15">
        <f>IFERROR(__xludf.DUMMYFUNCTION("""COMPUTED_VALUE"""),1.004)</f>
        <v>1.004</v>
      </c>
      <c r="E2821" s="16">
        <f>IFERROR(__xludf.DUMMYFUNCTION("""COMPUTED_VALUE"""),72.0)</f>
        <v>72</v>
      </c>
      <c r="F2821" s="19" t="str">
        <f>IFERROR(__xludf.DUMMYFUNCTION("""COMPUTED_VALUE"""),"BLACK")</f>
        <v>BLACK</v>
      </c>
      <c r="G2821" s="20" t="str">
        <f>IFERROR(__xludf.DUMMYFUNCTION("""COMPUTED_VALUE"""),"Uncle Sams Cider (04/04/2023)")</f>
        <v>Uncle Sams Cider (04/04/2023)</v>
      </c>
      <c r="H2821" s="19"/>
    </row>
    <row r="2822">
      <c r="A2822" s="9"/>
      <c r="B2822" s="15"/>
      <c r="C2822" s="9">
        <f>IFERROR(__xludf.DUMMYFUNCTION("""COMPUTED_VALUE"""),45115.1070628125)</f>
        <v>45115.10706</v>
      </c>
      <c r="D2822" s="15">
        <f>IFERROR(__xludf.DUMMYFUNCTION("""COMPUTED_VALUE"""),1.004)</f>
        <v>1.004</v>
      </c>
      <c r="E2822" s="16">
        <f>IFERROR(__xludf.DUMMYFUNCTION("""COMPUTED_VALUE"""),71.0)</f>
        <v>71</v>
      </c>
      <c r="F2822" s="19" t="str">
        <f>IFERROR(__xludf.DUMMYFUNCTION("""COMPUTED_VALUE"""),"BLACK")</f>
        <v>BLACK</v>
      </c>
      <c r="G2822" s="20" t="str">
        <f>IFERROR(__xludf.DUMMYFUNCTION("""COMPUTED_VALUE"""),"Uncle Sams Cider (04/04/2023)")</f>
        <v>Uncle Sams Cider (04/04/2023)</v>
      </c>
      <c r="H2822" s="19"/>
    </row>
    <row r="2823">
      <c r="A2823" s="9"/>
      <c r="B2823" s="15"/>
      <c r="C2823" s="9">
        <f>IFERROR(__xludf.DUMMYFUNCTION("""COMPUTED_VALUE"""),45115.0966409722)</f>
        <v>45115.09664</v>
      </c>
      <c r="D2823" s="15">
        <f>IFERROR(__xludf.DUMMYFUNCTION("""COMPUTED_VALUE"""),1.004)</f>
        <v>1.004</v>
      </c>
      <c r="E2823" s="16">
        <f>IFERROR(__xludf.DUMMYFUNCTION("""COMPUTED_VALUE"""),71.0)</f>
        <v>71</v>
      </c>
      <c r="F2823" s="19" t="str">
        <f>IFERROR(__xludf.DUMMYFUNCTION("""COMPUTED_VALUE"""),"BLACK")</f>
        <v>BLACK</v>
      </c>
      <c r="G2823" s="20" t="str">
        <f>IFERROR(__xludf.DUMMYFUNCTION("""COMPUTED_VALUE"""),"Uncle Sams Cider (04/04/2023)")</f>
        <v>Uncle Sams Cider (04/04/2023)</v>
      </c>
      <c r="H2823" s="19"/>
    </row>
    <row r="2824">
      <c r="A2824" s="9"/>
      <c r="B2824" s="15"/>
      <c r="C2824" s="9">
        <f>IFERROR(__xludf.DUMMYFUNCTION("""COMPUTED_VALUE"""),45115.086218831)</f>
        <v>45115.08622</v>
      </c>
      <c r="D2824" s="15">
        <f>IFERROR(__xludf.DUMMYFUNCTION("""COMPUTED_VALUE"""),1.004)</f>
        <v>1.004</v>
      </c>
      <c r="E2824" s="16">
        <f>IFERROR(__xludf.DUMMYFUNCTION("""COMPUTED_VALUE"""),71.0)</f>
        <v>71</v>
      </c>
      <c r="F2824" s="19" t="str">
        <f>IFERROR(__xludf.DUMMYFUNCTION("""COMPUTED_VALUE"""),"BLACK")</f>
        <v>BLACK</v>
      </c>
      <c r="G2824" s="20" t="str">
        <f>IFERROR(__xludf.DUMMYFUNCTION("""COMPUTED_VALUE"""),"Uncle Sams Cider (04/04/2023)")</f>
        <v>Uncle Sams Cider (04/04/2023)</v>
      </c>
      <c r="H2824" s="19"/>
    </row>
    <row r="2825">
      <c r="A2825" s="9"/>
      <c r="B2825" s="15"/>
      <c r="C2825" s="9">
        <f>IFERROR(__xludf.DUMMYFUNCTION("""COMPUTED_VALUE"""),45115.0757964004)</f>
        <v>45115.0758</v>
      </c>
      <c r="D2825" s="15">
        <f>IFERROR(__xludf.DUMMYFUNCTION("""COMPUTED_VALUE"""),1.004)</f>
        <v>1.004</v>
      </c>
      <c r="E2825" s="16">
        <f>IFERROR(__xludf.DUMMYFUNCTION("""COMPUTED_VALUE"""),71.0)</f>
        <v>71</v>
      </c>
      <c r="F2825" s="19" t="str">
        <f>IFERROR(__xludf.DUMMYFUNCTION("""COMPUTED_VALUE"""),"BLACK")</f>
        <v>BLACK</v>
      </c>
      <c r="G2825" s="20" t="str">
        <f>IFERROR(__xludf.DUMMYFUNCTION("""COMPUTED_VALUE"""),"Uncle Sams Cider (04/04/2023)")</f>
        <v>Uncle Sams Cider (04/04/2023)</v>
      </c>
      <c r="H2825" s="19"/>
    </row>
    <row r="2826">
      <c r="A2826" s="9"/>
      <c r="B2826" s="15"/>
      <c r="C2826" s="9">
        <f>IFERROR(__xludf.DUMMYFUNCTION("""COMPUTED_VALUE"""),45115.0653642129)</f>
        <v>45115.06536</v>
      </c>
      <c r="D2826" s="15">
        <f>IFERROR(__xludf.DUMMYFUNCTION("""COMPUTED_VALUE"""),1.004)</f>
        <v>1.004</v>
      </c>
      <c r="E2826" s="16">
        <f>IFERROR(__xludf.DUMMYFUNCTION("""COMPUTED_VALUE"""),71.0)</f>
        <v>71</v>
      </c>
      <c r="F2826" s="19" t="str">
        <f>IFERROR(__xludf.DUMMYFUNCTION("""COMPUTED_VALUE"""),"BLACK")</f>
        <v>BLACK</v>
      </c>
      <c r="G2826" s="20" t="str">
        <f>IFERROR(__xludf.DUMMYFUNCTION("""COMPUTED_VALUE"""),"Uncle Sams Cider (04/04/2023)")</f>
        <v>Uncle Sams Cider (04/04/2023)</v>
      </c>
      <c r="H2826" s="19"/>
    </row>
    <row r="2827">
      <c r="A2827" s="9"/>
      <c r="B2827" s="15"/>
      <c r="C2827" s="9">
        <f>IFERROR(__xludf.DUMMYFUNCTION("""COMPUTED_VALUE"""),45115.05494228)</f>
        <v>45115.05494</v>
      </c>
      <c r="D2827" s="15">
        <f>IFERROR(__xludf.DUMMYFUNCTION("""COMPUTED_VALUE"""),1.004)</f>
        <v>1.004</v>
      </c>
      <c r="E2827" s="16">
        <f>IFERROR(__xludf.DUMMYFUNCTION("""COMPUTED_VALUE"""),71.0)</f>
        <v>71</v>
      </c>
      <c r="F2827" s="19" t="str">
        <f>IFERROR(__xludf.DUMMYFUNCTION("""COMPUTED_VALUE"""),"BLACK")</f>
        <v>BLACK</v>
      </c>
      <c r="G2827" s="20" t="str">
        <f>IFERROR(__xludf.DUMMYFUNCTION("""COMPUTED_VALUE"""),"Uncle Sams Cider (04/04/2023)")</f>
        <v>Uncle Sams Cider (04/04/2023)</v>
      </c>
      <c r="H2827" s="19"/>
    </row>
    <row r="2828">
      <c r="A2828" s="9"/>
      <c r="B2828" s="15"/>
      <c r="C2828" s="9">
        <f>IFERROR(__xludf.DUMMYFUNCTION("""COMPUTED_VALUE"""),45115.0445208333)</f>
        <v>45115.04452</v>
      </c>
      <c r="D2828" s="15">
        <f>IFERROR(__xludf.DUMMYFUNCTION("""COMPUTED_VALUE"""),1.004)</f>
        <v>1.004</v>
      </c>
      <c r="E2828" s="16">
        <f>IFERROR(__xludf.DUMMYFUNCTION("""COMPUTED_VALUE"""),71.0)</f>
        <v>71</v>
      </c>
      <c r="F2828" s="19" t="str">
        <f>IFERROR(__xludf.DUMMYFUNCTION("""COMPUTED_VALUE"""),"BLACK")</f>
        <v>BLACK</v>
      </c>
      <c r="G2828" s="20" t="str">
        <f>IFERROR(__xludf.DUMMYFUNCTION("""COMPUTED_VALUE"""),"Uncle Sams Cider (04/04/2023)")</f>
        <v>Uncle Sams Cider (04/04/2023)</v>
      </c>
      <c r="H2828" s="19"/>
    </row>
    <row r="2829">
      <c r="A2829" s="9"/>
      <c r="B2829" s="15"/>
      <c r="C2829" s="9">
        <f>IFERROR(__xludf.DUMMYFUNCTION("""COMPUTED_VALUE"""),45115.0340885763)</f>
        <v>45115.03409</v>
      </c>
      <c r="D2829" s="15">
        <f>IFERROR(__xludf.DUMMYFUNCTION("""COMPUTED_VALUE"""),1.004)</f>
        <v>1.004</v>
      </c>
      <c r="E2829" s="16">
        <f>IFERROR(__xludf.DUMMYFUNCTION("""COMPUTED_VALUE"""),71.0)</f>
        <v>71</v>
      </c>
      <c r="F2829" s="19" t="str">
        <f>IFERROR(__xludf.DUMMYFUNCTION("""COMPUTED_VALUE"""),"BLACK")</f>
        <v>BLACK</v>
      </c>
      <c r="G2829" s="20" t="str">
        <f>IFERROR(__xludf.DUMMYFUNCTION("""COMPUTED_VALUE"""),"Uncle Sams Cider (04/04/2023)")</f>
        <v>Uncle Sams Cider (04/04/2023)</v>
      </c>
      <c r="H2829" s="19"/>
    </row>
    <row r="2830">
      <c r="A2830" s="9"/>
      <c r="B2830" s="15"/>
      <c r="C2830" s="9">
        <f>IFERROR(__xludf.DUMMYFUNCTION("""COMPUTED_VALUE"""),45115.0236651504)</f>
        <v>45115.02367</v>
      </c>
      <c r="D2830" s="15">
        <f>IFERROR(__xludf.DUMMYFUNCTION("""COMPUTED_VALUE"""),1.004)</f>
        <v>1.004</v>
      </c>
      <c r="E2830" s="16">
        <f>IFERROR(__xludf.DUMMYFUNCTION("""COMPUTED_VALUE"""),71.0)</f>
        <v>71</v>
      </c>
      <c r="F2830" s="19" t="str">
        <f>IFERROR(__xludf.DUMMYFUNCTION("""COMPUTED_VALUE"""),"BLACK")</f>
        <v>BLACK</v>
      </c>
      <c r="G2830" s="20" t="str">
        <f>IFERROR(__xludf.DUMMYFUNCTION("""COMPUTED_VALUE"""),"Uncle Sams Cider (04/04/2023)")</f>
        <v>Uncle Sams Cider (04/04/2023)</v>
      </c>
      <c r="H2830" s="19"/>
    </row>
    <row r="2831">
      <c r="A2831" s="9"/>
      <c r="B2831" s="15"/>
      <c r="C2831" s="9">
        <f>IFERROR(__xludf.DUMMYFUNCTION("""COMPUTED_VALUE"""),45115.0132421296)</f>
        <v>45115.01324</v>
      </c>
      <c r="D2831" s="15">
        <f>IFERROR(__xludf.DUMMYFUNCTION("""COMPUTED_VALUE"""),1.004)</f>
        <v>1.004</v>
      </c>
      <c r="E2831" s="16">
        <f>IFERROR(__xludf.DUMMYFUNCTION("""COMPUTED_VALUE"""),71.0)</f>
        <v>71</v>
      </c>
      <c r="F2831" s="19" t="str">
        <f>IFERROR(__xludf.DUMMYFUNCTION("""COMPUTED_VALUE"""),"BLACK")</f>
        <v>BLACK</v>
      </c>
      <c r="G2831" s="20" t="str">
        <f>IFERROR(__xludf.DUMMYFUNCTION("""COMPUTED_VALUE"""),"Uncle Sams Cider (04/04/2023)")</f>
        <v>Uncle Sams Cider (04/04/2023)</v>
      </c>
      <c r="H2831" s="19"/>
    </row>
    <row r="2832">
      <c r="A2832" s="9"/>
      <c r="B2832" s="15"/>
      <c r="C2832" s="9">
        <f>IFERROR(__xludf.DUMMYFUNCTION("""COMPUTED_VALUE"""),45115.0028101157)</f>
        <v>45115.00281</v>
      </c>
      <c r="D2832" s="15">
        <f>IFERROR(__xludf.DUMMYFUNCTION("""COMPUTED_VALUE"""),1.004)</f>
        <v>1.004</v>
      </c>
      <c r="E2832" s="16">
        <f>IFERROR(__xludf.DUMMYFUNCTION("""COMPUTED_VALUE"""),72.0)</f>
        <v>72</v>
      </c>
      <c r="F2832" s="19" t="str">
        <f>IFERROR(__xludf.DUMMYFUNCTION("""COMPUTED_VALUE"""),"BLACK")</f>
        <v>BLACK</v>
      </c>
      <c r="G2832" s="20" t="str">
        <f>IFERROR(__xludf.DUMMYFUNCTION("""COMPUTED_VALUE"""),"Uncle Sams Cider (04/04/2023)")</f>
        <v>Uncle Sams Cider (04/04/2023)</v>
      </c>
      <c r="H2832" s="19"/>
    </row>
    <row r="2833">
      <c r="A2833" s="9"/>
      <c r="B2833" s="15"/>
      <c r="C2833" s="9">
        <f>IFERROR(__xludf.DUMMYFUNCTION("""COMPUTED_VALUE"""),45114.9923905787)</f>
        <v>45114.99239</v>
      </c>
      <c r="D2833" s="15">
        <f>IFERROR(__xludf.DUMMYFUNCTION("""COMPUTED_VALUE"""),1.004)</f>
        <v>1.004</v>
      </c>
      <c r="E2833" s="16">
        <f>IFERROR(__xludf.DUMMYFUNCTION("""COMPUTED_VALUE"""),71.0)</f>
        <v>71</v>
      </c>
      <c r="F2833" s="19" t="str">
        <f>IFERROR(__xludf.DUMMYFUNCTION("""COMPUTED_VALUE"""),"BLACK")</f>
        <v>BLACK</v>
      </c>
      <c r="G2833" s="20" t="str">
        <f>IFERROR(__xludf.DUMMYFUNCTION("""COMPUTED_VALUE"""),"Uncle Sams Cider (04/04/2023)")</f>
        <v>Uncle Sams Cider (04/04/2023)</v>
      </c>
      <c r="H2833" s="19"/>
    </row>
    <row r="2834">
      <c r="A2834" s="9"/>
      <c r="B2834" s="15"/>
      <c r="C2834" s="9">
        <f>IFERROR(__xludf.DUMMYFUNCTION("""COMPUTED_VALUE"""),45114.9819589583)</f>
        <v>45114.98196</v>
      </c>
      <c r="D2834" s="15">
        <f>IFERROR(__xludf.DUMMYFUNCTION("""COMPUTED_VALUE"""),1.004)</f>
        <v>1.004</v>
      </c>
      <c r="E2834" s="16">
        <f>IFERROR(__xludf.DUMMYFUNCTION("""COMPUTED_VALUE"""),71.0)</f>
        <v>71</v>
      </c>
      <c r="F2834" s="19" t="str">
        <f>IFERROR(__xludf.DUMMYFUNCTION("""COMPUTED_VALUE"""),"BLACK")</f>
        <v>BLACK</v>
      </c>
      <c r="G2834" s="20" t="str">
        <f>IFERROR(__xludf.DUMMYFUNCTION("""COMPUTED_VALUE"""),"Uncle Sams Cider (04/04/2023)")</f>
        <v>Uncle Sams Cider (04/04/2023)</v>
      </c>
      <c r="H2834" s="19"/>
    </row>
    <row r="2835">
      <c r="A2835" s="9"/>
      <c r="B2835" s="15"/>
      <c r="C2835" s="9">
        <f>IFERROR(__xludf.DUMMYFUNCTION("""COMPUTED_VALUE"""),45114.9715386342)</f>
        <v>45114.97154</v>
      </c>
      <c r="D2835" s="15">
        <f>IFERROR(__xludf.DUMMYFUNCTION("""COMPUTED_VALUE"""),1.004)</f>
        <v>1.004</v>
      </c>
      <c r="E2835" s="16">
        <f>IFERROR(__xludf.DUMMYFUNCTION("""COMPUTED_VALUE"""),71.0)</f>
        <v>71</v>
      </c>
      <c r="F2835" s="19" t="str">
        <f>IFERROR(__xludf.DUMMYFUNCTION("""COMPUTED_VALUE"""),"BLACK")</f>
        <v>BLACK</v>
      </c>
      <c r="G2835" s="20" t="str">
        <f>IFERROR(__xludf.DUMMYFUNCTION("""COMPUTED_VALUE"""),"Uncle Sams Cider (04/04/2023)")</f>
        <v>Uncle Sams Cider (04/04/2023)</v>
      </c>
      <c r="H2835" s="19"/>
    </row>
    <row r="2836">
      <c r="A2836" s="9"/>
      <c r="B2836" s="15"/>
      <c r="C2836" s="9">
        <f>IFERROR(__xludf.DUMMYFUNCTION("""COMPUTED_VALUE"""),45114.9611175694)</f>
        <v>45114.96112</v>
      </c>
      <c r="D2836" s="15">
        <f>IFERROR(__xludf.DUMMYFUNCTION("""COMPUTED_VALUE"""),1.004)</f>
        <v>1.004</v>
      </c>
      <c r="E2836" s="16">
        <f>IFERROR(__xludf.DUMMYFUNCTION("""COMPUTED_VALUE"""),71.0)</f>
        <v>71</v>
      </c>
      <c r="F2836" s="19" t="str">
        <f>IFERROR(__xludf.DUMMYFUNCTION("""COMPUTED_VALUE"""),"BLACK")</f>
        <v>BLACK</v>
      </c>
      <c r="G2836" s="20" t="str">
        <f>IFERROR(__xludf.DUMMYFUNCTION("""COMPUTED_VALUE"""),"Uncle Sams Cider (04/04/2023)")</f>
        <v>Uncle Sams Cider (04/04/2023)</v>
      </c>
      <c r="H2836" s="19"/>
    </row>
    <row r="2837">
      <c r="A2837" s="9"/>
      <c r="B2837" s="15"/>
      <c r="C2837" s="9">
        <f>IFERROR(__xludf.DUMMYFUNCTION("""COMPUTED_VALUE"""),45114.9506983101)</f>
        <v>45114.9507</v>
      </c>
      <c r="D2837" s="15">
        <f>IFERROR(__xludf.DUMMYFUNCTION("""COMPUTED_VALUE"""),1.004)</f>
        <v>1.004</v>
      </c>
      <c r="E2837" s="16">
        <f>IFERROR(__xludf.DUMMYFUNCTION("""COMPUTED_VALUE"""),71.0)</f>
        <v>71</v>
      </c>
      <c r="F2837" s="19" t="str">
        <f>IFERROR(__xludf.DUMMYFUNCTION("""COMPUTED_VALUE"""),"BLACK")</f>
        <v>BLACK</v>
      </c>
      <c r="G2837" s="20" t="str">
        <f>IFERROR(__xludf.DUMMYFUNCTION("""COMPUTED_VALUE"""),"Uncle Sams Cider (04/04/2023)")</f>
        <v>Uncle Sams Cider (04/04/2023)</v>
      </c>
      <c r="H2837" s="19"/>
    </row>
    <row r="2838">
      <c r="A2838" s="9"/>
      <c r="B2838" s="15"/>
      <c r="C2838" s="9">
        <f>IFERROR(__xludf.DUMMYFUNCTION("""COMPUTED_VALUE"""),45114.9402761921)</f>
        <v>45114.94028</v>
      </c>
      <c r="D2838" s="15">
        <f>IFERROR(__xludf.DUMMYFUNCTION("""COMPUTED_VALUE"""),1.003)</f>
        <v>1.003</v>
      </c>
      <c r="E2838" s="16">
        <f>IFERROR(__xludf.DUMMYFUNCTION("""COMPUTED_VALUE"""),71.0)</f>
        <v>71</v>
      </c>
      <c r="F2838" s="19" t="str">
        <f>IFERROR(__xludf.DUMMYFUNCTION("""COMPUTED_VALUE"""),"BLACK")</f>
        <v>BLACK</v>
      </c>
      <c r="G2838" s="20" t="str">
        <f>IFERROR(__xludf.DUMMYFUNCTION("""COMPUTED_VALUE"""),"Uncle Sams Cider (04/04/2023)")</f>
        <v>Uncle Sams Cider (04/04/2023)</v>
      </c>
      <c r="H2838" s="19"/>
    </row>
    <row r="2839">
      <c r="A2839" s="9"/>
      <c r="B2839" s="15"/>
      <c r="C2839" s="9">
        <f>IFERROR(__xludf.DUMMYFUNCTION("""COMPUTED_VALUE"""),45114.9298559606)</f>
        <v>45114.92986</v>
      </c>
      <c r="D2839" s="15">
        <f>IFERROR(__xludf.DUMMYFUNCTION("""COMPUTED_VALUE"""),1.004)</f>
        <v>1.004</v>
      </c>
      <c r="E2839" s="16">
        <f>IFERROR(__xludf.DUMMYFUNCTION("""COMPUTED_VALUE"""),71.0)</f>
        <v>71</v>
      </c>
      <c r="F2839" s="19" t="str">
        <f>IFERROR(__xludf.DUMMYFUNCTION("""COMPUTED_VALUE"""),"BLACK")</f>
        <v>BLACK</v>
      </c>
      <c r="G2839" s="20" t="str">
        <f>IFERROR(__xludf.DUMMYFUNCTION("""COMPUTED_VALUE"""),"Uncle Sams Cider (04/04/2023)")</f>
        <v>Uncle Sams Cider (04/04/2023)</v>
      </c>
      <c r="H2839" s="19"/>
    </row>
    <row r="2840">
      <c r="A2840" s="9"/>
      <c r="B2840" s="15"/>
      <c r="C2840" s="9">
        <f>IFERROR(__xludf.DUMMYFUNCTION("""COMPUTED_VALUE"""),45114.9194239467)</f>
        <v>45114.91942</v>
      </c>
      <c r="D2840" s="15">
        <f>IFERROR(__xludf.DUMMYFUNCTION("""COMPUTED_VALUE"""),1.004)</f>
        <v>1.004</v>
      </c>
      <c r="E2840" s="16">
        <f>IFERROR(__xludf.DUMMYFUNCTION("""COMPUTED_VALUE"""),71.0)</f>
        <v>71</v>
      </c>
      <c r="F2840" s="19" t="str">
        <f>IFERROR(__xludf.DUMMYFUNCTION("""COMPUTED_VALUE"""),"BLACK")</f>
        <v>BLACK</v>
      </c>
      <c r="G2840" s="20" t="str">
        <f>IFERROR(__xludf.DUMMYFUNCTION("""COMPUTED_VALUE"""),"Uncle Sams Cider (04/04/2023)")</f>
        <v>Uncle Sams Cider (04/04/2023)</v>
      </c>
      <c r="H2840" s="19"/>
    </row>
    <row r="2841">
      <c r="A2841" s="9"/>
      <c r="B2841" s="15"/>
      <c r="C2841" s="9">
        <f>IFERROR(__xludf.DUMMYFUNCTION("""COMPUTED_VALUE"""),45114.9090034722)</f>
        <v>45114.909</v>
      </c>
      <c r="D2841" s="15">
        <f>IFERROR(__xludf.DUMMYFUNCTION("""COMPUTED_VALUE"""),1.004)</f>
        <v>1.004</v>
      </c>
      <c r="E2841" s="16">
        <f>IFERROR(__xludf.DUMMYFUNCTION("""COMPUTED_VALUE"""),71.0)</f>
        <v>71</v>
      </c>
      <c r="F2841" s="19" t="str">
        <f>IFERROR(__xludf.DUMMYFUNCTION("""COMPUTED_VALUE"""),"BLACK")</f>
        <v>BLACK</v>
      </c>
      <c r="G2841" s="20" t="str">
        <f>IFERROR(__xludf.DUMMYFUNCTION("""COMPUTED_VALUE"""),"Uncle Sams Cider (04/04/2023)")</f>
        <v>Uncle Sams Cider (04/04/2023)</v>
      </c>
      <c r="H2841" s="19"/>
    </row>
    <row r="2842">
      <c r="A2842" s="9"/>
      <c r="B2842" s="15"/>
      <c r="C2842" s="9">
        <f>IFERROR(__xludf.DUMMYFUNCTION("""COMPUTED_VALUE"""),45114.8985815856)</f>
        <v>45114.89858</v>
      </c>
      <c r="D2842" s="15">
        <f>IFERROR(__xludf.DUMMYFUNCTION("""COMPUTED_VALUE"""),1.004)</f>
        <v>1.004</v>
      </c>
      <c r="E2842" s="16">
        <f>IFERROR(__xludf.DUMMYFUNCTION("""COMPUTED_VALUE"""),71.0)</f>
        <v>71</v>
      </c>
      <c r="F2842" s="19" t="str">
        <f>IFERROR(__xludf.DUMMYFUNCTION("""COMPUTED_VALUE"""),"BLACK")</f>
        <v>BLACK</v>
      </c>
      <c r="G2842" s="20" t="str">
        <f>IFERROR(__xludf.DUMMYFUNCTION("""COMPUTED_VALUE"""),"Uncle Sams Cider (04/04/2023)")</f>
        <v>Uncle Sams Cider (04/04/2023)</v>
      </c>
      <c r="H2842" s="19"/>
    </row>
    <row r="2843">
      <c r="A2843" s="9"/>
      <c r="B2843" s="15"/>
      <c r="C2843" s="9">
        <f>IFERROR(__xludf.DUMMYFUNCTION("""COMPUTED_VALUE"""),45114.888161956)</f>
        <v>45114.88816</v>
      </c>
      <c r="D2843" s="15">
        <f>IFERROR(__xludf.DUMMYFUNCTION("""COMPUTED_VALUE"""),1.004)</f>
        <v>1.004</v>
      </c>
      <c r="E2843" s="16">
        <f>IFERROR(__xludf.DUMMYFUNCTION("""COMPUTED_VALUE"""),71.0)</f>
        <v>71</v>
      </c>
      <c r="F2843" s="19" t="str">
        <f>IFERROR(__xludf.DUMMYFUNCTION("""COMPUTED_VALUE"""),"BLACK")</f>
        <v>BLACK</v>
      </c>
      <c r="G2843" s="20" t="str">
        <f>IFERROR(__xludf.DUMMYFUNCTION("""COMPUTED_VALUE"""),"Uncle Sams Cider (04/04/2023)")</f>
        <v>Uncle Sams Cider (04/04/2023)</v>
      </c>
      <c r="H2843" s="19"/>
    </row>
    <row r="2844">
      <c r="A2844" s="9"/>
      <c r="B2844" s="15"/>
      <c r="C2844" s="9">
        <f>IFERROR(__xludf.DUMMYFUNCTION("""COMPUTED_VALUE"""),45114.8777414814)</f>
        <v>45114.87774</v>
      </c>
      <c r="D2844" s="15">
        <f>IFERROR(__xludf.DUMMYFUNCTION("""COMPUTED_VALUE"""),1.004)</f>
        <v>1.004</v>
      </c>
      <c r="E2844" s="16">
        <f>IFERROR(__xludf.DUMMYFUNCTION("""COMPUTED_VALUE"""),71.0)</f>
        <v>71</v>
      </c>
      <c r="F2844" s="19" t="str">
        <f>IFERROR(__xludf.DUMMYFUNCTION("""COMPUTED_VALUE"""),"BLACK")</f>
        <v>BLACK</v>
      </c>
      <c r="G2844" s="20" t="str">
        <f>IFERROR(__xludf.DUMMYFUNCTION("""COMPUTED_VALUE"""),"Uncle Sams Cider (04/04/2023)")</f>
        <v>Uncle Sams Cider (04/04/2023)</v>
      </c>
      <c r="H2844" s="19"/>
    </row>
    <row r="2845">
      <c r="A2845" s="9"/>
      <c r="B2845" s="15"/>
      <c r="C2845" s="9">
        <f>IFERROR(__xludf.DUMMYFUNCTION("""COMPUTED_VALUE"""),45114.8673092245)</f>
        <v>45114.86731</v>
      </c>
      <c r="D2845" s="15">
        <f>IFERROR(__xludf.DUMMYFUNCTION("""COMPUTED_VALUE"""),1.004)</f>
        <v>1.004</v>
      </c>
      <c r="E2845" s="16">
        <f>IFERROR(__xludf.DUMMYFUNCTION("""COMPUTED_VALUE"""),71.0)</f>
        <v>71</v>
      </c>
      <c r="F2845" s="19" t="str">
        <f>IFERROR(__xludf.DUMMYFUNCTION("""COMPUTED_VALUE"""),"BLACK")</f>
        <v>BLACK</v>
      </c>
      <c r="G2845" s="20" t="str">
        <f>IFERROR(__xludf.DUMMYFUNCTION("""COMPUTED_VALUE"""),"Uncle Sams Cider (04/04/2023)")</f>
        <v>Uncle Sams Cider (04/04/2023)</v>
      </c>
      <c r="H2845" s="19"/>
    </row>
    <row r="2846">
      <c r="A2846" s="9"/>
      <c r="B2846" s="15"/>
      <c r="C2846" s="9">
        <f>IFERROR(__xludf.DUMMYFUNCTION("""COMPUTED_VALUE"""),45114.8568763541)</f>
        <v>45114.85688</v>
      </c>
      <c r="D2846" s="15">
        <f>IFERROR(__xludf.DUMMYFUNCTION("""COMPUTED_VALUE"""),1.004)</f>
        <v>1.004</v>
      </c>
      <c r="E2846" s="16">
        <f>IFERROR(__xludf.DUMMYFUNCTION("""COMPUTED_VALUE"""),71.0)</f>
        <v>71</v>
      </c>
      <c r="F2846" s="19" t="str">
        <f>IFERROR(__xludf.DUMMYFUNCTION("""COMPUTED_VALUE"""),"BLACK")</f>
        <v>BLACK</v>
      </c>
      <c r="G2846" s="20" t="str">
        <f>IFERROR(__xludf.DUMMYFUNCTION("""COMPUTED_VALUE"""),"Uncle Sams Cider (04/04/2023)")</f>
        <v>Uncle Sams Cider (04/04/2023)</v>
      </c>
      <c r="H2846" s="19"/>
    </row>
    <row r="2847">
      <c r="A2847" s="9"/>
      <c r="B2847" s="15"/>
      <c r="C2847" s="9">
        <f>IFERROR(__xludf.DUMMYFUNCTION("""COMPUTED_VALUE"""),45114.8464544444)</f>
        <v>45114.84645</v>
      </c>
      <c r="D2847" s="15">
        <f>IFERROR(__xludf.DUMMYFUNCTION("""COMPUTED_VALUE"""),1.004)</f>
        <v>1.004</v>
      </c>
      <c r="E2847" s="16">
        <f>IFERROR(__xludf.DUMMYFUNCTION("""COMPUTED_VALUE"""),72.0)</f>
        <v>72</v>
      </c>
      <c r="F2847" s="19" t="str">
        <f>IFERROR(__xludf.DUMMYFUNCTION("""COMPUTED_VALUE"""),"BLACK")</f>
        <v>BLACK</v>
      </c>
      <c r="G2847" s="20" t="str">
        <f>IFERROR(__xludf.DUMMYFUNCTION("""COMPUTED_VALUE"""),"Uncle Sams Cider (04/04/2023)")</f>
        <v>Uncle Sams Cider (04/04/2023)</v>
      </c>
      <c r="H2847" s="19"/>
    </row>
    <row r="2848">
      <c r="A2848" s="9"/>
      <c r="B2848" s="15"/>
      <c r="C2848" s="9">
        <f>IFERROR(__xludf.DUMMYFUNCTION("""COMPUTED_VALUE"""),45114.8360331944)</f>
        <v>45114.83603</v>
      </c>
      <c r="D2848" s="15">
        <f>IFERROR(__xludf.DUMMYFUNCTION("""COMPUTED_VALUE"""),1.004)</f>
        <v>1.004</v>
      </c>
      <c r="E2848" s="16">
        <f>IFERROR(__xludf.DUMMYFUNCTION("""COMPUTED_VALUE"""),71.0)</f>
        <v>71</v>
      </c>
      <c r="F2848" s="19" t="str">
        <f>IFERROR(__xludf.DUMMYFUNCTION("""COMPUTED_VALUE"""),"BLACK")</f>
        <v>BLACK</v>
      </c>
      <c r="G2848" s="20" t="str">
        <f>IFERROR(__xludf.DUMMYFUNCTION("""COMPUTED_VALUE"""),"Uncle Sams Cider (04/04/2023)")</f>
        <v>Uncle Sams Cider (04/04/2023)</v>
      </c>
      <c r="H2848" s="19"/>
    </row>
    <row r="2849">
      <c r="A2849" s="9"/>
      <c r="B2849" s="15"/>
      <c r="C2849" s="9">
        <f>IFERROR(__xludf.DUMMYFUNCTION("""COMPUTED_VALUE"""),45114.8255772106)</f>
        <v>45114.82558</v>
      </c>
      <c r="D2849" s="15">
        <f>IFERROR(__xludf.DUMMYFUNCTION("""COMPUTED_VALUE"""),1.004)</f>
        <v>1.004</v>
      </c>
      <c r="E2849" s="16">
        <f>IFERROR(__xludf.DUMMYFUNCTION("""COMPUTED_VALUE"""),72.0)</f>
        <v>72</v>
      </c>
      <c r="F2849" s="19" t="str">
        <f>IFERROR(__xludf.DUMMYFUNCTION("""COMPUTED_VALUE"""),"BLACK")</f>
        <v>BLACK</v>
      </c>
      <c r="G2849" s="20" t="str">
        <f>IFERROR(__xludf.DUMMYFUNCTION("""COMPUTED_VALUE"""),"Uncle Sams Cider (04/04/2023)")</f>
        <v>Uncle Sams Cider (04/04/2023)</v>
      </c>
      <c r="H2849" s="19"/>
    </row>
    <row r="2850">
      <c r="A2850" s="9"/>
      <c r="B2850" s="15"/>
      <c r="C2850" s="9">
        <f>IFERROR(__xludf.DUMMYFUNCTION("""COMPUTED_VALUE"""),45114.815155243)</f>
        <v>45114.81516</v>
      </c>
      <c r="D2850" s="15">
        <f>IFERROR(__xludf.DUMMYFUNCTION("""COMPUTED_VALUE"""),1.004)</f>
        <v>1.004</v>
      </c>
      <c r="E2850" s="16">
        <f>IFERROR(__xludf.DUMMYFUNCTION("""COMPUTED_VALUE"""),72.0)</f>
        <v>72</v>
      </c>
      <c r="F2850" s="19" t="str">
        <f>IFERROR(__xludf.DUMMYFUNCTION("""COMPUTED_VALUE"""),"BLACK")</f>
        <v>BLACK</v>
      </c>
      <c r="G2850" s="20" t="str">
        <f>IFERROR(__xludf.DUMMYFUNCTION("""COMPUTED_VALUE"""),"Uncle Sams Cider (04/04/2023)")</f>
        <v>Uncle Sams Cider (04/04/2023)</v>
      </c>
      <c r="H2850" s="19"/>
    </row>
    <row r="2851">
      <c r="A2851" s="9"/>
      <c r="B2851" s="15"/>
      <c r="C2851" s="9">
        <f>IFERROR(__xludf.DUMMYFUNCTION("""COMPUTED_VALUE"""),45114.8047215625)</f>
        <v>45114.80472</v>
      </c>
      <c r="D2851" s="15">
        <f>IFERROR(__xludf.DUMMYFUNCTION("""COMPUTED_VALUE"""),1.004)</f>
        <v>1.004</v>
      </c>
      <c r="E2851" s="16">
        <f>IFERROR(__xludf.DUMMYFUNCTION("""COMPUTED_VALUE"""),71.0)</f>
        <v>71</v>
      </c>
      <c r="F2851" s="19" t="str">
        <f>IFERROR(__xludf.DUMMYFUNCTION("""COMPUTED_VALUE"""),"BLACK")</f>
        <v>BLACK</v>
      </c>
      <c r="G2851" s="20" t="str">
        <f>IFERROR(__xludf.DUMMYFUNCTION("""COMPUTED_VALUE"""),"Uncle Sams Cider (04/04/2023)")</f>
        <v>Uncle Sams Cider (04/04/2023)</v>
      </c>
      <c r="H2851" s="19"/>
    </row>
    <row r="2852">
      <c r="A2852" s="9"/>
      <c r="B2852" s="15"/>
      <c r="C2852" s="9">
        <f>IFERROR(__xludf.DUMMYFUNCTION("""COMPUTED_VALUE"""),45114.7942883564)</f>
        <v>45114.79429</v>
      </c>
      <c r="D2852" s="15">
        <f>IFERROR(__xludf.DUMMYFUNCTION("""COMPUTED_VALUE"""),1.004)</f>
        <v>1.004</v>
      </c>
      <c r="E2852" s="16">
        <f>IFERROR(__xludf.DUMMYFUNCTION("""COMPUTED_VALUE"""),71.0)</f>
        <v>71</v>
      </c>
      <c r="F2852" s="19" t="str">
        <f>IFERROR(__xludf.DUMMYFUNCTION("""COMPUTED_VALUE"""),"BLACK")</f>
        <v>BLACK</v>
      </c>
      <c r="G2852" s="20" t="str">
        <f>IFERROR(__xludf.DUMMYFUNCTION("""COMPUTED_VALUE"""),"Uncle Sams Cider (04/04/2023)")</f>
        <v>Uncle Sams Cider (04/04/2023)</v>
      </c>
      <c r="H2852" s="19"/>
    </row>
    <row r="2853">
      <c r="A2853" s="9"/>
      <c r="B2853" s="15"/>
      <c r="C2853" s="9">
        <f>IFERROR(__xludf.DUMMYFUNCTION("""COMPUTED_VALUE"""),45114.7838666088)</f>
        <v>45114.78387</v>
      </c>
      <c r="D2853" s="15">
        <f>IFERROR(__xludf.DUMMYFUNCTION("""COMPUTED_VALUE"""),1.004)</f>
        <v>1.004</v>
      </c>
      <c r="E2853" s="16">
        <f>IFERROR(__xludf.DUMMYFUNCTION("""COMPUTED_VALUE"""),72.0)</f>
        <v>72</v>
      </c>
      <c r="F2853" s="19" t="str">
        <f>IFERROR(__xludf.DUMMYFUNCTION("""COMPUTED_VALUE"""),"BLACK")</f>
        <v>BLACK</v>
      </c>
      <c r="G2853" s="20" t="str">
        <f>IFERROR(__xludf.DUMMYFUNCTION("""COMPUTED_VALUE"""),"Uncle Sams Cider (04/04/2023)")</f>
        <v>Uncle Sams Cider (04/04/2023)</v>
      </c>
      <c r="H2853" s="19"/>
    </row>
    <row r="2854">
      <c r="A2854" s="9"/>
      <c r="B2854" s="15"/>
      <c r="C2854" s="9">
        <f>IFERROR(__xludf.DUMMYFUNCTION("""COMPUTED_VALUE"""),45114.7734447338)</f>
        <v>45114.77344</v>
      </c>
      <c r="D2854" s="15">
        <f>IFERROR(__xludf.DUMMYFUNCTION("""COMPUTED_VALUE"""),1.004)</f>
        <v>1.004</v>
      </c>
      <c r="E2854" s="16">
        <f>IFERROR(__xludf.DUMMYFUNCTION("""COMPUTED_VALUE"""),72.0)</f>
        <v>72</v>
      </c>
      <c r="F2854" s="19" t="str">
        <f>IFERROR(__xludf.DUMMYFUNCTION("""COMPUTED_VALUE"""),"BLACK")</f>
        <v>BLACK</v>
      </c>
      <c r="G2854" s="20" t="str">
        <f>IFERROR(__xludf.DUMMYFUNCTION("""COMPUTED_VALUE"""),"Uncle Sams Cider (04/04/2023)")</f>
        <v>Uncle Sams Cider (04/04/2023)</v>
      </c>
      <c r="H2854" s="19"/>
    </row>
    <row r="2855">
      <c r="A2855" s="9"/>
      <c r="B2855" s="15"/>
      <c r="C2855" s="9">
        <f>IFERROR(__xludf.DUMMYFUNCTION("""COMPUTED_VALUE"""),45114.7630237731)</f>
        <v>45114.76302</v>
      </c>
      <c r="D2855" s="15">
        <f>IFERROR(__xludf.DUMMYFUNCTION("""COMPUTED_VALUE"""),1.004)</f>
        <v>1.004</v>
      </c>
      <c r="E2855" s="16">
        <f>IFERROR(__xludf.DUMMYFUNCTION("""COMPUTED_VALUE"""),72.0)</f>
        <v>72</v>
      </c>
      <c r="F2855" s="19" t="str">
        <f>IFERROR(__xludf.DUMMYFUNCTION("""COMPUTED_VALUE"""),"BLACK")</f>
        <v>BLACK</v>
      </c>
      <c r="G2855" s="20" t="str">
        <f>IFERROR(__xludf.DUMMYFUNCTION("""COMPUTED_VALUE"""),"Uncle Sams Cider (04/04/2023)")</f>
        <v>Uncle Sams Cider (04/04/2023)</v>
      </c>
      <c r="H2855" s="19"/>
    </row>
    <row r="2856">
      <c r="A2856" s="9"/>
      <c r="B2856" s="15"/>
      <c r="C2856" s="9">
        <f>IFERROR(__xludf.DUMMYFUNCTION("""COMPUTED_VALUE"""),45114.7526035416)</f>
        <v>45114.7526</v>
      </c>
      <c r="D2856" s="15">
        <f>IFERROR(__xludf.DUMMYFUNCTION("""COMPUTED_VALUE"""),1.004)</f>
        <v>1.004</v>
      </c>
      <c r="E2856" s="16">
        <f>IFERROR(__xludf.DUMMYFUNCTION("""COMPUTED_VALUE"""),72.0)</f>
        <v>72</v>
      </c>
      <c r="F2856" s="19" t="str">
        <f>IFERROR(__xludf.DUMMYFUNCTION("""COMPUTED_VALUE"""),"BLACK")</f>
        <v>BLACK</v>
      </c>
      <c r="G2856" s="20" t="str">
        <f>IFERROR(__xludf.DUMMYFUNCTION("""COMPUTED_VALUE"""),"Uncle Sams Cider (04/04/2023)")</f>
        <v>Uncle Sams Cider (04/04/2023)</v>
      </c>
      <c r="H2856" s="19"/>
    </row>
    <row r="2857">
      <c r="A2857" s="9"/>
      <c r="B2857" s="15"/>
      <c r="C2857" s="9">
        <f>IFERROR(__xludf.DUMMYFUNCTION("""COMPUTED_VALUE"""),45114.7421482175)</f>
        <v>45114.74215</v>
      </c>
      <c r="D2857" s="15">
        <f>IFERROR(__xludf.DUMMYFUNCTION("""COMPUTED_VALUE"""),1.004)</f>
        <v>1.004</v>
      </c>
      <c r="E2857" s="16">
        <f>IFERROR(__xludf.DUMMYFUNCTION("""COMPUTED_VALUE"""),72.0)</f>
        <v>72</v>
      </c>
      <c r="F2857" s="19" t="str">
        <f>IFERROR(__xludf.DUMMYFUNCTION("""COMPUTED_VALUE"""),"BLACK")</f>
        <v>BLACK</v>
      </c>
      <c r="G2857" s="20" t="str">
        <f>IFERROR(__xludf.DUMMYFUNCTION("""COMPUTED_VALUE"""),"Uncle Sams Cider (04/04/2023)")</f>
        <v>Uncle Sams Cider (04/04/2023)</v>
      </c>
      <c r="H2857" s="19"/>
    </row>
    <row r="2858">
      <c r="A2858" s="9"/>
      <c r="B2858" s="15"/>
      <c r="C2858" s="9">
        <f>IFERROR(__xludf.DUMMYFUNCTION("""COMPUTED_VALUE"""),45114.7317276388)</f>
        <v>45114.73173</v>
      </c>
      <c r="D2858" s="15">
        <f>IFERROR(__xludf.DUMMYFUNCTION("""COMPUTED_VALUE"""),1.004)</f>
        <v>1.004</v>
      </c>
      <c r="E2858" s="16">
        <f>IFERROR(__xludf.DUMMYFUNCTION("""COMPUTED_VALUE"""),71.0)</f>
        <v>71</v>
      </c>
      <c r="F2858" s="19" t="str">
        <f>IFERROR(__xludf.DUMMYFUNCTION("""COMPUTED_VALUE"""),"BLACK")</f>
        <v>BLACK</v>
      </c>
      <c r="G2858" s="20" t="str">
        <f>IFERROR(__xludf.DUMMYFUNCTION("""COMPUTED_VALUE"""),"Uncle Sams Cider (04/04/2023)")</f>
        <v>Uncle Sams Cider (04/04/2023)</v>
      </c>
      <c r="H2858" s="19"/>
    </row>
    <row r="2859">
      <c r="A2859" s="9"/>
      <c r="B2859" s="15"/>
      <c r="C2859" s="9">
        <f>IFERROR(__xludf.DUMMYFUNCTION("""COMPUTED_VALUE"""),45114.7212951736)</f>
        <v>45114.7213</v>
      </c>
      <c r="D2859" s="15">
        <f>IFERROR(__xludf.DUMMYFUNCTION("""COMPUTED_VALUE"""),1.004)</f>
        <v>1.004</v>
      </c>
      <c r="E2859" s="16">
        <f>IFERROR(__xludf.DUMMYFUNCTION("""COMPUTED_VALUE"""),71.0)</f>
        <v>71</v>
      </c>
      <c r="F2859" s="19" t="str">
        <f>IFERROR(__xludf.DUMMYFUNCTION("""COMPUTED_VALUE"""),"BLACK")</f>
        <v>BLACK</v>
      </c>
      <c r="G2859" s="20" t="str">
        <f>IFERROR(__xludf.DUMMYFUNCTION("""COMPUTED_VALUE"""),"Uncle Sams Cider (04/04/2023)")</f>
        <v>Uncle Sams Cider (04/04/2023)</v>
      </c>
      <c r="H2859" s="19"/>
    </row>
    <row r="2860">
      <c r="A2860" s="9"/>
      <c r="B2860" s="15"/>
      <c r="C2860" s="9">
        <f>IFERROR(__xludf.DUMMYFUNCTION("""COMPUTED_VALUE"""),45114.7108739351)</f>
        <v>45114.71087</v>
      </c>
      <c r="D2860" s="15">
        <f>IFERROR(__xludf.DUMMYFUNCTION("""COMPUTED_VALUE"""),1.004)</f>
        <v>1.004</v>
      </c>
      <c r="E2860" s="16">
        <f>IFERROR(__xludf.DUMMYFUNCTION("""COMPUTED_VALUE"""),72.0)</f>
        <v>72</v>
      </c>
      <c r="F2860" s="19" t="str">
        <f>IFERROR(__xludf.DUMMYFUNCTION("""COMPUTED_VALUE"""),"BLACK")</f>
        <v>BLACK</v>
      </c>
      <c r="G2860" s="20" t="str">
        <f>IFERROR(__xludf.DUMMYFUNCTION("""COMPUTED_VALUE"""),"Uncle Sams Cider (04/04/2023)")</f>
        <v>Uncle Sams Cider (04/04/2023)</v>
      </c>
      <c r="H2860" s="19"/>
    </row>
    <row r="2861">
      <c r="A2861" s="9"/>
      <c r="B2861" s="15"/>
      <c r="C2861" s="9">
        <f>IFERROR(__xludf.DUMMYFUNCTION("""COMPUTED_VALUE"""),45114.7004523611)</f>
        <v>45114.70045</v>
      </c>
      <c r="D2861" s="15">
        <f>IFERROR(__xludf.DUMMYFUNCTION("""COMPUTED_VALUE"""),1.004)</f>
        <v>1.004</v>
      </c>
      <c r="E2861" s="16">
        <f>IFERROR(__xludf.DUMMYFUNCTION("""COMPUTED_VALUE"""),71.0)</f>
        <v>71</v>
      </c>
      <c r="F2861" s="19" t="str">
        <f>IFERROR(__xludf.DUMMYFUNCTION("""COMPUTED_VALUE"""),"BLACK")</f>
        <v>BLACK</v>
      </c>
      <c r="G2861" s="20" t="str">
        <f>IFERROR(__xludf.DUMMYFUNCTION("""COMPUTED_VALUE"""),"Uncle Sams Cider (04/04/2023)")</f>
        <v>Uncle Sams Cider (04/04/2023)</v>
      </c>
      <c r="H2861" s="19"/>
    </row>
    <row r="2862">
      <c r="A2862" s="9"/>
      <c r="B2862" s="15"/>
      <c r="C2862" s="9">
        <f>IFERROR(__xludf.DUMMYFUNCTION("""COMPUTED_VALUE"""),45114.6899953819)</f>
        <v>45114.69</v>
      </c>
      <c r="D2862" s="15">
        <f>IFERROR(__xludf.DUMMYFUNCTION("""COMPUTED_VALUE"""),1.004)</f>
        <v>1.004</v>
      </c>
      <c r="E2862" s="16">
        <f>IFERROR(__xludf.DUMMYFUNCTION("""COMPUTED_VALUE"""),72.0)</f>
        <v>72</v>
      </c>
      <c r="F2862" s="19" t="str">
        <f>IFERROR(__xludf.DUMMYFUNCTION("""COMPUTED_VALUE"""),"BLACK")</f>
        <v>BLACK</v>
      </c>
      <c r="G2862" s="20" t="str">
        <f>IFERROR(__xludf.DUMMYFUNCTION("""COMPUTED_VALUE"""),"Uncle Sams Cider (04/04/2023)")</f>
        <v>Uncle Sams Cider (04/04/2023)</v>
      </c>
      <c r="H2862" s="19"/>
    </row>
    <row r="2863">
      <c r="A2863" s="9"/>
      <c r="B2863" s="15"/>
      <c r="C2863" s="9">
        <f>IFERROR(__xludf.DUMMYFUNCTION("""COMPUTED_VALUE"""),45114.6795628935)</f>
        <v>45114.67956</v>
      </c>
      <c r="D2863" s="15">
        <f>IFERROR(__xludf.DUMMYFUNCTION("""COMPUTED_VALUE"""),1.004)</f>
        <v>1.004</v>
      </c>
      <c r="E2863" s="16">
        <f>IFERROR(__xludf.DUMMYFUNCTION("""COMPUTED_VALUE"""),72.0)</f>
        <v>72</v>
      </c>
      <c r="F2863" s="19" t="str">
        <f>IFERROR(__xludf.DUMMYFUNCTION("""COMPUTED_VALUE"""),"BLACK")</f>
        <v>BLACK</v>
      </c>
      <c r="G2863" s="20" t="str">
        <f>IFERROR(__xludf.DUMMYFUNCTION("""COMPUTED_VALUE"""),"Uncle Sams Cider (04/04/2023)")</f>
        <v>Uncle Sams Cider (04/04/2023)</v>
      </c>
      <c r="H2863" s="19"/>
    </row>
    <row r="2864">
      <c r="A2864" s="9"/>
      <c r="B2864" s="15"/>
      <c r="C2864" s="9">
        <f>IFERROR(__xludf.DUMMYFUNCTION("""COMPUTED_VALUE"""),45114.6691429861)</f>
        <v>45114.66914</v>
      </c>
      <c r="D2864" s="15">
        <f>IFERROR(__xludf.DUMMYFUNCTION("""COMPUTED_VALUE"""),1.004)</f>
        <v>1.004</v>
      </c>
      <c r="E2864" s="16">
        <f>IFERROR(__xludf.DUMMYFUNCTION("""COMPUTED_VALUE"""),72.0)</f>
        <v>72</v>
      </c>
      <c r="F2864" s="19" t="str">
        <f>IFERROR(__xludf.DUMMYFUNCTION("""COMPUTED_VALUE"""),"BLACK")</f>
        <v>BLACK</v>
      </c>
      <c r="G2864" s="20" t="str">
        <f>IFERROR(__xludf.DUMMYFUNCTION("""COMPUTED_VALUE"""),"Uncle Sams Cider (04/04/2023)")</f>
        <v>Uncle Sams Cider (04/04/2023)</v>
      </c>
      <c r="H2864" s="19"/>
    </row>
    <row r="2865">
      <c r="A2865" s="9"/>
      <c r="B2865" s="15"/>
      <c r="C2865" s="9">
        <f>IFERROR(__xludf.DUMMYFUNCTION("""COMPUTED_VALUE"""),45114.6587195601)</f>
        <v>45114.65872</v>
      </c>
      <c r="D2865" s="15">
        <f>IFERROR(__xludf.DUMMYFUNCTION("""COMPUTED_VALUE"""),1.004)</f>
        <v>1.004</v>
      </c>
      <c r="E2865" s="16">
        <f>IFERROR(__xludf.DUMMYFUNCTION("""COMPUTED_VALUE"""),72.0)</f>
        <v>72</v>
      </c>
      <c r="F2865" s="19" t="str">
        <f>IFERROR(__xludf.DUMMYFUNCTION("""COMPUTED_VALUE"""),"BLACK")</f>
        <v>BLACK</v>
      </c>
      <c r="G2865" s="20" t="str">
        <f>IFERROR(__xludf.DUMMYFUNCTION("""COMPUTED_VALUE"""),"Uncle Sams Cider (04/04/2023)")</f>
        <v>Uncle Sams Cider (04/04/2023)</v>
      </c>
      <c r="H2865" s="19"/>
    </row>
    <row r="2866">
      <c r="A2866" s="9"/>
      <c r="B2866" s="15"/>
      <c r="C2866" s="9">
        <f>IFERROR(__xludf.DUMMYFUNCTION("""COMPUTED_VALUE"""),45114.6482875463)</f>
        <v>45114.64829</v>
      </c>
      <c r="D2866" s="15">
        <f>IFERROR(__xludf.DUMMYFUNCTION("""COMPUTED_VALUE"""),1.004)</f>
        <v>1.004</v>
      </c>
      <c r="E2866" s="16">
        <f>IFERROR(__xludf.DUMMYFUNCTION("""COMPUTED_VALUE"""),72.0)</f>
        <v>72</v>
      </c>
      <c r="F2866" s="19" t="str">
        <f>IFERROR(__xludf.DUMMYFUNCTION("""COMPUTED_VALUE"""),"BLACK")</f>
        <v>BLACK</v>
      </c>
      <c r="G2866" s="20" t="str">
        <f>IFERROR(__xludf.DUMMYFUNCTION("""COMPUTED_VALUE"""),"Uncle Sams Cider (04/04/2023)")</f>
        <v>Uncle Sams Cider (04/04/2023)</v>
      </c>
      <c r="H2866" s="19"/>
    </row>
    <row r="2867">
      <c r="A2867" s="9"/>
      <c r="B2867" s="15"/>
      <c r="C2867" s="9">
        <f>IFERROR(__xludf.DUMMYFUNCTION("""COMPUTED_VALUE"""),45114.637865868)</f>
        <v>45114.63787</v>
      </c>
      <c r="D2867" s="15">
        <f>IFERROR(__xludf.DUMMYFUNCTION("""COMPUTED_VALUE"""),1.004)</f>
        <v>1.004</v>
      </c>
      <c r="E2867" s="16">
        <f>IFERROR(__xludf.DUMMYFUNCTION("""COMPUTED_VALUE"""),72.0)</f>
        <v>72</v>
      </c>
      <c r="F2867" s="19" t="str">
        <f>IFERROR(__xludf.DUMMYFUNCTION("""COMPUTED_VALUE"""),"BLACK")</f>
        <v>BLACK</v>
      </c>
      <c r="G2867" s="20" t="str">
        <f>IFERROR(__xludf.DUMMYFUNCTION("""COMPUTED_VALUE"""),"Uncle Sams Cider (04/04/2023)")</f>
        <v>Uncle Sams Cider (04/04/2023)</v>
      </c>
      <c r="H2867" s="19"/>
    </row>
    <row r="2868">
      <c r="A2868" s="9"/>
      <c r="B2868" s="15"/>
      <c r="C2868" s="9">
        <f>IFERROR(__xludf.DUMMYFUNCTION("""COMPUTED_VALUE"""),45114.6274454166)</f>
        <v>45114.62745</v>
      </c>
      <c r="D2868" s="15">
        <f>IFERROR(__xludf.DUMMYFUNCTION("""COMPUTED_VALUE"""),1.004)</f>
        <v>1.004</v>
      </c>
      <c r="E2868" s="16">
        <f>IFERROR(__xludf.DUMMYFUNCTION("""COMPUTED_VALUE"""),72.0)</f>
        <v>72</v>
      </c>
      <c r="F2868" s="19" t="str">
        <f>IFERROR(__xludf.DUMMYFUNCTION("""COMPUTED_VALUE"""),"BLACK")</f>
        <v>BLACK</v>
      </c>
      <c r="G2868" s="20" t="str">
        <f>IFERROR(__xludf.DUMMYFUNCTION("""COMPUTED_VALUE"""),"Uncle Sams Cider (04/04/2023)")</f>
        <v>Uncle Sams Cider (04/04/2023)</v>
      </c>
      <c r="H2868" s="19"/>
    </row>
    <row r="2869">
      <c r="A2869" s="9"/>
      <c r="B2869" s="15"/>
      <c r="C2869" s="9">
        <f>IFERROR(__xludf.DUMMYFUNCTION("""COMPUTED_VALUE"""),45114.61702375)</f>
        <v>45114.61702</v>
      </c>
      <c r="D2869" s="15">
        <f>IFERROR(__xludf.DUMMYFUNCTION("""COMPUTED_VALUE"""),1.004)</f>
        <v>1.004</v>
      </c>
      <c r="E2869" s="16">
        <f>IFERROR(__xludf.DUMMYFUNCTION("""COMPUTED_VALUE"""),72.0)</f>
        <v>72</v>
      </c>
      <c r="F2869" s="19" t="str">
        <f>IFERROR(__xludf.DUMMYFUNCTION("""COMPUTED_VALUE"""),"BLACK")</f>
        <v>BLACK</v>
      </c>
      <c r="G2869" s="20" t="str">
        <f>IFERROR(__xludf.DUMMYFUNCTION("""COMPUTED_VALUE"""),"Uncle Sams Cider (04/04/2023)")</f>
        <v>Uncle Sams Cider (04/04/2023)</v>
      </c>
      <c r="H2869" s="19"/>
    </row>
    <row r="2870">
      <c r="A2870" s="9"/>
      <c r="B2870" s="15"/>
      <c r="C2870" s="9">
        <f>IFERROR(__xludf.DUMMYFUNCTION("""COMPUTED_VALUE"""),45114.6066008796)</f>
        <v>45114.6066</v>
      </c>
      <c r="D2870" s="15">
        <f>IFERROR(__xludf.DUMMYFUNCTION("""COMPUTED_VALUE"""),1.004)</f>
        <v>1.004</v>
      </c>
      <c r="E2870" s="16">
        <f>IFERROR(__xludf.DUMMYFUNCTION("""COMPUTED_VALUE"""),72.0)</f>
        <v>72</v>
      </c>
      <c r="F2870" s="19" t="str">
        <f>IFERROR(__xludf.DUMMYFUNCTION("""COMPUTED_VALUE"""),"BLACK")</f>
        <v>BLACK</v>
      </c>
      <c r="G2870" s="20" t="str">
        <f>IFERROR(__xludf.DUMMYFUNCTION("""COMPUTED_VALUE"""),"Uncle Sams Cider (04/04/2023)")</f>
        <v>Uncle Sams Cider (04/04/2023)</v>
      </c>
      <c r="H2870" s="19"/>
    </row>
    <row r="2871">
      <c r="A2871" s="9"/>
      <c r="B2871" s="15"/>
      <c r="C2871" s="9">
        <f>IFERROR(__xludf.DUMMYFUNCTION("""COMPUTED_VALUE"""),45114.5961694328)</f>
        <v>45114.59617</v>
      </c>
      <c r="D2871" s="15">
        <f>IFERROR(__xludf.DUMMYFUNCTION("""COMPUTED_VALUE"""),1.004)</f>
        <v>1.004</v>
      </c>
      <c r="E2871" s="16">
        <f>IFERROR(__xludf.DUMMYFUNCTION("""COMPUTED_VALUE"""),72.0)</f>
        <v>72</v>
      </c>
      <c r="F2871" s="19" t="str">
        <f>IFERROR(__xludf.DUMMYFUNCTION("""COMPUTED_VALUE"""),"BLACK")</f>
        <v>BLACK</v>
      </c>
      <c r="G2871" s="20" t="str">
        <f>IFERROR(__xludf.DUMMYFUNCTION("""COMPUTED_VALUE"""),"Uncle Sams Cider (04/04/2023)")</f>
        <v>Uncle Sams Cider (04/04/2023)</v>
      </c>
      <c r="H2871" s="19"/>
    </row>
    <row r="2872">
      <c r="A2872" s="9"/>
      <c r="B2872" s="15"/>
      <c r="C2872" s="9">
        <f>IFERROR(__xludf.DUMMYFUNCTION("""COMPUTED_VALUE"""),45114.5857483796)</f>
        <v>45114.58575</v>
      </c>
      <c r="D2872" s="15">
        <f>IFERROR(__xludf.DUMMYFUNCTION("""COMPUTED_VALUE"""),1.004)</f>
        <v>1.004</v>
      </c>
      <c r="E2872" s="16">
        <f>IFERROR(__xludf.DUMMYFUNCTION("""COMPUTED_VALUE"""),72.0)</f>
        <v>72</v>
      </c>
      <c r="F2872" s="19" t="str">
        <f>IFERROR(__xludf.DUMMYFUNCTION("""COMPUTED_VALUE"""),"BLACK")</f>
        <v>BLACK</v>
      </c>
      <c r="G2872" s="20" t="str">
        <f>IFERROR(__xludf.DUMMYFUNCTION("""COMPUTED_VALUE"""),"Uncle Sams Cider (04/04/2023)")</f>
        <v>Uncle Sams Cider (04/04/2023)</v>
      </c>
      <c r="H2872" s="19"/>
    </row>
    <row r="2873">
      <c r="A2873" s="9"/>
      <c r="B2873" s="15"/>
      <c r="C2873" s="9">
        <f>IFERROR(__xludf.DUMMYFUNCTION("""COMPUTED_VALUE"""),45114.5753293518)</f>
        <v>45114.57533</v>
      </c>
      <c r="D2873" s="15">
        <f>IFERROR(__xludf.DUMMYFUNCTION("""COMPUTED_VALUE"""),1.004)</f>
        <v>1.004</v>
      </c>
      <c r="E2873" s="16">
        <f>IFERROR(__xludf.DUMMYFUNCTION("""COMPUTED_VALUE"""),72.0)</f>
        <v>72</v>
      </c>
      <c r="F2873" s="19" t="str">
        <f>IFERROR(__xludf.DUMMYFUNCTION("""COMPUTED_VALUE"""),"BLACK")</f>
        <v>BLACK</v>
      </c>
      <c r="G2873" s="20" t="str">
        <f>IFERROR(__xludf.DUMMYFUNCTION("""COMPUTED_VALUE"""),"Uncle Sams Cider (04/04/2023)")</f>
        <v>Uncle Sams Cider (04/04/2023)</v>
      </c>
      <c r="H2873" s="19"/>
    </row>
    <row r="2874">
      <c r="A2874" s="9"/>
      <c r="B2874" s="15"/>
      <c r="C2874" s="9">
        <f>IFERROR(__xludf.DUMMYFUNCTION("""COMPUTED_VALUE"""),45114.5649084838)</f>
        <v>45114.56491</v>
      </c>
      <c r="D2874" s="15">
        <f>IFERROR(__xludf.DUMMYFUNCTION("""COMPUTED_VALUE"""),1.004)</f>
        <v>1.004</v>
      </c>
      <c r="E2874" s="16">
        <f>IFERROR(__xludf.DUMMYFUNCTION("""COMPUTED_VALUE"""),72.0)</f>
        <v>72</v>
      </c>
      <c r="F2874" s="19" t="str">
        <f>IFERROR(__xludf.DUMMYFUNCTION("""COMPUTED_VALUE"""),"BLACK")</f>
        <v>BLACK</v>
      </c>
      <c r="G2874" s="20" t="str">
        <f>IFERROR(__xludf.DUMMYFUNCTION("""COMPUTED_VALUE"""),"Uncle Sams Cider (04/04/2023)")</f>
        <v>Uncle Sams Cider (04/04/2023)</v>
      </c>
      <c r="H2874" s="19"/>
    </row>
    <row r="2875">
      <c r="A2875" s="9"/>
      <c r="B2875" s="15"/>
      <c r="C2875" s="9">
        <f>IFERROR(__xludf.DUMMYFUNCTION("""COMPUTED_VALUE"""),45114.5544866551)</f>
        <v>45114.55449</v>
      </c>
      <c r="D2875" s="15">
        <f>IFERROR(__xludf.DUMMYFUNCTION("""COMPUTED_VALUE"""),1.004)</f>
        <v>1.004</v>
      </c>
      <c r="E2875" s="16">
        <f>IFERROR(__xludf.DUMMYFUNCTION("""COMPUTED_VALUE"""),72.0)</f>
        <v>72</v>
      </c>
      <c r="F2875" s="19" t="str">
        <f>IFERROR(__xludf.DUMMYFUNCTION("""COMPUTED_VALUE"""),"BLACK")</f>
        <v>BLACK</v>
      </c>
      <c r="G2875" s="20" t="str">
        <f>IFERROR(__xludf.DUMMYFUNCTION("""COMPUTED_VALUE"""),"Uncle Sams Cider (04/04/2023)")</f>
        <v>Uncle Sams Cider (04/04/2023)</v>
      </c>
      <c r="H2875" s="19"/>
    </row>
    <row r="2876">
      <c r="A2876" s="9"/>
      <c r="B2876" s="15"/>
      <c r="C2876" s="9">
        <f>IFERROR(__xludf.DUMMYFUNCTION("""COMPUTED_VALUE"""),45114.5440654282)</f>
        <v>45114.54407</v>
      </c>
      <c r="D2876" s="15">
        <f>IFERROR(__xludf.DUMMYFUNCTION("""COMPUTED_VALUE"""),1.004)</f>
        <v>1.004</v>
      </c>
      <c r="E2876" s="16">
        <f>IFERROR(__xludf.DUMMYFUNCTION("""COMPUTED_VALUE"""),72.0)</f>
        <v>72</v>
      </c>
      <c r="F2876" s="19" t="str">
        <f>IFERROR(__xludf.DUMMYFUNCTION("""COMPUTED_VALUE"""),"BLACK")</f>
        <v>BLACK</v>
      </c>
      <c r="G2876" s="20" t="str">
        <f>IFERROR(__xludf.DUMMYFUNCTION("""COMPUTED_VALUE"""),"Uncle Sams Cider (04/04/2023)")</f>
        <v>Uncle Sams Cider (04/04/2023)</v>
      </c>
      <c r="H2876" s="19"/>
    </row>
    <row r="2877">
      <c r="A2877" s="9"/>
      <c r="B2877" s="15"/>
      <c r="C2877" s="9">
        <f>IFERROR(__xludf.DUMMYFUNCTION("""COMPUTED_VALUE"""),45114.533644618)</f>
        <v>45114.53364</v>
      </c>
      <c r="D2877" s="15">
        <f>IFERROR(__xludf.DUMMYFUNCTION("""COMPUTED_VALUE"""),1.004)</f>
        <v>1.004</v>
      </c>
      <c r="E2877" s="16">
        <f>IFERROR(__xludf.DUMMYFUNCTION("""COMPUTED_VALUE"""),72.0)</f>
        <v>72</v>
      </c>
      <c r="F2877" s="19" t="str">
        <f>IFERROR(__xludf.DUMMYFUNCTION("""COMPUTED_VALUE"""),"BLACK")</f>
        <v>BLACK</v>
      </c>
      <c r="G2877" s="20" t="str">
        <f>IFERROR(__xludf.DUMMYFUNCTION("""COMPUTED_VALUE"""),"Uncle Sams Cider (04/04/2023)")</f>
        <v>Uncle Sams Cider (04/04/2023)</v>
      </c>
      <c r="H2877" s="19"/>
    </row>
    <row r="2878">
      <c r="A2878" s="9"/>
      <c r="B2878" s="15"/>
      <c r="C2878" s="9">
        <f>IFERROR(__xludf.DUMMYFUNCTION("""COMPUTED_VALUE"""),45114.5232116435)</f>
        <v>45114.52321</v>
      </c>
      <c r="D2878" s="15">
        <f>IFERROR(__xludf.DUMMYFUNCTION("""COMPUTED_VALUE"""),1.004)</f>
        <v>1.004</v>
      </c>
      <c r="E2878" s="16">
        <f>IFERROR(__xludf.DUMMYFUNCTION("""COMPUTED_VALUE"""),72.0)</f>
        <v>72</v>
      </c>
      <c r="F2878" s="19" t="str">
        <f>IFERROR(__xludf.DUMMYFUNCTION("""COMPUTED_VALUE"""),"BLACK")</f>
        <v>BLACK</v>
      </c>
      <c r="G2878" s="20" t="str">
        <f>IFERROR(__xludf.DUMMYFUNCTION("""COMPUTED_VALUE"""),"Uncle Sams Cider (04/04/2023)")</f>
        <v>Uncle Sams Cider (04/04/2023)</v>
      </c>
      <c r="H2878" s="19"/>
    </row>
    <row r="2879">
      <c r="A2879" s="9"/>
      <c r="B2879" s="15"/>
      <c r="C2879" s="9">
        <f>IFERROR(__xludf.DUMMYFUNCTION("""COMPUTED_VALUE"""),45114.5127906828)</f>
        <v>45114.51279</v>
      </c>
      <c r="D2879" s="15">
        <f>IFERROR(__xludf.DUMMYFUNCTION("""COMPUTED_VALUE"""),1.004)</f>
        <v>1.004</v>
      </c>
      <c r="E2879" s="16">
        <f>IFERROR(__xludf.DUMMYFUNCTION("""COMPUTED_VALUE"""),72.0)</f>
        <v>72</v>
      </c>
      <c r="F2879" s="19" t="str">
        <f>IFERROR(__xludf.DUMMYFUNCTION("""COMPUTED_VALUE"""),"BLACK")</f>
        <v>BLACK</v>
      </c>
      <c r="G2879" s="20" t="str">
        <f>IFERROR(__xludf.DUMMYFUNCTION("""COMPUTED_VALUE"""),"Uncle Sams Cider (04/04/2023)")</f>
        <v>Uncle Sams Cider (04/04/2023)</v>
      </c>
      <c r="H2879" s="19"/>
    </row>
    <row r="2880">
      <c r="A2880" s="9"/>
      <c r="B2880" s="15"/>
      <c r="C2880" s="9">
        <f>IFERROR(__xludf.DUMMYFUNCTION("""COMPUTED_VALUE"""),45114.5023584722)</f>
        <v>45114.50236</v>
      </c>
      <c r="D2880" s="15">
        <f>IFERROR(__xludf.DUMMYFUNCTION("""COMPUTED_VALUE"""),1.004)</f>
        <v>1.004</v>
      </c>
      <c r="E2880" s="16">
        <f>IFERROR(__xludf.DUMMYFUNCTION("""COMPUTED_VALUE"""),72.0)</f>
        <v>72</v>
      </c>
      <c r="F2880" s="19" t="str">
        <f>IFERROR(__xludf.DUMMYFUNCTION("""COMPUTED_VALUE"""),"BLACK")</f>
        <v>BLACK</v>
      </c>
      <c r="G2880" s="20" t="str">
        <f>IFERROR(__xludf.DUMMYFUNCTION("""COMPUTED_VALUE"""),"Uncle Sams Cider (04/04/2023)")</f>
        <v>Uncle Sams Cider (04/04/2023)</v>
      </c>
      <c r="H2880" s="19"/>
    </row>
    <row r="2881">
      <c r="A2881" s="9"/>
      <c r="B2881" s="15"/>
      <c r="C2881" s="9">
        <f>IFERROR(__xludf.DUMMYFUNCTION("""COMPUTED_VALUE"""),45114.4919120949)</f>
        <v>45114.49191</v>
      </c>
      <c r="D2881" s="15">
        <f>IFERROR(__xludf.DUMMYFUNCTION("""COMPUTED_VALUE"""),1.004)</f>
        <v>1.004</v>
      </c>
      <c r="E2881" s="16">
        <f>IFERROR(__xludf.DUMMYFUNCTION("""COMPUTED_VALUE"""),72.0)</f>
        <v>72</v>
      </c>
      <c r="F2881" s="19" t="str">
        <f>IFERROR(__xludf.DUMMYFUNCTION("""COMPUTED_VALUE"""),"BLACK")</f>
        <v>BLACK</v>
      </c>
      <c r="G2881" s="20" t="str">
        <f>IFERROR(__xludf.DUMMYFUNCTION("""COMPUTED_VALUE"""),"Uncle Sams Cider (04/04/2023)")</f>
        <v>Uncle Sams Cider (04/04/2023)</v>
      </c>
      <c r="H2881" s="19"/>
    </row>
    <row r="2882">
      <c r="A2882" s="9"/>
      <c r="B2882" s="15"/>
      <c r="C2882" s="9">
        <f>IFERROR(__xludf.DUMMYFUNCTION("""COMPUTED_VALUE"""),45114.4814911226)</f>
        <v>45114.48149</v>
      </c>
      <c r="D2882" s="15">
        <f>IFERROR(__xludf.DUMMYFUNCTION("""COMPUTED_VALUE"""),1.004)</f>
        <v>1.004</v>
      </c>
      <c r="E2882" s="16">
        <f>IFERROR(__xludf.DUMMYFUNCTION("""COMPUTED_VALUE"""),72.0)</f>
        <v>72</v>
      </c>
      <c r="F2882" s="19" t="str">
        <f>IFERROR(__xludf.DUMMYFUNCTION("""COMPUTED_VALUE"""),"BLACK")</f>
        <v>BLACK</v>
      </c>
      <c r="G2882" s="20" t="str">
        <f>IFERROR(__xludf.DUMMYFUNCTION("""COMPUTED_VALUE"""),"Uncle Sams Cider (04/04/2023)")</f>
        <v>Uncle Sams Cider (04/04/2023)</v>
      </c>
      <c r="H2882" s="19"/>
    </row>
    <row r="2883">
      <c r="A2883" s="9"/>
      <c r="B2883" s="15"/>
      <c r="C2883" s="9">
        <f>IFERROR(__xludf.DUMMYFUNCTION("""COMPUTED_VALUE"""),45114.4710696296)</f>
        <v>45114.47107</v>
      </c>
      <c r="D2883" s="15">
        <f>IFERROR(__xludf.DUMMYFUNCTION("""COMPUTED_VALUE"""),1.004)</f>
        <v>1.004</v>
      </c>
      <c r="E2883" s="16">
        <f>IFERROR(__xludf.DUMMYFUNCTION("""COMPUTED_VALUE"""),72.0)</f>
        <v>72</v>
      </c>
      <c r="F2883" s="19" t="str">
        <f>IFERROR(__xludf.DUMMYFUNCTION("""COMPUTED_VALUE"""),"BLACK")</f>
        <v>BLACK</v>
      </c>
      <c r="G2883" s="20" t="str">
        <f>IFERROR(__xludf.DUMMYFUNCTION("""COMPUTED_VALUE"""),"Uncle Sams Cider (04/04/2023)")</f>
        <v>Uncle Sams Cider (04/04/2023)</v>
      </c>
      <c r="H2883" s="19"/>
    </row>
    <row r="2884">
      <c r="A2884" s="9"/>
      <c r="B2884" s="15"/>
      <c r="C2884" s="9">
        <f>IFERROR(__xludf.DUMMYFUNCTION("""COMPUTED_VALUE"""),45114.460635324)</f>
        <v>45114.46064</v>
      </c>
      <c r="D2884" s="15">
        <f>IFERROR(__xludf.DUMMYFUNCTION("""COMPUTED_VALUE"""),1.004)</f>
        <v>1.004</v>
      </c>
      <c r="E2884" s="16">
        <f>IFERROR(__xludf.DUMMYFUNCTION("""COMPUTED_VALUE"""),72.0)</f>
        <v>72</v>
      </c>
      <c r="F2884" s="19" t="str">
        <f>IFERROR(__xludf.DUMMYFUNCTION("""COMPUTED_VALUE"""),"BLACK")</f>
        <v>BLACK</v>
      </c>
      <c r="G2884" s="20" t="str">
        <f>IFERROR(__xludf.DUMMYFUNCTION("""COMPUTED_VALUE"""),"Uncle Sams Cider (04/04/2023)")</f>
        <v>Uncle Sams Cider (04/04/2023)</v>
      </c>
      <c r="H2884" s="19"/>
    </row>
    <row r="2885">
      <c r="A2885" s="9"/>
      <c r="B2885" s="15"/>
      <c r="C2885" s="9">
        <f>IFERROR(__xludf.DUMMYFUNCTION("""COMPUTED_VALUE"""),45114.4501928472)</f>
        <v>45114.45019</v>
      </c>
      <c r="D2885" s="15">
        <f>IFERROR(__xludf.DUMMYFUNCTION("""COMPUTED_VALUE"""),1.004)</f>
        <v>1.004</v>
      </c>
      <c r="E2885" s="16">
        <f>IFERROR(__xludf.DUMMYFUNCTION("""COMPUTED_VALUE"""),72.0)</f>
        <v>72</v>
      </c>
      <c r="F2885" s="19" t="str">
        <f>IFERROR(__xludf.DUMMYFUNCTION("""COMPUTED_VALUE"""),"BLACK")</f>
        <v>BLACK</v>
      </c>
      <c r="G2885" s="20" t="str">
        <f>IFERROR(__xludf.DUMMYFUNCTION("""COMPUTED_VALUE"""),"Uncle Sams Cider (04/04/2023)")</f>
        <v>Uncle Sams Cider (04/04/2023)</v>
      </c>
      <c r="H2885" s="19"/>
    </row>
    <row r="2886">
      <c r="A2886" s="9"/>
      <c r="B2886" s="15"/>
      <c r="C2886" s="9">
        <f>IFERROR(__xludf.DUMMYFUNCTION("""COMPUTED_VALUE"""),45114.4397708912)</f>
        <v>45114.43977</v>
      </c>
      <c r="D2886" s="15">
        <f>IFERROR(__xludf.DUMMYFUNCTION("""COMPUTED_VALUE"""),1.004)</f>
        <v>1.004</v>
      </c>
      <c r="E2886" s="16">
        <f>IFERROR(__xludf.DUMMYFUNCTION("""COMPUTED_VALUE"""),72.0)</f>
        <v>72</v>
      </c>
      <c r="F2886" s="19" t="str">
        <f>IFERROR(__xludf.DUMMYFUNCTION("""COMPUTED_VALUE"""),"BLACK")</f>
        <v>BLACK</v>
      </c>
      <c r="G2886" s="20" t="str">
        <f>IFERROR(__xludf.DUMMYFUNCTION("""COMPUTED_VALUE"""),"Uncle Sams Cider (04/04/2023)")</f>
        <v>Uncle Sams Cider (04/04/2023)</v>
      </c>
      <c r="H2886" s="19"/>
    </row>
    <row r="2887">
      <c r="A2887" s="9"/>
      <c r="B2887" s="15"/>
      <c r="C2887" s="9">
        <f>IFERROR(__xludf.DUMMYFUNCTION("""COMPUTED_VALUE"""),45114.42933875)</f>
        <v>45114.42934</v>
      </c>
      <c r="D2887" s="15">
        <f>IFERROR(__xludf.DUMMYFUNCTION("""COMPUTED_VALUE"""),1.004)</f>
        <v>1.004</v>
      </c>
      <c r="E2887" s="16">
        <f>IFERROR(__xludf.DUMMYFUNCTION("""COMPUTED_VALUE"""),72.0)</f>
        <v>72</v>
      </c>
      <c r="F2887" s="19" t="str">
        <f>IFERROR(__xludf.DUMMYFUNCTION("""COMPUTED_VALUE"""),"BLACK")</f>
        <v>BLACK</v>
      </c>
      <c r="G2887" s="20" t="str">
        <f>IFERROR(__xludf.DUMMYFUNCTION("""COMPUTED_VALUE"""),"Uncle Sams Cider (04/04/2023)")</f>
        <v>Uncle Sams Cider (04/04/2023)</v>
      </c>
      <c r="H2887" s="19"/>
    </row>
    <row r="2888">
      <c r="A2888" s="9"/>
      <c r="B2888" s="15"/>
      <c r="C2888" s="9">
        <f>IFERROR(__xludf.DUMMYFUNCTION("""COMPUTED_VALUE"""),45114.4189046759)</f>
        <v>45114.4189</v>
      </c>
      <c r="D2888" s="15">
        <f>IFERROR(__xludf.DUMMYFUNCTION("""COMPUTED_VALUE"""),1.004)</f>
        <v>1.004</v>
      </c>
      <c r="E2888" s="16">
        <f>IFERROR(__xludf.DUMMYFUNCTION("""COMPUTED_VALUE"""),72.0)</f>
        <v>72</v>
      </c>
      <c r="F2888" s="19" t="str">
        <f>IFERROR(__xludf.DUMMYFUNCTION("""COMPUTED_VALUE"""),"BLACK")</f>
        <v>BLACK</v>
      </c>
      <c r="G2888" s="20" t="str">
        <f>IFERROR(__xludf.DUMMYFUNCTION("""COMPUTED_VALUE"""),"Uncle Sams Cider (04/04/2023)")</f>
        <v>Uncle Sams Cider (04/04/2023)</v>
      </c>
      <c r="H2888" s="19"/>
    </row>
    <row r="2889">
      <c r="A2889" s="9"/>
      <c r="B2889" s="15"/>
      <c r="C2889" s="9">
        <f>IFERROR(__xludf.DUMMYFUNCTION("""COMPUTED_VALUE"""),45114.4084707291)</f>
        <v>45114.40847</v>
      </c>
      <c r="D2889" s="15">
        <f>IFERROR(__xludf.DUMMYFUNCTION("""COMPUTED_VALUE"""),1.004)</f>
        <v>1.004</v>
      </c>
      <c r="E2889" s="16">
        <f>IFERROR(__xludf.DUMMYFUNCTION("""COMPUTED_VALUE"""),72.0)</f>
        <v>72</v>
      </c>
      <c r="F2889" s="19" t="str">
        <f>IFERROR(__xludf.DUMMYFUNCTION("""COMPUTED_VALUE"""),"BLACK")</f>
        <v>BLACK</v>
      </c>
      <c r="G2889" s="20" t="str">
        <f>IFERROR(__xludf.DUMMYFUNCTION("""COMPUTED_VALUE"""),"Uncle Sams Cider (04/04/2023)")</f>
        <v>Uncle Sams Cider (04/04/2023)</v>
      </c>
      <c r="H2889" s="19"/>
    </row>
    <row r="2890">
      <c r="A2890" s="9"/>
      <c r="B2890" s="15"/>
      <c r="C2890" s="9">
        <f>IFERROR(__xludf.DUMMYFUNCTION("""COMPUTED_VALUE"""),45114.398050405)</f>
        <v>45114.39805</v>
      </c>
      <c r="D2890" s="15">
        <f>IFERROR(__xludf.DUMMYFUNCTION("""COMPUTED_VALUE"""),1.004)</f>
        <v>1.004</v>
      </c>
      <c r="E2890" s="16">
        <f>IFERROR(__xludf.DUMMYFUNCTION("""COMPUTED_VALUE"""),72.0)</f>
        <v>72</v>
      </c>
      <c r="F2890" s="19" t="str">
        <f>IFERROR(__xludf.DUMMYFUNCTION("""COMPUTED_VALUE"""),"BLACK")</f>
        <v>BLACK</v>
      </c>
      <c r="G2890" s="20" t="str">
        <f>IFERROR(__xludf.DUMMYFUNCTION("""COMPUTED_VALUE"""),"Uncle Sams Cider (04/04/2023)")</f>
        <v>Uncle Sams Cider (04/04/2023)</v>
      </c>
      <c r="H2890" s="19"/>
    </row>
    <row r="2891">
      <c r="A2891" s="9"/>
      <c r="B2891" s="15"/>
      <c r="C2891" s="9">
        <f>IFERROR(__xludf.DUMMYFUNCTION("""COMPUTED_VALUE"""),45114.387630324)</f>
        <v>45114.38763</v>
      </c>
      <c r="D2891" s="15">
        <f>IFERROR(__xludf.DUMMYFUNCTION("""COMPUTED_VALUE"""),1.004)</f>
        <v>1.004</v>
      </c>
      <c r="E2891" s="16">
        <f>IFERROR(__xludf.DUMMYFUNCTION("""COMPUTED_VALUE"""),72.0)</f>
        <v>72</v>
      </c>
      <c r="F2891" s="19" t="str">
        <f>IFERROR(__xludf.DUMMYFUNCTION("""COMPUTED_VALUE"""),"BLACK")</f>
        <v>BLACK</v>
      </c>
      <c r="G2891" s="20" t="str">
        <f>IFERROR(__xludf.DUMMYFUNCTION("""COMPUTED_VALUE"""),"Uncle Sams Cider (04/04/2023)")</f>
        <v>Uncle Sams Cider (04/04/2023)</v>
      </c>
      <c r="H2891" s="19"/>
    </row>
    <row r="2892">
      <c r="A2892" s="9"/>
      <c r="B2892" s="15"/>
      <c r="C2892" s="9">
        <f>IFERROR(__xludf.DUMMYFUNCTION("""COMPUTED_VALUE"""),45114.3772091319)</f>
        <v>45114.37721</v>
      </c>
      <c r="D2892" s="15">
        <f>IFERROR(__xludf.DUMMYFUNCTION("""COMPUTED_VALUE"""),1.004)</f>
        <v>1.004</v>
      </c>
      <c r="E2892" s="16">
        <f>IFERROR(__xludf.DUMMYFUNCTION("""COMPUTED_VALUE"""),72.0)</f>
        <v>72</v>
      </c>
      <c r="F2892" s="19" t="str">
        <f>IFERROR(__xludf.DUMMYFUNCTION("""COMPUTED_VALUE"""),"BLACK")</f>
        <v>BLACK</v>
      </c>
      <c r="G2892" s="20" t="str">
        <f>IFERROR(__xludf.DUMMYFUNCTION("""COMPUTED_VALUE"""),"Uncle Sams Cider (04/04/2023)")</f>
        <v>Uncle Sams Cider (04/04/2023)</v>
      </c>
      <c r="H2892" s="19"/>
    </row>
    <row r="2893">
      <c r="A2893" s="9"/>
      <c r="B2893" s="15"/>
      <c r="C2893" s="9">
        <f>IFERROR(__xludf.DUMMYFUNCTION("""COMPUTED_VALUE"""),45114.3667877199)</f>
        <v>45114.36679</v>
      </c>
      <c r="D2893" s="15">
        <f>IFERROR(__xludf.DUMMYFUNCTION("""COMPUTED_VALUE"""),1.004)</f>
        <v>1.004</v>
      </c>
      <c r="E2893" s="16">
        <f>IFERROR(__xludf.DUMMYFUNCTION("""COMPUTED_VALUE"""),72.0)</f>
        <v>72</v>
      </c>
      <c r="F2893" s="19" t="str">
        <f>IFERROR(__xludf.DUMMYFUNCTION("""COMPUTED_VALUE"""),"BLACK")</f>
        <v>BLACK</v>
      </c>
      <c r="G2893" s="20" t="str">
        <f>IFERROR(__xludf.DUMMYFUNCTION("""COMPUTED_VALUE"""),"Uncle Sams Cider (04/04/2023)")</f>
        <v>Uncle Sams Cider (04/04/2023)</v>
      </c>
      <c r="H2893" s="19"/>
    </row>
    <row r="2894">
      <c r="A2894" s="9"/>
      <c r="B2894" s="15"/>
      <c r="C2894" s="9">
        <f>IFERROR(__xludf.DUMMYFUNCTION("""COMPUTED_VALUE"""),45114.356363912)</f>
        <v>45114.35636</v>
      </c>
      <c r="D2894" s="15">
        <f>IFERROR(__xludf.DUMMYFUNCTION("""COMPUTED_VALUE"""),1.004)</f>
        <v>1.004</v>
      </c>
      <c r="E2894" s="16">
        <f>IFERROR(__xludf.DUMMYFUNCTION("""COMPUTED_VALUE"""),72.0)</f>
        <v>72</v>
      </c>
      <c r="F2894" s="19" t="str">
        <f>IFERROR(__xludf.DUMMYFUNCTION("""COMPUTED_VALUE"""),"BLACK")</f>
        <v>BLACK</v>
      </c>
      <c r="G2894" s="20" t="str">
        <f>IFERROR(__xludf.DUMMYFUNCTION("""COMPUTED_VALUE"""),"Uncle Sams Cider (04/04/2023)")</f>
        <v>Uncle Sams Cider (04/04/2023)</v>
      </c>
      <c r="H2894" s="19"/>
    </row>
    <row r="2895">
      <c r="A2895" s="9"/>
      <c r="B2895" s="15"/>
      <c r="C2895" s="9">
        <f>IFERROR(__xludf.DUMMYFUNCTION("""COMPUTED_VALUE"""),45114.3459418402)</f>
        <v>45114.34594</v>
      </c>
      <c r="D2895" s="15">
        <f>IFERROR(__xludf.DUMMYFUNCTION("""COMPUTED_VALUE"""),1.004)</f>
        <v>1.004</v>
      </c>
      <c r="E2895" s="16">
        <f>IFERROR(__xludf.DUMMYFUNCTION("""COMPUTED_VALUE"""),72.0)</f>
        <v>72</v>
      </c>
      <c r="F2895" s="19" t="str">
        <f>IFERROR(__xludf.DUMMYFUNCTION("""COMPUTED_VALUE"""),"BLACK")</f>
        <v>BLACK</v>
      </c>
      <c r="G2895" s="20" t="str">
        <f>IFERROR(__xludf.DUMMYFUNCTION("""COMPUTED_VALUE"""),"Uncle Sams Cider (04/04/2023)")</f>
        <v>Uncle Sams Cider (04/04/2023)</v>
      </c>
      <c r="H2895" s="19"/>
    </row>
    <row r="2896">
      <c r="A2896" s="9"/>
      <c r="B2896" s="15"/>
      <c r="C2896" s="9">
        <f>IFERROR(__xludf.DUMMYFUNCTION("""COMPUTED_VALUE"""),45114.3355208796)</f>
        <v>45114.33552</v>
      </c>
      <c r="D2896" s="15">
        <f>IFERROR(__xludf.DUMMYFUNCTION("""COMPUTED_VALUE"""),1.004)</f>
        <v>1.004</v>
      </c>
      <c r="E2896" s="16">
        <f>IFERROR(__xludf.DUMMYFUNCTION("""COMPUTED_VALUE"""),72.0)</f>
        <v>72</v>
      </c>
      <c r="F2896" s="19" t="str">
        <f>IFERROR(__xludf.DUMMYFUNCTION("""COMPUTED_VALUE"""),"BLACK")</f>
        <v>BLACK</v>
      </c>
      <c r="G2896" s="20" t="str">
        <f>IFERROR(__xludf.DUMMYFUNCTION("""COMPUTED_VALUE"""),"Uncle Sams Cider (04/04/2023)")</f>
        <v>Uncle Sams Cider (04/04/2023)</v>
      </c>
      <c r="H2896" s="19"/>
    </row>
    <row r="2897">
      <c r="A2897" s="9"/>
      <c r="B2897" s="15"/>
      <c r="C2897" s="9">
        <f>IFERROR(__xludf.DUMMYFUNCTION("""COMPUTED_VALUE"""),45114.3251002546)</f>
        <v>45114.3251</v>
      </c>
      <c r="D2897" s="15">
        <f>IFERROR(__xludf.DUMMYFUNCTION("""COMPUTED_VALUE"""),1.004)</f>
        <v>1.004</v>
      </c>
      <c r="E2897" s="16">
        <f>IFERROR(__xludf.DUMMYFUNCTION("""COMPUTED_VALUE"""),72.0)</f>
        <v>72</v>
      </c>
      <c r="F2897" s="19" t="str">
        <f>IFERROR(__xludf.DUMMYFUNCTION("""COMPUTED_VALUE"""),"BLACK")</f>
        <v>BLACK</v>
      </c>
      <c r="G2897" s="20" t="str">
        <f>IFERROR(__xludf.DUMMYFUNCTION("""COMPUTED_VALUE"""),"Uncle Sams Cider (04/04/2023)")</f>
        <v>Uncle Sams Cider (04/04/2023)</v>
      </c>
      <c r="H2897" s="19"/>
    </row>
    <row r="2898">
      <c r="A2898" s="9"/>
      <c r="B2898" s="15"/>
      <c r="C2898" s="9">
        <f>IFERROR(__xludf.DUMMYFUNCTION("""COMPUTED_VALUE"""),45114.3146771527)</f>
        <v>45114.31468</v>
      </c>
      <c r="D2898" s="15">
        <f>IFERROR(__xludf.DUMMYFUNCTION("""COMPUTED_VALUE"""),1.004)</f>
        <v>1.004</v>
      </c>
      <c r="E2898" s="16">
        <f>IFERROR(__xludf.DUMMYFUNCTION("""COMPUTED_VALUE"""),72.0)</f>
        <v>72</v>
      </c>
      <c r="F2898" s="19" t="str">
        <f>IFERROR(__xludf.DUMMYFUNCTION("""COMPUTED_VALUE"""),"BLACK")</f>
        <v>BLACK</v>
      </c>
      <c r="G2898" s="20" t="str">
        <f>IFERROR(__xludf.DUMMYFUNCTION("""COMPUTED_VALUE"""),"Uncle Sams Cider (04/04/2023)")</f>
        <v>Uncle Sams Cider (04/04/2023)</v>
      </c>
      <c r="H2898" s="19"/>
    </row>
    <row r="2899">
      <c r="A2899" s="9"/>
      <c r="B2899" s="15"/>
      <c r="C2899" s="9">
        <f>IFERROR(__xludf.DUMMYFUNCTION("""COMPUTED_VALUE"""),45114.3042550694)</f>
        <v>45114.30426</v>
      </c>
      <c r="D2899" s="15">
        <f>IFERROR(__xludf.DUMMYFUNCTION("""COMPUTED_VALUE"""),1.004)</f>
        <v>1.004</v>
      </c>
      <c r="E2899" s="16">
        <f>IFERROR(__xludf.DUMMYFUNCTION("""COMPUTED_VALUE"""),72.0)</f>
        <v>72</v>
      </c>
      <c r="F2899" s="19" t="str">
        <f>IFERROR(__xludf.DUMMYFUNCTION("""COMPUTED_VALUE"""),"BLACK")</f>
        <v>BLACK</v>
      </c>
      <c r="G2899" s="20" t="str">
        <f>IFERROR(__xludf.DUMMYFUNCTION("""COMPUTED_VALUE"""),"Uncle Sams Cider (04/04/2023)")</f>
        <v>Uncle Sams Cider (04/04/2023)</v>
      </c>
      <c r="H2899" s="19"/>
    </row>
    <row r="2900">
      <c r="A2900" s="9"/>
      <c r="B2900" s="15"/>
      <c r="C2900" s="9">
        <f>IFERROR(__xludf.DUMMYFUNCTION("""COMPUTED_VALUE"""),45114.2938124074)</f>
        <v>45114.29381</v>
      </c>
      <c r="D2900" s="15">
        <f>IFERROR(__xludf.DUMMYFUNCTION("""COMPUTED_VALUE"""),1.004)</f>
        <v>1.004</v>
      </c>
      <c r="E2900" s="16">
        <f>IFERROR(__xludf.DUMMYFUNCTION("""COMPUTED_VALUE"""),72.0)</f>
        <v>72</v>
      </c>
      <c r="F2900" s="19" t="str">
        <f>IFERROR(__xludf.DUMMYFUNCTION("""COMPUTED_VALUE"""),"BLACK")</f>
        <v>BLACK</v>
      </c>
      <c r="G2900" s="20" t="str">
        <f>IFERROR(__xludf.DUMMYFUNCTION("""COMPUTED_VALUE"""),"Uncle Sams Cider (04/04/2023)")</f>
        <v>Uncle Sams Cider (04/04/2023)</v>
      </c>
      <c r="H2900" s="19"/>
    </row>
    <row r="2901">
      <c r="A2901" s="9"/>
      <c r="B2901" s="15"/>
      <c r="C2901" s="9">
        <f>IFERROR(__xludf.DUMMYFUNCTION("""COMPUTED_VALUE"""),45114.2833910879)</f>
        <v>45114.28339</v>
      </c>
      <c r="D2901" s="15">
        <f>IFERROR(__xludf.DUMMYFUNCTION("""COMPUTED_VALUE"""),1.004)</f>
        <v>1.004</v>
      </c>
      <c r="E2901" s="16">
        <f>IFERROR(__xludf.DUMMYFUNCTION("""COMPUTED_VALUE"""),72.0)</f>
        <v>72</v>
      </c>
      <c r="F2901" s="19" t="str">
        <f>IFERROR(__xludf.DUMMYFUNCTION("""COMPUTED_VALUE"""),"BLACK")</f>
        <v>BLACK</v>
      </c>
      <c r="G2901" s="20" t="str">
        <f>IFERROR(__xludf.DUMMYFUNCTION("""COMPUTED_VALUE"""),"Uncle Sams Cider (04/04/2023)")</f>
        <v>Uncle Sams Cider (04/04/2023)</v>
      </c>
      <c r="H2901" s="19"/>
    </row>
    <row r="2902">
      <c r="A2902" s="9"/>
      <c r="B2902" s="15"/>
      <c r="C2902" s="9">
        <f>IFERROR(__xludf.DUMMYFUNCTION("""COMPUTED_VALUE"""),45114.272970706)</f>
        <v>45114.27297</v>
      </c>
      <c r="D2902" s="15">
        <f>IFERROR(__xludf.DUMMYFUNCTION("""COMPUTED_VALUE"""),1.004)</f>
        <v>1.004</v>
      </c>
      <c r="E2902" s="16">
        <f>IFERROR(__xludf.DUMMYFUNCTION("""COMPUTED_VALUE"""),72.0)</f>
        <v>72</v>
      </c>
      <c r="F2902" s="19" t="str">
        <f>IFERROR(__xludf.DUMMYFUNCTION("""COMPUTED_VALUE"""),"BLACK")</f>
        <v>BLACK</v>
      </c>
      <c r="G2902" s="20" t="str">
        <f>IFERROR(__xludf.DUMMYFUNCTION("""COMPUTED_VALUE"""),"Uncle Sams Cider (04/04/2023)")</f>
        <v>Uncle Sams Cider (04/04/2023)</v>
      </c>
      <c r="H2902" s="19"/>
    </row>
    <row r="2903">
      <c r="A2903" s="9"/>
      <c r="B2903" s="15"/>
      <c r="C2903" s="9">
        <f>IFERROR(__xludf.DUMMYFUNCTION("""COMPUTED_VALUE"""),45114.2625380208)</f>
        <v>45114.26254</v>
      </c>
      <c r="D2903" s="15">
        <f>IFERROR(__xludf.DUMMYFUNCTION("""COMPUTED_VALUE"""),1.004)</f>
        <v>1.004</v>
      </c>
      <c r="E2903" s="16">
        <f>IFERROR(__xludf.DUMMYFUNCTION("""COMPUTED_VALUE"""),72.0)</f>
        <v>72</v>
      </c>
      <c r="F2903" s="19" t="str">
        <f>IFERROR(__xludf.DUMMYFUNCTION("""COMPUTED_VALUE"""),"BLACK")</f>
        <v>BLACK</v>
      </c>
      <c r="G2903" s="20" t="str">
        <f>IFERROR(__xludf.DUMMYFUNCTION("""COMPUTED_VALUE"""),"Uncle Sams Cider (04/04/2023)")</f>
        <v>Uncle Sams Cider (04/04/2023)</v>
      </c>
      <c r="H2903" s="19"/>
    </row>
    <row r="2904">
      <c r="A2904" s="9"/>
      <c r="B2904" s="15"/>
      <c r="C2904" s="9">
        <f>IFERROR(__xludf.DUMMYFUNCTION("""COMPUTED_VALUE"""),45114.2521060069)</f>
        <v>45114.25211</v>
      </c>
      <c r="D2904" s="15">
        <f>IFERROR(__xludf.DUMMYFUNCTION("""COMPUTED_VALUE"""),1.004)</f>
        <v>1.004</v>
      </c>
      <c r="E2904" s="16">
        <f>IFERROR(__xludf.DUMMYFUNCTION("""COMPUTED_VALUE"""),72.0)</f>
        <v>72</v>
      </c>
      <c r="F2904" s="19" t="str">
        <f>IFERROR(__xludf.DUMMYFUNCTION("""COMPUTED_VALUE"""),"BLACK")</f>
        <v>BLACK</v>
      </c>
      <c r="G2904" s="20" t="str">
        <f>IFERROR(__xludf.DUMMYFUNCTION("""COMPUTED_VALUE"""),"Uncle Sams Cider (04/04/2023)")</f>
        <v>Uncle Sams Cider (04/04/2023)</v>
      </c>
      <c r="H2904" s="19"/>
    </row>
    <row r="2905">
      <c r="A2905" s="9"/>
      <c r="B2905" s="15"/>
      <c r="C2905" s="9">
        <f>IFERROR(__xludf.DUMMYFUNCTION("""COMPUTED_VALUE"""),45114.2416857986)</f>
        <v>45114.24169</v>
      </c>
      <c r="D2905" s="15">
        <f>IFERROR(__xludf.DUMMYFUNCTION("""COMPUTED_VALUE"""),1.004)</f>
        <v>1.004</v>
      </c>
      <c r="E2905" s="16">
        <f>IFERROR(__xludf.DUMMYFUNCTION("""COMPUTED_VALUE"""),72.0)</f>
        <v>72</v>
      </c>
      <c r="F2905" s="19" t="str">
        <f>IFERROR(__xludf.DUMMYFUNCTION("""COMPUTED_VALUE"""),"BLACK")</f>
        <v>BLACK</v>
      </c>
      <c r="G2905" s="20" t="str">
        <f>IFERROR(__xludf.DUMMYFUNCTION("""COMPUTED_VALUE"""),"Uncle Sams Cider (04/04/2023)")</f>
        <v>Uncle Sams Cider (04/04/2023)</v>
      </c>
      <c r="H2905" s="19"/>
    </row>
    <row r="2906">
      <c r="A2906" s="9"/>
      <c r="B2906" s="15"/>
      <c r="C2906" s="9">
        <f>IFERROR(__xludf.DUMMYFUNCTION("""COMPUTED_VALUE"""),45114.2312537731)</f>
        <v>45114.23125</v>
      </c>
      <c r="D2906" s="15">
        <f>IFERROR(__xludf.DUMMYFUNCTION("""COMPUTED_VALUE"""),1.003)</f>
        <v>1.003</v>
      </c>
      <c r="E2906" s="16">
        <f>IFERROR(__xludf.DUMMYFUNCTION("""COMPUTED_VALUE"""),72.0)</f>
        <v>72</v>
      </c>
      <c r="F2906" s="19" t="str">
        <f>IFERROR(__xludf.DUMMYFUNCTION("""COMPUTED_VALUE"""),"BLACK")</f>
        <v>BLACK</v>
      </c>
      <c r="G2906" s="20" t="str">
        <f>IFERROR(__xludf.DUMMYFUNCTION("""COMPUTED_VALUE"""),"Uncle Sams Cider (04/04/2023)")</f>
        <v>Uncle Sams Cider (04/04/2023)</v>
      </c>
      <c r="H2906" s="19"/>
    </row>
    <row r="2907">
      <c r="A2907" s="9"/>
      <c r="B2907" s="15"/>
      <c r="C2907" s="9">
        <f>IFERROR(__xludf.DUMMYFUNCTION("""COMPUTED_VALUE"""),45114.2208318518)</f>
        <v>45114.22083</v>
      </c>
      <c r="D2907" s="15">
        <f>IFERROR(__xludf.DUMMYFUNCTION("""COMPUTED_VALUE"""),1.004)</f>
        <v>1.004</v>
      </c>
      <c r="E2907" s="16">
        <f>IFERROR(__xludf.DUMMYFUNCTION("""COMPUTED_VALUE"""),72.0)</f>
        <v>72</v>
      </c>
      <c r="F2907" s="19" t="str">
        <f>IFERROR(__xludf.DUMMYFUNCTION("""COMPUTED_VALUE"""),"BLACK")</f>
        <v>BLACK</v>
      </c>
      <c r="G2907" s="20" t="str">
        <f>IFERROR(__xludf.DUMMYFUNCTION("""COMPUTED_VALUE"""),"Uncle Sams Cider (04/04/2023)")</f>
        <v>Uncle Sams Cider (04/04/2023)</v>
      </c>
      <c r="H2907" s="19"/>
    </row>
    <row r="2908">
      <c r="A2908" s="9"/>
      <c r="B2908" s="15"/>
      <c r="C2908" s="9">
        <f>IFERROR(__xludf.DUMMYFUNCTION("""COMPUTED_VALUE"""),45114.2103989583)</f>
        <v>45114.2104</v>
      </c>
      <c r="D2908" s="15">
        <f>IFERROR(__xludf.DUMMYFUNCTION("""COMPUTED_VALUE"""),1.004)</f>
        <v>1.004</v>
      </c>
      <c r="E2908" s="16">
        <f>IFERROR(__xludf.DUMMYFUNCTION("""COMPUTED_VALUE"""),72.0)</f>
        <v>72</v>
      </c>
      <c r="F2908" s="19" t="str">
        <f>IFERROR(__xludf.DUMMYFUNCTION("""COMPUTED_VALUE"""),"BLACK")</f>
        <v>BLACK</v>
      </c>
      <c r="G2908" s="20" t="str">
        <f>IFERROR(__xludf.DUMMYFUNCTION("""COMPUTED_VALUE"""),"Uncle Sams Cider (04/04/2023)")</f>
        <v>Uncle Sams Cider (04/04/2023)</v>
      </c>
      <c r="H2908" s="19"/>
    </row>
    <row r="2909">
      <c r="A2909" s="9"/>
      <c r="B2909" s="15"/>
      <c r="C2909" s="9">
        <f>IFERROR(__xludf.DUMMYFUNCTION("""COMPUTED_VALUE"""),45114.1999666666)</f>
        <v>45114.19997</v>
      </c>
      <c r="D2909" s="15">
        <f>IFERROR(__xludf.DUMMYFUNCTION("""COMPUTED_VALUE"""),1.004)</f>
        <v>1.004</v>
      </c>
      <c r="E2909" s="16">
        <f>IFERROR(__xludf.DUMMYFUNCTION("""COMPUTED_VALUE"""),72.0)</f>
        <v>72</v>
      </c>
      <c r="F2909" s="19" t="str">
        <f>IFERROR(__xludf.DUMMYFUNCTION("""COMPUTED_VALUE"""),"BLACK")</f>
        <v>BLACK</v>
      </c>
      <c r="G2909" s="20" t="str">
        <f>IFERROR(__xludf.DUMMYFUNCTION("""COMPUTED_VALUE"""),"Uncle Sams Cider (04/04/2023)")</f>
        <v>Uncle Sams Cider (04/04/2023)</v>
      </c>
      <c r="H2909" s="19"/>
    </row>
    <row r="2910">
      <c r="A2910" s="9"/>
      <c r="B2910" s="15"/>
      <c r="C2910" s="9">
        <f>IFERROR(__xludf.DUMMYFUNCTION("""COMPUTED_VALUE"""),45114.1895475925)</f>
        <v>45114.18955</v>
      </c>
      <c r="D2910" s="15">
        <f>IFERROR(__xludf.DUMMYFUNCTION("""COMPUTED_VALUE"""),1.004)</f>
        <v>1.004</v>
      </c>
      <c r="E2910" s="16">
        <f>IFERROR(__xludf.DUMMYFUNCTION("""COMPUTED_VALUE"""),72.0)</f>
        <v>72</v>
      </c>
      <c r="F2910" s="19" t="str">
        <f>IFERROR(__xludf.DUMMYFUNCTION("""COMPUTED_VALUE"""),"BLACK")</f>
        <v>BLACK</v>
      </c>
      <c r="G2910" s="20" t="str">
        <f>IFERROR(__xludf.DUMMYFUNCTION("""COMPUTED_VALUE"""),"Uncle Sams Cider (04/04/2023)")</f>
        <v>Uncle Sams Cider (04/04/2023)</v>
      </c>
      <c r="H2910" s="19"/>
    </row>
    <row r="2911">
      <c r="A2911" s="9"/>
      <c r="B2911" s="15"/>
      <c r="C2911" s="9">
        <f>IFERROR(__xludf.DUMMYFUNCTION("""COMPUTED_VALUE"""),45114.179127743)</f>
        <v>45114.17913</v>
      </c>
      <c r="D2911" s="15">
        <f>IFERROR(__xludf.DUMMYFUNCTION("""COMPUTED_VALUE"""),1.004)</f>
        <v>1.004</v>
      </c>
      <c r="E2911" s="16">
        <f>IFERROR(__xludf.DUMMYFUNCTION("""COMPUTED_VALUE"""),72.0)</f>
        <v>72</v>
      </c>
      <c r="F2911" s="19" t="str">
        <f>IFERROR(__xludf.DUMMYFUNCTION("""COMPUTED_VALUE"""),"BLACK")</f>
        <v>BLACK</v>
      </c>
      <c r="G2911" s="20" t="str">
        <f>IFERROR(__xludf.DUMMYFUNCTION("""COMPUTED_VALUE"""),"Uncle Sams Cider (04/04/2023)")</f>
        <v>Uncle Sams Cider (04/04/2023)</v>
      </c>
      <c r="H2911" s="19"/>
    </row>
    <row r="2912">
      <c r="A2912" s="9"/>
      <c r="B2912" s="15"/>
      <c r="C2912" s="9">
        <f>IFERROR(__xludf.DUMMYFUNCTION("""COMPUTED_VALUE"""),45114.1686837384)</f>
        <v>45114.16868</v>
      </c>
      <c r="D2912" s="15">
        <f>IFERROR(__xludf.DUMMYFUNCTION("""COMPUTED_VALUE"""),1.004)</f>
        <v>1.004</v>
      </c>
      <c r="E2912" s="16">
        <f>IFERROR(__xludf.DUMMYFUNCTION("""COMPUTED_VALUE"""),72.0)</f>
        <v>72</v>
      </c>
      <c r="F2912" s="19" t="str">
        <f>IFERROR(__xludf.DUMMYFUNCTION("""COMPUTED_VALUE"""),"BLACK")</f>
        <v>BLACK</v>
      </c>
      <c r="G2912" s="20" t="str">
        <f>IFERROR(__xludf.DUMMYFUNCTION("""COMPUTED_VALUE"""),"Uncle Sams Cider (04/04/2023)")</f>
        <v>Uncle Sams Cider (04/04/2023)</v>
      </c>
      <c r="H2912" s="19"/>
    </row>
    <row r="2913">
      <c r="A2913" s="9"/>
      <c r="B2913" s="15"/>
      <c r="C2913" s="9">
        <f>IFERROR(__xludf.DUMMYFUNCTION("""COMPUTED_VALUE"""),45114.1582637962)</f>
        <v>45114.15826</v>
      </c>
      <c r="D2913" s="15">
        <f>IFERROR(__xludf.DUMMYFUNCTION("""COMPUTED_VALUE"""),1.004)</f>
        <v>1.004</v>
      </c>
      <c r="E2913" s="16">
        <f>IFERROR(__xludf.DUMMYFUNCTION("""COMPUTED_VALUE"""),71.0)</f>
        <v>71</v>
      </c>
      <c r="F2913" s="19" t="str">
        <f>IFERROR(__xludf.DUMMYFUNCTION("""COMPUTED_VALUE"""),"BLACK")</f>
        <v>BLACK</v>
      </c>
      <c r="G2913" s="20" t="str">
        <f>IFERROR(__xludf.DUMMYFUNCTION("""COMPUTED_VALUE"""),"Uncle Sams Cider (04/04/2023)")</f>
        <v>Uncle Sams Cider (04/04/2023)</v>
      </c>
      <c r="H2913" s="19"/>
    </row>
    <row r="2914">
      <c r="A2914" s="9"/>
      <c r="B2914" s="15"/>
      <c r="C2914" s="9">
        <f>IFERROR(__xludf.DUMMYFUNCTION("""COMPUTED_VALUE"""),45114.1478451041)</f>
        <v>45114.14785</v>
      </c>
      <c r="D2914" s="15">
        <f>IFERROR(__xludf.DUMMYFUNCTION("""COMPUTED_VALUE"""),1.004)</f>
        <v>1.004</v>
      </c>
      <c r="E2914" s="16">
        <f>IFERROR(__xludf.DUMMYFUNCTION("""COMPUTED_VALUE"""),72.0)</f>
        <v>72</v>
      </c>
      <c r="F2914" s="19" t="str">
        <f>IFERROR(__xludf.DUMMYFUNCTION("""COMPUTED_VALUE"""),"BLACK")</f>
        <v>BLACK</v>
      </c>
      <c r="G2914" s="20" t="str">
        <f>IFERROR(__xludf.DUMMYFUNCTION("""COMPUTED_VALUE"""),"Uncle Sams Cider (04/04/2023)")</f>
        <v>Uncle Sams Cider (04/04/2023)</v>
      </c>
      <c r="H2914" s="19"/>
    </row>
    <row r="2915">
      <c r="A2915" s="9"/>
      <c r="B2915" s="15"/>
      <c r="C2915" s="9">
        <f>IFERROR(__xludf.DUMMYFUNCTION("""COMPUTED_VALUE"""),45114.1374125463)</f>
        <v>45114.13741</v>
      </c>
      <c r="D2915" s="15">
        <f>IFERROR(__xludf.DUMMYFUNCTION("""COMPUTED_VALUE"""),1.004)</f>
        <v>1.004</v>
      </c>
      <c r="E2915" s="16">
        <f>IFERROR(__xludf.DUMMYFUNCTION("""COMPUTED_VALUE"""),72.0)</f>
        <v>72</v>
      </c>
      <c r="F2915" s="19" t="str">
        <f>IFERROR(__xludf.DUMMYFUNCTION("""COMPUTED_VALUE"""),"BLACK")</f>
        <v>BLACK</v>
      </c>
      <c r="G2915" s="20" t="str">
        <f>IFERROR(__xludf.DUMMYFUNCTION("""COMPUTED_VALUE"""),"Uncle Sams Cider (04/04/2023)")</f>
        <v>Uncle Sams Cider (04/04/2023)</v>
      </c>
      <c r="H2915" s="19"/>
    </row>
    <row r="2916">
      <c r="A2916" s="9"/>
      <c r="B2916" s="15"/>
      <c r="C2916" s="9">
        <f>IFERROR(__xludf.DUMMYFUNCTION("""COMPUTED_VALUE"""),45114.12698103)</f>
        <v>45114.12698</v>
      </c>
      <c r="D2916" s="15">
        <f>IFERROR(__xludf.DUMMYFUNCTION("""COMPUTED_VALUE"""),1.004)</f>
        <v>1.004</v>
      </c>
      <c r="E2916" s="16">
        <f>IFERROR(__xludf.DUMMYFUNCTION("""COMPUTED_VALUE"""),72.0)</f>
        <v>72</v>
      </c>
      <c r="F2916" s="19" t="str">
        <f>IFERROR(__xludf.DUMMYFUNCTION("""COMPUTED_VALUE"""),"BLACK")</f>
        <v>BLACK</v>
      </c>
      <c r="G2916" s="20" t="str">
        <f>IFERROR(__xludf.DUMMYFUNCTION("""COMPUTED_VALUE"""),"Uncle Sams Cider (04/04/2023)")</f>
        <v>Uncle Sams Cider (04/04/2023)</v>
      </c>
      <c r="H2916" s="19"/>
    </row>
    <row r="2917">
      <c r="A2917" s="9"/>
      <c r="B2917" s="15"/>
      <c r="C2917" s="9">
        <f>IFERROR(__xludf.DUMMYFUNCTION("""COMPUTED_VALUE"""),45114.1165598611)</f>
        <v>45114.11656</v>
      </c>
      <c r="D2917" s="15">
        <f>IFERROR(__xludf.DUMMYFUNCTION("""COMPUTED_VALUE"""),1.004)</f>
        <v>1.004</v>
      </c>
      <c r="E2917" s="16">
        <f>IFERROR(__xludf.DUMMYFUNCTION("""COMPUTED_VALUE"""),71.0)</f>
        <v>71</v>
      </c>
      <c r="F2917" s="19" t="str">
        <f>IFERROR(__xludf.DUMMYFUNCTION("""COMPUTED_VALUE"""),"BLACK")</f>
        <v>BLACK</v>
      </c>
      <c r="G2917" s="20" t="str">
        <f>IFERROR(__xludf.DUMMYFUNCTION("""COMPUTED_VALUE"""),"Uncle Sams Cider (04/04/2023)")</f>
        <v>Uncle Sams Cider (04/04/2023)</v>
      </c>
      <c r="H2917" s="19"/>
    </row>
    <row r="2918">
      <c r="A2918" s="9"/>
      <c r="B2918" s="15"/>
      <c r="C2918" s="9">
        <f>IFERROR(__xludf.DUMMYFUNCTION("""COMPUTED_VALUE"""),45114.1061395254)</f>
        <v>45114.10614</v>
      </c>
      <c r="D2918" s="15">
        <f>IFERROR(__xludf.DUMMYFUNCTION("""COMPUTED_VALUE"""),1.004)</f>
        <v>1.004</v>
      </c>
      <c r="E2918" s="16">
        <f>IFERROR(__xludf.DUMMYFUNCTION("""COMPUTED_VALUE"""),72.0)</f>
        <v>72</v>
      </c>
      <c r="F2918" s="19" t="str">
        <f>IFERROR(__xludf.DUMMYFUNCTION("""COMPUTED_VALUE"""),"BLACK")</f>
        <v>BLACK</v>
      </c>
      <c r="G2918" s="20" t="str">
        <f>IFERROR(__xludf.DUMMYFUNCTION("""COMPUTED_VALUE"""),"Uncle Sams Cider (04/04/2023)")</f>
        <v>Uncle Sams Cider (04/04/2023)</v>
      </c>
      <c r="H2918" s="19"/>
    </row>
    <row r="2919">
      <c r="A2919" s="9"/>
      <c r="B2919" s="15"/>
      <c r="C2919" s="9">
        <f>IFERROR(__xludf.DUMMYFUNCTION("""COMPUTED_VALUE"""),45114.0957194675)</f>
        <v>45114.09572</v>
      </c>
      <c r="D2919" s="15">
        <f>IFERROR(__xludf.DUMMYFUNCTION("""COMPUTED_VALUE"""),1.004)</f>
        <v>1.004</v>
      </c>
      <c r="E2919" s="16">
        <f>IFERROR(__xludf.DUMMYFUNCTION("""COMPUTED_VALUE"""),72.0)</f>
        <v>72</v>
      </c>
      <c r="F2919" s="19" t="str">
        <f>IFERROR(__xludf.DUMMYFUNCTION("""COMPUTED_VALUE"""),"BLACK")</f>
        <v>BLACK</v>
      </c>
      <c r="G2919" s="20" t="str">
        <f>IFERROR(__xludf.DUMMYFUNCTION("""COMPUTED_VALUE"""),"Uncle Sams Cider (04/04/2023)")</f>
        <v>Uncle Sams Cider (04/04/2023)</v>
      </c>
      <c r="H2919" s="19"/>
    </row>
    <row r="2920">
      <c r="A2920" s="9"/>
      <c r="B2920" s="15"/>
      <c r="C2920" s="9">
        <f>IFERROR(__xludf.DUMMYFUNCTION("""COMPUTED_VALUE"""),45114.0852980555)</f>
        <v>45114.0853</v>
      </c>
      <c r="D2920" s="15">
        <f>IFERROR(__xludf.DUMMYFUNCTION("""COMPUTED_VALUE"""),1.004)</f>
        <v>1.004</v>
      </c>
      <c r="E2920" s="16">
        <f>IFERROR(__xludf.DUMMYFUNCTION("""COMPUTED_VALUE"""),72.0)</f>
        <v>72</v>
      </c>
      <c r="F2920" s="19" t="str">
        <f>IFERROR(__xludf.DUMMYFUNCTION("""COMPUTED_VALUE"""),"BLACK")</f>
        <v>BLACK</v>
      </c>
      <c r="G2920" s="20" t="str">
        <f>IFERROR(__xludf.DUMMYFUNCTION("""COMPUTED_VALUE"""),"Uncle Sams Cider (04/04/2023)")</f>
        <v>Uncle Sams Cider (04/04/2023)</v>
      </c>
      <c r="H2920" s="19"/>
    </row>
    <row r="2921">
      <c r="A2921" s="9"/>
      <c r="B2921" s="15"/>
      <c r="C2921" s="9">
        <f>IFERROR(__xludf.DUMMYFUNCTION("""COMPUTED_VALUE"""),45114.0748776736)</f>
        <v>45114.07488</v>
      </c>
      <c r="D2921" s="15">
        <f>IFERROR(__xludf.DUMMYFUNCTION("""COMPUTED_VALUE"""),1.004)</f>
        <v>1.004</v>
      </c>
      <c r="E2921" s="16">
        <f>IFERROR(__xludf.DUMMYFUNCTION("""COMPUTED_VALUE"""),72.0)</f>
        <v>72</v>
      </c>
      <c r="F2921" s="19" t="str">
        <f>IFERROR(__xludf.DUMMYFUNCTION("""COMPUTED_VALUE"""),"BLACK")</f>
        <v>BLACK</v>
      </c>
      <c r="G2921" s="20" t="str">
        <f>IFERROR(__xludf.DUMMYFUNCTION("""COMPUTED_VALUE"""),"Uncle Sams Cider (04/04/2023)")</f>
        <v>Uncle Sams Cider (04/04/2023)</v>
      </c>
      <c r="H2921" s="19"/>
    </row>
    <row r="2922">
      <c r="A2922" s="9"/>
      <c r="B2922" s="15"/>
      <c r="C2922" s="9">
        <f>IFERROR(__xludf.DUMMYFUNCTION("""COMPUTED_VALUE"""),45114.0644572569)</f>
        <v>45114.06446</v>
      </c>
      <c r="D2922" s="15">
        <f>IFERROR(__xludf.DUMMYFUNCTION("""COMPUTED_VALUE"""),1.004)</f>
        <v>1.004</v>
      </c>
      <c r="E2922" s="16">
        <f>IFERROR(__xludf.DUMMYFUNCTION("""COMPUTED_VALUE"""),72.0)</f>
        <v>72</v>
      </c>
      <c r="F2922" s="19" t="str">
        <f>IFERROR(__xludf.DUMMYFUNCTION("""COMPUTED_VALUE"""),"BLACK")</f>
        <v>BLACK</v>
      </c>
      <c r="G2922" s="20" t="str">
        <f>IFERROR(__xludf.DUMMYFUNCTION("""COMPUTED_VALUE"""),"Uncle Sams Cider (04/04/2023)")</f>
        <v>Uncle Sams Cider (04/04/2023)</v>
      </c>
      <c r="H2922" s="19"/>
    </row>
    <row r="2923">
      <c r="A2923" s="9"/>
      <c r="B2923" s="15"/>
      <c r="C2923" s="9">
        <f>IFERROR(__xludf.DUMMYFUNCTION("""COMPUTED_VALUE"""),45114.0540358101)</f>
        <v>45114.05404</v>
      </c>
      <c r="D2923" s="15">
        <f>IFERROR(__xludf.DUMMYFUNCTION("""COMPUTED_VALUE"""),1.004)</f>
        <v>1.004</v>
      </c>
      <c r="E2923" s="16">
        <f>IFERROR(__xludf.DUMMYFUNCTION("""COMPUTED_VALUE"""),72.0)</f>
        <v>72</v>
      </c>
      <c r="F2923" s="19" t="str">
        <f>IFERROR(__xludf.DUMMYFUNCTION("""COMPUTED_VALUE"""),"BLACK")</f>
        <v>BLACK</v>
      </c>
      <c r="G2923" s="20" t="str">
        <f>IFERROR(__xludf.DUMMYFUNCTION("""COMPUTED_VALUE"""),"Uncle Sams Cider (04/04/2023)")</f>
        <v>Uncle Sams Cider (04/04/2023)</v>
      </c>
      <c r="H2923" s="19"/>
    </row>
    <row r="2924">
      <c r="A2924" s="9"/>
      <c r="B2924" s="15"/>
      <c r="C2924" s="9">
        <f>IFERROR(__xludf.DUMMYFUNCTION("""COMPUTED_VALUE"""),45114.0436135416)</f>
        <v>45114.04361</v>
      </c>
      <c r="D2924" s="15">
        <f>IFERROR(__xludf.DUMMYFUNCTION("""COMPUTED_VALUE"""),1.004)</f>
        <v>1.004</v>
      </c>
      <c r="E2924" s="16">
        <f>IFERROR(__xludf.DUMMYFUNCTION("""COMPUTED_VALUE"""),72.0)</f>
        <v>72</v>
      </c>
      <c r="F2924" s="19" t="str">
        <f>IFERROR(__xludf.DUMMYFUNCTION("""COMPUTED_VALUE"""),"BLACK")</f>
        <v>BLACK</v>
      </c>
      <c r="G2924" s="20" t="str">
        <f>IFERROR(__xludf.DUMMYFUNCTION("""COMPUTED_VALUE"""),"Uncle Sams Cider (04/04/2023)")</f>
        <v>Uncle Sams Cider (04/04/2023)</v>
      </c>
      <c r="H2924" s="19"/>
    </row>
    <row r="2925">
      <c r="A2925" s="9"/>
      <c r="B2925" s="15"/>
      <c r="C2925" s="9">
        <f>IFERROR(__xludf.DUMMYFUNCTION("""COMPUTED_VALUE"""),45114.0331804282)</f>
        <v>45114.03318</v>
      </c>
      <c r="D2925" s="15">
        <f>IFERROR(__xludf.DUMMYFUNCTION("""COMPUTED_VALUE"""),1.004)</f>
        <v>1.004</v>
      </c>
      <c r="E2925" s="16">
        <f>IFERROR(__xludf.DUMMYFUNCTION("""COMPUTED_VALUE"""),72.0)</f>
        <v>72</v>
      </c>
      <c r="F2925" s="19" t="str">
        <f>IFERROR(__xludf.DUMMYFUNCTION("""COMPUTED_VALUE"""),"BLACK")</f>
        <v>BLACK</v>
      </c>
      <c r="G2925" s="20" t="str">
        <f>IFERROR(__xludf.DUMMYFUNCTION("""COMPUTED_VALUE"""),"Uncle Sams Cider (04/04/2023)")</f>
        <v>Uncle Sams Cider (04/04/2023)</v>
      </c>
      <c r="H2925" s="19"/>
    </row>
    <row r="2926">
      <c r="A2926" s="9"/>
      <c r="B2926" s="15"/>
      <c r="C2926" s="9">
        <f>IFERROR(__xludf.DUMMYFUNCTION("""COMPUTED_VALUE"""),45114.0227572569)</f>
        <v>45114.02276</v>
      </c>
      <c r="D2926" s="15">
        <f>IFERROR(__xludf.DUMMYFUNCTION("""COMPUTED_VALUE"""),1.004)</f>
        <v>1.004</v>
      </c>
      <c r="E2926" s="16">
        <f>IFERROR(__xludf.DUMMYFUNCTION("""COMPUTED_VALUE"""),72.0)</f>
        <v>72</v>
      </c>
      <c r="F2926" s="19" t="str">
        <f>IFERROR(__xludf.DUMMYFUNCTION("""COMPUTED_VALUE"""),"BLACK")</f>
        <v>BLACK</v>
      </c>
      <c r="G2926" s="20" t="str">
        <f>IFERROR(__xludf.DUMMYFUNCTION("""COMPUTED_VALUE"""),"Uncle Sams Cider (04/04/2023)")</f>
        <v>Uncle Sams Cider (04/04/2023)</v>
      </c>
      <c r="H2926" s="19"/>
    </row>
    <row r="2927">
      <c r="A2927" s="9"/>
      <c r="B2927" s="15"/>
      <c r="C2927" s="9">
        <f>IFERROR(__xludf.DUMMYFUNCTION("""COMPUTED_VALUE"""),45114.0123369675)</f>
        <v>45114.01234</v>
      </c>
      <c r="D2927" s="15">
        <f>IFERROR(__xludf.DUMMYFUNCTION("""COMPUTED_VALUE"""),1.004)</f>
        <v>1.004</v>
      </c>
      <c r="E2927" s="16">
        <f>IFERROR(__xludf.DUMMYFUNCTION("""COMPUTED_VALUE"""),71.0)</f>
        <v>71</v>
      </c>
      <c r="F2927" s="19" t="str">
        <f>IFERROR(__xludf.DUMMYFUNCTION("""COMPUTED_VALUE"""),"BLACK")</f>
        <v>BLACK</v>
      </c>
      <c r="G2927" s="20" t="str">
        <f>IFERROR(__xludf.DUMMYFUNCTION("""COMPUTED_VALUE"""),"Uncle Sams Cider (04/04/2023)")</f>
        <v>Uncle Sams Cider (04/04/2023)</v>
      </c>
      <c r="H2927" s="19"/>
    </row>
    <row r="2928">
      <c r="A2928" s="9"/>
      <c r="B2928" s="15"/>
      <c r="C2928" s="9">
        <f>IFERROR(__xludf.DUMMYFUNCTION("""COMPUTED_VALUE"""),45114.001905324)</f>
        <v>45114.00191</v>
      </c>
      <c r="D2928" s="15">
        <f>IFERROR(__xludf.DUMMYFUNCTION("""COMPUTED_VALUE"""),1.004)</f>
        <v>1.004</v>
      </c>
      <c r="E2928" s="16">
        <f>IFERROR(__xludf.DUMMYFUNCTION("""COMPUTED_VALUE"""),71.0)</f>
        <v>71</v>
      </c>
      <c r="F2928" s="19" t="str">
        <f>IFERROR(__xludf.DUMMYFUNCTION("""COMPUTED_VALUE"""),"BLACK")</f>
        <v>BLACK</v>
      </c>
      <c r="G2928" s="20" t="str">
        <f>IFERROR(__xludf.DUMMYFUNCTION("""COMPUTED_VALUE"""),"Uncle Sams Cider (04/04/2023)")</f>
        <v>Uncle Sams Cider (04/04/2023)</v>
      </c>
      <c r="H2928" s="19"/>
    </row>
    <row r="2929">
      <c r="A2929" s="9"/>
      <c r="B2929" s="15"/>
      <c r="C2929" s="9">
        <f>IFERROR(__xludf.DUMMYFUNCTION("""COMPUTED_VALUE"""),45113.9914841551)</f>
        <v>45113.99148</v>
      </c>
      <c r="D2929" s="15">
        <f>IFERROR(__xludf.DUMMYFUNCTION("""COMPUTED_VALUE"""),1.004)</f>
        <v>1.004</v>
      </c>
      <c r="E2929" s="16">
        <f>IFERROR(__xludf.DUMMYFUNCTION("""COMPUTED_VALUE"""),71.0)</f>
        <v>71</v>
      </c>
      <c r="F2929" s="19" t="str">
        <f>IFERROR(__xludf.DUMMYFUNCTION("""COMPUTED_VALUE"""),"BLACK")</f>
        <v>BLACK</v>
      </c>
      <c r="G2929" s="20" t="str">
        <f>IFERROR(__xludf.DUMMYFUNCTION("""COMPUTED_VALUE"""),"Uncle Sams Cider (04/04/2023)")</f>
        <v>Uncle Sams Cider (04/04/2023)</v>
      </c>
      <c r="H2929" s="19"/>
    </row>
    <row r="2930">
      <c r="A2930" s="9"/>
      <c r="B2930" s="15"/>
      <c r="C2930" s="9">
        <f>IFERROR(__xludf.DUMMYFUNCTION("""COMPUTED_VALUE"""),45113.9810630092)</f>
        <v>45113.98106</v>
      </c>
      <c r="D2930" s="15">
        <f>IFERROR(__xludf.DUMMYFUNCTION("""COMPUTED_VALUE"""),1.004)</f>
        <v>1.004</v>
      </c>
      <c r="E2930" s="16">
        <f>IFERROR(__xludf.DUMMYFUNCTION("""COMPUTED_VALUE"""),72.0)</f>
        <v>72</v>
      </c>
      <c r="F2930" s="19" t="str">
        <f>IFERROR(__xludf.DUMMYFUNCTION("""COMPUTED_VALUE"""),"BLACK")</f>
        <v>BLACK</v>
      </c>
      <c r="G2930" s="20" t="str">
        <f>IFERROR(__xludf.DUMMYFUNCTION("""COMPUTED_VALUE"""),"Uncle Sams Cider (04/04/2023)")</f>
        <v>Uncle Sams Cider (04/04/2023)</v>
      </c>
      <c r="H2930" s="19"/>
    </row>
    <row r="2931">
      <c r="A2931" s="9"/>
      <c r="B2931" s="15"/>
      <c r="C2931" s="9">
        <f>IFERROR(__xludf.DUMMYFUNCTION("""COMPUTED_VALUE"""),45113.9706411574)</f>
        <v>45113.97064</v>
      </c>
      <c r="D2931" s="15">
        <f>IFERROR(__xludf.DUMMYFUNCTION("""COMPUTED_VALUE"""),1.004)</f>
        <v>1.004</v>
      </c>
      <c r="E2931" s="16">
        <f>IFERROR(__xludf.DUMMYFUNCTION("""COMPUTED_VALUE"""),71.0)</f>
        <v>71</v>
      </c>
      <c r="F2931" s="19" t="str">
        <f>IFERROR(__xludf.DUMMYFUNCTION("""COMPUTED_VALUE"""),"BLACK")</f>
        <v>BLACK</v>
      </c>
      <c r="G2931" s="20" t="str">
        <f>IFERROR(__xludf.DUMMYFUNCTION("""COMPUTED_VALUE"""),"Uncle Sams Cider (04/04/2023)")</f>
        <v>Uncle Sams Cider (04/04/2023)</v>
      </c>
      <c r="H2931" s="19"/>
    </row>
    <row r="2932">
      <c r="A2932" s="9"/>
      <c r="B2932" s="15"/>
      <c r="C2932" s="9">
        <f>IFERROR(__xludf.DUMMYFUNCTION("""COMPUTED_VALUE"""),45113.960210706)</f>
        <v>45113.96021</v>
      </c>
      <c r="D2932" s="15">
        <f>IFERROR(__xludf.DUMMYFUNCTION("""COMPUTED_VALUE"""),1.004)</f>
        <v>1.004</v>
      </c>
      <c r="E2932" s="16">
        <f>IFERROR(__xludf.DUMMYFUNCTION("""COMPUTED_VALUE"""),72.0)</f>
        <v>72</v>
      </c>
      <c r="F2932" s="19" t="str">
        <f>IFERROR(__xludf.DUMMYFUNCTION("""COMPUTED_VALUE"""),"BLACK")</f>
        <v>BLACK</v>
      </c>
      <c r="G2932" s="20" t="str">
        <f>IFERROR(__xludf.DUMMYFUNCTION("""COMPUTED_VALUE"""),"Uncle Sams Cider (04/04/2023)")</f>
        <v>Uncle Sams Cider (04/04/2023)</v>
      </c>
      <c r="H2932" s="19"/>
    </row>
    <row r="2933">
      <c r="A2933" s="9"/>
      <c r="B2933" s="15"/>
      <c r="C2933" s="9">
        <f>IFERROR(__xludf.DUMMYFUNCTION("""COMPUTED_VALUE"""),45113.9497882523)</f>
        <v>45113.94979</v>
      </c>
      <c r="D2933" s="15">
        <f>IFERROR(__xludf.DUMMYFUNCTION("""COMPUTED_VALUE"""),1.004)</f>
        <v>1.004</v>
      </c>
      <c r="E2933" s="16">
        <f>IFERROR(__xludf.DUMMYFUNCTION("""COMPUTED_VALUE"""),71.0)</f>
        <v>71</v>
      </c>
      <c r="F2933" s="19" t="str">
        <f>IFERROR(__xludf.DUMMYFUNCTION("""COMPUTED_VALUE"""),"BLACK")</f>
        <v>BLACK</v>
      </c>
      <c r="G2933" s="20" t="str">
        <f>IFERROR(__xludf.DUMMYFUNCTION("""COMPUTED_VALUE"""),"Uncle Sams Cider (04/04/2023)")</f>
        <v>Uncle Sams Cider (04/04/2023)</v>
      </c>
      <c r="H2933" s="19"/>
    </row>
    <row r="2934">
      <c r="A2934" s="9"/>
      <c r="B2934" s="15"/>
      <c r="C2934" s="9">
        <f>IFERROR(__xludf.DUMMYFUNCTION("""COMPUTED_VALUE"""),45113.9393664236)</f>
        <v>45113.93937</v>
      </c>
      <c r="D2934" s="15">
        <f>IFERROR(__xludf.DUMMYFUNCTION("""COMPUTED_VALUE"""),1.004)</f>
        <v>1.004</v>
      </c>
      <c r="E2934" s="16">
        <f>IFERROR(__xludf.DUMMYFUNCTION("""COMPUTED_VALUE"""),71.0)</f>
        <v>71</v>
      </c>
      <c r="F2934" s="19" t="str">
        <f>IFERROR(__xludf.DUMMYFUNCTION("""COMPUTED_VALUE"""),"BLACK")</f>
        <v>BLACK</v>
      </c>
      <c r="G2934" s="20" t="str">
        <f>IFERROR(__xludf.DUMMYFUNCTION("""COMPUTED_VALUE"""),"Uncle Sams Cider (04/04/2023)")</f>
        <v>Uncle Sams Cider (04/04/2023)</v>
      </c>
      <c r="H2934" s="19"/>
    </row>
    <row r="2935">
      <c r="A2935" s="9"/>
      <c r="B2935" s="15"/>
      <c r="C2935" s="9">
        <f>IFERROR(__xludf.DUMMYFUNCTION("""COMPUTED_VALUE"""),45113.9289462847)</f>
        <v>45113.92895</v>
      </c>
      <c r="D2935" s="15">
        <f>IFERROR(__xludf.DUMMYFUNCTION("""COMPUTED_VALUE"""),1.004)</f>
        <v>1.004</v>
      </c>
      <c r="E2935" s="16">
        <f>IFERROR(__xludf.DUMMYFUNCTION("""COMPUTED_VALUE"""),72.0)</f>
        <v>72</v>
      </c>
      <c r="F2935" s="19" t="str">
        <f>IFERROR(__xludf.DUMMYFUNCTION("""COMPUTED_VALUE"""),"BLACK")</f>
        <v>BLACK</v>
      </c>
      <c r="G2935" s="20" t="str">
        <f>IFERROR(__xludf.DUMMYFUNCTION("""COMPUTED_VALUE"""),"Uncle Sams Cider (04/04/2023)")</f>
        <v>Uncle Sams Cider (04/04/2023)</v>
      </c>
      <c r="H2935" s="19"/>
    </row>
    <row r="2936">
      <c r="A2936" s="9"/>
      <c r="B2936" s="15"/>
      <c r="C2936" s="9">
        <f>IFERROR(__xludf.DUMMYFUNCTION("""COMPUTED_VALUE"""),45113.9185242129)</f>
        <v>45113.91852</v>
      </c>
      <c r="D2936" s="15">
        <f>IFERROR(__xludf.DUMMYFUNCTION("""COMPUTED_VALUE"""),1.004)</f>
        <v>1.004</v>
      </c>
      <c r="E2936" s="16">
        <f>IFERROR(__xludf.DUMMYFUNCTION("""COMPUTED_VALUE"""),71.0)</f>
        <v>71</v>
      </c>
      <c r="F2936" s="19" t="str">
        <f>IFERROR(__xludf.DUMMYFUNCTION("""COMPUTED_VALUE"""),"BLACK")</f>
        <v>BLACK</v>
      </c>
      <c r="G2936" s="20" t="str">
        <f>IFERROR(__xludf.DUMMYFUNCTION("""COMPUTED_VALUE"""),"Uncle Sams Cider (04/04/2023)")</f>
        <v>Uncle Sams Cider (04/04/2023)</v>
      </c>
      <c r="H2936" s="19"/>
    </row>
    <row r="2937">
      <c r="A2937" s="9"/>
      <c r="B2937" s="15"/>
      <c r="C2937" s="9">
        <f>IFERROR(__xludf.DUMMYFUNCTION("""COMPUTED_VALUE"""),45113.9080551851)</f>
        <v>45113.90806</v>
      </c>
      <c r="D2937" s="15">
        <f>IFERROR(__xludf.DUMMYFUNCTION("""COMPUTED_VALUE"""),1.004)</f>
        <v>1.004</v>
      </c>
      <c r="E2937" s="16">
        <f>IFERROR(__xludf.DUMMYFUNCTION("""COMPUTED_VALUE"""),72.0)</f>
        <v>72</v>
      </c>
      <c r="F2937" s="19" t="str">
        <f>IFERROR(__xludf.DUMMYFUNCTION("""COMPUTED_VALUE"""),"BLACK")</f>
        <v>BLACK</v>
      </c>
      <c r="G2937" s="20" t="str">
        <f>IFERROR(__xludf.DUMMYFUNCTION("""COMPUTED_VALUE"""),"Uncle Sams Cider (04/04/2023)")</f>
        <v>Uncle Sams Cider (04/04/2023)</v>
      </c>
      <c r="H2937" s="19"/>
    </row>
    <row r="2938">
      <c r="A2938" s="9"/>
      <c r="B2938" s="15"/>
      <c r="C2938" s="9">
        <f>IFERROR(__xludf.DUMMYFUNCTION("""COMPUTED_VALUE"""),45113.8976210532)</f>
        <v>45113.89762</v>
      </c>
      <c r="D2938" s="15">
        <f>IFERROR(__xludf.DUMMYFUNCTION("""COMPUTED_VALUE"""),1.004)</f>
        <v>1.004</v>
      </c>
      <c r="E2938" s="16">
        <f>IFERROR(__xludf.DUMMYFUNCTION("""COMPUTED_VALUE"""),71.0)</f>
        <v>71</v>
      </c>
      <c r="F2938" s="19" t="str">
        <f>IFERROR(__xludf.DUMMYFUNCTION("""COMPUTED_VALUE"""),"BLACK")</f>
        <v>BLACK</v>
      </c>
      <c r="G2938" s="20" t="str">
        <f>IFERROR(__xludf.DUMMYFUNCTION("""COMPUTED_VALUE"""),"Uncle Sams Cider (04/04/2023)")</f>
        <v>Uncle Sams Cider (04/04/2023)</v>
      </c>
      <c r="H2938" s="19"/>
    </row>
    <row r="2939">
      <c r="A2939" s="9"/>
      <c r="B2939" s="15"/>
      <c r="C2939" s="9">
        <f>IFERROR(__xludf.DUMMYFUNCTION("""COMPUTED_VALUE"""),45113.8872003935)</f>
        <v>45113.8872</v>
      </c>
      <c r="D2939" s="15">
        <f>IFERROR(__xludf.DUMMYFUNCTION("""COMPUTED_VALUE"""),1.004)</f>
        <v>1.004</v>
      </c>
      <c r="E2939" s="16">
        <f>IFERROR(__xludf.DUMMYFUNCTION("""COMPUTED_VALUE"""),72.0)</f>
        <v>72</v>
      </c>
      <c r="F2939" s="19" t="str">
        <f>IFERROR(__xludf.DUMMYFUNCTION("""COMPUTED_VALUE"""),"BLACK")</f>
        <v>BLACK</v>
      </c>
      <c r="G2939" s="20" t="str">
        <f>IFERROR(__xludf.DUMMYFUNCTION("""COMPUTED_VALUE"""),"Uncle Sams Cider (04/04/2023)")</f>
        <v>Uncle Sams Cider (04/04/2023)</v>
      </c>
      <c r="H2939" s="19"/>
    </row>
    <row r="2940">
      <c r="A2940" s="9"/>
      <c r="B2940" s="15"/>
      <c r="C2940" s="9">
        <f>IFERROR(__xludf.DUMMYFUNCTION("""COMPUTED_VALUE"""),45113.8767782754)</f>
        <v>45113.87678</v>
      </c>
      <c r="D2940" s="15">
        <f>IFERROR(__xludf.DUMMYFUNCTION("""COMPUTED_VALUE"""),1.004)</f>
        <v>1.004</v>
      </c>
      <c r="E2940" s="16">
        <f>IFERROR(__xludf.DUMMYFUNCTION("""COMPUTED_VALUE"""),72.0)</f>
        <v>72</v>
      </c>
      <c r="F2940" s="19" t="str">
        <f>IFERROR(__xludf.DUMMYFUNCTION("""COMPUTED_VALUE"""),"BLACK")</f>
        <v>BLACK</v>
      </c>
      <c r="G2940" s="20" t="str">
        <f>IFERROR(__xludf.DUMMYFUNCTION("""COMPUTED_VALUE"""),"Uncle Sams Cider (04/04/2023)")</f>
        <v>Uncle Sams Cider (04/04/2023)</v>
      </c>
      <c r="H2940" s="19"/>
    </row>
    <row r="2941">
      <c r="A2941" s="9"/>
      <c r="B2941" s="15"/>
      <c r="C2941" s="9">
        <f>IFERROR(__xludf.DUMMYFUNCTION("""COMPUTED_VALUE"""),45113.8663568518)</f>
        <v>45113.86636</v>
      </c>
      <c r="D2941" s="15">
        <f>IFERROR(__xludf.DUMMYFUNCTION("""COMPUTED_VALUE"""),1.004)</f>
        <v>1.004</v>
      </c>
      <c r="E2941" s="16">
        <f>IFERROR(__xludf.DUMMYFUNCTION("""COMPUTED_VALUE"""),72.0)</f>
        <v>72</v>
      </c>
      <c r="F2941" s="19" t="str">
        <f>IFERROR(__xludf.DUMMYFUNCTION("""COMPUTED_VALUE"""),"BLACK")</f>
        <v>BLACK</v>
      </c>
      <c r="G2941" s="20" t="str">
        <f>IFERROR(__xludf.DUMMYFUNCTION("""COMPUTED_VALUE"""),"Uncle Sams Cider (04/04/2023)")</f>
        <v>Uncle Sams Cider (04/04/2023)</v>
      </c>
      <c r="H2941" s="19"/>
    </row>
    <row r="2942">
      <c r="A2942" s="9"/>
      <c r="B2942" s="15"/>
      <c r="C2942" s="9">
        <f>IFERROR(__xludf.DUMMYFUNCTION("""COMPUTED_VALUE"""),45113.8559362731)</f>
        <v>45113.85594</v>
      </c>
      <c r="D2942" s="15">
        <f>IFERROR(__xludf.DUMMYFUNCTION("""COMPUTED_VALUE"""),1.004)</f>
        <v>1.004</v>
      </c>
      <c r="E2942" s="16">
        <f>IFERROR(__xludf.DUMMYFUNCTION("""COMPUTED_VALUE"""),72.0)</f>
        <v>72</v>
      </c>
      <c r="F2942" s="19" t="str">
        <f>IFERROR(__xludf.DUMMYFUNCTION("""COMPUTED_VALUE"""),"BLACK")</f>
        <v>BLACK</v>
      </c>
      <c r="G2942" s="20" t="str">
        <f>IFERROR(__xludf.DUMMYFUNCTION("""COMPUTED_VALUE"""),"Uncle Sams Cider (04/04/2023)")</f>
        <v>Uncle Sams Cider (04/04/2023)</v>
      </c>
      <c r="H2942" s="19"/>
    </row>
    <row r="2943">
      <c r="A2943" s="9"/>
      <c r="B2943" s="15"/>
      <c r="C2943" s="9">
        <f>IFERROR(__xludf.DUMMYFUNCTION("""COMPUTED_VALUE"""),45113.845515625)</f>
        <v>45113.84552</v>
      </c>
      <c r="D2943" s="15">
        <f>IFERROR(__xludf.DUMMYFUNCTION("""COMPUTED_VALUE"""),1.004)</f>
        <v>1.004</v>
      </c>
      <c r="E2943" s="16">
        <f>IFERROR(__xludf.DUMMYFUNCTION("""COMPUTED_VALUE"""),71.0)</f>
        <v>71</v>
      </c>
      <c r="F2943" s="19" t="str">
        <f>IFERROR(__xludf.DUMMYFUNCTION("""COMPUTED_VALUE"""),"BLACK")</f>
        <v>BLACK</v>
      </c>
      <c r="G2943" s="20" t="str">
        <f>IFERROR(__xludf.DUMMYFUNCTION("""COMPUTED_VALUE"""),"Uncle Sams Cider (04/04/2023)")</f>
        <v>Uncle Sams Cider (04/04/2023)</v>
      </c>
      <c r="H2943" s="19"/>
    </row>
    <row r="2944">
      <c r="A2944" s="9"/>
      <c r="B2944" s="15"/>
      <c r="C2944" s="9">
        <f>IFERROR(__xludf.DUMMYFUNCTION("""COMPUTED_VALUE"""),45113.8350821643)</f>
        <v>45113.83508</v>
      </c>
      <c r="D2944" s="15">
        <f>IFERROR(__xludf.DUMMYFUNCTION("""COMPUTED_VALUE"""),1.004)</f>
        <v>1.004</v>
      </c>
      <c r="E2944" s="16">
        <f>IFERROR(__xludf.DUMMYFUNCTION("""COMPUTED_VALUE"""),72.0)</f>
        <v>72</v>
      </c>
      <c r="F2944" s="19" t="str">
        <f>IFERROR(__xludf.DUMMYFUNCTION("""COMPUTED_VALUE"""),"BLACK")</f>
        <v>BLACK</v>
      </c>
      <c r="G2944" s="20" t="str">
        <f>IFERROR(__xludf.DUMMYFUNCTION("""COMPUTED_VALUE"""),"Uncle Sams Cider (04/04/2023)")</f>
        <v>Uncle Sams Cider (04/04/2023)</v>
      </c>
      <c r="H2944" s="19"/>
    </row>
    <row r="2945">
      <c r="A2945" s="9"/>
      <c r="B2945" s="15"/>
      <c r="C2945" s="9">
        <f>IFERROR(__xludf.DUMMYFUNCTION("""COMPUTED_VALUE"""),45113.8246469213)</f>
        <v>45113.82465</v>
      </c>
      <c r="D2945" s="15">
        <f>IFERROR(__xludf.DUMMYFUNCTION("""COMPUTED_VALUE"""),1.004)</f>
        <v>1.004</v>
      </c>
      <c r="E2945" s="16">
        <f>IFERROR(__xludf.DUMMYFUNCTION("""COMPUTED_VALUE"""),72.0)</f>
        <v>72</v>
      </c>
      <c r="F2945" s="19" t="str">
        <f>IFERROR(__xludf.DUMMYFUNCTION("""COMPUTED_VALUE"""),"BLACK")</f>
        <v>BLACK</v>
      </c>
      <c r="G2945" s="20" t="str">
        <f>IFERROR(__xludf.DUMMYFUNCTION("""COMPUTED_VALUE"""),"Uncle Sams Cider (04/04/2023)")</f>
        <v>Uncle Sams Cider (04/04/2023)</v>
      </c>
      <c r="H2945" s="19"/>
    </row>
    <row r="2946">
      <c r="A2946" s="9"/>
      <c r="B2946" s="15"/>
      <c r="C2946" s="9">
        <f>IFERROR(__xludf.DUMMYFUNCTION("""COMPUTED_VALUE"""),45113.8142265162)</f>
        <v>45113.81423</v>
      </c>
      <c r="D2946" s="15">
        <f>IFERROR(__xludf.DUMMYFUNCTION("""COMPUTED_VALUE"""),1.004)</f>
        <v>1.004</v>
      </c>
      <c r="E2946" s="16">
        <f>IFERROR(__xludf.DUMMYFUNCTION("""COMPUTED_VALUE"""),72.0)</f>
        <v>72</v>
      </c>
      <c r="F2946" s="19" t="str">
        <f>IFERROR(__xludf.DUMMYFUNCTION("""COMPUTED_VALUE"""),"BLACK")</f>
        <v>BLACK</v>
      </c>
      <c r="G2946" s="20" t="str">
        <f>IFERROR(__xludf.DUMMYFUNCTION("""COMPUTED_VALUE"""),"Uncle Sams Cider (04/04/2023)")</f>
        <v>Uncle Sams Cider (04/04/2023)</v>
      </c>
      <c r="H2946" s="19"/>
    </row>
    <row r="2947">
      <c r="A2947" s="9"/>
      <c r="B2947" s="15"/>
      <c r="C2947" s="9">
        <f>IFERROR(__xludf.DUMMYFUNCTION("""COMPUTED_VALUE"""),45113.8037938888)</f>
        <v>45113.80379</v>
      </c>
      <c r="D2947" s="15">
        <f>IFERROR(__xludf.DUMMYFUNCTION("""COMPUTED_VALUE"""),1.004)</f>
        <v>1.004</v>
      </c>
      <c r="E2947" s="16">
        <f>IFERROR(__xludf.DUMMYFUNCTION("""COMPUTED_VALUE"""),72.0)</f>
        <v>72</v>
      </c>
      <c r="F2947" s="19" t="str">
        <f>IFERROR(__xludf.DUMMYFUNCTION("""COMPUTED_VALUE"""),"BLACK")</f>
        <v>BLACK</v>
      </c>
      <c r="G2947" s="20" t="str">
        <f>IFERROR(__xludf.DUMMYFUNCTION("""COMPUTED_VALUE"""),"Uncle Sams Cider (04/04/2023)")</f>
        <v>Uncle Sams Cider (04/04/2023)</v>
      </c>
      <c r="H2947" s="19"/>
    </row>
    <row r="2948">
      <c r="A2948" s="9"/>
      <c r="B2948" s="15"/>
      <c r="C2948" s="9">
        <f>IFERROR(__xludf.DUMMYFUNCTION("""COMPUTED_VALUE"""),45113.7933734027)</f>
        <v>45113.79337</v>
      </c>
      <c r="D2948" s="15">
        <f>IFERROR(__xludf.DUMMYFUNCTION("""COMPUTED_VALUE"""),1.004)</f>
        <v>1.004</v>
      </c>
      <c r="E2948" s="16">
        <f>IFERROR(__xludf.DUMMYFUNCTION("""COMPUTED_VALUE"""),72.0)</f>
        <v>72</v>
      </c>
      <c r="F2948" s="19" t="str">
        <f>IFERROR(__xludf.DUMMYFUNCTION("""COMPUTED_VALUE"""),"BLACK")</f>
        <v>BLACK</v>
      </c>
      <c r="G2948" s="20" t="str">
        <f>IFERROR(__xludf.DUMMYFUNCTION("""COMPUTED_VALUE"""),"Uncle Sams Cider (04/04/2023)")</f>
        <v>Uncle Sams Cider (04/04/2023)</v>
      </c>
      <c r="H2948" s="19"/>
    </row>
    <row r="2949">
      <c r="A2949" s="9"/>
      <c r="B2949" s="15"/>
      <c r="C2949" s="9">
        <f>IFERROR(__xludf.DUMMYFUNCTION("""COMPUTED_VALUE"""),45113.7829515625)</f>
        <v>45113.78295</v>
      </c>
      <c r="D2949" s="15">
        <f>IFERROR(__xludf.DUMMYFUNCTION("""COMPUTED_VALUE"""),1.004)</f>
        <v>1.004</v>
      </c>
      <c r="E2949" s="16">
        <f>IFERROR(__xludf.DUMMYFUNCTION("""COMPUTED_VALUE"""),72.0)</f>
        <v>72</v>
      </c>
      <c r="F2949" s="19" t="str">
        <f>IFERROR(__xludf.DUMMYFUNCTION("""COMPUTED_VALUE"""),"BLACK")</f>
        <v>BLACK</v>
      </c>
      <c r="G2949" s="20" t="str">
        <f>IFERROR(__xludf.DUMMYFUNCTION("""COMPUTED_VALUE"""),"Uncle Sams Cider (04/04/2023)")</f>
        <v>Uncle Sams Cider (04/04/2023)</v>
      </c>
      <c r="H2949" s="19"/>
    </row>
    <row r="2950">
      <c r="A2950" s="9"/>
      <c r="B2950" s="15"/>
      <c r="C2950" s="9">
        <f>IFERROR(__xludf.DUMMYFUNCTION("""COMPUTED_VALUE"""),45113.772520162)</f>
        <v>45113.77252</v>
      </c>
      <c r="D2950" s="15">
        <f>IFERROR(__xludf.DUMMYFUNCTION("""COMPUTED_VALUE"""),1.004)</f>
        <v>1.004</v>
      </c>
      <c r="E2950" s="16">
        <f>IFERROR(__xludf.DUMMYFUNCTION("""COMPUTED_VALUE"""),72.0)</f>
        <v>72</v>
      </c>
      <c r="F2950" s="19" t="str">
        <f>IFERROR(__xludf.DUMMYFUNCTION("""COMPUTED_VALUE"""),"BLACK")</f>
        <v>BLACK</v>
      </c>
      <c r="G2950" s="20" t="str">
        <f>IFERROR(__xludf.DUMMYFUNCTION("""COMPUTED_VALUE"""),"Uncle Sams Cider (04/04/2023)")</f>
        <v>Uncle Sams Cider (04/04/2023)</v>
      </c>
      <c r="H2950" s="19"/>
    </row>
    <row r="2951">
      <c r="A2951" s="9"/>
      <c r="B2951" s="15"/>
      <c r="C2951" s="9">
        <f>IFERROR(__xludf.DUMMYFUNCTION("""COMPUTED_VALUE"""),45113.7620996875)</f>
        <v>45113.7621</v>
      </c>
      <c r="D2951" s="15">
        <f>IFERROR(__xludf.DUMMYFUNCTION("""COMPUTED_VALUE"""),1.004)</f>
        <v>1.004</v>
      </c>
      <c r="E2951" s="16">
        <f>IFERROR(__xludf.DUMMYFUNCTION("""COMPUTED_VALUE"""),72.0)</f>
        <v>72</v>
      </c>
      <c r="F2951" s="19" t="str">
        <f>IFERROR(__xludf.DUMMYFUNCTION("""COMPUTED_VALUE"""),"BLACK")</f>
        <v>BLACK</v>
      </c>
      <c r="G2951" s="20" t="str">
        <f>IFERROR(__xludf.DUMMYFUNCTION("""COMPUTED_VALUE"""),"Uncle Sams Cider (04/04/2023)")</f>
        <v>Uncle Sams Cider (04/04/2023)</v>
      </c>
      <c r="H2951" s="19"/>
    </row>
    <row r="2952">
      <c r="A2952" s="9"/>
      <c r="B2952" s="15"/>
      <c r="C2952" s="9">
        <f>IFERROR(__xludf.DUMMYFUNCTION("""COMPUTED_VALUE"""),45113.7516555555)</f>
        <v>45113.75166</v>
      </c>
      <c r="D2952" s="15">
        <f>IFERROR(__xludf.DUMMYFUNCTION("""COMPUTED_VALUE"""),1.004)</f>
        <v>1.004</v>
      </c>
      <c r="E2952" s="16">
        <f>IFERROR(__xludf.DUMMYFUNCTION("""COMPUTED_VALUE"""),72.0)</f>
        <v>72</v>
      </c>
      <c r="F2952" s="19" t="str">
        <f>IFERROR(__xludf.DUMMYFUNCTION("""COMPUTED_VALUE"""),"BLACK")</f>
        <v>BLACK</v>
      </c>
      <c r="G2952" s="20" t="str">
        <f>IFERROR(__xludf.DUMMYFUNCTION("""COMPUTED_VALUE"""),"Uncle Sams Cider (04/04/2023)")</f>
        <v>Uncle Sams Cider (04/04/2023)</v>
      </c>
      <c r="H2952" s="19"/>
    </row>
    <row r="2953">
      <c r="A2953" s="9"/>
      <c r="B2953" s="15"/>
      <c r="C2953" s="9">
        <f>IFERROR(__xludf.DUMMYFUNCTION("""COMPUTED_VALUE"""),45113.741223831)</f>
        <v>45113.74122</v>
      </c>
      <c r="D2953" s="15">
        <f>IFERROR(__xludf.DUMMYFUNCTION("""COMPUTED_VALUE"""),1.004)</f>
        <v>1.004</v>
      </c>
      <c r="E2953" s="16">
        <f>IFERROR(__xludf.DUMMYFUNCTION("""COMPUTED_VALUE"""),72.0)</f>
        <v>72</v>
      </c>
      <c r="F2953" s="19" t="str">
        <f>IFERROR(__xludf.DUMMYFUNCTION("""COMPUTED_VALUE"""),"BLACK")</f>
        <v>BLACK</v>
      </c>
      <c r="G2953" s="20" t="str">
        <f>IFERROR(__xludf.DUMMYFUNCTION("""COMPUTED_VALUE"""),"Uncle Sams Cider (04/04/2023)")</f>
        <v>Uncle Sams Cider (04/04/2023)</v>
      </c>
      <c r="H2953" s="19"/>
    </row>
    <row r="2954">
      <c r="A2954" s="9"/>
      <c r="B2954" s="15"/>
      <c r="C2954" s="9">
        <f>IFERROR(__xludf.DUMMYFUNCTION("""COMPUTED_VALUE"""),45113.7308028356)</f>
        <v>45113.7308</v>
      </c>
      <c r="D2954" s="15">
        <f>IFERROR(__xludf.DUMMYFUNCTION("""COMPUTED_VALUE"""),1.004)</f>
        <v>1.004</v>
      </c>
      <c r="E2954" s="16">
        <f>IFERROR(__xludf.DUMMYFUNCTION("""COMPUTED_VALUE"""),72.0)</f>
        <v>72</v>
      </c>
      <c r="F2954" s="19" t="str">
        <f>IFERROR(__xludf.DUMMYFUNCTION("""COMPUTED_VALUE"""),"BLACK")</f>
        <v>BLACK</v>
      </c>
      <c r="G2954" s="20" t="str">
        <f>IFERROR(__xludf.DUMMYFUNCTION("""COMPUTED_VALUE"""),"Uncle Sams Cider (04/04/2023)")</f>
        <v>Uncle Sams Cider (04/04/2023)</v>
      </c>
      <c r="H2954" s="19"/>
    </row>
    <row r="2955">
      <c r="A2955" s="9"/>
      <c r="B2955" s="15"/>
      <c r="C2955" s="9">
        <f>IFERROR(__xludf.DUMMYFUNCTION("""COMPUTED_VALUE"""),45113.720359618)</f>
        <v>45113.72036</v>
      </c>
      <c r="D2955" s="15">
        <f>IFERROR(__xludf.DUMMYFUNCTION("""COMPUTED_VALUE"""),1.004)</f>
        <v>1.004</v>
      </c>
      <c r="E2955" s="16">
        <f>IFERROR(__xludf.DUMMYFUNCTION("""COMPUTED_VALUE"""),72.0)</f>
        <v>72</v>
      </c>
      <c r="F2955" s="19" t="str">
        <f>IFERROR(__xludf.DUMMYFUNCTION("""COMPUTED_VALUE"""),"BLACK")</f>
        <v>BLACK</v>
      </c>
      <c r="G2955" s="20" t="str">
        <f>IFERROR(__xludf.DUMMYFUNCTION("""COMPUTED_VALUE"""),"Uncle Sams Cider (04/04/2023)")</f>
        <v>Uncle Sams Cider (04/04/2023)</v>
      </c>
      <c r="H2955" s="19"/>
    </row>
    <row r="2956">
      <c r="A2956" s="9"/>
      <c r="B2956" s="15"/>
      <c r="C2956" s="9">
        <f>IFERROR(__xludf.DUMMYFUNCTION("""COMPUTED_VALUE"""),45113.7099385879)</f>
        <v>45113.70994</v>
      </c>
      <c r="D2956" s="15">
        <f>IFERROR(__xludf.DUMMYFUNCTION("""COMPUTED_VALUE"""),1.004)</f>
        <v>1.004</v>
      </c>
      <c r="E2956" s="16">
        <f>IFERROR(__xludf.DUMMYFUNCTION("""COMPUTED_VALUE"""),72.0)</f>
        <v>72</v>
      </c>
      <c r="F2956" s="19" t="str">
        <f>IFERROR(__xludf.DUMMYFUNCTION("""COMPUTED_VALUE"""),"BLACK")</f>
        <v>BLACK</v>
      </c>
      <c r="G2956" s="20" t="str">
        <f>IFERROR(__xludf.DUMMYFUNCTION("""COMPUTED_VALUE"""),"Uncle Sams Cider (04/04/2023)")</f>
        <v>Uncle Sams Cider (04/04/2023)</v>
      </c>
      <c r="H2956" s="19"/>
    </row>
    <row r="2957">
      <c r="A2957" s="9"/>
      <c r="B2957" s="15"/>
      <c r="C2957" s="9">
        <f>IFERROR(__xludf.DUMMYFUNCTION("""COMPUTED_VALUE"""),45113.6995180671)</f>
        <v>45113.69952</v>
      </c>
      <c r="D2957" s="15">
        <f>IFERROR(__xludf.DUMMYFUNCTION("""COMPUTED_VALUE"""),1.004)</f>
        <v>1.004</v>
      </c>
      <c r="E2957" s="16">
        <f>IFERROR(__xludf.DUMMYFUNCTION("""COMPUTED_VALUE"""),72.0)</f>
        <v>72</v>
      </c>
      <c r="F2957" s="19" t="str">
        <f>IFERROR(__xludf.DUMMYFUNCTION("""COMPUTED_VALUE"""),"BLACK")</f>
        <v>BLACK</v>
      </c>
      <c r="G2957" s="20" t="str">
        <f>IFERROR(__xludf.DUMMYFUNCTION("""COMPUTED_VALUE"""),"Uncle Sams Cider (04/04/2023)")</f>
        <v>Uncle Sams Cider (04/04/2023)</v>
      </c>
      <c r="H2957" s="19"/>
    </row>
    <row r="2958">
      <c r="A2958" s="9"/>
      <c r="B2958" s="15"/>
      <c r="C2958" s="9">
        <f>IFERROR(__xludf.DUMMYFUNCTION("""COMPUTED_VALUE"""),45113.6890980324)</f>
        <v>45113.6891</v>
      </c>
      <c r="D2958" s="15">
        <f>IFERROR(__xludf.DUMMYFUNCTION("""COMPUTED_VALUE"""),1.004)</f>
        <v>1.004</v>
      </c>
      <c r="E2958" s="16">
        <f>IFERROR(__xludf.DUMMYFUNCTION("""COMPUTED_VALUE"""),72.0)</f>
        <v>72</v>
      </c>
      <c r="F2958" s="19" t="str">
        <f>IFERROR(__xludf.DUMMYFUNCTION("""COMPUTED_VALUE"""),"BLACK")</f>
        <v>BLACK</v>
      </c>
      <c r="G2958" s="20" t="str">
        <f>IFERROR(__xludf.DUMMYFUNCTION("""COMPUTED_VALUE"""),"Uncle Sams Cider (04/04/2023)")</f>
        <v>Uncle Sams Cider (04/04/2023)</v>
      </c>
      <c r="H2958" s="19"/>
    </row>
    <row r="2959">
      <c r="A2959" s="9"/>
      <c r="B2959" s="15"/>
      <c r="C2959" s="9">
        <f>IFERROR(__xludf.DUMMYFUNCTION("""COMPUTED_VALUE"""),45113.6786652083)</f>
        <v>45113.67867</v>
      </c>
      <c r="D2959" s="15">
        <f>IFERROR(__xludf.DUMMYFUNCTION("""COMPUTED_VALUE"""),1.004)</f>
        <v>1.004</v>
      </c>
      <c r="E2959" s="16">
        <f>IFERROR(__xludf.DUMMYFUNCTION("""COMPUTED_VALUE"""),72.0)</f>
        <v>72</v>
      </c>
      <c r="F2959" s="19" t="str">
        <f>IFERROR(__xludf.DUMMYFUNCTION("""COMPUTED_VALUE"""),"BLACK")</f>
        <v>BLACK</v>
      </c>
      <c r="G2959" s="20" t="str">
        <f>IFERROR(__xludf.DUMMYFUNCTION("""COMPUTED_VALUE"""),"Uncle Sams Cider (04/04/2023)")</f>
        <v>Uncle Sams Cider (04/04/2023)</v>
      </c>
      <c r="H2959" s="19"/>
    </row>
    <row r="2960">
      <c r="A2960" s="9"/>
      <c r="B2960" s="15"/>
      <c r="C2960" s="9">
        <f>IFERROR(__xludf.DUMMYFUNCTION("""COMPUTED_VALUE"""),45113.6682203472)</f>
        <v>45113.66822</v>
      </c>
      <c r="D2960" s="15">
        <f>IFERROR(__xludf.DUMMYFUNCTION("""COMPUTED_VALUE"""),1.004)</f>
        <v>1.004</v>
      </c>
      <c r="E2960" s="16">
        <f>IFERROR(__xludf.DUMMYFUNCTION("""COMPUTED_VALUE"""),72.0)</f>
        <v>72</v>
      </c>
      <c r="F2960" s="19" t="str">
        <f>IFERROR(__xludf.DUMMYFUNCTION("""COMPUTED_VALUE"""),"BLACK")</f>
        <v>BLACK</v>
      </c>
      <c r="G2960" s="20" t="str">
        <f>IFERROR(__xludf.DUMMYFUNCTION("""COMPUTED_VALUE"""),"Uncle Sams Cider (04/04/2023)")</f>
        <v>Uncle Sams Cider (04/04/2023)</v>
      </c>
      <c r="H2960" s="19"/>
    </row>
    <row r="2961">
      <c r="A2961" s="9"/>
      <c r="B2961" s="15"/>
      <c r="C2961" s="9">
        <f>IFERROR(__xludf.DUMMYFUNCTION("""COMPUTED_VALUE"""),45113.6577889004)</f>
        <v>45113.65779</v>
      </c>
      <c r="D2961" s="15">
        <f>IFERROR(__xludf.DUMMYFUNCTION("""COMPUTED_VALUE"""),1.004)</f>
        <v>1.004</v>
      </c>
      <c r="E2961" s="16">
        <f>IFERROR(__xludf.DUMMYFUNCTION("""COMPUTED_VALUE"""),72.0)</f>
        <v>72</v>
      </c>
      <c r="F2961" s="19" t="str">
        <f>IFERROR(__xludf.DUMMYFUNCTION("""COMPUTED_VALUE"""),"BLACK")</f>
        <v>BLACK</v>
      </c>
      <c r="G2961" s="20" t="str">
        <f>IFERROR(__xludf.DUMMYFUNCTION("""COMPUTED_VALUE"""),"Uncle Sams Cider (04/04/2023)")</f>
        <v>Uncle Sams Cider (04/04/2023)</v>
      </c>
      <c r="H2961" s="19"/>
    </row>
    <row r="2962">
      <c r="A2962" s="9"/>
      <c r="B2962" s="15"/>
      <c r="C2962" s="9">
        <f>IFERROR(__xludf.DUMMYFUNCTION("""COMPUTED_VALUE"""),45113.6473672106)</f>
        <v>45113.64737</v>
      </c>
      <c r="D2962" s="15">
        <f>IFERROR(__xludf.DUMMYFUNCTION("""COMPUTED_VALUE"""),1.004)</f>
        <v>1.004</v>
      </c>
      <c r="E2962" s="16">
        <f>IFERROR(__xludf.DUMMYFUNCTION("""COMPUTED_VALUE"""),72.0)</f>
        <v>72</v>
      </c>
      <c r="F2962" s="19" t="str">
        <f>IFERROR(__xludf.DUMMYFUNCTION("""COMPUTED_VALUE"""),"BLACK")</f>
        <v>BLACK</v>
      </c>
      <c r="G2962" s="20" t="str">
        <f>IFERROR(__xludf.DUMMYFUNCTION("""COMPUTED_VALUE"""),"Uncle Sams Cider (04/04/2023)")</f>
        <v>Uncle Sams Cider (04/04/2023)</v>
      </c>
      <c r="H2962" s="19"/>
    </row>
    <row r="2963">
      <c r="A2963" s="9"/>
      <c r="B2963" s="15"/>
      <c r="C2963" s="9">
        <f>IFERROR(__xludf.DUMMYFUNCTION("""COMPUTED_VALUE"""),45113.6369466898)</f>
        <v>45113.63695</v>
      </c>
      <c r="D2963" s="15">
        <f>IFERROR(__xludf.DUMMYFUNCTION("""COMPUTED_VALUE"""),1.004)</f>
        <v>1.004</v>
      </c>
      <c r="E2963" s="16">
        <f>IFERROR(__xludf.DUMMYFUNCTION("""COMPUTED_VALUE"""),72.0)</f>
        <v>72</v>
      </c>
      <c r="F2963" s="19" t="str">
        <f>IFERROR(__xludf.DUMMYFUNCTION("""COMPUTED_VALUE"""),"BLACK")</f>
        <v>BLACK</v>
      </c>
      <c r="G2963" s="20" t="str">
        <f>IFERROR(__xludf.DUMMYFUNCTION("""COMPUTED_VALUE"""),"Uncle Sams Cider (04/04/2023)")</f>
        <v>Uncle Sams Cider (04/04/2023)</v>
      </c>
      <c r="H2963" s="19"/>
    </row>
    <row r="2964">
      <c r="A2964" s="9"/>
      <c r="B2964" s="15"/>
      <c r="C2964" s="9">
        <f>IFERROR(__xludf.DUMMYFUNCTION("""COMPUTED_VALUE"""),45113.6265248495)</f>
        <v>45113.62652</v>
      </c>
      <c r="D2964" s="15">
        <f>IFERROR(__xludf.DUMMYFUNCTION("""COMPUTED_VALUE"""),1.004)</f>
        <v>1.004</v>
      </c>
      <c r="E2964" s="16">
        <f>IFERROR(__xludf.DUMMYFUNCTION("""COMPUTED_VALUE"""),72.0)</f>
        <v>72</v>
      </c>
      <c r="F2964" s="19" t="str">
        <f>IFERROR(__xludf.DUMMYFUNCTION("""COMPUTED_VALUE"""),"BLACK")</f>
        <v>BLACK</v>
      </c>
      <c r="G2964" s="20" t="str">
        <f>IFERROR(__xludf.DUMMYFUNCTION("""COMPUTED_VALUE"""),"Uncle Sams Cider (04/04/2023)")</f>
        <v>Uncle Sams Cider (04/04/2023)</v>
      </c>
      <c r="H2964" s="19"/>
    </row>
    <row r="2965">
      <c r="A2965" s="9"/>
      <c r="B2965" s="15"/>
      <c r="C2965" s="9">
        <f>IFERROR(__xludf.DUMMYFUNCTION("""COMPUTED_VALUE"""),45113.6161023032)</f>
        <v>45113.6161</v>
      </c>
      <c r="D2965" s="15">
        <f>IFERROR(__xludf.DUMMYFUNCTION("""COMPUTED_VALUE"""),1.004)</f>
        <v>1.004</v>
      </c>
      <c r="E2965" s="16">
        <f>IFERROR(__xludf.DUMMYFUNCTION("""COMPUTED_VALUE"""),72.0)</f>
        <v>72</v>
      </c>
      <c r="F2965" s="19" t="str">
        <f>IFERROR(__xludf.DUMMYFUNCTION("""COMPUTED_VALUE"""),"BLACK")</f>
        <v>BLACK</v>
      </c>
      <c r="G2965" s="20" t="str">
        <f>IFERROR(__xludf.DUMMYFUNCTION("""COMPUTED_VALUE"""),"Uncle Sams Cider (04/04/2023)")</f>
        <v>Uncle Sams Cider (04/04/2023)</v>
      </c>
      <c r="H2965" s="19"/>
    </row>
    <row r="2966">
      <c r="A2966" s="9"/>
      <c r="B2966" s="15"/>
      <c r="C2966" s="9">
        <f>IFERROR(__xludf.DUMMYFUNCTION("""COMPUTED_VALUE"""),45113.6056799421)</f>
        <v>45113.60568</v>
      </c>
      <c r="D2966" s="15">
        <f>IFERROR(__xludf.DUMMYFUNCTION("""COMPUTED_VALUE"""),1.004)</f>
        <v>1.004</v>
      </c>
      <c r="E2966" s="16">
        <f>IFERROR(__xludf.DUMMYFUNCTION("""COMPUTED_VALUE"""),72.0)</f>
        <v>72</v>
      </c>
      <c r="F2966" s="19" t="str">
        <f>IFERROR(__xludf.DUMMYFUNCTION("""COMPUTED_VALUE"""),"BLACK")</f>
        <v>BLACK</v>
      </c>
      <c r="G2966" s="20" t="str">
        <f>IFERROR(__xludf.DUMMYFUNCTION("""COMPUTED_VALUE"""),"Uncle Sams Cider (04/04/2023)")</f>
        <v>Uncle Sams Cider (04/04/2023)</v>
      </c>
      <c r="H2966" s="19"/>
    </row>
    <row r="2967">
      <c r="A2967" s="9"/>
      <c r="B2967" s="15"/>
      <c r="C2967" s="9">
        <f>IFERROR(__xludf.DUMMYFUNCTION("""COMPUTED_VALUE"""),45113.5952575115)</f>
        <v>45113.59526</v>
      </c>
      <c r="D2967" s="15">
        <f>IFERROR(__xludf.DUMMYFUNCTION("""COMPUTED_VALUE"""),1.004)</f>
        <v>1.004</v>
      </c>
      <c r="E2967" s="16">
        <f>IFERROR(__xludf.DUMMYFUNCTION("""COMPUTED_VALUE"""),72.0)</f>
        <v>72</v>
      </c>
      <c r="F2967" s="19" t="str">
        <f>IFERROR(__xludf.DUMMYFUNCTION("""COMPUTED_VALUE"""),"BLACK")</f>
        <v>BLACK</v>
      </c>
      <c r="G2967" s="20" t="str">
        <f>IFERROR(__xludf.DUMMYFUNCTION("""COMPUTED_VALUE"""),"Uncle Sams Cider (04/04/2023)")</f>
        <v>Uncle Sams Cider (04/04/2023)</v>
      </c>
      <c r="H2967" s="19"/>
    </row>
    <row r="2968">
      <c r="A2968" s="9"/>
      <c r="B2968" s="15"/>
      <c r="C2968" s="9">
        <f>IFERROR(__xludf.DUMMYFUNCTION("""COMPUTED_VALUE"""),45113.5848354976)</f>
        <v>45113.58484</v>
      </c>
      <c r="D2968" s="15">
        <f>IFERROR(__xludf.DUMMYFUNCTION("""COMPUTED_VALUE"""),1.004)</f>
        <v>1.004</v>
      </c>
      <c r="E2968" s="16">
        <f>IFERROR(__xludf.DUMMYFUNCTION("""COMPUTED_VALUE"""),72.0)</f>
        <v>72</v>
      </c>
      <c r="F2968" s="19" t="str">
        <f>IFERROR(__xludf.DUMMYFUNCTION("""COMPUTED_VALUE"""),"BLACK")</f>
        <v>BLACK</v>
      </c>
      <c r="G2968" s="20" t="str">
        <f>IFERROR(__xludf.DUMMYFUNCTION("""COMPUTED_VALUE"""),"Uncle Sams Cider (04/04/2023)")</f>
        <v>Uncle Sams Cider (04/04/2023)</v>
      </c>
      <c r="H2968" s="19"/>
    </row>
    <row r="2969">
      <c r="A2969" s="9"/>
      <c r="B2969" s="15"/>
      <c r="C2969" s="9">
        <f>IFERROR(__xludf.DUMMYFUNCTION("""COMPUTED_VALUE"""),45113.5744132176)</f>
        <v>45113.57441</v>
      </c>
      <c r="D2969" s="15">
        <f>IFERROR(__xludf.DUMMYFUNCTION("""COMPUTED_VALUE"""),1.004)</f>
        <v>1.004</v>
      </c>
      <c r="E2969" s="16">
        <f>IFERROR(__xludf.DUMMYFUNCTION("""COMPUTED_VALUE"""),72.0)</f>
        <v>72</v>
      </c>
      <c r="F2969" s="19" t="str">
        <f>IFERROR(__xludf.DUMMYFUNCTION("""COMPUTED_VALUE"""),"BLACK")</f>
        <v>BLACK</v>
      </c>
      <c r="G2969" s="20" t="str">
        <f>IFERROR(__xludf.DUMMYFUNCTION("""COMPUTED_VALUE"""),"Uncle Sams Cider (04/04/2023)")</f>
        <v>Uncle Sams Cider (04/04/2023)</v>
      </c>
      <c r="H2969" s="19"/>
    </row>
    <row r="2970">
      <c r="A2970" s="9"/>
      <c r="B2970" s="15"/>
      <c r="C2970" s="9">
        <f>IFERROR(__xludf.DUMMYFUNCTION("""COMPUTED_VALUE"""),45113.5639914699)</f>
        <v>45113.56399</v>
      </c>
      <c r="D2970" s="15">
        <f>IFERROR(__xludf.DUMMYFUNCTION("""COMPUTED_VALUE"""),1.004)</f>
        <v>1.004</v>
      </c>
      <c r="E2970" s="16">
        <f>IFERROR(__xludf.DUMMYFUNCTION("""COMPUTED_VALUE"""),72.0)</f>
        <v>72</v>
      </c>
      <c r="F2970" s="19" t="str">
        <f>IFERROR(__xludf.DUMMYFUNCTION("""COMPUTED_VALUE"""),"BLACK")</f>
        <v>BLACK</v>
      </c>
      <c r="G2970" s="20" t="str">
        <f>IFERROR(__xludf.DUMMYFUNCTION("""COMPUTED_VALUE"""),"Uncle Sams Cider (04/04/2023)")</f>
        <v>Uncle Sams Cider (04/04/2023)</v>
      </c>
      <c r="H2970" s="19"/>
    </row>
    <row r="2971">
      <c r="A2971" s="9"/>
      <c r="B2971" s="15"/>
      <c r="C2971" s="9">
        <f>IFERROR(__xludf.DUMMYFUNCTION("""COMPUTED_VALUE"""),45113.5535459375)</f>
        <v>45113.55355</v>
      </c>
      <c r="D2971" s="15">
        <f>IFERROR(__xludf.DUMMYFUNCTION("""COMPUTED_VALUE"""),1.004)</f>
        <v>1.004</v>
      </c>
      <c r="E2971" s="16">
        <f>IFERROR(__xludf.DUMMYFUNCTION("""COMPUTED_VALUE"""),72.0)</f>
        <v>72</v>
      </c>
      <c r="F2971" s="19" t="str">
        <f>IFERROR(__xludf.DUMMYFUNCTION("""COMPUTED_VALUE"""),"BLACK")</f>
        <v>BLACK</v>
      </c>
      <c r="G2971" s="20" t="str">
        <f>IFERROR(__xludf.DUMMYFUNCTION("""COMPUTED_VALUE"""),"Uncle Sams Cider (04/04/2023)")</f>
        <v>Uncle Sams Cider (04/04/2023)</v>
      </c>
      <c r="H2971" s="19"/>
    </row>
    <row r="2972">
      <c r="A2972" s="9"/>
      <c r="B2972" s="15"/>
      <c r="C2972" s="9">
        <f>IFERROR(__xludf.DUMMYFUNCTION("""COMPUTED_VALUE"""),45113.54312478)</f>
        <v>45113.54312</v>
      </c>
      <c r="D2972" s="15">
        <f>IFERROR(__xludf.DUMMYFUNCTION("""COMPUTED_VALUE"""),1.004)</f>
        <v>1.004</v>
      </c>
      <c r="E2972" s="16">
        <f>IFERROR(__xludf.DUMMYFUNCTION("""COMPUTED_VALUE"""),72.0)</f>
        <v>72</v>
      </c>
      <c r="F2972" s="19" t="str">
        <f>IFERROR(__xludf.DUMMYFUNCTION("""COMPUTED_VALUE"""),"BLACK")</f>
        <v>BLACK</v>
      </c>
      <c r="G2972" s="20" t="str">
        <f>IFERROR(__xludf.DUMMYFUNCTION("""COMPUTED_VALUE"""),"Uncle Sams Cider (04/04/2023)")</f>
        <v>Uncle Sams Cider (04/04/2023)</v>
      </c>
      <c r="H2972" s="19"/>
    </row>
    <row r="2973">
      <c r="A2973" s="9"/>
      <c r="B2973" s="15"/>
      <c r="C2973" s="9">
        <f>IFERROR(__xludf.DUMMYFUNCTION("""COMPUTED_VALUE"""),45113.5327022569)</f>
        <v>45113.5327</v>
      </c>
      <c r="D2973" s="15">
        <f>IFERROR(__xludf.DUMMYFUNCTION("""COMPUTED_VALUE"""),1.004)</f>
        <v>1.004</v>
      </c>
      <c r="E2973" s="16">
        <f>IFERROR(__xludf.DUMMYFUNCTION("""COMPUTED_VALUE"""),72.0)</f>
        <v>72</v>
      </c>
      <c r="F2973" s="19" t="str">
        <f>IFERROR(__xludf.DUMMYFUNCTION("""COMPUTED_VALUE"""),"BLACK")</f>
        <v>BLACK</v>
      </c>
      <c r="G2973" s="20" t="str">
        <f>IFERROR(__xludf.DUMMYFUNCTION("""COMPUTED_VALUE"""),"Uncle Sams Cider (04/04/2023)")</f>
        <v>Uncle Sams Cider (04/04/2023)</v>
      </c>
      <c r="H2973" s="19"/>
    </row>
    <row r="2974">
      <c r="A2974" s="9"/>
      <c r="B2974" s="15"/>
      <c r="C2974" s="9">
        <f>IFERROR(__xludf.DUMMYFUNCTION("""COMPUTED_VALUE"""),45113.522280162)</f>
        <v>45113.52228</v>
      </c>
      <c r="D2974" s="15">
        <f>IFERROR(__xludf.DUMMYFUNCTION("""COMPUTED_VALUE"""),1.004)</f>
        <v>1.004</v>
      </c>
      <c r="E2974" s="16">
        <f>IFERROR(__xludf.DUMMYFUNCTION("""COMPUTED_VALUE"""),72.0)</f>
        <v>72</v>
      </c>
      <c r="F2974" s="19" t="str">
        <f>IFERROR(__xludf.DUMMYFUNCTION("""COMPUTED_VALUE"""),"BLACK")</f>
        <v>BLACK</v>
      </c>
      <c r="G2974" s="20" t="str">
        <f>IFERROR(__xludf.DUMMYFUNCTION("""COMPUTED_VALUE"""),"Uncle Sams Cider (04/04/2023)")</f>
        <v>Uncle Sams Cider (04/04/2023)</v>
      </c>
      <c r="H2974" s="19"/>
    </row>
    <row r="2975">
      <c r="A2975" s="9"/>
      <c r="B2975" s="15"/>
      <c r="C2975" s="9">
        <f>IFERROR(__xludf.DUMMYFUNCTION("""COMPUTED_VALUE"""),45113.5118481365)</f>
        <v>45113.51185</v>
      </c>
      <c r="D2975" s="15">
        <f>IFERROR(__xludf.DUMMYFUNCTION("""COMPUTED_VALUE"""),1.004)</f>
        <v>1.004</v>
      </c>
      <c r="E2975" s="16">
        <f>IFERROR(__xludf.DUMMYFUNCTION("""COMPUTED_VALUE"""),72.0)</f>
        <v>72</v>
      </c>
      <c r="F2975" s="19" t="str">
        <f>IFERROR(__xludf.DUMMYFUNCTION("""COMPUTED_VALUE"""),"BLACK")</f>
        <v>BLACK</v>
      </c>
      <c r="G2975" s="20" t="str">
        <f>IFERROR(__xludf.DUMMYFUNCTION("""COMPUTED_VALUE"""),"Uncle Sams Cider (04/04/2023)")</f>
        <v>Uncle Sams Cider (04/04/2023)</v>
      </c>
      <c r="H2975" s="19"/>
    </row>
    <row r="2976">
      <c r="A2976" s="9"/>
      <c r="B2976" s="15"/>
      <c r="C2976" s="9">
        <f>IFERROR(__xludf.DUMMYFUNCTION("""COMPUTED_VALUE"""),45113.5014154282)</f>
        <v>45113.50142</v>
      </c>
      <c r="D2976" s="15">
        <f>IFERROR(__xludf.DUMMYFUNCTION("""COMPUTED_VALUE"""),1.004)</f>
        <v>1.004</v>
      </c>
      <c r="E2976" s="16">
        <f>IFERROR(__xludf.DUMMYFUNCTION("""COMPUTED_VALUE"""),72.0)</f>
        <v>72</v>
      </c>
      <c r="F2976" s="19" t="str">
        <f>IFERROR(__xludf.DUMMYFUNCTION("""COMPUTED_VALUE"""),"BLACK")</f>
        <v>BLACK</v>
      </c>
      <c r="G2976" s="20" t="str">
        <f>IFERROR(__xludf.DUMMYFUNCTION("""COMPUTED_VALUE"""),"Uncle Sams Cider (04/04/2023)")</f>
        <v>Uncle Sams Cider (04/04/2023)</v>
      </c>
      <c r="H2976" s="19"/>
    </row>
    <row r="2977">
      <c r="A2977" s="9"/>
      <c r="B2977" s="15"/>
      <c r="C2977" s="9">
        <f>IFERROR(__xludf.DUMMYFUNCTION("""COMPUTED_VALUE"""),45113.4909934953)</f>
        <v>45113.49099</v>
      </c>
      <c r="D2977" s="15">
        <f>IFERROR(__xludf.DUMMYFUNCTION("""COMPUTED_VALUE"""),1.004)</f>
        <v>1.004</v>
      </c>
      <c r="E2977" s="16">
        <f>IFERROR(__xludf.DUMMYFUNCTION("""COMPUTED_VALUE"""),72.0)</f>
        <v>72</v>
      </c>
      <c r="F2977" s="19" t="str">
        <f>IFERROR(__xludf.DUMMYFUNCTION("""COMPUTED_VALUE"""),"BLACK")</f>
        <v>BLACK</v>
      </c>
      <c r="G2977" s="20" t="str">
        <f>IFERROR(__xludf.DUMMYFUNCTION("""COMPUTED_VALUE"""),"Uncle Sams Cider (04/04/2023)")</f>
        <v>Uncle Sams Cider (04/04/2023)</v>
      </c>
      <c r="H2977" s="19"/>
    </row>
    <row r="2978">
      <c r="A2978" s="9"/>
      <c r="B2978" s="15"/>
      <c r="C2978" s="9">
        <f>IFERROR(__xludf.DUMMYFUNCTION("""COMPUTED_VALUE"""),45113.4805592013)</f>
        <v>45113.48056</v>
      </c>
      <c r="D2978" s="15">
        <f>IFERROR(__xludf.DUMMYFUNCTION("""COMPUTED_VALUE"""),1.004)</f>
        <v>1.004</v>
      </c>
      <c r="E2978" s="16">
        <f>IFERROR(__xludf.DUMMYFUNCTION("""COMPUTED_VALUE"""),72.0)</f>
        <v>72</v>
      </c>
      <c r="F2978" s="19" t="str">
        <f>IFERROR(__xludf.DUMMYFUNCTION("""COMPUTED_VALUE"""),"BLACK")</f>
        <v>BLACK</v>
      </c>
      <c r="G2978" s="20" t="str">
        <f>IFERROR(__xludf.DUMMYFUNCTION("""COMPUTED_VALUE"""),"Uncle Sams Cider (04/04/2023)")</f>
        <v>Uncle Sams Cider (04/04/2023)</v>
      </c>
      <c r="H2978" s="19"/>
    </row>
    <row r="2979">
      <c r="A2979" s="9"/>
      <c r="B2979" s="15"/>
      <c r="C2979" s="9">
        <f>IFERROR(__xludf.DUMMYFUNCTION("""COMPUTED_VALUE"""),45113.4701378009)</f>
        <v>45113.47014</v>
      </c>
      <c r="D2979" s="15">
        <f>IFERROR(__xludf.DUMMYFUNCTION("""COMPUTED_VALUE"""),1.004)</f>
        <v>1.004</v>
      </c>
      <c r="E2979" s="16">
        <f>IFERROR(__xludf.DUMMYFUNCTION("""COMPUTED_VALUE"""),72.0)</f>
        <v>72</v>
      </c>
      <c r="F2979" s="19" t="str">
        <f>IFERROR(__xludf.DUMMYFUNCTION("""COMPUTED_VALUE"""),"BLACK")</f>
        <v>BLACK</v>
      </c>
      <c r="G2979" s="20" t="str">
        <f>IFERROR(__xludf.DUMMYFUNCTION("""COMPUTED_VALUE"""),"Uncle Sams Cider (04/04/2023)")</f>
        <v>Uncle Sams Cider (04/04/2023)</v>
      </c>
      <c r="H2979" s="19"/>
    </row>
    <row r="2980">
      <c r="A2980" s="9"/>
      <c r="B2980" s="15"/>
      <c r="C2980" s="9">
        <f>IFERROR(__xludf.DUMMYFUNCTION("""COMPUTED_VALUE"""),45113.4597163657)</f>
        <v>45113.45972</v>
      </c>
      <c r="D2980" s="15">
        <f>IFERROR(__xludf.DUMMYFUNCTION("""COMPUTED_VALUE"""),1.004)</f>
        <v>1.004</v>
      </c>
      <c r="E2980" s="16">
        <f>IFERROR(__xludf.DUMMYFUNCTION("""COMPUTED_VALUE"""),72.0)</f>
        <v>72</v>
      </c>
      <c r="F2980" s="19" t="str">
        <f>IFERROR(__xludf.DUMMYFUNCTION("""COMPUTED_VALUE"""),"BLACK")</f>
        <v>BLACK</v>
      </c>
      <c r="G2980" s="20" t="str">
        <f>IFERROR(__xludf.DUMMYFUNCTION("""COMPUTED_VALUE"""),"Uncle Sams Cider (04/04/2023)")</f>
        <v>Uncle Sams Cider (04/04/2023)</v>
      </c>
      <c r="H2980" s="19"/>
    </row>
    <row r="2981">
      <c r="A2981" s="9"/>
      <c r="B2981" s="15"/>
      <c r="C2981" s="9">
        <f>IFERROR(__xludf.DUMMYFUNCTION("""COMPUTED_VALUE"""),45113.4492937268)</f>
        <v>45113.44929</v>
      </c>
      <c r="D2981" s="15">
        <f>IFERROR(__xludf.DUMMYFUNCTION("""COMPUTED_VALUE"""),1.004)</f>
        <v>1.004</v>
      </c>
      <c r="E2981" s="16">
        <f>IFERROR(__xludf.DUMMYFUNCTION("""COMPUTED_VALUE"""),72.0)</f>
        <v>72</v>
      </c>
      <c r="F2981" s="19" t="str">
        <f>IFERROR(__xludf.DUMMYFUNCTION("""COMPUTED_VALUE"""),"BLACK")</f>
        <v>BLACK</v>
      </c>
      <c r="G2981" s="20" t="str">
        <f>IFERROR(__xludf.DUMMYFUNCTION("""COMPUTED_VALUE"""),"Uncle Sams Cider (04/04/2023)")</f>
        <v>Uncle Sams Cider (04/04/2023)</v>
      </c>
      <c r="H2981" s="19"/>
    </row>
    <row r="2982">
      <c r="A2982" s="9"/>
      <c r="B2982" s="15"/>
      <c r="C2982" s="9">
        <f>IFERROR(__xludf.DUMMYFUNCTION("""COMPUTED_VALUE"""),45113.4388735763)</f>
        <v>45113.43887</v>
      </c>
      <c r="D2982" s="15">
        <f>IFERROR(__xludf.DUMMYFUNCTION("""COMPUTED_VALUE"""),1.004)</f>
        <v>1.004</v>
      </c>
      <c r="E2982" s="16">
        <f>IFERROR(__xludf.DUMMYFUNCTION("""COMPUTED_VALUE"""),72.0)</f>
        <v>72</v>
      </c>
      <c r="F2982" s="19" t="str">
        <f>IFERROR(__xludf.DUMMYFUNCTION("""COMPUTED_VALUE"""),"BLACK")</f>
        <v>BLACK</v>
      </c>
      <c r="G2982" s="20" t="str">
        <f>IFERROR(__xludf.DUMMYFUNCTION("""COMPUTED_VALUE"""),"Uncle Sams Cider (04/04/2023)")</f>
        <v>Uncle Sams Cider (04/04/2023)</v>
      </c>
      <c r="H2982" s="19"/>
    </row>
    <row r="2983">
      <c r="A2983" s="9"/>
      <c r="B2983" s="15"/>
      <c r="C2983" s="9">
        <f>IFERROR(__xludf.DUMMYFUNCTION("""COMPUTED_VALUE"""),45113.4284169907)</f>
        <v>45113.42842</v>
      </c>
      <c r="D2983" s="15">
        <f>IFERROR(__xludf.DUMMYFUNCTION("""COMPUTED_VALUE"""),1.004)</f>
        <v>1.004</v>
      </c>
      <c r="E2983" s="16">
        <f>IFERROR(__xludf.DUMMYFUNCTION("""COMPUTED_VALUE"""),72.0)</f>
        <v>72</v>
      </c>
      <c r="F2983" s="19" t="str">
        <f>IFERROR(__xludf.DUMMYFUNCTION("""COMPUTED_VALUE"""),"BLACK")</f>
        <v>BLACK</v>
      </c>
      <c r="G2983" s="20" t="str">
        <f>IFERROR(__xludf.DUMMYFUNCTION("""COMPUTED_VALUE"""),"Uncle Sams Cider (04/04/2023)")</f>
        <v>Uncle Sams Cider (04/04/2023)</v>
      </c>
      <c r="H2983" s="19"/>
    </row>
    <row r="2984">
      <c r="A2984" s="9"/>
      <c r="B2984" s="15"/>
      <c r="C2984" s="9">
        <f>IFERROR(__xludf.DUMMYFUNCTION("""COMPUTED_VALUE"""),45113.4179954861)</f>
        <v>45113.418</v>
      </c>
      <c r="D2984" s="15">
        <f>IFERROR(__xludf.DUMMYFUNCTION("""COMPUTED_VALUE"""),1.004)</f>
        <v>1.004</v>
      </c>
      <c r="E2984" s="16">
        <f>IFERROR(__xludf.DUMMYFUNCTION("""COMPUTED_VALUE"""),72.0)</f>
        <v>72</v>
      </c>
      <c r="F2984" s="19" t="str">
        <f>IFERROR(__xludf.DUMMYFUNCTION("""COMPUTED_VALUE"""),"BLACK")</f>
        <v>BLACK</v>
      </c>
      <c r="G2984" s="20" t="str">
        <f>IFERROR(__xludf.DUMMYFUNCTION("""COMPUTED_VALUE"""),"Uncle Sams Cider (04/04/2023)")</f>
        <v>Uncle Sams Cider (04/04/2023)</v>
      </c>
      <c r="H2984" s="19"/>
    </row>
    <row r="2985">
      <c r="A2985" s="9"/>
      <c r="B2985" s="15"/>
      <c r="C2985" s="9">
        <f>IFERROR(__xludf.DUMMYFUNCTION("""COMPUTED_VALUE"""),45113.4075520833)</f>
        <v>45113.40755</v>
      </c>
      <c r="D2985" s="15">
        <f>IFERROR(__xludf.DUMMYFUNCTION("""COMPUTED_VALUE"""),1.004)</f>
        <v>1.004</v>
      </c>
      <c r="E2985" s="16">
        <f>IFERROR(__xludf.DUMMYFUNCTION("""COMPUTED_VALUE"""),72.0)</f>
        <v>72</v>
      </c>
      <c r="F2985" s="19" t="str">
        <f>IFERROR(__xludf.DUMMYFUNCTION("""COMPUTED_VALUE"""),"BLACK")</f>
        <v>BLACK</v>
      </c>
      <c r="G2985" s="20" t="str">
        <f>IFERROR(__xludf.DUMMYFUNCTION("""COMPUTED_VALUE"""),"Uncle Sams Cider (04/04/2023)")</f>
        <v>Uncle Sams Cider (04/04/2023)</v>
      </c>
      <c r="H2985" s="19"/>
    </row>
    <row r="2986">
      <c r="A2986" s="9"/>
      <c r="B2986" s="15"/>
      <c r="C2986" s="9">
        <f>IFERROR(__xludf.DUMMYFUNCTION("""COMPUTED_VALUE"""),45113.3971068865)</f>
        <v>45113.39711</v>
      </c>
      <c r="D2986" s="15">
        <f>IFERROR(__xludf.DUMMYFUNCTION("""COMPUTED_VALUE"""),1.004)</f>
        <v>1.004</v>
      </c>
      <c r="E2986" s="16">
        <f>IFERROR(__xludf.DUMMYFUNCTION("""COMPUTED_VALUE"""),72.0)</f>
        <v>72</v>
      </c>
      <c r="F2986" s="19" t="str">
        <f>IFERROR(__xludf.DUMMYFUNCTION("""COMPUTED_VALUE"""),"BLACK")</f>
        <v>BLACK</v>
      </c>
      <c r="G2986" s="20" t="str">
        <f>IFERROR(__xludf.DUMMYFUNCTION("""COMPUTED_VALUE"""),"Uncle Sams Cider (04/04/2023)")</f>
        <v>Uncle Sams Cider (04/04/2023)</v>
      </c>
      <c r="H2986" s="19"/>
    </row>
    <row r="2987">
      <c r="A2987" s="9"/>
      <c r="B2987" s="15"/>
      <c r="C2987" s="9">
        <f>IFERROR(__xludf.DUMMYFUNCTION("""COMPUTED_VALUE"""),45113.3866859027)</f>
        <v>45113.38669</v>
      </c>
      <c r="D2987" s="15">
        <f>IFERROR(__xludf.DUMMYFUNCTION("""COMPUTED_VALUE"""),1.004)</f>
        <v>1.004</v>
      </c>
      <c r="E2987" s="16">
        <f>IFERROR(__xludf.DUMMYFUNCTION("""COMPUTED_VALUE"""),72.0)</f>
        <v>72</v>
      </c>
      <c r="F2987" s="19" t="str">
        <f>IFERROR(__xludf.DUMMYFUNCTION("""COMPUTED_VALUE"""),"BLACK")</f>
        <v>BLACK</v>
      </c>
      <c r="G2987" s="20" t="str">
        <f>IFERROR(__xludf.DUMMYFUNCTION("""COMPUTED_VALUE"""),"Uncle Sams Cider (04/04/2023)")</f>
        <v>Uncle Sams Cider (04/04/2023)</v>
      </c>
      <c r="H2987" s="19"/>
    </row>
    <row r="2988">
      <c r="A2988" s="9"/>
      <c r="B2988" s="15"/>
      <c r="C2988" s="9">
        <f>IFERROR(__xludf.DUMMYFUNCTION("""COMPUTED_VALUE"""),45113.3762662963)</f>
        <v>45113.37627</v>
      </c>
      <c r="D2988" s="15">
        <f>IFERROR(__xludf.DUMMYFUNCTION("""COMPUTED_VALUE"""),1.004)</f>
        <v>1.004</v>
      </c>
      <c r="E2988" s="16">
        <f>IFERROR(__xludf.DUMMYFUNCTION("""COMPUTED_VALUE"""),72.0)</f>
        <v>72</v>
      </c>
      <c r="F2988" s="19" t="str">
        <f>IFERROR(__xludf.DUMMYFUNCTION("""COMPUTED_VALUE"""),"BLACK")</f>
        <v>BLACK</v>
      </c>
      <c r="G2988" s="20" t="str">
        <f>IFERROR(__xludf.DUMMYFUNCTION("""COMPUTED_VALUE"""),"Uncle Sams Cider (04/04/2023)")</f>
        <v>Uncle Sams Cider (04/04/2023)</v>
      </c>
      <c r="H2988" s="19"/>
    </row>
    <row r="2989">
      <c r="A2989" s="9"/>
      <c r="B2989" s="15"/>
      <c r="C2989" s="9">
        <f>IFERROR(__xludf.DUMMYFUNCTION("""COMPUTED_VALUE"""),45113.3658220486)</f>
        <v>45113.36582</v>
      </c>
      <c r="D2989" s="15">
        <f>IFERROR(__xludf.DUMMYFUNCTION("""COMPUTED_VALUE"""),1.004)</f>
        <v>1.004</v>
      </c>
      <c r="E2989" s="16">
        <f>IFERROR(__xludf.DUMMYFUNCTION("""COMPUTED_VALUE"""),72.0)</f>
        <v>72</v>
      </c>
      <c r="F2989" s="19" t="str">
        <f>IFERROR(__xludf.DUMMYFUNCTION("""COMPUTED_VALUE"""),"BLACK")</f>
        <v>BLACK</v>
      </c>
      <c r="G2989" s="20" t="str">
        <f>IFERROR(__xludf.DUMMYFUNCTION("""COMPUTED_VALUE"""),"Uncle Sams Cider (04/04/2023)")</f>
        <v>Uncle Sams Cider (04/04/2023)</v>
      </c>
      <c r="H2989" s="19"/>
    </row>
    <row r="2990">
      <c r="A2990" s="9"/>
      <c r="B2990" s="15"/>
      <c r="C2990" s="9">
        <f>IFERROR(__xludf.DUMMYFUNCTION("""COMPUTED_VALUE"""),45113.3554004282)</f>
        <v>45113.3554</v>
      </c>
      <c r="D2990" s="15">
        <f>IFERROR(__xludf.DUMMYFUNCTION("""COMPUTED_VALUE"""),1.004)</f>
        <v>1.004</v>
      </c>
      <c r="E2990" s="16">
        <f>IFERROR(__xludf.DUMMYFUNCTION("""COMPUTED_VALUE"""),72.0)</f>
        <v>72</v>
      </c>
      <c r="F2990" s="19" t="str">
        <f>IFERROR(__xludf.DUMMYFUNCTION("""COMPUTED_VALUE"""),"BLACK")</f>
        <v>BLACK</v>
      </c>
      <c r="G2990" s="20" t="str">
        <f>IFERROR(__xludf.DUMMYFUNCTION("""COMPUTED_VALUE"""),"Uncle Sams Cider (04/04/2023)")</f>
        <v>Uncle Sams Cider (04/04/2023)</v>
      </c>
      <c r="H2990" s="19"/>
    </row>
    <row r="2991">
      <c r="A2991" s="9"/>
      <c r="B2991" s="15"/>
      <c r="C2991" s="9">
        <f>IFERROR(__xludf.DUMMYFUNCTION("""COMPUTED_VALUE"""),45113.3449793171)</f>
        <v>45113.34498</v>
      </c>
      <c r="D2991" s="15">
        <f>IFERROR(__xludf.DUMMYFUNCTION("""COMPUTED_VALUE"""),1.004)</f>
        <v>1.004</v>
      </c>
      <c r="E2991" s="16">
        <f>IFERROR(__xludf.DUMMYFUNCTION("""COMPUTED_VALUE"""),72.0)</f>
        <v>72</v>
      </c>
      <c r="F2991" s="19" t="str">
        <f>IFERROR(__xludf.DUMMYFUNCTION("""COMPUTED_VALUE"""),"BLACK")</f>
        <v>BLACK</v>
      </c>
      <c r="G2991" s="20" t="str">
        <f>IFERROR(__xludf.DUMMYFUNCTION("""COMPUTED_VALUE"""),"Uncle Sams Cider (04/04/2023)")</f>
        <v>Uncle Sams Cider (04/04/2023)</v>
      </c>
      <c r="H2991" s="19"/>
    </row>
    <row r="2992">
      <c r="A2992" s="9"/>
      <c r="B2992" s="15"/>
      <c r="C2992" s="9">
        <f>IFERROR(__xludf.DUMMYFUNCTION("""COMPUTED_VALUE"""),45113.334558831)</f>
        <v>45113.33456</v>
      </c>
      <c r="D2992" s="15">
        <f>IFERROR(__xludf.DUMMYFUNCTION("""COMPUTED_VALUE"""),1.004)</f>
        <v>1.004</v>
      </c>
      <c r="E2992" s="16">
        <f>IFERROR(__xludf.DUMMYFUNCTION("""COMPUTED_VALUE"""),72.0)</f>
        <v>72</v>
      </c>
      <c r="F2992" s="19" t="str">
        <f>IFERROR(__xludf.DUMMYFUNCTION("""COMPUTED_VALUE"""),"BLACK")</f>
        <v>BLACK</v>
      </c>
      <c r="G2992" s="20" t="str">
        <f>IFERROR(__xludf.DUMMYFUNCTION("""COMPUTED_VALUE"""),"Uncle Sams Cider (04/04/2023)")</f>
        <v>Uncle Sams Cider (04/04/2023)</v>
      </c>
      <c r="H2992" s="19"/>
    </row>
    <row r="2993">
      <c r="A2993" s="9"/>
      <c r="B2993" s="15"/>
      <c r="C2993" s="9">
        <f>IFERROR(__xludf.DUMMYFUNCTION("""COMPUTED_VALUE"""),45113.3241381365)</f>
        <v>45113.32414</v>
      </c>
      <c r="D2993" s="15">
        <f>IFERROR(__xludf.DUMMYFUNCTION("""COMPUTED_VALUE"""),1.004)</f>
        <v>1.004</v>
      </c>
      <c r="E2993" s="16">
        <f>IFERROR(__xludf.DUMMYFUNCTION("""COMPUTED_VALUE"""),72.0)</f>
        <v>72</v>
      </c>
      <c r="F2993" s="19" t="str">
        <f>IFERROR(__xludf.DUMMYFUNCTION("""COMPUTED_VALUE"""),"BLACK")</f>
        <v>BLACK</v>
      </c>
      <c r="G2993" s="20" t="str">
        <f>IFERROR(__xludf.DUMMYFUNCTION("""COMPUTED_VALUE"""),"Uncle Sams Cider (04/04/2023)")</f>
        <v>Uncle Sams Cider (04/04/2023)</v>
      </c>
      <c r="H2993" s="19"/>
    </row>
    <row r="2994">
      <c r="A2994" s="9"/>
      <c r="B2994" s="15"/>
      <c r="C2994" s="9">
        <f>IFERROR(__xludf.DUMMYFUNCTION("""COMPUTED_VALUE"""),45113.3137178009)</f>
        <v>45113.31372</v>
      </c>
      <c r="D2994" s="15">
        <f>IFERROR(__xludf.DUMMYFUNCTION("""COMPUTED_VALUE"""),1.004)</f>
        <v>1.004</v>
      </c>
      <c r="E2994" s="16">
        <f>IFERROR(__xludf.DUMMYFUNCTION("""COMPUTED_VALUE"""),72.0)</f>
        <v>72</v>
      </c>
      <c r="F2994" s="19" t="str">
        <f>IFERROR(__xludf.DUMMYFUNCTION("""COMPUTED_VALUE"""),"BLACK")</f>
        <v>BLACK</v>
      </c>
      <c r="G2994" s="20" t="str">
        <f>IFERROR(__xludf.DUMMYFUNCTION("""COMPUTED_VALUE"""),"Uncle Sams Cider (04/04/2023)")</f>
        <v>Uncle Sams Cider (04/04/2023)</v>
      </c>
      <c r="H2994" s="19"/>
    </row>
    <row r="2995">
      <c r="A2995" s="9"/>
      <c r="B2995" s="15"/>
      <c r="C2995" s="9">
        <f>IFERROR(__xludf.DUMMYFUNCTION("""COMPUTED_VALUE"""),45113.3032954861)</f>
        <v>45113.3033</v>
      </c>
      <c r="D2995" s="15">
        <f>IFERROR(__xludf.DUMMYFUNCTION("""COMPUTED_VALUE"""),1.004)</f>
        <v>1.004</v>
      </c>
      <c r="E2995" s="16">
        <f>IFERROR(__xludf.DUMMYFUNCTION("""COMPUTED_VALUE"""),72.0)</f>
        <v>72</v>
      </c>
      <c r="F2995" s="19" t="str">
        <f>IFERROR(__xludf.DUMMYFUNCTION("""COMPUTED_VALUE"""),"BLACK")</f>
        <v>BLACK</v>
      </c>
      <c r="G2995" s="20" t="str">
        <f>IFERROR(__xludf.DUMMYFUNCTION("""COMPUTED_VALUE"""),"Uncle Sams Cider (04/04/2023)")</f>
        <v>Uncle Sams Cider (04/04/2023)</v>
      </c>
      <c r="H2995" s="19"/>
    </row>
    <row r="2996">
      <c r="A2996" s="9"/>
      <c r="B2996" s="15"/>
      <c r="C2996" s="9">
        <f>IFERROR(__xludf.DUMMYFUNCTION("""COMPUTED_VALUE"""),45113.2928743518)</f>
        <v>45113.29287</v>
      </c>
      <c r="D2996" s="15">
        <f>IFERROR(__xludf.DUMMYFUNCTION("""COMPUTED_VALUE"""),1.004)</f>
        <v>1.004</v>
      </c>
      <c r="E2996" s="16">
        <f>IFERROR(__xludf.DUMMYFUNCTION("""COMPUTED_VALUE"""),72.0)</f>
        <v>72</v>
      </c>
      <c r="F2996" s="19" t="str">
        <f>IFERROR(__xludf.DUMMYFUNCTION("""COMPUTED_VALUE"""),"BLACK")</f>
        <v>BLACK</v>
      </c>
      <c r="G2996" s="20" t="str">
        <f>IFERROR(__xludf.DUMMYFUNCTION("""COMPUTED_VALUE"""),"Uncle Sams Cider (04/04/2023)")</f>
        <v>Uncle Sams Cider (04/04/2023)</v>
      </c>
      <c r="H2996" s="19"/>
    </row>
    <row r="2997">
      <c r="A2997" s="9"/>
      <c r="B2997" s="15"/>
      <c r="C2997" s="9">
        <f>IFERROR(__xludf.DUMMYFUNCTION("""COMPUTED_VALUE"""),45113.2824533217)</f>
        <v>45113.28245</v>
      </c>
      <c r="D2997" s="15">
        <f>IFERROR(__xludf.DUMMYFUNCTION("""COMPUTED_VALUE"""),1.004)</f>
        <v>1.004</v>
      </c>
      <c r="E2997" s="16">
        <f>IFERROR(__xludf.DUMMYFUNCTION("""COMPUTED_VALUE"""),72.0)</f>
        <v>72</v>
      </c>
      <c r="F2997" s="19" t="str">
        <f>IFERROR(__xludf.DUMMYFUNCTION("""COMPUTED_VALUE"""),"BLACK")</f>
        <v>BLACK</v>
      </c>
      <c r="G2997" s="20" t="str">
        <f>IFERROR(__xludf.DUMMYFUNCTION("""COMPUTED_VALUE"""),"Uncle Sams Cider (04/04/2023)")</f>
        <v>Uncle Sams Cider (04/04/2023)</v>
      </c>
      <c r="H2997" s="19"/>
    </row>
    <row r="2998">
      <c r="A2998" s="9"/>
      <c r="B2998" s="15"/>
      <c r="C2998" s="9">
        <f>IFERROR(__xludf.DUMMYFUNCTION("""COMPUTED_VALUE"""),45113.2720327546)</f>
        <v>45113.27203</v>
      </c>
      <c r="D2998" s="15">
        <f>IFERROR(__xludf.DUMMYFUNCTION("""COMPUTED_VALUE"""),1.004)</f>
        <v>1.004</v>
      </c>
      <c r="E2998" s="16">
        <f>IFERROR(__xludf.DUMMYFUNCTION("""COMPUTED_VALUE"""),72.0)</f>
        <v>72</v>
      </c>
      <c r="F2998" s="19" t="str">
        <f>IFERROR(__xludf.DUMMYFUNCTION("""COMPUTED_VALUE"""),"BLACK")</f>
        <v>BLACK</v>
      </c>
      <c r="G2998" s="20" t="str">
        <f>IFERROR(__xludf.DUMMYFUNCTION("""COMPUTED_VALUE"""),"Uncle Sams Cider (04/04/2023)")</f>
        <v>Uncle Sams Cider (04/04/2023)</v>
      </c>
      <c r="H2998" s="19"/>
    </row>
    <row r="2999">
      <c r="A2999" s="9"/>
      <c r="B2999" s="15"/>
      <c r="C2999" s="9">
        <f>IFERROR(__xludf.DUMMYFUNCTION("""COMPUTED_VALUE"""),45113.2616111342)</f>
        <v>45113.26161</v>
      </c>
      <c r="D2999" s="15">
        <f>IFERROR(__xludf.DUMMYFUNCTION("""COMPUTED_VALUE"""),1.004)</f>
        <v>1.004</v>
      </c>
      <c r="E2999" s="16">
        <f>IFERROR(__xludf.DUMMYFUNCTION("""COMPUTED_VALUE"""),72.0)</f>
        <v>72</v>
      </c>
      <c r="F2999" s="19" t="str">
        <f>IFERROR(__xludf.DUMMYFUNCTION("""COMPUTED_VALUE"""),"BLACK")</f>
        <v>BLACK</v>
      </c>
      <c r="G2999" s="20" t="str">
        <f>IFERROR(__xludf.DUMMYFUNCTION("""COMPUTED_VALUE"""),"Uncle Sams Cider (04/04/2023)")</f>
        <v>Uncle Sams Cider (04/04/2023)</v>
      </c>
      <c r="H2999" s="19"/>
    </row>
    <row r="3000">
      <c r="A3000" s="9"/>
      <c r="B3000" s="15"/>
      <c r="C3000" s="9">
        <f>IFERROR(__xludf.DUMMYFUNCTION("""COMPUTED_VALUE"""),45113.2511668171)</f>
        <v>45113.25117</v>
      </c>
      <c r="D3000" s="15">
        <f>IFERROR(__xludf.DUMMYFUNCTION("""COMPUTED_VALUE"""),1.004)</f>
        <v>1.004</v>
      </c>
      <c r="E3000" s="16">
        <f>IFERROR(__xludf.DUMMYFUNCTION("""COMPUTED_VALUE"""),72.0)</f>
        <v>72</v>
      </c>
      <c r="F3000" s="19" t="str">
        <f>IFERROR(__xludf.DUMMYFUNCTION("""COMPUTED_VALUE"""),"BLACK")</f>
        <v>BLACK</v>
      </c>
      <c r="G3000" s="20" t="str">
        <f>IFERROR(__xludf.DUMMYFUNCTION("""COMPUTED_VALUE"""),"Uncle Sams Cider (04/04/2023)")</f>
        <v>Uncle Sams Cider (04/04/2023)</v>
      </c>
      <c r="H3000" s="19"/>
    </row>
    <row r="3001">
      <c r="A3001" s="9"/>
      <c r="B3001" s="15"/>
      <c r="C3001" s="9">
        <f>IFERROR(__xludf.DUMMYFUNCTION("""COMPUTED_VALUE"""),45113.2407332638)</f>
        <v>45113.24073</v>
      </c>
      <c r="D3001" s="15">
        <f>IFERROR(__xludf.DUMMYFUNCTION("""COMPUTED_VALUE"""),1.004)</f>
        <v>1.004</v>
      </c>
      <c r="E3001" s="16">
        <f>IFERROR(__xludf.DUMMYFUNCTION("""COMPUTED_VALUE"""),72.0)</f>
        <v>72</v>
      </c>
      <c r="F3001" s="19" t="str">
        <f>IFERROR(__xludf.DUMMYFUNCTION("""COMPUTED_VALUE"""),"BLACK")</f>
        <v>BLACK</v>
      </c>
      <c r="G3001" s="20" t="str">
        <f>IFERROR(__xludf.DUMMYFUNCTION("""COMPUTED_VALUE"""),"Uncle Sams Cider (04/04/2023)")</f>
        <v>Uncle Sams Cider (04/04/2023)</v>
      </c>
      <c r="H3001" s="19"/>
    </row>
    <row r="3002">
      <c r="A3002" s="9"/>
      <c r="B3002" s="15"/>
      <c r="C3002" s="9">
        <f>IFERROR(__xludf.DUMMYFUNCTION("""COMPUTED_VALUE"""),45113.2303122106)</f>
        <v>45113.23031</v>
      </c>
      <c r="D3002" s="15">
        <f>IFERROR(__xludf.DUMMYFUNCTION("""COMPUTED_VALUE"""),1.004)</f>
        <v>1.004</v>
      </c>
      <c r="E3002" s="16">
        <f>IFERROR(__xludf.DUMMYFUNCTION("""COMPUTED_VALUE"""),72.0)</f>
        <v>72</v>
      </c>
      <c r="F3002" s="19" t="str">
        <f>IFERROR(__xludf.DUMMYFUNCTION("""COMPUTED_VALUE"""),"BLACK")</f>
        <v>BLACK</v>
      </c>
      <c r="G3002" s="20" t="str">
        <f>IFERROR(__xludf.DUMMYFUNCTION("""COMPUTED_VALUE"""),"Uncle Sams Cider (04/04/2023)")</f>
        <v>Uncle Sams Cider (04/04/2023)</v>
      </c>
      <c r="H3002" s="19"/>
    </row>
    <row r="3003">
      <c r="A3003" s="9"/>
      <c r="B3003" s="15"/>
      <c r="C3003" s="9">
        <f>IFERROR(__xludf.DUMMYFUNCTION("""COMPUTED_VALUE"""),45113.219892037)</f>
        <v>45113.21989</v>
      </c>
      <c r="D3003" s="15">
        <f>IFERROR(__xludf.DUMMYFUNCTION("""COMPUTED_VALUE"""),1.004)</f>
        <v>1.004</v>
      </c>
      <c r="E3003" s="16">
        <f>IFERROR(__xludf.DUMMYFUNCTION("""COMPUTED_VALUE"""),72.0)</f>
        <v>72</v>
      </c>
      <c r="F3003" s="19" t="str">
        <f>IFERROR(__xludf.DUMMYFUNCTION("""COMPUTED_VALUE"""),"BLACK")</f>
        <v>BLACK</v>
      </c>
      <c r="G3003" s="20" t="str">
        <f>IFERROR(__xludf.DUMMYFUNCTION("""COMPUTED_VALUE"""),"Uncle Sams Cider (04/04/2023)")</f>
        <v>Uncle Sams Cider (04/04/2023)</v>
      </c>
      <c r="H3003" s="19"/>
    </row>
    <row r="3004">
      <c r="A3004" s="9"/>
      <c r="B3004" s="15"/>
      <c r="C3004" s="9">
        <f>IFERROR(__xludf.DUMMYFUNCTION("""COMPUTED_VALUE"""),45113.2094713194)</f>
        <v>45113.20947</v>
      </c>
      <c r="D3004" s="15">
        <f>IFERROR(__xludf.DUMMYFUNCTION("""COMPUTED_VALUE"""),1.004)</f>
        <v>1.004</v>
      </c>
      <c r="E3004" s="16">
        <f>IFERROR(__xludf.DUMMYFUNCTION("""COMPUTED_VALUE"""),72.0)</f>
        <v>72</v>
      </c>
      <c r="F3004" s="19" t="str">
        <f>IFERROR(__xludf.DUMMYFUNCTION("""COMPUTED_VALUE"""),"BLACK")</f>
        <v>BLACK</v>
      </c>
      <c r="G3004" s="20" t="str">
        <f>IFERROR(__xludf.DUMMYFUNCTION("""COMPUTED_VALUE"""),"Uncle Sams Cider (04/04/2023)")</f>
        <v>Uncle Sams Cider (04/04/2023)</v>
      </c>
      <c r="H3004" s="19"/>
    </row>
    <row r="3005">
      <c r="A3005" s="9"/>
      <c r="B3005" s="15"/>
      <c r="C3005" s="9">
        <f>IFERROR(__xludf.DUMMYFUNCTION("""COMPUTED_VALUE"""),45113.1990504166)</f>
        <v>45113.19905</v>
      </c>
      <c r="D3005" s="15">
        <f>IFERROR(__xludf.DUMMYFUNCTION("""COMPUTED_VALUE"""),1.004)</f>
        <v>1.004</v>
      </c>
      <c r="E3005" s="16">
        <f>IFERROR(__xludf.DUMMYFUNCTION("""COMPUTED_VALUE"""),72.0)</f>
        <v>72</v>
      </c>
      <c r="F3005" s="19" t="str">
        <f>IFERROR(__xludf.DUMMYFUNCTION("""COMPUTED_VALUE"""),"BLACK")</f>
        <v>BLACK</v>
      </c>
      <c r="G3005" s="20" t="str">
        <f>IFERROR(__xludf.DUMMYFUNCTION("""COMPUTED_VALUE"""),"Uncle Sams Cider (04/04/2023)")</f>
        <v>Uncle Sams Cider (04/04/2023)</v>
      </c>
      <c r="H3005" s="19"/>
    </row>
    <row r="3006">
      <c r="A3006" s="9"/>
      <c r="B3006" s="15"/>
      <c r="C3006" s="9">
        <f>IFERROR(__xludf.DUMMYFUNCTION("""COMPUTED_VALUE"""),45113.1886278472)</f>
        <v>45113.18863</v>
      </c>
      <c r="D3006" s="15">
        <f>IFERROR(__xludf.DUMMYFUNCTION("""COMPUTED_VALUE"""),1.004)</f>
        <v>1.004</v>
      </c>
      <c r="E3006" s="16">
        <f>IFERROR(__xludf.DUMMYFUNCTION("""COMPUTED_VALUE"""),72.0)</f>
        <v>72</v>
      </c>
      <c r="F3006" s="19" t="str">
        <f>IFERROR(__xludf.DUMMYFUNCTION("""COMPUTED_VALUE"""),"BLACK")</f>
        <v>BLACK</v>
      </c>
      <c r="G3006" s="20" t="str">
        <f>IFERROR(__xludf.DUMMYFUNCTION("""COMPUTED_VALUE"""),"Uncle Sams Cider (04/04/2023)")</f>
        <v>Uncle Sams Cider (04/04/2023)</v>
      </c>
      <c r="H3006" s="19"/>
    </row>
    <row r="3007">
      <c r="A3007" s="9"/>
      <c r="B3007" s="15"/>
      <c r="C3007" s="9">
        <f>IFERROR(__xludf.DUMMYFUNCTION("""COMPUTED_VALUE"""),45113.1782056597)</f>
        <v>45113.17821</v>
      </c>
      <c r="D3007" s="15">
        <f>IFERROR(__xludf.DUMMYFUNCTION("""COMPUTED_VALUE"""),1.004)</f>
        <v>1.004</v>
      </c>
      <c r="E3007" s="16">
        <f>IFERROR(__xludf.DUMMYFUNCTION("""COMPUTED_VALUE"""),72.0)</f>
        <v>72</v>
      </c>
      <c r="F3007" s="19" t="str">
        <f>IFERROR(__xludf.DUMMYFUNCTION("""COMPUTED_VALUE"""),"BLACK")</f>
        <v>BLACK</v>
      </c>
      <c r="G3007" s="20" t="str">
        <f>IFERROR(__xludf.DUMMYFUNCTION("""COMPUTED_VALUE"""),"Uncle Sams Cider (04/04/2023)")</f>
        <v>Uncle Sams Cider (04/04/2023)</v>
      </c>
      <c r="H3007" s="19"/>
    </row>
    <row r="3008">
      <c r="A3008" s="9"/>
      <c r="B3008" s="15"/>
      <c r="C3008" s="9">
        <f>IFERROR(__xludf.DUMMYFUNCTION("""COMPUTED_VALUE"""),45113.167772905)</f>
        <v>45113.16777</v>
      </c>
      <c r="D3008" s="15">
        <f>IFERROR(__xludf.DUMMYFUNCTION("""COMPUTED_VALUE"""),1.004)</f>
        <v>1.004</v>
      </c>
      <c r="E3008" s="16">
        <f>IFERROR(__xludf.DUMMYFUNCTION("""COMPUTED_VALUE"""),72.0)</f>
        <v>72</v>
      </c>
      <c r="F3008" s="19" t="str">
        <f>IFERROR(__xludf.DUMMYFUNCTION("""COMPUTED_VALUE"""),"BLACK")</f>
        <v>BLACK</v>
      </c>
      <c r="G3008" s="20" t="str">
        <f>IFERROR(__xludf.DUMMYFUNCTION("""COMPUTED_VALUE"""),"Uncle Sams Cider (04/04/2023)")</f>
        <v>Uncle Sams Cider (04/04/2023)</v>
      </c>
      <c r="H3008" s="19"/>
    </row>
    <row r="3009">
      <c r="A3009" s="9"/>
      <c r="B3009" s="15"/>
      <c r="C3009" s="9">
        <f>IFERROR(__xludf.DUMMYFUNCTION("""COMPUTED_VALUE"""),45113.1573507176)</f>
        <v>45113.15735</v>
      </c>
      <c r="D3009" s="15">
        <f>IFERROR(__xludf.DUMMYFUNCTION("""COMPUTED_VALUE"""),1.004)</f>
        <v>1.004</v>
      </c>
      <c r="E3009" s="16">
        <f>IFERROR(__xludf.DUMMYFUNCTION("""COMPUTED_VALUE"""),72.0)</f>
        <v>72</v>
      </c>
      <c r="F3009" s="19" t="str">
        <f>IFERROR(__xludf.DUMMYFUNCTION("""COMPUTED_VALUE"""),"BLACK")</f>
        <v>BLACK</v>
      </c>
      <c r="G3009" s="20" t="str">
        <f>IFERROR(__xludf.DUMMYFUNCTION("""COMPUTED_VALUE"""),"Uncle Sams Cider (04/04/2023)")</f>
        <v>Uncle Sams Cider (04/04/2023)</v>
      </c>
      <c r="H3009" s="19"/>
    </row>
    <row r="3010">
      <c r="A3010" s="9"/>
      <c r="B3010" s="15"/>
      <c r="C3010" s="9">
        <f>IFERROR(__xludf.DUMMYFUNCTION("""COMPUTED_VALUE"""),45113.146930162)</f>
        <v>45113.14693</v>
      </c>
      <c r="D3010" s="15">
        <f>IFERROR(__xludf.DUMMYFUNCTION("""COMPUTED_VALUE"""),1.004)</f>
        <v>1.004</v>
      </c>
      <c r="E3010" s="16">
        <f>IFERROR(__xludf.DUMMYFUNCTION("""COMPUTED_VALUE"""),72.0)</f>
        <v>72</v>
      </c>
      <c r="F3010" s="19" t="str">
        <f>IFERROR(__xludf.DUMMYFUNCTION("""COMPUTED_VALUE"""),"BLACK")</f>
        <v>BLACK</v>
      </c>
      <c r="G3010" s="20" t="str">
        <f>IFERROR(__xludf.DUMMYFUNCTION("""COMPUTED_VALUE"""),"Uncle Sams Cider (04/04/2023)")</f>
        <v>Uncle Sams Cider (04/04/2023)</v>
      </c>
      <c r="H3010" s="19"/>
    </row>
    <row r="3011">
      <c r="A3011" s="9"/>
      <c r="B3011" s="15"/>
      <c r="C3011" s="9">
        <f>IFERROR(__xludf.DUMMYFUNCTION("""COMPUTED_VALUE"""),45113.1365071875)</f>
        <v>45113.13651</v>
      </c>
      <c r="D3011" s="15">
        <f>IFERROR(__xludf.DUMMYFUNCTION("""COMPUTED_VALUE"""),1.004)</f>
        <v>1.004</v>
      </c>
      <c r="E3011" s="16">
        <f>IFERROR(__xludf.DUMMYFUNCTION("""COMPUTED_VALUE"""),72.0)</f>
        <v>72</v>
      </c>
      <c r="F3011" s="19" t="str">
        <f>IFERROR(__xludf.DUMMYFUNCTION("""COMPUTED_VALUE"""),"BLACK")</f>
        <v>BLACK</v>
      </c>
      <c r="G3011" s="20" t="str">
        <f>IFERROR(__xludf.DUMMYFUNCTION("""COMPUTED_VALUE"""),"Uncle Sams Cider (04/04/2023)")</f>
        <v>Uncle Sams Cider (04/04/2023)</v>
      </c>
      <c r="H3011" s="19"/>
    </row>
    <row r="3012">
      <c r="A3012" s="9"/>
      <c r="B3012" s="15"/>
      <c r="C3012" s="9">
        <f>IFERROR(__xludf.DUMMYFUNCTION("""COMPUTED_VALUE"""),45113.1260857754)</f>
        <v>45113.12609</v>
      </c>
      <c r="D3012" s="15">
        <f>IFERROR(__xludf.DUMMYFUNCTION("""COMPUTED_VALUE"""),1.004)</f>
        <v>1.004</v>
      </c>
      <c r="E3012" s="16">
        <f>IFERROR(__xludf.DUMMYFUNCTION("""COMPUTED_VALUE"""),72.0)</f>
        <v>72</v>
      </c>
      <c r="F3012" s="19" t="str">
        <f>IFERROR(__xludf.DUMMYFUNCTION("""COMPUTED_VALUE"""),"BLACK")</f>
        <v>BLACK</v>
      </c>
      <c r="G3012" s="20" t="str">
        <f>IFERROR(__xludf.DUMMYFUNCTION("""COMPUTED_VALUE"""),"Uncle Sams Cider (04/04/2023)")</f>
        <v>Uncle Sams Cider (04/04/2023)</v>
      </c>
      <c r="H3012" s="19"/>
    </row>
    <row r="3013">
      <c r="A3013" s="9"/>
      <c r="B3013" s="15"/>
      <c r="C3013" s="9">
        <f>IFERROR(__xludf.DUMMYFUNCTION("""COMPUTED_VALUE"""),45113.1156648263)</f>
        <v>45113.11566</v>
      </c>
      <c r="D3013" s="15">
        <f>IFERROR(__xludf.DUMMYFUNCTION("""COMPUTED_VALUE"""),1.004)</f>
        <v>1.004</v>
      </c>
      <c r="E3013" s="16">
        <f>IFERROR(__xludf.DUMMYFUNCTION("""COMPUTED_VALUE"""),72.0)</f>
        <v>72</v>
      </c>
      <c r="F3013" s="19" t="str">
        <f>IFERROR(__xludf.DUMMYFUNCTION("""COMPUTED_VALUE"""),"BLACK")</f>
        <v>BLACK</v>
      </c>
      <c r="G3013" s="20" t="str">
        <f>IFERROR(__xludf.DUMMYFUNCTION("""COMPUTED_VALUE"""),"Uncle Sams Cider (04/04/2023)")</f>
        <v>Uncle Sams Cider (04/04/2023)</v>
      </c>
      <c r="H3013" s="19"/>
    </row>
    <row r="3014">
      <c r="A3014" s="9"/>
      <c r="B3014" s="15"/>
      <c r="C3014" s="9">
        <f>IFERROR(__xludf.DUMMYFUNCTION("""COMPUTED_VALUE"""),45113.1052450115)</f>
        <v>45113.10525</v>
      </c>
      <c r="D3014" s="15">
        <f>IFERROR(__xludf.DUMMYFUNCTION("""COMPUTED_VALUE"""),1.004)</f>
        <v>1.004</v>
      </c>
      <c r="E3014" s="16">
        <f>IFERROR(__xludf.DUMMYFUNCTION("""COMPUTED_VALUE"""),72.0)</f>
        <v>72</v>
      </c>
      <c r="F3014" s="19" t="str">
        <f>IFERROR(__xludf.DUMMYFUNCTION("""COMPUTED_VALUE"""),"BLACK")</f>
        <v>BLACK</v>
      </c>
      <c r="G3014" s="20" t="str">
        <f>IFERROR(__xludf.DUMMYFUNCTION("""COMPUTED_VALUE"""),"Uncle Sams Cider (04/04/2023)")</f>
        <v>Uncle Sams Cider (04/04/2023)</v>
      </c>
      <c r="H3014" s="19"/>
    </row>
    <row r="3015">
      <c r="A3015" s="9"/>
      <c r="B3015" s="15"/>
      <c r="C3015" s="9">
        <f>IFERROR(__xludf.DUMMYFUNCTION("""COMPUTED_VALUE"""),45113.0948120023)</f>
        <v>45113.09481</v>
      </c>
      <c r="D3015" s="15">
        <f>IFERROR(__xludf.DUMMYFUNCTION("""COMPUTED_VALUE"""),1.004)</f>
        <v>1.004</v>
      </c>
      <c r="E3015" s="16">
        <f>IFERROR(__xludf.DUMMYFUNCTION("""COMPUTED_VALUE"""),72.0)</f>
        <v>72</v>
      </c>
      <c r="F3015" s="19" t="str">
        <f>IFERROR(__xludf.DUMMYFUNCTION("""COMPUTED_VALUE"""),"BLACK")</f>
        <v>BLACK</v>
      </c>
      <c r="G3015" s="20" t="str">
        <f>IFERROR(__xludf.DUMMYFUNCTION("""COMPUTED_VALUE"""),"Uncle Sams Cider (04/04/2023)")</f>
        <v>Uncle Sams Cider (04/04/2023)</v>
      </c>
      <c r="H3015" s="19"/>
    </row>
    <row r="3016">
      <c r="A3016" s="9"/>
      <c r="B3016" s="15"/>
      <c r="C3016" s="9">
        <f>IFERROR(__xludf.DUMMYFUNCTION("""COMPUTED_VALUE"""),45113.0843911805)</f>
        <v>45113.08439</v>
      </c>
      <c r="D3016" s="15">
        <f>IFERROR(__xludf.DUMMYFUNCTION("""COMPUTED_VALUE"""),1.004)</f>
        <v>1.004</v>
      </c>
      <c r="E3016" s="16">
        <f>IFERROR(__xludf.DUMMYFUNCTION("""COMPUTED_VALUE"""),72.0)</f>
        <v>72</v>
      </c>
      <c r="F3016" s="19" t="str">
        <f>IFERROR(__xludf.DUMMYFUNCTION("""COMPUTED_VALUE"""),"BLACK")</f>
        <v>BLACK</v>
      </c>
      <c r="G3016" s="20" t="str">
        <f>IFERROR(__xludf.DUMMYFUNCTION("""COMPUTED_VALUE"""),"Uncle Sams Cider (04/04/2023)")</f>
        <v>Uncle Sams Cider (04/04/2023)</v>
      </c>
      <c r="H3016" s="19"/>
    </row>
    <row r="3017">
      <c r="A3017" s="9"/>
      <c r="B3017" s="15"/>
      <c r="C3017" s="9">
        <f>IFERROR(__xludf.DUMMYFUNCTION("""COMPUTED_VALUE"""),45113.0739593171)</f>
        <v>45113.07396</v>
      </c>
      <c r="D3017" s="15">
        <f>IFERROR(__xludf.DUMMYFUNCTION("""COMPUTED_VALUE"""),1.004)</f>
        <v>1.004</v>
      </c>
      <c r="E3017" s="16">
        <f>IFERROR(__xludf.DUMMYFUNCTION("""COMPUTED_VALUE"""),72.0)</f>
        <v>72</v>
      </c>
      <c r="F3017" s="19" t="str">
        <f>IFERROR(__xludf.DUMMYFUNCTION("""COMPUTED_VALUE"""),"BLACK")</f>
        <v>BLACK</v>
      </c>
      <c r="G3017" s="20" t="str">
        <f>IFERROR(__xludf.DUMMYFUNCTION("""COMPUTED_VALUE"""),"Uncle Sams Cider (04/04/2023)")</f>
        <v>Uncle Sams Cider (04/04/2023)</v>
      </c>
      <c r="H3017" s="19"/>
    </row>
    <row r="3018">
      <c r="A3018" s="9"/>
      <c r="B3018" s="15"/>
      <c r="C3018" s="9">
        <f>IFERROR(__xludf.DUMMYFUNCTION("""COMPUTED_VALUE"""),45113.0635375694)</f>
        <v>45113.06354</v>
      </c>
      <c r="D3018" s="15">
        <f>IFERROR(__xludf.DUMMYFUNCTION("""COMPUTED_VALUE"""),1.004)</f>
        <v>1.004</v>
      </c>
      <c r="E3018" s="16">
        <f>IFERROR(__xludf.DUMMYFUNCTION("""COMPUTED_VALUE"""),72.0)</f>
        <v>72</v>
      </c>
      <c r="F3018" s="19" t="str">
        <f>IFERROR(__xludf.DUMMYFUNCTION("""COMPUTED_VALUE"""),"BLACK")</f>
        <v>BLACK</v>
      </c>
      <c r="G3018" s="20" t="str">
        <f>IFERROR(__xludf.DUMMYFUNCTION("""COMPUTED_VALUE"""),"Uncle Sams Cider (04/04/2023)")</f>
        <v>Uncle Sams Cider (04/04/2023)</v>
      </c>
      <c r="H3018" s="19"/>
    </row>
    <row r="3019">
      <c r="A3019" s="9"/>
      <c r="B3019" s="15"/>
      <c r="C3019" s="9">
        <f>IFERROR(__xludf.DUMMYFUNCTION("""COMPUTED_VALUE"""),45113.0531175)</f>
        <v>45113.05312</v>
      </c>
      <c r="D3019" s="15">
        <f>IFERROR(__xludf.DUMMYFUNCTION("""COMPUTED_VALUE"""),1.004)</f>
        <v>1.004</v>
      </c>
      <c r="E3019" s="16">
        <f>IFERROR(__xludf.DUMMYFUNCTION("""COMPUTED_VALUE"""),72.0)</f>
        <v>72</v>
      </c>
      <c r="F3019" s="19" t="str">
        <f>IFERROR(__xludf.DUMMYFUNCTION("""COMPUTED_VALUE"""),"BLACK")</f>
        <v>BLACK</v>
      </c>
      <c r="G3019" s="20" t="str">
        <f>IFERROR(__xludf.DUMMYFUNCTION("""COMPUTED_VALUE"""),"Uncle Sams Cider (04/04/2023)")</f>
        <v>Uncle Sams Cider (04/04/2023)</v>
      </c>
      <c r="H3019" s="19"/>
    </row>
    <row r="3020">
      <c r="A3020" s="9"/>
      <c r="B3020" s="15"/>
      <c r="C3020" s="9">
        <f>IFERROR(__xludf.DUMMYFUNCTION("""COMPUTED_VALUE"""),45113.0426961574)</f>
        <v>45113.0427</v>
      </c>
      <c r="D3020" s="15">
        <f>IFERROR(__xludf.DUMMYFUNCTION("""COMPUTED_VALUE"""),1.004)</f>
        <v>1.004</v>
      </c>
      <c r="E3020" s="16">
        <f>IFERROR(__xludf.DUMMYFUNCTION("""COMPUTED_VALUE"""),72.0)</f>
        <v>72</v>
      </c>
      <c r="F3020" s="19" t="str">
        <f>IFERROR(__xludf.DUMMYFUNCTION("""COMPUTED_VALUE"""),"BLACK")</f>
        <v>BLACK</v>
      </c>
      <c r="G3020" s="20" t="str">
        <f>IFERROR(__xludf.DUMMYFUNCTION("""COMPUTED_VALUE"""),"Uncle Sams Cider (04/04/2023)")</f>
        <v>Uncle Sams Cider (04/04/2023)</v>
      </c>
      <c r="H3020" s="19"/>
    </row>
    <row r="3021">
      <c r="A3021" s="9"/>
      <c r="B3021" s="15"/>
      <c r="C3021" s="9">
        <f>IFERROR(__xludf.DUMMYFUNCTION("""COMPUTED_VALUE"""),45113.0322761111)</f>
        <v>45113.03228</v>
      </c>
      <c r="D3021" s="15">
        <f>IFERROR(__xludf.DUMMYFUNCTION("""COMPUTED_VALUE"""),1.004)</f>
        <v>1.004</v>
      </c>
      <c r="E3021" s="16">
        <f>IFERROR(__xludf.DUMMYFUNCTION("""COMPUTED_VALUE"""),72.0)</f>
        <v>72</v>
      </c>
      <c r="F3021" s="19" t="str">
        <f>IFERROR(__xludf.DUMMYFUNCTION("""COMPUTED_VALUE"""),"BLACK")</f>
        <v>BLACK</v>
      </c>
      <c r="G3021" s="20" t="str">
        <f>IFERROR(__xludf.DUMMYFUNCTION("""COMPUTED_VALUE"""),"Uncle Sams Cider (04/04/2023)")</f>
        <v>Uncle Sams Cider (04/04/2023)</v>
      </c>
      <c r="H3021" s="19"/>
    </row>
    <row r="3022">
      <c r="A3022" s="9"/>
      <c r="B3022" s="15"/>
      <c r="C3022" s="9">
        <f>IFERROR(__xludf.DUMMYFUNCTION("""COMPUTED_VALUE"""),45113.0218545486)</f>
        <v>45113.02185</v>
      </c>
      <c r="D3022" s="15">
        <f>IFERROR(__xludf.DUMMYFUNCTION("""COMPUTED_VALUE"""),1.004)</f>
        <v>1.004</v>
      </c>
      <c r="E3022" s="16">
        <f>IFERROR(__xludf.DUMMYFUNCTION("""COMPUTED_VALUE"""),72.0)</f>
        <v>72</v>
      </c>
      <c r="F3022" s="19" t="str">
        <f>IFERROR(__xludf.DUMMYFUNCTION("""COMPUTED_VALUE"""),"BLACK")</f>
        <v>BLACK</v>
      </c>
      <c r="G3022" s="20" t="str">
        <f>IFERROR(__xludf.DUMMYFUNCTION("""COMPUTED_VALUE"""),"Uncle Sams Cider (04/04/2023)")</f>
        <v>Uncle Sams Cider (04/04/2023)</v>
      </c>
      <c r="H3022" s="19"/>
    </row>
    <row r="3023">
      <c r="A3023" s="9"/>
      <c r="B3023" s="15"/>
      <c r="C3023" s="9">
        <f>IFERROR(__xludf.DUMMYFUNCTION("""COMPUTED_VALUE"""),45113.0114331828)</f>
        <v>45113.01143</v>
      </c>
      <c r="D3023" s="15">
        <f>IFERROR(__xludf.DUMMYFUNCTION("""COMPUTED_VALUE"""),1.004)</f>
        <v>1.004</v>
      </c>
      <c r="E3023" s="16">
        <f>IFERROR(__xludf.DUMMYFUNCTION("""COMPUTED_VALUE"""),72.0)</f>
        <v>72</v>
      </c>
      <c r="F3023" s="19" t="str">
        <f>IFERROR(__xludf.DUMMYFUNCTION("""COMPUTED_VALUE"""),"BLACK")</f>
        <v>BLACK</v>
      </c>
      <c r="G3023" s="20" t="str">
        <f>IFERROR(__xludf.DUMMYFUNCTION("""COMPUTED_VALUE"""),"Uncle Sams Cider (04/04/2023)")</f>
        <v>Uncle Sams Cider (04/04/2023)</v>
      </c>
      <c r="H3023" s="19"/>
    </row>
    <row r="3024">
      <c r="A3024" s="9"/>
      <c r="B3024" s="15"/>
      <c r="C3024" s="9">
        <f>IFERROR(__xludf.DUMMYFUNCTION("""COMPUTED_VALUE"""),45113.0009999305)</f>
        <v>45113.001</v>
      </c>
      <c r="D3024" s="15">
        <f>IFERROR(__xludf.DUMMYFUNCTION("""COMPUTED_VALUE"""),1.004)</f>
        <v>1.004</v>
      </c>
      <c r="E3024" s="16">
        <f>IFERROR(__xludf.DUMMYFUNCTION("""COMPUTED_VALUE"""),72.0)</f>
        <v>72</v>
      </c>
      <c r="F3024" s="19" t="str">
        <f>IFERROR(__xludf.DUMMYFUNCTION("""COMPUTED_VALUE"""),"BLACK")</f>
        <v>BLACK</v>
      </c>
      <c r="G3024" s="20" t="str">
        <f>IFERROR(__xludf.DUMMYFUNCTION("""COMPUTED_VALUE"""),"Uncle Sams Cider (04/04/2023)")</f>
        <v>Uncle Sams Cider (04/04/2023)</v>
      </c>
      <c r="H3024" s="19"/>
    </row>
    <row r="3025">
      <c r="A3025" s="9"/>
      <c r="B3025" s="15"/>
      <c r="C3025" s="9">
        <f>IFERROR(__xludf.DUMMYFUNCTION("""COMPUTED_VALUE"""),45112.9905783564)</f>
        <v>45112.99058</v>
      </c>
      <c r="D3025" s="15">
        <f>IFERROR(__xludf.DUMMYFUNCTION("""COMPUTED_VALUE"""),1.004)</f>
        <v>1.004</v>
      </c>
      <c r="E3025" s="16">
        <f>IFERROR(__xludf.DUMMYFUNCTION("""COMPUTED_VALUE"""),72.0)</f>
        <v>72</v>
      </c>
      <c r="F3025" s="19" t="str">
        <f>IFERROR(__xludf.DUMMYFUNCTION("""COMPUTED_VALUE"""),"BLACK")</f>
        <v>BLACK</v>
      </c>
      <c r="G3025" s="20" t="str">
        <f>IFERROR(__xludf.DUMMYFUNCTION("""COMPUTED_VALUE"""),"Uncle Sams Cider (04/04/2023)")</f>
        <v>Uncle Sams Cider (04/04/2023)</v>
      </c>
      <c r="H3025" s="19"/>
    </row>
    <row r="3026">
      <c r="A3026" s="9"/>
      <c r="B3026" s="15"/>
      <c r="C3026" s="9">
        <f>IFERROR(__xludf.DUMMYFUNCTION("""COMPUTED_VALUE"""),45112.980156655)</f>
        <v>45112.98016</v>
      </c>
      <c r="D3026" s="15">
        <f>IFERROR(__xludf.DUMMYFUNCTION("""COMPUTED_VALUE"""),1.004)</f>
        <v>1.004</v>
      </c>
      <c r="E3026" s="16">
        <f>IFERROR(__xludf.DUMMYFUNCTION("""COMPUTED_VALUE"""),72.0)</f>
        <v>72</v>
      </c>
      <c r="F3026" s="19" t="str">
        <f>IFERROR(__xludf.DUMMYFUNCTION("""COMPUTED_VALUE"""),"BLACK")</f>
        <v>BLACK</v>
      </c>
      <c r="G3026" s="20" t="str">
        <f>IFERROR(__xludf.DUMMYFUNCTION("""COMPUTED_VALUE"""),"Uncle Sams Cider (04/04/2023)")</f>
        <v>Uncle Sams Cider (04/04/2023)</v>
      </c>
      <c r="H3026" s="19"/>
    </row>
    <row r="3027">
      <c r="A3027" s="9"/>
      <c r="B3027" s="15"/>
      <c r="C3027" s="9">
        <f>IFERROR(__xludf.DUMMYFUNCTION("""COMPUTED_VALUE"""),45112.9697354629)</f>
        <v>45112.96974</v>
      </c>
      <c r="D3027" s="15">
        <f>IFERROR(__xludf.DUMMYFUNCTION("""COMPUTED_VALUE"""),1.004)</f>
        <v>1.004</v>
      </c>
      <c r="E3027" s="16">
        <f>IFERROR(__xludf.DUMMYFUNCTION("""COMPUTED_VALUE"""),72.0)</f>
        <v>72</v>
      </c>
      <c r="F3027" s="19" t="str">
        <f>IFERROR(__xludf.DUMMYFUNCTION("""COMPUTED_VALUE"""),"BLACK")</f>
        <v>BLACK</v>
      </c>
      <c r="G3027" s="20" t="str">
        <f>IFERROR(__xludf.DUMMYFUNCTION("""COMPUTED_VALUE"""),"Uncle Sams Cider (04/04/2023)")</f>
        <v>Uncle Sams Cider (04/04/2023)</v>
      </c>
      <c r="H3027" s="19"/>
    </row>
    <row r="3028">
      <c r="A3028" s="9"/>
      <c r="B3028" s="15"/>
      <c r="C3028" s="9">
        <f>IFERROR(__xludf.DUMMYFUNCTION("""COMPUTED_VALUE"""),45112.9593055439)</f>
        <v>45112.95931</v>
      </c>
      <c r="D3028" s="15">
        <f>IFERROR(__xludf.DUMMYFUNCTION("""COMPUTED_VALUE"""),1.004)</f>
        <v>1.004</v>
      </c>
      <c r="E3028" s="16">
        <f>IFERROR(__xludf.DUMMYFUNCTION("""COMPUTED_VALUE"""),72.0)</f>
        <v>72</v>
      </c>
      <c r="F3028" s="19" t="str">
        <f>IFERROR(__xludf.DUMMYFUNCTION("""COMPUTED_VALUE"""),"BLACK")</f>
        <v>BLACK</v>
      </c>
      <c r="G3028" s="20" t="str">
        <f>IFERROR(__xludf.DUMMYFUNCTION("""COMPUTED_VALUE"""),"Uncle Sams Cider (04/04/2023)")</f>
        <v>Uncle Sams Cider (04/04/2023)</v>
      </c>
      <c r="H3028" s="19"/>
    </row>
    <row r="3029">
      <c r="A3029" s="9"/>
      <c r="B3029" s="15"/>
      <c r="C3029" s="9">
        <f>IFERROR(__xludf.DUMMYFUNCTION("""COMPUTED_VALUE"""),45112.948883993)</f>
        <v>45112.94888</v>
      </c>
      <c r="D3029" s="15">
        <f>IFERROR(__xludf.DUMMYFUNCTION("""COMPUTED_VALUE"""),1.004)</f>
        <v>1.004</v>
      </c>
      <c r="E3029" s="16">
        <f>IFERROR(__xludf.DUMMYFUNCTION("""COMPUTED_VALUE"""),72.0)</f>
        <v>72</v>
      </c>
      <c r="F3029" s="19" t="str">
        <f>IFERROR(__xludf.DUMMYFUNCTION("""COMPUTED_VALUE"""),"BLACK")</f>
        <v>BLACK</v>
      </c>
      <c r="G3029" s="20" t="str">
        <f>IFERROR(__xludf.DUMMYFUNCTION("""COMPUTED_VALUE"""),"Uncle Sams Cider (04/04/2023)")</f>
        <v>Uncle Sams Cider (04/04/2023)</v>
      </c>
      <c r="H3029" s="19"/>
    </row>
    <row r="3030">
      <c r="A3030" s="9"/>
      <c r="B3030" s="15"/>
      <c r="C3030" s="9">
        <f>IFERROR(__xludf.DUMMYFUNCTION("""COMPUTED_VALUE"""),45112.9384524537)</f>
        <v>45112.93845</v>
      </c>
      <c r="D3030" s="15">
        <f>IFERROR(__xludf.DUMMYFUNCTION("""COMPUTED_VALUE"""),1.004)</f>
        <v>1.004</v>
      </c>
      <c r="E3030" s="16">
        <f>IFERROR(__xludf.DUMMYFUNCTION("""COMPUTED_VALUE"""),72.0)</f>
        <v>72</v>
      </c>
      <c r="F3030" s="19" t="str">
        <f>IFERROR(__xludf.DUMMYFUNCTION("""COMPUTED_VALUE"""),"BLACK")</f>
        <v>BLACK</v>
      </c>
      <c r="G3030" s="20" t="str">
        <f>IFERROR(__xludf.DUMMYFUNCTION("""COMPUTED_VALUE"""),"Uncle Sams Cider (04/04/2023)")</f>
        <v>Uncle Sams Cider (04/04/2023)</v>
      </c>
      <c r="H3030" s="19"/>
    </row>
    <row r="3031">
      <c r="A3031" s="9"/>
      <c r="B3031" s="15"/>
      <c r="C3031" s="9">
        <f>IFERROR(__xludf.DUMMYFUNCTION("""COMPUTED_VALUE"""),45112.9279974421)</f>
        <v>45112.928</v>
      </c>
      <c r="D3031" s="15">
        <f>IFERROR(__xludf.DUMMYFUNCTION("""COMPUTED_VALUE"""),1.004)</f>
        <v>1.004</v>
      </c>
      <c r="E3031" s="16">
        <f>IFERROR(__xludf.DUMMYFUNCTION("""COMPUTED_VALUE"""),72.0)</f>
        <v>72</v>
      </c>
      <c r="F3031" s="19" t="str">
        <f>IFERROR(__xludf.DUMMYFUNCTION("""COMPUTED_VALUE"""),"BLACK")</f>
        <v>BLACK</v>
      </c>
      <c r="G3031" s="20" t="str">
        <f>IFERROR(__xludf.DUMMYFUNCTION("""COMPUTED_VALUE"""),"Uncle Sams Cider (04/04/2023)")</f>
        <v>Uncle Sams Cider (04/04/2023)</v>
      </c>
      <c r="H3031" s="19"/>
    </row>
    <row r="3032">
      <c r="A3032" s="9"/>
      <c r="B3032" s="15"/>
      <c r="C3032" s="9">
        <f>IFERROR(__xludf.DUMMYFUNCTION("""COMPUTED_VALUE"""),45112.9175757638)</f>
        <v>45112.91758</v>
      </c>
      <c r="D3032" s="15">
        <f>IFERROR(__xludf.DUMMYFUNCTION("""COMPUTED_VALUE"""),1.004)</f>
        <v>1.004</v>
      </c>
      <c r="E3032" s="16">
        <f>IFERROR(__xludf.DUMMYFUNCTION("""COMPUTED_VALUE"""),72.0)</f>
        <v>72</v>
      </c>
      <c r="F3032" s="19" t="str">
        <f>IFERROR(__xludf.DUMMYFUNCTION("""COMPUTED_VALUE"""),"BLACK")</f>
        <v>BLACK</v>
      </c>
      <c r="G3032" s="20" t="str">
        <f>IFERROR(__xludf.DUMMYFUNCTION("""COMPUTED_VALUE"""),"Uncle Sams Cider (04/04/2023)")</f>
        <v>Uncle Sams Cider (04/04/2023)</v>
      </c>
      <c r="H3032" s="19"/>
    </row>
    <row r="3033">
      <c r="A3033" s="9"/>
      <c r="B3033" s="15"/>
      <c r="C3033" s="9">
        <f>IFERROR(__xludf.DUMMYFUNCTION("""COMPUTED_VALUE"""),45112.9071551851)</f>
        <v>45112.90716</v>
      </c>
      <c r="D3033" s="15">
        <f>IFERROR(__xludf.DUMMYFUNCTION("""COMPUTED_VALUE"""),1.004)</f>
        <v>1.004</v>
      </c>
      <c r="E3033" s="16">
        <f>IFERROR(__xludf.DUMMYFUNCTION("""COMPUTED_VALUE"""),72.0)</f>
        <v>72</v>
      </c>
      <c r="F3033" s="19" t="str">
        <f>IFERROR(__xludf.DUMMYFUNCTION("""COMPUTED_VALUE"""),"BLACK")</f>
        <v>BLACK</v>
      </c>
      <c r="G3033" s="20" t="str">
        <f>IFERROR(__xludf.DUMMYFUNCTION("""COMPUTED_VALUE"""),"Uncle Sams Cider (04/04/2023)")</f>
        <v>Uncle Sams Cider (04/04/2023)</v>
      </c>
      <c r="H3033" s="19"/>
    </row>
    <row r="3034">
      <c r="A3034" s="9"/>
      <c r="B3034" s="15"/>
      <c r="C3034" s="9">
        <f>IFERROR(__xludf.DUMMYFUNCTION("""COMPUTED_VALUE"""),45112.8967326041)</f>
        <v>45112.89673</v>
      </c>
      <c r="D3034" s="15">
        <f>IFERROR(__xludf.DUMMYFUNCTION("""COMPUTED_VALUE"""),1.004)</f>
        <v>1.004</v>
      </c>
      <c r="E3034" s="16">
        <f>IFERROR(__xludf.DUMMYFUNCTION("""COMPUTED_VALUE"""),72.0)</f>
        <v>72</v>
      </c>
      <c r="F3034" s="19" t="str">
        <f>IFERROR(__xludf.DUMMYFUNCTION("""COMPUTED_VALUE"""),"BLACK")</f>
        <v>BLACK</v>
      </c>
      <c r="G3034" s="20" t="str">
        <f>IFERROR(__xludf.DUMMYFUNCTION("""COMPUTED_VALUE"""),"Uncle Sams Cider (04/04/2023)")</f>
        <v>Uncle Sams Cider (04/04/2023)</v>
      </c>
      <c r="H3034" s="19"/>
    </row>
    <row r="3035">
      <c r="A3035" s="9"/>
      <c r="B3035" s="15"/>
      <c r="C3035" s="9">
        <f>IFERROR(__xludf.DUMMYFUNCTION("""COMPUTED_VALUE"""),45112.8863120833)</f>
        <v>45112.88631</v>
      </c>
      <c r="D3035" s="15">
        <f>IFERROR(__xludf.DUMMYFUNCTION("""COMPUTED_VALUE"""),1.004)</f>
        <v>1.004</v>
      </c>
      <c r="E3035" s="16">
        <f>IFERROR(__xludf.DUMMYFUNCTION("""COMPUTED_VALUE"""),72.0)</f>
        <v>72</v>
      </c>
      <c r="F3035" s="19" t="str">
        <f>IFERROR(__xludf.DUMMYFUNCTION("""COMPUTED_VALUE"""),"BLACK")</f>
        <v>BLACK</v>
      </c>
      <c r="G3035" s="20" t="str">
        <f>IFERROR(__xludf.DUMMYFUNCTION("""COMPUTED_VALUE"""),"Uncle Sams Cider (04/04/2023)")</f>
        <v>Uncle Sams Cider (04/04/2023)</v>
      </c>
      <c r="H3035" s="19"/>
    </row>
    <row r="3036">
      <c r="A3036" s="9"/>
      <c r="B3036" s="15"/>
      <c r="C3036" s="9">
        <f>IFERROR(__xludf.DUMMYFUNCTION("""COMPUTED_VALUE"""),45112.8758320601)</f>
        <v>45112.87583</v>
      </c>
      <c r="D3036" s="15">
        <f>IFERROR(__xludf.DUMMYFUNCTION("""COMPUTED_VALUE"""),1.004)</f>
        <v>1.004</v>
      </c>
      <c r="E3036" s="16">
        <f>IFERROR(__xludf.DUMMYFUNCTION("""COMPUTED_VALUE"""),72.0)</f>
        <v>72</v>
      </c>
      <c r="F3036" s="19" t="str">
        <f>IFERROR(__xludf.DUMMYFUNCTION("""COMPUTED_VALUE"""),"BLACK")</f>
        <v>BLACK</v>
      </c>
      <c r="G3036" s="20" t="str">
        <f>IFERROR(__xludf.DUMMYFUNCTION("""COMPUTED_VALUE"""),"Uncle Sams Cider (04/04/2023)")</f>
        <v>Uncle Sams Cider (04/04/2023)</v>
      </c>
      <c r="H3036" s="19"/>
    </row>
    <row r="3037">
      <c r="A3037" s="9"/>
      <c r="B3037" s="15"/>
      <c r="C3037" s="9">
        <f>IFERROR(__xludf.DUMMYFUNCTION("""COMPUTED_VALUE"""),45112.8654111342)</f>
        <v>45112.86541</v>
      </c>
      <c r="D3037" s="15">
        <f>IFERROR(__xludf.DUMMYFUNCTION("""COMPUTED_VALUE"""),1.004)</f>
        <v>1.004</v>
      </c>
      <c r="E3037" s="16">
        <f>IFERROR(__xludf.DUMMYFUNCTION("""COMPUTED_VALUE"""),72.0)</f>
        <v>72</v>
      </c>
      <c r="F3037" s="19" t="str">
        <f>IFERROR(__xludf.DUMMYFUNCTION("""COMPUTED_VALUE"""),"BLACK")</f>
        <v>BLACK</v>
      </c>
      <c r="G3037" s="20" t="str">
        <f>IFERROR(__xludf.DUMMYFUNCTION("""COMPUTED_VALUE"""),"Uncle Sams Cider (04/04/2023)")</f>
        <v>Uncle Sams Cider (04/04/2023)</v>
      </c>
      <c r="H3037" s="19"/>
    </row>
    <row r="3038">
      <c r="A3038" s="9"/>
      <c r="B3038" s="15"/>
      <c r="C3038" s="9">
        <f>IFERROR(__xludf.DUMMYFUNCTION("""COMPUTED_VALUE"""),45112.8549789236)</f>
        <v>45112.85498</v>
      </c>
      <c r="D3038" s="15">
        <f>IFERROR(__xludf.DUMMYFUNCTION("""COMPUTED_VALUE"""),1.004)</f>
        <v>1.004</v>
      </c>
      <c r="E3038" s="16">
        <f>IFERROR(__xludf.DUMMYFUNCTION("""COMPUTED_VALUE"""),72.0)</f>
        <v>72</v>
      </c>
      <c r="F3038" s="19" t="str">
        <f>IFERROR(__xludf.DUMMYFUNCTION("""COMPUTED_VALUE"""),"BLACK")</f>
        <v>BLACK</v>
      </c>
      <c r="G3038" s="20" t="str">
        <f>IFERROR(__xludf.DUMMYFUNCTION("""COMPUTED_VALUE"""),"Uncle Sams Cider (04/04/2023)")</f>
        <v>Uncle Sams Cider (04/04/2023)</v>
      </c>
      <c r="H3038" s="19"/>
    </row>
    <row r="3039">
      <c r="A3039" s="9"/>
      <c r="B3039" s="15"/>
      <c r="C3039" s="9">
        <f>IFERROR(__xludf.DUMMYFUNCTION("""COMPUTED_VALUE"""),45112.8445596064)</f>
        <v>45112.84456</v>
      </c>
      <c r="D3039" s="15">
        <f>IFERROR(__xludf.DUMMYFUNCTION("""COMPUTED_VALUE"""),1.004)</f>
        <v>1.004</v>
      </c>
      <c r="E3039" s="16">
        <f>IFERROR(__xludf.DUMMYFUNCTION("""COMPUTED_VALUE"""),72.0)</f>
        <v>72</v>
      </c>
      <c r="F3039" s="19" t="str">
        <f>IFERROR(__xludf.DUMMYFUNCTION("""COMPUTED_VALUE"""),"BLACK")</f>
        <v>BLACK</v>
      </c>
      <c r="G3039" s="20" t="str">
        <f>IFERROR(__xludf.DUMMYFUNCTION("""COMPUTED_VALUE"""),"Uncle Sams Cider (04/04/2023)")</f>
        <v>Uncle Sams Cider (04/04/2023)</v>
      </c>
      <c r="H3039" s="19"/>
    </row>
    <row r="3040">
      <c r="A3040" s="9"/>
      <c r="B3040" s="15"/>
      <c r="C3040" s="9">
        <f>IFERROR(__xludf.DUMMYFUNCTION("""COMPUTED_VALUE"""),45112.834139375)</f>
        <v>45112.83414</v>
      </c>
      <c r="D3040" s="15">
        <f>IFERROR(__xludf.DUMMYFUNCTION("""COMPUTED_VALUE"""),1.004)</f>
        <v>1.004</v>
      </c>
      <c r="E3040" s="16">
        <f>IFERROR(__xludf.DUMMYFUNCTION("""COMPUTED_VALUE"""),72.0)</f>
        <v>72</v>
      </c>
      <c r="F3040" s="19" t="str">
        <f>IFERROR(__xludf.DUMMYFUNCTION("""COMPUTED_VALUE"""),"BLACK")</f>
        <v>BLACK</v>
      </c>
      <c r="G3040" s="20" t="str">
        <f>IFERROR(__xludf.DUMMYFUNCTION("""COMPUTED_VALUE"""),"Uncle Sams Cider (04/04/2023)")</f>
        <v>Uncle Sams Cider (04/04/2023)</v>
      </c>
      <c r="H3040" s="19"/>
    </row>
    <row r="3041">
      <c r="A3041" s="9"/>
      <c r="B3041" s="15"/>
      <c r="C3041" s="9">
        <f>IFERROR(__xludf.DUMMYFUNCTION("""COMPUTED_VALUE"""),45112.8237062847)</f>
        <v>45112.82371</v>
      </c>
      <c r="D3041" s="15">
        <f>IFERROR(__xludf.DUMMYFUNCTION("""COMPUTED_VALUE"""),1.004)</f>
        <v>1.004</v>
      </c>
      <c r="E3041" s="16">
        <f>IFERROR(__xludf.DUMMYFUNCTION("""COMPUTED_VALUE"""),72.0)</f>
        <v>72</v>
      </c>
      <c r="F3041" s="19" t="str">
        <f>IFERROR(__xludf.DUMMYFUNCTION("""COMPUTED_VALUE"""),"BLACK")</f>
        <v>BLACK</v>
      </c>
      <c r="G3041" s="20" t="str">
        <f>IFERROR(__xludf.DUMMYFUNCTION("""COMPUTED_VALUE"""),"Uncle Sams Cider (04/04/2023)")</f>
        <v>Uncle Sams Cider (04/04/2023)</v>
      </c>
      <c r="H3041" s="19"/>
    </row>
    <row r="3042">
      <c r="A3042" s="9"/>
      <c r="B3042" s="15"/>
      <c r="C3042" s="9">
        <f>IFERROR(__xludf.DUMMYFUNCTION("""COMPUTED_VALUE"""),45112.8132746875)</f>
        <v>45112.81327</v>
      </c>
      <c r="D3042" s="15">
        <f>IFERROR(__xludf.DUMMYFUNCTION("""COMPUTED_VALUE"""),1.004)</f>
        <v>1.004</v>
      </c>
      <c r="E3042" s="16">
        <f>IFERROR(__xludf.DUMMYFUNCTION("""COMPUTED_VALUE"""),72.0)</f>
        <v>72</v>
      </c>
      <c r="F3042" s="19" t="str">
        <f>IFERROR(__xludf.DUMMYFUNCTION("""COMPUTED_VALUE"""),"BLACK")</f>
        <v>BLACK</v>
      </c>
      <c r="G3042" s="20" t="str">
        <f>IFERROR(__xludf.DUMMYFUNCTION("""COMPUTED_VALUE"""),"Uncle Sams Cider (04/04/2023)")</f>
        <v>Uncle Sams Cider (04/04/2023)</v>
      </c>
      <c r="H3042" s="19"/>
    </row>
    <row r="3043">
      <c r="A3043" s="9"/>
      <c r="B3043" s="15"/>
      <c r="C3043" s="9">
        <f>IFERROR(__xludf.DUMMYFUNCTION("""COMPUTED_VALUE"""),45112.802854537)</f>
        <v>45112.80285</v>
      </c>
      <c r="D3043" s="15">
        <f>IFERROR(__xludf.DUMMYFUNCTION("""COMPUTED_VALUE"""),1.004)</f>
        <v>1.004</v>
      </c>
      <c r="E3043" s="16">
        <f>IFERROR(__xludf.DUMMYFUNCTION("""COMPUTED_VALUE"""),72.0)</f>
        <v>72</v>
      </c>
      <c r="F3043" s="19" t="str">
        <f>IFERROR(__xludf.DUMMYFUNCTION("""COMPUTED_VALUE"""),"BLACK")</f>
        <v>BLACK</v>
      </c>
      <c r="G3043" s="20" t="str">
        <f>IFERROR(__xludf.DUMMYFUNCTION("""COMPUTED_VALUE"""),"Uncle Sams Cider (04/04/2023)")</f>
        <v>Uncle Sams Cider (04/04/2023)</v>
      </c>
      <c r="H3043" s="19"/>
    </row>
    <row r="3044">
      <c r="A3044" s="9"/>
      <c r="B3044" s="15"/>
      <c r="C3044" s="9">
        <f>IFERROR(__xludf.DUMMYFUNCTION("""COMPUTED_VALUE"""),45112.7924323958)</f>
        <v>45112.79243</v>
      </c>
      <c r="D3044" s="15">
        <f>IFERROR(__xludf.DUMMYFUNCTION("""COMPUTED_VALUE"""),1.004)</f>
        <v>1.004</v>
      </c>
      <c r="E3044" s="16">
        <f>IFERROR(__xludf.DUMMYFUNCTION("""COMPUTED_VALUE"""),72.0)</f>
        <v>72</v>
      </c>
      <c r="F3044" s="19" t="str">
        <f>IFERROR(__xludf.DUMMYFUNCTION("""COMPUTED_VALUE"""),"BLACK")</f>
        <v>BLACK</v>
      </c>
      <c r="G3044" s="20" t="str">
        <f>IFERROR(__xludf.DUMMYFUNCTION("""COMPUTED_VALUE"""),"Uncle Sams Cider (04/04/2023)")</f>
        <v>Uncle Sams Cider (04/04/2023)</v>
      </c>
      <c r="H3044" s="19"/>
    </row>
    <row r="3045">
      <c r="A3045" s="9"/>
      <c r="B3045" s="15"/>
      <c r="C3045" s="9">
        <f>IFERROR(__xludf.DUMMYFUNCTION("""COMPUTED_VALUE"""),45112.7820108796)</f>
        <v>45112.78201</v>
      </c>
      <c r="D3045" s="15">
        <f>IFERROR(__xludf.DUMMYFUNCTION("""COMPUTED_VALUE"""),1.004)</f>
        <v>1.004</v>
      </c>
      <c r="E3045" s="16">
        <f>IFERROR(__xludf.DUMMYFUNCTION("""COMPUTED_VALUE"""),72.0)</f>
        <v>72</v>
      </c>
      <c r="F3045" s="19" t="str">
        <f>IFERROR(__xludf.DUMMYFUNCTION("""COMPUTED_VALUE"""),"BLACK")</f>
        <v>BLACK</v>
      </c>
      <c r="G3045" s="20" t="str">
        <f>IFERROR(__xludf.DUMMYFUNCTION("""COMPUTED_VALUE"""),"Uncle Sams Cider (04/04/2023)")</f>
        <v>Uncle Sams Cider (04/04/2023)</v>
      </c>
      <c r="H3045" s="19"/>
    </row>
    <row r="3046">
      <c r="A3046" s="9"/>
      <c r="B3046" s="15"/>
      <c r="C3046" s="9">
        <f>IFERROR(__xludf.DUMMYFUNCTION("""COMPUTED_VALUE"""),45112.7715902546)</f>
        <v>45112.77159</v>
      </c>
      <c r="D3046" s="15">
        <f>IFERROR(__xludf.DUMMYFUNCTION("""COMPUTED_VALUE"""),1.004)</f>
        <v>1.004</v>
      </c>
      <c r="E3046" s="16">
        <f>IFERROR(__xludf.DUMMYFUNCTION("""COMPUTED_VALUE"""),72.0)</f>
        <v>72</v>
      </c>
      <c r="F3046" s="19" t="str">
        <f>IFERROR(__xludf.DUMMYFUNCTION("""COMPUTED_VALUE"""),"BLACK")</f>
        <v>BLACK</v>
      </c>
      <c r="G3046" s="20" t="str">
        <f>IFERROR(__xludf.DUMMYFUNCTION("""COMPUTED_VALUE"""),"Uncle Sams Cider (04/04/2023)")</f>
        <v>Uncle Sams Cider (04/04/2023)</v>
      </c>
      <c r="H3046" s="19"/>
    </row>
    <row r="3047">
      <c r="A3047" s="9"/>
      <c r="B3047" s="15"/>
      <c r="C3047" s="9">
        <f>IFERROR(__xludf.DUMMYFUNCTION("""COMPUTED_VALUE"""),45112.7611674652)</f>
        <v>45112.76117</v>
      </c>
      <c r="D3047" s="15">
        <f>IFERROR(__xludf.DUMMYFUNCTION("""COMPUTED_VALUE"""),1.004)</f>
        <v>1.004</v>
      </c>
      <c r="E3047" s="16">
        <f>IFERROR(__xludf.DUMMYFUNCTION("""COMPUTED_VALUE"""),72.0)</f>
        <v>72</v>
      </c>
      <c r="F3047" s="19" t="str">
        <f>IFERROR(__xludf.DUMMYFUNCTION("""COMPUTED_VALUE"""),"BLACK")</f>
        <v>BLACK</v>
      </c>
      <c r="G3047" s="20" t="str">
        <f>IFERROR(__xludf.DUMMYFUNCTION("""COMPUTED_VALUE"""),"Uncle Sams Cider (04/04/2023)")</f>
        <v>Uncle Sams Cider (04/04/2023)</v>
      </c>
      <c r="H3047" s="19"/>
    </row>
    <row r="3048">
      <c r="A3048" s="9"/>
      <c r="B3048" s="15"/>
      <c r="C3048" s="9">
        <f>IFERROR(__xludf.DUMMYFUNCTION("""COMPUTED_VALUE"""),45112.7507455787)</f>
        <v>45112.75075</v>
      </c>
      <c r="D3048" s="15">
        <f>IFERROR(__xludf.DUMMYFUNCTION("""COMPUTED_VALUE"""),1.004)</f>
        <v>1.004</v>
      </c>
      <c r="E3048" s="16">
        <f>IFERROR(__xludf.DUMMYFUNCTION("""COMPUTED_VALUE"""),72.0)</f>
        <v>72</v>
      </c>
      <c r="F3048" s="19" t="str">
        <f>IFERROR(__xludf.DUMMYFUNCTION("""COMPUTED_VALUE"""),"BLACK")</f>
        <v>BLACK</v>
      </c>
      <c r="G3048" s="20" t="str">
        <f>IFERROR(__xludf.DUMMYFUNCTION("""COMPUTED_VALUE"""),"Uncle Sams Cider (04/04/2023)")</f>
        <v>Uncle Sams Cider (04/04/2023)</v>
      </c>
      <c r="H3048" s="19"/>
    </row>
    <row r="3049">
      <c r="A3049" s="9"/>
      <c r="B3049" s="15"/>
      <c r="C3049" s="9">
        <f>IFERROR(__xludf.DUMMYFUNCTION("""COMPUTED_VALUE"""),45112.7403233101)</f>
        <v>45112.74032</v>
      </c>
      <c r="D3049" s="15">
        <f>IFERROR(__xludf.DUMMYFUNCTION("""COMPUTED_VALUE"""),1.004)</f>
        <v>1.004</v>
      </c>
      <c r="E3049" s="16">
        <f>IFERROR(__xludf.DUMMYFUNCTION("""COMPUTED_VALUE"""),72.0)</f>
        <v>72</v>
      </c>
      <c r="F3049" s="19" t="str">
        <f>IFERROR(__xludf.DUMMYFUNCTION("""COMPUTED_VALUE"""),"BLACK")</f>
        <v>BLACK</v>
      </c>
      <c r="G3049" s="20" t="str">
        <f>IFERROR(__xludf.DUMMYFUNCTION("""COMPUTED_VALUE"""),"Uncle Sams Cider (04/04/2023)")</f>
        <v>Uncle Sams Cider (04/04/2023)</v>
      </c>
      <c r="H3049" s="19"/>
    </row>
    <row r="3050">
      <c r="A3050" s="9"/>
      <c r="B3050" s="15"/>
      <c r="C3050" s="9">
        <f>IFERROR(__xludf.DUMMYFUNCTION("""COMPUTED_VALUE"""),45112.7298794328)</f>
        <v>45112.72988</v>
      </c>
      <c r="D3050" s="15">
        <f>IFERROR(__xludf.DUMMYFUNCTION("""COMPUTED_VALUE"""),1.004)</f>
        <v>1.004</v>
      </c>
      <c r="E3050" s="16">
        <f>IFERROR(__xludf.DUMMYFUNCTION("""COMPUTED_VALUE"""),72.0)</f>
        <v>72</v>
      </c>
      <c r="F3050" s="19" t="str">
        <f>IFERROR(__xludf.DUMMYFUNCTION("""COMPUTED_VALUE"""),"BLACK")</f>
        <v>BLACK</v>
      </c>
      <c r="G3050" s="20" t="str">
        <f>IFERROR(__xludf.DUMMYFUNCTION("""COMPUTED_VALUE"""),"Uncle Sams Cider (04/04/2023)")</f>
        <v>Uncle Sams Cider (04/04/2023)</v>
      </c>
      <c r="H3050" s="19"/>
    </row>
    <row r="3051">
      <c r="A3051" s="9"/>
      <c r="B3051" s="15"/>
      <c r="C3051" s="9">
        <f>IFERROR(__xludf.DUMMYFUNCTION("""COMPUTED_VALUE"""),45112.719445787)</f>
        <v>45112.71945</v>
      </c>
      <c r="D3051" s="15">
        <f>IFERROR(__xludf.DUMMYFUNCTION("""COMPUTED_VALUE"""),1.004)</f>
        <v>1.004</v>
      </c>
      <c r="E3051" s="16">
        <f>IFERROR(__xludf.DUMMYFUNCTION("""COMPUTED_VALUE"""),72.0)</f>
        <v>72</v>
      </c>
      <c r="F3051" s="19" t="str">
        <f>IFERROR(__xludf.DUMMYFUNCTION("""COMPUTED_VALUE"""),"BLACK")</f>
        <v>BLACK</v>
      </c>
      <c r="G3051" s="20" t="str">
        <f>IFERROR(__xludf.DUMMYFUNCTION("""COMPUTED_VALUE"""),"Uncle Sams Cider (04/04/2023)")</f>
        <v>Uncle Sams Cider (04/04/2023)</v>
      </c>
      <c r="H3051" s="19"/>
    </row>
    <row r="3052">
      <c r="A3052" s="9"/>
      <c r="B3052" s="15"/>
      <c r="C3052" s="9">
        <f>IFERROR(__xludf.DUMMYFUNCTION("""COMPUTED_VALUE"""),45112.709000405)</f>
        <v>45112.709</v>
      </c>
      <c r="D3052" s="15">
        <f>IFERROR(__xludf.DUMMYFUNCTION("""COMPUTED_VALUE"""),1.004)</f>
        <v>1.004</v>
      </c>
      <c r="E3052" s="16">
        <f>IFERROR(__xludf.DUMMYFUNCTION("""COMPUTED_VALUE"""),72.0)</f>
        <v>72</v>
      </c>
      <c r="F3052" s="19" t="str">
        <f>IFERROR(__xludf.DUMMYFUNCTION("""COMPUTED_VALUE"""),"BLACK")</f>
        <v>BLACK</v>
      </c>
      <c r="G3052" s="20" t="str">
        <f>IFERROR(__xludf.DUMMYFUNCTION("""COMPUTED_VALUE"""),"Uncle Sams Cider (04/04/2023)")</f>
        <v>Uncle Sams Cider (04/04/2023)</v>
      </c>
      <c r="H3052" s="19"/>
    </row>
    <row r="3053">
      <c r="A3053" s="9"/>
      <c r="B3053" s="15"/>
      <c r="C3053" s="9">
        <f>IFERROR(__xludf.DUMMYFUNCTION("""COMPUTED_VALUE"""),45112.6985800926)</f>
        <v>45112.69858</v>
      </c>
      <c r="D3053" s="15">
        <f>IFERROR(__xludf.DUMMYFUNCTION("""COMPUTED_VALUE"""),1.004)</f>
        <v>1.004</v>
      </c>
      <c r="E3053" s="16">
        <f>IFERROR(__xludf.DUMMYFUNCTION("""COMPUTED_VALUE"""),72.0)</f>
        <v>72</v>
      </c>
      <c r="F3053" s="19" t="str">
        <f>IFERROR(__xludf.DUMMYFUNCTION("""COMPUTED_VALUE"""),"BLACK")</f>
        <v>BLACK</v>
      </c>
      <c r="G3053" s="20" t="str">
        <f>IFERROR(__xludf.DUMMYFUNCTION("""COMPUTED_VALUE"""),"Uncle Sams Cider (04/04/2023)")</f>
        <v>Uncle Sams Cider (04/04/2023)</v>
      </c>
      <c r="H3053" s="19"/>
    </row>
    <row r="3054">
      <c r="A3054" s="9"/>
      <c r="B3054" s="15"/>
      <c r="C3054" s="9">
        <f>IFERROR(__xludf.DUMMYFUNCTION("""COMPUTED_VALUE"""),45112.6881604398)</f>
        <v>45112.68816</v>
      </c>
      <c r="D3054" s="15">
        <f>IFERROR(__xludf.DUMMYFUNCTION("""COMPUTED_VALUE"""),1.004)</f>
        <v>1.004</v>
      </c>
      <c r="E3054" s="16">
        <f>IFERROR(__xludf.DUMMYFUNCTION("""COMPUTED_VALUE"""),72.0)</f>
        <v>72</v>
      </c>
      <c r="F3054" s="19" t="str">
        <f>IFERROR(__xludf.DUMMYFUNCTION("""COMPUTED_VALUE"""),"BLACK")</f>
        <v>BLACK</v>
      </c>
      <c r="G3054" s="20" t="str">
        <f>IFERROR(__xludf.DUMMYFUNCTION("""COMPUTED_VALUE"""),"Uncle Sams Cider (04/04/2023)")</f>
        <v>Uncle Sams Cider (04/04/2023)</v>
      </c>
      <c r="H3054" s="19"/>
    </row>
    <row r="3055">
      <c r="A3055" s="9"/>
      <c r="B3055" s="15"/>
      <c r="C3055" s="9">
        <f>IFERROR(__xludf.DUMMYFUNCTION("""COMPUTED_VALUE"""),45112.6777297338)</f>
        <v>45112.67773</v>
      </c>
      <c r="D3055" s="15">
        <f>IFERROR(__xludf.DUMMYFUNCTION("""COMPUTED_VALUE"""),1.004)</f>
        <v>1.004</v>
      </c>
      <c r="E3055" s="16">
        <f>IFERROR(__xludf.DUMMYFUNCTION("""COMPUTED_VALUE"""),72.0)</f>
        <v>72</v>
      </c>
      <c r="F3055" s="19" t="str">
        <f>IFERROR(__xludf.DUMMYFUNCTION("""COMPUTED_VALUE"""),"BLACK")</f>
        <v>BLACK</v>
      </c>
      <c r="G3055" s="20" t="str">
        <f>IFERROR(__xludf.DUMMYFUNCTION("""COMPUTED_VALUE"""),"Uncle Sams Cider (04/04/2023)")</f>
        <v>Uncle Sams Cider (04/04/2023)</v>
      </c>
      <c r="H3055" s="19"/>
    </row>
    <row r="3056">
      <c r="A3056" s="9"/>
      <c r="B3056" s="15"/>
      <c r="C3056" s="9">
        <f>IFERROR(__xludf.DUMMYFUNCTION("""COMPUTED_VALUE"""),45112.6673097916)</f>
        <v>45112.66731</v>
      </c>
      <c r="D3056" s="15">
        <f>IFERROR(__xludf.DUMMYFUNCTION("""COMPUTED_VALUE"""),1.004)</f>
        <v>1.004</v>
      </c>
      <c r="E3056" s="16">
        <f>IFERROR(__xludf.DUMMYFUNCTION("""COMPUTED_VALUE"""),72.0)</f>
        <v>72</v>
      </c>
      <c r="F3056" s="19" t="str">
        <f>IFERROR(__xludf.DUMMYFUNCTION("""COMPUTED_VALUE"""),"BLACK")</f>
        <v>BLACK</v>
      </c>
      <c r="G3056" s="20" t="str">
        <f>IFERROR(__xludf.DUMMYFUNCTION("""COMPUTED_VALUE"""),"Uncle Sams Cider (04/04/2023)")</f>
        <v>Uncle Sams Cider (04/04/2023)</v>
      </c>
      <c r="H3056" s="19"/>
    </row>
    <row r="3057">
      <c r="A3057" s="9"/>
      <c r="B3057" s="15"/>
      <c r="C3057" s="9">
        <f>IFERROR(__xludf.DUMMYFUNCTION("""COMPUTED_VALUE"""),45112.6568861226)</f>
        <v>45112.65689</v>
      </c>
      <c r="D3057" s="15">
        <f>IFERROR(__xludf.DUMMYFUNCTION("""COMPUTED_VALUE"""),1.004)</f>
        <v>1.004</v>
      </c>
      <c r="E3057" s="16">
        <f>IFERROR(__xludf.DUMMYFUNCTION("""COMPUTED_VALUE"""),72.0)</f>
        <v>72</v>
      </c>
      <c r="F3057" s="19" t="str">
        <f>IFERROR(__xludf.DUMMYFUNCTION("""COMPUTED_VALUE"""),"BLACK")</f>
        <v>BLACK</v>
      </c>
      <c r="G3057" s="20" t="str">
        <f>IFERROR(__xludf.DUMMYFUNCTION("""COMPUTED_VALUE"""),"Uncle Sams Cider (04/04/2023)")</f>
        <v>Uncle Sams Cider (04/04/2023)</v>
      </c>
      <c r="H3057" s="19"/>
    </row>
    <row r="3058">
      <c r="A3058" s="9"/>
      <c r="B3058" s="15"/>
      <c r="C3058" s="9">
        <f>IFERROR(__xludf.DUMMYFUNCTION("""COMPUTED_VALUE"""),45112.6464651157)</f>
        <v>45112.64647</v>
      </c>
      <c r="D3058" s="15">
        <f>IFERROR(__xludf.DUMMYFUNCTION("""COMPUTED_VALUE"""),1.004)</f>
        <v>1.004</v>
      </c>
      <c r="E3058" s="16">
        <f>IFERROR(__xludf.DUMMYFUNCTION("""COMPUTED_VALUE"""),72.0)</f>
        <v>72</v>
      </c>
      <c r="F3058" s="19" t="str">
        <f>IFERROR(__xludf.DUMMYFUNCTION("""COMPUTED_VALUE"""),"BLACK")</f>
        <v>BLACK</v>
      </c>
      <c r="G3058" s="20" t="str">
        <f>IFERROR(__xludf.DUMMYFUNCTION("""COMPUTED_VALUE"""),"Uncle Sams Cider (04/04/2023)")</f>
        <v>Uncle Sams Cider (04/04/2023)</v>
      </c>
      <c r="H3058" s="19"/>
    </row>
    <row r="3059">
      <c r="A3059" s="9"/>
      <c r="B3059" s="15"/>
      <c r="C3059" s="9">
        <f>IFERROR(__xludf.DUMMYFUNCTION("""COMPUTED_VALUE"""),45112.6360428819)</f>
        <v>45112.63604</v>
      </c>
      <c r="D3059" s="15">
        <f>IFERROR(__xludf.DUMMYFUNCTION("""COMPUTED_VALUE"""),1.004)</f>
        <v>1.004</v>
      </c>
      <c r="E3059" s="16">
        <f>IFERROR(__xludf.DUMMYFUNCTION("""COMPUTED_VALUE"""),72.0)</f>
        <v>72</v>
      </c>
      <c r="F3059" s="19" t="str">
        <f>IFERROR(__xludf.DUMMYFUNCTION("""COMPUTED_VALUE"""),"BLACK")</f>
        <v>BLACK</v>
      </c>
      <c r="G3059" s="20" t="str">
        <f>IFERROR(__xludf.DUMMYFUNCTION("""COMPUTED_VALUE"""),"Uncle Sams Cider (04/04/2023)")</f>
        <v>Uncle Sams Cider (04/04/2023)</v>
      </c>
      <c r="H3059" s="19"/>
    </row>
    <row r="3060">
      <c r="A3060" s="9"/>
      <c r="B3060" s="15"/>
      <c r="C3060" s="9">
        <f>IFERROR(__xludf.DUMMYFUNCTION("""COMPUTED_VALUE"""),45112.6256225)</f>
        <v>45112.62562</v>
      </c>
      <c r="D3060" s="15">
        <f>IFERROR(__xludf.DUMMYFUNCTION("""COMPUTED_VALUE"""),1.004)</f>
        <v>1.004</v>
      </c>
      <c r="E3060" s="16">
        <f>IFERROR(__xludf.DUMMYFUNCTION("""COMPUTED_VALUE"""),72.0)</f>
        <v>72</v>
      </c>
      <c r="F3060" s="19" t="str">
        <f>IFERROR(__xludf.DUMMYFUNCTION("""COMPUTED_VALUE"""),"BLACK")</f>
        <v>BLACK</v>
      </c>
      <c r="G3060" s="20" t="str">
        <f>IFERROR(__xludf.DUMMYFUNCTION("""COMPUTED_VALUE"""),"Uncle Sams Cider (04/04/2023)")</f>
        <v>Uncle Sams Cider (04/04/2023)</v>
      </c>
      <c r="H3060" s="19"/>
    </row>
    <row r="3061">
      <c r="A3061" s="9"/>
      <c r="B3061" s="15"/>
      <c r="C3061" s="9">
        <f>IFERROR(__xludf.DUMMYFUNCTION("""COMPUTED_VALUE"""),45112.6152014004)</f>
        <v>45112.6152</v>
      </c>
      <c r="D3061" s="15">
        <f>IFERROR(__xludf.DUMMYFUNCTION("""COMPUTED_VALUE"""),1.004)</f>
        <v>1.004</v>
      </c>
      <c r="E3061" s="16">
        <f>IFERROR(__xludf.DUMMYFUNCTION("""COMPUTED_VALUE"""),72.0)</f>
        <v>72</v>
      </c>
      <c r="F3061" s="19" t="str">
        <f>IFERROR(__xludf.DUMMYFUNCTION("""COMPUTED_VALUE"""),"BLACK")</f>
        <v>BLACK</v>
      </c>
      <c r="G3061" s="20" t="str">
        <f>IFERROR(__xludf.DUMMYFUNCTION("""COMPUTED_VALUE"""),"Uncle Sams Cider (04/04/2023)")</f>
        <v>Uncle Sams Cider (04/04/2023)</v>
      </c>
      <c r="H3061" s="19"/>
    </row>
    <row r="3062">
      <c r="A3062" s="9"/>
      <c r="B3062" s="15"/>
      <c r="C3062" s="9">
        <f>IFERROR(__xludf.DUMMYFUNCTION("""COMPUTED_VALUE"""),45112.6047693287)</f>
        <v>45112.60477</v>
      </c>
      <c r="D3062" s="15">
        <f>IFERROR(__xludf.DUMMYFUNCTION("""COMPUTED_VALUE"""),1.004)</f>
        <v>1.004</v>
      </c>
      <c r="E3062" s="16">
        <f>IFERROR(__xludf.DUMMYFUNCTION("""COMPUTED_VALUE"""),72.0)</f>
        <v>72</v>
      </c>
      <c r="F3062" s="19" t="str">
        <f>IFERROR(__xludf.DUMMYFUNCTION("""COMPUTED_VALUE"""),"BLACK")</f>
        <v>BLACK</v>
      </c>
      <c r="G3062" s="20" t="str">
        <f>IFERROR(__xludf.DUMMYFUNCTION("""COMPUTED_VALUE"""),"Uncle Sams Cider (04/04/2023)")</f>
        <v>Uncle Sams Cider (04/04/2023)</v>
      </c>
      <c r="H3062" s="19"/>
    </row>
    <row r="3063">
      <c r="A3063" s="9"/>
      <c r="B3063" s="15"/>
      <c r="C3063" s="9">
        <f>IFERROR(__xludf.DUMMYFUNCTION("""COMPUTED_VALUE"""),45112.594348912)</f>
        <v>45112.59435</v>
      </c>
      <c r="D3063" s="15">
        <f>IFERROR(__xludf.DUMMYFUNCTION("""COMPUTED_VALUE"""),1.004)</f>
        <v>1.004</v>
      </c>
      <c r="E3063" s="16">
        <f>IFERROR(__xludf.DUMMYFUNCTION("""COMPUTED_VALUE"""),72.0)</f>
        <v>72</v>
      </c>
      <c r="F3063" s="19" t="str">
        <f>IFERROR(__xludf.DUMMYFUNCTION("""COMPUTED_VALUE"""),"BLACK")</f>
        <v>BLACK</v>
      </c>
      <c r="G3063" s="20" t="str">
        <f>IFERROR(__xludf.DUMMYFUNCTION("""COMPUTED_VALUE"""),"Uncle Sams Cider (04/04/2023)")</f>
        <v>Uncle Sams Cider (04/04/2023)</v>
      </c>
      <c r="H3063" s="19"/>
    </row>
    <row r="3064">
      <c r="A3064" s="9"/>
      <c r="B3064" s="15"/>
      <c r="C3064" s="9">
        <f>IFERROR(__xludf.DUMMYFUNCTION("""COMPUTED_VALUE"""),45112.5839298148)</f>
        <v>45112.58393</v>
      </c>
      <c r="D3064" s="15">
        <f>IFERROR(__xludf.DUMMYFUNCTION("""COMPUTED_VALUE"""),1.004)</f>
        <v>1.004</v>
      </c>
      <c r="E3064" s="16">
        <f>IFERROR(__xludf.DUMMYFUNCTION("""COMPUTED_VALUE"""),72.0)</f>
        <v>72</v>
      </c>
      <c r="F3064" s="19" t="str">
        <f>IFERROR(__xludf.DUMMYFUNCTION("""COMPUTED_VALUE"""),"BLACK")</f>
        <v>BLACK</v>
      </c>
      <c r="G3064" s="20" t="str">
        <f>IFERROR(__xludf.DUMMYFUNCTION("""COMPUTED_VALUE"""),"Uncle Sams Cider (04/04/2023)")</f>
        <v>Uncle Sams Cider (04/04/2023)</v>
      </c>
      <c r="H3064" s="19"/>
    </row>
    <row r="3065">
      <c r="A3065" s="9"/>
      <c r="B3065" s="15"/>
      <c r="C3065" s="9">
        <f>IFERROR(__xludf.DUMMYFUNCTION("""COMPUTED_VALUE"""),45112.5735083449)</f>
        <v>45112.57351</v>
      </c>
      <c r="D3065" s="15">
        <f>IFERROR(__xludf.DUMMYFUNCTION("""COMPUTED_VALUE"""),1.004)</f>
        <v>1.004</v>
      </c>
      <c r="E3065" s="16">
        <f>IFERROR(__xludf.DUMMYFUNCTION("""COMPUTED_VALUE"""),72.0)</f>
        <v>72</v>
      </c>
      <c r="F3065" s="19" t="str">
        <f>IFERROR(__xludf.DUMMYFUNCTION("""COMPUTED_VALUE"""),"BLACK")</f>
        <v>BLACK</v>
      </c>
      <c r="G3065" s="20" t="str">
        <f>IFERROR(__xludf.DUMMYFUNCTION("""COMPUTED_VALUE"""),"Uncle Sams Cider (04/04/2023)")</f>
        <v>Uncle Sams Cider (04/04/2023)</v>
      </c>
      <c r="H3065" s="19"/>
    </row>
    <row r="3066">
      <c r="A3066" s="9"/>
      <c r="B3066" s="15"/>
      <c r="C3066" s="9">
        <f>IFERROR(__xludf.DUMMYFUNCTION("""COMPUTED_VALUE"""),45112.5630876273)</f>
        <v>45112.56309</v>
      </c>
      <c r="D3066" s="15">
        <f>IFERROR(__xludf.DUMMYFUNCTION("""COMPUTED_VALUE"""),1.004)</f>
        <v>1.004</v>
      </c>
      <c r="E3066" s="16">
        <f>IFERROR(__xludf.DUMMYFUNCTION("""COMPUTED_VALUE"""),72.0)</f>
        <v>72</v>
      </c>
      <c r="F3066" s="19" t="str">
        <f>IFERROR(__xludf.DUMMYFUNCTION("""COMPUTED_VALUE"""),"BLACK")</f>
        <v>BLACK</v>
      </c>
      <c r="G3066" s="20" t="str">
        <f>IFERROR(__xludf.DUMMYFUNCTION("""COMPUTED_VALUE"""),"Uncle Sams Cider (04/04/2023)")</f>
        <v>Uncle Sams Cider (04/04/2023)</v>
      </c>
      <c r="H3066" s="19"/>
    </row>
    <row r="3067">
      <c r="A3067" s="9"/>
      <c r="B3067" s="15"/>
      <c r="C3067" s="9">
        <f>IFERROR(__xludf.DUMMYFUNCTION("""COMPUTED_VALUE"""),45112.5526672916)</f>
        <v>45112.55267</v>
      </c>
      <c r="D3067" s="15">
        <f>IFERROR(__xludf.DUMMYFUNCTION("""COMPUTED_VALUE"""),1.004)</f>
        <v>1.004</v>
      </c>
      <c r="E3067" s="16">
        <f>IFERROR(__xludf.DUMMYFUNCTION("""COMPUTED_VALUE"""),72.0)</f>
        <v>72</v>
      </c>
      <c r="F3067" s="19" t="str">
        <f>IFERROR(__xludf.DUMMYFUNCTION("""COMPUTED_VALUE"""),"BLACK")</f>
        <v>BLACK</v>
      </c>
      <c r="G3067" s="20" t="str">
        <f>IFERROR(__xludf.DUMMYFUNCTION("""COMPUTED_VALUE"""),"Uncle Sams Cider (04/04/2023)")</f>
        <v>Uncle Sams Cider (04/04/2023)</v>
      </c>
      <c r="H3067" s="19"/>
    </row>
    <row r="3068">
      <c r="A3068" s="9"/>
      <c r="B3068" s="15"/>
      <c r="C3068" s="9">
        <f>IFERROR(__xludf.DUMMYFUNCTION("""COMPUTED_VALUE"""),45112.5422474768)</f>
        <v>45112.54225</v>
      </c>
      <c r="D3068" s="15">
        <f>IFERROR(__xludf.DUMMYFUNCTION("""COMPUTED_VALUE"""),1.004)</f>
        <v>1.004</v>
      </c>
      <c r="E3068" s="16">
        <f>IFERROR(__xludf.DUMMYFUNCTION("""COMPUTED_VALUE"""),72.0)</f>
        <v>72</v>
      </c>
      <c r="F3068" s="19" t="str">
        <f>IFERROR(__xludf.DUMMYFUNCTION("""COMPUTED_VALUE"""),"BLACK")</f>
        <v>BLACK</v>
      </c>
      <c r="G3068" s="20" t="str">
        <f>IFERROR(__xludf.DUMMYFUNCTION("""COMPUTED_VALUE"""),"Uncle Sams Cider (04/04/2023)")</f>
        <v>Uncle Sams Cider (04/04/2023)</v>
      </c>
      <c r="H3068" s="19"/>
    </row>
    <row r="3069">
      <c r="A3069" s="9"/>
      <c r="B3069" s="15"/>
      <c r="C3069" s="9">
        <f>IFERROR(__xludf.DUMMYFUNCTION("""COMPUTED_VALUE"""),45112.5318257638)</f>
        <v>45112.53183</v>
      </c>
      <c r="D3069" s="15">
        <f>IFERROR(__xludf.DUMMYFUNCTION("""COMPUTED_VALUE"""),1.004)</f>
        <v>1.004</v>
      </c>
      <c r="E3069" s="16">
        <f>IFERROR(__xludf.DUMMYFUNCTION("""COMPUTED_VALUE"""),72.0)</f>
        <v>72</v>
      </c>
      <c r="F3069" s="19" t="str">
        <f>IFERROR(__xludf.DUMMYFUNCTION("""COMPUTED_VALUE"""),"BLACK")</f>
        <v>BLACK</v>
      </c>
      <c r="G3069" s="20" t="str">
        <f>IFERROR(__xludf.DUMMYFUNCTION("""COMPUTED_VALUE"""),"Uncle Sams Cider (04/04/2023)")</f>
        <v>Uncle Sams Cider (04/04/2023)</v>
      </c>
      <c r="H3069" s="19"/>
    </row>
    <row r="3070">
      <c r="A3070" s="9"/>
      <c r="B3070" s="15"/>
      <c r="C3070" s="9">
        <f>IFERROR(__xludf.DUMMYFUNCTION("""COMPUTED_VALUE"""),45112.5214042939)</f>
        <v>45112.5214</v>
      </c>
      <c r="D3070" s="15">
        <f>IFERROR(__xludf.DUMMYFUNCTION("""COMPUTED_VALUE"""),1.004)</f>
        <v>1.004</v>
      </c>
      <c r="E3070" s="16">
        <f>IFERROR(__xludf.DUMMYFUNCTION("""COMPUTED_VALUE"""),72.0)</f>
        <v>72</v>
      </c>
      <c r="F3070" s="19" t="str">
        <f>IFERROR(__xludf.DUMMYFUNCTION("""COMPUTED_VALUE"""),"BLACK")</f>
        <v>BLACK</v>
      </c>
      <c r="G3070" s="20" t="str">
        <f>IFERROR(__xludf.DUMMYFUNCTION("""COMPUTED_VALUE"""),"Uncle Sams Cider (04/04/2023)")</f>
        <v>Uncle Sams Cider (04/04/2023)</v>
      </c>
      <c r="H3070" s="19"/>
    </row>
    <row r="3071">
      <c r="A3071" s="9"/>
      <c r="B3071" s="15"/>
      <c r="C3071" s="9">
        <f>IFERROR(__xludf.DUMMYFUNCTION("""COMPUTED_VALUE"""),45112.5109707754)</f>
        <v>45112.51097</v>
      </c>
      <c r="D3071" s="15">
        <f>IFERROR(__xludf.DUMMYFUNCTION("""COMPUTED_VALUE"""),1.004)</f>
        <v>1.004</v>
      </c>
      <c r="E3071" s="16">
        <f>IFERROR(__xludf.DUMMYFUNCTION("""COMPUTED_VALUE"""),72.0)</f>
        <v>72</v>
      </c>
      <c r="F3071" s="19" t="str">
        <f>IFERROR(__xludf.DUMMYFUNCTION("""COMPUTED_VALUE"""),"BLACK")</f>
        <v>BLACK</v>
      </c>
      <c r="G3071" s="20" t="str">
        <f>IFERROR(__xludf.DUMMYFUNCTION("""COMPUTED_VALUE"""),"Uncle Sams Cider (04/04/2023)")</f>
        <v>Uncle Sams Cider (04/04/2023)</v>
      </c>
      <c r="H3071" s="19"/>
    </row>
    <row r="3072">
      <c r="A3072" s="9"/>
      <c r="B3072" s="15"/>
      <c r="C3072" s="9">
        <f>IFERROR(__xludf.DUMMYFUNCTION("""COMPUTED_VALUE"""),45112.5005384027)</f>
        <v>45112.50054</v>
      </c>
      <c r="D3072" s="15">
        <f>IFERROR(__xludf.DUMMYFUNCTION("""COMPUTED_VALUE"""),1.004)</f>
        <v>1.004</v>
      </c>
      <c r="E3072" s="16">
        <f>IFERROR(__xludf.DUMMYFUNCTION("""COMPUTED_VALUE"""),72.0)</f>
        <v>72</v>
      </c>
      <c r="F3072" s="19" t="str">
        <f>IFERROR(__xludf.DUMMYFUNCTION("""COMPUTED_VALUE"""),"BLACK")</f>
        <v>BLACK</v>
      </c>
      <c r="G3072" s="20" t="str">
        <f>IFERROR(__xludf.DUMMYFUNCTION("""COMPUTED_VALUE"""),"Uncle Sams Cider (04/04/2023)")</f>
        <v>Uncle Sams Cider (04/04/2023)</v>
      </c>
      <c r="H3072" s="19"/>
    </row>
    <row r="3073">
      <c r="A3073" s="9"/>
      <c r="B3073" s="15"/>
      <c r="C3073" s="9">
        <f>IFERROR(__xludf.DUMMYFUNCTION("""COMPUTED_VALUE"""),45112.4901164699)</f>
        <v>45112.49012</v>
      </c>
      <c r="D3073" s="15">
        <f>IFERROR(__xludf.DUMMYFUNCTION("""COMPUTED_VALUE"""),1.004)</f>
        <v>1.004</v>
      </c>
      <c r="E3073" s="16">
        <f>IFERROR(__xludf.DUMMYFUNCTION("""COMPUTED_VALUE"""),72.0)</f>
        <v>72</v>
      </c>
      <c r="F3073" s="19" t="str">
        <f>IFERROR(__xludf.DUMMYFUNCTION("""COMPUTED_VALUE"""),"BLACK")</f>
        <v>BLACK</v>
      </c>
      <c r="G3073" s="20" t="str">
        <f>IFERROR(__xludf.DUMMYFUNCTION("""COMPUTED_VALUE"""),"Uncle Sams Cider (04/04/2023)")</f>
        <v>Uncle Sams Cider (04/04/2023)</v>
      </c>
      <c r="H3073" s="19"/>
    </row>
    <row r="3074">
      <c r="A3074" s="9"/>
      <c r="B3074" s="15"/>
      <c r="C3074" s="9">
        <f>IFERROR(__xludf.DUMMYFUNCTION("""COMPUTED_VALUE"""),45112.4796942939)</f>
        <v>45112.47969</v>
      </c>
      <c r="D3074" s="15">
        <f>IFERROR(__xludf.DUMMYFUNCTION("""COMPUTED_VALUE"""),1.004)</f>
        <v>1.004</v>
      </c>
      <c r="E3074" s="16">
        <f>IFERROR(__xludf.DUMMYFUNCTION("""COMPUTED_VALUE"""),72.0)</f>
        <v>72</v>
      </c>
      <c r="F3074" s="19" t="str">
        <f>IFERROR(__xludf.DUMMYFUNCTION("""COMPUTED_VALUE"""),"BLACK")</f>
        <v>BLACK</v>
      </c>
      <c r="G3074" s="20" t="str">
        <f>IFERROR(__xludf.DUMMYFUNCTION("""COMPUTED_VALUE"""),"Uncle Sams Cider (04/04/2023)")</f>
        <v>Uncle Sams Cider (04/04/2023)</v>
      </c>
      <c r="H3074" s="19"/>
    </row>
    <row r="3075">
      <c r="A3075" s="9"/>
      <c r="B3075" s="15"/>
      <c r="C3075" s="9">
        <f>IFERROR(__xludf.DUMMYFUNCTION("""COMPUTED_VALUE"""),45112.4692723495)</f>
        <v>45112.46927</v>
      </c>
      <c r="D3075" s="15">
        <f>IFERROR(__xludf.DUMMYFUNCTION("""COMPUTED_VALUE"""),1.004)</f>
        <v>1.004</v>
      </c>
      <c r="E3075" s="16">
        <f>IFERROR(__xludf.DUMMYFUNCTION("""COMPUTED_VALUE"""),72.0)</f>
        <v>72</v>
      </c>
      <c r="F3075" s="19" t="str">
        <f>IFERROR(__xludf.DUMMYFUNCTION("""COMPUTED_VALUE"""),"BLACK")</f>
        <v>BLACK</v>
      </c>
      <c r="G3075" s="20" t="str">
        <f>IFERROR(__xludf.DUMMYFUNCTION("""COMPUTED_VALUE"""),"Uncle Sams Cider (04/04/2023)")</f>
        <v>Uncle Sams Cider (04/04/2023)</v>
      </c>
      <c r="H3075" s="19"/>
    </row>
    <row r="3076">
      <c r="A3076" s="9"/>
      <c r="B3076" s="15"/>
      <c r="C3076" s="9">
        <f>IFERROR(__xludf.DUMMYFUNCTION("""COMPUTED_VALUE"""),45112.4588398379)</f>
        <v>45112.45884</v>
      </c>
      <c r="D3076" s="15">
        <f>IFERROR(__xludf.DUMMYFUNCTION("""COMPUTED_VALUE"""),1.004)</f>
        <v>1.004</v>
      </c>
      <c r="E3076" s="16">
        <f>IFERROR(__xludf.DUMMYFUNCTION("""COMPUTED_VALUE"""),71.0)</f>
        <v>71</v>
      </c>
      <c r="F3076" s="19" t="str">
        <f>IFERROR(__xludf.DUMMYFUNCTION("""COMPUTED_VALUE"""),"BLACK")</f>
        <v>BLACK</v>
      </c>
      <c r="G3076" s="20" t="str">
        <f>IFERROR(__xludf.DUMMYFUNCTION("""COMPUTED_VALUE"""),"Uncle Sams Cider (04/04/2023)")</f>
        <v>Uncle Sams Cider (04/04/2023)</v>
      </c>
      <c r="H3076" s="19"/>
    </row>
    <row r="3077">
      <c r="A3077" s="9"/>
      <c r="B3077" s="15"/>
      <c r="C3077" s="9">
        <f>IFERROR(__xludf.DUMMYFUNCTION("""COMPUTED_VALUE"""),45112.4484187268)</f>
        <v>45112.44842</v>
      </c>
      <c r="D3077" s="15">
        <f>IFERROR(__xludf.DUMMYFUNCTION("""COMPUTED_VALUE"""),1.004)</f>
        <v>1.004</v>
      </c>
      <c r="E3077" s="16">
        <f>IFERROR(__xludf.DUMMYFUNCTION("""COMPUTED_VALUE"""),72.0)</f>
        <v>72</v>
      </c>
      <c r="F3077" s="19" t="str">
        <f>IFERROR(__xludf.DUMMYFUNCTION("""COMPUTED_VALUE"""),"BLACK")</f>
        <v>BLACK</v>
      </c>
      <c r="G3077" s="20" t="str">
        <f>IFERROR(__xludf.DUMMYFUNCTION("""COMPUTED_VALUE"""),"Uncle Sams Cider (04/04/2023)")</f>
        <v>Uncle Sams Cider (04/04/2023)</v>
      </c>
      <c r="H3077" s="19"/>
    </row>
    <row r="3078">
      <c r="A3078" s="9"/>
      <c r="B3078" s="15"/>
      <c r="C3078" s="9">
        <f>IFERROR(__xludf.DUMMYFUNCTION("""COMPUTED_VALUE"""),45112.4379859838)</f>
        <v>45112.43799</v>
      </c>
      <c r="D3078" s="15">
        <f>IFERROR(__xludf.DUMMYFUNCTION("""COMPUTED_VALUE"""),1.004)</f>
        <v>1.004</v>
      </c>
      <c r="E3078" s="16">
        <f>IFERROR(__xludf.DUMMYFUNCTION("""COMPUTED_VALUE"""),72.0)</f>
        <v>72</v>
      </c>
      <c r="F3078" s="19" t="str">
        <f>IFERROR(__xludf.DUMMYFUNCTION("""COMPUTED_VALUE"""),"BLACK")</f>
        <v>BLACK</v>
      </c>
      <c r="G3078" s="20" t="str">
        <f>IFERROR(__xludf.DUMMYFUNCTION("""COMPUTED_VALUE"""),"Uncle Sams Cider (04/04/2023)")</f>
        <v>Uncle Sams Cider (04/04/2023)</v>
      </c>
      <c r="H3078" s="19"/>
    </row>
    <row r="3079">
      <c r="A3079" s="9"/>
      <c r="B3079" s="15"/>
      <c r="C3079" s="9">
        <f>IFERROR(__xludf.DUMMYFUNCTION("""COMPUTED_VALUE"""),45112.4275517592)</f>
        <v>45112.42755</v>
      </c>
      <c r="D3079" s="15">
        <f>IFERROR(__xludf.DUMMYFUNCTION("""COMPUTED_VALUE"""),1.004)</f>
        <v>1.004</v>
      </c>
      <c r="E3079" s="16">
        <f>IFERROR(__xludf.DUMMYFUNCTION("""COMPUTED_VALUE"""),71.0)</f>
        <v>71</v>
      </c>
      <c r="F3079" s="19" t="str">
        <f>IFERROR(__xludf.DUMMYFUNCTION("""COMPUTED_VALUE"""),"BLACK")</f>
        <v>BLACK</v>
      </c>
      <c r="G3079" s="20" t="str">
        <f>IFERROR(__xludf.DUMMYFUNCTION("""COMPUTED_VALUE"""),"Uncle Sams Cider (04/04/2023)")</f>
        <v>Uncle Sams Cider (04/04/2023)</v>
      </c>
      <c r="H3079" s="19"/>
    </row>
    <row r="3080">
      <c r="A3080" s="9"/>
      <c r="B3080" s="15"/>
      <c r="C3080" s="9">
        <f>IFERROR(__xludf.DUMMYFUNCTION("""COMPUTED_VALUE"""),45112.4171299189)</f>
        <v>45112.41713</v>
      </c>
      <c r="D3080" s="15">
        <f>IFERROR(__xludf.DUMMYFUNCTION("""COMPUTED_VALUE"""),1.004)</f>
        <v>1.004</v>
      </c>
      <c r="E3080" s="16">
        <f>IFERROR(__xludf.DUMMYFUNCTION("""COMPUTED_VALUE"""),72.0)</f>
        <v>72</v>
      </c>
      <c r="F3080" s="19" t="str">
        <f>IFERROR(__xludf.DUMMYFUNCTION("""COMPUTED_VALUE"""),"BLACK")</f>
        <v>BLACK</v>
      </c>
      <c r="G3080" s="20" t="str">
        <f>IFERROR(__xludf.DUMMYFUNCTION("""COMPUTED_VALUE"""),"Uncle Sams Cider (04/04/2023)")</f>
        <v>Uncle Sams Cider (04/04/2023)</v>
      </c>
      <c r="H3080" s="19"/>
    </row>
    <row r="3081">
      <c r="A3081" s="9"/>
      <c r="B3081" s="15"/>
      <c r="C3081" s="9">
        <f>IFERROR(__xludf.DUMMYFUNCTION("""COMPUTED_VALUE"""),45112.4067090046)</f>
        <v>45112.40671</v>
      </c>
      <c r="D3081" s="15">
        <f>IFERROR(__xludf.DUMMYFUNCTION("""COMPUTED_VALUE"""),1.004)</f>
        <v>1.004</v>
      </c>
      <c r="E3081" s="16">
        <f>IFERROR(__xludf.DUMMYFUNCTION("""COMPUTED_VALUE"""),72.0)</f>
        <v>72</v>
      </c>
      <c r="F3081" s="19" t="str">
        <f>IFERROR(__xludf.DUMMYFUNCTION("""COMPUTED_VALUE"""),"BLACK")</f>
        <v>BLACK</v>
      </c>
      <c r="G3081" s="20" t="str">
        <f>IFERROR(__xludf.DUMMYFUNCTION("""COMPUTED_VALUE"""),"Uncle Sams Cider (04/04/2023)")</f>
        <v>Uncle Sams Cider (04/04/2023)</v>
      </c>
      <c r="H3081" s="19"/>
    </row>
    <row r="3082">
      <c r="A3082" s="9"/>
      <c r="B3082" s="15"/>
      <c r="C3082" s="9">
        <f>IFERROR(__xludf.DUMMYFUNCTION("""COMPUTED_VALUE"""),45112.3962893402)</f>
        <v>45112.39629</v>
      </c>
      <c r="D3082" s="15">
        <f>IFERROR(__xludf.DUMMYFUNCTION("""COMPUTED_VALUE"""),1.004)</f>
        <v>1.004</v>
      </c>
      <c r="E3082" s="16">
        <f>IFERROR(__xludf.DUMMYFUNCTION("""COMPUTED_VALUE"""),72.0)</f>
        <v>72</v>
      </c>
      <c r="F3082" s="19" t="str">
        <f>IFERROR(__xludf.DUMMYFUNCTION("""COMPUTED_VALUE"""),"BLACK")</f>
        <v>BLACK</v>
      </c>
      <c r="G3082" s="20" t="str">
        <f>IFERROR(__xludf.DUMMYFUNCTION("""COMPUTED_VALUE"""),"Uncle Sams Cider (04/04/2023)")</f>
        <v>Uncle Sams Cider (04/04/2023)</v>
      </c>
      <c r="H3082" s="19"/>
    </row>
    <row r="3083">
      <c r="A3083" s="9"/>
      <c r="B3083" s="15"/>
      <c r="C3083" s="9">
        <f>IFERROR(__xludf.DUMMYFUNCTION("""COMPUTED_VALUE"""),45112.3858687037)</f>
        <v>45112.38587</v>
      </c>
      <c r="D3083" s="15">
        <f>IFERROR(__xludf.DUMMYFUNCTION("""COMPUTED_VALUE"""),1.004)</f>
        <v>1.004</v>
      </c>
      <c r="E3083" s="16">
        <f>IFERROR(__xludf.DUMMYFUNCTION("""COMPUTED_VALUE"""),72.0)</f>
        <v>72</v>
      </c>
      <c r="F3083" s="19" t="str">
        <f>IFERROR(__xludf.DUMMYFUNCTION("""COMPUTED_VALUE"""),"BLACK")</f>
        <v>BLACK</v>
      </c>
      <c r="G3083" s="20" t="str">
        <f>IFERROR(__xludf.DUMMYFUNCTION("""COMPUTED_VALUE"""),"Uncle Sams Cider (04/04/2023)")</f>
        <v>Uncle Sams Cider (04/04/2023)</v>
      </c>
      <c r="H3083" s="19"/>
    </row>
    <row r="3084">
      <c r="A3084" s="9"/>
      <c r="B3084" s="15"/>
      <c r="C3084" s="9">
        <f>IFERROR(__xludf.DUMMYFUNCTION("""COMPUTED_VALUE"""),45112.3754470023)</f>
        <v>45112.37545</v>
      </c>
      <c r="D3084" s="15">
        <f>IFERROR(__xludf.DUMMYFUNCTION("""COMPUTED_VALUE"""),1.004)</f>
        <v>1.004</v>
      </c>
      <c r="E3084" s="16">
        <f>IFERROR(__xludf.DUMMYFUNCTION("""COMPUTED_VALUE"""),72.0)</f>
        <v>72</v>
      </c>
      <c r="F3084" s="19" t="str">
        <f>IFERROR(__xludf.DUMMYFUNCTION("""COMPUTED_VALUE"""),"BLACK")</f>
        <v>BLACK</v>
      </c>
      <c r="G3084" s="20" t="str">
        <f>IFERROR(__xludf.DUMMYFUNCTION("""COMPUTED_VALUE"""),"Uncle Sams Cider (04/04/2023)")</f>
        <v>Uncle Sams Cider (04/04/2023)</v>
      </c>
      <c r="H3084" s="19"/>
    </row>
    <row r="3085">
      <c r="A3085" s="9"/>
      <c r="B3085" s="15"/>
      <c r="C3085" s="9">
        <f>IFERROR(__xludf.DUMMYFUNCTION("""COMPUTED_VALUE"""),45112.3650271064)</f>
        <v>45112.36503</v>
      </c>
      <c r="D3085" s="15">
        <f>IFERROR(__xludf.DUMMYFUNCTION("""COMPUTED_VALUE"""),1.004)</f>
        <v>1.004</v>
      </c>
      <c r="E3085" s="16">
        <f>IFERROR(__xludf.DUMMYFUNCTION("""COMPUTED_VALUE"""),71.0)</f>
        <v>71</v>
      </c>
      <c r="F3085" s="19" t="str">
        <f>IFERROR(__xludf.DUMMYFUNCTION("""COMPUTED_VALUE"""),"BLACK")</f>
        <v>BLACK</v>
      </c>
      <c r="G3085" s="20" t="str">
        <f>IFERROR(__xludf.DUMMYFUNCTION("""COMPUTED_VALUE"""),"Uncle Sams Cider (04/04/2023)")</f>
        <v>Uncle Sams Cider (04/04/2023)</v>
      </c>
      <c r="H3085" s="19"/>
    </row>
    <row r="3086">
      <c r="A3086" s="9"/>
      <c r="B3086" s="15"/>
      <c r="C3086" s="9">
        <f>IFERROR(__xludf.DUMMYFUNCTION("""COMPUTED_VALUE"""),45112.3545824652)</f>
        <v>45112.35458</v>
      </c>
      <c r="D3086" s="15">
        <f>IFERROR(__xludf.DUMMYFUNCTION("""COMPUTED_VALUE"""),1.004)</f>
        <v>1.004</v>
      </c>
      <c r="E3086" s="16">
        <f>IFERROR(__xludf.DUMMYFUNCTION("""COMPUTED_VALUE"""),72.0)</f>
        <v>72</v>
      </c>
      <c r="F3086" s="19" t="str">
        <f>IFERROR(__xludf.DUMMYFUNCTION("""COMPUTED_VALUE"""),"BLACK")</f>
        <v>BLACK</v>
      </c>
      <c r="G3086" s="20" t="str">
        <f>IFERROR(__xludf.DUMMYFUNCTION("""COMPUTED_VALUE"""),"Uncle Sams Cider (04/04/2023)")</f>
        <v>Uncle Sams Cider (04/04/2023)</v>
      </c>
      <c r="H3086" s="19"/>
    </row>
    <row r="3087">
      <c r="A3087" s="9"/>
      <c r="B3087" s="15"/>
      <c r="C3087" s="9">
        <f>IFERROR(__xludf.DUMMYFUNCTION("""COMPUTED_VALUE"""),45112.3441489236)</f>
        <v>45112.34415</v>
      </c>
      <c r="D3087" s="15">
        <f>IFERROR(__xludf.DUMMYFUNCTION("""COMPUTED_VALUE"""),1.004)</f>
        <v>1.004</v>
      </c>
      <c r="E3087" s="16">
        <f>IFERROR(__xludf.DUMMYFUNCTION("""COMPUTED_VALUE"""),71.0)</f>
        <v>71</v>
      </c>
      <c r="F3087" s="19" t="str">
        <f>IFERROR(__xludf.DUMMYFUNCTION("""COMPUTED_VALUE"""),"BLACK")</f>
        <v>BLACK</v>
      </c>
      <c r="G3087" s="20" t="str">
        <f>IFERROR(__xludf.DUMMYFUNCTION("""COMPUTED_VALUE"""),"Uncle Sams Cider (04/04/2023)")</f>
        <v>Uncle Sams Cider (04/04/2023)</v>
      </c>
      <c r="H3087" s="19"/>
    </row>
    <row r="3088">
      <c r="A3088" s="9"/>
      <c r="B3088" s="15"/>
      <c r="C3088" s="9">
        <f>IFERROR(__xludf.DUMMYFUNCTION("""COMPUTED_VALUE"""),45112.3337265393)</f>
        <v>45112.33373</v>
      </c>
      <c r="D3088" s="15">
        <f>IFERROR(__xludf.DUMMYFUNCTION("""COMPUTED_VALUE"""),1.004)</f>
        <v>1.004</v>
      </c>
      <c r="E3088" s="16">
        <f>IFERROR(__xludf.DUMMYFUNCTION("""COMPUTED_VALUE"""),71.0)</f>
        <v>71</v>
      </c>
      <c r="F3088" s="19" t="str">
        <f>IFERROR(__xludf.DUMMYFUNCTION("""COMPUTED_VALUE"""),"BLACK")</f>
        <v>BLACK</v>
      </c>
      <c r="G3088" s="20" t="str">
        <f>IFERROR(__xludf.DUMMYFUNCTION("""COMPUTED_VALUE"""),"Uncle Sams Cider (04/04/2023)")</f>
        <v>Uncle Sams Cider (04/04/2023)</v>
      </c>
      <c r="H3088" s="19"/>
    </row>
    <row r="3089">
      <c r="A3089" s="9"/>
      <c r="B3089" s="15"/>
      <c r="C3089" s="9">
        <f>IFERROR(__xludf.DUMMYFUNCTION("""COMPUTED_VALUE"""),45112.3233068518)</f>
        <v>45112.32331</v>
      </c>
      <c r="D3089" s="15">
        <f>IFERROR(__xludf.DUMMYFUNCTION("""COMPUTED_VALUE"""),1.004)</f>
        <v>1.004</v>
      </c>
      <c r="E3089" s="16">
        <f>IFERROR(__xludf.DUMMYFUNCTION("""COMPUTED_VALUE"""),71.0)</f>
        <v>71</v>
      </c>
      <c r="F3089" s="19" t="str">
        <f>IFERROR(__xludf.DUMMYFUNCTION("""COMPUTED_VALUE"""),"BLACK")</f>
        <v>BLACK</v>
      </c>
      <c r="G3089" s="20" t="str">
        <f>IFERROR(__xludf.DUMMYFUNCTION("""COMPUTED_VALUE"""),"Uncle Sams Cider (04/04/2023)")</f>
        <v>Uncle Sams Cider (04/04/2023)</v>
      </c>
      <c r="H3089" s="19"/>
    </row>
    <row r="3090">
      <c r="A3090" s="9"/>
      <c r="B3090" s="15"/>
      <c r="C3090" s="9">
        <f>IFERROR(__xludf.DUMMYFUNCTION("""COMPUTED_VALUE"""),45112.3128854282)</f>
        <v>45112.31289</v>
      </c>
      <c r="D3090" s="15">
        <f>IFERROR(__xludf.DUMMYFUNCTION("""COMPUTED_VALUE"""),1.004)</f>
        <v>1.004</v>
      </c>
      <c r="E3090" s="16">
        <f>IFERROR(__xludf.DUMMYFUNCTION("""COMPUTED_VALUE"""),71.0)</f>
        <v>71</v>
      </c>
      <c r="F3090" s="19" t="str">
        <f>IFERROR(__xludf.DUMMYFUNCTION("""COMPUTED_VALUE"""),"BLACK")</f>
        <v>BLACK</v>
      </c>
      <c r="G3090" s="20" t="str">
        <f>IFERROR(__xludf.DUMMYFUNCTION("""COMPUTED_VALUE"""),"Uncle Sams Cider (04/04/2023)")</f>
        <v>Uncle Sams Cider (04/04/2023)</v>
      </c>
      <c r="H3090" s="19"/>
    </row>
    <row r="3091">
      <c r="A3091" s="9"/>
      <c r="B3091" s="15"/>
      <c r="C3091" s="9">
        <f>IFERROR(__xludf.DUMMYFUNCTION("""COMPUTED_VALUE"""),45112.3024533564)</f>
        <v>45112.30245</v>
      </c>
      <c r="D3091" s="15">
        <f>IFERROR(__xludf.DUMMYFUNCTION("""COMPUTED_VALUE"""),1.004)</f>
        <v>1.004</v>
      </c>
      <c r="E3091" s="16">
        <f>IFERROR(__xludf.DUMMYFUNCTION("""COMPUTED_VALUE"""),71.0)</f>
        <v>71</v>
      </c>
      <c r="F3091" s="19" t="str">
        <f>IFERROR(__xludf.DUMMYFUNCTION("""COMPUTED_VALUE"""),"BLACK")</f>
        <v>BLACK</v>
      </c>
      <c r="G3091" s="20" t="str">
        <f>IFERROR(__xludf.DUMMYFUNCTION("""COMPUTED_VALUE"""),"Uncle Sams Cider (04/04/2023)")</f>
        <v>Uncle Sams Cider (04/04/2023)</v>
      </c>
      <c r="H3091" s="19"/>
    </row>
    <row r="3092">
      <c r="A3092" s="9"/>
      <c r="B3092" s="15"/>
      <c r="C3092" s="9">
        <f>IFERROR(__xludf.DUMMYFUNCTION("""COMPUTED_VALUE"""),45112.2920312037)</f>
        <v>45112.29203</v>
      </c>
      <c r="D3092" s="15">
        <f>IFERROR(__xludf.DUMMYFUNCTION("""COMPUTED_VALUE"""),1.004)</f>
        <v>1.004</v>
      </c>
      <c r="E3092" s="16">
        <f>IFERROR(__xludf.DUMMYFUNCTION("""COMPUTED_VALUE"""),71.0)</f>
        <v>71</v>
      </c>
      <c r="F3092" s="19" t="str">
        <f>IFERROR(__xludf.DUMMYFUNCTION("""COMPUTED_VALUE"""),"BLACK")</f>
        <v>BLACK</v>
      </c>
      <c r="G3092" s="20" t="str">
        <f>IFERROR(__xludf.DUMMYFUNCTION("""COMPUTED_VALUE"""),"Uncle Sams Cider (04/04/2023)")</f>
        <v>Uncle Sams Cider (04/04/2023)</v>
      </c>
      <c r="H3092" s="19"/>
    </row>
    <row r="3093">
      <c r="A3093" s="9"/>
      <c r="B3093" s="15"/>
      <c r="C3093" s="9">
        <f>IFERROR(__xludf.DUMMYFUNCTION("""COMPUTED_VALUE"""),45112.2816092824)</f>
        <v>45112.28161</v>
      </c>
      <c r="D3093" s="15">
        <f>IFERROR(__xludf.DUMMYFUNCTION("""COMPUTED_VALUE"""),1.004)</f>
        <v>1.004</v>
      </c>
      <c r="E3093" s="16">
        <f>IFERROR(__xludf.DUMMYFUNCTION("""COMPUTED_VALUE"""),71.0)</f>
        <v>71</v>
      </c>
      <c r="F3093" s="19" t="str">
        <f>IFERROR(__xludf.DUMMYFUNCTION("""COMPUTED_VALUE"""),"BLACK")</f>
        <v>BLACK</v>
      </c>
      <c r="G3093" s="20" t="str">
        <f>IFERROR(__xludf.DUMMYFUNCTION("""COMPUTED_VALUE"""),"Uncle Sams Cider (04/04/2023)")</f>
        <v>Uncle Sams Cider (04/04/2023)</v>
      </c>
      <c r="H3093" s="19"/>
    </row>
    <row r="3094">
      <c r="A3094" s="9"/>
      <c r="B3094" s="15"/>
      <c r="C3094" s="9">
        <f>IFERROR(__xludf.DUMMYFUNCTION("""COMPUTED_VALUE"""),45112.2711870254)</f>
        <v>45112.27119</v>
      </c>
      <c r="D3094" s="15">
        <f>IFERROR(__xludf.DUMMYFUNCTION("""COMPUTED_VALUE"""),1.004)</f>
        <v>1.004</v>
      </c>
      <c r="E3094" s="16">
        <f>IFERROR(__xludf.DUMMYFUNCTION("""COMPUTED_VALUE"""),71.0)</f>
        <v>71</v>
      </c>
      <c r="F3094" s="19" t="str">
        <f>IFERROR(__xludf.DUMMYFUNCTION("""COMPUTED_VALUE"""),"BLACK")</f>
        <v>BLACK</v>
      </c>
      <c r="G3094" s="20" t="str">
        <f>IFERROR(__xludf.DUMMYFUNCTION("""COMPUTED_VALUE"""),"Uncle Sams Cider (04/04/2023)")</f>
        <v>Uncle Sams Cider (04/04/2023)</v>
      </c>
      <c r="H3094" s="19"/>
    </row>
    <row r="3095">
      <c r="A3095" s="9"/>
      <c r="B3095" s="15"/>
      <c r="C3095" s="9">
        <f>IFERROR(__xludf.DUMMYFUNCTION("""COMPUTED_VALUE"""),45112.2607525231)</f>
        <v>45112.26075</v>
      </c>
      <c r="D3095" s="15">
        <f>IFERROR(__xludf.DUMMYFUNCTION("""COMPUTED_VALUE"""),1.004)</f>
        <v>1.004</v>
      </c>
      <c r="E3095" s="16">
        <f>IFERROR(__xludf.DUMMYFUNCTION("""COMPUTED_VALUE"""),71.0)</f>
        <v>71</v>
      </c>
      <c r="F3095" s="19" t="str">
        <f>IFERROR(__xludf.DUMMYFUNCTION("""COMPUTED_VALUE"""),"BLACK")</f>
        <v>BLACK</v>
      </c>
      <c r="G3095" s="20" t="str">
        <f>IFERROR(__xludf.DUMMYFUNCTION("""COMPUTED_VALUE"""),"Uncle Sams Cider (04/04/2023)")</f>
        <v>Uncle Sams Cider (04/04/2023)</v>
      </c>
      <c r="H3095" s="19"/>
    </row>
    <row r="3096">
      <c r="A3096" s="9"/>
      <c r="B3096" s="15"/>
      <c r="C3096" s="9">
        <f>IFERROR(__xludf.DUMMYFUNCTION("""COMPUTED_VALUE"""),45112.2503086574)</f>
        <v>45112.25031</v>
      </c>
      <c r="D3096" s="15">
        <f>IFERROR(__xludf.DUMMYFUNCTION("""COMPUTED_VALUE"""),1.004)</f>
        <v>1.004</v>
      </c>
      <c r="E3096" s="16">
        <f>IFERROR(__xludf.DUMMYFUNCTION("""COMPUTED_VALUE"""),72.0)</f>
        <v>72</v>
      </c>
      <c r="F3096" s="19" t="str">
        <f>IFERROR(__xludf.DUMMYFUNCTION("""COMPUTED_VALUE"""),"BLACK")</f>
        <v>BLACK</v>
      </c>
      <c r="G3096" s="20" t="str">
        <f>IFERROR(__xludf.DUMMYFUNCTION("""COMPUTED_VALUE"""),"Uncle Sams Cider (04/04/2023)")</f>
        <v>Uncle Sams Cider (04/04/2023)</v>
      </c>
      <c r="H3096" s="19"/>
    </row>
    <row r="3097">
      <c r="A3097" s="9"/>
      <c r="B3097" s="15"/>
      <c r="C3097" s="9">
        <f>IFERROR(__xludf.DUMMYFUNCTION("""COMPUTED_VALUE"""),45112.2398852893)</f>
        <v>45112.23989</v>
      </c>
      <c r="D3097" s="15">
        <f>IFERROR(__xludf.DUMMYFUNCTION("""COMPUTED_VALUE"""),1.004)</f>
        <v>1.004</v>
      </c>
      <c r="E3097" s="16">
        <f>IFERROR(__xludf.DUMMYFUNCTION("""COMPUTED_VALUE"""),71.0)</f>
        <v>71</v>
      </c>
      <c r="F3097" s="19" t="str">
        <f>IFERROR(__xludf.DUMMYFUNCTION("""COMPUTED_VALUE"""),"BLACK")</f>
        <v>BLACK</v>
      </c>
      <c r="G3097" s="20" t="str">
        <f>IFERROR(__xludf.DUMMYFUNCTION("""COMPUTED_VALUE"""),"Uncle Sams Cider (04/04/2023)")</f>
        <v>Uncle Sams Cider (04/04/2023)</v>
      </c>
      <c r="H3097" s="19"/>
    </row>
    <row r="3098">
      <c r="A3098" s="9"/>
      <c r="B3098" s="15"/>
      <c r="C3098" s="9">
        <f>IFERROR(__xludf.DUMMYFUNCTION("""COMPUTED_VALUE"""),45112.2294630439)</f>
        <v>45112.22946</v>
      </c>
      <c r="D3098" s="15">
        <f>IFERROR(__xludf.DUMMYFUNCTION("""COMPUTED_VALUE"""),1.004)</f>
        <v>1.004</v>
      </c>
      <c r="E3098" s="16">
        <f>IFERROR(__xludf.DUMMYFUNCTION("""COMPUTED_VALUE"""),71.0)</f>
        <v>71</v>
      </c>
      <c r="F3098" s="19" t="str">
        <f>IFERROR(__xludf.DUMMYFUNCTION("""COMPUTED_VALUE"""),"BLACK")</f>
        <v>BLACK</v>
      </c>
      <c r="G3098" s="20" t="str">
        <f>IFERROR(__xludf.DUMMYFUNCTION("""COMPUTED_VALUE"""),"Uncle Sams Cider (04/04/2023)")</f>
        <v>Uncle Sams Cider (04/04/2023)</v>
      </c>
      <c r="H3098" s="19"/>
    </row>
    <row r="3099">
      <c r="A3099" s="9"/>
      <c r="B3099" s="15"/>
      <c r="C3099" s="9">
        <f>IFERROR(__xludf.DUMMYFUNCTION("""COMPUTED_VALUE"""),45112.2190418634)</f>
        <v>45112.21904</v>
      </c>
      <c r="D3099" s="15">
        <f>IFERROR(__xludf.DUMMYFUNCTION("""COMPUTED_VALUE"""),1.004)</f>
        <v>1.004</v>
      </c>
      <c r="E3099" s="16">
        <f>IFERROR(__xludf.DUMMYFUNCTION("""COMPUTED_VALUE"""),71.0)</f>
        <v>71</v>
      </c>
      <c r="F3099" s="19" t="str">
        <f>IFERROR(__xludf.DUMMYFUNCTION("""COMPUTED_VALUE"""),"BLACK")</f>
        <v>BLACK</v>
      </c>
      <c r="G3099" s="20" t="str">
        <f>IFERROR(__xludf.DUMMYFUNCTION("""COMPUTED_VALUE"""),"Uncle Sams Cider (04/04/2023)")</f>
        <v>Uncle Sams Cider (04/04/2023)</v>
      </c>
      <c r="H3099" s="19"/>
    </row>
    <row r="3100">
      <c r="A3100" s="9"/>
      <c r="B3100" s="15"/>
      <c r="C3100" s="9">
        <f>IFERROR(__xludf.DUMMYFUNCTION("""COMPUTED_VALUE"""),45112.2086091666)</f>
        <v>45112.20861</v>
      </c>
      <c r="D3100" s="15">
        <f>IFERROR(__xludf.DUMMYFUNCTION("""COMPUTED_VALUE"""),1.004)</f>
        <v>1.004</v>
      </c>
      <c r="E3100" s="16">
        <f>IFERROR(__xludf.DUMMYFUNCTION("""COMPUTED_VALUE"""),71.0)</f>
        <v>71</v>
      </c>
      <c r="F3100" s="19" t="str">
        <f>IFERROR(__xludf.DUMMYFUNCTION("""COMPUTED_VALUE"""),"BLACK")</f>
        <v>BLACK</v>
      </c>
      <c r="G3100" s="20" t="str">
        <f>IFERROR(__xludf.DUMMYFUNCTION("""COMPUTED_VALUE"""),"Uncle Sams Cider (04/04/2023)")</f>
        <v>Uncle Sams Cider (04/04/2023)</v>
      </c>
      <c r="H3100" s="19"/>
    </row>
    <row r="3101">
      <c r="A3101" s="9"/>
      <c r="B3101" s="15"/>
      <c r="C3101" s="9">
        <f>IFERROR(__xludf.DUMMYFUNCTION("""COMPUTED_VALUE"""),45112.1981876736)</f>
        <v>45112.19819</v>
      </c>
      <c r="D3101" s="15">
        <f>IFERROR(__xludf.DUMMYFUNCTION("""COMPUTED_VALUE"""),1.004)</f>
        <v>1.004</v>
      </c>
      <c r="E3101" s="16">
        <f>IFERROR(__xludf.DUMMYFUNCTION("""COMPUTED_VALUE"""),72.0)</f>
        <v>72</v>
      </c>
      <c r="F3101" s="19" t="str">
        <f>IFERROR(__xludf.DUMMYFUNCTION("""COMPUTED_VALUE"""),"BLACK")</f>
        <v>BLACK</v>
      </c>
      <c r="G3101" s="20" t="str">
        <f>IFERROR(__xludf.DUMMYFUNCTION("""COMPUTED_VALUE"""),"Uncle Sams Cider (04/04/2023)")</f>
        <v>Uncle Sams Cider (04/04/2023)</v>
      </c>
      <c r="H3101" s="19"/>
    </row>
    <row r="3102">
      <c r="A3102" s="9"/>
      <c r="B3102" s="15"/>
      <c r="C3102" s="9">
        <f>IFERROR(__xludf.DUMMYFUNCTION("""COMPUTED_VALUE"""),45112.1877662963)</f>
        <v>45112.18777</v>
      </c>
      <c r="D3102" s="15">
        <f>IFERROR(__xludf.DUMMYFUNCTION("""COMPUTED_VALUE"""),1.004)</f>
        <v>1.004</v>
      </c>
      <c r="E3102" s="16">
        <f>IFERROR(__xludf.DUMMYFUNCTION("""COMPUTED_VALUE"""),71.0)</f>
        <v>71</v>
      </c>
      <c r="F3102" s="19" t="str">
        <f>IFERROR(__xludf.DUMMYFUNCTION("""COMPUTED_VALUE"""),"BLACK")</f>
        <v>BLACK</v>
      </c>
      <c r="G3102" s="20" t="str">
        <f>IFERROR(__xludf.DUMMYFUNCTION("""COMPUTED_VALUE"""),"Uncle Sams Cider (04/04/2023)")</f>
        <v>Uncle Sams Cider (04/04/2023)</v>
      </c>
      <c r="H3102" s="19"/>
    </row>
    <row r="3103">
      <c r="A3103" s="9"/>
      <c r="B3103" s="15"/>
      <c r="C3103" s="9">
        <f>IFERROR(__xludf.DUMMYFUNCTION("""COMPUTED_VALUE"""),45112.1773445023)</f>
        <v>45112.17734</v>
      </c>
      <c r="D3103" s="15">
        <f>IFERROR(__xludf.DUMMYFUNCTION("""COMPUTED_VALUE"""),1.004)</f>
        <v>1.004</v>
      </c>
      <c r="E3103" s="16">
        <f>IFERROR(__xludf.DUMMYFUNCTION("""COMPUTED_VALUE"""),71.0)</f>
        <v>71</v>
      </c>
      <c r="F3103" s="19" t="str">
        <f>IFERROR(__xludf.DUMMYFUNCTION("""COMPUTED_VALUE"""),"BLACK")</f>
        <v>BLACK</v>
      </c>
      <c r="G3103" s="20" t="str">
        <f>IFERROR(__xludf.DUMMYFUNCTION("""COMPUTED_VALUE"""),"Uncle Sams Cider (04/04/2023)")</f>
        <v>Uncle Sams Cider (04/04/2023)</v>
      </c>
      <c r="H3103" s="19"/>
    </row>
    <row r="3104">
      <c r="A3104" s="9"/>
      <c r="B3104" s="15"/>
      <c r="C3104" s="9">
        <f>IFERROR(__xludf.DUMMYFUNCTION("""COMPUTED_VALUE"""),45112.1669238194)</f>
        <v>45112.16692</v>
      </c>
      <c r="D3104" s="15">
        <f>IFERROR(__xludf.DUMMYFUNCTION("""COMPUTED_VALUE"""),1.004)</f>
        <v>1.004</v>
      </c>
      <c r="E3104" s="16">
        <f>IFERROR(__xludf.DUMMYFUNCTION("""COMPUTED_VALUE"""),71.0)</f>
        <v>71</v>
      </c>
      <c r="F3104" s="19" t="str">
        <f>IFERROR(__xludf.DUMMYFUNCTION("""COMPUTED_VALUE"""),"BLACK")</f>
        <v>BLACK</v>
      </c>
      <c r="G3104" s="20" t="str">
        <f>IFERROR(__xludf.DUMMYFUNCTION("""COMPUTED_VALUE"""),"Uncle Sams Cider (04/04/2023)")</f>
        <v>Uncle Sams Cider (04/04/2023)</v>
      </c>
      <c r="H3104" s="19"/>
    </row>
    <row r="3105">
      <c r="A3105" s="9"/>
      <c r="B3105" s="15"/>
      <c r="C3105" s="9">
        <f>IFERROR(__xludf.DUMMYFUNCTION("""COMPUTED_VALUE"""),45112.1565030324)</f>
        <v>45112.1565</v>
      </c>
      <c r="D3105" s="15">
        <f>IFERROR(__xludf.DUMMYFUNCTION("""COMPUTED_VALUE"""),1.004)</f>
        <v>1.004</v>
      </c>
      <c r="E3105" s="16">
        <f>IFERROR(__xludf.DUMMYFUNCTION("""COMPUTED_VALUE"""),71.0)</f>
        <v>71</v>
      </c>
      <c r="F3105" s="19" t="str">
        <f>IFERROR(__xludf.DUMMYFUNCTION("""COMPUTED_VALUE"""),"BLACK")</f>
        <v>BLACK</v>
      </c>
      <c r="G3105" s="20" t="str">
        <f>IFERROR(__xludf.DUMMYFUNCTION("""COMPUTED_VALUE"""),"Uncle Sams Cider (04/04/2023)")</f>
        <v>Uncle Sams Cider (04/04/2023)</v>
      </c>
      <c r="H3105" s="19"/>
    </row>
    <row r="3106">
      <c r="A3106" s="9"/>
      <c r="B3106" s="15"/>
      <c r="C3106" s="9">
        <f>IFERROR(__xludf.DUMMYFUNCTION("""COMPUTED_VALUE"""),45112.1460823726)</f>
        <v>45112.14608</v>
      </c>
      <c r="D3106" s="15">
        <f>IFERROR(__xludf.DUMMYFUNCTION("""COMPUTED_VALUE"""),1.004)</f>
        <v>1.004</v>
      </c>
      <c r="E3106" s="16">
        <f>IFERROR(__xludf.DUMMYFUNCTION("""COMPUTED_VALUE"""),71.0)</f>
        <v>71</v>
      </c>
      <c r="F3106" s="19" t="str">
        <f>IFERROR(__xludf.DUMMYFUNCTION("""COMPUTED_VALUE"""),"BLACK")</f>
        <v>BLACK</v>
      </c>
      <c r="G3106" s="20" t="str">
        <f>IFERROR(__xludf.DUMMYFUNCTION("""COMPUTED_VALUE"""),"Uncle Sams Cider (04/04/2023)")</f>
        <v>Uncle Sams Cider (04/04/2023)</v>
      </c>
      <c r="H3106" s="19"/>
    </row>
    <row r="3107">
      <c r="A3107" s="9"/>
      <c r="B3107" s="15"/>
      <c r="C3107" s="9">
        <f>IFERROR(__xludf.DUMMYFUNCTION("""COMPUTED_VALUE"""),45112.1356597569)</f>
        <v>45112.13566</v>
      </c>
      <c r="D3107" s="15">
        <f>IFERROR(__xludf.DUMMYFUNCTION("""COMPUTED_VALUE"""),1.004)</f>
        <v>1.004</v>
      </c>
      <c r="E3107" s="16">
        <f>IFERROR(__xludf.DUMMYFUNCTION("""COMPUTED_VALUE"""),71.0)</f>
        <v>71</v>
      </c>
      <c r="F3107" s="19" t="str">
        <f>IFERROR(__xludf.DUMMYFUNCTION("""COMPUTED_VALUE"""),"BLACK")</f>
        <v>BLACK</v>
      </c>
      <c r="G3107" s="20" t="str">
        <f>IFERROR(__xludf.DUMMYFUNCTION("""COMPUTED_VALUE"""),"Uncle Sams Cider (04/04/2023)")</f>
        <v>Uncle Sams Cider (04/04/2023)</v>
      </c>
      <c r="H3107" s="19"/>
    </row>
    <row r="3108">
      <c r="A3108" s="9"/>
      <c r="B3108" s="15"/>
      <c r="C3108" s="9">
        <f>IFERROR(__xludf.DUMMYFUNCTION("""COMPUTED_VALUE"""),45112.1252143055)</f>
        <v>45112.12521</v>
      </c>
      <c r="D3108" s="15">
        <f>IFERROR(__xludf.DUMMYFUNCTION("""COMPUTED_VALUE"""),1.004)</f>
        <v>1.004</v>
      </c>
      <c r="E3108" s="16">
        <f>IFERROR(__xludf.DUMMYFUNCTION("""COMPUTED_VALUE"""),71.0)</f>
        <v>71</v>
      </c>
      <c r="F3108" s="19" t="str">
        <f>IFERROR(__xludf.DUMMYFUNCTION("""COMPUTED_VALUE"""),"BLACK")</f>
        <v>BLACK</v>
      </c>
      <c r="G3108" s="20" t="str">
        <f>IFERROR(__xludf.DUMMYFUNCTION("""COMPUTED_VALUE"""),"Uncle Sams Cider (04/04/2023)")</f>
        <v>Uncle Sams Cider (04/04/2023)</v>
      </c>
      <c r="H3108" s="19"/>
    </row>
    <row r="3109">
      <c r="A3109" s="9"/>
      <c r="B3109" s="15"/>
      <c r="C3109" s="9">
        <f>IFERROR(__xludf.DUMMYFUNCTION("""COMPUTED_VALUE"""),45112.1147813194)</f>
        <v>45112.11478</v>
      </c>
      <c r="D3109" s="15">
        <f>IFERROR(__xludf.DUMMYFUNCTION("""COMPUTED_VALUE"""),1.004)</f>
        <v>1.004</v>
      </c>
      <c r="E3109" s="16">
        <f>IFERROR(__xludf.DUMMYFUNCTION("""COMPUTED_VALUE"""),71.0)</f>
        <v>71</v>
      </c>
      <c r="F3109" s="19" t="str">
        <f>IFERROR(__xludf.DUMMYFUNCTION("""COMPUTED_VALUE"""),"BLACK")</f>
        <v>BLACK</v>
      </c>
      <c r="G3109" s="20" t="str">
        <f>IFERROR(__xludf.DUMMYFUNCTION("""COMPUTED_VALUE"""),"Uncle Sams Cider (04/04/2023)")</f>
        <v>Uncle Sams Cider (04/04/2023)</v>
      </c>
      <c r="H3109" s="19"/>
    </row>
    <row r="3110">
      <c r="A3110" s="9"/>
      <c r="B3110" s="15"/>
      <c r="C3110" s="9">
        <f>IFERROR(__xludf.DUMMYFUNCTION("""COMPUTED_VALUE"""),45112.1043495949)</f>
        <v>45112.10435</v>
      </c>
      <c r="D3110" s="15">
        <f>IFERROR(__xludf.DUMMYFUNCTION("""COMPUTED_VALUE"""),1.004)</f>
        <v>1.004</v>
      </c>
      <c r="E3110" s="16">
        <f>IFERROR(__xludf.DUMMYFUNCTION("""COMPUTED_VALUE"""),71.0)</f>
        <v>71</v>
      </c>
      <c r="F3110" s="19" t="str">
        <f>IFERROR(__xludf.DUMMYFUNCTION("""COMPUTED_VALUE"""),"BLACK")</f>
        <v>BLACK</v>
      </c>
      <c r="G3110" s="20" t="str">
        <f>IFERROR(__xludf.DUMMYFUNCTION("""COMPUTED_VALUE"""),"Uncle Sams Cider (04/04/2023)")</f>
        <v>Uncle Sams Cider (04/04/2023)</v>
      </c>
      <c r="H3110" s="19"/>
    </row>
    <row r="3111">
      <c r="A3111" s="9"/>
      <c r="B3111" s="15"/>
      <c r="C3111" s="9">
        <f>IFERROR(__xludf.DUMMYFUNCTION("""COMPUTED_VALUE"""),45112.0939154166)</f>
        <v>45112.09392</v>
      </c>
      <c r="D3111" s="15">
        <f>IFERROR(__xludf.DUMMYFUNCTION("""COMPUTED_VALUE"""),1.004)</f>
        <v>1.004</v>
      </c>
      <c r="E3111" s="16">
        <f>IFERROR(__xludf.DUMMYFUNCTION("""COMPUTED_VALUE"""),71.0)</f>
        <v>71</v>
      </c>
      <c r="F3111" s="19" t="str">
        <f>IFERROR(__xludf.DUMMYFUNCTION("""COMPUTED_VALUE"""),"BLACK")</f>
        <v>BLACK</v>
      </c>
      <c r="G3111" s="20" t="str">
        <f>IFERROR(__xludf.DUMMYFUNCTION("""COMPUTED_VALUE"""),"Uncle Sams Cider (04/04/2023)")</f>
        <v>Uncle Sams Cider (04/04/2023)</v>
      </c>
      <c r="H3111" s="19"/>
    </row>
    <row r="3112">
      <c r="A3112" s="9"/>
      <c r="B3112" s="15"/>
      <c r="C3112" s="9">
        <f>IFERROR(__xludf.DUMMYFUNCTION("""COMPUTED_VALUE"""),45112.0834925)</f>
        <v>45112.08349</v>
      </c>
      <c r="D3112" s="15">
        <f>IFERROR(__xludf.DUMMYFUNCTION("""COMPUTED_VALUE"""),1.004)</f>
        <v>1.004</v>
      </c>
      <c r="E3112" s="16">
        <f>IFERROR(__xludf.DUMMYFUNCTION("""COMPUTED_VALUE"""),71.0)</f>
        <v>71</v>
      </c>
      <c r="F3112" s="19" t="str">
        <f>IFERROR(__xludf.DUMMYFUNCTION("""COMPUTED_VALUE"""),"BLACK")</f>
        <v>BLACK</v>
      </c>
      <c r="G3112" s="20" t="str">
        <f>IFERROR(__xludf.DUMMYFUNCTION("""COMPUTED_VALUE"""),"Uncle Sams Cider (04/04/2023)")</f>
        <v>Uncle Sams Cider (04/04/2023)</v>
      </c>
      <c r="H3112" s="19"/>
    </row>
    <row r="3113">
      <c r="A3113" s="9"/>
      <c r="B3113" s="15"/>
      <c r="C3113" s="9">
        <f>IFERROR(__xludf.DUMMYFUNCTION("""COMPUTED_VALUE"""),45112.0730723148)</f>
        <v>45112.07307</v>
      </c>
      <c r="D3113" s="15">
        <f>IFERROR(__xludf.DUMMYFUNCTION("""COMPUTED_VALUE"""),1.004)</f>
        <v>1.004</v>
      </c>
      <c r="E3113" s="16">
        <f>IFERROR(__xludf.DUMMYFUNCTION("""COMPUTED_VALUE"""),71.0)</f>
        <v>71</v>
      </c>
      <c r="F3113" s="19" t="str">
        <f>IFERROR(__xludf.DUMMYFUNCTION("""COMPUTED_VALUE"""),"BLACK")</f>
        <v>BLACK</v>
      </c>
      <c r="G3113" s="20" t="str">
        <f>IFERROR(__xludf.DUMMYFUNCTION("""COMPUTED_VALUE"""),"Uncle Sams Cider (04/04/2023)")</f>
        <v>Uncle Sams Cider (04/04/2023)</v>
      </c>
      <c r="H3113" s="19"/>
    </row>
    <row r="3114">
      <c r="A3114" s="9"/>
      <c r="B3114" s="15"/>
      <c r="C3114" s="9">
        <f>IFERROR(__xludf.DUMMYFUNCTION("""COMPUTED_VALUE"""),45112.0626527777)</f>
        <v>45112.06265</v>
      </c>
      <c r="D3114" s="15">
        <f>IFERROR(__xludf.DUMMYFUNCTION("""COMPUTED_VALUE"""),1.004)</f>
        <v>1.004</v>
      </c>
      <c r="E3114" s="16">
        <f>IFERROR(__xludf.DUMMYFUNCTION("""COMPUTED_VALUE"""),71.0)</f>
        <v>71</v>
      </c>
      <c r="F3114" s="19" t="str">
        <f>IFERROR(__xludf.DUMMYFUNCTION("""COMPUTED_VALUE"""),"BLACK")</f>
        <v>BLACK</v>
      </c>
      <c r="G3114" s="20" t="str">
        <f>IFERROR(__xludf.DUMMYFUNCTION("""COMPUTED_VALUE"""),"Uncle Sams Cider (04/04/2023)")</f>
        <v>Uncle Sams Cider (04/04/2023)</v>
      </c>
      <c r="H3114" s="19"/>
    </row>
    <row r="3115">
      <c r="A3115" s="9"/>
      <c r="B3115" s="15"/>
      <c r="C3115" s="9">
        <f>IFERROR(__xludf.DUMMYFUNCTION("""COMPUTED_VALUE"""),45112.0522181018)</f>
        <v>45112.05222</v>
      </c>
      <c r="D3115" s="15">
        <f>IFERROR(__xludf.DUMMYFUNCTION("""COMPUTED_VALUE"""),1.004)</f>
        <v>1.004</v>
      </c>
      <c r="E3115" s="16">
        <f>IFERROR(__xludf.DUMMYFUNCTION("""COMPUTED_VALUE"""),71.0)</f>
        <v>71</v>
      </c>
      <c r="F3115" s="19" t="str">
        <f>IFERROR(__xludf.DUMMYFUNCTION("""COMPUTED_VALUE"""),"BLACK")</f>
        <v>BLACK</v>
      </c>
      <c r="G3115" s="20" t="str">
        <f>IFERROR(__xludf.DUMMYFUNCTION("""COMPUTED_VALUE"""),"Uncle Sams Cider (04/04/2023)")</f>
        <v>Uncle Sams Cider (04/04/2023)</v>
      </c>
      <c r="H3115" s="19"/>
    </row>
    <row r="3116">
      <c r="A3116" s="9"/>
      <c r="B3116" s="15"/>
      <c r="C3116" s="9">
        <f>IFERROR(__xludf.DUMMYFUNCTION("""COMPUTED_VALUE"""),45112.0417967939)</f>
        <v>45112.0418</v>
      </c>
      <c r="D3116" s="15">
        <f>IFERROR(__xludf.DUMMYFUNCTION("""COMPUTED_VALUE"""),1.004)</f>
        <v>1.004</v>
      </c>
      <c r="E3116" s="16">
        <f>IFERROR(__xludf.DUMMYFUNCTION("""COMPUTED_VALUE"""),71.0)</f>
        <v>71</v>
      </c>
      <c r="F3116" s="19" t="str">
        <f>IFERROR(__xludf.DUMMYFUNCTION("""COMPUTED_VALUE"""),"BLACK")</f>
        <v>BLACK</v>
      </c>
      <c r="G3116" s="20" t="str">
        <f>IFERROR(__xludf.DUMMYFUNCTION("""COMPUTED_VALUE"""),"Uncle Sams Cider (04/04/2023)")</f>
        <v>Uncle Sams Cider (04/04/2023)</v>
      </c>
      <c r="H3116" s="19"/>
    </row>
    <row r="3117">
      <c r="A3117" s="9"/>
      <c r="B3117" s="15"/>
      <c r="C3117" s="9">
        <f>IFERROR(__xludf.DUMMYFUNCTION("""COMPUTED_VALUE"""),45112.0313754861)</f>
        <v>45112.03138</v>
      </c>
      <c r="D3117" s="15">
        <f>IFERROR(__xludf.DUMMYFUNCTION("""COMPUTED_VALUE"""),1.004)</f>
        <v>1.004</v>
      </c>
      <c r="E3117" s="16">
        <f>IFERROR(__xludf.DUMMYFUNCTION("""COMPUTED_VALUE"""),71.0)</f>
        <v>71</v>
      </c>
      <c r="F3117" s="19" t="str">
        <f>IFERROR(__xludf.DUMMYFUNCTION("""COMPUTED_VALUE"""),"BLACK")</f>
        <v>BLACK</v>
      </c>
      <c r="G3117" s="20" t="str">
        <f>IFERROR(__xludf.DUMMYFUNCTION("""COMPUTED_VALUE"""),"Uncle Sams Cider (04/04/2023)")</f>
        <v>Uncle Sams Cider (04/04/2023)</v>
      </c>
      <c r="H3117" s="19"/>
    </row>
    <row r="3118">
      <c r="A3118" s="9"/>
      <c r="B3118" s="15"/>
      <c r="C3118" s="9">
        <f>IFERROR(__xludf.DUMMYFUNCTION("""COMPUTED_VALUE"""),45112.0209566551)</f>
        <v>45112.02096</v>
      </c>
      <c r="D3118" s="15">
        <f>IFERROR(__xludf.DUMMYFUNCTION("""COMPUTED_VALUE"""),1.004)</f>
        <v>1.004</v>
      </c>
      <c r="E3118" s="16">
        <f>IFERROR(__xludf.DUMMYFUNCTION("""COMPUTED_VALUE"""),71.0)</f>
        <v>71</v>
      </c>
      <c r="F3118" s="19" t="str">
        <f>IFERROR(__xludf.DUMMYFUNCTION("""COMPUTED_VALUE"""),"BLACK")</f>
        <v>BLACK</v>
      </c>
      <c r="G3118" s="20" t="str">
        <f>IFERROR(__xludf.DUMMYFUNCTION("""COMPUTED_VALUE"""),"Uncle Sams Cider (04/04/2023)")</f>
        <v>Uncle Sams Cider (04/04/2023)</v>
      </c>
      <c r="H3118" s="19"/>
    </row>
    <row r="3119">
      <c r="A3119" s="9"/>
      <c r="B3119" s="15"/>
      <c r="C3119" s="9">
        <f>IFERROR(__xludf.DUMMYFUNCTION("""COMPUTED_VALUE"""),45112.0105346527)</f>
        <v>45112.01053</v>
      </c>
      <c r="D3119" s="15">
        <f>IFERROR(__xludf.DUMMYFUNCTION("""COMPUTED_VALUE"""),1.004)</f>
        <v>1.004</v>
      </c>
      <c r="E3119" s="16">
        <f>IFERROR(__xludf.DUMMYFUNCTION("""COMPUTED_VALUE"""),71.0)</f>
        <v>71</v>
      </c>
      <c r="F3119" s="19" t="str">
        <f>IFERROR(__xludf.DUMMYFUNCTION("""COMPUTED_VALUE"""),"BLACK")</f>
        <v>BLACK</v>
      </c>
      <c r="G3119" s="20" t="str">
        <f>IFERROR(__xludf.DUMMYFUNCTION("""COMPUTED_VALUE"""),"Uncle Sams Cider (04/04/2023)")</f>
        <v>Uncle Sams Cider (04/04/2023)</v>
      </c>
      <c r="H3119" s="19"/>
    </row>
    <row r="3120">
      <c r="A3120" s="9"/>
      <c r="B3120" s="15"/>
      <c r="C3120" s="9">
        <f>IFERROR(__xludf.DUMMYFUNCTION("""COMPUTED_VALUE"""),45112.0000998379)</f>
        <v>45112.0001</v>
      </c>
      <c r="D3120" s="15">
        <f>IFERROR(__xludf.DUMMYFUNCTION("""COMPUTED_VALUE"""),1.004)</f>
        <v>1.004</v>
      </c>
      <c r="E3120" s="16">
        <f>IFERROR(__xludf.DUMMYFUNCTION("""COMPUTED_VALUE"""),71.0)</f>
        <v>71</v>
      </c>
      <c r="F3120" s="19" t="str">
        <f>IFERROR(__xludf.DUMMYFUNCTION("""COMPUTED_VALUE"""),"BLACK")</f>
        <v>BLACK</v>
      </c>
      <c r="G3120" s="20" t="str">
        <f>IFERROR(__xludf.DUMMYFUNCTION("""COMPUTED_VALUE"""),"Uncle Sams Cider (04/04/2023)")</f>
        <v>Uncle Sams Cider (04/04/2023)</v>
      </c>
      <c r="H3120" s="19"/>
    </row>
    <row r="3121">
      <c r="A3121" s="9"/>
      <c r="B3121" s="15"/>
      <c r="C3121" s="9">
        <f>IFERROR(__xludf.DUMMYFUNCTION("""COMPUTED_VALUE"""),45111.9896775463)</f>
        <v>45111.98968</v>
      </c>
      <c r="D3121" s="15">
        <f>IFERROR(__xludf.DUMMYFUNCTION("""COMPUTED_VALUE"""),1.004)</f>
        <v>1.004</v>
      </c>
      <c r="E3121" s="16">
        <f>IFERROR(__xludf.DUMMYFUNCTION("""COMPUTED_VALUE"""),71.0)</f>
        <v>71</v>
      </c>
      <c r="F3121" s="19" t="str">
        <f>IFERROR(__xludf.DUMMYFUNCTION("""COMPUTED_VALUE"""),"BLACK")</f>
        <v>BLACK</v>
      </c>
      <c r="G3121" s="20" t="str">
        <f>IFERROR(__xludf.DUMMYFUNCTION("""COMPUTED_VALUE"""),"Uncle Sams Cider (04/04/2023)")</f>
        <v>Uncle Sams Cider (04/04/2023)</v>
      </c>
      <c r="H3121" s="19"/>
    </row>
    <row r="3122">
      <c r="A3122" s="9"/>
      <c r="B3122" s="15"/>
      <c r="C3122" s="9">
        <f>IFERROR(__xludf.DUMMYFUNCTION("""COMPUTED_VALUE"""),45111.9792577893)</f>
        <v>45111.97926</v>
      </c>
      <c r="D3122" s="15">
        <f>IFERROR(__xludf.DUMMYFUNCTION("""COMPUTED_VALUE"""),1.004)</f>
        <v>1.004</v>
      </c>
      <c r="E3122" s="16">
        <f>IFERROR(__xludf.DUMMYFUNCTION("""COMPUTED_VALUE"""),71.0)</f>
        <v>71</v>
      </c>
      <c r="F3122" s="19" t="str">
        <f>IFERROR(__xludf.DUMMYFUNCTION("""COMPUTED_VALUE"""),"BLACK")</f>
        <v>BLACK</v>
      </c>
      <c r="G3122" s="20" t="str">
        <f>IFERROR(__xludf.DUMMYFUNCTION("""COMPUTED_VALUE"""),"Uncle Sams Cider (04/04/2023)")</f>
        <v>Uncle Sams Cider (04/04/2023)</v>
      </c>
      <c r="H3122" s="19"/>
    </row>
    <row r="3123">
      <c r="A3123" s="9"/>
      <c r="B3123" s="15"/>
      <c r="C3123" s="9">
        <f>IFERROR(__xludf.DUMMYFUNCTION("""COMPUTED_VALUE"""),45111.9688381018)</f>
        <v>45111.96884</v>
      </c>
      <c r="D3123" s="15">
        <f>IFERROR(__xludf.DUMMYFUNCTION("""COMPUTED_VALUE"""),1.004)</f>
        <v>1.004</v>
      </c>
      <c r="E3123" s="16">
        <f>IFERROR(__xludf.DUMMYFUNCTION("""COMPUTED_VALUE"""),71.0)</f>
        <v>71</v>
      </c>
      <c r="F3123" s="19" t="str">
        <f>IFERROR(__xludf.DUMMYFUNCTION("""COMPUTED_VALUE"""),"BLACK")</f>
        <v>BLACK</v>
      </c>
      <c r="G3123" s="20" t="str">
        <f>IFERROR(__xludf.DUMMYFUNCTION("""COMPUTED_VALUE"""),"Uncle Sams Cider (04/04/2023)")</f>
        <v>Uncle Sams Cider (04/04/2023)</v>
      </c>
      <c r="H3123" s="19"/>
    </row>
    <row r="3124">
      <c r="A3124" s="9"/>
      <c r="B3124" s="15"/>
      <c r="C3124" s="9">
        <f>IFERROR(__xludf.DUMMYFUNCTION("""COMPUTED_VALUE"""),45111.9584172916)</f>
        <v>45111.95842</v>
      </c>
      <c r="D3124" s="15">
        <f>IFERROR(__xludf.DUMMYFUNCTION("""COMPUTED_VALUE"""),1.004)</f>
        <v>1.004</v>
      </c>
      <c r="E3124" s="16">
        <f>IFERROR(__xludf.DUMMYFUNCTION("""COMPUTED_VALUE"""),71.0)</f>
        <v>71</v>
      </c>
      <c r="F3124" s="19" t="str">
        <f>IFERROR(__xludf.DUMMYFUNCTION("""COMPUTED_VALUE"""),"BLACK")</f>
        <v>BLACK</v>
      </c>
      <c r="G3124" s="20" t="str">
        <f>IFERROR(__xludf.DUMMYFUNCTION("""COMPUTED_VALUE"""),"Uncle Sams Cider (04/04/2023)")</f>
        <v>Uncle Sams Cider (04/04/2023)</v>
      </c>
      <c r="H3124" s="19"/>
    </row>
    <row r="3125">
      <c r="A3125" s="9"/>
      <c r="B3125" s="15"/>
      <c r="C3125" s="9">
        <f>IFERROR(__xludf.DUMMYFUNCTION("""COMPUTED_VALUE"""),45111.9479747222)</f>
        <v>45111.94797</v>
      </c>
      <c r="D3125" s="15">
        <f>IFERROR(__xludf.DUMMYFUNCTION("""COMPUTED_VALUE"""),1.004)</f>
        <v>1.004</v>
      </c>
      <c r="E3125" s="16">
        <f>IFERROR(__xludf.DUMMYFUNCTION("""COMPUTED_VALUE"""),71.0)</f>
        <v>71</v>
      </c>
      <c r="F3125" s="19" t="str">
        <f>IFERROR(__xludf.DUMMYFUNCTION("""COMPUTED_VALUE"""),"BLACK")</f>
        <v>BLACK</v>
      </c>
      <c r="G3125" s="20" t="str">
        <f>IFERROR(__xludf.DUMMYFUNCTION("""COMPUTED_VALUE"""),"Uncle Sams Cider (04/04/2023)")</f>
        <v>Uncle Sams Cider (04/04/2023)</v>
      </c>
      <c r="H3125" s="19"/>
    </row>
    <row r="3126">
      <c r="A3126" s="9"/>
      <c r="B3126" s="15"/>
      <c r="C3126" s="9">
        <f>IFERROR(__xludf.DUMMYFUNCTION("""COMPUTED_VALUE"""),45111.9375536111)</f>
        <v>45111.93755</v>
      </c>
      <c r="D3126" s="15">
        <f>IFERROR(__xludf.DUMMYFUNCTION("""COMPUTED_VALUE"""),1.004)</f>
        <v>1.004</v>
      </c>
      <c r="E3126" s="16">
        <f>IFERROR(__xludf.DUMMYFUNCTION("""COMPUTED_VALUE"""),71.0)</f>
        <v>71</v>
      </c>
      <c r="F3126" s="19" t="str">
        <f>IFERROR(__xludf.DUMMYFUNCTION("""COMPUTED_VALUE"""),"BLACK")</f>
        <v>BLACK</v>
      </c>
      <c r="G3126" s="20" t="str">
        <f>IFERROR(__xludf.DUMMYFUNCTION("""COMPUTED_VALUE"""),"Uncle Sams Cider (04/04/2023)")</f>
        <v>Uncle Sams Cider (04/04/2023)</v>
      </c>
      <c r="H3126" s="19"/>
    </row>
    <row r="3127">
      <c r="A3127" s="9"/>
      <c r="B3127" s="15"/>
      <c r="C3127" s="9">
        <f>IFERROR(__xludf.DUMMYFUNCTION("""COMPUTED_VALUE"""),45111.9271330671)</f>
        <v>45111.92713</v>
      </c>
      <c r="D3127" s="15">
        <f>IFERROR(__xludf.DUMMYFUNCTION("""COMPUTED_VALUE"""),1.004)</f>
        <v>1.004</v>
      </c>
      <c r="E3127" s="16">
        <f>IFERROR(__xludf.DUMMYFUNCTION("""COMPUTED_VALUE"""),71.0)</f>
        <v>71</v>
      </c>
      <c r="F3127" s="19" t="str">
        <f>IFERROR(__xludf.DUMMYFUNCTION("""COMPUTED_VALUE"""),"BLACK")</f>
        <v>BLACK</v>
      </c>
      <c r="G3127" s="20" t="str">
        <f>IFERROR(__xludf.DUMMYFUNCTION("""COMPUTED_VALUE"""),"Uncle Sams Cider (04/04/2023)")</f>
        <v>Uncle Sams Cider (04/04/2023)</v>
      </c>
      <c r="H3127" s="19"/>
    </row>
    <row r="3128">
      <c r="A3128" s="9"/>
      <c r="B3128" s="15"/>
      <c r="C3128" s="9">
        <f>IFERROR(__xludf.DUMMYFUNCTION("""COMPUTED_VALUE"""),45111.916699456)</f>
        <v>45111.9167</v>
      </c>
      <c r="D3128" s="15">
        <f>IFERROR(__xludf.DUMMYFUNCTION("""COMPUTED_VALUE"""),1.004)</f>
        <v>1.004</v>
      </c>
      <c r="E3128" s="16">
        <f>IFERROR(__xludf.DUMMYFUNCTION("""COMPUTED_VALUE"""),71.0)</f>
        <v>71</v>
      </c>
      <c r="F3128" s="19" t="str">
        <f>IFERROR(__xludf.DUMMYFUNCTION("""COMPUTED_VALUE"""),"BLACK")</f>
        <v>BLACK</v>
      </c>
      <c r="G3128" s="20" t="str">
        <f>IFERROR(__xludf.DUMMYFUNCTION("""COMPUTED_VALUE"""),"Uncle Sams Cider (04/04/2023)")</f>
        <v>Uncle Sams Cider (04/04/2023)</v>
      </c>
      <c r="H3128" s="19"/>
    </row>
    <row r="3129">
      <c r="A3129" s="9"/>
      <c r="B3129" s="15"/>
      <c r="C3129" s="9">
        <f>IFERROR(__xludf.DUMMYFUNCTION("""COMPUTED_VALUE"""),45111.9062796412)</f>
        <v>45111.90628</v>
      </c>
      <c r="D3129" s="15">
        <f>IFERROR(__xludf.DUMMYFUNCTION("""COMPUTED_VALUE"""),1.004)</f>
        <v>1.004</v>
      </c>
      <c r="E3129" s="16">
        <f>IFERROR(__xludf.DUMMYFUNCTION("""COMPUTED_VALUE"""),71.0)</f>
        <v>71</v>
      </c>
      <c r="F3129" s="19" t="str">
        <f>IFERROR(__xludf.DUMMYFUNCTION("""COMPUTED_VALUE"""),"BLACK")</f>
        <v>BLACK</v>
      </c>
      <c r="G3129" s="20" t="str">
        <f>IFERROR(__xludf.DUMMYFUNCTION("""COMPUTED_VALUE"""),"Uncle Sams Cider (04/04/2023)")</f>
        <v>Uncle Sams Cider (04/04/2023)</v>
      </c>
      <c r="H3129" s="19"/>
    </row>
    <row r="3130">
      <c r="A3130" s="9"/>
      <c r="B3130" s="15"/>
      <c r="C3130" s="9">
        <f>IFERROR(__xludf.DUMMYFUNCTION("""COMPUTED_VALUE"""),45111.8958600694)</f>
        <v>45111.89586</v>
      </c>
      <c r="D3130" s="15">
        <f>IFERROR(__xludf.DUMMYFUNCTION("""COMPUTED_VALUE"""),1.004)</f>
        <v>1.004</v>
      </c>
      <c r="E3130" s="16">
        <f>IFERROR(__xludf.DUMMYFUNCTION("""COMPUTED_VALUE"""),71.0)</f>
        <v>71</v>
      </c>
      <c r="F3130" s="19" t="str">
        <f>IFERROR(__xludf.DUMMYFUNCTION("""COMPUTED_VALUE"""),"BLACK")</f>
        <v>BLACK</v>
      </c>
      <c r="G3130" s="20" t="str">
        <f>IFERROR(__xludf.DUMMYFUNCTION("""COMPUTED_VALUE"""),"Uncle Sams Cider (04/04/2023)")</f>
        <v>Uncle Sams Cider (04/04/2023)</v>
      </c>
      <c r="H3130" s="19"/>
    </row>
    <row r="3131">
      <c r="A3131" s="9"/>
      <c r="B3131" s="15"/>
      <c r="C3131" s="9">
        <f>IFERROR(__xludf.DUMMYFUNCTION("""COMPUTED_VALUE"""),45111.8854393634)</f>
        <v>45111.88544</v>
      </c>
      <c r="D3131" s="15">
        <f>IFERROR(__xludf.DUMMYFUNCTION("""COMPUTED_VALUE"""),1.004)</f>
        <v>1.004</v>
      </c>
      <c r="E3131" s="16">
        <f>IFERROR(__xludf.DUMMYFUNCTION("""COMPUTED_VALUE"""),71.0)</f>
        <v>71</v>
      </c>
      <c r="F3131" s="19" t="str">
        <f>IFERROR(__xludf.DUMMYFUNCTION("""COMPUTED_VALUE"""),"BLACK")</f>
        <v>BLACK</v>
      </c>
      <c r="G3131" s="20" t="str">
        <f>IFERROR(__xludf.DUMMYFUNCTION("""COMPUTED_VALUE"""),"Uncle Sams Cider (04/04/2023)")</f>
        <v>Uncle Sams Cider (04/04/2023)</v>
      </c>
      <c r="H3131" s="19"/>
    </row>
    <row r="3132">
      <c r="A3132" s="9"/>
      <c r="B3132" s="15"/>
      <c r="C3132" s="9">
        <f>IFERROR(__xludf.DUMMYFUNCTION("""COMPUTED_VALUE"""),45111.8750178703)</f>
        <v>45111.87502</v>
      </c>
      <c r="D3132" s="15">
        <f>IFERROR(__xludf.DUMMYFUNCTION("""COMPUTED_VALUE"""),1.004)</f>
        <v>1.004</v>
      </c>
      <c r="E3132" s="16">
        <f>IFERROR(__xludf.DUMMYFUNCTION("""COMPUTED_VALUE"""),71.0)</f>
        <v>71</v>
      </c>
      <c r="F3132" s="19" t="str">
        <f>IFERROR(__xludf.DUMMYFUNCTION("""COMPUTED_VALUE"""),"BLACK")</f>
        <v>BLACK</v>
      </c>
      <c r="G3132" s="20" t="str">
        <f>IFERROR(__xludf.DUMMYFUNCTION("""COMPUTED_VALUE"""),"Uncle Sams Cider (04/04/2023)")</f>
        <v>Uncle Sams Cider (04/04/2023)</v>
      </c>
      <c r="H3132" s="19"/>
    </row>
    <row r="3133">
      <c r="A3133" s="9"/>
      <c r="B3133" s="15"/>
      <c r="C3133" s="9">
        <f>IFERROR(__xludf.DUMMYFUNCTION("""COMPUTED_VALUE"""),45111.8645976157)</f>
        <v>45111.8646</v>
      </c>
      <c r="D3133" s="15">
        <f>IFERROR(__xludf.DUMMYFUNCTION("""COMPUTED_VALUE"""),1.004)</f>
        <v>1.004</v>
      </c>
      <c r="E3133" s="16">
        <f>IFERROR(__xludf.DUMMYFUNCTION("""COMPUTED_VALUE"""),71.0)</f>
        <v>71</v>
      </c>
      <c r="F3133" s="19" t="str">
        <f>IFERROR(__xludf.DUMMYFUNCTION("""COMPUTED_VALUE"""),"BLACK")</f>
        <v>BLACK</v>
      </c>
      <c r="G3133" s="20" t="str">
        <f>IFERROR(__xludf.DUMMYFUNCTION("""COMPUTED_VALUE"""),"Uncle Sams Cider (04/04/2023)")</f>
        <v>Uncle Sams Cider (04/04/2023)</v>
      </c>
      <c r="H3133" s="19"/>
    </row>
    <row r="3134">
      <c r="A3134" s="9"/>
      <c r="B3134" s="15"/>
      <c r="C3134" s="9">
        <f>IFERROR(__xludf.DUMMYFUNCTION("""COMPUTED_VALUE"""),45111.854164456)</f>
        <v>45111.85416</v>
      </c>
      <c r="D3134" s="15">
        <f>IFERROR(__xludf.DUMMYFUNCTION("""COMPUTED_VALUE"""),1.004)</f>
        <v>1.004</v>
      </c>
      <c r="E3134" s="16">
        <f>IFERROR(__xludf.DUMMYFUNCTION("""COMPUTED_VALUE"""),71.0)</f>
        <v>71</v>
      </c>
      <c r="F3134" s="19" t="str">
        <f>IFERROR(__xludf.DUMMYFUNCTION("""COMPUTED_VALUE"""),"BLACK")</f>
        <v>BLACK</v>
      </c>
      <c r="G3134" s="20" t="str">
        <f>IFERROR(__xludf.DUMMYFUNCTION("""COMPUTED_VALUE"""),"Uncle Sams Cider (04/04/2023)")</f>
        <v>Uncle Sams Cider (04/04/2023)</v>
      </c>
      <c r="H3134" s="19"/>
    </row>
    <row r="3135">
      <c r="A3135" s="9"/>
      <c r="B3135" s="15"/>
      <c r="C3135" s="9">
        <f>IFERROR(__xludf.DUMMYFUNCTION("""COMPUTED_VALUE"""),45111.8437434375)</f>
        <v>45111.84374</v>
      </c>
      <c r="D3135" s="15">
        <f>IFERROR(__xludf.DUMMYFUNCTION("""COMPUTED_VALUE"""),1.004)</f>
        <v>1.004</v>
      </c>
      <c r="E3135" s="16">
        <f>IFERROR(__xludf.DUMMYFUNCTION("""COMPUTED_VALUE"""),71.0)</f>
        <v>71</v>
      </c>
      <c r="F3135" s="19" t="str">
        <f>IFERROR(__xludf.DUMMYFUNCTION("""COMPUTED_VALUE"""),"BLACK")</f>
        <v>BLACK</v>
      </c>
      <c r="G3135" s="20" t="str">
        <f>IFERROR(__xludf.DUMMYFUNCTION("""COMPUTED_VALUE"""),"Uncle Sams Cider (04/04/2023)")</f>
        <v>Uncle Sams Cider (04/04/2023)</v>
      </c>
      <c r="H3135" s="19"/>
    </row>
    <row r="3136">
      <c r="A3136" s="9"/>
      <c r="B3136" s="15"/>
      <c r="C3136" s="9">
        <f>IFERROR(__xludf.DUMMYFUNCTION("""COMPUTED_VALUE"""),45111.8333203588)</f>
        <v>45111.83332</v>
      </c>
      <c r="D3136" s="15">
        <f>IFERROR(__xludf.DUMMYFUNCTION("""COMPUTED_VALUE"""),1.004)</f>
        <v>1.004</v>
      </c>
      <c r="E3136" s="16">
        <f>IFERROR(__xludf.DUMMYFUNCTION("""COMPUTED_VALUE"""),71.0)</f>
        <v>71</v>
      </c>
      <c r="F3136" s="19" t="str">
        <f>IFERROR(__xludf.DUMMYFUNCTION("""COMPUTED_VALUE"""),"BLACK")</f>
        <v>BLACK</v>
      </c>
      <c r="G3136" s="20" t="str">
        <f>IFERROR(__xludf.DUMMYFUNCTION("""COMPUTED_VALUE"""),"Uncle Sams Cider (04/04/2023)")</f>
        <v>Uncle Sams Cider (04/04/2023)</v>
      </c>
      <c r="H3136" s="19"/>
    </row>
    <row r="3137">
      <c r="A3137" s="9"/>
      <c r="B3137" s="15"/>
      <c r="C3137" s="9">
        <f>IFERROR(__xludf.DUMMYFUNCTION("""COMPUTED_VALUE"""),45111.822887118)</f>
        <v>45111.82289</v>
      </c>
      <c r="D3137" s="15">
        <f>IFERROR(__xludf.DUMMYFUNCTION("""COMPUTED_VALUE"""),1.004)</f>
        <v>1.004</v>
      </c>
      <c r="E3137" s="16">
        <f>IFERROR(__xludf.DUMMYFUNCTION("""COMPUTED_VALUE"""),71.0)</f>
        <v>71</v>
      </c>
      <c r="F3137" s="19" t="str">
        <f>IFERROR(__xludf.DUMMYFUNCTION("""COMPUTED_VALUE"""),"BLACK")</f>
        <v>BLACK</v>
      </c>
      <c r="G3137" s="20" t="str">
        <f>IFERROR(__xludf.DUMMYFUNCTION("""COMPUTED_VALUE"""),"Uncle Sams Cider (04/04/2023)")</f>
        <v>Uncle Sams Cider (04/04/2023)</v>
      </c>
      <c r="H3137" s="19"/>
    </row>
    <row r="3138">
      <c r="A3138" s="9"/>
      <c r="B3138" s="15"/>
      <c r="C3138" s="9">
        <f>IFERROR(__xludf.DUMMYFUNCTION("""COMPUTED_VALUE"""),45111.8124660301)</f>
        <v>45111.81247</v>
      </c>
      <c r="D3138" s="15">
        <f>IFERROR(__xludf.DUMMYFUNCTION("""COMPUTED_VALUE"""),1.004)</f>
        <v>1.004</v>
      </c>
      <c r="E3138" s="16">
        <f>IFERROR(__xludf.DUMMYFUNCTION("""COMPUTED_VALUE"""),71.0)</f>
        <v>71</v>
      </c>
      <c r="F3138" s="19" t="str">
        <f>IFERROR(__xludf.DUMMYFUNCTION("""COMPUTED_VALUE"""),"BLACK")</f>
        <v>BLACK</v>
      </c>
      <c r="G3138" s="20" t="str">
        <f>IFERROR(__xludf.DUMMYFUNCTION("""COMPUTED_VALUE"""),"Uncle Sams Cider (04/04/2023)")</f>
        <v>Uncle Sams Cider (04/04/2023)</v>
      </c>
      <c r="H3138" s="19"/>
    </row>
    <row r="3139">
      <c r="A3139" s="9"/>
      <c r="B3139" s="15"/>
      <c r="C3139" s="9">
        <f>IFERROR(__xludf.DUMMYFUNCTION("""COMPUTED_VALUE"""),45111.8020446412)</f>
        <v>45111.80204</v>
      </c>
      <c r="D3139" s="15">
        <f>IFERROR(__xludf.DUMMYFUNCTION("""COMPUTED_VALUE"""),1.004)</f>
        <v>1.004</v>
      </c>
      <c r="E3139" s="16">
        <f>IFERROR(__xludf.DUMMYFUNCTION("""COMPUTED_VALUE"""),71.0)</f>
        <v>71</v>
      </c>
      <c r="F3139" s="19" t="str">
        <f>IFERROR(__xludf.DUMMYFUNCTION("""COMPUTED_VALUE"""),"BLACK")</f>
        <v>BLACK</v>
      </c>
      <c r="G3139" s="20" t="str">
        <f>IFERROR(__xludf.DUMMYFUNCTION("""COMPUTED_VALUE"""),"Uncle Sams Cider (04/04/2023)")</f>
        <v>Uncle Sams Cider (04/04/2023)</v>
      </c>
      <c r="H3139" s="19"/>
    </row>
    <row r="3140">
      <c r="A3140" s="9"/>
      <c r="B3140" s="15"/>
      <c r="C3140" s="9">
        <f>IFERROR(__xludf.DUMMYFUNCTION("""COMPUTED_VALUE"""),45111.7916244444)</f>
        <v>45111.79162</v>
      </c>
      <c r="D3140" s="15">
        <f>IFERROR(__xludf.DUMMYFUNCTION("""COMPUTED_VALUE"""),1.004)</f>
        <v>1.004</v>
      </c>
      <c r="E3140" s="16">
        <f>IFERROR(__xludf.DUMMYFUNCTION("""COMPUTED_VALUE"""),71.0)</f>
        <v>71</v>
      </c>
      <c r="F3140" s="19" t="str">
        <f>IFERROR(__xludf.DUMMYFUNCTION("""COMPUTED_VALUE"""),"BLACK")</f>
        <v>BLACK</v>
      </c>
      <c r="G3140" s="20" t="str">
        <f>IFERROR(__xludf.DUMMYFUNCTION("""COMPUTED_VALUE"""),"Uncle Sams Cider (04/04/2023)")</f>
        <v>Uncle Sams Cider (04/04/2023)</v>
      </c>
      <c r="H3140" s="19"/>
    </row>
    <row r="3141">
      <c r="A3141" s="9"/>
      <c r="B3141" s="15"/>
      <c r="C3141" s="9">
        <f>IFERROR(__xludf.DUMMYFUNCTION("""COMPUTED_VALUE"""),45111.7812041551)</f>
        <v>45111.7812</v>
      </c>
      <c r="D3141" s="15">
        <f>IFERROR(__xludf.DUMMYFUNCTION("""COMPUTED_VALUE"""),1.004)</f>
        <v>1.004</v>
      </c>
      <c r="E3141" s="16">
        <f>IFERROR(__xludf.DUMMYFUNCTION("""COMPUTED_VALUE"""),71.0)</f>
        <v>71</v>
      </c>
      <c r="F3141" s="19" t="str">
        <f>IFERROR(__xludf.DUMMYFUNCTION("""COMPUTED_VALUE"""),"BLACK")</f>
        <v>BLACK</v>
      </c>
      <c r="G3141" s="20" t="str">
        <f>IFERROR(__xludf.DUMMYFUNCTION("""COMPUTED_VALUE"""),"Uncle Sams Cider (04/04/2023)")</f>
        <v>Uncle Sams Cider (04/04/2023)</v>
      </c>
      <c r="H3141" s="19"/>
    </row>
    <row r="3142">
      <c r="A3142" s="9"/>
      <c r="B3142" s="15"/>
      <c r="C3142" s="9">
        <f>IFERROR(__xludf.DUMMYFUNCTION("""COMPUTED_VALUE"""),45111.770783287)</f>
        <v>45111.77078</v>
      </c>
      <c r="D3142" s="15">
        <f>IFERROR(__xludf.DUMMYFUNCTION("""COMPUTED_VALUE"""),1.004)</f>
        <v>1.004</v>
      </c>
      <c r="E3142" s="16">
        <f>IFERROR(__xludf.DUMMYFUNCTION("""COMPUTED_VALUE"""),71.0)</f>
        <v>71</v>
      </c>
      <c r="F3142" s="19" t="str">
        <f>IFERROR(__xludf.DUMMYFUNCTION("""COMPUTED_VALUE"""),"BLACK")</f>
        <v>BLACK</v>
      </c>
      <c r="G3142" s="20" t="str">
        <f>IFERROR(__xludf.DUMMYFUNCTION("""COMPUTED_VALUE"""),"Uncle Sams Cider (04/04/2023)")</f>
        <v>Uncle Sams Cider (04/04/2023)</v>
      </c>
      <c r="H3142" s="19"/>
    </row>
    <row r="3143">
      <c r="A3143" s="9"/>
      <c r="B3143" s="15"/>
      <c r="C3143" s="9">
        <f>IFERROR(__xludf.DUMMYFUNCTION("""COMPUTED_VALUE"""),45111.7603498148)</f>
        <v>45111.76035</v>
      </c>
      <c r="D3143" s="15">
        <f>IFERROR(__xludf.DUMMYFUNCTION("""COMPUTED_VALUE"""),1.004)</f>
        <v>1.004</v>
      </c>
      <c r="E3143" s="16">
        <f>IFERROR(__xludf.DUMMYFUNCTION("""COMPUTED_VALUE"""),71.0)</f>
        <v>71</v>
      </c>
      <c r="F3143" s="19" t="str">
        <f>IFERROR(__xludf.DUMMYFUNCTION("""COMPUTED_VALUE"""),"BLACK")</f>
        <v>BLACK</v>
      </c>
      <c r="G3143" s="20" t="str">
        <f>IFERROR(__xludf.DUMMYFUNCTION("""COMPUTED_VALUE"""),"Uncle Sams Cider (04/04/2023)")</f>
        <v>Uncle Sams Cider (04/04/2023)</v>
      </c>
      <c r="H3143" s="19"/>
    </row>
    <row r="3144">
      <c r="A3144" s="9"/>
      <c r="B3144" s="15"/>
      <c r="C3144" s="9">
        <f>IFERROR(__xludf.DUMMYFUNCTION("""COMPUTED_VALUE"""),45111.7499291087)</f>
        <v>45111.74993</v>
      </c>
      <c r="D3144" s="15">
        <f>IFERROR(__xludf.DUMMYFUNCTION("""COMPUTED_VALUE"""),1.004)</f>
        <v>1.004</v>
      </c>
      <c r="E3144" s="16">
        <f>IFERROR(__xludf.DUMMYFUNCTION("""COMPUTED_VALUE"""),71.0)</f>
        <v>71</v>
      </c>
      <c r="F3144" s="19" t="str">
        <f>IFERROR(__xludf.DUMMYFUNCTION("""COMPUTED_VALUE"""),"BLACK")</f>
        <v>BLACK</v>
      </c>
      <c r="G3144" s="20" t="str">
        <f>IFERROR(__xludf.DUMMYFUNCTION("""COMPUTED_VALUE"""),"Uncle Sams Cider (04/04/2023)")</f>
        <v>Uncle Sams Cider (04/04/2023)</v>
      </c>
      <c r="H3144" s="19"/>
    </row>
    <row r="3145">
      <c r="A3145" s="9"/>
      <c r="B3145" s="15"/>
      <c r="C3145" s="9">
        <f>IFERROR(__xludf.DUMMYFUNCTION("""COMPUTED_VALUE"""),45111.7395070023)</f>
        <v>45111.73951</v>
      </c>
      <c r="D3145" s="15">
        <f>IFERROR(__xludf.DUMMYFUNCTION("""COMPUTED_VALUE"""),1.004)</f>
        <v>1.004</v>
      </c>
      <c r="E3145" s="16">
        <f>IFERROR(__xludf.DUMMYFUNCTION("""COMPUTED_VALUE"""),71.0)</f>
        <v>71</v>
      </c>
      <c r="F3145" s="19" t="str">
        <f>IFERROR(__xludf.DUMMYFUNCTION("""COMPUTED_VALUE"""),"BLACK")</f>
        <v>BLACK</v>
      </c>
      <c r="G3145" s="20" t="str">
        <f>IFERROR(__xludf.DUMMYFUNCTION("""COMPUTED_VALUE"""),"Uncle Sams Cider (04/04/2023)")</f>
        <v>Uncle Sams Cider (04/04/2023)</v>
      </c>
      <c r="H3145" s="19"/>
    </row>
    <row r="3146">
      <c r="A3146" s="9"/>
      <c r="B3146" s="15"/>
      <c r="C3146" s="9">
        <f>IFERROR(__xludf.DUMMYFUNCTION("""COMPUTED_VALUE"""),45111.7290861342)</f>
        <v>45111.72909</v>
      </c>
      <c r="D3146" s="15">
        <f>IFERROR(__xludf.DUMMYFUNCTION("""COMPUTED_VALUE"""),1.004)</f>
        <v>1.004</v>
      </c>
      <c r="E3146" s="16">
        <f>IFERROR(__xludf.DUMMYFUNCTION("""COMPUTED_VALUE"""),71.0)</f>
        <v>71</v>
      </c>
      <c r="F3146" s="19" t="str">
        <f>IFERROR(__xludf.DUMMYFUNCTION("""COMPUTED_VALUE"""),"BLACK")</f>
        <v>BLACK</v>
      </c>
      <c r="G3146" s="20" t="str">
        <f>IFERROR(__xludf.DUMMYFUNCTION("""COMPUTED_VALUE"""),"Uncle Sams Cider (04/04/2023)")</f>
        <v>Uncle Sams Cider (04/04/2023)</v>
      </c>
      <c r="H3146" s="19"/>
    </row>
    <row r="3147">
      <c r="A3147" s="9"/>
      <c r="B3147" s="15"/>
      <c r="C3147" s="9">
        <f>IFERROR(__xludf.DUMMYFUNCTION("""COMPUTED_VALUE"""),45111.7186653703)</f>
        <v>45111.71867</v>
      </c>
      <c r="D3147" s="15">
        <f>IFERROR(__xludf.DUMMYFUNCTION("""COMPUTED_VALUE"""),1.004)</f>
        <v>1.004</v>
      </c>
      <c r="E3147" s="16">
        <f>IFERROR(__xludf.DUMMYFUNCTION("""COMPUTED_VALUE"""),71.0)</f>
        <v>71</v>
      </c>
      <c r="F3147" s="19" t="str">
        <f>IFERROR(__xludf.DUMMYFUNCTION("""COMPUTED_VALUE"""),"BLACK")</f>
        <v>BLACK</v>
      </c>
      <c r="G3147" s="20" t="str">
        <f>IFERROR(__xludf.DUMMYFUNCTION("""COMPUTED_VALUE"""),"Uncle Sams Cider (04/04/2023)")</f>
        <v>Uncle Sams Cider (04/04/2023)</v>
      </c>
      <c r="H3147" s="19"/>
    </row>
    <row r="3148">
      <c r="A3148" s="9"/>
      <c r="B3148" s="15"/>
      <c r="C3148" s="9">
        <f>IFERROR(__xludf.DUMMYFUNCTION("""COMPUTED_VALUE"""),45111.7082203819)</f>
        <v>45111.70822</v>
      </c>
      <c r="D3148" s="15">
        <f>IFERROR(__xludf.DUMMYFUNCTION("""COMPUTED_VALUE"""),1.004)</f>
        <v>1.004</v>
      </c>
      <c r="E3148" s="16">
        <f>IFERROR(__xludf.DUMMYFUNCTION("""COMPUTED_VALUE"""),71.0)</f>
        <v>71</v>
      </c>
      <c r="F3148" s="19" t="str">
        <f>IFERROR(__xludf.DUMMYFUNCTION("""COMPUTED_VALUE"""),"BLACK")</f>
        <v>BLACK</v>
      </c>
      <c r="G3148" s="20" t="str">
        <f>IFERROR(__xludf.DUMMYFUNCTION("""COMPUTED_VALUE"""),"Uncle Sams Cider (04/04/2023)")</f>
        <v>Uncle Sams Cider (04/04/2023)</v>
      </c>
      <c r="H3148" s="19"/>
    </row>
    <row r="3149">
      <c r="A3149" s="9"/>
      <c r="B3149" s="15"/>
      <c r="C3149" s="9">
        <f>IFERROR(__xludf.DUMMYFUNCTION("""COMPUTED_VALUE"""),45111.6977972338)</f>
        <v>45111.6978</v>
      </c>
      <c r="D3149" s="15">
        <f>IFERROR(__xludf.DUMMYFUNCTION("""COMPUTED_VALUE"""),1.004)</f>
        <v>1.004</v>
      </c>
      <c r="E3149" s="16">
        <f>IFERROR(__xludf.DUMMYFUNCTION("""COMPUTED_VALUE"""),71.0)</f>
        <v>71</v>
      </c>
      <c r="F3149" s="19" t="str">
        <f>IFERROR(__xludf.DUMMYFUNCTION("""COMPUTED_VALUE"""),"BLACK")</f>
        <v>BLACK</v>
      </c>
      <c r="G3149" s="20" t="str">
        <f>IFERROR(__xludf.DUMMYFUNCTION("""COMPUTED_VALUE"""),"Uncle Sams Cider (04/04/2023)")</f>
        <v>Uncle Sams Cider (04/04/2023)</v>
      </c>
      <c r="H3149" s="19"/>
    </row>
    <row r="3150">
      <c r="A3150" s="9"/>
      <c r="B3150" s="15"/>
      <c r="C3150" s="9">
        <f>IFERROR(__xludf.DUMMYFUNCTION("""COMPUTED_VALUE"""),45111.687375868)</f>
        <v>45111.68738</v>
      </c>
      <c r="D3150" s="15">
        <f>IFERROR(__xludf.DUMMYFUNCTION("""COMPUTED_VALUE"""),1.004)</f>
        <v>1.004</v>
      </c>
      <c r="E3150" s="16">
        <f>IFERROR(__xludf.DUMMYFUNCTION("""COMPUTED_VALUE"""),71.0)</f>
        <v>71</v>
      </c>
      <c r="F3150" s="19" t="str">
        <f>IFERROR(__xludf.DUMMYFUNCTION("""COMPUTED_VALUE"""),"BLACK")</f>
        <v>BLACK</v>
      </c>
      <c r="G3150" s="20" t="str">
        <f>IFERROR(__xludf.DUMMYFUNCTION("""COMPUTED_VALUE"""),"Uncle Sams Cider (04/04/2023)")</f>
        <v>Uncle Sams Cider (04/04/2023)</v>
      </c>
      <c r="H3150" s="19"/>
    </row>
    <row r="3151">
      <c r="A3151" s="9"/>
      <c r="B3151" s="15"/>
      <c r="C3151" s="9">
        <f>IFERROR(__xludf.DUMMYFUNCTION("""COMPUTED_VALUE"""),45111.6769555324)</f>
        <v>45111.67696</v>
      </c>
      <c r="D3151" s="15">
        <f>IFERROR(__xludf.DUMMYFUNCTION("""COMPUTED_VALUE"""),1.004)</f>
        <v>1.004</v>
      </c>
      <c r="E3151" s="16">
        <f>IFERROR(__xludf.DUMMYFUNCTION("""COMPUTED_VALUE"""),71.0)</f>
        <v>71</v>
      </c>
      <c r="F3151" s="19" t="str">
        <f>IFERROR(__xludf.DUMMYFUNCTION("""COMPUTED_VALUE"""),"BLACK")</f>
        <v>BLACK</v>
      </c>
      <c r="G3151" s="20" t="str">
        <f>IFERROR(__xludf.DUMMYFUNCTION("""COMPUTED_VALUE"""),"Uncle Sams Cider (04/04/2023)")</f>
        <v>Uncle Sams Cider (04/04/2023)</v>
      </c>
      <c r="H3151" s="19"/>
    </row>
    <row r="3152">
      <c r="A3152" s="9"/>
      <c r="B3152" s="15"/>
      <c r="C3152" s="9">
        <f>IFERROR(__xludf.DUMMYFUNCTION("""COMPUTED_VALUE"""),45111.6665337037)</f>
        <v>45111.66653</v>
      </c>
      <c r="D3152" s="15">
        <f>IFERROR(__xludf.DUMMYFUNCTION("""COMPUTED_VALUE"""),1.004)</f>
        <v>1.004</v>
      </c>
      <c r="E3152" s="16">
        <f>IFERROR(__xludf.DUMMYFUNCTION("""COMPUTED_VALUE"""),71.0)</f>
        <v>71</v>
      </c>
      <c r="F3152" s="19" t="str">
        <f>IFERROR(__xludf.DUMMYFUNCTION("""COMPUTED_VALUE"""),"BLACK")</f>
        <v>BLACK</v>
      </c>
      <c r="G3152" s="20" t="str">
        <f>IFERROR(__xludf.DUMMYFUNCTION("""COMPUTED_VALUE"""),"Uncle Sams Cider (04/04/2023)")</f>
        <v>Uncle Sams Cider (04/04/2023)</v>
      </c>
      <c r="H3152" s="19"/>
    </row>
    <row r="3153">
      <c r="A3153" s="9"/>
      <c r="B3153" s="15"/>
      <c r="C3153" s="9">
        <f>IFERROR(__xludf.DUMMYFUNCTION("""COMPUTED_VALUE"""),45111.6561111689)</f>
        <v>45111.65611</v>
      </c>
      <c r="D3153" s="15">
        <f>IFERROR(__xludf.DUMMYFUNCTION("""COMPUTED_VALUE"""),1.004)</f>
        <v>1.004</v>
      </c>
      <c r="E3153" s="16">
        <f>IFERROR(__xludf.DUMMYFUNCTION("""COMPUTED_VALUE"""),71.0)</f>
        <v>71</v>
      </c>
      <c r="F3153" s="19" t="str">
        <f>IFERROR(__xludf.DUMMYFUNCTION("""COMPUTED_VALUE"""),"BLACK")</f>
        <v>BLACK</v>
      </c>
      <c r="G3153" s="20" t="str">
        <f>IFERROR(__xludf.DUMMYFUNCTION("""COMPUTED_VALUE"""),"Uncle Sams Cider (04/04/2023)")</f>
        <v>Uncle Sams Cider (04/04/2023)</v>
      </c>
      <c r="H3153" s="19"/>
    </row>
    <row r="3154">
      <c r="A3154" s="9"/>
      <c r="B3154" s="15"/>
      <c r="C3154" s="9">
        <f>IFERROR(__xludf.DUMMYFUNCTION("""COMPUTED_VALUE"""),45111.6456904976)</f>
        <v>45111.64569</v>
      </c>
      <c r="D3154" s="15">
        <f>IFERROR(__xludf.DUMMYFUNCTION("""COMPUTED_VALUE"""),1.004)</f>
        <v>1.004</v>
      </c>
      <c r="E3154" s="16">
        <f>IFERROR(__xludf.DUMMYFUNCTION("""COMPUTED_VALUE"""),71.0)</f>
        <v>71</v>
      </c>
      <c r="F3154" s="19" t="str">
        <f>IFERROR(__xludf.DUMMYFUNCTION("""COMPUTED_VALUE"""),"BLACK")</f>
        <v>BLACK</v>
      </c>
      <c r="G3154" s="20" t="str">
        <f>IFERROR(__xludf.DUMMYFUNCTION("""COMPUTED_VALUE"""),"Uncle Sams Cider (04/04/2023)")</f>
        <v>Uncle Sams Cider (04/04/2023)</v>
      </c>
      <c r="H3154" s="19"/>
    </row>
    <row r="3155">
      <c r="A3155" s="9"/>
      <c r="B3155" s="15"/>
      <c r="C3155" s="9">
        <f>IFERROR(__xludf.DUMMYFUNCTION("""COMPUTED_VALUE"""),45111.6352470833)</f>
        <v>45111.63525</v>
      </c>
      <c r="D3155" s="15">
        <f>IFERROR(__xludf.DUMMYFUNCTION("""COMPUTED_VALUE"""),1.004)</f>
        <v>1.004</v>
      </c>
      <c r="E3155" s="16">
        <f>IFERROR(__xludf.DUMMYFUNCTION("""COMPUTED_VALUE"""),71.0)</f>
        <v>71</v>
      </c>
      <c r="F3155" s="19" t="str">
        <f>IFERROR(__xludf.DUMMYFUNCTION("""COMPUTED_VALUE"""),"BLACK")</f>
        <v>BLACK</v>
      </c>
      <c r="G3155" s="20" t="str">
        <f>IFERROR(__xludf.DUMMYFUNCTION("""COMPUTED_VALUE"""),"Uncle Sams Cider (04/04/2023)")</f>
        <v>Uncle Sams Cider (04/04/2023)</v>
      </c>
      <c r="H3155" s="19"/>
    </row>
    <row r="3156">
      <c r="A3156" s="9"/>
      <c r="B3156" s="15"/>
      <c r="C3156" s="9">
        <f>IFERROR(__xludf.DUMMYFUNCTION("""COMPUTED_VALUE"""),45111.6248266666)</f>
        <v>45111.62483</v>
      </c>
      <c r="D3156" s="15">
        <f>IFERROR(__xludf.DUMMYFUNCTION("""COMPUTED_VALUE"""),1.004)</f>
        <v>1.004</v>
      </c>
      <c r="E3156" s="16">
        <f>IFERROR(__xludf.DUMMYFUNCTION("""COMPUTED_VALUE"""),71.0)</f>
        <v>71</v>
      </c>
      <c r="F3156" s="19" t="str">
        <f>IFERROR(__xludf.DUMMYFUNCTION("""COMPUTED_VALUE"""),"BLACK")</f>
        <v>BLACK</v>
      </c>
      <c r="G3156" s="20" t="str">
        <f>IFERROR(__xludf.DUMMYFUNCTION("""COMPUTED_VALUE"""),"Uncle Sams Cider (04/04/2023)")</f>
        <v>Uncle Sams Cider (04/04/2023)</v>
      </c>
      <c r="H3156" s="19"/>
    </row>
    <row r="3157">
      <c r="A3157" s="9"/>
      <c r="B3157" s="15"/>
      <c r="C3157" s="9">
        <f>IFERROR(__xludf.DUMMYFUNCTION("""COMPUTED_VALUE"""),45111.6144059606)</f>
        <v>45111.61441</v>
      </c>
      <c r="D3157" s="15">
        <f>IFERROR(__xludf.DUMMYFUNCTION("""COMPUTED_VALUE"""),1.004)</f>
        <v>1.004</v>
      </c>
      <c r="E3157" s="16">
        <f>IFERROR(__xludf.DUMMYFUNCTION("""COMPUTED_VALUE"""),71.0)</f>
        <v>71</v>
      </c>
      <c r="F3157" s="19" t="str">
        <f>IFERROR(__xludf.DUMMYFUNCTION("""COMPUTED_VALUE"""),"BLACK")</f>
        <v>BLACK</v>
      </c>
      <c r="G3157" s="20" t="str">
        <f>IFERROR(__xludf.DUMMYFUNCTION("""COMPUTED_VALUE"""),"Uncle Sams Cider (04/04/2023)")</f>
        <v>Uncle Sams Cider (04/04/2023)</v>
      </c>
      <c r="H3157" s="19"/>
    </row>
    <row r="3158">
      <c r="A3158" s="9"/>
      <c r="B3158" s="15"/>
      <c r="C3158" s="9">
        <f>IFERROR(__xludf.DUMMYFUNCTION("""COMPUTED_VALUE"""),45111.6039851967)</f>
        <v>45111.60399</v>
      </c>
      <c r="D3158" s="15">
        <f>IFERROR(__xludf.DUMMYFUNCTION("""COMPUTED_VALUE"""),1.004)</f>
        <v>1.004</v>
      </c>
      <c r="E3158" s="16">
        <f>IFERROR(__xludf.DUMMYFUNCTION("""COMPUTED_VALUE"""),71.0)</f>
        <v>71</v>
      </c>
      <c r="F3158" s="19" t="str">
        <f>IFERROR(__xludf.DUMMYFUNCTION("""COMPUTED_VALUE"""),"BLACK")</f>
        <v>BLACK</v>
      </c>
      <c r="G3158" s="20" t="str">
        <f>IFERROR(__xludf.DUMMYFUNCTION("""COMPUTED_VALUE"""),"Uncle Sams Cider (04/04/2023)")</f>
        <v>Uncle Sams Cider (04/04/2023)</v>
      </c>
      <c r="H3158" s="19"/>
    </row>
    <row r="3159">
      <c r="A3159" s="9"/>
      <c r="B3159" s="15"/>
      <c r="C3159" s="9">
        <f>IFERROR(__xludf.DUMMYFUNCTION("""COMPUTED_VALUE"""),45111.5935622801)</f>
        <v>45111.59356</v>
      </c>
      <c r="D3159" s="15">
        <f>IFERROR(__xludf.DUMMYFUNCTION("""COMPUTED_VALUE"""),1.004)</f>
        <v>1.004</v>
      </c>
      <c r="E3159" s="16">
        <f>IFERROR(__xludf.DUMMYFUNCTION("""COMPUTED_VALUE"""),71.0)</f>
        <v>71</v>
      </c>
      <c r="F3159" s="19" t="str">
        <f>IFERROR(__xludf.DUMMYFUNCTION("""COMPUTED_VALUE"""),"BLACK")</f>
        <v>BLACK</v>
      </c>
      <c r="G3159" s="20" t="str">
        <f>IFERROR(__xludf.DUMMYFUNCTION("""COMPUTED_VALUE"""),"Uncle Sams Cider (04/04/2023)")</f>
        <v>Uncle Sams Cider (04/04/2023)</v>
      </c>
      <c r="H3159" s="19"/>
    </row>
    <row r="3160">
      <c r="A3160" s="9"/>
      <c r="B3160" s="15"/>
      <c r="C3160" s="9">
        <f>IFERROR(__xludf.DUMMYFUNCTION("""COMPUTED_VALUE"""),45111.5831425115)</f>
        <v>45111.58314</v>
      </c>
      <c r="D3160" s="15">
        <f>IFERROR(__xludf.DUMMYFUNCTION("""COMPUTED_VALUE"""),1.004)</f>
        <v>1.004</v>
      </c>
      <c r="E3160" s="16">
        <f>IFERROR(__xludf.DUMMYFUNCTION("""COMPUTED_VALUE"""),71.0)</f>
        <v>71</v>
      </c>
      <c r="F3160" s="19" t="str">
        <f>IFERROR(__xludf.DUMMYFUNCTION("""COMPUTED_VALUE"""),"BLACK")</f>
        <v>BLACK</v>
      </c>
      <c r="G3160" s="20" t="str">
        <f>IFERROR(__xludf.DUMMYFUNCTION("""COMPUTED_VALUE"""),"Uncle Sams Cider (04/04/2023)")</f>
        <v>Uncle Sams Cider (04/04/2023)</v>
      </c>
      <c r="H3160" s="19"/>
    </row>
    <row r="3161">
      <c r="A3161" s="9"/>
      <c r="B3161" s="15"/>
      <c r="C3161" s="9">
        <f>IFERROR(__xludf.DUMMYFUNCTION("""COMPUTED_VALUE"""),45111.5727203935)</f>
        <v>45111.57272</v>
      </c>
      <c r="D3161" s="15">
        <f>IFERROR(__xludf.DUMMYFUNCTION("""COMPUTED_VALUE"""),1.004)</f>
        <v>1.004</v>
      </c>
      <c r="E3161" s="16">
        <f>IFERROR(__xludf.DUMMYFUNCTION("""COMPUTED_VALUE"""),71.0)</f>
        <v>71</v>
      </c>
      <c r="F3161" s="19" t="str">
        <f>IFERROR(__xludf.DUMMYFUNCTION("""COMPUTED_VALUE"""),"BLACK")</f>
        <v>BLACK</v>
      </c>
      <c r="G3161" s="20" t="str">
        <f>IFERROR(__xludf.DUMMYFUNCTION("""COMPUTED_VALUE"""),"Uncle Sams Cider (04/04/2023)")</f>
        <v>Uncle Sams Cider (04/04/2023)</v>
      </c>
      <c r="H3161" s="19"/>
    </row>
    <row r="3162">
      <c r="A3162" s="9"/>
      <c r="B3162" s="15"/>
      <c r="C3162" s="9">
        <f>IFERROR(__xludf.DUMMYFUNCTION("""COMPUTED_VALUE"""),45111.5622986805)</f>
        <v>45111.5623</v>
      </c>
      <c r="D3162" s="15">
        <f>IFERROR(__xludf.DUMMYFUNCTION("""COMPUTED_VALUE"""),1.004)</f>
        <v>1.004</v>
      </c>
      <c r="E3162" s="16">
        <f>IFERROR(__xludf.DUMMYFUNCTION("""COMPUTED_VALUE"""),71.0)</f>
        <v>71</v>
      </c>
      <c r="F3162" s="19" t="str">
        <f>IFERROR(__xludf.DUMMYFUNCTION("""COMPUTED_VALUE"""),"BLACK")</f>
        <v>BLACK</v>
      </c>
      <c r="G3162" s="20" t="str">
        <f>IFERROR(__xludf.DUMMYFUNCTION("""COMPUTED_VALUE"""),"Uncle Sams Cider (04/04/2023)")</f>
        <v>Uncle Sams Cider (04/04/2023)</v>
      </c>
      <c r="H3162" s="19"/>
    </row>
    <row r="3163">
      <c r="A3163" s="9"/>
      <c r="B3163" s="15"/>
      <c r="C3163" s="9">
        <f>IFERROR(__xludf.DUMMYFUNCTION("""COMPUTED_VALUE"""),45111.5518777083)</f>
        <v>45111.55188</v>
      </c>
      <c r="D3163" s="15">
        <f>IFERROR(__xludf.DUMMYFUNCTION("""COMPUTED_VALUE"""),1.004)</f>
        <v>1.004</v>
      </c>
      <c r="E3163" s="16">
        <f>IFERROR(__xludf.DUMMYFUNCTION("""COMPUTED_VALUE"""),71.0)</f>
        <v>71</v>
      </c>
      <c r="F3163" s="19" t="str">
        <f>IFERROR(__xludf.DUMMYFUNCTION("""COMPUTED_VALUE"""),"BLACK")</f>
        <v>BLACK</v>
      </c>
      <c r="G3163" s="20" t="str">
        <f>IFERROR(__xludf.DUMMYFUNCTION("""COMPUTED_VALUE"""),"Uncle Sams Cider (04/04/2023)")</f>
        <v>Uncle Sams Cider (04/04/2023)</v>
      </c>
      <c r="H3163" s="19"/>
    </row>
    <row r="3164">
      <c r="A3164" s="9"/>
      <c r="B3164" s="15"/>
      <c r="C3164" s="9">
        <f>IFERROR(__xludf.DUMMYFUNCTION("""COMPUTED_VALUE"""),45111.5414566666)</f>
        <v>45111.54146</v>
      </c>
      <c r="D3164" s="15">
        <f>IFERROR(__xludf.DUMMYFUNCTION("""COMPUTED_VALUE"""),1.004)</f>
        <v>1.004</v>
      </c>
      <c r="E3164" s="16">
        <f>IFERROR(__xludf.DUMMYFUNCTION("""COMPUTED_VALUE"""),71.0)</f>
        <v>71</v>
      </c>
      <c r="F3164" s="19" t="str">
        <f>IFERROR(__xludf.DUMMYFUNCTION("""COMPUTED_VALUE"""),"BLACK")</f>
        <v>BLACK</v>
      </c>
      <c r="G3164" s="20" t="str">
        <f>IFERROR(__xludf.DUMMYFUNCTION("""COMPUTED_VALUE"""),"Uncle Sams Cider (04/04/2023)")</f>
        <v>Uncle Sams Cider (04/04/2023)</v>
      </c>
      <c r="H3164" s="19"/>
    </row>
    <row r="3165">
      <c r="A3165" s="9"/>
      <c r="B3165" s="15"/>
      <c r="C3165" s="9">
        <f>IFERROR(__xludf.DUMMYFUNCTION("""COMPUTED_VALUE"""),45111.5310233564)</f>
        <v>45111.53102</v>
      </c>
      <c r="D3165" s="15">
        <f>IFERROR(__xludf.DUMMYFUNCTION("""COMPUTED_VALUE"""),1.004)</f>
        <v>1.004</v>
      </c>
      <c r="E3165" s="16">
        <f>IFERROR(__xludf.DUMMYFUNCTION("""COMPUTED_VALUE"""),71.0)</f>
        <v>71</v>
      </c>
      <c r="F3165" s="19" t="str">
        <f>IFERROR(__xludf.DUMMYFUNCTION("""COMPUTED_VALUE"""),"BLACK")</f>
        <v>BLACK</v>
      </c>
      <c r="G3165" s="20" t="str">
        <f>IFERROR(__xludf.DUMMYFUNCTION("""COMPUTED_VALUE"""),"Uncle Sams Cider (04/04/2023)")</f>
        <v>Uncle Sams Cider (04/04/2023)</v>
      </c>
      <c r="H3165" s="19"/>
    </row>
    <row r="3166">
      <c r="A3166" s="9"/>
      <c r="B3166" s="15"/>
      <c r="C3166" s="9">
        <f>IFERROR(__xludf.DUMMYFUNCTION("""COMPUTED_VALUE"""),45111.5206021064)</f>
        <v>45111.5206</v>
      </c>
      <c r="D3166" s="15">
        <f>IFERROR(__xludf.DUMMYFUNCTION("""COMPUTED_VALUE"""),1.004)</f>
        <v>1.004</v>
      </c>
      <c r="E3166" s="16">
        <f>IFERROR(__xludf.DUMMYFUNCTION("""COMPUTED_VALUE"""),71.0)</f>
        <v>71</v>
      </c>
      <c r="F3166" s="19" t="str">
        <f>IFERROR(__xludf.DUMMYFUNCTION("""COMPUTED_VALUE"""),"BLACK")</f>
        <v>BLACK</v>
      </c>
      <c r="G3166" s="20" t="str">
        <f>IFERROR(__xludf.DUMMYFUNCTION("""COMPUTED_VALUE"""),"Uncle Sams Cider (04/04/2023)")</f>
        <v>Uncle Sams Cider (04/04/2023)</v>
      </c>
      <c r="H3166" s="19"/>
    </row>
    <row r="3167">
      <c r="A3167" s="9"/>
      <c r="B3167" s="15"/>
      <c r="C3167" s="9">
        <f>IFERROR(__xludf.DUMMYFUNCTION("""COMPUTED_VALUE"""),45111.5101799652)</f>
        <v>45111.51018</v>
      </c>
      <c r="D3167" s="15">
        <f>IFERROR(__xludf.DUMMYFUNCTION("""COMPUTED_VALUE"""),1.004)</f>
        <v>1.004</v>
      </c>
      <c r="E3167" s="16">
        <f>IFERROR(__xludf.DUMMYFUNCTION("""COMPUTED_VALUE"""),71.0)</f>
        <v>71</v>
      </c>
      <c r="F3167" s="19" t="str">
        <f>IFERROR(__xludf.DUMMYFUNCTION("""COMPUTED_VALUE"""),"BLACK")</f>
        <v>BLACK</v>
      </c>
      <c r="G3167" s="20" t="str">
        <f>IFERROR(__xludf.DUMMYFUNCTION("""COMPUTED_VALUE"""),"Uncle Sams Cider (04/04/2023)")</f>
        <v>Uncle Sams Cider (04/04/2023)</v>
      </c>
      <c r="H3167" s="19"/>
    </row>
    <row r="3168">
      <c r="A3168" s="9"/>
      <c r="B3168" s="15"/>
      <c r="C3168" s="9">
        <f>IFERROR(__xludf.DUMMYFUNCTION("""COMPUTED_VALUE"""),45111.4997598958)</f>
        <v>45111.49976</v>
      </c>
      <c r="D3168" s="15">
        <f>IFERROR(__xludf.DUMMYFUNCTION("""COMPUTED_VALUE"""),1.004)</f>
        <v>1.004</v>
      </c>
      <c r="E3168" s="16">
        <f>IFERROR(__xludf.DUMMYFUNCTION("""COMPUTED_VALUE"""),71.0)</f>
        <v>71</v>
      </c>
      <c r="F3168" s="19" t="str">
        <f>IFERROR(__xludf.DUMMYFUNCTION("""COMPUTED_VALUE"""),"BLACK")</f>
        <v>BLACK</v>
      </c>
      <c r="G3168" s="20" t="str">
        <f>IFERROR(__xludf.DUMMYFUNCTION("""COMPUTED_VALUE"""),"Uncle Sams Cider (04/04/2023)")</f>
        <v>Uncle Sams Cider (04/04/2023)</v>
      </c>
      <c r="H3168" s="19"/>
    </row>
    <row r="3169">
      <c r="A3169" s="9"/>
      <c r="B3169" s="15"/>
      <c r="C3169" s="9">
        <f>IFERROR(__xludf.DUMMYFUNCTION("""COMPUTED_VALUE"""),45111.4893385763)</f>
        <v>45111.48934</v>
      </c>
      <c r="D3169" s="15">
        <f>IFERROR(__xludf.DUMMYFUNCTION("""COMPUTED_VALUE"""),1.004)</f>
        <v>1.004</v>
      </c>
      <c r="E3169" s="16">
        <f>IFERROR(__xludf.DUMMYFUNCTION("""COMPUTED_VALUE"""),71.0)</f>
        <v>71</v>
      </c>
      <c r="F3169" s="19" t="str">
        <f>IFERROR(__xludf.DUMMYFUNCTION("""COMPUTED_VALUE"""),"BLACK")</f>
        <v>BLACK</v>
      </c>
      <c r="G3169" s="20" t="str">
        <f>IFERROR(__xludf.DUMMYFUNCTION("""COMPUTED_VALUE"""),"Uncle Sams Cider (04/04/2023)")</f>
        <v>Uncle Sams Cider (04/04/2023)</v>
      </c>
      <c r="H3169" s="19"/>
    </row>
    <row r="3170">
      <c r="A3170" s="9"/>
      <c r="B3170" s="15"/>
      <c r="C3170" s="9">
        <f>IFERROR(__xludf.DUMMYFUNCTION("""COMPUTED_VALUE"""),45111.4788932291)</f>
        <v>45111.47889</v>
      </c>
      <c r="D3170" s="15">
        <f>IFERROR(__xludf.DUMMYFUNCTION("""COMPUTED_VALUE"""),1.004)</f>
        <v>1.004</v>
      </c>
      <c r="E3170" s="16">
        <f>IFERROR(__xludf.DUMMYFUNCTION("""COMPUTED_VALUE"""),71.0)</f>
        <v>71</v>
      </c>
      <c r="F3170" s="19" t="str">
        <f>IFERROR(__xludf.DUMMYFUNCTION("""COMPUTED_VALUE"""),"BLACK")</f>
        <v>BLACK</v>
      </c>
      <c r="G3170" s="20" t="str">
        <f>IFERROR(__xludf.DUMMYFUNCTION("""COMPUTED_VALUE"""),"Uncle Sams Cider (04/04/2023)")</f>
        <v>Uncle Sams Cider (04/04/2023)</v>
      </c>
      <c r="H3170" s="19"/>
    </row>
    <row r="3171">
      <c r="A3171" s="9"/>
      <c r="B3171" s="15"/>
      <c r="C3171" s="9">
        <f>IFERROR(__xludf.DUMMYFUNCTION("""COMPUTED_VALUE"""),45111.4684728703)</f>
        <v>45111.46847</v>
      </c>
      <c r="D3171" s="15">
        <f>IFERROR(__xludf.DUMMYFUNCTION("""COMPUTED_VALUE"""),1.004)</f>
        <v>1.004</v>
      </c>
      <c r="E3171" s="16">
        <f>IFERROR(__xludf.DUMMYFUNCTION("""COMPUTED_VALUE"""),71.0)</f>
        <v>71</v>
      </c>
      <c r="F3171" s="19" t="str">
        <f>IFERROR(__xludf.DUMMYFUNCTION("""COMPUTED_VALUE"""),"BLACK")</f>
        <v>BLACK</v>
      </c>
      <c r="G3171" s="20" t="str">
        <f>IFERROR(__xludf.DUMMYFUNCTION("""COMPUTED_VALUE"""),"Uncle Sams Cider (04/04/2023)")</f>
        <v>Uncle Sams Cider (04/04/2023)</v>
      </c>
      <c r="H3171" s="19"/>
    </row>
    <row r="3172">
      <c r="A3172" s="9"/>
      <c r="B3172" s="15"/>
      <c r="C3172" s="9">
        <f>IFERROR(__xludf.DUMMYFUNCTION("""COMPUTED_VALUE"""),45111.4580508796)</f>
        <v>45111.45805</v>
      </c>
      <c r="D3172" s="15">
        <f>IFERROR(__xludf.DUMMYFUNCTION("""COMPUTED_VALUE"""),1.004)</f>
        <v>1.004</v>
      </c>
      <c r="E3172" s="16">
        <f>IFERROR(__xludf.DUMMYFUNCTION("""COMPUTED_VALUE"""),71.0)</f>
        <v>71</v>
      </c>
      <c r="F3172" s="19" t="str">
        <f>IFERROR(__xludf.DUMMYFUNCTION("""COMPUTED_VALUE"""),"BLACK")</f>
        <v>BLACK</v>
      </c>
      <c r="G3172" s="20" t="str">
        <f>IFERROR(__xludf.DUMMYFUNCTION("""COMPUTED_VALUE"""),"Uncle Sams Cider (04/04/2023)")</f>
        <v>Uncle Sams Cider (04/04/2023)</v>
      </c>
      <c r="H3172" s="19"/>
    </row>
    <row r="3173">
      <c r="A3173" s="9"/>
      <c r="B3173" s="15"/>
      <c r="C3173" s="9">
        <f>IFERROR(__xludf.DUMMYFUNCTION("""COMPUTED_VALUE"""),45111.4476185995)</f>
        <v>45111.44762</v>
      </c>
      <c r="D3173" s="15">
        <f>IFERROR(__xludf.DUMMYFUNCTION("""COMPUTED_VALUE"""),1.004)</f>
        <v>1.004</v>
      </c>
      <c r="E3173" s="16">
        <f>IFERROR(__xludf.DUMMYFUNCTION("""COMPUTED_VALUE"""),71.0)</f>
        <v>71</v>
      </c>
      <c r="F3173" s="19" t="str">
        <f>IFERROR(__xludf.DUMMYFUNCTION("""COMPUTED_VALUE"""),"BLACK")</f>
        <v>BLACK</v>
      </c>
      <c r="G3173" s="20" t="str">
        <f>IFERROR(__xludf.DUMMYFUNCTION("""COMPUTED_VALUE"""),"Uncle Sams Cider (04/04/2023)")</f>
        <v>Uncle Sams Cider (04/04/2023)</v>
      </c>
      <c r="H3173" s="19"/>
    </row>
    <row r="3174">
      <c r="A3174" s="9"/>
      <c r="B3174" s="15"/>
      <c r="C3174" s="9">
        <f>IFERROR(__xludf.DUMMYFUNCTION("""COMPUTED_VALUE"""),45111.4371978587)</f>
        <v>45111.4372</v>
      </c>
      <c r="D3174" s="15">
        <f>IFERROR(__xludf.DUMMYFUNCTION("""COMPUTED_VALUE"""),1.004)</f>
        <v>1.004</v>
      </c>
      <c r="E3174" s="16">
        <f>IFERROR(__xludf.DUMMYFUNCTION("""COMPUTED_VALUE"""),71.0)</f>
        <v>71</v>
      </c>
      <c r="F3174" s="19" t="str">
        <f>IFERROR(__xludf.DUMMYFUNCTION("""COMPUTED_VALUE"""),"BLACK")</f>
        <v>BLACK</v>
      </c>
      <c r="G3174" s="20" t="str">
        <f>IFERROR(__xludf.DUMMYFUNCTION("""COMPUTED_VALUE"""),"Uncle Sams Cider (04/04/2023)")</f>
        <v>Uncle Sams Cider (04/04/2023)</v>
      </c>
      <c r="H3174" s="19"/>
    </row>
    <row r="3175">
      <c r="A3175" s="9"/>
      <c r="B3175" s="15"/>
      <c r="C3175" s="9">
        <f>IFERROR(__xludf.DUMMYFUNCTION("""COMPUTED_VALUE"""),45111.4267642939)</f>
        <v>45111.42676</v>
      </c>
      <c r="D3175" s="15">
        <f>IFERROR(__xludf.DUMMYFUNCTION("""COMPUTED_VALUE"""),1.004)</f>
        <v>1.004</v>
      </c>
      <c r="E3175" s="16">
        <f>IFERROR(__xludf.DUMMYFUNCTION("""COMPUTED_VALUE"""),71.0)</f>
        <v>71</v>
      </c>
      <c r="F3175" s="19" t="str">
        <f>IFERROR(__xludf.DUMMYFUNCTION("""COMPUTED_VALUE"""),"BLACK")</f>
        <v>BLACK</v>
      </c>
      <c r="G3175" s="20" t="str">
        <f>IFERROR(__xludf.DUMMYFUNCTION("""COMPUTED_VALUE"""),"Uncle Sams Cider (04/04/2023)")</f>
        <v>Uncle Sams Cider (04/04/2023)</v>
      </c>
      <c r="H3175" s="19"/>
    </row>
    <row r="3176">
      <c r="A3176" s="9"/>
      <c r="B3176" s="15"/>
      <c r="C3176" s="9">
        <f>IFERROR(__xludf.DUMMYFUNCTION("""COMPUTED_VALUE"""),45111.4163323032)</f>
        <v>45111.41633</v>
      </c>
      <c r="D3176" s="15">
        <f>IFERROR(__xludf.DUMMYFUNCTION("""COMPUTED_VALUE"""),1.004)</f>
        <v>1.004</v>
      </c>
      <c r="E3176" s="16">
        <f>IFERROR(__xludf.DUMMYFUNCTION("""COMPUTED_VALUE"""),71.0)</f>
        <v>71</v>
      </c>
      <c r="F3176" s="19" t="str">
        <f>IFERROR(__xludf.DUMMYFUNCTION("""COMPUTED_VALUE"""),"BLACK")</f>
        <v>BLACK</v>
      </c>
      <c r="G3176" s="20" t="str">
        <f>IFERROR(__xludf.DUMMYFUNCTION("""COMPUTED_VALUE"""),"Uncle Sams Cider (04/04/2023)")</f>
        <v>Uncle Sams Cider (04/04/2023)</v>
      </c>
      <c r="H3176" s="19"/>
    </row>
    <row r="3177">
      <c r="A3177" s="9"/>
      <c r="B3177" s="15"/>
      <c r="C3177" s="9">
        <f>IFERROR(__xludf.DUMMYFUNCTION("""COMPUTED_VALUE"""),45111.4059106828)</f>
        <v>45111.40591</v>
      </c>
      <c r="D3177" s="15">
        <f>IFERROR(__xludf.DUMMYFUNCTION("""COMPUTED_VALUE"""),1.004)</f>
        <v>1.004</v>
      </c>
      <c r="E3177" s="16">
        <f>IFERROR(__xludf.DUMMYFUNCTION("""COMPUTED_VALUE"""),71.0)</f>
        <v>71</v>
      </c>
      <c r="F3177" s="19" t="str">
        <f>IFERROR(__xludf.DUMMYFUNCTION("""COMPUTED_VALUE"""),"BLACK")</f>
        <v>BLACK</v>
      </c>
      <c r="G3177" s="20" t="str">
        <f>IFERROR(__xludf.DUMMYFUNCTION("""COMPUTED_VALUE"""),"Uncle Sams Cider (04/04/2023)")</f>
        <v>Uncle Sams Cider (04/04/2023)</v>
      </c>
      <c r="H3177" s="19"/>
    </row>
    <row r="3178">
      <c r="A3178" s="9"/>
      <c r="B3178" s="15"/>
      <c r="C3178" s="9">
        <f>IFERROR(__xludf.DUMMYFUNCTION("""COMPUTED_VALUE"""),45111.3954901504)</f>
        <v>45111.39549</v>
      </c>
      <c r="D3178" s="15">
        <f>IFERROR(__xludf.DUMMYFUNCTION("""COMPUTED_VALUE"""),1.004)</f>
        <v>1.004</v>
      </c>
      <c r="E3178" s="16">
        <f>IFERROR(__xludf.DUMMYFUNCTION("""COMPUTED_VALUE"""),71.0)</f>
        <v>71</v>
      </c>
      <c r="F3178" s="19" t="str">
        <f>IFERROR(__xludf.DUMMYFUNCTION("""COMPUTED_VALUE"""),"BLACK")</f>
        <v>BLACK</v>
      </c>
      <c r="G3178" s="20" t="str">
        <f>IFERROR(__xludf.DUMMYFUNCTION("""COMPUTED_VALUE"""),"Uncle Sams Cider (04/04/2023)")</f>
        <v>Uncle Sams Cider (04/04/2023)</v>
      </c>
      <c r="H3178" s="19"/>
    </row>
    <row r="3179">
      <c r="A3179" s="9"/>
      <c r="B3179" s="15"/>
      <c r="C3179" s="9">
        <f>IFERROR(__xludf.DUMMYFUNCTION("""COMPUTED_VALUE"""),45111.3850706713)</f>
        <v>45111.38507</v>
      </c>
      <c r="D3179" s="15">
        <f>IFERROR(__xludf.DUMMYFUNCTION("""COMPUTED_VALUE"""),1.004)</f>
        <v>1.004</v>
      </c>
      <c r="E3179" s="16">
        <f>IFERROR(__xludf.DUMMYFUNCTION("""COMPUTED_VALUE"""),71.0)</f>
        <v>71</v>
      </c>
      <c r="F3179" s="19" t="str">
        <f>IFERROR(__xludf.DUMMYFUNCTION("""COMPUTED_VALUE"""),"BLACK")</f>
        <v>BLACK</v>
      </c>
      <c r="G3179" s="20" t="str">
        <f>IFERROR(__xludf.DUMMYFUNCTION("""COMPUTED_VALUE"""),"Uncle Sams Cider (04/04/2023)")</f>
        <v>Uncle Sams Cider (04/04/2023)</v>
      </c>
      <c r="H3179" s="19"/>
    </row>
    <row r="3180">
      <c r="A3180" s="9"/>
      <c r="B3180" s="15"/>
      <c r="C3180" s="9">
        <f>IFERROR(__xludf.DUMMYFUNCTION("""COMPUTED_VALUE"""),45111.3746494328)</f>
        <v>45111.37465</v>
      </c>
      <c r="D3180" s="15">
        <f>IFERROR(__xludf.DUMMYFUNCTION("""COMPUTED_VALUE"""),1.004)</f>
        <v>1.004</v>
      </c>
      <c r="E3180" s="16">
        <f>IFERROR(__xludf.DUMMYFUNCTION("""COMPUTED_VALUE"""),71.0)</f>
        <v>71</v>
      </c>
      <c r="F3180" s="19" t="str">
        <f>IFERROR(__xludf.DUMMYFUNCTION("""COMPUTED_VALUE"""),"BLACK")</f>
        <v>BLACK</v>
      </c>
      <c r="G3180" s="20" t="str">
        <f>IFERROR(__xludf.DUMMYFUNCTION("""COMPUTED_VALUE"""),"Uncle Sams Cider (04/04/2023)")</f>
        <v>Uncle Sams Cider (04/04/2023)</v>
      </c>
      <c r="H3180" s="19"/>
    </row>
    <row r="3181">
      <c r="A3181" s="9"/>
      <c r="B3181" s="15"/>
      <c r="C3181" s="9">
        <f>IFERROR(__xludf.DUMMYFUNCTION("""COMPUTED_VALUE"""),45111.3642279166)</f>
        <v>45111.36423</v>
      </c>
      <c r="D3181" s="15">
        <f>IFERROR(__xludf.DUMMYFUNCTION("""COMPUTED_VALUE"""),1.004)</f>
        <v>1.004</v>
      </c>
      <c r="E3181" s="16">
        <f>IFERROR(__xludf.DUMMYFUNCTION("""COMPUTED_VALUE"""),71.0)</f>
        <v>71</v>
      </c>
      <c r="F3181" s="19" t="str">
        <f>IFERROR(__xludf.DUMMYFUNCTION("""COMPUTED_VALUE"""),"BLACK")</f>
        <v>BLACK</v>
      </c>
      <c r="G3181" s="20" t="str">
        <f>IFERROR(__xludf.DUMMYFUNCTION("""COMPUTED_VALUE"""),"Uncle Sams Cider (04/04/2023)")</f>
        <v>Uncle Sams Cider (04/04/2023)</v>
      </c>
      <c r="H3181" s="19"/>
    </row>
    <row r="3182">
      <c r="A3182" s="9"/>
      <c r="B3182" s="15"/>
      <c r="C3182" s="9">
        <f>IFERROR(__xludf.DUMMYFUNCTION("""COMPUTED_VALUE"""),45111.3538081018)</f>
        <v>45111.35381</v>
      </c>
      <c r="D3182" s="15">
        <f>IFERROR(__xludf.DUMMYFUNCTION("""COMPUTED_VALUE"""),1.004)</f>
        <v>1.004</v>
      </c>
      <c r="E3182" s="16">
        <f>IFERROR(__xludf.DUMMYFUNCTION("""COMPUTED_VALUE"""),71.0)</f>
        <v>71</v>
      </c>
      <c r="F3182" s="19" t="str">
        <f>IFERROR(__xludf.DUMMYFUNCTION("""COMPUTED_VALUE"""),"BLACK")</f>
        <v>BLACK</v>
      </c>
      <c r="G3182" s="20" t="str">
        <f>IFERROR(__xludf.DUMMYFUNCTION("""COMPUTED_VALUE"""),"Uncle Sams Cider (04/04/2023)")</f>
        <v>Uncle Sams Cider (04/04/2023)</v>
      </c>
      <c r="H3182" s="19"/>
    </row>
    <row r="3183">
      <c r="A3183" s="9"/>
      <c r="B3183" s="15"/>
      <c r="C3183" s="9">
        <f>IFERROR(__xludf.DUMMYFUNCTION("""COMPUTED_VALUE"""),45111.3433855671)</f>
        <v>45111.34339</v>
      </c>
      <c r="D3183" s="15">
        <f>IFERROR(__xludf.DUMMYFUNCTION("""COMPUTED_VALUE"""),1.004)</f>
        <v>1.004</v>
      </c>
      <c r="E3183" s="16">
        <f>IFERROR(__xludf.DUMMYFUNCTION("""COMPUTED_VALUE"""),71.0)</f>
        <v>71</v>
      </c>
      <c r="F3183" s="19" t="str">
        <f>IFERROR(__xludf.DUMMYFUNCTION("""COMPUTED_VALUE"""),"BLACK")</f>
        <v>BLACK</v>
      </c>
      <c r="G3183" s="20" t="str">
        <f>IFERROR(__xludf.DUMMYFUNCTION("""COMPUTED_VALUE"""),"Uncle Sams Cider (04/04/2023)")</f>
        <v>Uncle Sams Cider (04/04/2023)</v>
      </c>
      <c r="H3183" s="19"/>
    </row>
    <row r="3184">
      <c r="A3184" s="9"/>
      <c r="B3184" s="15"/>
      <c r="C3184" s="9">
        <f>IFERROR(__xludf.DUMMYFUNCTION("""COMPUTED_VALUE"""),45111.3329657638)</f>
        <v>45111.33297</v>
      </c>
      <c r="D3184" s="15">
        <f>IFERROR(__xludf.DUMMYFUNCTION("""COMPUTED_VALUE"""),1.004)</f>
        <v>1.004</v>
      </c>
      <c r="E3184" s="16">
        <f>IFERROR(__xludf.DUMMYFUNCTION("""COMPUTED_VALUE"""),71.0)</f>
        <v>71</v>
      </c>
      <c r="F3184" s="19" t="str">
        <f>IFERROR(__xludf.DUMMYFUNCTION("""COMPUTED_VALUE"""),"BLACK")</f>
        <v>BLACK</v>
      </c>
      <c r="G3184" s="20" t="str">
        <f>IFERROR(__xludf.DUMMYFUNCTION("""COMPUTED_VALUE"""),"Uncle Sams Cider (04/04/2023)")</f>
        <v>Uncle Sams Cider (04/04/2023)</v>
      </c>
      <c r="H3184" s="19"/>
    </row>
    <row r="3185">
      <c r="A3185" s="9"/>
      <c r="B3185" s="15"/>
      <c r="C3185" s="9">
        <f>IFERROR(__xludf.DUMMYFUNCTION("""COMPUTED_VALUE"""),45111.3225443865)</f>
        <v>45111.32254</v>
      </c>
      <c r="D3185" s="15">
        <f>IFERROR(__xludf.DUMMYFUNCTION("""COMPUTED_VALUE"""),1.004)</f>
        <v>1.004</v>
      </c>
      <c r="E3185" s="16">
        <f>IFERROR(__xludf.DUMMYFUNCTION("""COMPUTED_VALUE"""),71.0)</f>
        <v>71</v>
      </c>
      <c r="F3185" s="19" t="str">
        <f>IFERROR(__xludf.DUMMYFUNCTION("""COMPUTED_VALUE"""),"BLACK")</f>
        <v>BLACK</v>
      </c>
      <c r="G3185" s="20" t="str">
        <f>IFERROR(__xludf.DUMMYFUNCTION("""COMPUTED_VALUE"""),"Uncle Sams Cider (04/04/2023)")</f>
        <v>Uncle Sams Cider (04/04/2023)</v>
      </c>
      <c r="H3185" s="19"/>
    </row>
    <row r="3186">
      <c r="A3186" s="9"/>
      <c r="B3186" s="15"/>
      <c r="C3186" s="9">
        <f>IFERROR(__xludf.DUMMYFUNCTION("""COMPUTED_VALUE"""),45111.3121110764)</f>
        <v>45111.31211</v>
      </c>
      <c r="D3186" s="15">
        <f>IFERROR(__xludf.DUMMYFUNCTION("""COMPUTED_VALUE"""),1.004)</f>
        <v>1.004</v>
      </c>
      <c r="E3186" s="16">
        <f>IFERROR(__xludf.DUMMYFUNCTION("""COMPUTED_VALUE"""),71.0)</f>
        <v>71</v>
      </c>
      <c r="F3186" s="19" t="str">
        <f>IFERROR(__xludf.DUMMYFUNCTION("""COMPUTED_VALUE"""),"BLACK")</f>
        <v>BLACK</v>
      </c>
      <c r="G3186" s="20" t="str">
        <f>IFERROR(__xludf.DUMMYFUNCTION("""COMPUTED_VALUE"""),"Uncle Sams Cider (04/04/2023)")</f>
        <v>Uncle Sams Cider (04/04/2023)</v>
      </c>
      <c r="H3186" s="19"/>
    </row>
    <row r="3187">
      <c r="A3187" s="9"/>
      <c r="B3187" s="15"/>
      <c r="C3187" s="9">
        <f>IFERROR(__xludf.DUMMYFUNCTION("""COMPUTED_VALUE"""),45111.3016920601)</f>
        <v>45111.30169</v>
      </c>
      <c r="D3187" s="15">
        <f>IFERROR(__xludf.DUMMYFUNCTION("""COMPUTED_VALUE"""),1.004)</f>
        <v>1.004</v>
      </c>
      <c r="E3187" s="16">
        <f>IFERROR(__xludf.DUMMYFUNCTION("""COMPUTED_VALUE"""),71.0)</f>
        <v>71</v>
      </c>
      <c r="F3187" s="19" t="str">
        <f>IFERROR(__xludf.DUMMYFUNCTION("""COMPUTED_VALUE"""),"BLACK")</f>
        <v>BLACK</v>
      </c>
      <c r="G3187" s="20" t="str">
        <f>IFERROR(__xludf.DUMMYFUNCTION("""COMPUTED_VALUE"""),"Uncle Sams Cider (04/04/2023)")</f>
        <v>Uncle Sams Cider (04/04/2023)</v>
      </c>
      <c r="H3187" s="19"/>
    </row>
    <row r="3188">
      <c r="A3188" s="9"/>
      <c r="B3188" s="15"/>
      <c r="C3188" s="9">
        <f>IFERROR(__xludf.DUMMYFUNCTION("""COMPUTED_VALUE"""),45111.2912605902)</f>
        <v>45111.29126</v>
      </c>
      <c r="D3188" s="15">
        <f>IFERROR(__xludf.DUMMYFUNCTION("""COMPUTED_VALUE"""),1.004)</f>
        <v>1.004</v>
      </c>
      <c r="E3188" s="16">
        <f>IFERROR(__xludf.DUMMYFUNCTION("""COMPUTED_VALUE"""),71.0)</f>
        <v>71</v>
      </c>
      <c r="F3188" s="19" t="str">
        <f>IFERROR(__xludf.DUMMYFUNCTION("""COMPUTED_VALUE"""),"BLACK")</f>
        <v>BLACK</v>
      </c>
      <c r="G3188" s="20" t="str">
        <f>IFERROR(__xludf.DUMMYFUNCTION("""COMPUTED_VALUE"""),"Uncle Sams Cider (04/04/2023)")</f>
        <v>Uncle Sams Cider (04/04/2023)</v>
      </c>
      <c r="H3188" s="19"/>
    </row>
    <row r="3189">
      <c r="A3189" s="9"/>
      <c r="B3189" s="15"/>
      <c r="C3189" s="9">
        <f>IFERROR(__xludf.DUMMYFUNCTION("""COMPUTED_VALUE"""),45111.2808274305)</f>
        <v>45111.28083</v>
      </c>
      <c r="D3189" s="15">
        <f>IFERROR(__xludf.DUMMYFUNCTION("""COMPUTED_VALUE"""),1.004)</f>
        <v>1.004</v>
      </c>
      <c r="E3189" s="16">
        <f>IFERROR(__xludf.DUMMYFUNCTION("""COMPUTED_VALUE"""),71.0)</f>
        <v>71</v>
      </c>
      <c r="F3189" s="19" t="str">
        <f>IFERROR(__xludf.DUMMYFUNCTION("""COMPUTED_VALUE"""),"BLACK")</f>
        <v>BLACK</v>
      </c>
      <c r="G3189" s="20" t="str">
        <f>IFERROR(__xludf.DUMMYFUNCTION("""COMPUTED_VALUE"""),"Uncle Sams Cider (04/04/2023)")</f>
        <v>Uncle Sams Cider (04/04/2023)</v>
      </c>
      <c r="H3189" s="19"/>
    </row>
    <row r="3190">
      <c r="A3190" s="9"/>
      <c r="B3190" s="15"/>
      <c r="C3190" s="9">
        <f>IFERROR(__xludf.DUMMYFUNCTION("""COMPUTED_VALUE"""),45111.2704065046)</f>
        <v>45111.27041</v>
      </c>
      <c r="D3190" s="15">
        <f>IFERROR(__xludf.DUMMYFUNCTION("""COMPUTED_VALUE"""),1.004)</f>
        <v>1.004</v>
      </c>
      <c r="E3190" s="16">
        <f>IFERROR(__xludf.DUMMYFUNCTION("""COMPUTED_VALUE"""),71.0)</f>
        <v>71</v>
      </c>
      <c r="F3190" s="19" t="str">
        <f>IFERROR(__xludf.DUMMYFUNCTION("""COMPUTED_VALUE"""),"BLACK")</f>
        <v>BLACK</v>
      </c>
      <c r="G3190" s="20" t="str">
        <f>IFERROR(__xludf.DUMMYFUNCTION("""COMPUTED_VALUE"""),"Uncle Sams Cider (04/04/2023)")</f>
        <v>Uncle Sams Cider (04/04/2023)</v>
      </c>
      <c r="H3190" s="19"/>
    </row>
    <row r="3191">
      <c r="A3191" s="9"/>
      <c r="B3191" s="15"/>
      <c r="C3191" s="9">
        <f>IFERROR(__xludf.DUMMYFUNCTION("""COMPUTED_VALUE"""),45111.2599852777)</f>
        <v>45111.25999</v>
      </c>
      <c r="D3191" s="15">
        <f>IFERROR(__xludf.DUMMYFUNCTION("""COMPUTED_VALUE"""),1.004)</f>
        <v>1.004</v>
      </c>
      <c r="E3191" s="16">
        <f>IFERROR(__xludf.DUMMYFUNCTION("""COMPUTED_VALUE"""),71.0)</f>
        <v>71</v>
      </c>
      <c r="F3191" s="19" t="str">
        <f>IFERROR(__xludf.DUMMYFUNCTION("""COMPUTED_VALUE"""),"BLACK")</f>
        <v>BLACK</v>
      </c>
      <c r="G3191" s="20" t="str">
        <f>IFERROR(__xludf.DUMMYFUNCTION("""COMPUTED_VALUE"""),"Uncle Sams Cider (04/04/2023)")</f>
        <v>Uncle Sams Cider (04/04/2023)</v>
      </c>
      <c r="H3191" s="19"/>
    </row>
    <row r="3192">
      <c r="A3192" s="9"/>
      <c r="B3192" s="15"/>
      <c r="C3192" s="9">
        <f>IFERROR(__xludf.DUMMYFUNCTION("""COMPUTED_VALUE"""),45111.2495644675)</f>
        <v>45111.24956</v>
      </c>
      <c r="D3192" s="15">
        <f>IFERROR(__xludf.DUMMYFUNCTION("""COMPUTED_VALUE"""),1.004)</f>
        <v>1.004</v>
      </c>
      <c r="E3192" s="16">
        <f>IFERROR(__xludf.DUMMYFUNCTION("""COMPUTED_VALUE"""),71.0)</f>
        <v>71</v>
      </c>
      <c r="F3192" s="19" t="str">
        <f>IFERROR(__xludf.DUMMYFUNCTION("""COMPUTED_VALUE"""),"BLACK")</f>
        <v>BLACK</v>
      </c>
      <c r="G3192" s="20" t="str">
        <f>IFERROR(__xludf.DUMMYFUNCTION("""COMPUTED_VALUE"""),"Uncle Sams Cider (04/04/2023)")</f>
        <v>Uncle Sams Cider (04/04/2023)</v>
      </c>
      <c r="H3192" s="19"/>
    </row>
    <row r="3193">
      <c r="A3193" s="9"/>
      <c r="B3193" s="15"/>
      <c r="C3193" s="9">
        <f>IFERROR(__xludf.DUMMYFUNCTION("""COMPUTED_VALUE"""),45111.2391416782)</f>
        <v>45111.23914</v>
      </c>
      <c r="D3193" s="15">
        <f>IFERROR(__xludf.DUMMYFUNCTION("""COMPUTED_VALUE"""),1.004)</f>
        <v>1.004</v>
      </c>
      <c r="E3193" s="16">
        <f>IFERROR(__xludf.DUMMYFUNCTION("""COMPUTED_VALUE"""),71.0)</f>
        <v>71</v>
      </c>
      <c r="F3193" s="19" t="str">
        <f>IFERROR(__xludf.DUMMYFUNCTION("""COMPUTED_VALUE"""),"BLACK")</f>
        <v>BLACK</v>
      </c>
      <c r="G3193" s="20" t="str">
        <f>IFERROR(__xludf.DUMMYFUNCTION("""COMPUTED_VALUE"""),"Uncle Sams Cider (04/04/2023)")</f>
        <v>Uncle Sams Cider (04/04/2023)</v>
      </c>
      <c r="H3193" s="19"/>
    </row>
    <row r="3194">
      <c r="A3194" s="9"/>
      <c r="B3194" s="15"/>
      <c r="C3194" s="9">
        <f>IFERROR(__xludf.DUMMYFUNCTION("""COMPUTED_VALUE"""),45111.22871728)</f>
        <v>45111.22872</v>
      </c>
      <c r="D3194" s="15">
        <f>IFERROR(__xludf.DUMMYFUNCTION("""COMPUTED_VALUE"""),1.004)</f>
        <v>1.004</v>
      </c>
      <c r="E3194" s="16">
        <f>IFERROR(__xludf.DUMMYFUNCTION("""COMPUTED_VALUE"""),71.0)</f>
        <v>71</v>
      </c>
      <c r="F3194" s="19" t="str">
        <f>IFERROR(__xludf.DUMMYFUNCTION("""COMPUTED_VALUE"""),"BLACK")</f>
        <v>BLACK</v>
      </c>
      <c r="G3194" s="20" t="str">
        <f>IFERROR(__xludf.DUMMYFUNCTION("""COMPUTED_VALUE"""),"Uncle Sams Cider (04/04/2023)")</f>
        <v>Uncle Sams Cider (04/04/2023)</v>
      </c>
      <c r="H3194" s="19"/>
    </row>
    <row r="3195">
      <c r="A3195" s="9"/>
      <c r="B3195" s="15"/>
      <c r="C3195" s="9">
        <f>IFERROR(__xludf.DUMMYFUNCTION("""COMPUTED_VALUE"""),45111.2182961458)</f>
        <v>45111.2183</v>
      </c>
      <c r="D3195" s="15">
        <f>IFERROR(__xludf.DUMMYFUNCTION("""COMPUTED_VALUE"""),1.004)</f>
        <v>1.004</v>
      </c>
      <c r="E3195" s="16">
        <f>IFERROR(__xludf.DUMMYFUNCTION("""COMPUTED_VALUE"""),71.0)</f>
        <v>71</v>
      </c>
      <c r="F3195" s="19" t="str">
        <f>IFERROR(__xludf.DUMMYFUNCTION("""COMPUTED_VALUE"""),"BLACK")</f>
        <v>BLACK</v>
      </c>
      <c r="G3195" s="20" t="str">
        <f>IFERROR(__xludf.DUMMYFUNCTION("""COMPUTED_VALUE"""),"Uncle Sams Cider (04/04/2023)")</f>
        <v>Uncle Sams Cider (04/04/2023)</v>
      </c>
      <c r="H3195" s="19"/>
    </row>
    <row r="3196">
      <c r="A3196" s="9"/>
      <c r="B3196" s="15"/>
      <c r="C3196" s="9">
        <f>IFERROR(__xludf.DUMMYFUNCTION("""COMPUTED_VALUE"""),45111.2078738426)</f>
        <v>45111.20787</v>
      </c>
      <c r="D3196" s="15">
        <f>IFERROR(__xludf.DUMMYFUNCTION("""COMPUTED_VALUE"""),1.004)</f>
        <v>1.004</v>
      </c>
      <c r="E3196" s="16">
        <f>IFERROR(__xludf.DUMMYFUNCTION("""COMPUTED_VALUE"""),71.0)</f>
        <v>71</v>
      </c>
      <c r="F3196" s="19" t="str">
        <f>IFERROR(__xludf.DUMMYFUNCTION("""COMPUTED_VALUE"""),"BLACK")</f>
        <v>BLACK</v>
      </c>
      <c r="G3196" s="20" t="str">
        <f>IFERROR(__xludf.DUMMYFUNCTION("""COMPUTED_VALUE"""),"Uncle Sams Cider (04/04/2023)")</f>
        <v>Uncle Sams Cider (04/04/2023)</v>
      </c>
      <c r="H3196" s="19"/>
    </row>
    <row r="3197">
      <c r="A3197" s="9"/>
      <c r="B3197" s="15"/>
      <c r="C3197" s="9">
        <f>IFERROR(__xludf.DUMMYFUNCTION("""COMPUTED_VALUE"""),45111.19745125)</f>
        <v>45111.19745</v>
      </c>
      <c r="D3197" s="15">
        <f>IFERROR(__xludf.DUMMYFUNCTION("""COMPUTED_VALUE"""),1.004)</f>
        <v>1.004</v>
      </c>
      <c r="E3197" s="16">
        <f>IFERROR(__xludf.DUMMYFUNCTION("""COMPUTED_VALUE"""),71.0)</f>
        <v>71</v>
      </c>
      <c r="F3197" s="19" t="str">
        <f>IFERROR(__xludf.DUMMYFUNCTION("""COMPUTED_VALUE"""),"BLACK")</f>
        <v>BLACK</v>
      </c>
      <c r="G3197" s="20" t="str">
        <f>IFERROR(__xludf.DUMMYFUNCTION("""COMPUTED_VALUE"""),"Uncle Sams Cider (04/04/2023)")</f>
        <v>Uncle Sams Cider (04/04/2023)</v>
      </c>
      <c r="H3197" s="19"/>
    </row>
    <row r="3198">
      <c r="A3198" s="9"/>
      <c r="B3198" s="15"/>
      <c r="C3198" s="9">
        <f>IFERROR(__xludf.DUMMYFUNCTION("""COMPUTED_VALUE"""),45111.1870317939)</f>
        <v>45111.18703</v>
      </c>
      <c r="D3198" s="15">
        <f>IFERROR(__xludf.DUMMYFUNCTION("""COMPUTED_VALUE"""),1.004)</f>
        <v>1.004</v>
      </c>
      <c r="E3198" s="16">
        <f>IFERROR(__xludf.DUMMYFUNCTION("""COMPUTED_VALUE"""),71.0)</f>
        <v>71</v>
      </c>
      <c r="F3198" s="19" t="str">
        <f>IFERROR(__xludf.DUMMYFUNCTION("""COMPUTED_VALUE"""),"BLACK")</f>
        <v>BLACK</v>
      </c>
      <c r="G3198" s="20" t="str">
        <f>IFERROR(__xludf.DUMMYFUNCTION("""COMPUTED_VALUE"""),"Uncle Sams Cider (04/04/2023)")</f>
        <v>Uncle Sams Cider (04/04/2023)</v>
      </c>
      <c r="H3198" s="19"/>
    </row>
    <row r="3199">
      <c r="A3199" s="9"/>
      <c r="B3199" s="15"/>
      <c r="C3199" s="9">
        <f>IFERROR(__xludf.DUMMYFUNCTION("""COMPUTED_VALUE"""),45111.1766115509)</f>
        <v>45111.17661</v>
      </c>
      <c r="D3199" s="15">
        <f>IFERROR(__xludf.DUMMYFUNCTION("""COMPUTED_VALUE"""),1.004)</f>
        <v>1.004</v>
      </c>
      <c r="E3199" s="16">
        <f>IFERROR(__xludf.DUMMYFUNCTION("""COMPUTED_VALUE"""),71.0)</f>
        <v>71</v>
      </c>
      <c r="F3199" s="19" t="str">
        <f>IFERROR(__xludf.DUMMYFUNCTION("""COMPUTED_VALUE"""),"BLACK")</f>
        <v>BLACK</v>
      </c>
      <c r="G3199" s="20" t="str">
        <f>IFERROR(__xludf.DUMMYFUNCTION("""COMPUTED_VALUE"""),"Uncle Sams Cider (04/04/2023)")</f>
        <v>Uncle Sams Cider (04/04/2023)</v>
      </c>
      <c r="H3199" s="19"/>
    </row>
    <row r="3200">
      <c r="A3200" s="9"/>
      <c r="B3200" s="15"/>
      <c r="C3200" s="9">
        <f>IFERROR(__xludf.DUMMYFUNCTION("""COMPUTED_VALUE"""),45111.1661891666)</f>
        <v>45111.16619</v>
      </c>
      <c r="D3200" s="15">
        <f>IFERROR(__xludf.DUMMYFUNCTION("""COMPUTED_VALUE"""),1.004)</f>
        <v>1.004</v>
      </c>
      <c r="E3200" s="16">
        <f>IFERROR(__xludf.DUMMYFUNCTION("""COMPUTED_VALUE"""),71.0)</f>
        <v>71</v>
      </c>
      <c r="F3200" s="19" t="str">
        <f>IFERROR(__xludf.DUMMYFUNCTION("""COMPUTED_VALUE"""),"BLACK")</f>
        <v>BLACK</v>
      </c>
      <c r="G3200" s="20" t="str">
        <f>IFERROR(__xludf.DUMMYFUNCTION("""COMPUTED_VALUE"""),"Uncle Sams Cider (04/04/2023)")</f>
        <v>Uncle Sams Cider (04/04/2023)</v>
      </c>
      <c r="H3200" s="19"/>
    </row>
    <row r="3201">
      <c r="A3201" s="9"/>
      <c r="B3201" s="15"/>
      <c r="C3201" s="9">
        <f>IFERROR(__xludf.DUMMYFUNCTION("""COMPUTED_VALUE"""),45111.1557692129)</f>
        <v>45111.15577</v>
      </c>
      <c r="D3201" s="15">
        <f>IFERROR(__xludf.DUMMYFUNCTION("""COMPUTED_VALUE"""),1.004)</f>
        <v>1.004</v>
      </c>
      <c r="E3201" s="16">
        <f>IFERROR(__xludf.DUMMYFUNCTION("""COMPUTED_VALUE"""),71.0)</f>
        <v>71</v>
      </c>
      <c r="F3201" s="19" t="str">
        <f>IFERROR(__xludf.DUMMYFUNCTION("""COMPUTED_VALUE"""),"BLACK")</f>
        <v>BLACK</v>
      </c>
      <c r="G3201" s="20" t="str">
        <f>IFERROR(__xludf.DUMMYFUNCTION("""COMPUTED_VALUE"""),"Uncle Sams Cider (04/04/2023)")</f>
        <v>Uncle Sams Cider (04/04/2023)</v>
      </c>
      <c r="H3201" s="19"/>
    </row>
    <row r="3202">
      <c r="A3202" s="9"/>
      <c r="B3202" s="15"/>
      <c r="C3202" s="9">
        <f>IFERROR(__xludf.DUMMYFUNCTION("""COMPUTED_VALUE"""),45111.1453471064)</f>
        <v>45111.14535</v>
      </c>
      <c r="D3202" s="15">
        <f>IFERROR(__xludf.DUMMYFUNCTION("""COMPUTED_VALUE"""),1.004)</f>
        <v>1.004</v>
      </c>
      <c r="E3202" s="16">
        <f>IFERROR(__xludf.DUMMYFUNCTION("""COMPUTED_VALUE"""),71.0)</f>
        <v>71</v>
      </c>
      <c r="F3202" s="19" t="str">
        <f>IFERROR(__xludf.DUMMYFUNCTION("""COMPUTED_VALUE"""),"BLACK")</f>
        <v>BLACK</v>
      </c>
      <c r="G3202" s="20" t="str">
        <f>IFERROR(__xludf.DUMMYFUNCTION("""COMPUTED_VALUE"""),"Uncle Sams Cider (04/04/2023)")</f>
        <v>Uncle Sams Cider (04/04/2023)</v>
      </c>
      <c r="H3202" s="19"/>
    </row>
    <row r="3203">
      <c r="A3203" s="9"/>
      <c r="B3203" s="15"/>
      <c r="C3203" s="9">
        <f>IFERROR(__xludf.DUMMYFUNCTION("""COMPUTED_VALUE"""),45111.1349251041)</f>
        <v>45111.13493</v>
      </c>
      <c r="D3203" s="15">
        <f>IFERROR(__xludf.DUMMYFUNCTION("""COMPUTED_VALUE"""),1.004)</f>
        <v>1.004</v>
      </c>
      <c r="E3203" s="16">
        <f>IFERROR(__xludf.DUMMYFUNCTION("""COMPUTED_VALUE"""),71.0)</f>
        <v>71</v>
      </c>
      <c r="F3203" s="19" t="str">
        <f>IFERROR(__xludf.DUMMYFUNCTION("""COMPUTED_VALUE"""),"BLACK")</f>
        <v>BLACK</v>
      </c>
      <c r="G3203" s="20" t="str">
        <f>IFERROR(__xludf.DUMMYFUNCTION("""COMPUTED_VALUE"""),"Uncle Sams Cider (04/04/2023)")</f>
        <v>Uncle Sams Cider (04/04/2023)</v>
      </c>
      <c r="H3203" s="19"/>
    </row>
    <row r="3204">
      <c r="A3204" s="9"/>
      <c r="B3204" s="15"/>
      <c r="C3204" s="9">
        <f>IFERROR(__xludf.DUMMYFUNCTION("""COMPUTED_VALUE"""),45111.1245032176)</f>
        <v>45111.1245</v>
      </c>
      <c r="D3204" s="15">
        <f>IFERROR(__xludf.DUMMYFUNCTION("""COMPUTED_VALUE"""),1.004)</f>
        <v>1.004</v>
      </c>
      <c r="E3204" s="16">
        <f>IFERROR(__xludf.DUMMYFUNCTION("""COMPUTED_VALUE"""),71.0)</f>
        <v>71</v>
      </c>
      <c r="F3204" s="19" t="str">
        <f>IFERROR(__xludf.DUMMYFUNCTION("""COMPUTED_VALUE"""),"BLACK")</f>
        <v>BLACK</v>
      </c>
      <c r="G3204" s="20" t="str">
        <f>IFERROR(__xludf.DUMMYFUNCTION("""COMPUTED_VALUE"""),"Uncle Sams Cider (04/04/2023)")</f>
        <v>Uncle Sams Cider (04/04/2023)</v>
      </c>
      <c r="H3204" s="19"/>
    </row>
    <row r="3205">
      <c r="A3205" s="9"/>
      <c r="B3205" s="15"/>
      <c r="C3205" s="9">
        <f>IFERROR(__xludf.DUMMYFUNCTION("""COMPUTED_VALUE"""),45111.1140813888)</f>
        <v>45111.11408</v>
      </c>
      <c r="D3205" s="15">
        <f>IFERROR(__xludf.DUMMYFUNCTION("""COMPUTED_VALUE"""),1.004)</f>
        <v>1.004</v>
      </c>
      <c r="E3205" s="16">
        <f>IFERROR(__xludf.DUMMYFUNCTION("""COMPUTED_VALUE"""),71.0)</f>
        <v>71</v>
      </c>
      <c r="F3205" s="19" t="str">
        <f>IFERROR(__xludf.DUMMYFUNCTION("""COMPUTED_VALUE"""),"BLACK")</f>
        <v>BLACK</v>
      </c>
      <c r="G3205" s="20" t="str">
        <f>IFERROR(__xludf.DUMMYFUNCTION("""COMPUTED_VALUE"""),"Uncle Sams Cider (04/04/2023)")</f>
        <v>Uncle Sams Cider (04/04/2023)</v>
      </c>
      <c r="H3205" s="19"/>
    </row>
    <row r="3206">
      <c r="A3206" s="9"/>
      <c r="B3206" s="15"/>
      <c r="C3206" s="9">
        <f>IFERROR(__xludf.DUMMYFUNCTION("""COMPUTED_VALUE"""),45111.1036611805)</f>
        <v>45111.10366</v>
      </c>
      <c r="D3206" s="15">
        <f>IFERROR(__xludf.DUMMYFUNCTION("""COMPUTED_VALUE"""),1.004)</f>
        <v>1.004</v>
      </c>
      <c r="E3206" s="16">
        <f>IFERROR(__xludf.DUMMYFUNCTION("""COMPUTED_VALUE"""),71.0)</f>
        <v>71</v>
      </c>
      <c r="F3206" s="19" t="str">
        <f>IFERROR(__xludf.DUMMYFUNCTION("""COMPUTED_VALUE"""),"BLACK")</f>
        <v>BLACK</v>
      </c>
      <c r="G3206" s="20" t="str">
        <f>IFERROR(__xludf.DUMMYFUNCTION("""COMPUTED_VALUE"""),"Uncle Sams Cider (04/04/2023)")</f>
        <v>Uncle Sams Cider (04/04/2023)</v>
      </c>
      <c r="H3206" s="19"/>
    </row>
    <row r="3207">
      <c r="A3207" s="9"/>
      <c r="B3207" s="15"/>
      <c r="C3207" s="9">
        <f>IFERROR(__xludf.DUMMYFUNCTION("""COMPUTED_VALUE"""),45111.0932405555)</f>
        <v>45111.09324</v>
      </c>
      <c r="D3207" s="15">
        <f>IFERROR(__xludf.DUMMYFUNCTION("""COMPUTED_VALUE"""),1.004)</f>
        <v>1.004</v>
      </c>
      <c r="E3207" s="16">
        <f>IFERROR(__xludf.DUMMYFUNCTION("""COMPUTED_VALUE"""),71.0)</f>
        <v>71</v>
      </c>
      <c r="F3207" s="19" t="str">
        <f>IFERROR(__xludf.DUMMYFUNCTION("""COMPUTED_VALUE"""),"BLACK")</f>
        <v>BLACK</v>
      </c>
      <c r="G3207" s="20" t="str">
        <f>IFERROR(__xludf.DUMMYFUNCTION("""COMPUTED_VALUE"""),"Uncle Sams Cider (04/04/2023)")</f>
        <v>Uncle Sams Cider (04/04/2023)</v>
      </c>
      <c r="H3207" s="19"/>
    </row>
    <row r="3208">
      <c r="A3208" s="9"/>
      <c r="B3208" s="15"/>
      <c r="C3208" s="9">
        <f>IFERROR(__xludf.DUMMYFUNCTION("""COMPUTED_VALUE"""),45111.0828079976)</f>
        <v>45111.08281</v>
      </c>
      <c r="D3208" s="15">
        <f>IFERROR(__xludf.DUMMYFUNCTION("""COMPUTED_VALUE"""),1.004)</f>
        <v>1.004</v>
      </c>
      <c r="E3208" s="16">
        <f>IFERROR(__xludf.DUMMYFUNCTION("""COMPUTED_VALUE"""),71.0)</f>
        <v>71</v>
      </c>
      <c r="F3208" s="19" t="str">
        <f>IFERROR(__xludf.DUMMYFUNCTION("""COMPUTED_VALUE"""),"BLACK")</f>
        <v>BLACK</v>
      </c>
      <c r="G3208" s="20" t="str">
        <f>IFERROR(__xludf.DUMMYFUNCTION("""COMPUTED_VALUE"""),"Uncle Sams Cider (04/04/2023)")</f>
        <v>Uncle Sams Cider (04/04/2023)</v>
      </c>
      <c r="H3208" s="19"/>
    </row>
    <row r="3209">
      <c r="A3209" s="9"/>
      <c r="B3209" s="15"/>
      <c r="C3209" s="9">
        <f>IFERROR(__xludf.DUMMYFUNCTION("""COMPUTED_VALUE"""),45111.0723864583)</f>
        <v>45111.07239</v>
      </c>
      <c r="D3209" s="15">
        <f>IFERROR(__xludf.DUMMYFUNCTION("""COMPUTED_VALUE"""),1.004)</f>
        <v>1.004</v>
      </c>
      <c r="E3209" s="16">
        <f>IFERROR(__xludf.DUMMYFUNCTION("""COMPUTED_VALUE"""),71.0)</f>
        <v>71</v>
      </c>
      <c r="F3209" s="19" t="str">
        <f>IFERROR(__xludf.DUMMYFUNCTION("""COMPUTED_VALUE"""),"BLACK")</f>
        <v>BLACK</v>
      </c>
      <c r="G3209" s="20" t="str">
        <f>IFERROR(__xludf.DUMMYFUNCTION("""COMPUTED_VALUE"""),"Uncle Sams Cider (04/04/2023)")</f>
        <v>Uncle Sams Cider (04/04/2023)</v>
      </c>
      <c r="H3209" s="19"/>
    </row>
    <row r="3210">
      <c r="A3210" s="9"/>
      <c r="B3210" s="15"/>
      <c r="C3210" s="9">
        <f>IFERROR(__xludf.DUMMYFUNCTION("""COMPUTED_VALUE"""),45111.061965787)</f>
        <v>45111.06197</v>
      </c>
      <c r="D3210" s="15">
        <f>IFERROR(__xludf.DUMMYFUNCTION("""COMPUTED_VALUE"""),1.004)</f>
        <v>1.004</v>
      </c>
      <c r="E3210" s="16">
        <f>IFERROR(__xludf.DUMMYFUNCTION("""COMPUTED_VALUE"""),71.0)</f>
        <v>71</v>
      </c>
      <c r="F3210" s="19" t="str">
        <f>IFERROR(__xludf.DUMMYFUNCTION("""COMPUTED_VALUE"""),"BLACK")</f>
        <v>BLACK</v>
      </c>
      <c r="G3210" s="20" t="str">
        <f>IFERROR(__xludf.DUMMYFUNCTION("""COMPUTED_VALUE"""),"Uncle Sams Cider (04/04/2023)")</f>
        <v>Uncle Sams Cider (04/04/2023)</v>
      </c>
      <c r="H3210" s="19"/>
    </row>
    <row r="3211">
      <c r="A3211" s="9"/>
      <c r="B3211" s="15"/>
      <c r="C3211" s="9">
        <f>IFERROR(__xludf.DUMMYFUNCTION("""COMPUTED_VALUE"""),45111.0515452893)</f>
        <v>45111.05155</v>
      </c>
      <c r="D3211" s="15">
        <f>IFERROR(__xludf.DUMMYFUNCTION("""COMPUTED_VALUE"""),1.004)</f>
        <v>1.004</v>
      </c>
      <c r="E3211" s="16">
        <f>IFERROR(__xludf.DUMMYFUNCTION("""COMPUTED_VALUE"""),71.0)</f>
        <v>71</v>
      </c>
      <c r="F3211" s="19" t="str">
        <f>IFERROR(__xludf.DUMMYFUNCTION("""COMPUTED_VALUE"""),"BLACK")</f>
        <v>BLACK</v>
      </c>
      <c r="G3211" s="20" t="str">
        <f>IFERROR(__xludf.DUMMYFUNCTION("""COMPUTED_VALUE"""),"Uncle Sams Cider (04/04/2023)")</f>
        <v>Uncle Sams Cider (04/04/2023)</v>
      </c>
      <c r="H3211" s="19"/>
    </row>
    <row r="3212">
      <c r="A3212" s="9"/>
      <c r="B3212" s="15"/>
      <c r="C3212" s="9">
        <f>IFERROR(__xludf.DUMMYFUNCTION("""COMPUTED_VALUE"""),45111.0410997685)</f>
        <v>45111.0411</v>
      </c>
      <c r="D3212" s="15">
        <f>IFERROR(__xludf.DUMMYFUNCTION("""COMPUTED_VALUE"""),1.004)</f>
        <v>1.004</v>
      </c>
      <c r="E3212" s="16">
        <f>IFERROR(__xludf.DUMMYFUNCTION("""COMPUTED_VALUE"""),71.0)</f>
        <v>71</v>
      </c>
      <c r="F3212" s="19" t="str">
        <f>IFERROR(__xludf.DUMMYFUNCTION("""COMPUTED_VALUE"""),"BLACK")</f>
        <v>BLACK</v>
      </c>
      <c r="G3212" s="20" t="str">
        <f>IFERROR(__xludf.DUMMYFUNCTION("""COMPUTED_VALUE"""),"Uncle Sams Cider (04/04/2023)")</f>
        <v>Uncle Sams Cider (04/04/2023)</v>
      </c>
      <c r="H3212" s="19"/>
    </row>
    <row r="3213">
      <c r="A3213" s="9"/>
      <c r="B3213" s="15"/>
      <c r="C3213" s="9">
        <f>IFERROR(__xludf.DUMMYFUNCTION("""COMPUTED_VALUE"""),45111.0306695949)</f>
        <v>45111.03067</v>
      </c>
      <c r="D3213" s="15">
        <f>IFERROR(__xludf.DUMMYFUNCTION("""COMPUTED_VALUE"""),1.004)</f>
        <v>1.004</v>
      </c>
      <c r="E3213" s="16">
        <f>IFERROR(__xludf.DUMMYFUNCTION("""COMPUTED_VALUE"""),71.0)</f>
        <v>71</v>
      </c>
      <c r="F3213" s="19" t="str">
        <f>IFERROR(__xludf.DUMMYFUNCTION("""COMPUTED_VALUE"""),"BLACK")</f>
        <v>BLACK</v>
      </c>
      <c r="G3213" s="20" t="str">
        <f>IFERROR(__xludf.DUMMYFUNCTION("""COMPUTED_VALUE"""),"Uncle Sams Cider (04/04/2023)")</f>
        <v>Uncle Sams Cider (04/04/2023)</v>
      </c>
      <c r="H3213" s="19"/>
    </row>
    <row r="3214">
      <c r="A3214" s="9"/>
      <c r="B3214" s="15"/>
      <c r="C3214" s="9">
        <f>IFERROR(__xludf.DUMMYFUNCTION("""COMPUTED_VALUE"""),45111.0202506713)</f>
        <v>45111.02025</v>
      </c>
      <c r="D3214" s="15">
        <f>IFERROR(__xludf.DUMMYFUNCTION("""COMPUTED_VALUE"""),1.004)</f>
        <v>1.004</v>
      </c>
      <c r="E3214" s="16">
        <f>IFERROR(__xludf.DUMMYFUNCTION("""COMPUTED_VALUE"""),71.0)</f>
        <v>71</v>
      </c>
      <c r="F3214" s="19" t="str">
        <f>IFERROR(__xludf.DUMMYFUNCTION("""COMPUTED_VALUE"""),"BLACK")</f>
        <v>BLACK</v>
      </c>
      <c r="G3214" s="20" t="str">
        <f>IFERROR(__xludf.DUMMYFUNCTION("""COMPUTED_VALUE"""),"Uncle Sams Cider (04/04/2023)")</f>
        <v>Uncle Sams Cider (04/04/2023)</v>
      </c>
      <c r="H3214" s="19"/>
    </row>
    <row r="3215">
      <c r="A3215" s="9"/>
      <c r="B3215" s="15"/>
      <c r="C3215" s="9">
        <f>IFERROR(__xludf.DUMMYFUNCTION("""COMPUTED_VALUE"""),45111.0098170023)</f>
        <v>45111.00982</v>
      </c>
      <c r="D3215" s="15">
        <f>IFERROR(__xludf.DUMMYFUNCTION("""COMPUTED_VALUE"""),1.004)</f>
        <v>1.004</v>
      </c>
      <c r="E3215" s="16">
        <f>IFERROR(__xludf.DUMMYFUNCTION("""COMPUTED_VALUE"""),71.0)</f>
        <v>71</v>
      </c>
      <c r="F3215" s="19" t="str">
        <f>IFERROR(__xludf.DUMMYFUNCTION("""COMPUTED_VALUE"""),"BLACK")</f>
        <v>BLACK</v>
      </c>
      <c r="G3215" s="20" t="str">
        <f>IFERROR(__xludf.DUMMYFUNCTION("""COMPUTED_VALUE"""),"Uncle Sams Cider (04/04/2023)")</f>
        <v>Uncle Sams Cider (04/04/2023)</v>
      </c>
      <c r="H3215" s="19"/>
    </row>
    <row r="3216">
      <c r="A3216" s="9"/>
      <c r="B3216" s="15"/>
      <c r="C3216" s="9">
        <f>IFERROR(__xludf.DUMMYFUNCTION("""COMPUTED_VALUE"""),45110.9993973842)</f>
        <v>45110.9994</v>
      </c>
      <c r="D3216" s="15">
        <f>IFERROR(__xludf.DUMMYFUNCTION("""COMPUTED_VALUE"""),1.004)</f>
        <v>1.004</v>
      </c>
      <c r="E3216" s="16">
        <f>IFERROR(__xludf.DUMMYFUNCTION("""COMPUTED_VALUE"""),71.0)</f>
        <v>71</v>
      </c>
      <c r="F3216" s="19" t="str">
        <f>IFERROR(__xludf.DUMMYFUNCTION("""COMPUTED_VALUE"""),"BLACK")</f>
        <v>BLACK</v>
      </c>
      <c r="G3216" s="20" t="str">
        <f>IFERROR(__xludf.DUMMYFUNCTION("""COMPUTED_VALUE"""),"Uncle Sams Cider (04/04/2023)")</f>
        <v>Uncle Sams Cider (04/04/2023)</v>
      </c>
      <c r="H3216" s="19"/>
    </row>
    <row r="3217">
      <c r="A3217" s="9"/>
      <c r="B3217" s="15"/>
      <c r="C3217" s="9">
        <f>IFERROR(__xludf.DUMMYFUNCTION("""COMPUTED_VALUE"""),45110.9889748611)</f>
        <v>45110.98897</v>
      </c>
      <c r="D3217" s="15">
        <f>IFERROR(__xludf.DUMMYFUNCTION("""COMPUTED_VALUE"""),1.004)</f>
        <v>1.004</v>
      </c>
      <c r="E3217" s="16">
        <f>IFERROR(__xludf.DUMMYFUNCTION("""COMPUTED_VALUE"""),71.0)</f>
        <v>71</v>
      </c>
      <c r="F3217" s="19" t="str">
        <f>IFERROR(__xludf.DUMMYFUNCTION("""COMPUTED_VALUE"""),"BLACK")</f>
        <v>BLACK</v>
      </c>
      <c r="G3217" s="20" t="str">
        <f>IFERROR(__xludf.DUMMYFUNCTION("""COMPUTED_VALUE"""),"Uncle Sams Cider (04/04/2023)")</f>
        <v>Uncle Sams Cider (04/04/2023)</v>
      </c>
      <c r="H3217" s="19"/>
    </row>
    <row r="3218">
      <c r="A3218" s="9"/>
      <c r="B3218" s="15"/>
      <c r="C3218" s="9">
        <f>IFERROR(__xludf.DUMMYFUNCTION("""COMPUTED_VALUE"""),45110.9785548148)</f>
        <v>45110.97855</v>
      </c>
      <c r="D3218" s="15">
        <f>IFERROR(__xludf.DUMMYFUNCTION("""COMPUTED_VALUE"""),1.004)</f>
        <v>1.004</v>
      </c>
      <c r="E3218" s="16">
        <f>IFERROR(__xludf.DUMMYFUNCTION("""COMPUTED_VALUE"""),71.0)</f>
        <v>71</v>
      </c>
      <c r="F3218" s="19" t="str">
        <f>IFERROR(__xludf.DUMMYFUNCTION("""COMPUTED_VALUE"""),"BLACK")</f>
        <v>BLACK</v>
      </c>
      <c r="G3218" s="20" t="str">
        <f>IFERROR(__xludf.DUMMYFUNCTION("""COMPUTED_VALUE"""),"Uncle Sams Cider (04/04/2023)")</f>
        <v>Uncle Sams Cider (04/04/2023)</v>
      </c>
      <c r="H3218" s="19"/>
    </row>
    <row r="3219">
      <c r="A3219" s="9"/>
      <c r="B3219" s="15"/>
      <c r="C3219" s="9">
        <f>IFERROR(__xludf.DUMMYFUNCTION("""COMPUTED_VALUE"""),45110.9681202199)</f>
        <v>45110.96812</v>
      </c>
      <c r="D3219" s="15">
        <f>IFERROR(__xludf.DUMMYFUNCTION("""COMPUTED_VALUE"""),1.004)</f>
        <v>1.004</v>
      </c>
      <c r="E3219" s="16">
        <f>IFERROR(__xludf.DUMMYFUNCTION("""COMPUTED_VALUE"""),71.0)</f>
        <v>71</v>
      </c>
      <c r="F3219" s="19" t="str">
        <f>IFERROR(__xludf.DUMMYFUNCTION("""COMPUTED_VALUE"""),"BLACK")</f>
        <v>BLACK</v>
      </c>
      <c r="G3219" s="20" t="str">
        <f>IFERROR(__xludf.DUMMYFUNCTION("""COMPUTED_VALUE"""),"Uncle Sams Cider (04/04/2023)")</f>
        <v>Uncle Sams Cider (04/04/2023)</v>
      </c>
      <c r="H3219" s="19"/>
    </row>
    <row r="3220">
      <c r="A3220" s="9"/>
      <c r="B3220" s="15"/>
      <c r="C3220" s="9">
        <f>IFERROR(__xludf.DUMMYFUNCTION("""COMPUTED_VALUE"""),45110.9576981018)</f>
        <v>45110.9577</v>
      </c>
      <c r="D3220" s="15">
        <f>IFERROR(__xludf.DUMMYFUNCTION("""COMPUTED_VALUE"""),1.004)</f>
        <v>1.004</v>
      </c>
      <c r="E3220" s="16">
        <f>IFERROR(__xludf.DUMMYFUNCTION("""COMPUTED_VALUE"""),71.0)</f>
        <v>71</v>
      </c>
      <c r="F3220" s="19" t="str">
        <f>IFERROR(__xludf.DUMMYFUNCTION("""COMPUTED_VALUE"""),"BLACK")</f>
        <v>BLACK</v>
      </c>
      <c r="G3220" s="20" t="str">
        <f>IFERROR(__xludf.DUMMYFUNCTION("""COMPUTED_VALUE"""),"Uncle Sams Cider (04/04/2023)")</f>
        <v>Uncle Sams Cider (04/04/2023)</v>
      </c>
      <c r="H3220" s="19"/>
    </row>
    <row r="3221">
      <c r="A3221" s="9"/>
      <c r="B3221" s="15"/>
      <c r="C3221" s="9">
        <f>IFERROR(__xludf.DUMMYFUNCTION("""COMPUTED_VALUE"""),45110.9472770486)</f>
        <v>45110.94728</v>
      </c>
      <c r="D3221" s="15">
        <f>IFERROR(__xludf.DUMMYFUNCTION("""COMPUTED_VALUE"""),1.004)</f>
        <v>1.004</v>
      </c>
      <c r="E3221" s="16">
        <f>IFERROR(__xludf.DUMMYFUNCTION("""COMPUTED_VALUE"""),71.0)</f>
        <v>71</v>
      </c>
      <c r="F3221" s="19" t="str">
        <f>IFERROR(__xludf.DUMMYFUNCTION("""COMPUTED_VALUE"""),"BLACK")</f>
        <v>BLACK</v>
      </c>
      <c r="G3221" s="20" t="str">
        <f>IFERROR(__xludf.DUMMYFUNCTION("""COMPUTED_VALUE"""),"Uncle Sams Cider (04/04/2023)")</f>
        <v>Uncle Sams Cider (04/04/2023)</v>
      </c>
      <c r="H3221" s="19"/>
    </row>
    <row r="3222">
      <c r="A3222" s="9"/>
      <c r="B3222" s="15"/>
      <c r="C3222" s="9">
        <f>IFERROR(__xludf.DUMMYFUNCTION("""COMPUTED_VALUE"""),45110.9368448263)</f>
        <v>45110.93684</v>
      </c>
      <c r="D3222" s="15">
        <f>IFERROR(__xludf.DUMMYFUNCTION("""COMPUTED_VALUE"""),1.004)</f>
        <v>1.004</v>
      </c>
      <c r="E3222" s="16">
        <f>IFERROR(__xludf.DUMMYFUNCTION("""COMPUTED_VALUE"""),71.0)</f>
        <v>71</v>
      </c>
      <c r="F3222" s="19" t="str">
        <f>IFERROR(__xludf.DUMMYFUNCTION("""COMPUTED_VALUE"""),"BLACK")</f>
        <v>BLACK</v>
      </c>
      <c r="G3222" s="20" t="str">
        <f>IFERROR(__xludf.DUMMYFUNCTION("""COMPUTED_VALUE"""),"Uncle Sams Cider (04/04/2023)")</f>
        <v>Uncle Sams Cider (04/04/2023)</v>
      </c>
      <c r="H3222" s="19"/>
    </row>
    <row r="3223">
      <c r="A3223" s="9"/>
      <c r="B3223" s="15"/>
      <c r="C3223" s="9">
        <f>IFERROR(__xludf.DUMMYFUNCTION("""COMPUTED_VALUE"""),45110.9264246412)</f>
        <v>45110.92642</v>
      </c>
      <c r="D3223" s="15">
        <f>IFERROR(__xludf.DUMMYFUNCTION("""COMPUTED_VALUE"""),1.004)</f>
        <v>1.004</v>
      </c>
      <c r="E3223" s="16">
        <f>IFERROR(__xludf.DUMMYFUNCTION("""COMPUTED_VALUE"""),71.0)</f>
        <v>71</v>
      </c>
      <c r="F3223" s="19" t="str">
        <f>IFERROR(__xludf.DUMMYFUNCTION("""COMPUTED_VALUE"""),"BLACK")</f>
        <v>BLACK</v>
      </c>
      <c r="G3223" s="20" t="str">
        <f>IFERROR(__xludf.DUMMYFUNCTION("""COMPUTED_VALUE"""),"Uncle Sams Cider (04/04/2023)")</f>
        <v>Uncle Sams Cider (04/04/2023)</v>
      </c>
      <c r="H3223" s="19"/>
    </row>
    <row r="3224">
      <c r="A3224" s="9"/>
      <c r="B3224" s="15"/>
      <c r="C3224" s="9">
        <f>IFERROR(__xludf.DUMMYFUNCTION("""COMPUTED_VALUE"""),45110.915993368)</f>
        <v>45110.91599</v>
      </c>
      <c r="D3224" s="15">
        <f>IFERROR(__xludf.DUMMYFUNCTION("""COMPUTED_VALUE"""),1.004)</f>
        <v>1.004</v>
      </c>
      <c r="E3224" s="16">
        <f>IFERROR(__xludf.DUMMYFUNCTION("""COMPUTED_VALUE"""),71.0)</f>
        <v>71</v>
      </c>
      <c r="F3224" s="19" t="str">
        <f>IFERROR(__xludf.DUMMYFUNCTION("""COMPUTED_VALUE"""),"BLACK")</f>
        <v>BLACK</v>
      </c>
      <c r="G3224" s="20" t="str">
        <f>IFERROR(__xludf.DUMMYFUNCTION("""COMPUTED_VALUE"""),"Uncle Sams Cider (04/04/2023)")</f>
        <v>Uncle Sams Cider (04/04/2023)</v>
      </c>
      <c r="H3224" s="19"/>
    </row>
    <row r="3225">
      <c r="A3225" s="9"/>
      <c r="B3225" s="15"/>
      <c r="C3225" s="9">
        <f>IFERROR(__xludf.DUMMYFUNCTION("""COMPUTED_VALUE"""),45110.90556125)</f>
        <v>45110.90556</v>
      </c>
      <c r="D3225" s="15">
        <f>IFERROR(__xludf.DUMMYFUNCTION("""COMPUTED_VALUE"""),1.004)</f>
        <v>1.004</v>
      </c>
      <c r="E3225" s="16">
        <f>IFERROR(__xludf.DUMMYFUNCTION("""COMPUTED_VALUE"""),71.0)</f>
        <v>71</v>
      </c>
      <c r="F3225" s="19" t="str">
        <f>IFERROR(__xludf.DUMMYFUNCTION("""COMPUTED_VALUE"""),"BLACK")</f>
        <v>BLACK</v>
      </c>
      <c r="G3225" s="20" t="str">
        <f>IFERROR(__xludf.DUMMYFUNCTION("""COMPUTED_VALUE"""),"Uncle Sams Cider (04/04/2023)")</f>
        <v>Uncle Sams Cider (04/04/2023)</v>
      </c>
      <c r="H3225" s="19"/>
    </row>
    <row r="3226">
      <c r="A3226" s="9"/>
      <c r="B3226" s="15"/>
      <c r="C3226" s="9">
        <f>IFERROR(__xludf.DUMMYFUNCTION("""COMPUTED_VALUE"""),45110.8951414814)</f>
        <v>45110.89514</v>
      </c>
      <c r="D3226" s="15">
        <f>IFERROR(__xludf.DUMMYFUNCTION("""COMPUTED_VALUE"""),1.004)</f>
        <v>1.004</v>
      </c>
      <c r="E3226" s="16">
        <f>IFERROR(__xludf.DUMMYFUNCTION("""COMPUTED_VALUE"""),71.0)</f>
        <v>71</v>
      </c>
      <c r="F3226" s="19" t="str">
        <f>IFERROR(__xludf.DUMMYFUNCTION("""COMPUTED_VALUE"""),"BLACK")</f>
        <v>BLACK</v>
      </c>
      <c r="G3226" s="20" t="str">
        <f>IFERROR(__xludf.DUMMYFUNCTION("""COMPUTED_VALUE"""),"Uncle Sams Cider (04/04/2023)")</f>
        <v>Uncle Sams Cider (04/04/2023)</v>
      </c>
      <c r="H3226" s="19"/>
    </row>
    <row r="3227">
      <c r="A3227" s="9"/>
      <c r="B3227" s="15"/>
      <c r="C3227" s="9">
        <f>IFERROR(__xludf.DUMMYFUNCTION("""COMPUTED_VALUE"""),45110.8847190856)</f>
        <v>45110.88472</v>
      </c>
      <c r="D3227" s="15">
        <f>IFERROR(__xludf.DUMMYFUNCTION("""COMPUTED_VALUE"""),1.004)</f>
        <v>1.004</v>
      </c>
      <c r="E3227" s="16">
        <f>IFERROR(__xludf.DUMMYFUNCTION("""COMPUTED_VALUE"""),71.0)</f>
        <v>71</v>
      </c>
      <c r="F3227" s="19" t="str">
        <f>IFERROR(__xludf.DUMMYFUNCTION("""COMPUTED_VALUE"""),"BLACK")</f>
        <v>BLACK</v>
      </c>
      <c r="G3227" s="20" t="str">
        <f>IFERROR(__xludf.DUMMYFUNCTION("""COMPUTED_VALUE"""),"Uncle Sams Cider (04/04/2023)")</f>
        <v>Uncle Sams Cider (04/04/2023)</v>
      </c>
      <c r="H3227" s="19"/>
    </row>
    <row r="3228">
      <c r="A3228" s="9"/>
      <c r="B3228" s="15"/>
      <c r="C3228" s="9">
        <f>IFERROR(__xludf.DUMMYFUNCTION("""COMPUTED_VALUE"""),45110.8742978125)</f>
        <v>45110.8743</v>
      </c>
      <c r="D3228" s="15">
        <f>IFERROR(__xludf.DUMMYFUNCTION("""COMPUTED_VALUE"""),1.004)</f>
        <v>1.004</v>
      </c>
      <c r="E3228" s="16">
        <f>IFERROR(__xludf.DUMMYFUNCTION("""COMPUTED_VALUE"""),71.0)</f>
        <v>71</v>
      </c>
      <c r="F3228" s="19" t="str">
        <f>IFERROR(__xludf.DUMMYFUNCTION("""COMPUTED_VALUE"""),"BLACK")</f>
        <v>BLACK</v>
      </c>
      <c r="G3228" s="20" t="str">
        <f>IFERROR(__xludf.DUMMYFUNCTION("""COMPUTED_VALUE"""),"Uncle Sams Cider (04/04/2023)")</f>
        <v>Uncle Sams Cider (04/04/2023)</v>
      </c>
      <c r="H3228" s="19"/>
    </row>
    <row r="3229">
      <c r="A3229" s="9"/>
      <c r="B3229" s="15"/>
      <c r="C3229" s="9">
        <f>IFERROR(__xludf.DUMMYFUNCTION("""COMPUTED_VALUE"""),45110.8638651157)</f>
        <v>45110.86387</v>
      </c>
      <c r="D3229" s="15">
        <f>IFERROR(__xludf.DUMMYFUNCTION("""COMPUTED_VALUE"""),1.004)</f>
        <v>1.004</v>
      </c>
      <c r="E3229" s="16">
        <f>IFERROR(__xludf.DUMMYFUNCTION("""COMPUTED_VALUE"""),71.0)</f>
        <v>71</v>
      </c>
      <c r="F3229" s="19" t="str">
        <f>IFERROR(__xludf.DUMMYFUNCTION("""COMPUTED_VALUE"""),"BLACK")</f>
        <v>BLACK</v>
      </c>
      <c r="G3229" s="20" t="str">
        <f>IFERROR(__xludf.DUMMYFUNCTION("""COMPUTED_VALUE"""),"Uncle Sams Cider (04/04/2023)")</f>
        <v>Uncle Sams Cider (04/04/2023)</v>
      </c>
      <c r="H3229" s="19"/>
    </row>
    <row r="3230">
      <c r="A3230" s="9"/>
      <c r="B3230" s="15"/>
      <c r="C3230" s="9">
        <f>IFERROR(__xludf.DUMMYFUNCTION("""COMPUTED_VALUE"""),45110.8534429282)</f>
        <v>45110.85344</v>
      </c>
      <c r="D3230" s="15">
        <f>IFERROR(__xludf.DUMMYFUNCTION("""COMPUTED_VALUE"""),1.004)</f>
        <v>1.004</v>
      </c>
      <c r="E3230" s="16">
        <f>IFERROR(__xludf.DUMMYFUNCTION("""COMPUTED_VALUE"""),71.0)</f>
        <v>71</v>
      </c>
      <c r="F3230" s="19" t="str">
        <f>IFERROR(__xludf.DUMMYFUNCTION("""COMPUTED_VALUE"""),"BLACK")</f>
        <v>BLACK</v>
      </c>
      <c r="G3230" s="20" t="str">
        <f>IFERROR(__xludf.DUMMYFUNCTION("""COMPUTED_VALUE"""),"Uncle Sams Cider (04/04/2023)")</f>
        <v>Uncle Sams Cider (04/04/2023)</v>
      </c>
      <c r="H3230" s="19"/>
    </row>
    <row r="3231">
      <c r="A3231" s="9"/>
      <c r="B3231" s="15"/>
      <c r="C3231" s="9">
        <f>IFERROR(__xludf.DUMMYFUNCTION("""COMPUTED_VALUE"""),45110.8430205671)</f>
        <v>45110.84302</v>
      </c>
      <c r="D3231" s="15">
        <f>IFERROR(__xludf.DUMMYFUNCTION("""COMPUTED_VALUE"""),1.004)</f>
        <v>1.004</v>
      </c>
      <c r="E3231" s="16">
        <f>IFERROR(__xludf.DUMMYFUNCTION("""COMPUTED_VALUE"""),71.0)</f>
        <v>71</v>
      </c>
      <c r="F3231" s="19" t="str">
        <f>IFERROR(__xludf.DUMMYFUNCTION("""COMPUTED_VALUE"""),"BLACK")</f>
        <v>BLACK</v>
      </c>
      <c r="G3231" s="20" t="str">
        <f>IFERROR(__xludf.DUMMYFUNCTION("""COMPUTED_VALUE"""),"Uncle Sams Cider (04/04/2023)")</f>
        <v>Uncle Sams Cider (04/04/2023)</v>
      </c>
      <c r="H3231" s="19"/>
    </row>
    <row r="3232">
      <c r="A3232" s="9"/>
      <c r="B3232" s="15"/>
      <c r="C3232" s="9">
        <f>IFERROR(__xludf.DUMMYFUNCTION("""COMPUTED_VALUE"""),45110.8325770486)</f>
        <v>45110.83258</v>
      </c>
      <c r="D3232" s="15">
        <f>IFERROR(__xludf.DUMMYFUNCTION("""COMPUTED_VALUE"""),1.004)</f>
        <v>1.004</v>
      </c>
      <c r="E3232" s="16">
        <f>IFERROR(__xludf.DUMMYFUNCTION("""COMPUTED_VALUE"""),71.0)</f>
        <v>71</v>
      </c>
      <c r="F3232" s="19" t="str">
        <f>IFERROR(__xludf.DUMMYFUNCTION("""COMPUTED_VALUE"""),"BLACK")</f>
        <v>BLACK</v>
      </c>
      <c r="G3232" s="20" t="str">
        <f>IFERROR(__xludf.DUMMYFUNCTION("""COMPUTED_VALUE"""),"Uncle Sams Cider (04/04/2023)")</f>
        <v>Uncle Sams Cider (04/04/2023)</v>
      </c>
      <c r="H3232" s="19"/>
    </row>
    <row r="3233">
      <c r="A3233" s="9"/>
      <c r="B3233" s="15"/>
      <c r="C3233" s="9">
        <f>IFERROR(__xludf.DUMMYFUNCTION("""COMPUTED_VALUE"""),45110.8221571875)</f>
        <v>45110.82216</v>
      </c>
      <c r="D3233" s="15">
        <f>IFERROR(__xludf.DUMMYFUNCTION("""COMPUTED_VALUE"""),1.004)</f>
        <v>1.004</v>
      </c>
      <c r="E3233" s="16">
        <f>IFERROR(__xludf.DUMMYFUNCTION("""COMPUTED_VALUE"""),71.0)</f>
        <v>71</v>
      </c>
      <c r="F3233" s="19" t="str">
        <f>IFERROR(__xludf.DUMMYFUNCTION("""COMPUTED_VALUE"""),"BLACK")</f>
        <v>BLACK</v>
      </c>
      <c r="G3233" s="20" t="str">
        <f>IFERROR(__xludf.DUMMYFUNCTION("""COMPUTED_VALUE"""),"Uncle Sams Cider (04/04/2023)")</f>
        <v>Uncle Sams Cider (04/04/2023)</v>
      </c>
      <c r="H3233" s="19"/>
    </row>
    <row r="3234">
      <c r="A3234" s="9"/>
      <c r="B3234" s="15"/>
      <c r="C3234" s="9">
        <f>IFERROR(__xludf.DUMMYFUNCTION("""COMPUTED_VALUE"""),45110.8117254282)</f>
        <v>45110.81173</v>
      </c>
      <c r="D3234" s="15">
        <f>IFERROR(__xludf.DUMMYFUNCTION("""COMPUTED_VALUE"""),1.004)</f>
        <v>1.004</v>
      </c>
      <c r="E3234" s="16">
        <f>IFERROR(__xludf.DUMMYFUNCTION("""COMPUTED_VALUE"""),71.0)</f>
        <v>71</v>
      </c>
      <c r="F3234" s="19" t="str">
        <f>IFERROR(__xludf.DUMMYFUNCTION("""COMPUTED_VALUE"""),"BLACK")</f>
        <v>BLACK</v>
      </c>
      <c r="G3234" s="20" t="str">
        <f>IFERROR(__xludf.DUMMYFUNCTION("""COMPUTED_VALUE"""),"Uncle Sams Cider (04/04/2023)")</f>
        <v>Uncle Sams Cider (04/04/2023)</v>
      </c>
      <c r="H3234" s="19"/>
    </row>
    <row r="3235">
      <c r="A3235" s="9"/>
      <c r="B3235" s="15"/>
      <c r="C3235" s="9">
        <f>IFERROR(__xludf.DUMMYFUNCTION("""COMPUTED_VALUE"""),45110.801303206)</f>
        <v>45110.8013</v>
      </c>
      <c r="D3235" s="15">
        <f>IFERROR(__xludf.DUMMYFUNCTION("""COMPUTED_VALUE"""),1.004)</f>
        <v>1.004</v>
      </c>
      <c r="E3235" s="16">
        <f>IFERROR(__xludf.DUMMYFUNCTION("""COMPUTED_VALUE"""),71.0)</f>
        <v>71</v>
      </c>
      <c r="F3235" s="19" t="str">
        <f>IFERROR(__xludf.DUMMYFUNCTION("""COMPUTED_VALUE"""),"BLACK")</f>
        <v>BLACK</v>
      </c>
      <c r="G3235" s="20" t="str">
        <f>IFERROR(__xludf.DUMMYFUNCTION("""COMPUTED_VALUE"""),"Uncle Sams Cider (04/04/2023)")</f>
        <v>Uncle Sams Cider (04/04/2023)</v>
      </c>
      <c r="H3235" s="19"/>
    </row>
    <row r="3236">
      <c r="A3236" s="9"/>
      <c r="B3236" s="15"/>
      <c r="C3236" s="9">
        <f>IFERROR(__xludf.DUMMYFUNCTION("""COMPUTED_VALUE"""),45110.7908830555)</f>
        <v>45110.79088</v>
      </c>
      <c r="D3236" s="15">
        <f>IFERROR(__xludf.DUMMYFUNCTION("""COMPUTED_VALUE"""),1.004)</f>
        <v>1.004</v>
      </c>
      <c r="E3236" s="16">
        <f>IFERROR(__xludf.DUMMYFUNCTION("""COMPUTED_VALUE"""),71.0)</f>
        <v>71</v>
      </c>
      <c r="F3236" s="19" t="str">
        <f>IFERROR(__xludf.DUMMYFUNCTION("""COMPUTED_VALUE"""),"BLACK")</f>
        <v>BLACK</v>
      </c>
      <c r="G3236" s="20" t="str">
        <f>IFERROR(__xludf.DUMMYFUNCTION("""COMPUTED_VALUE"""),"Uncle Sams Cider (04/04/2023)")</f>
        <v>Uncle Sams Cider (04/04/2023)</v>
      </c>
      <c r="H3236" s="19"/>
    </row>
    <row r="3237">
      <c r="A3237" s="9"/>
      <c r="B3237" s="15"/>
      <c r="C3237" s="9">
        <f>IFERROR(__xludf.DUMMYFUNCTION("""COMPUTED_VALUE"""),45110.7804508912)</f>
        <v>45110.78045</v>
      </c>
      <c r="D3237" s="15">
        <f>IFERROR(__xludf.DUMMYFUNCTION("""COMPUTED_VALUE"""),1.004)</f>
        <v>1.004</v>
      </c>
      <c r="E3237" s="16">
        <f>IFERROR(__xludf.DUMMYFUNCTION("""COMPUTED_VALUE"""),71.0)</f>
        <v>71</v>
      </c>
      <c r="F3237" s="19" t="str">
        <f>IFERROR(__xludf.DUMMYFUNCTION("""COMPUTED_VALUE"""),"BLACK")</f>
        <v>BLACK</v>
      </c>
      <c r="G3237" s="20" t="str">
        <f>IFERROR(__xludf.DUMMYFUNCTION("""COMPUTED_VALUE"""),"Uncle Sams Cider (04/04/2023)")</f>
        <v>Uncle Sams Cider (04/04/2023)</v>
      </c>
      <c r="H3237" s="19"/>
    </row>
    <row r="3238">
      <c r="A3238" s="9"/>
      <c r="B3238" s="15"/>
      <c r="C3238" s="9">
        <f>IFERROR(__xludf.DUMMYFUNCTION("""COMPUTED_VALUE"""),45110.7700300347)</f>
        <v>45110.77003</v>
      </c>
      <c r="D3238" s="15">
        <f>IFERROR(__xludf.DUMMYFUNCTION("""COMPUTED_VALUE"""),1.004)</f>
        <v>1.004</v>
      </c>
      <c r="E3238" s="16">
        <f>IFERROR(__xludf.DUMMYFUNCTION("""COMPUTED_VALUE"""),71.0)</f>
        <v>71</v>
      </c>
      <c r="F3238" s="19" t="str">
        <f>IFERROR(__xludf.DUMMYFUNCTION("""COMPUTED_VALUE"""),"BLACK")</f>
        <v>BLACK</v>
      </c>
      <c r="G3238" s="20" t="str">
        <f>IFERROR(__xludf.DUMMYFUNCTION("""COMPUTED_VALUE"""),"Uncle Sams Cider (04/04/2023)")</f>
        <v>Uncle Sams Cider (04/04/2023)</v>
      </c>
      <c r="H3238" s="19"/>
    </row>
    <row r="3239">
      <c r="A3239" s="9"/>
      <c r="B3239" s="15"/>
      <c r="C3239" s="9">
        <f>IFERROR(__xludf.DUMMYFUNCTION("""COMPUTED_VALUE"""),45110.759607824)</f>
        <v>45110.75961</v>
      </c>
      <c r="D3239" s="15">
        <f>IFERROR(__xludf.DUMMYFUNCTION("""COMPUTED_VALUE"""),1.004)</f>
        <v>1.004</v>
      </c>
      <c r="E3239" s="16">
        <f>IFERROR(__xludf.DUMMYFUNCTION("""COMPUTED_VALUE"""),71.0)</f>
        <v>71</v>
      </c>
      <c r="F3239" s="19" t="str">
        <f>IFERROR(__xludf.DUMMYFUNCTION("""COMPUTED_VALUE"""),"BLACK")</f>
        <v>BLACK</v>
      </c>
      <c r="G3239" s="20" t="str">
        <f>IFERROR(__xludf.DUMMYFUNCTION("""COMPUTED_VALUE"""),"Uncle Sams Cider (04/04/2023)")</f>
        <v>Uncle Sams Cider (04/04/2023)</v>
      </c>
      <c r="H3239" s="19"/>
    </row>
    <row r="3240">
      <c r="A3240" s="9"/>
      <c r="B3240" s="15"/>
      <c r="C3240" s="9">
        <f>IFERROR(__xludf.DUMMYFUNCTION("""COMPUTED_VALUE"""),45110.7491867708)</f>
        <v>45110.74919</v>
      </c>
      <c r="D3240" s="15">
        <f>IFERROR(__xludf.DUMMYFUNCTION("""COMPUTED_VALUE"""),1.004)</f>
        <v>1.004</v>
      </c>
      <c r="E3240" s="16">
        <f>IFERROR(__xludf.DUMMYFUNCTION("""COMPUTED_VALUE"""),71.0)</f>
        <v>71</v>
      </c>
      <c r="F3240" s="19" t="str">
        <f>IFERROR(__xludf.DUMMYFUNCTION("""COMPUTED_VALUE"""),"BLACK")</f>
        <v>BLACK</v>
      </c>
      <c r="G3240" s="20" t="str">
        <f>IFERROR(__xludf.DUMMYFUNCTION("""COMPUTED_VALUE"""),"Uncle Sams Cider (04/04/2023)")</f>
        <v>Uncle Sams Cider (04/04/2023)</v>
      </c>
      <c r="H3240" s="19"/>
    </row>
    <row r="3241">
      <c r="A3241" s="9"/>
      <c r="B3241" s="15"/>
      <c r="C3241" s="9">
        <f>IFERROR(__xludf.DUMMYFUNCTION("""COMPUTED_VALUE"""),45110.7387528472)</f>
        <v>45110.73875</v>
      </c>
      <c r="D3241" s="15">
        <f>IFERROR(__xludf.DUMMYFUNCTION("""COMPUTED_VALUE"""),1.004)</f>
        <v>1.004</v>
      </c>
      <c r="E3241" s="16">
        <f>IFERROR(__xludf.DUMMYFUNCTION("""COMPUTED_VALUE"""),71.0)</f>
        <v>71</v>
      </c>
      <c r="F3241" s="19" t="str">
        <f>IFERROR(__xludf.DUMMYFUNCTION("""COMPUTED_VALUE"""),"BLACK")</f>
        <v>BLACK</v>
      </c>
      <c r="G3241" s="20" t="str">
        <f>IFERROR(__xludf.DUMMYFUNCTION("""COMPUTED_VALUE"""),"Uncle Sams Cider (04/04/2023)")</f>
        <v>Uncle Sams Cider (04/04/2023)</v>
      </c>
      <c r="H3241" s="19"/>
    </row>
    <row r="3242">
      <c r="A3242" s="9"/>
      <c r="B3242" s="15"/>
      <c r="C3242" s="9">
        <f>IFERROR(__xludf.DUMMYFUNCTION("""COMPUTED_VALUE"""),45110.7283316551)</f>
        <v>45110.72833</v>
      </c>
      <c r="D3242" s="15">
        <f>IFERROR(__xludf.DUMMYFUNCTION("""COMPUTED_VALUE"""),1.004)</f>
        <v>1.004</v>
      </c>
      <c r="E3242" s="16">
        <f>IFERROR(__xludf.DUMMYFUNCTION("""COMPUTED_VALUE"""),71.0)</f>
        <v>71</v>
      </c>
      <c r="F3242" s="19" t="str">
        <f>IFERROR(__xludf.DUMMYFUNCTION("""COMPUTED_VALUE"""),"BLACK")</f>
        <v>BLACK</v>
      </c>
      <c r="G3242" s="20" t="str">
        <f>IFERROR(__xludf.DUMMYFUNCTION("""COMPUTED_VALUE"""),"Uncle Sams Cider (04/04/2023)")</f>
        <v>Uncle Sams Cider (04/04/2023)</v>
      </c>
      <c r="H3242" s="19"/>
    </row>
    <row r="3243">
      <c r="A3243" s="9"/>
      <c r="B3243" s="15"/>
      <c r="C3243" s="9">
        <f>IFERROR(__xludf.DUMMYFUNCTION("""COMPUTED_VALUE"""),45110.7178875115)</f>
        <v>45110.71789</v>
      </c>
      <c r="D3243" s="15">
        <f>IFERROR(__xludf.DUMMYFUNCTION("""COMPUTED_VALUE"""),1.004)</f>
        <v>1.004</v>
      </c>
      <c r="E3243" s="16">
        <f>IFERROR(__xludf.DUMMYFUNCTION("""COMPUTED_VALUE"""),71.0)</f>
        <v>71</v>
      </c>
      <c r="F3243" s="19" t="str">
        <f>IFERROR(__xludf.DUMMYFUNCTION("""COMPUTED_VALUE"""),"BLACK")</f>
        <v>BLACK</v>
      </c>
      <c r="G3243" s="20" t="str">
        <f>IFERROR(__xludf.DUMMYFUNCTION("""COMPUTED_VALUE"""),"Uncle Sams Cider (04/04/2023)")</f>
        <v>Uncle Sams Cider (04/04/2023)</v>
      </c>
      <c r="H3243" s="19"/>
    </row>
    <row r="3244">
      <c r="A3244" s="9"/>
      <c r="B3244" s="15"/>
      <c r="C3244" s="9">
        <f>IFERROR(__xludf.DUMMYFUNCTION("""COMPUTED_VALUE"""),45110.707464618)</f>
        <v>45110.70746</v>
      </c>
      <c r="D3244" s="15">
        <f>IFERROR(__xludf.DUMMYFUNCTION("""COMPUTED_VALUE"""),1.004)</f>
        <v>1.004</v>
      </c>
      <c r="E3244" s="16">
        <f>IFERROR(__xludf.DUMMYFUNCTION("""COMPUTED_VALUE"""),71.0)</f>
        <v>71</v>
      </c>
      <c r="F3244" s="19" t="str">
        <f>IFERROR(__xludf.DUMMYFUNCTION("""COMPUTED_VALUE"""),"BLACK")</f>
        <v>BLACK</v>
      </c>
      <c r="G3244" s="20" t="str">
        <f>IFERROR(__xludf.DUMMYFUNCTION("""COMPUTED_VALUE"""),"Uncle Sams Cider (04/04/2023)")</f>
        <v>Uncle Sams Cider (04/04/2023)</v>
      </c>
      <c r="H3244" s="19"/>
    </row>
    <row r="3245">
      <c r="A3245" s="9"/>
      <c r="B3245" s="15"/>
      <c r="C3245" s="9">
        <f>IFERROR(__xludf.DUMMYFUNCTION("""COMPUTED_VALUE"""),45110.6970206481)</f>
        <v>45110.69702</v>
      </c>
      <c r="D3245" s="15">
        <f>IFERROR(__xludf.DUMMYFUNCTION("""COMPUTED_VALUE"""),1.004)</f>
        <v>1.004</v>
      </c>
      <c r="E3245" s="16">
        <f>IFERROR(__xludf.DUMMYFUNCTION("""COMPUTED_VALUE"""),71.0)</f>
        <v>71</v>
      </c>
      <c r="F3245" s="19" t="str">
        <f>IFERROR(__xludf.DUMMYFUNCTION("""COMPUTED_VALUE"""),"BLACK")</f>
        <v>BLACK</v>
      </c>
      <c r="G3245" s="20" t="str">
        <f>IFERROR(__xludf.DUMMYFUNCTION("""COMPUTED_VALUE"""),"Uncle Sams Cider (04/04/2023)")</f>
        <v>Uncle Sams Cider (04/04/2023)</v>
      </c>
      <c r="H3245" s="19"/>
    </row>
    <row r="3246">
      <c r="A3246" s="9"/>
      <c r="B3246" s="15"/>
      <c r="C3246" s="9">
        <f>IFERROR(__xludf.DUMMYFUNCTION("""COMPUTED_VALUE"""),45110.6866008564)</f>
        <v>45110.6866</v>
      </c>
      <c r="D3246" s="15">
        <f>IFERROR(__xludf.DUMMYFUNCTION("""COMPUTED_VALUE"""),1.004)</f>
        <v>1.004</v>
      </c>
      <c r="E3246" s="16">
        <f>IFERROR(__xludf.DUMMYFUNCTION("""COMPUTED_VALUE"""),71.0)</f>
        <v>71</v>
      </c>
      <c r="F3246" s="19" t="str">
        <f>IFERROR(__xludf.DUMMYFUNCTION("""COMPUTED_VALUE"""),"BLACK")</f>
        <v>BLACK</v>
      </c>
      <c r="G3246" s="20" t="str">
        <f>IFERROR(__xludf.DUMMYFUNCTION("""COMPUTED_VALUE"""),"Uncle Sams Cider (04/04/2023)")</f>
        <v>Uncle Sams Cider (04/04/2023)</v>
      </c>
      <c r="H3246" s="19"/>
    </row>
    <row r="3247">
      <c r="A3247" s="9"/>
      <c r="B3247" s="15"/>
      <c r="C3247" s="9">
        <f>IFERROR(__xludf.DUMMYFUNCTION("""COMPUTED_VALUE"""),45110.6761788541)</f>
        <v>45110.67618</v>
      </c>
      <c r="D3247" s="15">
        <f>IFERROR(__xludf.DUMMYFUNCTION("""COMPUTED_VALUE"""),1.004)</f>
        <v>1.004</v>
      </c>
      <c r="E3247" s="16">
        <f>IFERROR(__xludf.DUMMYFUNCTION("""COMPUTED_VALUE"""),71.0)</f>
        <v>71</v>
      </c>
      <c r="F3247" s="19" t="str">
        <f>IFERROR(__xludf.DUMMYFUNCTION("""COMPUTED_VALUE"""),"BLACK")</f>
        <v>BLACK</v>
      </c>
      <c r="G3247" s="20" t="str">
        <f>IFERROR(__xludf.DUMMYFUNCTION("""COMPUTED_VALUE"""),"Uncle Sams Cider (04/04/2023)")</f>
        <v>Uncle Sams Cider (04/04/2023)</v>
      </c>
      <c r="H3247" s="19"/>
    </row>
    <row r="3248">
      <c r="A3248" s="9"/>
      <c r="B3248" s="15"/>
      <c r="C3248" s="9">
        <f>IFERROR(__xludf.DUMMYFUNCTION("""COMPUTED_VALUE"""),45110.6657471759)</f>
        <v>45110.66575</v>
      </c>
      <c r="D3248" s="15">
        <f>IFERROR(__xludf.DUMMYFUNCTION("""COMPUTED_VALUE"""),1.004)</f>
        <v>1.004</v>
      </c>
      <c r="E3248" s="16">
        <f>IFERROR(__xludf.DUMMYFUNCTION("""COMPUTED_VALUE"""),71.0)</f>
        <v>71</v>
      </c>
      <c r="F3248" s="19" t="str">
        <f>IFERROR(__xludf.DUMMYFUNCTION("""COMPUTED_VALUE"""),"BLACK")</f>
        <v>BLACK</v>
      </c>
      <c r="G3248" s="20" t="str">
        <f>IFERROR(__xludf.DUMMYFUNCTION("""COMPUTED_VALUE"""),"Uncle Sams Cider (04/04/2023)")</f>
        <v>Uncle Sams Cider (04/04/2023)</v>
      </c>
      <c r="H3248" s="19"/>
    </row>
    <row r="3249">
      <c r="A3249" s="9"/>
      <c r="B3249" s="15"/>
      <c r="C3249" s="9">
        <f>IFERROR(__xludf.DUMMYFUNCTION("""COMPUTED_VALUE"""),45110.6553254861)</f>
        <v>45110.65533</v>
      </c>
      <c r="D3249" s="15">
        <f>IFERROR(__xludf.DUMMYFUNCTION("""COMPUTED_VALUE"""),1.004)</f>
        <v>1.004</v>
      </c>
      <c r="E3249" s="16">
        <f>IFERROR(__xludf.DUMMYFUNCTION("""COMPUTED_VALUE"""),71.0)</f>
        <v>71</v>
      </c>
      <c r="F3249" s="19" t="str">
        <f>IFERROR(__xludf.DUMMYFUNCTION("""COMPUTED_VALUE"""),"BLACK")</f>
        <v>BLACK</v>
      </c>
      <c r="G3249" s="20" t="str">
        <f>IFERROR(__xludf.DUMMYFUNCTION("""COMPUTED_VALUE"""),"Uncle Sams Cider (04/04/2023)")</f>
        <v>Uncle Sams Cider (04/04/2023)</v>
      </c>
      <c r="H3249" s="19"/>
    </row>
    <row r="3250">
      <c r="A3250" s="9"/>
      <c r="B3250" s="15"/>
      <c r="C3250" s="9">
        <f>IFERROR(__xludf.DUMMYFUNCTION("""COMPUTED_VALUE"""),45110.6449036574)</f>
        <v>45110.6449</v>
      </c>
      <c r="D3250" s="15">
        <f>IFERROR(__xludf.DUMMYFUNCTION("""COMPUTED_VALUE"""),1.004)</f>
        <v>1.004</v>
      </c>
      <c r="E3250" s="16">
        <f>IFERROR(__xludf.DUMMYFUNCTION("""COMPUTED_VALUE"""),71.0)</f>
        <v>71</v>
      </c>
      <c r="F3250" s="19" t="str">
        <f>IFERROR(__xludf.DUMMYFUNCTION("""COMPUTED_VALUE"""),"BLACK")</f>
        <v>BLACK</v>
      </c>
      <c r="G3250" s="20" t="str">
        <f>IFERROR(__xludf.DUMMYFUNCTION("""COMPUTED_VALUE"""),"Uncle Sams Cider (04/04/2023)")</f>
        <v>Uncle Sams Cider (04/04/2023)</v>
      </c>
      <c r="H3250" s="19"/>
    </row>
    <row r="3251">
      <c r="A3251" s="9"/>
      <c r="B3251" s="15"/>
      <c r="C3251" s="9">
        <f>IFERROR(__xludf.DUMMYFUNCTION("""COMPUTED_VALUE"""),45110.6344711805)</f>
        <v>45110.63447</v>
      </c>
      <c r="D3251" s="15">
        <f>IFERROR(__xludf.DUMMYFUNCTION("""COMPUTED_VALUE"""),1.004)</f>
        <v>1.004</v>
      </c>
      <c r="E3251" s="16">
        <f>IFERROR(__xludf.DUMMYFUNCTION("""COMPUTED_VALUE"""),71.0)</f>
        <v>71</v>
      </c>
      <c r="F3251" s="19" t="str">
        <f>IFERROR(__xludf.DUMMYFUNCTION("""COMPUTED_VALUE"""),"BLACK")</f>
        <v>BLACK</v>
      </c>
      <c r="G3251" s="20" t="str">
        <f>IFERROR(__xludf.DUMMYFUNCTION("""COMPUTED_VALUE"""),"Uncle Sams Cider (04/04/2023)")</f>
        <v>Uncle Sams Cider (04/04/2023)</v>
      </c>
      <c r="H3251" s="19"/>
    </row>
    <row r="3252">
      <c r="A3252" s="9"/>
      <c r="B3252" s="15"/>
      <c r="C3252" s="9">
        <f>IFERROR(__xludf.DUMMYFUNCTION("""COMPUTED_VALUE"""),45110.6240499421)</f>
        <v>45110.62405</v>
      </c>
      <c r="D3252" s="15">
        <f>IFERROR(__xludf.DUMMYFUNCTION("""COMPUTED_VALUE"""),1.004)</f>
        <v>1.004</v>
      </c>
      <c r="E3252" s="16">
        <f>IFERROR(__xludf.DUMMYFUNCTION("""COMPUTED_VALUE"""),71.0)</f>
        <v>71</v>
      </c>
      <c r="F3252" s="19" t="str">
        <f>IFERROR(__xludf.DUMMYFUNCTION("""COMPUTED_VALUE"""),"BLACK")</f>
        <v>BLACK</v>
      </c>
      <c r="G3252" s="20" t="str">
        <f>IFERROR(__xludf.DUMMYFUNCTION("""COMPUTED_VALUE"""),"Uncle Sams Cider (04/04/2023)")</f>
        <v>Uncle Sams Cider (04/04/2023)</v>
      </c>
      <c r="H3252" s="19"/>
    </row>
    <row r="3253">
      <c r="A3253" s="9"/>
      <c r="B3253" s="15"/>
      <c r="C3253" s="9">
        <f>IFERROR(__xludf.DUMMYFUNCTION("""COMPUTED_VALUE"""),45110.6136162847)</f>
        <v>45110.61362</v>
      </c>
      <c r="D3253" s="15">
        <f>IFERROR(__xludf.DUMMYFUNCTION("""COMPUTED_VALUE"""),1.004)</f>
        <v>1.004</v>
      </c>
      <c r="E3253" s="16">
        <f>IFERROR(__xludf.DUMMYFUNCTION("""COMPUTED_VALUE"""),71.0)</f>
        <v>71</v>
      </c>
      <c r="F3253" s="19" t="str">
        <f>IFERROR(__xludf.DUMMYFUNCTION("""COMPUTED_VALUE"""),"BLACK")</f>
        <v>BLACK</v>
      </c>
      <c r="G3253" s="20" t="str">
        <f>IFERROR(__xludf.DUMMYFUNCTION("""COMPUTED_VALUE"""),"Uncle Sams Cider (04/04/2023)")</f>
        <v>Uncle Sams Cider (04/04/2023)</v>
      </c>
      <c r="H3253" s="19"/>
    </row>
    <row r="3254">
      <c r="A3254" s="9"/>
      <c r="B3254" s="15"/>
      <c r="C3254" s="9">
        <f>IFERROR(__xludf.DUMMYFUNCTION("""COMPUTED_VALUE"""),45110.6031823611)</f>
        <v>45110.60318</v>
      </c>
      <c r="D3254" s="15">
        <f>IFERROR(__xludf.DUMMYFUNCTION("""COMPUTED_VALUE"""),1.004)</f>
        <v>1.004</v>
      </c>
      <c r="E3254" s="16">
        <f>IFERROR(__xludf.DUMMYFUNCTION("""COMPUTED_VALUE"""),71.0)</f>
        <v>71</v>
      </c>
      <c r="F3254" s="19" t="str">
        <f>IFERROR(__xludf.DUMMYFUNCTION("""COMPUTED_VALUE"""),"BLACK")</f>
        <v>BLACK</v>
      </c>
      <c r="G3254" s="20" t="str">
        <f>IFERROR(__xludf.DUMMYFUNCTION("""COMPUTED_VALUE"""),"Uncle Sams Cider (04/04/2023)")</f>
        <v>Uncle Sams Cider (04/04/2023)</v>
      </c>
      <c r="H3254" s="19"/>
    </row>
    <row r="3255">
      <c r="A3255" s="9"/>
      <c r="B3255" s="15"/>
      <c r="C3255" s="9">
        <f>IFERROR(__xludf.DUMMYFUNCTION("""COMPUTED_VALUE"""),45110.5927380439)</f>
        <v>45110.59274</v>
      </c>
      <c r="D3255" s="15">
        <f>IFERROR(__xludf.DUMMYFUNCTION("""COMPUTED_VALUE"""),1.004)</f>
        <v>1.004</v>
      </c>
      <c r="E3255" s="16">
        <f>IFERROR(__xludf.DUMMYFUNCTION("""COMPUTED_VALUE"""),71.0)</f>
        <v>71</v>
      </c>
      <c r="F3255" s="19" t="str">
        <f>IFERROR(__xludf.DUMMYFUNCTION("""COMPUTED_VALUE"""),"BLACK")</f>
        <v>BLACK</v>
      </c>
      <c r="G3255" s="20" t="str">
        <f>IFERROR(__xludf.DUMMYFUNCTION("""COMPUTED_VALUE"""),"Uncle Sams Cider (04/04/2023)")</f>
        <v>Uncle Sams Cider (04/04/2023)</v>
      </c>
      <c r="H3255" s="19"/>
    </row>
    <row r="3256">
      <c r="A3256" s="9"/>
      <c r="B3256" s="15"/>
      <c r="C3256" s="9">
        <f>IFERROR(__xludf.DUMMYFUNCTION("""COMPUTED_VALUE"""),45110.5823159722)</f>
        <v>45110.58232</v>
      </c>
      <c r="D3256" s="15">
        <f>IFERROR(__xludf.DUMMYFUNCTION("""COMPUTED_VALUE"""),1.004)</f>
        <v>1.004</v>
      </c>
      <c r="E3256" s="16">
        <f>IFERROR(__xludf.DUMMYFUNCTION("""COMPUTED_VALUE"""),71.0)</f>
        <v>71</v>
      </c>
      <c r="F3256" s="19" t="str">
        <f>IFERROR(__xludf.DUMMYFUNCTION("""COMPUTED_VALUE"""),"BLACK")</f>
        <v>BLACK</v>
      </c>
      <c r="G3256" s="20" t="str">
        <f>IFERROR(__xludf.DUMMYFUNCTION("""COMPUTED_VALUE"""),"Uncle Sams Cider (04/04/2023)")</f>
        <v>Uncle Sams Cider (04/04/2023)</v>
      </c>
      <c r="H3256" s="19"/>
    </row>
    <row r="3257">
      <c r="A3257" s="9"/>
      <c r="B3257" s="15"/>
      <c r="C3257" s="9">
        <f>IFERROR(__xludf.DUMMYFUNCTION("""COMPUTED_VALUE"""),45110.5718951967)</f>
        <v>45110.5719</v>
      </c>
      <c r="D3257" s="15">
        <f>IFERROR(__xludf.DUMMYFUNCTION("""COMPUTED_VALUE"""),1.004)</f>
        <v>1.004</v>
      </c>
      <c r="E3257" s="16">
        <f>IFERROR(__xludf.DUMMYFUNCTION("""COMPUTED_VALUE"""),71.0)</f>
        <v>71</v>
      </c>
      <c r="F3257" s="19" t="str">
        <f>IFERROR(__xludf.DUMMYFUNCTION("""COMPUTED_VALUE"""),"BLACK")</f>
        <v>BLACK</v>
      </c>
      <c r="G3257" s="20" t="str">
        <f>IFERROR(__xludf.DUMMYFUNCTION("""COMPUTED_VALUE"""),"Uncle Sams Cider (04/04/2023)")</f>
        <v>Uncle Sams Cider (04/04/2023)</v>
      </c>
      <c r="H3257" s="19"/>
    </row>
    <row r="3258">
      <c r="A3258" s="9"/>
      <c r="B3258" s="15"/>
      <c r="C3258" s="9">
        <f>IFERROR(__xludf.DUMMYFUNCTION("""COMPUTED_VALUE"""),45110.5614740509)</f>
        <v>45110.56147</v>
      </c>
      <c r="D3258" s="15">
        <f>IFERROR(__xludf.DUMMYFUNCTION("""COMPUTED_VALUE"""),1.004)</f>
        <v>1.004</v>
      </c>
      <c r="E3258" s="16">
        <f>IFERROR(__xludf.DUMMYFUNCTION("""COMPUTED_VALUE"""),71.0)</f>
        <v>71</v>
      </c>
      <c r="F3258" s="19" t="str">
        <f>IFERROR(__xludf.DUMMYFUNCTION("""COMPUTED_VALUE"""),"BLACK")</f>
        <v>BLACK</v>
      </c>
      <c r="G3258" s="20" t="str">
        <f>IFERROR(__xludf.DUMMYFUNCTION("""COMPUTED_VALUE"""),"Uncle Sams Cider (04/04/2023)")</f>
        <v>Uncle Sams Cider (04/04/2023)</v>
      </c>
      <c r="H3258" s="19"/>
    </row>
    <row r="3259">
      <c r="A3259" s="9"/>
      <c r="B3259" s="15"/>
      <c r="C3259" s="9">
        <f>IFERROR(__xludf.DUMMYFUNCTION("""COMPUTED_VALUE"""),45110.5510522916)</f>
        <v>45110.55105</v>
      </c>
      <c r="D3259" s="15">
        <f>IFERROR(__xludf.DUMMYFUNCTION("""COMPUTED_VALUE"""),1.004)</f>
        <v>1.004</v>
      </c>
      <c r="E3259" s="16">
        <f>IFERROR(__xludf.DUMMYFUNCTION("""COMPUTED_VALUE"""),71.0)</f>
        <v>71</v>
      </c>
      <c r="F3259" s="19" t="str">
        <f>IFERROR(__xludf.DUMMYFUNCTION("""COMPUTED_VALUE"""),"BLACK")</f>
        <v>BLACK</v>
      </c>
      <c r="G3259" s="20" t="str">
        <f>IFERROR(__xludf.DUMMYFUNCTION("""COMPUTED_VALUE"""),"Uncle Sams Cider (04/04/2023)")</f>
        <v>Uncle Sams Cider (04/04/2023)</v>
      </c>
      <c r="H3259" s="19"/>
    </row>
    <row r="3260">
      <c r="A3260" s="9"/>
      <c r="B3260" s="15"/>
      <c r="C3260" s="9">
        <f>IFERROR(__xludf.DUMMYFUNCTION("""COMPUTED_VALUE"""),45110.5406314004)</f>
        <v>45110.54063</v>
      </c>
      <c r="D3260" s="15">
        <f>IFERROR(__xludf.DUMMYFUNCTION("""COMPUTED_VALUE"""),1.004)</f>
        <v>1.004</v>
      </c>
      <c r="E3260" s="16">
        <f>IFERROR(__xludf.DUMMYFUNCTION("""COMPUTED_VALUE"""),71.0)</f>
        <v>71</v>
      </c>
      <c r="F3260" s="19" t="str">
        <f>IFERROR(__xludf.DUMMYFUNCTION("""COMPUTED_VALUE"""),"BLACK")</f>
        <v>BLACK</v>
      </c>
      <c r="G3260" s="20" t="str">
        <f>IFERROR(__xludf.DUMMYFUNCTION("""COMPUTED_VALUE"""),"Uncle Sams Cider (04/04/2023)")</f>
        <v>Uncle Sams Cider (04/04/2023)</v>
      </c>
      <c r="H3260" s="19"/>
    </row>
    <row r="3261">
      <c r="A3261" s="9"/>
      <c r="B3261" s="15"/>
      <c r="C3261" s="9">
        <f>IFERROR(__xludf.DUMMYFUNCTION("""COMPUTED_VALUE"""),45110.5302091203)</f>
        <v>45110.53021</v>
      </c>
      <c r="D3261" s="15">
        <f>IFERROR(__xludf.DUMMYFUNCTION("""COMPUTED_VALUE"""),1.004)</f>
        <v>1.004</v>
      </c>
      <c r="E3261" s="16">
        <f>IFERROR(__xludf.DUMMYFUNCTION("""COMPUTED_VALUE"""),71.0)</f>
        <v>71</v>
      </c>
      <c r="F3261" s="19" t="str">
        <f>IFERROR(__xludf.DUMMYFUNCTION("""COMPUTED_VALUE"""),"BLACK")</f>
        <v>BLACK</v>
      </c>
      <c r="G3261" s="20" t="str">
        <f>IFERROR(__xludf.DUMMYFUNCTION("""COMPUTED_VALUE"""),"Uncle Sams Cider (04/04/2023)")</f>
        <v>Uncle Sams Cider (04/04/2023)</v>
      </c>
      <c r="H3261" s="19"/>
    </row>
    <row r="3262">
      <c r="A3262" s="9"/>
      <c r="B3262" s="15"/>
      <c r="C3262" s="9">
        <f>IFERROR(__xludf.DUMMYFUNCTION("""COMPUTED_VALUE"""),45110.5197636111)</f>
        <v>45110.51976</v>
      </c>
      <c r="D3262" s="15">
        <f>IFERROR(__xludf.DUMMYFUNCTION("""COMPUTED_VALUE"""),1.004)</f>
        <v>1.004</v>
      </c>
      <c r="E3262" s="16">
        <f>IFERROR(__xludf.DUMMYFUNCTION("""COMPUTED_VALUE"""),71.0)</f>
        <v>71</v>
      </c>
      <c r="F3262" s="19" t="str">
        <f>IFERROR(__xludf.DUMMYFUNCTION("""COMPUTED_VALUE"""),"BLACK")</f>
        <v>BLACK</v>
      </c>
      <c r="G3262" s="20" t="str">
        <f>IFERROR(__xludf.DUMMYFUNCTION("""COMPUTED_VALUE"""),"Uncle Sams Cider (04/04/2023)")</f>
        <v>Uncle Sams Cider (04/04/2023)</v>
      </c>
      <c r="H3262" s="19"/>
    </row>
    <row r="3263">
      <c r="A3263" s="9"/>
      <c r="B3263" s="15"/>
      <c r="C3263" s="9">
        <f>IFERROR(__xludf.DUMMYFUNCTION("""COMPUTED_VALUE"""),45110.5093325347)</f>
        <v>45110.50933</v>
      </c>
      <c r="D3263" s="15">
        <f>IFERROR(__xludf.DUMMYFUNCTION("""COMPUTED_VALUE"""),1.004)</f>
        <v>1.004</v>
      </c>
      <c r="E3263" s="16">
        <f>IFERROR(__xludf.DUMMYFUNCTION("""COMPUTED_VALUE"""),71.0)</f>
        <v>71</v>
      </c>
      <c r="F3263" s="19" t="str">
        <f>IFERROR(__xludf.DUMMYFUNCTION("""COMPUTED_VALUE"""),"BLACK")</f>
        <v>BLACK</v>
      </c>
      <c r="G3263" s="20" t="str">
        <f>IFERROR(__xludf.DUMMYFUNCTION("""COMPUTED_VALUE"""),"Uncle Sams Cider (04/04/2023)")</f>
        <v>Uncle Sams Cider (04/04/2023)</v>
      </c>
      <c r="H3263" s="19"/>
    </row>
    <row r="3264">
      <c r="A3264" s="9"/>
      <c r="B3264" s="15"/>
      <c r="C3264" s="9">
        <f>IFERROR(__xludf.DUMMYFUNCTION("""COMPUTED_VALUE"""),45110.498912662)</f>
        <v>45110.49891</v>
      </c>
      <c r="D3264" s="15">
        <f>IFERROR(__xludf.DUMMYFUNCTION("""COMPUTED_VALUE"""),1.004)</f>
        <v>1.004</v>
      </c>
      <c r="E3264" s="16">
        <f>IFERROR(__xludf.DUMMYFUNCTION("""COMPUTED_VALUE"""),71.0)</f>
        <v>71</v>
      </c>
      <c r="F3264" s="19" t="str">
        <f>IFERROR(__xludf.DUMMYFUNCTION("""COMPUTED_VALUE"""),"BLACK")</f>
        <v>BLACK</v>
      </c>
      <c r="G3264" s="20" t="str">
        <f>IFERROR(__xludf.DUMMYFUNCTION("""COMPUTED_VALUE"""),"Uncle Sams Cider (04/04/2023)")</f>
        <v>Uncle Sams Cider (04/04/2023)</v>
      </c>
      <c r="H3264" s="19"/>
    </row>
    <row r="3265">
      <c r="A3265" s="9"/>
      <c r="B3265" s="15"/>
      <c r="C3265" s="9">
        <f>IFERROR(__xludf.DUMMYFUNCTION("""COMPUTED_VALUE"""),45110.488491875)</f>
        <v>45110.48849</v>
      </c>
      <c r="D3265" s="15">
        <f>IFERROR(__xludf.DUMMYFUNCTION("""COMPUTED_VALUE"""),1.004)</f>
        <v>1.004</v>
      </c>
      <c r="E3265" s="16">
        <f>IFERROR(__xludf.DUMMYFUNCTION("""COMPUTED_VALUE"""),71.0)</f>
        <v>71</v>
      </c>
      <c r="F3265" s="19" t="str">
        <f>IFERROR(__xludf.DUMMYFUNCTION("""COMPUTED_VALUE"""),"BLACK")</f>
        <v>BLACK</v>
      </c>
      <c r="G3265" s="20" t="str">
        <f>IFERROR(__xludf.DUMMYFUNCTION("""COMPUTED_VALUE"""),"Uncle Sams Cider (04/04/2023)")</f>
        <v>Uncle Sams Cider (04/04/2023)</v>
      </c>
      <c r="H3265" s="19"/>
    </row>
    <row r="3266">
      <c r="A3266" s="9"/>
      <c r="B3266" s="15"/>
      <c r="C3266" s="9">
        <f>IFERROR(__xludf.DUMMYFUNCTION("""COMPUTED_VALUE"""),45110.4780696296)</f>
        <v>45110.47807</v>
      </c>
      <c r="D3266" s="15">
        <f>IFERROR(__xludf.DUMMYFUNCTION("""COMPUTED_VALUE"""),1.004)</f>
        <v>1.004</v>
      </c>
      <c r="E3266" s="16">
        <f>IFERROR(__xludf.DUMMYFUNCTION("""COMPUTED_VALUE"""),71.0)</f>
        <v>71</v>
      </c>
      <c r="F3266" s="19" t="str">
        <f>IFERROR(__xludf.DUMMYFUNCTION("""COMPUTED_VALUE"""),"BLACK")</f>
        <v>BLACK</v>
      </c>
      <c r="G3266" s="20" t="str">
        <f>IFERROR(__xludf.DUMMYFUNCTION("""COMPUTED_VALUE"""),"Uncle Sams Cider (04/04/2023)")</f>
        <v>Uncle Sams Cider (04/04/2023)</v>
      </c>
      <c r="H3266" s="19"/>
    </row>
    <row r="3267">
      <c r="A3267" s="9"/>
      <c r="B3267" s="15"/>
      <c r="C3267" s="9">
        <f>IFERROR(__xludf.DUMMYFUNCTION("""COMPUTED_VALUE"""),45110.4676475115)</f>
        <v>45110.46765</v>
      </c>
      <c r="D3267" s="15">
        <f>IFERROR(__xludf.DUMMYFUNCTION("""COMPUTED_VALUE"""),1.004)</f>
        <v>1.004</v>
      </c>
      <c r="E3267" s="16">
        <f>IFERROR(__xludf.DUMMYFUNCTION("""COMPUTED_VALUE"""),71.0)</f>
        <v>71</v>
      </c>
      <c r="F3267" s="19" t="str">
        <f>IFERROR(__xludf.DUMMYFUNCTION("""COMPUTED_VALUE"""),"BLACK")</f>
        <v>BLACK</v>
      </c>
      <c r="G3267" s="20" t="str">
        <f>IFERROR(__xludf.DUMMYFUNCTION("""COMPUTED_VALUE"""),"Uncle Sams Cider (04/04/2023)")</f>
        <v>Uncle Sams Cider (04/04/2023)</v>
      </c>
      <c r="H3267" s="19"/>
    </row>
    <row r="3268">
      <c r="A3268" s="9"/>
      <c r="B3268" s="15"/>
      <c r="C3268" s="9">
        <f>IFERROR(__xludf.DUMMYFUNCTION("""COMPUTED_VALUE"""),45110.4572266088)</f>
        <v>45110.45723</v>
      </c>
      <c r="D3268" s="15">
        <f>IFERROR(__xludf.DUMMYFUNCTION("""COMPUTED_VALUE"""),1.004)</f>
        <v>1.004</v>
      </c>
      <c r="E3268" s="16">
        <f>IFERROR(__xludf.DUMMYFUNCTION("""COMPUTED_VALUE"""),71.0)</f>
        <v>71</v>
      </c>
      <c r="F3268" s="19" t="str">
        <f>IFERROR(__xludf.DUMMYFUNCTION("""COMPUTED_VALUE"""),"BLACK")</f>
        <v>BLACK</v>
      </c>
      <c r="G3268" s="20" t="str">
        <f>IFERROR(__xludf.DUMMYFUNCTION("""COMPUTED_VALUE"""),"Uncle Sams Cider (04/04/2023)")</f>
        <v>Uncle Sams Cider (04/04/2023)</v>
      </c>
      <c r="H3268" s="19"/>
    </row>
    <row r="3269">
      <c r="A3269" s="9"/>
      <c r="B3269" s="15"/>
      <c r="C3269" s="9">
        <f>IFERROR(__xludf.DUMMYFUNCTION("""COMPUTED_VALUE"""),45110.446804537)</f>
        <v>45110.4468</v>
      </c>
      <c r="D3269" s="15">
        <f>IFERROR(__xludf.DUMMYFUNCTION("""COMPUTED_VALUE"""),1.004)</f>
        <v>1.004</v>
      </c>
      <c r="E3269" s="16">
        <f>IFERROR(__xludf.DUMMYFUNCTION("""COMPUTED_VALUE"""),71.0)</f>
        <v>71</v>
      </c>
      <c r="F3269" s="19" t="str">
        <f>IFERROR(__xludf.DUMMYFUNCTION("""COMPUTED_VALUE"""),"BLACK")</f>
        <v>BLACK</v>
      </c>
      <c r="G3269" s="20" t="str">
        <f>IFERROR(__xludf.DUMMYFUNCTION("""COMPUTED_VALUE"""),"Uncle Sams Cider (04/04/2023)")</f>
        <v>Uncle Sams Cider (04/04/2023)</v>
      </c>
      <c r="H3269" s="19"/>
    </row>
    <row r="3270">
      <c r="A3270" s="9"/>
      <c r="B3270" s="15"/>
      <c r="C3270" s="9">
        <f>IFERROR(__xludf.DUMMYFUNCTION("""COMPUTED_VALUE"""),45110.436383287)</f>
        <v>45110.43638</v>
      </c>
      <c r="D3270" s="15">
        <f>IFERROR(__xludf.DUMMYFUNCTION("""COMPUTED_VALUE"""),1.004)</f>
        <v>1.004</v>
      </c>
      <c r="E3270" s="16">
        <f>IFERROR(__xludf.DUMMYFUNCTION("""COMPUTED_VALUE"""),71.0)</f>
        <v>71</v>
      </c>
      <c r="F3270" s="19" t="str">
        <f>IFERROR(__xludf.DUMMYFUNCTION("""COMPUTED_VALUE"""),"BLACK")</f>
        <v>BLACK</v>
      </c>
      <c r="G3270" s="20" t="str">
        <f>IFERROR(__xludf.DUMMYFUNCTION("""COMPUTED_VALUE"""),"Uncle Sams Cider (04/04/2023)")</f>
        <v>Uncle Sams Cider (04/04/2023)</v>
      </c>
      <c r="H3270" s="19"/>
    </row>
    <row r="3271">
      <c r="A3271" s="9"/>
      <c r="B3271" s="15"/>
      <c r="C3271" s="9">
        <f>IFERROR(__xludf.DUMMYFUNCTION("""COMPUTED_VALUE"""),45110.4259641782)</f>
        <v>45110.42596</v>
      </c>
      <c r="D3271" s="15">
        <f>IFERROR(__xludf.DUMMYFUNCTION("""COMPUTED_VALUE"""),1.004)</f>
        <v>1.004</v>
      </c>
      <c r="E3271" s="16">
        <f>IFERROR(__xludf.DUMMYFUNCTION("""COMPUTED_VALUE"""),71.0)</f>
        <v>71</v>
      </c>
      <c r="F3271" s="19" t="str">
        <f>IFERROR(__xludf.DUMMYFUNCTION("""COMPUTED_VALUE"""),"BLACK")</f>
        <v>BLACK</v>
      </c>
      <c r="G3271" s="20" t="str">
        <f>IFERROR(__xludf.DUMMYFUNCTION("""COMPUTED_VALUE"""),"Uncle Sams Cider (04/04/2023)")</f>
        <v>Uncle Sams Cider (04/04/2023)</v>
      </c>
      <c r="H3271" s="19"/>
    </row>
    <row r="3272">
      <c r="A3272" s="9"/>
      <c r="B3272" s="15"/>
      <c r="C3272" s="9">
        <f>IFERROR(__xludf.DUMMYFUNCTION("""COMPUTED_VALUE"""),45110.4155304398)</f>
        <v>45110.41553</v>
      </c>
      <c r="D3272" s="15">
        <f>IFERROR(__xludf.DUMMYFUNCTION("""COMPUTED_VALUE"""),1.004)</f>
        <v>1.004</v>
      </c>
      <c r="E3272" s="16">
        <f>IFERROR(__xludf.DUMMYFUNCTION("""COMPUTED_VALUE"""),71.0)</f>
        <v>71</v>
      </c>
      <c r="F3272" s="19" t="str">
        <f>IFERROR(__xludf.DUMMYFUNCTION("""COMPUTED_VALUE"""),"BLACK")</f>
        <v>BLACK</v>
      </c>
      <c r="G3272" s="20" t="str">
        <f>IFERROR(__xludf.DUMMYFUNCTION("""COMPUTED_VALUE"""),"Uncle Sams Cider (04/04/2023)")</f>
        <v>Uncle Sams Cider (04/04/2023)</v>
      </c>
      <c r="H3272" s="19"/>
    </row>
    <row r="3273">
      <c r="A3273" s="9"/>
      <c r="B3273" s="15"/>
      <c r="C3273" s="9">
        <f>IFERROR(__xludf.DUMMYFUNCTION("""COMPUTED_VALUE"""),45110.4051097338)</f>
        <v>45110.40511</v>
      </c>
      <c r="D3273" s="15">
        <f>IFERROR(__xludf.DUMMYFUNCTION("""COMPUTED_VALUE"""),1.004)</f>
        <v>1.004</v>
      </c>
      <c r="E3273" s="16">
        <f>IFERROR(__xludf.DUMMYFUNCTION("""COMPUTED_VALUE"""),71.0)</f>
        <v>71</v>
      </c>
      <c r="F3273" s="19" t="str">
        <f>IFERROR(__xludf.DUMMYFUNCTION("""COMPUTED_VALUE"""),"BLACK")</f>
        <v>BLACK</v>
      </c>
      <c r="G3273" s="20" t="str">
        <f>IFERROR(__xludf.DUMMYFUNCTION("""COMPUTED_VALUE"""),"Uncle Sams Cider (04/04/2023)")</f>
        <v>Uncle Sams Cider (04/04/2023)</v>
      </c>
      <c r="H3273" s="19"/>
    </row>
    <row r="3274">
      <c r="A3274" s="9"/>
      <c r="B3274" s="15"/>
      <c r="C3274" s="9">
        <f>IFERROR(__xludf.DUMMYFUNCTION("""COMPUTED_VALUE"""),45110.3946885069)</f>
        <v>45110.39469</v>
      </c>
      <c r="D3274" s="15">
        <f>IFERROR(__xludf.DUMMYFUNCTION("""COMPUTED_VALUE"""),1.004)</f>
        <v>1.004</v>
      </c>
      <c r="E3274" s="16">
        <f>IFERROR(__xludf.DUMMYFUNCTION("""COMPUTED_VALUE"""),71.0)</f>
        <v>71</v>
      </c>
      <c r="F3274" s="19" t="str">
        <f>IFERROR(__xludf.DUMMYFUNCTION("""COMPUTED_VALUE"""),"BLACK")</f>
        <v>BLACK</v>
      </c>
      <c r="G3274" s="20" t="str">
        <f>IFERROR(__xludf.DUMMYFUNCTION("""COMPUTED_VALUE"""),"Uncle Sams Cider (04/04/2023)")</f>
        <v>Uncle Sams Cider (04/04/2023)</v>
      </c>
      <c r="H3274" s="19"/>
    </row>
    <row r="3275">
      <c r="A3275" s="9"/>
      <c r="B3275" s="15"/>
      <c r="C3275" s="9">
        <f>IFERROR(__xludf.DUMMYFUNCTION("""COMPUTED_VALUE"""),45110.3842682986)</f>
        <v>45110.38427</v>
      </c>
      <c r="D3275" s="15">
        <f>IFERROR(__xludf.DUMMYFUNCTION("""COMPUTED_VALUE"""),1.004)</f>
        <v>1.004</v>
      </c>
      <c r="E3275" s="16">
        <f>IFERROR(__xludf.DUMMYFUNCTION("""COMPUTED_VALUE"""),71.0)</f>
        <v>71</v>
      </c>
      <c r="F3275" s="19" t="str">
        <f>IFERROR(__xludf.DUMMYFUNCTION("""COMPUTED_VALUE"""),"BLACK")</f>
        <v>BLACK</v>
      </c>
      <c r="G3275" s="20" t="str">
        <f>IFERROR(__xludf.DUMMYFUNCTION("""COMPUTED_VALUE"""),"Uncle Sams Cider (04/04/2023)")</f>
        <v>Uncle Sams Cider (04/04/2023)</v>
      </c>
      <c r="H3275" s="19"/>
    </row>
    <row r="3276">
      <c r="A3276" s="9"/>
      <c r="B3276" s="15"/>
      <c r="C3276" s="9">
        <f>IFERROR(__xludf.DUMMYFUNCTION("""COMPUTED_VALUE"""),45110.3738348611)</f>
        <v>45110.37383</v>
      </c>
      <c r="D3276" s="15">
        <f>IFERROR(__xludf.DUMMYFUNCTION("""COMPUTED_VALUE"""),1.004)</f>
        <v>1.004</v>
      </c>
      <c r="E3276" s="16">
        <f>IFERROR(__xludf.DUMMYFUNCTION("""COMPUTED_VALUE"""),71.0)</f>
        <v>71</v>
      </c>
      <c r="F3276" s="19" t="str">
        <f>IFERROR(__xludf.DUMMYFUNCTION("""COMPUTED_VALUE"""),"BLACK")</f>
        <v>BLACK</v>
      </c>
      <c r="G3276" s="20" t="str">
        <f>IFERROR(__xludf.DUMMYFUNCTION("""COMPUTED_VALUE"""),"Uncle Sams Cider (04/04/2023)")</f>
        <v>Uncle Sams Cider (04/04/2023)</v>
      </c>
      <c r="H3276" s="19"/>
    </row>
    <row r="3277">
      <c r="A3277" s="9"/>
      <c r="B3277" s="15"/>
      <c r="C3277" s="9">
        <f>IFERROR(__xludf.DUMMYFUNCTION("""COMPUTED_VALUE"""),45110.3634137152)</f>
        <v>45110.36341</v>
      </c>
      <c r="D3277" s="15">
        <f>IFERROR(__xludf.DUMMYFUNCTION("""COMPUTED_VALUE"""),1.004)</f>
        <v>1.004</v>
      </c>
      <c r="E3277" s="16">
        <f>IFERROR(__xludf.DUMMYFUNCTION("""COMPUTED_VALUE"""),71.0)</f>
        <v>71</v>
      </c>
      <c r="F3277" s="19" t="str">
        <f>IFERROR(__xludf.DUMMYFUNCTION("""COMPUTED_VALUE"""),"BLACK")</f>
        <v>BLACK</v>
      </c>
      <c r="G3277" s="20" t="str">
        <f>IFERROR(__xludf.DUMMYFUNCTION("""COMPUTED_VALUE"""),"Uncle Sams Cider (04/04/2023)")</f>
        <v>Uncle Sams Cider (04/04/2023)</v>
      </c>
      <c r="H3277" s="19"/>
    </row>
    <row r="3278">
      <c r="A3278" s="9"/>
      <c r="B3278" s="15"/>
      <c r="C3278" s="9">
        <f>IFERROR(__xludf.DUMMYFUNCTION("""COMPUTED_VALUE"""),45110.3529809259)</f>
        <v>45110.35298</v>
      </c>
      <c r="D3278" s="15">
        <f>IFERROR(__xludf.DUMMYFUNCTION("""COMPUTED_VALUE"""),1.004)</f>
        <v>1.004</v>
      </c>
      <c r="E3278" s="16">
        <f>IFERROR(__xludf.DUMMYFUNCTION("""COMPUTED_VALUE"""),71.0)</f>
        <v>71</v>
      </c>
      <c r="F3278" s="19" t="str">
        <f>IFERROR(__xludf.DUMMYFUNCTION("""COMPUTED_VALUE"""),"BLACK")</f>
        <v>BLACK</v>
      </c>
      <c r="G3278" s="20" t="str">
        <f>IFERROR(__xludf.DUMMYFUNCTION("""COMPUTED_VALUE"""),"Uncle Sams Cider (04/04/2023)")</f>
        <v>Uncle Sams Cider (04/04/2023)</v>
      </c>
      <c r="H3278" s="19"/>
    </row>
    <row r="3279">
      <c r="A3279" s="9"/>
      <c r="B3279" s="15"/>
      <c r="C3279" s="9">
        <f>IFERROR(__xludf.DUMMYFUNCTION("""COMPUTED_VALUE"""),45110.3425589351)</f>
        <v>45110.34256</v>
      </c>
      <c r="D3279" s="15">
        <f>IFERROR(__xludf.DUMMYFUNCTION("""COMPUTED_VALUE"""),1.004)</f>
        <v>1.004</v>
      </c>
      <c r="E3279" s="16">
        <f>IFERROR(__xludf.DUMMYFUNCTION("""COMPUTED_VALUE"""),71.0)</f>
        <v>71</v>
      </c>
      <c r="F3279" s="19" t="str">
        <f>IFERROR(__xludf.DUMMYFUNCTION("""COMPUTED_VALUE"""),"BLACK")</f>
        <v>BLACK</v>
      </c>
      <c r="G3279" s="20" t="str">
        <f>IFERROR(__xludf.DUMMYFUNCTION("""COMPUTED_VALUE"""),"Uncle Sams Cider (04/04/2023)")</f>
        <v>Uncle Sams Cider (04/04/2023)</v>
      </c>
      <c r="H3279" s="19"/>
    </row>
    <row r="3280">
      <c r="A3280" s="9"/>
      <c r="B3280" s="15"/>
      <c r="C3280" s="9">
        <f>IFERROR(__xludf.DUMMYFUNCTION("""COMPUTED_VALUE"""),45110.3321268287)</f>
        <v>45110.33213</v>
      </c>
      <c r="D3280" s="15">
        <f>IFERROR(__xludf.DUMMYFUNCTION("""COMPUTED_VALUE"""),1.004)</f>
        <v>1.004</v>
      </c>
      <c r="E3280" s="16">
        <f>IFERROR(__xludf.DUMMYFUNCTION("""COMPUTED_VALUE"""),71.0)</f>
        <v>71</v>
      </c>
      <c r="F3280" s="19" t="str">
        <f>IFERROR(__xludf.DUMMYFUNCTION("""COMPUTED_VALUE"""),"BLACK")</f>
        <v>BLACK</v>
      </c>
      <c r="G3280" s="20" t="str">
        <f>IFERROR(__xludf.DUMMYFUNCTION("""COMPUTED_VALUE"""),"Uncle Sams Cider (04/04/2023)")</f>
        <v>Uncle Sams Cider (04/04/2023)</v>
      </c>
      <c r="H3280" s="19"/>
    </row>
    <row r="3281">
      <c r="A3281" s="9"/>
      <c r="B3281" s="15"/>
      <c r="C3281" s="9">
        <f>IFERROR(__xludf.DUMMYFUNCTION("""COMPUTED_VALUE"""),45110.3217059606)</f>
        <v>45110.32171</v>
      </c>
      <c r="D3281" s="15">
        <f>IFERROR(__xludf.DUMMYFUNCTION("""COMPUTED_VALUE"""),1.004)</f>
        <v>1.004</v>
      </c>
      <c r="E3281" s="16">
        <f>IFERROR(__xludf.DUMMYFUNCTION("""COMPUTED_VALUE"""),71.0)</f>
        <v>71</v>
      </c>
      <c r="F3281" s="19" t="str">
        <f>IFERROR(__xludf.DUMMYFUNCTION("""COMPUTED_VALUE"""),"BLACK")</f>
        <v>BLACK</v>
      </c>
      <c r="G3281" s="20" t="str">
        <f>IFERROR(__xludf.DUMMYFUNCTION("""COMPUTED_VALUE"""),"Uncle Sams Cider (04/04/2023)")</f>
        <v>Uncle Sams Cider (04/04/2023)</v>
      </c>
      <c r="H3281" s="19"/>
    </row>
    <row r="3282">
      <c r="A3282" s="9"/>
      <c r="B3282" s="15"/>
      <c r="C3282" s="9">
        <f>IFERROR(__xludf.DUMMYFUNCTION("""COMPUTED_VALUE"""),45110.3112840509)</f>
        <v>45110.31128</v>
      </c>
      <c r="D3282" s="15">
        <f>IFERROR(__xludf.DUMMYFUNCTION("""COMPUTED_VALUE"""),1.004)</f>
        <v>1.004</v>
      </c>
      <c r="E3282" s="16">
        <f>IFERROR(__xludf.DUMMYFUNCTION("""COMPUTED_VALUE"""),71.0)</f>
        <v>71</v>
      </c>
      <c r="F3282" s="19" t="str">
        <f>IFERROR(__xludf.DUMMYFUNCTION("""COMPUTED_VALUE"""),"BLACK")</f>
        <v>BLACK</v>
      </c>
      <c r="G3282" s="20" t="str">
        <f>IFERROR(__xludf.DUMMYFUNCTION("""COMPUTED_VALUE"""),"Uncle Sams Cider (04/04/2023)")</f>
        <v>Uncle Sams Cider (04/04/2023)</v>
      </c>
      <c r="H3282" s="19"/>
    </row>
    <row r="3283">
      <c r="A3283" s="9"/>
      <c r="B3283" s="15"/>
      <c r="C3283" s="9">
        <f>IFERROR(__xludf.DUMMYFUNCTION("""COMPUTED_VALUE"""),45110.3008626504)</f>
        <v>45110.30086</v>
      </c>
      <c r="D3283" s="15">
        <f>IFERROR(__xludf.DUMMYFUNCTION("""COMPUTED_VALUE"""),1.004)</f>
        <v>1.004</v>
      </c>
      <c r="E3283" s="16">
        <f>IFERROR(__xludf.DUMMYFUNCTION("""COMPUTED_VALUE"""),71.0)</f>
        <v>71</v>
      </c>
      <c r="F3283" s="19" t="str">
        <f>IFERROR(__xludf.DUMMYFUNCTION("""COMPUTED_VALUE"""),"BLACK")</f>
        <v>BLACK</v>
      </c>
      <c r="G3283" s="20" t="str">
        <f>IFERROR(__xludf.DUMMYFUNCTION("""COMPUTED_VALUE"""),"Uncle Sams Cider (04/04/2023)")</f>
        <v>Uncle Sams Cider (04/04/2023)</v>
      </c>
      <c r="H3283" s="19"/>
    </row>
    <row r="3284">
      <c r="A3284" s="9"/>
      <c r="B3284" s="15"/>
      <c r="C3284" s="9">
        <f>IFERROR(__xludf.DUMMYFUNCTION("""COMPUTED_VALUE"""),45110.2904069213)</f>
        <v>45110.29041</v>
      </c>
      <c r="D3284" s="15">
        <f>IFERROR(__xludf.DUMMYFUNCTION("""COMPUTED_VALUE"""),1.004)</f>
        <v>1.004</v>
      </c>
      <c r="E3284" s="16">
        <f>IFERROR(__xludf.DUMMYFUNCTION("""COMPUTED_VALUE"""),71.0)</f>
        <v>71</v>
      </c>
      <c r="F3284" s="19" t="str">
        <f>IFERROR(__xludf.DUMMYFUNCTION("""COMPUTED_VALUE"""),"BLACK")</f>
        <v>BLACK</v>
      </c>
      <c r="G3284" s="20" t="str">
        <f>IFERROR(__xludf.DUMMYFUNCTION("""COMPUTED_VALUE"""),"Uncle Sams Cider (04/04/2023)")</f>
        <v>Uncle Sams Cider (04/04/2023)</v>
      </c>
      <c r="H3284" s="19"/>
    </row>
    <row r="3285">
      <c r="A3285" s="9"/>
      <c r="B3285" s="15"/>
      <c r="C3285" s="9">
        <f>IFERROR(__xludf.DUMMYFUNCTION("""COMPUTED_VALUE"""),45110.279975162)</f>
        <v>45110.27998</v>
      </c>
      <c r="D3285" s="15">
        <f>IFERROR(__xludf.DUMMYFUNCTION("""COMPUTED_VALUE"""),1.004)</f>
        <v>1.004</v>
      </c>
      <c r="E3285" s="16">
        <f>IFERROR(__xludf.DUMMYFUNCTION("""COMPUTED_VALUE"""),71.0)</f>
        <v>71</v>
      </c>
      <c r="F3285" s="19" t="str">
        <f>IFERROR(__xludf.DUMMYFUNCTION("""COMPUTED_VALUE"""),"BLACK")</f>
        <v>BLACK</v>
      </c>
      <c r="G3285" s="20" t="str">
        <f>IFERROR(__xludf.DUMMYFUNCTION("""COMPUTED_VALUE"""),"Uncle Sams Cider (04/04/2023)")</f>
        <v>Uncle Sams Cider (04/04/2023)</v>
      </c>
      <c r="H3285" s="19"/>
    </row>
    <row r="3286">
      <c r="A3286" s="9"/>
      <c r="B3286" s="15"/>
      <c r="C3286" s="9">
        <f>IFERROR(__xludf.DUMMYFUNCTION("""COMPUTED_VALUE"""),45110.2695529282)</f>
        <v>45110.26955</v>
      </c>
      <c r="D3286" s="15">
        <f>IFERROR(__xludf.DUMMYFUNCTION("""COMPUTED_VALUE"""),1.004)</f>
        <v>1.004</v>
      </c>
      <c r="E3286" s="16">
        <f>IFERROR(__xludf.DUMMYFUNCTION("""COMPUTED_VALUE"""),71.0)</f>
        <v>71</v>
      </c>
      <c r="F3286" s="19" t="str">
        <f>IFERROR(__xludf.DUMMYFUNCTION("""COMPUTED_VALUE"""),"BLACK")</f>
        <v>BLACK</v>
      </c>
      <c r="G3286" s="20" t="str">
        <f>IFERROR(__xludf.DUMMYFUNCTION("""COMPUTED_VALUE"""),"Uncle Sams Cider (04/04/2023)")</f>
        <v>Uncle Sams Cider (04/04/2023)</v>
      </c>
      <c r="H3286" s="19"/>
    </row>
    <row r="3287">
      <c r="A3287" s="9"/>
      <c r="B3287" s="15"/>
      <c r="C3287" s="9">
        <f>IFERROR(__xludf.DUMMYFUNCTION("""COMPUTED_VALUE"""),45110.2591205324)</f>
        <v>45110.25912</v>
      </c>
      <c r="D3287" s="15">
        <f>IFERROR(__xludf.DUMMYFUNCTION("""COMPUTED_VALUE"""),1.004)</f>
        <v>1.004</v>
      </c>
      <c r="E3287" s="16">
        <f>IFERROR(__xludf.DUMMYFUNCTION("""COMPUTED_VALUE"""),71.0)</f>
        <v>71</v>
      </c>
      <c r="F3287" s="19" t="str">
        <f>IFERROR(__xludf.DUMMYFUNCTION("""COMPUTED_VALUE"""),"BLACK")</f>
        <v>BLACK</v>
      </c>
      <c r="G3287" s="20" t="str">
        <f>IFERROR(__xludf.DUMMYFUNCTION("""COMPUTED_VALUE"""),"Uncle Sams Cider (04/04/2023)")</f>
        <v>Uncle Sams Cider (04/04/2023)</v>
      </c>
      <c r="H3287" s="19"/>
    </row>
    <row r="3288">
      <c r="A3288" s="9"/>
      <c r="B3288" s="15"/>
      <c r="C3288" s="9">
        <f>IFERROR(__xludf.DUMMYFUNCTION("""COMPUTED_VALUE"""),45110.2486992129)</f>
        <v>45110.2487</v>
      </c>
      <c r="D3288" s="15">
        <f>IFERROR(__xludf.DUMMYFUNCTION("""COMPUTED_VALUE"""),1.004)</f>
        <v>1.004</v>
      </c>
      <c r="E3288" s="16">
        <f>IFERROR(__xludf.DUMMYFUNCTION("""COMPUTED_VALUE"""),71.0)</f>
        <v>71</v>
      </c>
      <c r="F3288" s="19" t="str">
        <f>IFERROR(__xludf.DUMMYFUNCTION("""COMPUTED_VALUE"""),"BLACK")</f>
        <v>BLACK</v>
      </c>
      <c r="G3288" s="20" t="str">
        <f>IFERROR(__xludf.DUMMYFUNCTION("""COMPUTED_VALUE"""),"Uncle Sams Cider (04/04/2023)")</f>
        <v>Uncle Sams Cider (04/04/2023)</v>
      </c>
      <c r="H3288" s="19"/>
    </row>
    <row r="3289">
      <c r="A3289" s="9"/>
      <c r="B3289" s="15"/>
      <c r="C3289" s="9">
        <f>IFERROR(__xludf.DUMMYFUNCTION("""COMPUTED_VALUE"""),45110.2382537268)</f>
        <v>45110.23825</v>
      </c>
      <c r="D3289" s="15">
        <f>IFERROR(__xludf.DUMMYFUNCTION("""COMPUTED_VALUE"""),1.004)</f>
        <v>1.004</v>
      </c>
      <c r="E3289" s="16">
        <f>IFERROR(__xludf.DUMMYFUNCTION("""COMPUTED_VALUE"""),71.0)</f>
        <v>71</v>
      </c>
      <c r="F3289" s="19" t="str">
        <f>IFERROR(__xludf.DUMMYFUNCTION("""COMPUTED_VALUE"""),"BLACK")</f>
        <v>BLACK</v>
      </c>
      <c r="G3289" s="20" t="str">
        <f>IFERROR(__xludf.DUMMYFUNCTION("""COMPUTED_VALUE"""),"Uncle Sams Cider (04/04/2023)")</f>
        <v>Uncle Sams Cider (04/04/2023)</v>
      </c>
      <c r="H3289" s="19"/>
    </row>
    <row r="3290">
      <c r="A3290" s="9"/>
      <c r="B3290" s="15"/>
      <c r="C3290" s="9">
        <f>IFERROR(__xludf.DUMMYFUNCTION("""COMPUTED_VALUE"""),45110.2278214467)</f>
        <v>45110.22782</v>
      </c>
      <c r="D3290" s="15">
        <f>IFERROR(__xludf.DUMMYFUNCTION("""COMPUTED_VALUE"""),1.004)</f>
        <v>1.004</v>
      </c>
      <c r="E3290" s="16">
        <f>IFERROR(__xludf.DUMMYFUNCTION("""COMPUTED_VALUE"""),71.0)</f>
        <v>71</v>
      </c>
      <c r="F3290" s="19" t="str">
        <f>IFERROR(__xludf.DUMMYFUNCTION("""COMPUTED_VALUE"""),"BLACK")</f>
        <v>BLACK</v>
      </c>
      <c r="G3290" s="20" t="str">
        <f>IFERROR(__xludf.DUMMYFUNCTION("""COMPUTED_VALUE"""),"Uncle Sams Cider (04/04/2023)")</f>
        <v>Uncle Sams Cider (04/04/2023)</v>
      </c>
      <c r="H3290" s="19"/>
    </row>
    <row r="3291">
      <c r="A3291" s="9"/>
      <c r="B3291" s="15"/>
      <c r="C3291" s="9">
        <f>IFERROR(__xludf.DUMMYFUNCTION("""COMPUTED_VALUE"""),45110.2174012268)</f>
        <v>45110.2174</v>
      </c>
      <c r="D3291" s="15">
        <f>IFERROR(__xludf.DUMMYFUNCTION("""COMPUTED_VALUE"""),1.004)</f>
        <v>1.004</v>
      </c>
      <c r="E3291" s="16">
        <f>IFERROR(__xludf.DUMMYFUNCTION("""COMPUTED_VALUE"""),71.0)</f>
        <v>71</v>
      </c>
      <c r="F3291" s="19" t="str">
        <f>IFERROR(__xludf.DUMMYFUNCTION("""COMPUTED_VALUE"""),"BLACK")</f>
        <v>BLACK</v>
      </c>
      <c r="G3291" s="20" t="str">
        <f>IFERROR(__xludf.DUMMYFUNCTION("""COMPUTED_VALUE"""),"Uncle Sams Cider (04/04/2023)")</f>
        <v>Uncle Sams Cider (04/04/2023)</v>
      </c>
      <c r="H3291" s="19"/>
    </row>
    <row r="3292">
      <c r="A3292" s="9"/>
      <c r="B3292" s="15"/>
      <c r="C3292" s="9">
        <f>IFERROR(__xludf.DUMMYFUNCTION("""COMPUTED_VALUE"""),45110.2069799768)</f>
        <v>45110.20698</v>
      </c>
      <c r="D3292" s="15">
        <f>IFERROR(__xludf.DUMMYFUNCTION("""COMPUTED_VALUE"""),1.005)</f>
        <v>1.005</v>
      </c>
      <c r="E3292" s="16">
        <f>IFERROR(__xludf.DUMMYFUNCTION("""COMPUTED_VALUE"""),71.0)</f>
        <v>71</v>
      </c>
      <c r="F3292" s="19" t="str">
        <f>IFERROR(__xludf.DUMMYFUNCTION("""COMPUTED_VALUE"""),"BLACK")</f>
        <v>BLACK</v>
      </c>
      <c r="G3292" s="20" t="str">
        <f>IFERROR(__xludf.DUMMYFUNCTION("""COMPUTED_VALUE"""),"Uncle Sams Cider (04/04/2023)")</f>
        <v>Uncle Sams Cider (04/04/2023)</v>
      </c>
      <c r="H3292" s="19"/>
    </row>
    <row r="3293">
      <c r="A3293" s="9"/>
      <c r="B3293" s="15"/>
      <c r="C3293" s="9">
        <f>IFERROR(__xludf.DUMMYFUNCTION("""COMPUTED_VALUE"""),45110.1965486226)</f>
        <v>45110.19655</v>
      </c>
      <c r="D3293" s="15">
        <f>IFERROR(__xludf.DUMMYFUNCTION("""COMPUTED_VALUE"""),1.004)</f>
        <v>1.004</v>
      </c>
      <c r="E3293" s="16">
        <f>IFERROR(__xludf.DUMMYFUNCTION("""COMPUTED_VALUE"""),71.0)</f>
        <v>71</v>
      </c>
      <c r="F3293" s="19" t="str">
        <f>IFERROR(__xludf.DUMMYFUNCTION("""COMPUTED_VALUE"""),"BLACK")</f>
        <v>BLACK</v>
      </c>
      <c r="G3293" s="20" t="str">
        <f>IFERROR(__xludf.DUMMYFUNCTION("""COMPUTED_VALUE"""),"Uncle Sams Cider (04/04/2023)")</f>
        <v>Uncle Sams Cider (04/04/2023)</v>
      </c>
      <c r="H3293" s="19"/>
    </row>
    <row r="3294">
      <c r="A3294" s="9"/>
      <c r="B3294" s="15"/>
      <c r="C3294" s="9">
        <f>IFERROR(__xludf.DUMMYFUNCTION("""COMPUTED_VALUE"""),45110.1861267939)</f>
        <v>45110.18613</v>
      </c>
      <c r="D3294" s="15">
        <f>IFERROR(__xludf.DUMMYFUNCTION("""COMPUTED_VALUE"""),1.004)</f>
        <v>1.004</v>
      </c>
      <c r="E3294" s="16">
        <f>IFERROR(__xludf.DUMMYFUNCTION("""COMPUTED_VALUE"""),71.0)</f>
        <v>71</v>
      </c>
      <c r="F3294" s="19" t="str">
        <f>IFERROR(__xludf.DUMMYFUNCTION("""COMPUTED_VALUE"""),"BLACK")</f>
        <v>BLACK</v>
      </c>
      <c r="G3294" s="20" t="str">
        <f>IFERROR(__xludf.DUMMYFUNCTION("""COMPUTED_VALUE"""),"Uncle Sams Cider (04/04/2023)")</f>
        <v>Uncle Sams Cider (04/04/2023)</v>
      </c>
      <c r="H3294" s="19"/>
    </row>
    <row r="3295">
      <c r="A3295" s="9"/>
      <c r="B3295" s="15"/>
      <c r="C3295" s="9">
        <f>IFERROR(__xludf.DUMMYFUNCTION("""COMPUTED_VALUE"""),45110.1757044212)</f>
        <v>45110.1757</v>
      </c>
      <c r="D3295" s="15">
        <f>IFERROR(__xludf.DUMMYFUNCTION("""COMPUTED_VALUE"""),1.004)</f>
        <v>1.004</v>
      </c>
      <c r="E3295" s="16">
        <f>IFERROR(__xludf.DUMMYFUNCTION("""COMPUTED_VALUE"""),71.0)</f>
        <v>71</v>
      </c>
      <c r="F3295" s="19" t="str">
        <f>IFERROR(__xludf.DUMMYFUNCTION("""COMPUTED_VALUE"""),"BLACK")</f>
        <v>BLACK</v>
      </c>
      <c r="G3295" s="20" t="str">
        <f>IFERROR(__xludf.DUMMYFUNCTION("""COMPUTED_VALUE"""),"Uncle Sams Cider (04/04/2023)")</f>
        <v>Uncle Sams Cider (04/04/2023)</v>
      </c>
      <c r="H3295" s="19"/>
    </row>
    <row r="3296">
      <c r="A3296" s="9"/>
      <c r="B3296" s="15"/>
      <c r="C3296" s="9">
        <f>IFERROR(__xludf.DUMMYFUNCTION("""COMPUTED_VALUE"""),45110.1652800925)</f>
        <v>45110.16528</v>
      </c>
      <c r="D3296" s="15">
        <f>IFERROR(__xludf.DUMMYFUNCTION("""COMPUTED_VALUE"""),1.004)</f>
        <v>1.004</v>
      </c>
      <c r="E3296" s="16">
        <f>IFERROR(__xludf.DUMMYFUNCTION("""COMPUTED_VALUE"""),71.0)</f>
        <v>71</v>
      </c>
      <c r="F3296" s="19" t="str">
        <f>IFERROR(__xludf.DUMMYFUNCTION("""COMPUTED_VALUE"""),"BLACK")</f>
        <v>BLACK</v>
      </c>
      <c r="G3296" s="20" t="str">
        <f>IFERROR(__xludf.DUMMYFUNCTION("""COMPUTED_VALUE"""),"Uncle Sams Cider (04/04/2023)")</f>
        <v>Uncle Sams Cider (04/04/2023)</v>
      </c>
      <c r="H3296" s="19"/>
    </row>
    <row r="3297">
      <c r="A3297" s="9"/>
      <c r="B3297" s="15"/>
      <c r="C3297" s="9">
        <f>IFERROR(__xludf.DUMMYFUNCTION("""COMPUTED_VALUE"""),45110.1548585301)</f>
        <v>45110.15486</v>
      </c>
      <c r="D3297" s="15">
        <f>IFERROR(__xludf.DUMMYFUNCTION("""COMPUTED_VALUE"""),1.004)</f>
        <v>1.004</v>
      </c>
      <c r="E3297" s="16">
        <f>IFERROR(__xludf.DUMMYFUNCTION("""COMPUTED_VALUE"""),71.0)</f>
        <v>71</v>
      </c>
      <c r="F3297" s="19" t="str">
        <f>IFERROR(__xludf.DUMMYFUNCTION("""COMPUTED_VALUE"""),"BLACK")</f>
        <v>BLACK</v>
      </c>
      <c r="G3297" s="20" t="str">
        <f>IFERROR(__xludf.DUMMYFUNCTION("""COMPUTED_VALUE"""),"Uncle Sams Cider (04/04/2023)")</f>
        <v>Uncle Sams Cider (04/04/2023)</v>
      </c>
      <c r="H3297" s="19"/>
    </row>
    <row r="3298">
      <c r="A3298" s="9"/>
      <c r="B3298" s="15"/>
      <c r="C3298" s="9">
        <f>IFERROR(__xludf.DUMMYFUNCTION("""COMPUTED_VALUE"""),45110.1444365162)</f>
        <v>45110.14444</v>
      </c>
      <c r="D3298" s="15">
        <f>IFERROR(__xludf.DUMMYFUNCTION("""COMPUTED_VALUE"""),1.004)</f>
        <v>1.004</v>
      </c>
      <c r="E3298" s="16">
        <f>IFERROR(__xludf.DUMMYFUNCTION("""COMPUTED_VALUE"""),71.0)</f>
        <v>71</v>
      </c>
      <c r="F3298" s="19" t="str">
        <f>IFERROR(__xludf.DUMMYFUNCTION("""COMPUTED_VALUE"""),"BLACK")</f>
        <v>BLACK</v>
      </c>
      <c r="G3298" s="20" t="str">
        <f>IFERROR(__xludf.DUMMYFUNCTION("""COMPUTED_VALUE"""),"Uncle Sams Cider (04/04/2023)")</f>
        <v>Uncle Sams Cider (04/04/2023)</v>
      </c>
      <c r="H3298" s="19"/>
    </row>
    <row r="3299">
      <c r="A3299" s="9"/>
      <c r="B3299" s="15"/>
      <c r="C3299" s="9">
        <f>IFERROR(__xludf.DUMMYFUNCTION("""COMPUTED_VALUE"""),45110.1340152777)</f>
        <v>45110.13402</v>
      </c>
      <c r="D3299" s="15">
        <f>IFERROR(__xludf.DUMMYFUNCTION("""COMPUTED_VALUE"""),1.004)</f>
        <v>1.004</v>
      </c>
      <c r="E3299" s="16">
        <f>IFERROR(__xludf.DUMMYFUNCTION("""COMPUTED_VALUE"""),71.0)</f>
        <v>71</v>
      </c>
      <c r="F3299" s="19" t="str">
        <f>IFERROR(__xludf.DUMMYFUNCTION("""COMPUTED_VALUE"""),"BLACK")</f>
        <v>BLACK</v>
      </c>
      <c r="G3299" s="20" t="str">
        <f>IFERROR(__xludf.DUMMYFUNCTION("""COMPUTED_VALUE"""),"Uncle Sams Cider (04/04/2023)")</f>
        <v>Uncle Sams Cider (04/04/2023)</v>
      </c>
      <c r="H3299" s="19"/>
    </row>
    <row r="3300">
      <c r="A3300" s="9"/>
      <c r="B3300" s="15"/>
      <c r="C3300" s="9">
        <f>IFERROR(__xludf.DUMMYFUNCTION("""COMPUTED_VALUE"""),45110.1235822916)</f>
        <v>45110.12358</v>
      </c>
      <c r="D3300" s="15">
        <f>IFERROR(__xludf.DUMMYFUNCTION("""COMPUTED_VALUE"""),1.004)</f>
        <v>1.004</v>
      </c>
      <c r="E3300" s="16">
        <f>IFERROR(__xludf.DUMMYFUNCTION("""COMPUTED_VALUE"""),71.0)</f>
        <v>71</v>
      </c>
      <c r="F3300" s="19" t="str">
        <f>IFERROR(__xludf.DUMMYFUNCTION("""COMPUTED_VALUE"""),"BLACK")</f>
        <v>BLACK</v>
      </c>
      <c r="G3300" s="20" t="str">
        <f>IFERROR(__xludf.DUMMYFUNCTION("""COMPUTED_VALUE"""),"Uncle Sams Cider (04/04/2023)")</f>
        <v>Uncle Sams Cider (04/04/2023)</v>
      </c>
      <c r="H3300" s="19"/>
    </row>
    <row r="3301">
      <c r="A3301" s="9"/>
      <c r="B3301" s="15"/>
      <c r="C3301" s="9">
        <f>IFERROR(__xludf.DUMMYFUNCTION("""COMPUTED_VALUE"""),45110.113160243)</f>
        <v>45110.11316</v>
      </c>
      <c r="D3301" s="15">
        <f>IFERROR(__xludf.DUMMYFUNCTION("""COMPUTED_VALUE"""),1.004)</f>
        <v>1.004</v>
      </c>
      <c r="E3301" s="16">
        <f>IFERROR(__xludf.DUMMYFUNCTION("""COMPUTED_VALUE"""),71.0)</f>
        <v>71</v>
      </c>
      <c r="F3301" s="19" t="str">
        <f>IFERROR(__xludf.DUMMYFUNCTION("""COMPUTED_VALUE"""),"BLACK")</f>
        <v>BLACK</v>
      </c>
      <c r="G3301" s="20" t="str">
        <f>IFERROR(__xludf.DUMMYFUNCTION("""COMPUTED_VALUE"""),"Uncle Sams Cider (04/04/2023)")</f>
        <v>Uncle Sams Cider (04/04/2023)</v>
      </c>
      <c r="H3301" s="19"/>
    </row>
    <row r="3302">
      <c r="A3302" s="9"/>
      <c r="B3302" s="15"/>
      <c r="C3302" s="9">
        <f>IFERROR(__xludf.DUMMYFUNCTION("""COMPUTED_VALUE"""),45110.1027399305)</f>
        <v>45110.10274</v>
      </c>
      <c r="D3302" s="15">
        <f>IFERROR(__xludf.DUMMYFUNCTION("""COMPUTED_VALUE"""),1.004)</f>
        <v>1.004</v>
      </c>
      <c r="E3302" s="16">
        <f>IFERROR(__xludf.DUMMYFUNCTION("""COMPUTED_VALUE"""),71.0)</f>
        <v>71</v>
      </c>
      <c r="F3302" s="19" t="str">
        <f>IFERROR(__xludf.DUMMYFUNCTION("""COMPUTED_VALUE"""),"BLACK")</f>
        <v>BLACK</v>
      </c>
      <c r="G3302" s="20" t="str">
        <f>IFERROR(__xludf.DUMMYFUNCTION("""COMPUTED_VALUE"""),"Uncle Sams Cider (04/04/2023)")</f>
        <v>Uncle Sams Cider (04/04/2023)</v>
      </c>
      <c r="H3302" s="19"/>
    </row>
    <row r="3303">
      <c r="A3303" s="9"/>
      <c r="B3303" s="15"/>
      <c r="C3303" s="9">
        <f>IFERROR(__xludf.DUMMYFUNCTION("""COMPUTED_VALUE"""),45110.0923059143)</f>
        <v>45110.09231</v>
      </c>
      <c r="D3303" s="15">
        <f>IFERROR(__xludf.DUMMYFUNCTION("""COMPUTED_VALUE"""),1.004)</f>
        <v>1.004</v>
      </c>
      <c r="E3303" s="16">
        <f>IFERROR(__xludf.DUMMYFUNCTION("""COMPUTED_VALUE"""),71.0)</f>
        <v>71</v>
      </c>
      <c r="F3303" s="19" t="str">
        <f>IFERROR(__xludf.DUMMYFUNCTION("""COMPUTED_VALUE"""),"BLACK")</f>
        <v>BLACK</v>
      </c>
      <c r="G3303" s="20" t="str">
        <f>IFERROR(__xludf.DUMMYFUNCTION("""COMPUTED_VALUE"""),"Uncle Sams Cider (04/04/2023)")</f>
        <v>Uncle Sams Cider (04/04/2023)</v>
      </c>
      <c r="H3303" s="19"/>
    </row>
    <row r="3304">
      <c r="A3304" s="9"/>
      <c r="B3304" s="15"/>
      <c r="C3304" s="9">
        <f>IFERROR(__xludf.DUMMYFUNCTION("""COMPUTED_VALUE"""),45110.0818862499)</f>
        <v>45110.08189</v>
      </c>
      <c r="D3304" s="15">
        <f>IFERROR(__xludf.DUMMYFUNCTION("""COMPUTED_VALUE"""),1.004)</f>
        <v>1.004</v>
      </c>
      <c r="E3304" s="16">
        <f>IFERROR(__xludf.DUMMYFUNCTION("""COMPUTED_VALUE"""),71.0)</f>
        <v>71</v>
      </c>
      <c r="F3304" s="19" t="str">
        <f>IFERROR(__xludf.DUMMYFUNCTION("""COMPUTED_VALUE"""),"BLACK")</f>
        <v>BLACK</v>
      </c>
      <c r="G3304" s="20" t="str">
        <f>IFERROR(__xludf.DUMMYFUNCTION("""COMPUTED_VALUE"""),"Uncle Sams Cider (04/04/2023)")</f>
        <v>Uncle Sams Cider (04/04/2023)</v>
      </c>
      <c r="H3304" s="19"/>
    </row>
    <row r="3305">
      <c r="A3305" s="9"/>
      <c r="B3305" s="15"/>
      <c r="C3305" s="9">
        <f>IFERROR(__xludf.DUMMYFUNCTION("""COMPUTED_VALUE"""),45110.0714628472)</f>
        <v>45110.07146</v>
      </c>
      <c r="D3305" s="15">
        <f>IFERROR(__xludf.DUMMYFUNCTION("""COMPUTED_VALUE"""),1.004)</f>
        <v>1.004</v>
      </c>
      <c r="E3305" s="16">
        <f>IFERROR(__xludf.DUMMYFUNCTION("""COMPUTED_VALUE"""),71.0)</f>
        <v>71</v>
      </c>
      <c r="F3305" s="19" t="str">
        <f>IFERROR(__xludf.DUMMYFUNCTION("""COMPUTED_VALUE"""),"BLACK")</f>
        <v>BLACK</v>
      </c>
      <c r="G3305" s="20" t="str">
        <f>IFERROR(__xludf.DUMMYFUNCTION("""COMPUTED_VALUE"""),"Uncle Sams Cider (04/04/2023)")</f>
        <v>Uncle Sams Cider (04/04/2023)</v>
      </c>
      <c r="H3305" s="19"/>
    </row>
    <row r="3306">
      <c r="A3306" s="9"/>
      <c r="B3306" s="15"/>
      <c r="C3306" s="9">
        <f>IFERROR(__xludf.DUMMYFUNCTION("""COMPUTED_VALUE"""),45110.0610398958)</f>
        <v>45110.06104</v>
      </c>
      <c r="D3306" s="15">
        <f>IFERROR(__xludf.DUMMYFUNCTION("""COMPUTED_VALUE"""),1.004)</f>
        <v>1.004</v>
      </c>
      <c r="E3306" s="16">
        <f>IFERROR(__xludf.DUMMYFUNCTION("""COMPUTED_VALUE"""),71.0)</f>
        <v>71</v>
      </c>
      <c r="F3306" s="19" t="str">
        <f>IFERROR(__xludf.DUMMYFUNCTION("""COMPUTED_VALUE"""),"BLACK")</f>
        <v>BLACK</v>
      </c>
      <c r="G3306" s="20" t="str">
        <f>IFERROR(__xludf.DUMMYFUNCTION("""COMPUTED_VALUE"""),"Uncle Sams Cider (04/04/2023)")</f>
        <v>Uncle Sams Cider (04/04/2023)</v>
      </c>
      <c r="H3306" s="19"/>
    </row>
    <row r="3307">
      <c r="A3307" s="9"/>
      <c r="B3307" s="15"/>
      <c r="C3307" s="9">
        <f>IFERROR(__xludf.DUMMYFUNCTION("""COMPUTED_VALUE"""),45110.0506174768)</f>
        <v>45110.05062</v>
      </c>
      <c r="D3307" s="15">
        <f>IFERROR(__xludf.DUMMYFUNCTION("""COMPUTED_VALUE"""),1.004)</f>
        <v>1.004</v>
      </c>
      <c r="E3307" s="16">
        <f>IFERROR(__xludf.DUMMYFUNCTION("""COMPUTED_VALUE"""),71.0)</f>
        <v>71</v>
      </c>
      <c r="F3307" s="19" t="str">
        <f>IFERROR(__xludf.DUMMYFUNCTION("""COMPUTED_VALUE"""),"BLACK")</f>
        <v>BLACK</v>
      </c>
      <c r="G3307" s="20" t="str">
        <f>IFERROR(__xludf.DUMMYFUNCTION("""COMPUTED_VALUE"""),"Uncle Sams Cider (04/04/2023)")</f>
        <v>Uncle Sams Cider (04/04/2023)</v>
      </c>
      <c r="H3307" s="19"/>
    </row>
    <row r="3308">
      <c r="A3308" s="9"/>
      <c r="B3308" s="15"/>
      <c r="C3308" s="9">
        <f>IFERROR(__xludf.DUMMYFUNCTION("""COMPUTED_VALUE"""),45110.0401975115)</f>
        <v>45110.0402</v>
      </c>
      <c r="D3308" s="15">
        <f>IFERROR(__xludf.DUMMYFUNCTION("""COMPUTED_VALUE"""),1.004)</f>
        <v>1.004</v>
      </c>
      <c r="E3308" s="16">
        <f>IFERROR(__xludf.DUMMYFUNCTION("""COMPUTED_VALUE"""),71.0)</f>
        <v>71</v>
      </c>
      <c r="F3308" s="19" t="str">
        <f>IFERROR(__xludf.DUMMYFUNCTION("""COMPUTED_VALUE"""),"BLACK")</f>
        <v>BLACK</v>
      </c>
      <c r="G3308" s="20" t="str">
        <f>IFERROR(__xludf.DUMMYFUNCTION("""COMPUTED_VALUE"""),"Uncle Sams Cider (04/04/2023)")</f>
        <v>Uncle Sams Cider (04/04/2023)</v>
      </c>
      <c r="H3308" s="19"/>
    </row>
    <row r="3309">
      <c r="A3309" s="9"/>
      <c r="B3309" s="15"/>
      <c r="C3309" s="9">
        <f>IFERROR(__xludf.DUMMYFUNCTION("""COMPUTED_VALUE"""),45110.0297766782)</f>
        <v>45110.02978</v>
      </c>
      <c r="D3309" s="15">
        <f>IFERROR(__xludf.DUMMYFUNCTION("""COMPUTED_VALUE"""),1.004)</f>
        <v>1.004</v>
      </c>
      <c r="E3309" s="16">
        <f>IFERROR(__xludf.DUMMYFUNCTION("""COMPUTED_VALUE"""),71.0)</f>
        <v>71</v>
      </c>
      <c r="F3309" s="19" t="str">
        <f>IFERROR(__xludf.DUMMYFUNCTION("""COMPUTED_VALUE"""),"BLACK")</f>
        <v>BLACK</v>
      </c>
      <c r="G3309" s="20" t="str">
        <f>IFERROR(__xludf.DUMMYFUNCTION("""COMPUTED_VALUE"""),"Uncle Sams Cider (04/04/2023)")</f>
        <v>Uncle Sams Cider (04/04/2023)</v>
      </c>
      <c r="H3309" s="19"/>
    </row>
    <row r="3310">
      <c r="A3310" s="9"/>
      <c r="B3310" s="15"/>
      <c r="C3310" s="9">
        <f>IFERROR(__xludf.DUMMYFUNCTION("""COMPUTED_VALUE"""),45110.0193442592)</f>
        <v>45110.01934</v>
      </c>
      <c r="D3310" s="15">
        <f>IFERROR(__xludf.DUMMYFUNCTION("""COMPUTED_VALUE"""),1.005)</f>
        <v>1.005</v>
      </c>
      <c r="E3310" s="16">
        <f>IFERROR(__xludf.DUMMYFUNCTION("""COMPUTED_VALUE"""),71.0)</f>
        <v>71</v>
      </c>
      <c r="F3310" s="19" t="str">
        <f>IFERROR(__xludf.DUMMYFUNCTION("""COMPUTED_VALUE"""),"BLACK")</f>
        <v>BLACK</v>
      </c>
      <c r="G3310" s="20" t="str">
        <f>IFERROR(__xludf.DUMMYFUNCTION("""COMPUTED_VALUE"""),"Uncle Sams Cider (04/04/2023)")</f>
        <v>Uncle Sams Cider (04/04/2023)</v>
      </c>
      <c r="H3310" s="19"/>
    </row>
    <row r="3311">
      <c r="A3311" s="9"/>
      <c r="B3311" s="15"/>
      <c r="C3311" s="9">
        <f>IFERROR(__xludf.DUMMYFUNCTION("""COMPUTED_VALUE"""),45110.0089227893)</f>
        <v>45110.00892</v>
      </c>
      <c r="D3311" s="15">
        <f>IFERROR(__xludf.DUMMYFUNCTION("""COMPUTED_VALUE"""),1.004)</f>
        <v>1.004</v>
      </c>
      <c r="E3311" s="16">
        <f>IFERROR(__xludf.DUMMYFUNCTION("""COMPUTED_VALUE"""),71.0)</f>
        <v>71</v>
      </c>
      <c r="F3311" s="19" t="str">
        <f>IFERROR(__xludf.DUMMYFUNCTION("""COMPUTED_VALUE"""),"BLACK")</f>
        <v>BLACK</v>
      </c>
      <c r="G3311" s="20" t="str">
        <f>IFERROR(__xludf.DUMMYFUNCTION("""COMPUTED_VALUE"""),"Uncle Sams Cider (04/04/2023)")</f>
        <v>Uncle Sams Cider (04/04/2023)</v>
      </c>
      <c r="H3311" s="19"/>
    </row>
    <row r="3312">
      <c r="A3312" s="9"/>
      <c r="B3312" s="15"/>
      <c r="C3312" s="9">
        <f>IFERROR(__xludf.DUMMYFUNCTION("""COMPUTED_VALUE"""),45109.9984908912)</f>
        <v>45109.99849</v>
      </c>
      <c r="D3312" s="15">
        <f>IFERROR(__xludf.DUMMYFUNCTION("""COMPUTED_VALUE"""),1.004)</f>
        <v>1.004</v>
      </c>
      <c r="E3312" s="16">
        <f>IFERROR(__xludf.DUMMYFUNCTION("""COMPUTED_VALUE"""),71.0)</f>
        <v>71</v>
      </c>
      <c r="F3312" s="19" t="str">
        <f>IFERROR(__xludf.DUMMYFUNCTION("""COMPUTED_VALUE"""),"BLACK")</f>
        <v>BLACK</v>
      </c>
      <c r="G3312" s="20" t="str">
        <f>IFERROR(__xludf.DUMMYFUNCTION("""COMPUTED_VALUE"""),"Uncle Sams Cider (04/04/2023)")</f>
        <v>Uncle Sams Cider (04/04/2023)</v>
      </c>
      <c r="H3312" s="19"/>
    </row>
    <row r="3313">
      <c r="A3313" s="9"/>
      <c r="B3313" s="15"/>
      <c r="C3313" s="9">
        <f>IFERROR(__xludf.DUMMYFUNCTION("""COMPUTED_VALUE"""),45109.988070787)</f>
        <v>45109.98807</v>
      </c>
      <c r="D3313" s="15">
        <f>IFERROR(__xludf.DUMMYFUNCTION("""COMPUTED_VALUE"""),1.004)</f>
        <v>1.004</v>
      </c>
      <c r="E3313" s="16">
        <f>IFERROR(__xludf.DUMMYFUNCTION("""COMPUTED_VALUE"""),71.0)</f>
        <v>71</v>
      </c>
      <c r="F3313" s="19" t="str">
        <f>IFERROR(__xludf.DUMMYFUNCTION("""COMPUTED_VALUE"""),"BLACK")</f>
        <v>BLACK</v>
      </c>
      <c r="G3313" s="20" t="str">
        <f>IFERROR(__xludf.DUMMYFUNCTION("""COMPUTED_VALUE"""),"Uncle Sams Cider (04/04/2023)")</f>
        <v>Uncle Sams Cider (04/04/2023)</v>
      </c>
      <c r="H3313" s="19"/>
    </row>
    <row r="3314">
      <c r="A3314" s="9"/>
      <c r="B3314" s="15"/>
      <c r="C3314" s="9">
        <f>IFERROR(__xludf.DUMMYFUNCTION("""COMPUTED_VALUE"""),45109.9776386458)</f>
        <v>45109.97764</v>
      </c>
      <c r="D3314" s="15">
        <f>IFERROR(__xludf.DUMMYFUNCTION("""COMPUTED_VALUE"""),1.004)</f>
        <v>1.004</v>
      </c>
      <c r="E3314" s="16">
        <f>IFERROR(__xludf.DUMMYFUNCTION("""COMPUTED_VALUE"""),71.0)</f>
        <v>71</v>
      </c>
      <c r="F3314" s="19" t="str">
        <f>IFERROR(__xludf.DUMMYFUNCTION("""COMPUTED_VALUE"""),"BLACK")</f>
        <v>BLACK</v>
      </c>
      <c r="G3314" s="20" t="str">
        <f>IFERROR(__xludf.DUMMYFUNCTION("""COMPUTED_VALUE"""),"Uncle Sams Cider (04/04/2023)")</f>
        <v>Uncle Sams Cider (04/04/2023)</v>
      </c>
      <c r="H3314" s="19"/>
    </row>
    <row r="3315">
      <c r="A3315" s="9"/>
      <c r="B3315" s="15"/>
      <c r="C3315" s="9">
        <f>IFERROR(__xludf.DUMMYFUNCTION("""COMPUTED_VALUE"""),45109.9671940162)</f>
        <v>45109.96719</v>
      </c>
      <c r="D3315" s="15">
        <f>IFERROR(__xludf.DUMMYFUNCTION("""COMPUTED_VALUE"""),1.005)</f>
        <v>1.005</v>
      </c>
      <c r="E3315" s="16">
        <f>IFERROR(__xludf.DUMMYFUNCTION("""COMPUTED_VALUE"""),71.0)</f>
        <v>71</v>
      </c>
      <c r="F3315" s="19" t="str">
        <f>IFERROR(__xludf.DUMMYFUNCTION("""COMPUTED_VALUE"""),"BLACK")</f>
        <v>BLACK</v>
      </c>
      <c r="G3315" s="20" t="str">
        <f>IFERROR(__xludf.DUMMYFUNCTION("""COMPUTED_VALUE"""),"Uncle Sams Cider (04/04/2023)")</f>
        <v>Uncle Sams Cider (04/04/2023)</v>
      </c>
      <c r="H3315" s="19"/>
    </row>
    <row r="3316">
      <c r="A3316" s="9"/>
      <c r="B3316" s="15"/>
      <c r="C3316" s="9">
        <f>IFERROR(__xludf.DUMMYFUNCTION("""COMPUTED_VALUE"""),45109.9567726157)</f>
        <v>45109.95677</v>
      </c>
      <c r="D3316" s="15">
        <f>IFERROR(__xludf.DUMMYFUNCTION("""COMPUTED_VALUE"""),1.004)</f>
        <v>1.004</v>
      </c>
      <c r="E3316" s="16">
        <f>IFERROR(__xludf.DUMMYFUNCTION("""COMPUTED_VALUE"""),71.0)</f>
        <v>71</v>
      </c>
      <c r="F3316" s="19" t="str">
        <f>IFERROR(__xludf.DUMMYFUNCTION("""COMPUTED_VALUE"""),"BLACK")</f>
        <v>BLACK</v>
      </c>
      <c r="G3316" s="20" t="str">
        <f>IFERROR(__xludf.DUMMYFUNCTION("""COMPUTED_VALUE"""),"Uncle Sams Cider (04/04/2023)")</f>
        <v>Uncle Sams Cider (04/04/2023)</v>
      </c>
      <c r="H3316" s="19"/>
    </row>
    <row r="3317">
      <c r="A3317" s="9"/>
      <c r="B3317" s="15"/>
      <c r="C3317" s="9">
        <f>IFERROR(__xludf.DUMMYFUNCTION("""COMPUTED_VALUE"""),45109.9463500694)</f>
        <v>45109.94635</v>
      </c>
      <c r="D3317" s="15">
        <f>IFERROR(__xludf.DUMMYFUNCTION("""COMPUTED_VALUE"""),1.004)</f>
        <v>1.004</v>
      </c>
      <c r="E3317" s="16">
        <f>IFERROR(__xludf.DUMMYFUNCTION("""COMPUTED_VALUE"""),71.0)</f>
        <v>71</v>
      </c>
      <c r="F3317" s="19" t="str">
        <f>IFERROR(__xludf.DUMMYFUNCTION("""COMPUTED_VALUE"""),"BLACK")</f>
        <v>BLACK</v>
      </c>
      <c r="G3317" s="20" t="str">
        <f>IFERROR(__xludf.DUMMYFUNCTION("""COMPUTED_VALUE"""),"Uncle Sams Cider (04/04/2023)")</f>
        <v>Uncle Sams Cider (04/04/2023)</v>
      </c>
      <c r="H3317" s="19"/>
    </row>
    <row r="3318">
      <c r="A3318" s="9"/>
      <c r="B3318" s="15"/>
      <c r="C3318" s="9">
        <f>IFERROR(__xludf.DUMMYFUNCTION("""COMPUTED_VALUE"""),45109.935929537)</f>
        <v>45109.93593</v>
      </c>
      <c r="D3318" s="15">
        <f>IFERROR(__xludf.DUMMYFUNCTION("""COMPUTED_VALUE"""),1.004)</f>
        <v>1.004</v>
      </c>
      <c r="E3318" s="16">
        <f>IFERROR(__xludf.DUMMYFUNCTION("""COMPUTED_VALUE"""),71.0)</f>
        <v>71</v>
      </c>
      <c r="F3318" s="19" t="str">
        <f>IFERROR(__xludf.DUMMYFUNCTION("""COMPUTED_VALUE"""),"BLACK")</f>
        <v>BLACK</v>
      </c>
      <c r="G3318" s="20" t="str">
        <f>IFERROR(__xludf.DUMMYFUNCTION("""COMPUTED_VALUE"""),"Uncle Sams Cider (04/04/2023)")</f>
        <v>Uncle Sams Cider (04/04/2023)</v>
      </c>
      <c r="H3318" s="19"/>
    </row>
    <row r="3319">
      <c r="A3319" s="9"/>
      <c r="B3319" s="15"/>
      <c r="C3319" s="9">
        <f>IFERROR(__xludf.DUMMYFUNCTION("""COMPUTED_VALUE"""),45109.9255064236)</f>
        <v>45109.92551</v>
      </c>
      <c r="D3319" s="15">
        <f>IFERROR(__xludf.DUMMYFUNCTION("""COMPUTED_VALUE"""),1.004)</f>
        <v>1.004</v>
      </c>
      <c r="E3319" s="16">
        <f>IFERROR(__xludf.DUMMYFUNCTION("""COMPUTED_VALUE"""),71.0)</f>
        <v>71</v>
      </c>
      <c r="F3319" s="19" t="str">
        <f>IFERROR(__xludf.DUMMYFUNCTION("""COMPUTED_VALUE"""),"BLACK")</f>
        <v>BLACK</v>
      </c>
      <c r="G3319" s="20" t="str">
        <f>IFERROR(__xludf.DUMMYFUNCTION("""COMPUTED_VALUE"""),"Uncle Sams Cider (04/04/2023)")</f>
        <v>Uncle Sams Cider (04/04/2023)</v>
      </c>
      <c r="H3319" s="19"/>
    </row>
    <row r="3320">
      <c r="A3320" s="9"/>
      <c r="B3320" s="15"/>
      <c r="C3320" s="9">
        <f>IFERROR(__xludf.DUMMYFUNCTION("""COMPUTED_VALUE"""),45109.9150717824)</f>
        <v>45109.91507</v>
      </c>
      <c r="D3320" s="15">
        <f>IFERROR(__xludf.DUMMYFUNCTION("""COMPUTED_VALUE"""),1.004)</f>
        <v>1.004</v>
      </c>
      <c r="E3320" s="16">
        <f>IFERROR(__xludf.DUMMYFUNCTION("""COMPUTED_VALUE"""),71.0)</f>
        <v>71</v>
      </c>
      <c r="F3320" s="19" t="str">
        <f>IFERROR(__xludf.DUMMYFUNCTION("""COMPUTED_VALUE"""),"BLACK")</f>
        <v>BLACK</v>
      </c>
      <c r="G3320" s="20" t="str">
        <f>IFERROR(__xludf.DUMMYFUNCTION("""COMPUTED_VALUE"""),"Uncle Sams Cider (04/04/2023)")</f>
        <v>Uncle Sams Cider (04/04/2023)</v>
      </c>
      <c r="H3320" s="19"/>
    </row>
    <row r="3321">
      <c r="A3321" s="9"/>
      <c r="B3321" s="15"/>
      <c r="C3321" s="9">
        <f>IFERROR(__xludf.DUMMYFUNCTION("""COMPUTED_VALUE"""),45109.9046497685)</f>
        <v>45109.90465</v>
      </c>
      <c r="D3321" s="15">
        <f>IFERROR(__xludf.DUMMYFUNCTION("""COMPUTED_VALUE"""),1.004)</f>
        <v>1.004</v>
      </c>
      <c r="E3321" s="16">
        <f>IFERROR(__xludf.DUMMYFUNCTION("""COMPUTED_VALUE"""),71.0)</f>
        <v>71</v>
      </c>
      <c r="F3321" s="19" t="str">
        <f>IFERROR(__xludf.DUMMYFUNCTION("""COMPUTED_VALUE"""),"BLACK")</f>
        <v>BLACK</v>
      </c>
      <c r="G3321" s="20" t="str">
        <f>IFERROR(__xludf.DUMMYFUNCTION("""COMPUTED_VALUE"""),"Uncle Sams Cider (04/04/2023)")</f>
        <v>Uncle Sams Cider (04/04/2023)</v>
      </c>
      <c r="H3321" s="19"/>
    </row>
    <row r="3322">
      <c r="A3322" s="9"/>
      <c r="B3322" s="15"/>
      <c r="C3322" s="9">
        <f>IFERROR(__xludf.DUMMYFUNCTION("""COMPUTED_VALUE"""),45109.8942293518)</f>
        <v>45109.89423</v>
      </c>
      <c r="D3322" s="15">
        <f>IFERROR(__xludf.DUMMYFUNCTION("""COMPUTED_VALUE"""),1.004)</f>
        <v>1.004</v>
      </c>
      <c r="E3322" s="16">
        <f>IFERROR(__xludf.DUMMYFUNCTION("""COMPUTED_VALUE"""),71.0)</f>
        <v>71</v>
      </c>
      <c r="F3322" s="19" t="str">
        <f>IFERROR(__xludf.DUMMYFUNCTION("""COMPUTED_VALUE"""),"BLACK")</f>
        <v>BLACK</v>
      </c>
      <c r="G3322" s="20" t="str">
        <f>IFERROR(__xludf.DUMMYFUNCTION("""COMPUTED_VALUE"""),"Uncle Sams Cider (04/04/2023)")</f>
        <v>Uncle Sams Cider (04/04/2023)</v>
      </c>
      <c r="H3322" s="19"/>
    </row>
    <row r="3323">
      <c r="A3323" s="9"/>
      <c r="B3323" s="15"/>
      <c r="C3323" s="9">
        <f>IFERROR(__xludf.DUMMYFUNCTION("""COMPUTED_VALUE"""),45109.8838067824)</f>
        <v>45109.88381</v>
      </c>
      <c r="D3323" s="15">
        <f>IFERROR(__xludf.DUMMYFUNCTION("""COMPUTED_VALUE"""),1.004)</f>
        <v>1.004</v>
      </c>
      <c r="E3323" s="16">
        <f>IFERROR(__xludf.DUMMYFUNCTION("""COMPUTED_VALUE"""),71.0)</f>
        <v>71</v>
      </c>
      <c r="F3323" s="19" t="str">
        <f>IFERROR(__xludf.DUMMYFUNCTION("""COMPUTED_VALUE"""),"BLACK")</f>
        <v>BLACK</v>
      </c>
      <c r="G3323" s="20" t="str">
        <f>IFERROR(__xludf.DUMMYFUNCTION("""COMPUTED_VALUE"""),"Uncle Sams Cider (04/04/2023)")</f>
        <v>Uncle Sams Cider (04/04/2023)</v>
      </c>
      <c r="H3323" s="19"/>
    </row>
    <row r="3324">
      <c r="A3324" s="9"/>
      <c r="B3324" s="15"/>
      <c r="C3324" s="9">
        <f>IFERROR(__xludf.DUMMYFUNCTION("""COMPUTED_VALUE"""),45109.8733745254)</f>
        <v>45109.87337</v>
      </c>
      <c r="D3324" s="15">
        <f>IFERROR(__xludf.DUMMYFUNCTION("""COMPUTED_VALUE"""),1.004)</f>
        <v>1.004</v>
      </c>
      <c r="E3324" s="16">
        <f>IFERROR(__xludf.DUMMYFUNCTION("""COMPUTED_VALUE"""),71.0)</f>
        <v>71</v>
      </c>
      <c r="F3324" s="19" t="str">
        <f>IFERROR(__xludf.DUMMYFUNCTION("""COMPUTED_VALUE"""),"BLACK")</f>
        <v>BLACK</v>
      </c>
      <c r="G3324" s="20" t="str">
        <f>IFERROR(__xludf.DUMMYFUNCTION("""COMPUTED_VALUE"""),"Uncle Sams Cider (04/04/2023)")</f>
        <v>Uncle Sams Cider (04/04/2023)</v>
      </c>
      <c r="H3324" s="19"/>
    </row>
    <row r="3325">
      <c r="A3325" s="9"/>
      <c r="B3325" s="15"/>
      <c r="C3325" s="9">
        <f>IFERROR(__xludf.DUMMYFUNCTION("""COMPUTED_VALUE"""),45109.8629537615)</f>
        <v>45109.86295</v>
      </c>
      <c r="D3325" s="15">
        <f>IFERROR(__xludf.DUMMYFUNCTION("""COMPUTED_VALUE"""),1.004)</f>
        <v>1.004</v>
      </c>
      <c r="E3325" s="16">
        <f>IFERROR(__xludf.DUMMYFUNCTION("""COMPUTED_VALUE"""),71.0)</f>
        <v>71</v>
      </c>
      <c r="F3325" s="19" t="str">
        <f>IFERROR(__xludf.DUMMYFUNCTION("""COMPUTED_VALUE"""),"BLACK")</f>
        <v>BLACK</v>
      </c>
      <c r="G3325" s="20" t="str">
        <f>IFERROR(__xludf.DUMMYFUNCTION("""COMPUTED_VALUE"""),"Uncle Sams Cider (04/04/2023)")</f>
        <v>Uncle Sams Cider (04/04/2023)</v>
      </c>
      <c r="H3325" s="19"/>
    </row>
    <row r="3326">
      <c r="A3326" s="9"/>
      <c r="B3326" s="15"/>
      <c r="C3326" s="9">
        <f>IFERROR(__xludf.DUMMYFUNCTION("""COMPUTED_VALUE"""),45109.8525319328)</f>
        <v>45109.85253</v>
      </c>
      <c r="D3326" s="15">
        <f>IFERROR(__xludf.DUMMYFUNCTION("""COMPUTED_VALUE"""),1.004)</f>
        <v>1.004</v>
      </c>
      <c r="E3326" s="16">
        <f>IFERROR(__xludf.DUMMYFUNCTION("""COMPUTED_VALUE"""),71.0)</f>
        <v>71</v>
      </c>
      <c r="F3326" s="19" t="str">
        <f>IFERROR(__xludf.DUMMYFUNCTION("""COMPUTED_VALUE"""),"BLACK")</f>
        <v>BLACK</v>
      </c>
      <c r="G3326" s="20" t="str">
        <f>IFERROR(__xludf.DUMMYFUNCTION("""COMPUTED_VALUE"""),"Uncle Sams Cider (04/04/2023)")</f>
        <v>Uncle Sams Cider (04/04/2023)</v>
      </c>
      <c r="H3326" s="19"/>
    </row>
    <row r="3327">
      <c r="A3327" s="9"/>
      <c r="B3327" s="15"/>
      <c r="C3327" s="9">
        <f>IFERROR(__xludf.DUMMYFUNCTION("""COMPUTED_VALUE"""),45109.842098368)</f>
        <v>45109.8421</v>
      </c>
      <c r="D3327" s="15">
        <f>IFERROR(__xludf.DUMMYFUNCTION("""COMPUTED_VALUE"""),1.004)</f>
        <v>1.004</v>
      </c>
      <c r="E3327" s="16">
        <f>IFERROR(__xludf.DUMMYFUNCTION("""COMPUTED_VALUE"""),71.0)</f>
        <v>71</v>
      </c>
      <c r="F3327" s="19" t="str">
        <f>IFERROR(__xludf.DUMMYFUNCTION("""COMPUTED_VALUE"""),"BLACK")</f>
        <v>BLACK</v>
      </c>
      <c r="G3327" s="20" t="str">
        <f>IFERROR(__xludf.DUMMYFUNCTION("""COMPUTED_VALUE"""),"Uncle Sams Cider (04/04/2023)")</f>
        <v>Uncle Sams Cider (04/04/2023)</v>
      </c>
      <c r="H3327" s="19"/>
    </row>
    <row r="3328">
      <c r="A3328" s="9"/>
      <c r="B3328" s="15"/>
      <c r="C3328" s="9">
        <f>IFERROR(__xludf.DUMMYFUNCTION("""COMPUTED_VALUE"""),45109.8316770486)</f>
        <v>45109.83168</v>
      </c>
      <c r="D3328" s="15">
        <f>IFERROR(__xludf.DUMMYFUNCTION("""COMPUTED_VALUE"""),1.004)</f>
        <v>1.004</v>
      </c>
      <c r="E3328" s="16">
        <f>IFERROR(__xludf.DUMMYFUNCTION("""COMPUTED_VALUE"""),71.0)</f>
        <v>71</v>
      </c>
      <c r="F3328" s="19" t="str">
        <f>IFERROR(__xludf.DUMMYFUNCTION("""COMPUTED_VALUE"""),"BLACK")</f>
        <v>BLACK</v>
      </c>
      <c r="G3328" s="20" t="str">
        <f>IFERROR(__xludf.DUMMYFUNCTION("""COMPUTED_VALUE"""),"Uncle Sams Cider (04/04/2023)")</f>
        <v>Uncle Sams Cider (04/04/2023)</v>
      </c>
      <c r="H3328" s="19"/>
    </row>
    <row r="3329">
      <c r="A3329" s="9"/>
      <c r="B3329" s="15"/>
      <c r="C3329" s="9">
        <f>IFERROR(__xludf.DUMMYFUNCTION("""COMPUTED_VALUE"""),45109.8212557986)</f>
        <v>45109.82126</v>
      </c>
      <c r="D3329" s="15">
        <f>IFERROR(__xludf.DUMMYFUNCTION("""COMPUTED_VALUE"""),1.004)</f>
        <v>1.004</v>
      </c>
      <c r="E3329" s="16">
        <f>IFERROR(__xludf.DUMMYFUNCTION("""COMPUTED_VALUE"""),71.0)</f>
        <v>71</v>
      </c>
      <c r="F3329" s="19" t="str">
        <f>IFERROR(__xludf.DUMMYFUNCTION("""COMPUTED_VALUE"""),"BLACK")</f>
        <v>BLACK</v>
      </c>
      <c r="G3329" s="20" t="str">
        <f>IFERROR(__xludf.DUMMYFUNCTION("""COMPUTED_VALUE"""),"Uncle Sams Cider (04/04/2023)")</f>
        <v>Uncle Sams Cider (04/04/2023)</v>
      </c>
      <c r="H3329" s="19"/>
    </row>
    <row r="3330">
      <c r="A3330" s="9"/>
      <c r="B3330" s="15"/>
      <c r="C3330" s="9">
        <f>IFERROR(__xludf.DUMMYFUNCTION("""COMPUTED_VALUE"""),45109.8108338773)</f>
        <v>45109.81083</v>
      </c>
      <c r="D3330" s="15">
        <f>IFERROR(__xludf.DUMMYFUNCTION("""COMPUTED_VALUE"""),1.004)</f>
        <v>1.004</v>
      </c>
      <c r="E3330" s="16">
        <f>IFERROR(__xludf.DUMMYFUNCTION("""COMPUTED_VALUE"""),71.0)</f>
        <v>71</v>
      </c>
      <c r="F3330" s="19" t="str">
        <f>IFERROR(__xludf.DUMMYFUNCTION("""COMPUTED_VALUE"""),"BLACK")</f>
        <v>BLACK</v>
      </c>
      <c r="G3330" s="20" t="str">
        <f>IFERROR(__xludf.DUMMYFUNCTION("""COMPUTED_VALUE"""),"Uncle Sams Cider (04/04/2023)")</f>
        <v>Uncle Sams Cider (04/04/2023)</v>
      </c>
      <c r="H3330" s="19"/>
    </row>
    <row r="3331">
      <c r="A3331" s="9"/>
      <c r="B3331" s="15"/>
      <c r="C3331" s="9">
        <f>IFERROR(__xludf.DUMMYFUNCTION("""COMPUTED_VALUE"""),45109.8004123495)</f>
        <v>45109.80041</v>
      </c>
      <c r="D3331" s="15">
        <f>IFERROR(__xludf.DUMMYFUNCTION("""COMPUTED_VALUE"""),1.004)</f>
        <v>1.004</v>
      </c>
      <c r="E3331" s="16">
        <f>IFERROR(__xludf.DUMMYFUNCTION("""COMPUTED_VALUE"""),71.0)</f>
        <v>71</v>
      </c>
      <c r="F3331" s="19" t="str">
        <f>IFERROR(__xludf.DUMMYFUNCTION("""COMPUTED_VALUE"""),"BLACK")</f>
        <v>BLACK</v>
      </c>
      <c r="G3331" s="20" t="str">
        <f>IFERROR(__xludf.DUMMYFUNCTION("""COMPUTED_VALUE"""),"Uncle Sams Cider (04/04/2023)")</f>
        <v>Uncle Sams Cider (04/04/2023)</v>
      </c>
      <c r="H3331" s="19"/>
    </row>
    <row r="3332">
      <c r="A3332" s="9"/>
      <c r="B3332" s="15"/>
      <c r="C3332" s="9">
        <f>IFERROR(__xludf.DUMMYFUNCTION("""COMPUTED_VALUE"""),45109.7899805439)</f>
        <v>45109.78998</v>
      </c>
      <c r="D3332" s="15">
        <f>IFERROR(__xludf.DUMMYFUNCTION("""COMPUTED_VALUE"""),1.004)</f>
        <v>1.004</v>
      </c>
      <c r="E3332" s="16">
        <f>IFERROR(__xludf.DUMMYFUNCTION("""COMPUTED_VALUE"""),71.0)</f>
        <v>71</v>
      </c>
      <c r="F3332" s="19" t="str">
        <f>IFERROR(__xludf.DUMMYFUNCTION("""COMPUTED_VALUE"""),"BLACK")</f>
        <v>BLACK</v>
      </c>
      <c r="G3332" s="20" t="str">
        <f>IFERROR(__xludf.DUMMYFUNCTION("""COMPUTED_VALUE"""),"Uncle Sams Cider (04/04/2023)")</f>
        <v>Uncle Sams Cider (04/04/2023)</v>
      </c>
      <c r="H3332" s="19"/>
    </row>
    <row r="3333">
      <c r="A3333" s="9"/>
      <c r="B3333" s="15"/>
      <c r="C3333" s="9">
        <f>IFERROR(__xludf.DUMMYFUNCTION("""COMPUTED_VALUE"""),45109.7795596875)</f>
        <v>45109.77956</v>
      </c>
      <c r="D3333" s="15">
        <f>IFERROR(__xludf.DUMMYFUNCTION("""COMPUTED_VALUE"""),1.004)</f>
        <v>1.004</v>
      </c>
      <c r="E3333" s="16">
        <f>IFERROR(__xludf.DUMMYFUNCTION("""COMPUTED_VALUE"""),71.0)</f>
        <v>71</v>
      </c>
      <c r="F3333" s="19" t="str">
        <f>IFERROR(__xludf.DUMMYFUNCTION("""COMPUTED_VALUE"""),"BLACK")</f>
        <v>BLACK</v>
      </c>
      <c r="G3333" s="20" t="str">
        <f>IFERROR(__xludf.DUMMYFUNCTION("""COMPUTED_VALUE"""),"Uncle Sams Cider (04/04/2023)")</f>
        <v>Uncle Sams Cider (04/04/2023)</v>
      </c>
      <c r="H3333" s="19"/>
    </row>
    <row r="3334">
      <c r="A3334" s="9"/>
      <c r="B3334" s="15"/>
      <c r="C3334" s="9">
        <f>IFERROR(__xludf.DUMMYFUNCTION("""COMPUTED_VALUE"""),45109.7691383449)</f>
        <v>45109.76914</v>
      </c>
      <c r="D3334" s="15">
        <f>IFERROR(__xludf.DUMMYFUNCTION("""COMPUTED_VALUE"""),1.004)</f>
        <v>1.004</v>
      </c>
      <c r="E3334" s="16">
        <f>IFERROR(__xludf.DUMMYFUNCTION("""COMPUTED_VALUE"""),71.0)</f>
        <v>71</v>
      </c>
      <c r="F3334" s="19" t="str">
        <f>IFERROR(__xludf.DUMMYFUNCTION("""COMPUTED_VALUE"""),"BLACK")</f>
        <v>BLACK</v>
      </c>
      <c r="G3334" s="20" t="str">
        <f>IFERROR(__xludf.DUMMYFUNCTION("""COMPUTED_VALUE"""),"Uncle Sams Cider (04/04/2023)")</f>
        <v>Uncle Sams Cider (04/04/2023)</v>
      </c>
      <c r="H3334" s="19"/>
    </row>
    <row r="3335">
      <c r="A3335" s="9"/>
      <c r="B3335" s="15"/>
      <c r="C3335" s="9">
        <f>IFERROR(__xludf.DUMMYFUNCTION("""COMPUTED_VALUE"""),45109.7587166319)</f>
        <v>45109.75872</v>
      </c>
      <c r="D3335" s="15">
        <f>IFERROR(__xludf.DUMMYFUNCTION("""COMPUTED_VALUE"""),1.004)</f>
        <v>1.004</v>
      </c>
      <c r="E3335" s="16">
        <f>IFERROR(__xludf.DUMMYFUNCTION("""COMPUTED_VALUE"""),71.0)</f>
        <v>71</v>
      </c>
      <c r="F3335" s="19" t="str">
        <f>IFERROR(__xludf.DUMMYFUNCTION("""COMPUTED_VALUE"""),"BLACK")</f>
        <v>BLACK</v>
      </c>
      <c r="G3335" s="20" t="str">
        <f>IFERROR(__xludf.DUMMYFUNCTION("""COMPUTED_VALUE"""),"Uncle Sams Cider (04/04/2023)")</f>
        <v>Uncle Sams Cider (04/04/2023)</v>
      </c>
      <c r="H3335" s="19"/>
    </row>
    <row r="3336">
      <c r="A3336" s="9"/>
      <c r="B3336" s="15"/>
      <c r="C3336" s="9">
        <f>IFERROR(__xludf.DUMMYFUNCTION("""COMPUTED_VALUE"""),45109.7482948148)</f>
        <v>45109.74829</v>
      </c>
      <c r="D3336" s="15">
        <f>IFERROR(__xludf.DUMMYFUNCTION("""COMPUTED_VALUE"""),1.004)</f>
        <v>1.004</v>
      </c>
      <c r="E3336" s="16">
        <f>IFERROR(__xludf.DUMMYFUNCTION("""COMPUTED_VALUE"""),70.0)</f>
        <v>70</v>
      </c>
      <c r="F3336" s="19" t="str">
        <f>IFERROR(__xludf.DUMMYFUNCTION("""COMPUTED_VALUE"""),"BLACK")</f>
        <v>BLACK</v>
      </c>
      <c r="G3336" s="20" t="str">
        <f>IFERROR(__xludf.DUMMYFUNCTION("""COMPUTED_VALUE"""),"Uncle Sams Cider (04/04/2023)")</f>
        <v>Uncle Sams Cider (04/04/2023)</v>
      </c>
      <c r="H3336" s="19"/>
    </row>
    <row r="3337">
      <c r="A3337" s="9"/>
      <c r="B3337" s="15"/>
      <c r="C3337" s="9">
        <f>IFERROR(__xludf.DUMMYFUNCTION("""COMPUTED_VALUE"""),45109.7378612847)</f>
        <v>45109.73786</v>
      </c>
      <c r="D3337" s="15">
        <f>IFERROR(__xludf.DUMMYFUNCTION("""COMPUTED_VALUE"""),1.004)</f>
        <v>1.004</v>
      </c>
      <c r="E3337" s="16">
        <f>IFERROR(__xludf.DUMMYFUNCTION("""COMPUTED_VALUE"""),70.0)</f>
        <v>70</v>
      </c>
      <c r="F3337" s="19" t="str">
        <f>IFERROR(__xludf.DUMMYFUNCTION("""COMPUTED_VALUE"""),"BLACK")</f>
        <v>BLACK</v>
      </c>
      <c r="G3337" s="20" t="str">
        <f>IFERROR(__xludf.DUMMYFUNCTION("""COMPUTED_VALUE"""),"Uncle Sams Cider (04/04/2023)")</f>
        <v>Uncle Sams Cider (04/04/2023)</v>
      </c>
      <c r="H3337" s="19"/>
    </row>
    <row r="3338">
      <c r="A3338" s="9"/>
      <c r="B3338" s="15"/>
      <c r="C3338" s="9">
        <f>IFERROR(__xludf.DUMMYFUNCTION("""COMPUTED_VALUE"""),45109.7274276851)</f>
        <v>45109.72743</v>
      </c>
      <c r="D3338" s="15">
        <f>IFERROR(__xludf.DUMMYFUNCTION("""COMPUTED_VALUE"""),1.004)</f>
        <v>1.004</v>
      </c>
      <c r="E3338" s="16">
        <f>IFERROR(__xludf.DUMMYFUNCTION("""COMPUTED_VALUE"""),70.0)</f>
        <v>70</v>
      </c>
      <c r="F3338" s="19" t="str">
        <f>IFERROR(__xludf.DUMMYFUNCTION("""COMPUTED_VALUE"""),"BLACK")</f>
        <v>BLACK</v>
      </c>
      <c r="G3338" s="20" t="str">
        <f>IFERROR(__xludf.DUMMYFUNCTION("""COMPUTED_VALUE"""),"Uncle Sams Cider (04/04/2023)")</f>
        <v>Uncle Sams Cider (04/04/2023)</v>
      </c>
      <c r="H3338" s="19"/>
    </row>
    <row r="3339">
      <c r="A3339" s="9"/>
      <c r="B3339" s="15"/>
      <c r="C3339" s="9">
        <f>IFERROR(__xludf.DUMMYFUNCTION("""COMPUTED_VALUE"""),45109.7170067013)</f>
        <v>45109.71701</v>
      </c>
      <c r="D3339" s="15">
        <f>IFERROR(__xludf.DUMMYFUNCTION("""COMPUTED_VALUE"""),1.004)</f>
        <v>1.004</v>
      </c>
      <c r="E3339" s="16">
        <f>IFERROR(__xludf.DUMMYFUNCTION("""COMPUTED_VALUE"""),71.0)</f>
        <v>71</v>
      </c>
      <c r="F3339" s="19" t="str">
        <f>IFERROR(__xludf.DUMMYFUNCTION("""COMPUTED_VALUE"""),"BLACK")</f>
        <v>BLACK</v>
      </c>
      <c r="G3339" s="20" t="str">
        <f>IFERROR(__xludf.DUMMYFUNCTION("""COMPUTED_VALUE"""),"Uncle Sams Cider (04/04/2023)")</f>
        <v>Uncle Sams Cider (04/04/2023)</v>
      </c>
      <c r="H3339" s="19"/>
    </row>
    <row r="3340">
      <c r="A3340" s="9"/>
      <c r="B3340" s="15"/>
      <c r="C3340" s="9">
        <f>IFERROR(__xludf.DUMMYFUNCTION("""COMPUTED_VALUE"""),45109.7065855208)</f>
        <v>45109.70659</v>
      </c>
      <c r="D3340" s="15">
        <f>IFERROR(__xludf.DUMMYFUNCTION("""COMPUTED_VALUE"""),1.004)</f>
        <v>1.004</v>
      </c>
      <c r="E3340" s="16">
        <f>IFERROR(__xludf.DUMMYFUNCTION("""COMPUTED_VALUE"""),70.0)</f>
        <v>70</v>
      </c>
      <c r="F3340" s="19" t="str">
        <f>IFERROR(__xludf.DUMMYFUNCTION("""COMPUTED_VALUE"""),"BLACK")</f>
        <v>BLACK</v>
      </c>
      <c r="G3340" s="20" t="str">
        <f>IFERROR(__xludf.DUMMYFUNCTION("""COMPUTED_VALUE"""),"Uncle Sams Cider (04/04/2023)")</f>
        <v>Uncle Sams Cider (04/04/2023)</v>
      </c>
      <c r="H3340" s="19"/>
    </row>
    <row r="3341">
      <c r="A3341" s="9"/>
      <c r="B3341" s="15"/>
      <c r="C3341" s="9">
        <f>IFERROR(__xludf.DUMMYFUNCTION("""COMPUTED_VALUE"""),45109.696163993)</f>
        <v>45109.69616</v>
      </c>
      <c r="D3341" s="15">
        <f>IFERROR(__xludf.DUMMYFUNCTION("""COMPUTED_VALUE"""),1.004)</f>
        <v>1.004</v>
      </c>
      <c r="E3341" s="16">
        <f>IFERROR(__xludf.DUMMYFUNCTION("""COMPUTED_VALUE"""),70.0)</f>
        <v>70</v>
      </c>
      <c r="F3341" s="19" t="str">
        <f>IFERROR(__xludf.DUMMYFUNCTION("""COMPUTED_VALUE"""),"BLACK")</f>
        <v>BLACK</v>
      </c>
      <c r="G3341" s="20" t="str">
        <f>IFERROR(__xludf.DUMMYFUNCTION("""COMPUTED_VALUE"""),"Uncle Sams Cider (04/04/2023)")</f>
        <v>Uncle Sams Cider (04/04/2023)</v>
      </c>
      <c r="H3341" s="19"/>
    </row>
    <row r="3342">
      <c r="A3342" s="9"/>
      <c r="B3342" s="15"/>
      <c r="C3342" s="9">
        <f>IFERROR(__xludf.DUMMYFUNCTION("""COMPUTED_VALUE"""),45109.6857421412)</f>
        <v>45109.68574</v>
      </c>
      <c r="D3342" s="15">
        <f>IFERROR(__xludf.DUMMYFUNCTION("""COMPUTED_VALUE"""),1.004)</f>
        <v>1.004</v>
      </c>
      <c r="E3342" s="16">
        <f>IFERROR(__xludf.DUMMYFUNCTION("""COMPUTED_VALUE"""),70.0)</f>
        <v>70</v>
      </c>
      <c r="F3342" s="19" t="str">
        <f>IFERROR(__xludf.DUMMYFUNCTION("""COMPUTED_VALUE"""),"BLACK")</f>
        <v>BLACK</v>
      </c>
      <c r="G3342" s="20" t="str">
        <f>IFERROR(__xludf.DUMMYFUNCTION("""COMPUTED_VALUE"""),"Uncle Sams Cider (04/04/2023)")</f>
        <v>Uncle Sams Cider (04/04/2023)</v>
      </c>
      <c r="H3342" s="19"/>
    </row>
    <row r="3343">
      <c r="A3343" s="9"/>
      <c r="B3343" s="15"/>
      <c r="C3343" s="9">
        <f>IFERROR(__xludf.DUMMYFUNCTION("""COMPUTED_VALUE"""),45109.6753220717)</f>
        <v>45109.67532</v>
      </c>
      <c r="D3343" s="15">
        <f>IFERROR(__xludf.DUMMYFUNCTION("""COMPUTED_VALUE"""),1.004)</f>
        <v>1.004</v>
      </c>
      <c r="E3343" s="16">
        <f>IFERROR(__xludf.DUMMYFUNCTION("""COMPUTED_VALUE"""),70.0)</f>
        <v>70</v>
      </c>
      <c r="F3343" s="19" t="str">
        <f>IFERROR(__xludf.DUMMYFUNCTION("""COMPUTED_VALUE"""),"BLACK")</f>
        <v>BLACK</v>
      </c>
      <c r="G3343" s="20" t="str">
        <f>IFERROR(__xludf.DUMMYFUNCTION("""COMPUTED_VALUE"""),"Uncle Sams Cider (04/04/2023)")</f>
        <v>Uncle Sams Cider (04/04/2023)</v>
      </c>
      <c r="H3343" s="19"/>
    </row>
    <row r="3344">
      <c r="A3344" s="9"/>
      <c r="B3344" s="15"/>
      <c r="C3344" s="9">
        <f>IFERROR(__xludf.DUMMYFUNCTION("""COMPUTED_VALUE"""),45109.6649027199)</f>
        <v>45109.6649</v>
      </c>
      <c r="D3344" s="15">
        <f>IFERROR(__xludf.DUMMYFUNCTION("""COMPUTED_VALUE"""),1.004)</f>
        <v>1.004</v>
      </c>
      <c r="E3344" s="16">
        <f>IFERROR(__xludf.DUMMYFUNCTION("""COMPUTED_VALUE"""),70.0)</f>
        <v>70</v>
      </c>
      <c r="F3344" s="19" t="str">
        <f>IFERROR(__xludf.DUMMYFUNCTION("""COMPUTED_VALUE"""),"BLACK")</f>
        <v>BLACK</v>
      </c>
      <c r="G3344" s="20" t="str">
        <f>IFERROR(__xludf.DUMMYFUNCTION("""COMPUTED_VALUE"""),"Uncle Sams Cider (04/04/2023)")</f>
        <v>Uncle Sams Cider (04/04/2023)</v>
      </c>
      <c r="H3344" s="19"/>
    </row>
    <row r="3345">
      <c r="A3345" s="9"/>
      <c r="B3345" s="15"/>
      <c r="C3345" s="9">
        <f>IFERROR(__xludf.DUMMYFUNCTION("""COMPUTED_VALUE"""),45109.6544818287)</f>
        <v>45109.65448</v>
      </c>
      <c r="D3345" s="15">
        <f>IFERROR(__xludf.DUMMYFUNCTION("""COMPUTED_VALUE"""),1.004)</f>
        <v>1.004</v>
      </c>
      <c r="E3345" s="16">
        <f>IFERROR(__xludf.DUMMYFUNCTION("""COMPUTED_VALUE"""),70.0)</f>
        <v>70</v>
      </c>
      <c r="F3345" s="19" t="str">
        <f>IFERROR(__xludf.DUMMYFUNCTION("""COMPUTED_VALUE"""),"BLACK")</f>
        <v>BLACK</v>
      </c>
      <c r="G3345" s="20" t="str">
        <f>IFERROR(__xludf.DUMMYFUNCTION("""COMPUTED_VALUE"""),"Uncle Sams Cider (04/04/2023)")</f>
        <v>Uncle Sams Cider (04/04/2023)</v>
      </c>
      <c r="H3345" s="19"/>
    </row>
    <row r="3346">
      <c r="A3346" s="9"/>
      <c r="B3346" s="15"/>
      <c r="C3346" s="9">
        <f>IFERROR(__xludf.DUMMYFUNCTION("""COMPUTED_VALUE"""),45109.6440601851)</f>
        <v>45109.64406</v>
      </c>
      <c r="D3346" s="15">
        <f>IFERROR(__xludf.DUMMYFUNCTION("""COMPUTED_VALUE"""),1.004)</f>
        <v>1.004</v>
      </c>
      <c r="E3346" s="16">
        <f>IFERROR(__xludf.DUMMYFUNCTION("""COMPUTED_VALUE"""),70.0)</f>
        <v>70</v>
      </c>
      <c r="F3346" s="19" t="str">
        <f>IFERROR(__xludf.DUMMYFUNCTION("""COMPUTED_VALUE"""),"BLACK")</f>
        <v>BLACK</v>
      </c>
      <c r="G3346" s="20" t="str">
        <f>IFERROR(__xludf.DUMMYFUNCTION("""COMPUTED_VALUE"""),"Uncle Sams Cider (04/04/2023)")</f>
        <v>Uncle Sams Cider (04/04/2023)</v>
      </c>
      <c r="H3346" s="19"/>
    </row>
    <row r="3347">
      <c r="A3347" s="9"/>
      <c r="B3347" s="15"/>
      <c r="C3347" s="9">
        <f>IFERROR(__xludf.DUMMYFUNCTION("""COMPUTED_VALUE"""),45109.6336385995)</f>
        <v>45109.63364</v>
      </c>
      <c r="D3347" s="15">
        <f>IFERROR(__xludf.DUMMYFUNCTION("""COMPUTED_VALUE"""),1.004)</f>
        <v>1.004</v>
      </c>
      <c r="E3347" s="16">
        <f>IFERROR(__xludf.DUMMYFUNCTION("""COMPUTED_VALUE"""),70.0)</f>
        <v>70</v>
      </c>
      <c r="F3347" s="19" t="str">
        <f>IFERROR(__xludf.DUMMYFUNCTION("""COMPUTED_VALUE"""),"BLACK")</f>
        <v>BLACK</v>
      </c>
      <c r="G3347" s="20" t="str">
        <f>IFERROR(__xludf.DUMMYFUNCTION("""COMPUTED_VALUE"""),"Uncle Sams Cider (04/04/2023)")</f>
        <v>Uncle Sams Cider (04/04/2023)</v>
      </c>
      <c r="H3347" s="19"/>
    </row>
    <row r="3348">
      <c r="A3348" s="9"/>
      <c r="B3348" s="15"/>
      <c r="C3348" s="9">
        <f>IFERROR(__xludf.DUMMYFUNCTION("""COMPUTED_VALUE"""),45109.6232172453)</f>
        <v>45109.62322</v>
      </c>
      <c r="D3348" s="15">
        <f>IFERROR(__xludf.DUMMYFUNCTION("""COMPUTED_VALUE"""),1.004)</f>
        <v>1.004</v>
      </c>
      <c r="E3348" s="16">
        <f>IFERROR(__xludf.DUMMYFUNCTION("""COMPUTED_VALUE"""),70.0)</f>
        <v>70</v>
      </c>
      <c r="F3348" s="19" t="str">
        <f>IFERROR(__xludf.DUMMYFUNCTION("""COMPUTED_VALUE"""),"BLACK")</f>
        <v>BLACK</v>
      </c>
      <c r="G3348" s="20" t="str">
        <f>IFERROR(__xludf.DUMMYFUNCTION("""COMPUTED_VALUE"""),"Uncle Sams Cider (04/04/2023)")</f>
        <v>Uncle Sams Cider (04/04/2023)</v>
      </c>
      <c r="H3348" s="19"/>
    </row>
    <row r="3349">
      <c r="A3349" s="9"/>
      <c r="B3349" s="15"/>
      <c r="C3349" s="9">
        <f>IFERROR(__xludf.DUMMYFUNCTION("""COMPUTED_VALUE"""),45109.6127980787)</f>
        <v>45109.6128</v>
      </c>
      <c r="D3349" s="15">
        <f>IFERROR(__xludf.DUMMYFUNCTION("""COMPUTED_VALUE"""),1.004)</f>
        <v>1.004</v>
      </c>
      <c r="E3349" s="16">
        <f>IFERROR(__xludf.DUMMYFUNCTION("""COMPUTED_VALUE"""),70.0)</f>
        <v>70</v>
      </c>
      <c r="F3349" s="19" t="str">
        <f>IFERROR(__xludf.DUMMYFUNCTION("""COMPUTED_VALUE"""),"BLACK")</f>
        <v>BLACK</v>
      </c>
      <c r="G3349" s="20" t="str">
        <f>IFERROR(__xludf.DUMMYFUNCTION("""COMPUTED_VALUE"""),"Uncle Sams Cider (04/04/2023)")</f>
        <v>Uncle Sams Cider (04/04/2023)</v>
      </c>
      <c r="H3349" s="19"/>
    </row>
    <row r="3350">
      <c r="A3350" s="9"/>
      <c r="B3350" s="15"/>
      <c r="C3350" s="9">
        <f>IFERROR(__xludf.DUMMYFUNCTION("""COMPUTED_VALUE"""),45109.6023539814)</f>
        <v>45109.60235</v>
      </c>
      <c r="D3350" s="15">
        <f>IFERROR(__xludf.DUMMYFUNCTION("""COMPUTED_VALUE"""),1.004)</f>
        <v>1.004</v>
      </c>
      <c r="E3350" s="16">
        <f>IFERROR(__xludf.DUMMYFUNCTION("""COMPUTED_VALUE"""),70.0)</f>
        <v>70</v>
      </c>
      <c r="F3350" s="19" t="str">
        <f>IFERROR(__xludf.DUMMYFUNCTION("""COMPUTED_VALUE"""),"BLACK")</f>
        <v>BLACK</v>
      </c>
      <c r="G3350" s="20" t="str">
        <f>IFERROR(__xludf.DUMMYFUNCTION("""COMPUTED_VALUE"""),"Uncle Sams Cider (04/04/2023)")</f>
        <v>Uncle Sams Cider (04/04/2023)</v>
      </c>
      <c r="H3350" s="19"/>
    </row>
    <row r="3351">
      <c r="A3351" s="9"/>
      <c r="B3351" s="15"/>
      <c r="C3351" s="9">
        <f>IFERROR(__xludf.DUMMYFUNCTION("""COMPUTED_VALUE"""),45109.5919318981)</f>
        <v>45109.59193</v>
      </c>
      <c r="D3351" s="15">
        <f>IFERROR(__xludf.DUMMYFUNCTION("""COMPUTED_VALUE"""),1.004)</f>
        <v>1.004</v>
      </c>
      <c r="E3351" s="16">
        <f>IFERROR(__xludf.DUMMYFUNCTION("""COMPUTED_VALUE"""),70.0)</f>
        <v>70</v>
      </c>
      <c r="F3351" s="19" t="str">
        <f>IFERROR(__xludf.DUMMYFUNCTION("""COMPUTED_VALUE"""),"BLACK")</f>
        <v>BLACK</v>
      </c>
      <c r="G3351" s="20" t="str">
        <f>IFERROR(__xludf.DUMMYFUNCTION("""COMPUTED_VALUE"""),"Uncle Sams Cider (04/04/2023)")</f>
        <v>Uncle Sams Cider (04/04/2023)</v>
      </c>
      <c r="H3351" s="19"/>
    </row>
    <row r="3352">
      <c r="A3352" s="9"/>
      <c r="B3352" s="15"/>
      <c r="C3352" s="9">
        <f>IFERROR(__xludf.DUMMYFUNCTION("""COMPUTED_VALUE"""),45109.5815095486)</f>
        <v>45109.58151</v>
      </c>
      <c r="D3352" s="15">
        <f>IFERROR(__xludf.DUMMYFUNCTION("""COMPUTED_VALUE"""),1.004)</f>
        <v>1.004</v>
      </c>
      <c r="E3352" s="16">
        <f>IFERROR(__xludf.DUMMYFUNCTION("""COMPUTED_VALUE"""),70.0)</f>
        <v>70</v>
      </c>
      <c r="F3352" s="19" t="str">
        <f>IFERROR(__xludf.DUMMYFUNCTION("""COMPUTED_VALUE"""),"BLACK")</f>
        <v>BLACK</v>
      </c>
      <c r="G3352" s="20" t="str">
        <f>IFERROR(__xludf.DUMMYFUNCTION("""COMPUTED_VALUE"""),"Uncle Sams Cider (04/04/2023)")</f>
        <v>Uncle Sams Cider (04/04/2023)</v>
      </c>
      <c r="H3352" s="19"/>
    </row>
    <row r="3353">
      <c r="A3353" s="9"/>
      <c r="B3353" s="15"/>
      <c r="C3353" s="9">
        <f>IFERROR(__xludf.DUMMYFUNCTION("""COMPUTED_VALUE"""),45109.571086875)</f>
        <v>45109.57109</v>
      </c>
      <c r="D3353" s="15">
        <f>IFERROR(__xludf.DUMMYFUNCTION("""COMPUTED_VALUE"""),1.004)</f>
        <v>1.004</v>
      </c>
      <c r="E3353" s="16">
        <f>IFERROR(__xludf.DUMMYFUNCTION("""COMPUTED_VALUE"""),70.0)</f>
        <v>70</v>
      </c>
      <c r="F3353" s="19" t="str">
        <f>IFERROR(__xludf.DUMMYFUNCTION("""COMPUTED_VALUE"""),"BLACK")</f>
        <v>BLACK</v>
      </c>
      <c r="G3353" s="20" t="str">
        <f>IFERROR(__xludf.DUMMYFUNCTION("""COMPUTED_VALUE"""),"Uncle Sams Cider (04/04/2023)")</f>
        <v>Uncle Sams Cider (04/04/2023)</v>
      </c>
      <c r="H3353" s="19"/>
    </row>
    <row r="3354">
      <c r="A3354" s="9"/>
      <c r="B3354" s="15"/>
      <c r="C3354" s="9">
        <f>IFERROR(__xludf.DUMMYFUNCTION("""COMPUTED_VALUE"""),45109.5606649305)</f>
        <v>45109.56066</v>
      </c>
      <c r="D3354" s="15">
        <f>IFERROR(__xludf.DUMMYFUNCTION("""COMPUTED_VALUE"""),1.004)</f>
        <v>1.004</v>
      </c>
      <c r="E3354" s="16">
        <f>IFERROR(__xludf.DUMMYFUNCTION("""COMPUTED_VALUE"""),70.0)</f>
        <v>70</v>
      </c>
      <c r="F3354" s="19" t="str">
        <f>IFERROR(__xludf.DUMMYFUNCTION("""COMPUTED_VALUE"""),"BLACK")</f>
        <v>BLACK</v>
      </c>
      <c r="G3354" s="20" t="str">
        <f>IFERROR(__xludf.DUMMYFUNCTION("""COMPUTED_VALUE"""),"Uncle Sams Cider (04/04/2023)")</f>
        <v>Uncle Sams Cider (04/04/2023)</v>
      </c>
      <c r="H3354" s="19"/>
    </row>
    <row r="3355">
      <c r="A3355" s="9"/>
      <c r="B3355" s="15"/>
      <c r="C3355" s="9">
        <f>IFERROR(__xludf.DUMMYFUNCTION("""COMPUTED_VALUE"""),45109.5502433217)</f>
        <v>45109.55024</v>
      </c>
      <c r="D3355" s="15">
        <f>IFERROR(__xludf.DUMMYFUNCTION("""COMPUTED_VALUE"""),1.004)</f>
        <v>1.004</v>
      </c>
      <c r="E3355" s="16">
        <f>IFERROR(__xludf.DUMMYFUNCTION("""COMPUTED_VALUE"""),70.0)</f>
        <v>70</v>
      </c>
      <c r="F3355" s="19" t="str">
        <f>IFERROR(__xludf.DUMMYFUNCTION("""COMPUTED_VALUE"""),"BLACK")</f>
        <v>BLACK</v>
      </c>
      <c r="G3355" s="20" t="str">
        <f>IFERROR(__xludf.DUMMYFUNCTION("""COMPUTED_VALUE"""),"Uncle Sams Cider (04/04/2023)")</f>
        <v>Uncle Sams Cider (04/04/2023)</v>
      </c>
      <c r="H3355" s="19"/>
    </row>
    <row r="3356">
      <c r="A3356" s="9"/>
      <c r="B3356" s="15"/>
      <c r="C3356" s="9">
        <f>IFERROR(__xludf.DUMMYFUNCTION("""COMPUTED_VALUE"""),45109.5398228009)</f>
        <v>45109.53982</v>
      </c>
      <c r="D3356" s="15">
        <f>IFERROR(__xludf.DUMMYFUNCTION("""COMPUTED_VALUE"""),1.004)</f>
        <v>1.004</v>
      </c>
      <c r="E3356" s="16">
        <f>IFERROR(__xludf.DUMMYFUNCTION("""COMPUTED_VALUE"""),70.0)</f>
        <v>70</v>
      </c>
      <c r="F3356" s="19" t="str">
        <f>IFERROR(__xludf.DUMMYFUNCTION("""COMPUTED_VALUE"""),"BLACK")</f>
        <v>BLACK</v>
      </c>
      <c r="G3356" s="20" t="str">
        <f>IFERROR(__xludf.DUMMYFUNCTION("""COMPUTED_VALUE"""),"Uncle Sams Cider (04/04/2023)")</f>
        <v>Uncle Sams Cider (04/04/2023)</v>
      </c>
      <c r="H3356" s="19"/>
    </row>
    <row r="3357">
      <c r="A3357" s="9"/>
      <c r="B3357" s="15"/>
      <c r="C3357" s="9">
        <f>IFERROR(__xludf.DUMMYFUNCTION("""COMPUTED_VALUE"""),45109.5294011226)</f>
        <v>45109.5294</v>
      </c>
      <c r="D3357" s="15">
        <f>IFERROR(__xludf.DUMMYFUNCTION("""COMPUTED_VALUE"""),1.004)</f>
        <v>1.004</v>
      </c>
      <c r="E3357" s="16">
        <f>IFERROR(__xludf.DUMMYFUNCTION("""COMPUTED_VALUE"""),70.0)</f>
        <v>70</v>
      </c>
      <c r="F3357" s="19" t="str">
        <f>IFERROR(__xludf.DUMMYFUNCTION("""COMPUTED_VALUE"""),"BLACK")</f>
        <v>BLACK</v>
      </c>
      <c r="G3357" s="20" t="str">
        <f>IFERROR(__xludf.DUMMYFUNCTION("""COMPUTED_VALUE"""),"Uncle Sams Cider (04/04/2023)")</f>
        <v>Uncle Sams Cider (04/04/2023)</v>
      </c>
      <c r="H3357" s="19"/>
    </row>
    <row r="3358">
      <c r="A3358" s="9"/>
      <c r="B3358" s="15"/>
      <c r="C3358" s="9">
        <f>IFERROR(__xludf.DUMMYFUNCTION("""COMPUTED_VALUE"""),45109.5189803125)</f>
        <v>45109.51898</v>
      </c>
      <c r="D3358" s="15">
        <f>IFERROR(__xludf.DUMMYFUNCTION("""COMPUTED_VALUE"""),1.004)</f>
        <v>1.004</v>
      </c>
      <c r="E3358" s="16">
        <f>IFERROR(__xludf.DUMMYFUNCTION("""COMPUTED_VALUE"""),70.0)</f>
        <v>70</v>
      </c>
      <c r="F3358" s="19" t="str">
        <f>IFERROR(__xludf.DUMMYFUNCTION("""COMPUTED_VALUE"""),"BLACK")</f>
        <v>BLACK</v>
      </c>
      <c r="G3358" s="20" t="str">
        <f>IFERROR(__xludf.DUMMYFUNCTION("""COMPUTED_VALUE"""),"Uncle Sams Cider (04/04/2023)")</f>
        <v>Uncle Sams Cider (04/04/2023)</v>
      </c>
      <c r="H3358" s="19"/>
    </row>
    <row r="3359">
      <c r="A3359" s="9"/>
      <c r="B3359" s="15"/>
      <c r="C3359" s="9">
        <f>IFERROR(__xludf.DUMMYFUNCTION("""COMPUTED_VALUE"""),45109.5085383333)</f>
        <v>45109.50854</v>
      </c>
      <c r="D3359" s="15">
        <f>IFERROR(__xludf.DUMMYFUNCTION("""COMPUTED_VALUE"""),1.004)</f>
        <v>1.004</v>
      </c>
      <c r="E3359" s="16">
        <f>IFERROR(__xludf.DUMMYFUNCTION("""COMPUTED_VALUE"""),70.0)</f>
        <v>70</v>
      </c>
      <c r="F3359" s="19" t="str">
        <f>IFERROR(__xludf.DUMMYFUNCTION("""COMPUTED_VALUE"""),"BLACK")</f>
        <v>BLACK</v>
      </c>
      <c r="G3359" s="20" t="str">
        <f>IFERROR(__xludf.DUMMYFUNCTION("""COMPUTED_VALUE"""),"Uncle Sams Cider (04/04/2023)")</f>
        <v>Uncle Sams Cider (04/04/2023)</v>
      </c>
      <c r="H3359" s="19"/>
    </row>
    <row r="3360">
      <c r="A3360" s="9"/>
      <c r="B3360" s="15"/>
      <c r="C3360" s="9">
        <f>IFERROR(__xludf.DUMMYFUNCTION("""COMPUTED_VALUE"""),45109.4980934027)</f>
        <v>45109.49809</v>
      </c>
      <c r="D3360" s="15">
        <f>IFERROR(__xludf.DUMMYFUNCTION("""COMPUTED_VALUE"""),1.004)</f>
        <v>1.004</v>
      </c>
      <c r="E3360" s="16">
        <f>IFERROR(__xludf.DUMMYFUNCTION("""COMPUTED_VALUE"""),70.0)</f>
        <v>70</v>
      </c>
      <c r="F3360" s="19" t="str">
        <f>IFERROR(__xludf.DUMMYFUNCTION("""COMPUTED_VALUE"""),"BLACK")</f>
        <v>BLACK</v>
      </c>
      <c r="G3360" s="20" t="str">
        <f>IFERROR(__xludf.DUMMYFUNCTION("""COMPUTED_VALUE"""),"Uncle Sams Cider (04/04/2023)")</f>
        <v>Uncle Sams Cider (04/04/2023)</v>
      </c>
      <c r="H3360" s="19"/>
    </row>
    <row r="3361">
      <c r="A3361" s="9"/>
      <c r="B3361" s="15"/>
      <c r="C3361" s="9">
        <f>IFERROR(__xludf.DUMMYFUNCTION("""COMPUTED_VALUE"""),45109.4876716088)</f>
        <v>45109.48767</v>
      </c>
      <c r="D3361" s="15">
        <f>IFERROR(__xludf.DUMMYFUNCTION("""COMPUTED_VALUE"""),1.004)</f>
        <v>1.004</v>
      </c>
      <c r="E3361" s="16">
        <f>IFERROR(__xludf.DUMMYFUNCTION("""COMPUTED_VALUE"""),70.0)</f>
        <v>70</v>
      </c>
      <c r="F3361" s="19" t="str">
        <f>IFERROR(__xludf.DUMMYFUNCTION("""COMPUTED_VALUE"""),"BLACK")</f>
        <v>BLACK</v>
      </c>
      <c r="G3361" s="20" t="str">
        <f>IFERROR(__xludf.DUMMYFUNCTION("""COMPUTED_VALUE"""),"Uncle Sams Cider (04/04/2023)")</f>
        <v>Uncle Sams Cider (04/04/2023)</v>
      </c>
      <c r="H3361" s="19"/>
    </row>
    <row r="3362">
      <c r="A3362" s="9"/>
      <c r="B3362" s="15"/>
      <c r="C3362" s="9">
        <f>IFERROR(__xludf.DUMMYFUNCTION("""COMPUTED_VALUE"""),45109.4772504861)</f>
        <v>45109.47725</v>
      </c>
      <c r="D3362" s="15">
        <f>IFERROR(__xludf.DUMMYFUNCTION("""COMPUTED_VALUE"""),1.004)</f>
        <v>1.004</v>
      </c>
      <c r="E3362" s="16">
        <f>IFERROR(__xludf.DUMMYFUNCTION("""COMPUTED_VALUE"""),70.0)</f>
        <v>70</v>
      </c>
      <c r="F3362" s="19" t="str">
        <f>IFERROR(__xludf.DUMMYFUNCTION("""COMPUTED_VALUE"""),"BLACK")</f>
        <v>BLACK</v>
      </c>
      <c r="G3362" s="20" t="str">
        <f>IFERROR(__xludf.DUMMYFUNCTION("""COMPUTED_VALUE"""),"Uncle Sams Cider (04/04/2023)")</f>
        <v>Uncle Sams Cider (04/04/2023)</v>
      </c>
      <c r="H3362" s="19"/>
    </row>
    <row r="3363">
      <c r="A3363" s="9"/>
      <c r="B3363" s="15"/>
      <c r="C3363" s="9">
        <f>IFERROR(__xludf.DUMMYFUNCTION("""COMPUTED_VALUE"""),45109.4668187847)</f>
        <v>45109.46682</v>
      </c>
      <c r="D3363" s="15">
        <f>IFERROR(__xludf.DUMMYFUNCTION("""COMPUTED_VALUE"""),1.004)</f>
        <v>1.004</v>
      </c>
      <c r="E3363" s="16">
        <f>IFERROR(__xludf.DUMMYFUNCTION("""COMPUTED_VALUE"""),70.0)</f>
        <v>70</v>
      </c>
      <c r="F3363" s="19" t="str">
        <f>IFERROR(__xludf.DUMMYFUNCTION("""COMPUTED_VALUE"""),"BLACK")</f>
        <v>BLACK</v>
      </c>
      <c r="G3363" s="20" t="str">
        <f>IFERROR(__xludf.DUMMYFUNCTION("""COMPUTED_VALUE"""),"Uncle Sams Cider (04/04/2023)")</f>
        <v>Uncle Sams Cider (04/04/2023)</v>
      </c>
      <c r="H3363" s="19"/>
    </row>
    <row r="3364">
      <c r="A3364" s="9"/>
      <c r="B3364" s="15"/>
      <c r="C3364" s="9">
        <f>IFERROR(__xludf.DUMMYFUNCTION("""COMPUTED_VALUE"""),45109.4563956018)</f>
        <v>45109.4564</v>
      </c>
      <c r="D3364" s="15">
        <f>IFERROR(__xludf.DUMMYFUNCTION("""COMPUTED_VALUE"""),1.004)</f>
        <v>1.004</v>
      </c>
      <c r="E3364" s="16">
        <f>IFERROR(__xludf.DUMMYFUNCTION("""COMPUTED_VALUE"""),70.0)</f>
        <v>70</v>
      </c>
      <c r="F3364" s="19" t="str">
        <f>IFERROR(__xludf.DUMMYFUNCTION("""COMPUTED_VALUE"""),"BLACK")</f>
        <v>BLACK</v>
      </c>
      <c r="G3364" s="20" t="str">
        <f>IFERROR(__xludf.DUMMYFUNCTION("""COMPUTED_VALUE"""),"Uncle Sams Cider (04/04/2023)")</f>
        <v>Uncle Sams Cider (04/04/2023)</v>
      </c>
      <c r="H3364" s="19"/>
    </row>
    <row r="3365">
      <c r="A3365" s="9"/>
      <c r="B3365" s="15"/>
      <c r="C3365" s="9">
        <f>IFERROR(__xludf.DUMMYFUNCTION("""COMPUTED_VALUE"""),45109.4459746064)</f>
        <v>45109.44597</v>
      </c>
      <c r="D3365" s="15">
        <f>IFERROR(__xludf.DUMMYFUNCTION("""COMPUTED_VALUE"""),1.004)</f>
        <v>1.004</v>
      </c>
      <c r="E3365" s="16">
        <f>IFERROR(__xludf.DUMMYFUNCTION("""COMPUTED_VALUE"""),70.0)</f>
        <v>70</v>
      </c>
      <c r="F3365" s="19" t="str">
        <f>IFERROR(__xludf.DUMMYFUNCTION("""COMPUTED_VALUE"""),"BLACK")</f>
        <v>BLACK</v>
      </c>
      <c r="G3365" s="20" t="str">
        <f>IFERROR(__xludf.DUMMYFUNCTION("""COMPUTED_VALUE"""),"Uncle Sams Cider (04/04/2023)")</f>
        <v>Uncle Sams Cider (04/04/2023)</v>
      </c>
      <c r="H3365" s="19"/>
    </row>
    <row r="3366">
      <c r="A3366" s="9"/>
      <c r="B3366" s="15"/>
      <c r="C3366" s="9">
        <f>IFERROR(__xludf.DUMMYFUNCTION("""COMPUTED_VALUE"""),45109.4355538888)</f>
        <v>45109.43555</v>
      </c>
      <c r="D3366" s="15">
        <f>IFERROR(__xludf.DUMMYFUNCTION("""COMPUTED_VALUE"""),1.004)</f>
        <v>1.004</v>
      </c>
      <c r="E3366" s="16">
        <f>IFERROR(__xludf.DUMMYFUNCTION("""COMPUTED_VALUE"""),70.0)</f>
        <v>70</v>
      </c>
      <c r="F3366" s="19" t="str">
        <f>IFERROR(__xludf.DUMMYFUNCTION("""COMPUTED_VALUE"""),"BLACK")</f>
        <v>BLACK</v>
      </c>
      <c r="G3366" s="20" t="str">
        <f>IFERROR(__xludf.DUMMYFUNCTION("""COMPUTED_VALUE"""),"Uncle Sams Cider (04/04/2023)")</f>
        <v>Uncle Sams Cider (04/04/2023)</v>
      </c>
      <c r="H3366" s="19"/>
    </row>
    <row r="3367">
      <c r="A3367" s="9"/>
      <c r="B3367" s="15"/>
      <c r="C3367" s="9">
        <f>IFERROR(__xludf.DUMMYFUNCTION("""COMPUTED_VALUE"""),45109.425129537)</f>
        <v>45109.42513</v>
      </c>
      <c r="D3367" s="15">
        <f>IFERROR(__xludf.DUMMYFUNCTION("""COMPUTED_VALUE"""),1.004)</f>
        <v>1.004</v>
      </c>
      <c r="E3367" s="16">
        <f>IFERROR(__xludf.DUMMYFUNCTION("""COMPUTED_VALUE"""),70.0)</f>
        <v>70</v>
      </c>
      <c r="F3367" s="19" t="str">
        <f>IFERROR(__xludf.DUMMYFUNCTION("""COMPUTED_VALUE"""),"BLACK")</f>
        <v>BLACK</v>
      </c>
      <c r="G3367" s="20" t="str">
        <f>IFERROR(__xludf.DUMMYFUNCTION("""COMPUTED_VALUE"""),"Uncle Sams Cider (04/04/2023)")</f>
        <v>Uncle Sams Cider (04/04/2023)</v>
      </c>
      <c r="H3367" s="19"/>
    </row>
    <row r="3368">
      <c r="A3368" s="9"/>
      <c r="B3368" s="15"/>
      <c r="C3368" s="9">
        <f>IFERROR(__xludf.DUMMYFUNCTION("""COMPUTED_VALUE"""),45109.4147102199)</f>
        <v>45109.41471</v>
      </c>
      <c r="D3368" s="15">
        <f>IFERROR(__xludf.DUMMYFUNCTION("""COMPUTED_VALUE"""),1.004)</f>
        <v>1.004</v>
      </c>
      <c r="E3368" s="16">
        <f>IFERROR(__xludf.DUMMYFUNCTION("""COMPUTED_VALUE"""),70.0)</f>
        <v>70</v>
      </c>
      <c r="F3368" s="19" t="str">
        <f>IFERROR(__xludf.DUMMYFUNCTION("""COMPUTED_VALUE"""),"BLACK")</f>
        <v>BLACK</v>
      </c>
      <c r="G3368" s="20" t="str">
        <f>IFERROR(__xludf.DUMMYFUNCTION("""COMPUTED_VALUE"""),"Uncle Sams Cider (04/04/2023)")</f>
        <v>Uncle Sams Cider (04/04/2023)</v>
      </c>
      <c r="H3368" s="19"/>
    </row>
    <row r="3369">
      <c r="A3369" s="9"/>
      <c r="B3369" s="15"/>
      <c r="C3369" s="9">
        <f>IFERROR(__xludf.DUMMYFUNCTION("""COMPUTED_VALUE"""),45109.40425728)</f>
        <v>45109.40426</v>
      </c>
      <c r="D3369" s="15">
        <f>IFERROR(__xludf.DUMMYFUNCTION("""COMPUTED_VALUE"""),1.004)</f>
        <v>1.004</v>
      </c>
      <c r="E3369" s="16">
        <f>IFERROR(__xludf.DUMMYFUNCTION("""COMPUTED_VALUE"""),70.0)</f>
        <v>70</v>
      </c>
      <c r="F3369" s="19" t="str">
        <f>IFERROR(__xludf.DUMMYFUNCTION("""COMPUTED_VALUE"""),"BLACK")</f>
        <v>BLACK</v>
      </c>
      <c r="G3369" s="20" t="str">
        <f>IFERROR(__xludf.DUMMYFUNCTION("""COMPUTED_VALUE"""),"Uncle Sams Cider (04/04/2023)")</f>
        <v>Uncle Sams Cider (04/04/2023)</v>
      </c>
      <c r="H3369" s="19"/>
    </row>
    <row r="3370">
      <c r="A3370" s="9"/>
      <c r="B3370" s="15"/>
      <c r="C3370" s="9">
        <f>IFERROR(__xludf.DUMMYFUNCTION("""COMPUTED_VALUE"""),45109.3938386689)</f>
        <v>45109.39384</v>
      </c>
      <c r="D3370" s="15">
        <f>IFERROR(__xludf.DUMMYFUNCTION("""COMPUTED_VALUE"""),1.004)</f>
        <v>1.004</v>
      </c>
      <c r="E3370" s="16">
        <f>IFERROR(__xludf.DUMMYFUNCTION("""COMPUTED_VALUE"""),70.0)</f>
        <v>70</v>
      </c>
      <c r="F3370" s="19" t="str">
        <f>IFERROR(__xludf.DUMMYFUNCTION("""COMPUTED_VALUE"""),"BLACK")</f>
        <v>BLACK</v>
      </c>
      <c r="G3370" s="20" t="str">
        <f>IFERROR(__xludf.DUMMYFUNCTION("""COMPUTED_VALUE"""),"Uncle Sams Cider (04/04/2023)")</f>
        <v>Uncle Sams Cider (04/04/2023)</v>
      </c>
      <c r="H3370" s="19"/>
    </row>
    <row r="3371">
      <c r="A3371" s="9"/>
      <c r="B3371" s="15"/>
      <c r="C3371" s="9">
        <f>IFERROR(__xludf.DUMMYFUNCTION("""COMPUTED_VALUE"""),45109.3834162847)</f>
        <v>45109.38342</v>
      </c>
      <c r="D3371" s="15">
        <f>IFERROR(__xludf.DUMMYFUNCTION("""COMPUTED_VALUE"""),1.004)</f>
        <v>1.004</v>
      </c>
      <c r="E3371" s="16">
        <f>IFERROR(__xludf.DUMMYFUNCTION("""COMPUTED_VALUE"""),70.0)</f>
        <v>70</v>
      </c>
      <c r="F3371" s="19" t="str">
        <f>IFERROR(__xludf.DUMMYFUNCTION("""COMPUTED_VALUE"""),"BLACK")</f>
        <v>BLACK</v>
      </c>
      <c r="G3371" s="20" t="str">
        <f>IFERROR(__xludf.DUMMYFUNCTION("""COMPUTED_VALUE"""),"Uncle Sams Cider (04/04/2023)")</f>
        <v>Uncle Sams Cider (04/04/2023)</v>
      </c>
      <c r="H3371" s="19"/>
    </row>
    <row r="3372">
      <c r="A3372" s="9"/>
      <c r="B3372" s="15"/>
      <c r="C3372" s="9">
        <f>IFERROR(__xludf.DUMMYFUNCTION("""COMPUTED_VALUE"""),45109.3729880555)</f>
        <v>45109.37299</v>
      </c>
      <c r="D3372" s="15">
        <f>IFERROR(__xludf.DUMMYFUNCTION("""COMPUTED_VALUE"""),1.004)</f>
        <v>1.004</v>
      </c>
      <c r="E3372" s="16">
        <f>IFERROR(__xludf.DUMMYFUNCTION("""COMPUTED_VALUE"""),70.0)</f>
        <v>70</v>
      </c>
      <c r="F3372" s="19" t="str">
        <f>IFERROR(__xludf.DUMMYFUNCTION("""COMPUTED_VALUE"""),"BLACK")</f>
        <v>BLACK</v>
      </c>
      <c r="G3372" s="20" t="str">
        <f>IFERROR(__xludf.DUMMYFUNCTION("""COMPUTED_VALUE"""),"Uncle Sams Cider (04/04/2023)")</f>
        <v>Uncle Sams Cider (04/04/2023)</v>
      </c>
      <c r="H3372" s="19"/>
    </row>
    <row r="3373">
      <c r="A3373" s="9"/>
      <c r="B3373" s="15"/>
      <c r="C3373" s="9">
        <f>IFERROR(__xludf.DUMMYFUNCTION("""COMPUTED_VALUE"""),45109.3625565509)</f>
        <v>45109.36256</v>
      </c>
      <c r="D3373" s="15">
        <f>IFERROR(__xludf.DUMMYFUNCTION("""COMPUTED_VALUE"""),1.004)</f>
        <v>1.004</v>
      </c>
      <c r="E3373" s="16">
        <f>IFERROR(__xludf.DUMMYFUNCTION("""COMPUTED_VALUE"""),70.0)</f>
        <v>70</v>
      </c>
      <c r="F3373" s="19" t="str">
        <f>IFERROR(__xludf.DUMMYFUNCTION("""COMPUTED_VALUE"""),"BLACK")</f>
        <v>BLACK</v>
      </c>
      <c r="G3373" s="20" t="str">
        <f>IFERROR(__xludf.DUMMYFUNCTION("""COMPUTED_VALUE"""),"Uncle Sams Cider (04/04/2023)")</f>
        <v>Uncle Sams Cider (04/04/2023)</v>
      </c>
      <c r="H3373" s="19"/>
    </row>
    <row r="3374">
      <c r="A3374" s="9"/>
      <c r="B3374" s="15"/>
      <c r="C3374" s="9">
        <f>IFERROR(__xludf.DUMMYFUNCTION("""COMPUTED_VALUE"""),45109.3521360416)</f>
        <v>45109.35214</v>
      </c>
      <c r="D3374" s="15">
        <f>IFERROR(__xludf.DUMMYFUNCTION("""COMPUTED_VALUE"""),1.004)</f>
        <v>1.004</v>
      </c>
      <c r="E3374" s="16">
        <f>IFERROR(__xludf.DUMMYFUNCTION("""COMPUTED_VALUE"""),70.0)</f>
        <v>70</v>
      </c>
      <c r="F3374" s="19" t="str">
        <f>IFERROR(__xludf.DUMMYFUNCTION("""COMPUTED_VALUE"""),"BLACK")</f>
        <v>BLACK</v>
      </c>
      <c r="G3374" s="20" t="str">
        <f>IFERROR(__xludf.DUMMYFUNCTION("""COMPUTED_VALUE"""),"Uncle Sams Cider (04/04/2023)")</f>
        <v>Uncle Sams Cider (04/04/2023)</v>
      </c>
      <c r="H3374" s="19"/>
    </row>
    <row r="3375">
      <c r="A3375" s="9"/>
      <c r="B3375" s="15"/>
      <c r="C3375" s="9">
        <f>IFERROR(__xludf.DUMMYFUNCTION("""COMPUTED_VALUE"""),45109.3417023726)</f>
        <v>45109.3417</v>
      </c>
      <c r="D3375" s="15">
        <f>IFERROR(__xludf.DUMMYFUNCTION("""COMPUTED_VALUE"""),1.004)</f>
        <v>1.004</v>
      </c>
      <c r="E3375" s="16">
        <f>IFERROR(__xludf.DUMMYFUNCTION("""COMPUTED_VALUE"""),70.0)</f>
        <v>70</v>
      </c>
      <c r="F3375" s="19" t="str">
        <f>IFERROR(__xludf.DUMMYFUNCTION("""COMPUTED_VALUE"""),"BLACK")</f>
        <v>BLACK</v>
      </c>
      <c r="G3375" s="20" t="str">
        <f>IFERROR(__xludf.DUMMYFUNCTION("""COMPUTED_VALUE"""),"Uncle Sams Cider (04/04/2023)")</f>
        <v>Uncle Sams Cider (04/04/2023)</v>
      </c>
      <c r="H3375" s="19"/>
    </row>
    <row r="3376">
      <c r="A3376" s="9"/>
      <c r="B3376" s="15"/>
      <c r="C3376" s="9">
        <f>IFERROR(__xludf.DUMMYFUNCTION("""COMPUTED_VALUE"""),45109.3312809838)</f>
        <v>45109.33128</v>
      </c>
      <c r="D3376" s="15">
        <f>IFERROR(__xludf.DUMMYFUNCTION("""COMPUTED_VALUE"""),1.004)</f>
        <v>1.004</v>
      </c>
      <c r="E3376" s="16">
        <f>IFERROR(__xludf.DUMMYFUNCTION("""COMPUTED_VALUE"""),70.0)</f>
        <v>70</v>
      </c>
      <c r="F3376" s="19" t="str">
        <f>IFERROR(__xludf.DUMMYFUNCTION("""COMPUTED_VALUE"""),"BLACK")</f>
        <v>BLACK</v>
      </c>
      <c r="G3376" s="20" t="str">
        <f>IFERROR(__xludf.DUMMYFUNCTION("""COMPUTED_VALUE"""),"Uncle Sams Cider (04/04/2023)")</f>
        <v>Uncle Sams Cider (04/04/2023)</v>
      </c>
      <c r="H3376" s="19"/>
    </row>
    <row r="3377">
      <c r="A3377" s="9"/>
      <c r="B3377" s="15"/>
      <c r="C3377" s="9">
        <f>IFERROR(__xludf.DUMMYFUNCTION("""COMPUTED_VALUE"""),45109.320863125)</f>
        <v>45109.32086</v>
      </c>
      <c r="D3377" s="15">
        <f>IFERROR(__xludf.DUMMYFUNCTION("""COMPUTED_VALUE"""),1.004)</f>
        <v>1.004</v>
      </c>
      <c r="E3377" s="16">
        <f>IFERROR(__xludf.DUMMYFUNCTION("""COMPUTED_VALUE"""),70.0)</f>
        <v>70</v>
      </c>
      <c r="F3377" s="19" t="str">
        <f>IFERROR(__xludf.DUMMYFUNCTION("""COMPUTED_VALUE"""),"BLACK")</f>
        <v>BLACK</v>
      </c>
      <c r="G3377" s="20" t="str">
        <f>IFERROR(__xludf.DUMMYFUNCTION("""COMPUTED_VALUE"""),"Uncle Sams Cider (04/04/2023)")</f>
        <v>Uncle Sams Cider (04/04/2023)</v>
      </c>
      <c r="H3377" s="19"/>
    </row>
    <row r="3378">
      <c r="A3378" s="9"/>
      <c r="B3378" s="15"/>
      <c r="C3378" s="9">
        <f>IFERROR(__xludf.DUMMYFUNCTION("""COMPUTED_VALUE"""),45109.310429456)</f>
        <v>45109.31043</v>
      </c>
      <c r="D3378" s="15">
        <f>IFERROR(__xludf.DUMMYFUNCTION("""COMPUTED_VALUE"""),1.004)</f>
        <v>1.004</v>
      </c>
      <c r="E3378" s="16">
        <f>IFERROR(__xludf.DUMMYFUNCTION("""COMPUTED_VALUE"""),70.0)</f>
        <v>70</v>
      </c>
      <c r="F3378" s="19" t="str">
        <f>IFERROR(__xludf.DUMMYFUNCTION("""COMPUTED_VALUE"""),"BLACK")</f>
        <v>BLACK</v>
      </c>
      <c r="G3378" s="20" t="str">
        <f>IFERROR(__xludf.DUMMYFUNCTION("""COMPUTED_VALUE"""),"Uncle Sams Cider (04/04/2023)")</f>
        <v>Uncle Sams Cider (04/04/2023)</v>
      </c>
      <c r="H3378" s="19"/>
    </row>
    <row r="3379">
      <c r="A3379" s="9"/>
      <c r="B3379" s="15"/>
      <c r="C3379" s="9">
        <f>IFERROR(__xludf.DUMMYFUNCTION("""COMPUTED_VALUE"""),45109.3000081828)</f>
        <v>45109.30001</v>
      </c>
      <c r="D3379" s="15">
        <f>IFERROR(__xludf.DUMMYFUNCTION("""COMPUTED_VALUE"""),1.004)</f>
        <v>1.004</v>
      </c>
      <c r="E3379" s="16">
        <f>IFERROR(__xludf.DUMMYFUNCTION("""COMPUTED_VALUE"""),70.0)</f>
        <v>70</v>
      </c>
      <c r="F3379" s="19" t="str">
        <f>IFERROR(__xludf.DUMMYFUNCTION("""COMPUTED_VALUE"""),"BLACK")</f>
        <v>BLACK</v>
      </c>
      <c r="G3379" s="20" t="str">
        <f>IFERROR(__xludf.DUMMYFUNCTION("""COMPUTED_VALUE"""),"Uncle Sams Cider (04/04/2023)")</f>
        <v>Uncle Sams Cider (04/04/2023)</v>
      </c>
      <c r="H3379" s="19"/>
    </row>
    <row r="3380">
      <c r="A3380" s="9"/>
      <c r="B3380" s="15"/>
      <c r="C3380" s="9">
        <f>IFERROR(__xludf.DUMMYFUNCTION("""COMPUTED_VALUE"""),45109.2895845601)</f>
        <v>45109.28958</v>
      </c>
      <c r="D3380" s="15">
        <f>IFERROR(__xludf.DUMMYFUNCTION("""COMPUTED_VALUE"""),1.004)</f>
        <v>1.004</v>
      </c>
      <c r="E3380" s="16">
        <f>IFERROR(__xludf.DUMMYFUNCTION("""COMPUTED_VALUE"""),70.0)</f>
        <v>70</v>
      </c>
      <c r="F3380" s="19" t="str">
        <f>IFERROR(__xludf.DUMMYFUNCTION("""COMPUTED_VALUE"""),"BLACK")</f>
        <v>BLACK</v>
      </c>
      <c r="G3380" s="20" t="str">
        <f>IFERROR(__xludf.DUMMYFUNCTION("""COMPUTED_VALUE"""),"Uncle Sams Cider (04/04/2023)")</f>
        <v>Uncle Sams Cider (04/04/2023)</v>
      </c>
      <c r="H3380" s="19"/>
    </row>
    <row r="3381">
      <c r="A3381" s="9"/>
      <c r="B3381" s="15"/>
      <c r="C3381" s="9">
        <f>IFERROR(__xludf.DUMMYFUNCTION("""COMPUTED_VALUE"""),45109.2791632754)</f>
        <v>45109.27916</v>
      </c>
      <c r="D3381" s="15">
        <f>IFERROR(__xludf.DUMMYFUNCTION("""COMPUTED_VALUE"""),1.004)</f>
        <v>1.004</v>
      </c>
      <c r="E3381" s="16">
        <f>IFERROR(__xludf.DUMMYFUNCTION("""COMPUTED_VALUE"""),70.0)</f>
        <v>70</v>
      </c>
      <c r="F3381" s="19" t="str">
        <f>IFERROR(__xludf.DUMMYFUNCTION("""COMPUTED_VALUE"""),"BLACK")</f>
        <v>BLACK</v>
      </c>
      <c r="G3381" s="20" t="str">
        <f>IFERROR(__xludf.DUMMYFUNCTION("""COMPUTED_VALUE"""),"Uncle Sams Cider (04/04/2023)")</f>
        <v>Uncle Sams Cider (04/04/2023)</v>
      </c>
      <c r="H3381" s="19"/>
    </row>
    <row r="3382">
      <c r="A3382" s="9"/>
      <c r="B3382" s="15"/>
      <c r="C3382" s="9">
        <f>IFERROR(__xludf.DUMMYFUNCTION("""COMPUTED_VALUE"""),45109.2687414814)</f>
        <v>45109.26874</v>
      </c>
      <c r="D3382" s="15">
        <f>IFERROR(__xludf.DUMMYFUNCTION("""COMPUTED_VALUE"""),1.004)</f>
        <v>1.004</v>
      </c>
      <c r="E3382" s="16">
        <f>IFERROR(__xludf.DUMMYFUNCTION("""COMPUTED_VALUE"""),70.0)</f>
        <v>70</v>
      </c>
      <c r="F3382" s="19" t="str">
        <f>IFERROR(__xludf.DUMMYFUNCTION("""COMPUTED_VALUE"""),"BLACK")</f>
        <v>BLACK</v>
      </c>
      <c r="G3382" s="20" t="str">
        <f>IFERROR(__xludf.DUMMYFUNCTION("""COMPUTED_VALUE"""),"Uncle Sams Cider (04/04/2023)")</f>
        <v>Uncle Sams Cider (04/04/2023)</v>
      </c>
      <c r="H3382" s="19"/>
    </row>
    <row r="3383">
      <c r="A3383" s="9"/>
      <c r="B3383" s="15"/>
      <c r="C3383" s="9">
        <f>IFERROR(__xludf.DUMMYFUNCTION("""COMPUTED_VALUE"""),45109.2583200231)</f>
        <v>45109.25832</v>
      </c>
      <c r="D3383" s="15">
        <f>IFERROR(__xludf.DUMMYFUNCTION("""COMPUTED_VALUE"""),1.004)</f>
        <v>1.004</v>
      </c>
      <c r="E3383" s="16">
        <f>IFERROR(__xludf.DUMMYFUNCTION("""COMPUTED_VALUE"""),70.0)</f>
        <v>70</v>
      </c>
      <c r="F3383" s="19" t="str">
        <f>IFERROR(__xludf.DUMMYFUNCTION("""COMPUTED_VALUE"""),"BLACK")</f>
        <v>BLACK</v>
      </c>
      <c r="G3383" s="20" t="str">
        <f>IFERROR(__xludf.DUMMYFUNCTION("""COMPUTED_VALUE"""),"Uncle Sams Cider (04/04/2023)")</f>
        <v>Uncle Sams Cider (04/04/2023)</v>
      </c>
      <c r="H3383" s="19"/>
    </row>
    <row r="3384">
      <c r="A3384" s="9"/>
      <c r="B3384" s="15"/>
      <c r="C3384" s="9">
        <f>IFERROR(__xludf.DUMMYFUNCTION("""COMPUTED_VALUE"""),45109.2479001041)</f>
        <v>45109.2479</v>
      </c>
      <c r="D3384" s="15">
        <f>IFERROR(__xludf.DUMMYFUNCTION("""COMPUTED_VALUE"""),1.004)</f>
        <v>1.004</v>
      </c>
      <c r="E3384" s="16">
        <f>IFERROR(__xludf.DUMMYFUNCTION("""COMPUTED_VALUE"""),70.0)</f>
        <v>70</v>
      </c>
      <c r="F3384" s="19" t="str">
        <f>IFERROR(__xludf.DUMMYFUNCTION("""COMPUTED_VALUE"""),"BLACK")</f>
        <v>BLACK</v>
      </c>
      <c r="G3384" s="20" t="str">
        <f>IFERROR(__xludf.DUMMYFUNCTION("""COMPUTED_VALUE"""),"Uncle Sams Cider (04/04/2023)")</f>
        <v>Uncle Sams Cider (04/04/2023)</v>
      </c>
      <c r="H3384" s="19"/>
    </row>
    <row r="3385">
      <c r="A3385" s="9"/>
      <c r="B3385" s="15"/>
      <c r="C3385" s="9">
        <f>IFERROR(__xludf.DUMMYFUNCTION("""COMPUTED_VALUE"""),45109.2374794444)</f>
        <v>45109.23748</v>
      </c>
      <c r="D3385" s="15">
        <f>IFERROR(__xludf.DUMMYFUNCTION("""COMPUTED_VALUE"""),1.004)</f>
        <v>1.004</v>
      </c>
      <c r="E3385" s="16">
        <f>IFERROR(__xludf.DUMMYFUNCTION("""COMPUTED_VALUE"""),70.0)</f>
        <v>70</v>
      </c>
      <c r="F3385" s="19" t="str">
        <f>IFERROR(__xludf.DUMMYFUNCTION("""COMPUTED_VALUE"""),"BLACK")</f>
        <v>BLACK</v>
      </c>
      <c r="G3385" s="20" t="str">
        <f>IFERROR(__xludf.DUMMYFUNCTION("""COMPUTED_VALUE"""),"Uncle Sams Cider (04/04/2023)")</f>
        <v>Uncle Sams Cider (04/04/2023)</v>
      </c>
      <c r="H3385" s="19"/>
    </row>
    <row r="3386">
      <c r="A3386" s="9"/>
      <c r="B3386" s="15"/>
      <c r="C3386" s="9">
        <f>IFERROR(__xludf.DUMMYFUNCTION("""COMPUTED_VALUE"""),45109.2270439467)</f>
        <v>45109.22704</v>
      </c>
      <c r="D3386" s="15">
        <f>IFERROR(__xludf.DUMMYFUNCTION("""COMPUTED_VALUE"""),1.004)</f>
        <v>1.004</v>
      </c>
      <c r="E3386" s="16">
        <f>IFERROR(__xludf.DUMMYFUNCTION("""COMPUTED_VALUE"""),70.0)</f>
        <v>70</v>
      </c>
      <c r="F3386" s="19" t="str">
        <f>IFERROR(__xludf.DUMMYFUNCTION("""COMPUTED_VALUE"""),"BLACK")</f>
        <v>BLACK</v>
      </c>
      <c r="G3386" s="20" t="str">
        <f>IFERROR(__xludf.DUMMYFUNCTION("""COMPUTED_VALUE"""),"Uncle Sams Cider (04/04/2023)")</f>
        <v>Uncle Sams Cider (04/04/2023)</v>
      </c>
      <c r="H3386" s="19"/>
    </row>
    <row r="3387">
      <c r="A3387" s="9"/>
      <c r="B3387" s="15"/>
      <c r="C3387" s="9">
        <f>IFERROR(__xludf.DUMMYFUNCTION("""COMPUTED_VALUE"""),45109.2166213773)</f>
        <v>45109.21662</v>
      </c>
      <c r="D3387" s="15">
        <f>IFERROR(__xludf.DUMMYFUNCTION("""COMPUTED_VALUE"""),1.004)</f>
        <v>1.004</v>
      </c>
      <c r="E3387" s="16">
        <f>IFERROR(__xludf.DUMMYFUNCTION("""COMPUTED_VALUE"""),70.0)</f>
        <v>70</v>
      </c>
      <c r="F3387" s="19" t="str">
        <f>IFERROR(__xludf.DUMMYFUNCTION("""COMPUTED_VALUE"""),"BLACK")</f>
        <v>BLACK</v>
      </c>
      <c r="G3387" s="20" t="str">
        <f>IFERROR(__xludf.DUMMYFUNCTION("""COMPUTED_VALUE"""),"Uncle Sams Cider (04/04/2023)")</f>
        <v>Uncle Sams Cider (04/04/2023)</v>
      </c>
      <c r="H3387" s="19"/>
    </row>
    <row r="3388">
      <c r="A3388" s="9"/>
      <c r="B3388" s="15"/>
      <c r="C3388" s="9">
        <f>IFERROR(__xludf.DUMMYFUNCTION("""COMPUTED_VALUE"""),45109.2061989583)</f>
        <v>45109.2062</v>
      </c>
      <c r="D3388" s="15">
        <f>IFERROR(__xludf.DUMMYFUNCTION("""COMPUTED_VALUE"""),1.004)</f>
        <v>1.004</v>
      </c>
      <c r="E3388" s="16">
        <f>IFERROR(__xludf.DUMMYFUNCTION("""COMPUTED_VALUE"""),70.0)</f>
        <v>70</v>
      </c>
      <c r="F3388" s="19" t="str">
        <f>IFERROR(__xludf.DUMMYFUNCTION("""COMPUTED_VALUE"""),"BLACK")</f>
        <v>BLACK</v>
      </c>
      <c r="G3388" s="20" t="str">
        <f>IFERROR(__xludf.DUMMYFUNCTION("""COMPUTED_VALUE"""),"Uncle Sams Cider (04/04/2023)")</f>
        <v>Uncle Sams Cider (04/04/2023)</v>
      </c>
      <c r="H3388" s="19"/>
    </row>
    <row r="3389">
      <c r="A3389" s="9"/>
      <c r="B3389" s="15"/>
      <c r="C3389" s="9">
        <f>IFERROR(__xludf.DUMMYFUNCTION("""COMPUTED_VALUE"""),45109.1957773032)</f>
        <v>45109.19578</v>
      </c>
      <c r="D3389" s="15">
        <f>IFERROR(__xludf.DUMMYFUNCTION("""COMPUTED_VALUE"""),1.004)</f>
        <v>1.004</v>
      </c>
      <c r="E3389" s="16">
        <f>IFERROR(__xludf.DUMMYFUNCTION("""COMPUTED_VALUE"""),70.0)</f>
        <v>70</v>
      </c>
      <c r="F3389" s="19" t="str">
        <f>IFERROR(__xludf.DUMMYFUNCTION("""COMPUTED_VALUE"""),"BLACK")</f>
        <v>BLACK</v>
      </c>
      <c r="G3389" s="20" t="str">
        <f>IFERROR(__xludf.DUMMYFUNCTION("""COMPUTED_VALUE"""),"Uncle Sams Cider (04/04/2023)")</f>
        <v>Uncle Sams Cider (04/04/2023)</v>
      </c>
      <c r="H3389" s="19"/>
    </row>
    <row r="3390">
      <c r="A3390" s="9"/>
      <c r="B3390" s="15"/>
      <c r="C3390" s="9">
        <f>IFERROR(__xludf.DUMMYFUNCTION("""COMPUTED_VALUE"""),45109.1853561805)</f>
        <v>45109.18536</v>
      </c>
      <c r="D3390" s="15">
        <f>IFERROR(__xludf.DUMMYFUNCTION("""COMPUTED_VALUE"""),1.004)</f>
        <v>1.004</v>
      </c>
      <c r="E3390" s="16">
        <f>IFERROR(__xludf.DUMMYFUNCTION("""COMPUTED_VALUE"""),70.0)</f>
        <v>70</v>
      </c>
      <c r="F3390" s="19" t="str">
        <f>IFERROR(__xludf.DUMMYFUNCTION("""COMPUTED_VALUE"""),"BLACK")</f>
        <v>BLACK</v>
      </c>
      <c r="G3390" s="20" t="str">
        <f>IFERROR(__xludf.DUMMYFUNCTION("""COMPUTED_VALUE"""),"Uncle Sams Cider (04/04/2023)")</f>
        <v>Uncle Sams Cider (04/04/2023)</v>
      </c>
      <c r="H3390" s="19"/>
    </row>
    <row r="3391">
      <c r="A3391" s="9"/>
      <c r="B3391" s="15"/>
      <c r="C3391" s="9">
        <f>IFERROR(__xludf.DUMMYFUNCTION("""COMPUTED_VALUE"""),45109.1749349884)</f>
        <v>45109.17493</v>
      </c>
      <c r="D3391" s="15">
        <f>IFERROR(__xludf.DUMMYFUNCTION("""COMPUTED_VALUE"""),1.004)</f>
        <v>1.004</v>
      </c>
      <c r="E3391" s="16">
        <f>IFERROR(__xludf.DUMMYFUNCTION("""COMPUTED_VALUE"""),70.0)</f>
        <v>70</v>
      </c>
      <c r="F3391" s="19" t="str">
        <f>IFERROR(__xludf.DUMMYFUNCTION("""COMPUTED_VALUE"""),"BLACK")</f>
        <v>BLACK</v>
      </c>
      <c r="G3391" s="20" t="str">
        <f>IFERROR(__xludf.DUMMYFUNCTION("""COMPUTED_VALUE"""),"Uncle Sams Cider (04/04/2023)")</f>
        <v>Uncle Sams Cider (04/04/2023)</v>
      </c>
      <c r="H3391" s="19"/>
    </row>
    <row r="3392">
      <c r="A3392" s="9"/>
      <c r="B3392" s="15"/>
      <c r="C3392" s="9">
        <f>IFERROR(__xludf.DUMMYFUNCTION("""COMPUTED_VALUE"""),45109.1645137963)</f>
        <v>45109.16451</v>
      </c>
      <c r="D3392" s="15">
        <f>IFERROR(__xludf.DUMMYFUNCTION("""COMPUTED_VALUE"""),1.004)</f>
        <v>1.004</v>
      </c>
      <c r="E3392" s="16">
        <f>IFERROR(__xludf.DUMMYFUNCTION("""COMPUTED_VALUE"""),70.0)</f>
        <v>70</v>
      </c>
      <c r="F3392" s="19" t="str">
        <f>IFERROR(__xludf.DUMMYFUNCTION("""COMPUTED_VALUE"""),"BLACK")</f>
        <v>BLACK</v>
      </c>
      <c r="G3392" s="20" t="str">
        <f>IFERROR(__xludf.DUMMYFUNCTION("""COMPUTED_VALUE"""),"Uncle Sams Cider (04/04/2023)")</f>
        <v>Uncle Sams Cider (04/04/2023)</v>
      </c>
      <c r="H3392" s="19"/>
    </row>
    <row r="3393">
      <c r="A3393" s="9"/>
      <c r="B3393" s="15"/>
      <c r="C3393" s="9">
        <f>IFERROR(__xludf.DUMMYFUNCTION("""COMPUTED_VALUE"""),45109.1540929976)</f>
        <v>45109.15409</v>
      </c>
      <c r="D3393" s="15">
        <f>IFERROR(__xludf.DUMMYFUNCTION("""COMPUTED_VALUE"""),1.004)</f>
        <v>1.004</v>
      </c>
      <c r="E3393" s="16">
        <f>IFERROR(__xludf.DUMMYFUNCTION("""COMPUTED_VALUE"""),70.0)</f>
        <v>70</v>
      </c>
      <c r="F3393" s="19" t="str">
        <f>IFERROR(__xludf.DUMMYFUNCTION("""COMPUTED_VALUE"""),"BLACK")</f>
        <v>BLACK</v>
      </c>
      <c r="G3393" s="20" t="str">
        <f>IFERROR(__xludf.DUMMYFUNCTION("""COMPUTED_VALUE"""),"Uncle Sams Cider (04/04/2023)")</f>
        <v>Uncle Sams Cider (04/04/2023)</v>
      </c>
      <c r="H3393" s="19"/>
    </row>
    <row r="3394">
      <c r="A3394" s="9"/>
      <c r="B3394" s="15"/>
      <c r="C3394" s="9">
        <f>IFERROR(__xludf.DUMMYFUNCTION("""COMPUTED_VALUE"""),45109.1436724074)</f>
        <v>45109.14367</v>
      </c>
      <c r="D3394" s="15">
        <f>IFERROR(__xludf.DUMMYFUNCTION("""COMPUTED_VALUE"""),1.004)</f>
        <v>1.004</v>
      </c>
      <c r="E3394" s="16">
        <f>IFERROR(__xludf.DUMMYFUNCTION("""COMPUTED_VALUE"""),70.0)</f>
        <v>70</v>
      </c>
      <c r="F3394" s="19" t="str">
        <f>IFERROR(__xludf.DUMMYFUNCTION("""COMPUTED_VALUE"""),"BLACK")</f>
        <v>BLACK</v>
      </c>
      <c r="G3394" s="20" t="str">
        <f>IFERROR(__xludf.DUMMYFUNCTION("""COMPUTED_VALUE"""),"Uncle Sams Cider (04/04/2023)")</f>
        <v>Uncle Sams Cider (04/04/2023)</v>
      </c>
      <c r="H3394" s="19"/>
    </row>
    <row r="3395">
      <c r="A3395" s="9"/>
      <c r="B3395" s="15"/>
      <c r="C3395" s="9">
        <f>IFERROR(__xludf.DUMMYFUNCTION("""COMPUTED_VALUE"""),45109.1332496759)</f>
        <v>45109.13325</v>
      </c>
      <c r="D3395" s="15">
        <f>IFERROR(__xludf.DUMMYFUNCTION("""COMPUTED_VALUE"""),1.004)</f>
        <v>1.004</v>
      </c>
      <c r="E3395" s="16">
        <f>IFERROR(__xludf.DUMMYFUNCTION("""COMPUTED_VALUE"""),70.0)</f>
        <v>70</v>
      </c>
      <c r="F3395" s="19" t="str">
        <f>IFERROR(__xludf.DUMMYFUNCTION("""COMPUTED_VALUE"""),"BLACK")</f>
        <v>BLACK</v>
      </c>
      <c r="G3395" s="20" t="str">
        <f>IFERROR(__xludf.DUMMYFUNCTION("""COMPUTED_VALUE"""),"Uncle Sams Cider (04/04/2023)")</f>
        <v>Uncle Sams Cider (04/04/2023)</v>
      </c>
      <c r="H3395" s="19"/>
    </row>
    <row r="3396">
      <c r="A3396" s="9"/>
      <c r="B3396" s="15"/>
      <c r="C3396" s="9">
        <f>IFERROR(__xludf.DUMMYFUNCTION("""COMPUTED_VALUE"""),45109.1228289583)</f>
        <v>45109.12283</v>
      </c>
      <c r="D3396" s="15">
        <f>IFERROR(__xludf.DUMMYFUNCTION("""COMPUTED_VALUE"""),1.004)</f>
        <v>1.004</v>
      </c>
      <c r="E3396" s="16">
        <f>IFERROR(__xludf.DUMMYFUNCTION("""COMPUTED_VALUE"""),70.0)</f>
        <v>70</v>
      </c>
      <c r="F3396" s="19" t="str">
        <f>IFERROR(__xludf.DUMMYFUNCTION("""COMPUTED_VALUE"""),"BLACK")</f>
        <v>BLACK</v>
      </c>
      <c r="G3396" s="20" t="str">
        <f>IFERROR(__xludf.DUMMYFUNCTION("""COMPUTED_VALUE"""),"Uncle Sams Cider (04/04/2023)")</f>
        <v>Uncle Sams Cider (04/04/2023)</v>
      </c>
      <c r="H3396" s="19"/>
    </row>
    <row r="3397">
      <c r="A3397" s="9"/>
      <c r="B3397" s="15"/>
      <c r="C3397" s="9">
        <f>IFERROR(__xludf.DUMMYFUNCTION("""COMPUTED_VALUE"""),45109.1124079282)</f>
        <v>45109.11241</v>
      </c>
      <c r="D3397" s="15">
        <f>IFERROR(__xludf.DUMMYFUNCTION("""COMPUTED_VALUE"""),1.004)</f>
        <v>1.004</v>
      </c>
      <c r="E3397" s="16">
        <f>IFERROR(__xludf.DUMMYFUNCTION("""COMPUTED_VALUE"""),70.0)</f>
        <v>70</v>
      </c>
      <c r="F3397" s="19" t="str">
        <f>IFERROR(__xludf.DUMMYFUNCTION("""COMPUTED_VALUE"""),"BLACK")</f>
        <v>BLACK</v>
      </c>
      <c r="G3397" s="20" t="str">
        <f>IFERROR(__xludf.DUMMYFUNCTION("""COMPUTED_VALUE"""),"Uncle Sams Cider (04/04/2023)")</f>
        <v>Uncle Sams Cider (04/04/2023)</v>
      </c>
      <c r="H3397" s="19"/>
    </row>
    <row r="3398">
      <c r="A3398" s="9"/>
      <c r="B3398" s="15"/>
      <c r="C3398" s="9">
        <f>IFERROR(__xludf.DUMMYFUNCTION("""COMPUTED_VALUE"""),45109.1019853703)</f>
        <v>45109.10199</v>
      </c>
      <c r="D3398" s="15">
        <f>IFERROR(__xludf.DUMMYFUNCTION("""COMPUTED_VALUE"""),1.004)</f>
        <v>1.004</v>
      </c>
      <c r="E3398" s="16">
        <f>IFERROR(__xludf.DUMMYFUNCTION("""COMPUTED_VALUE"""),70.0)</f>
        <v>70</v>
      </c>
      <c r="F3398" s="19" t="str">
        <f>IFERROR(__xludf.DUMMYFUNCTION("""COMPUTED_VALUE"""),"BLACK")</f>
        <v>BLACK</v>
      </c>
      <c r="G3398" s="20" t="str">
        <f>IFERROR(__xludf.DUMMYFUNCTION("""COMPUTED_VALUE"""),"Uncle Sams Cider (04/04/2023)")</f>
        <v>Uncle Sams Cider (04/04/2023)</v>
      </c>
      <c r="H3398" s="19"/>
    </row>
    <row r="3399">
      <c r="A3399" s="9"/>
      <c r="B3399" s="15"/>
      <c r="C3399" s="9">
        <f>IFERROR(__xludf.DUMMYFUNCTION("""COMPUTED_VALUE"""),45109.091564375)</f>
        <v>45109.09156</v>
      </c>
      <c r="D3399" s="15">
        <f>IFERROR(__xludf.DUMMYFUNCTION("""COMPUTED_VALUE"""),1.004)</f>
        <v>1.004</v>
      </c>
      <c r="E3399" s="16">
        <f>IFERROR(__xludf.DUMMYFUNCTION("""COMPUTED_VALUE"""),70.0)</f>
        <v>70</v>
      </c>
      <c r="F3399" s="19" t="str">
        <f>IFERROR(__xludf.DUMMYFUNCTION("""COMPUTED_VALUE"""),"BLACK")</f>
        <v>BLACK</v>
      </c>
      <c r="G3399" s="20" t="str">
        <f>IFERROR(__xludf.DUMMYFUNCTION("""COMPUTED_VALUE"""),"Uncle Sams Cider (04/04/2023)")</f>
        <v>Uncle Sams Cider (04/04/2023)</v>
      </c>
      <c r="H3399" s="19"/>
    </row>
    <row r="3400">
      <c r="A3400" s="9"/>
      <c r="B3400" s="15"/>
      <c r="C3400" s="9">
        <f>IFERROR(__xludf.DUMMYFUNCTION("""COMPUTED_VALUE"""),45109.0811296759)</f>
        <v>45109.08113</v>
      </c>
      <c r="D3400" s="15">
        <f>IFERROR(__xludf.DUMMYFUNCTION("""COMPUTED_VALUE"""),1.004)</f>
        <v>1.004</v>
      </c>
      <c r="E3400" s="16">
        <f>IFERROR(__xludf.DUMMYFUNCTION("""COMPUTED_VALUE"""),70.0)</f>
        <v>70</v>
      </c>
      <c r="F3400" s="19" t="str">
        <f>IFERROR(__xludf.DUMMYFUNCTION("""COMPUTED_VALUE"""),"BLACK")</f>
        <v>BLACK</v>
      </c>
      <c r="G3400" s="20" t="str">
        <f>IFERROR(__xludf.DUMMYFUNCTION("""COMPUTED_VALUE"""),"Uncle Sams Cider (04/04/2023)")</f>
        <v>Uncle Sams Cider (04/04/2023)</v>
      </c>
      <c r="H3400" s="19"/>
    </row>
    <row r="3401">
      <c r="A3401" s="9"/>
      <c r="B3401" s="15"/>
      <c r="C3401" s="9">
        <f>IFERROR(__xludf.DUMMYFUNCTION("""COMPUTED_VALUE"""),45109.0707073611)</f>
        <v>45109.07071</v>
      </c>
      <c r="D3401" s="15">
        <f>IFERROR(__xludf.DUMMYFUNCTION("""COMPUTED_VALUE"""),1.004)</f>
        <v>1.004</v>
      </c>
      <c r="E3401" s="16">
        <f>IFERROR(__xludf.DUMMYFUNCTION("""COMPUTED_VALUE"""),70.0)</f>
        <v>70</v>
      </c>
      <c r="F3401" s="19" t="str">
        <f>IFERROR(__xludf.DUMMYFUNCTION("""COMPUTED_VALUE"""),"BLACK")</f>
        <v>BLACK</v>
      </c>
      <c r="G3401" s="20" t="str">
        <f>IFERROR(__xludf.DUMMYFUNCTION("""COMPUTED_VALUE"""),"Uncle Sams Cider (04/04/2023)")</f>
        <v>Uncle Sams Cider (04/04/2023)</v>
      </c>
      <c r="H3401" s="19"/>
    </row>
    <row r="3402">
      <c r="A3402" s="9"/>
      <c r="B3402" s="15"/>
      <c r="C3402" s="9">
        <f>IFERROR(__xludf.DUMMYFUNCTION("""COMPUTED_VALUE"""),45109.0602831944)</f>
        <v>45109.06028</v>
      </c>
      <c r="D3402" s="15">
        <f>IFERROR(__xludf.DUMMYFUNCTION("""COMPUTED_VALUE"""),1.004)</f>
        <v>1.004</v>
      </c>
      <c r="E3402" s="16">
        <f>IFERROR(__xludf.DUMMYFUNCTION("""COMPUTED_VALUE"""),70.0)</f>
        <v>70</v>
      </c>
      <c r="F3402" s="19" t="str">
        <f>IFERROR(__xludf.DUMMYFUNCTION("""COMPUTED_VALUE"""),"BLACK")</f>
        <v>BLACK</v>
      </c>
      <c r="G3402" s="20" t="str">
        <f>IFERROR(__xludf.DUMMYFUNCTION("""COMPUTED_VALUE"""),"Uncle Sams Cider (04/04/2023)")</f>
        <v>Uncle Sams Cider (04/04/2023)</v>
      </c>
      <c r="H3402" s="19"/>
    </row>
    <row r="3403">
      <c r="A3403" s="9"/>
      <c r="B3403" s="15"/>
      <c r="C3403" s="9">
        <f>IFERROR(__xludf.DUMMYFUNCTION("""COMPUTED_VALUE"""),45109.0498619097)</f>
        <v>45109.04986</v>
      </c>
      <c r="D3403" s="15">
        <f>IFERROR(__xludf.DUMMYFUNCTION("""COMPUTED_VALUE"""),1.004)</f>
        <v>1.004</v>
      </c>
      <c r="E3403" s="16">
        <f>IFERROR(__xludf.DUMMYFUNCTION("""COMPUTED_VALUE"""),70.0)</f>
        <v>70</v>
      </c>
      <c r="F3403" s="19" t="str">
        <f>IFERROR(__xludf.DUMMYFUNCTION("""COMPUTED_VALUE"""),"BLACK")</f>
        <v>BLACK</v>
      </c>
      <c r="G3403" s="20" t="str">
        <f>IFERROR(__xludf.DUMMYFUNCTION("""COMPUTED_VALUE"""),"Uncle Sams Cider (04/04/2023)")</f>
        <v>Uncle Sams Cider (04/04/2023)</v>
      </c>
      <c r="H3403" s="19"/>
    </row>
    <row r="3404">
      <c r="A3404" s="9"/>
      <c r="B3404" s="15"/>
      <c r="C3404" s="9">
        <f>IFERROR(__xludf.DUMMYFUNCTION("""COMPUTED_VALUE"""),45109.0394408564)</f>
        <v>45109.03944</v>
      </c>
      <c r="D3404" s="15">
        <f>IFERROR(__xludf.DUMMYFUNCTION("""COMPUTED_VALUE"""),1.004)</f>
        <v>1.004</v>
      </c>
      <c r="E3404" s="16">
        <f>IFERROR(__xludf.DUMMYFUNCTION("""COMPUTED_VALUE"""),70.0)</f>
        <v>70</v>
      </c>
      <c r="F3404" s="19" t="str">
        <f>IFERROR(__xludf.DUMMYFUNCTION("""COMPUTED_VALUE"""),"BLACK")</f>
        <v>BLACK</v>
      </c>
      <c r="G3404" s="20" t="str">
        <f>IFERROR(__xludf.DUMMYFUNCTION("""COMPUTED_VALUE"""),"Uncle Sams Cider (04/04/2023)")</f>
        <v>Uncle Sams Cider (04/04/2023)</v>
      </c>
      <c r="H3404" s="19"/>
    </row>
    <row r="3405">
      <c r="A3405" s="9"/>
      <c r="B3405" s="15"/>
      <c r="C3405" s="9">
        <f>IFERROR(__xludf.DUMMYFUNCTION("""COMPUTED_VALUE"""),45109.0290197106)</f>
        <v>45109.02902</v>
      </c>
      <c r="D3405" s="15">
        <f>IFERROR(__xludf.DUMMYFUNCTION("""COMPUTED_VALUE"""),1.004)</f>
        <v>1.004</v>
      </c>
      <c r="E3405" s="16">
        <f>IFERROR(__xludf.DUMMYFUNCTION("""COMPUTED_VALUE"""),70.0)</f>
        <v>70</v>
      </c>
      <c r="F3405" s="19" t="str">
        <f>IFERROR(__xludf.DUMMYFUNCTION("""COMPUTED_VALUE"""),"BLACK")</f>
        <v>BLACK</v>
      </c>
      <c r="G3405" s="20" t="str">
        <f>IFERROR(__xludf.DUMMYFUNCTION("""COMPUTED_VALUE"""),"Uncle Sams Cider (04/04/2023)")</f>
        <v>Uncle Sams Cider (04/04/2023)</v>
      </c>
      <c r="H3405" s="19"/>
    </row>
    <row r="3406">
      <c r="A3406" s="9"/>
      <c r="B3406" s="15"/>
      <c r="C3406" s="9">
        <f>IFERROR(__xludf.DUMMYFUNCTION("""COMPUTED_VALUE"""),45109.0185970486)</f>
        <v>45109.0186</v>
      </c>
      <c r="D3406" s="15">
        <f>IFERROR(__xludf.DUMMYFUNCTION("""COMPUTED_VALUE"""),1.004)</f>
        <v>1.004</v>
      </c>
      <c r="E3406" s="16">
        <f>IFERROR(__xludf.DUMMYFUNCTION("""COMPUTED_VALUE"""),70.0)</f>
        <v>70</v>
      </c>
      <c r="F3406" s="19" t="str">
        <f>IFERROR(__xludf.DUMMYFUNCTION("""COMPUTED_VALUE"""),"BLACK")</f>
        <v>BLACK</v>
      </c>
      <c r="G3406" s="20" t="str">
        <f>IFERROR(__xludf.DUMMYFUNCTION("""COMPUTED_VALUE"""),"Uncle Sams Cider (04/04/2023)")</f>
        <v>Uncle Sams Cider (04/04/2023)</v>
      </c>
      <c r="H3406" s="19"/>
    </row>
    <row r="3407">
      <c r="A3407" s="9"/>
      <c r="B3407" s="15"/>
      <c r="C3407" s="9">
        <f>IFERROR(__xludf.DUMMYFUNCTION("""COMPUTED_VALUE"""),45109.0081767245)</f>
        <v>45109.00818</v>
      </c>
      <c r="D3407" s="15">
        <f>IFERROR(__xludf.DUMMYFUNCTION("""COMPUTED_VALUE"""),1.004)</f>
        <v>1.004</v>
      </c>
      <c r="E3407" s="16">
        <f>IFERROR(__xludf.DUMMYFUNCTION("""COMPUTED_VALUE"""),70.0)</f>
        <v>70</v>
      </c>
      <c r="F3407" s="19" t="str">
        <f>IFERROR(__xludf.DUMMYFUNCTION("""COMPUTED_VALUE"""),"BLACK")</f>
        <v>BLACK</v>
      </c>
      <c r="G3407" s="20" t="str">
        <f>IFERROR(__xludf.DUMMYFUNCTION("""COMPUTED_VALUE"""),"Uncle Sams Cider (04/04/2023)")</f>
        <v>Uncle Sams Cider (04/04/2023)</v>
      </c>
      <c r="H3407" s="19"/>
    </row>
    <row r="3408">
      <c r="A3408" s="9"/>
      <c r="B3408" s="15"/>
      <c r="C3408" s="9">
        <f>IFERROR(__xludf.DUMMYFUNCTION("""COMPUTED_VALUE"""),45108.9977451388)</f>
        <v>45108.99775</v>
      </c>
      <c r="D3408" s="15">
        <f>IFERROR(__xludf.DUMMYFUNCTION("""COMPUTED_VALUE"""),1.004)</f>
        <v>1.004</v>
      </c>
      <c r="E3408" s="16">
        <f>IFERROR(__xludf.DUMMYFUNCTION("""COMPUTED_VALUE"""),70.0)</f>
        <v>70</v>
      </c>
      <c r="F3408" s="19" t="str">
        <f>IFERROR(__xludf.DUMMYFUNCTION("""COMPUTED_VALUE"""),"BLACK")</f>
        <v>BLACK</v>
      </c>
      <c r="G3408" s="20" t="str">
        <f>IFERROR(__xludf.DUMMYFUNCTION("""COMPUTED_VALUE"""),"Uncle Sams Cider (04/04/2023)")</f>
        <v>Uncle Sams Cider (04/04/2023)</v>
      </c>
      <c r="H3408" s="19"/>
    </row>
    <row r="3409">
      <c r="A3409" s="9"/>
      <c r="B3409" s="15"/>
      <c r="C3409" s="9">
        <f>IFERROR(__xludf.DUMMYFUNCTION("""COMPUTED_VALUE"""),45108.9873205324)</f>
        <v>45108.98732</v>
      </c>
      <c r="D3409" s="15">
        <f>IFERROR(__xludf.DUMMYFUNCTION("""COMPUTED_VALUE"""),1.004)</f>
        <v>1.004</v>
      </c>
      <c r="E3409" s="16">
        <f>IFERROR(__xludf.DUMMYFUNCTION("""COMPUTED_VALUE"""),70.0)</f>
        <v>70</v>
      </c>
      <c r="F3409" s="19" t="str">
        <f>IFERROR(__xludf.DUMMYFUNCTION("""COMPUTED_VALUE"""),"BLACK")</f>
        <v>BLACK</v>
      </c>
      <c r="G3409" s="20" t="str">
        <f>IFERROR(__xludf.DUMMYFUNCTION("""COMPUTED_VALUE"""),"Uncle Sams Cider (04/04/2023)")</f>
        <v>Uncle Sams Cider (04/04/2023)</v>
      </c>
      <c r="H3409" s="19"/>
    </row>
    <row r="3410">
      <c r="A3410" s="9"/>
      <c r="B3410" s="15"/>
      <c r="C3410" s="9">
        <f>IFERROR(__xludf.DUMMYFUNCTION("""COMPUTED_VALUE"""),45108.9768737268)</f>
        <v>45108.97687</v>
      </c>
      <c r="D3410" s="15">
        <f>IFERROR(__xludf.DUMMYFUNCTION("""COMPUTED_VALUE"""),1.004)</f>
        <v>1.004</v>
      </c>
      <c r="E3410" s="16">
        <f>IFERROR(__xludf.DUMMYFUNCTION("""COMPUTED_VALUE"""),70.0)</f>
        <v>70</v>
      </c>
      <c r="F3410" s="19" t="str">
        <f>IFERROR(__xludf.DUMMYFUNCTION("""COMPUTED_VALUE"""),"BLACK")</f>
        <v>BLACK</v>
      </c>
      <c r="G3410" s="20" t="str">
        <f>IFERROR(__xludf.DUMMYFUNCTION("""COMPUTED_VALUE"""),"Uncle Sams Cider (04/04/2023)")</f>
        <v>Uncle Sams Cider (04/04/2023)</v>
      </c>
      <c r="H3410" s="19"/>
    </row>
    <row r="3411">
      <c r="A3411" s="9"/>
      <c r="B3411" s="15"/>
      <c r="C3411" s="9">
        <f>IFERROR(__xludf.DUMMYFUNCTION("""COMPUTED_VALUE"""),45108.966453287)</f>
        <v>45108.96645</v>
      </c>
      <c r="D3411" s="15">
        <f>IFERROR(__xludf.DUMMYFUNCTION("""COMPUTED_VALUE"""),1.004)</f>
        <v>1.004</v>
      </c>
      <c r="E3411" s="16">
        <f>IFERROR(__xludf.DUMMYFUNCTION("""COMPUTED_VALUE"""),70.0)</f>
        <v>70</v>
      </c>
      <c r="F3411" s="19" t="str">
        <f>IFERROR(__xludf.DUMMYFUNCTION("""COMPUTED_VALUE"""),"BLACK")</f>
        <v>BLACK</v>
      </c>
      <c r="G3411" s="20" t="str">
        <f>IFERROR(__xludf.DUMMYFUNCTION("""COMPUTED_VALUE"""),"Uncle Sams Cider (04/04/2023)")</f>
        <v>Uncle Sams Cider (04/04/2023)</v>
      </c>
      <c r="H3411" s="19"/>
    </row>
    <row r="3412">
      <c r="A3412" s="9"/>
      <c r="B3412" s="15"/>
      <c r="C3412" s="9">
        <f>IFERROR(__xludf.DUMMYFUNCTION("""COMPUTED_VALUE"""),45108.9560308449)</f>
        <v>45108.95603</v>
      </c>
      <c r="D3412" s="15">
        <f>IFERROR(__xludf.DUMMYFUNCTION("""COMPUTED_VALUE"""),1.004)</f>
        <v>1.004</v>
      </c>
      <c r="E3412" s="16">
        <f>IFERROR(__xludf.DUMMYFUNCTION("""COMPUTED_VALUE"""),70.0)</f>
        <v>70</v>
      </c>
      <c r="F3412" s="19" t="str">
        <f>IFERROR(__xludf.DUMMYFUNCTION("""COMPUTED_VALUE"""),"BLACK")</f>
        <v>BLACK</v>
      </c>
      <c r="G3412" s="20" t="str">
        <f>IFERROR(__xludf.DUMMYFUNCTION("""COMPUTED_VALUE"""),"Uncle Sams Cider (04/04/2023)")</f>
        <v>Uncle Sams Cider (04/04/2023)</v>
      </c>
      <c r="H3412" s="19"/>
    </row>
    <row r="3413">
      <c r="A3413" s="9"/>
      <c r="B3413" s="15"/>
      <c r="C3413" s="9">
        <f>IFERROR(__xludf.DUMMYFUNCTION("""COMPUTED_VALUE"""),45108.9456102893)</f>
        <v>45108.94561</v>
      </c>
      <c r="D3413" s="15">
        <f>IFERROR(__xludf.DUMMYFUNCTION("""COMPUTED_VALUE"""),1.004)</f>
        <v>1.004</v>
      </c>
      <c r="E3413" s="16">
        <f>IFERROR(__xludf.DUMMYFUNCTION("""COMPUTED_VALUE"""),70.0)</f>
        <v>70</v>
      </c>
      <c r="F3413" s="19" t="str">
        <f>IFERROR(__xludf.DUMMYFUNCTION("""COMPUTED_VALUE"""),"BLACK")</f>
        <v>BLACK</v>
      </c>
      <c r="G3413" s="20" t="str">
        <f>IFERROR(__xludf.DUMMYFUNCTION("""COMPUTED_VALUE"""),"Uncle Sams Cider (04/04/2023)")</f>
        <v>Uncle Sams Cider (04/04/2023)</v>
      </c>
      <c r="H3413" s="19"/>
    </row>
    <row r="3414">
      <c r="A3414" s="9"/>
      <c r="B3414" s="15"/>
      <c r="C3414" s="9">
        <f>IFERROR(__xludf.DUMMYFUNCTION("""COMPUTED_VALUE"""),45108.9351889351)</f>
        <v>45108.93519</v>
      </c>
      <c r="D3414" s="15">
        <f>IFERROR(__xludf.DUMMYFUNCTION("""COMPUTED_VALUE"""),1.005)</f>
        <v>1.005</v>
      </c>
      <c r="E3414" s="16">
        <f>IFERROR(__xludf.DUMMYFUNCTION("""COMPUTED_VALUE"""),70.0)</f>
        <v>70</v>
      </c>
      <c r="F3414" s="19" t="str">
        <f>IFERROR(__xludf.DUMMYFUNCTION("""COMPUTED_VALUE"""),"BLACK")</f>
        <v>BLACK</v>
      </c>
      <c r="G3414" s="20" t="str">
        <f>IFERROR(__xludf.DUMMYFUNCTION("""COMPUTED_VALUE"""),"Uncle Sams Cider (04/04/2023)")</f>
        <v>Uncle Sams Cider (04/04/2023)</v>
      </c>
      <c r="H3414" s="19"/>
    </row>
    <row r="3415">
      <c r="A3415" s="9"/>
      <c r="B3415" s="15"/>
      <c r="C3415" s="9">
        <f>IFERROR(__xludf.DUMMYFUNCTION("""COMPUTED_VALUE"""),45108.9247682291)</f>
        <v>45108.92477</v>
      </c>
      <c r="D3415" s="15">
        <f>IFERROR(__xludf.DUMMYFUNCTION("""COMPUTED_VALUE"""),1.004)</f>
        <v>1.004</v>
      </c>
      <c r="E3415" s="16">
        <f>IFERROR(__xludf.DUMMYFUNCTION("""COMPUTED_VALUE"""),70.0)</f>
        <v>70</v>
      </c>
      <c r="F3415" s="19" t="str">
        <f>IFERROR(__xludf.DUMMYFUNCTION("""COMPUTED_VALUE"""),"BLACK")</f>
        <v>BLACK</v>
      </c>
      <c r="G3415" s="20" t="str">
        <f>IFERROR(__xludf.DUMMYFUNCTION("""COMPUTED_VALUE"""),"Uncle Sams Cider (04/04/2023)")</f>
        <v>Uncle Sams Cider (04/04/2023)</v>
      </c>
      <c r="H3415" s="19"/>
    </row>
    <row r="3416">
      <c r="A3416" s="9"/>
      <c r="B3416" s="15"/>
      <c r="C3416" s="9">
        <f>IFERROR(__xludf.DUMMYFUNCTION("""COMPUTED_VALUE"""),45108.9143467245)</f>
        <v>45108.91435</v>
      </c>
      <c r="D3416" s="15">
        <f>IFERROR(__xludf.DUMMYFUNCTION("""COMPUTED_VALUE"""),1.004)</f>
        <v>1.004</v>
      </c>
      <c r="E3416" s="16">
        <f>IFERROR(__xludf.DUMMYFUNCTION("""COMPUTED_VALUE"""),70.0)</f>
        <v>70</v>
      </c>
      <c r="F3416" s="19" t="str">
        <f>IFERROR(__xludf.DUMMYFUNCTION("""COMPUTED_VALUE"""),"BLACK")</f>
        <v>BLACK</v>
      </c>
      <c r="G3416" s="20" t="str">
        <f>IFERROR(__xludf.DUMMYFUNCTION("""COMPUTED_VALUE"""),"Uncle Sams Cider (04/04/2023)")</f>
        <v>Uncle Sams Cider (04/04/2023)</v>
      </c>
      <c r="H3416" s="19"/>
    </row>
    <row r="3417">
      <c r="A3417" s="9"/>
      <c r="B3417" s="15"/>
      <c r="C3417" s="9">
        <f>IFERROR(__xludf.DUMMYFUNCTION("""COMPUTED_VALUE"""),45108.9039259027)</f>
        <v>45108.90393</v>
      </c>
      <c r="D3417" s="15">
        <f>IFERROR(__xludf.DUMMYFUNCTION("""COMPUTED_VALUE"""),1.004)</f>
        <v>1.004</v>
      </c>
      <c r="E3417" s="16">
        <f>IFERROR(__xludf.DUMMYFUNCTION("""COMPUTED_VALUE"""),70.0)</f>
        <v>70</v>
      </c>
      <c r="F3417" s="19" t="str">
        <f>IFERROR(__xludf.DUMMYFUNCTION("""COMPUTED_VALUE"""),"BLACK")</f>
        <v>BLACK</v>
      </c>
      <c r="G3417" s="20" t="str">
        <f>IFERROR(__xludf.DUMMYFUNCTION("""COMPUTED_VALUE"""),"Uncle Sams Cider (04/04/2023)")</f>
        <v>Uncle Sams Cider (04/04/2023)</v>
      </c>
      <c r="H3417" s="19"/>
    </row>
    <row r="3418">
      <c r="A3418" s="9"/>
      <c r="B3418" s="15"/>
      <c r="C3418" s="9">
        <f>IFERROR(__xludf.DUMMYFUNCTION("""COMPUTED_VALUE"""),45108.8934909027)</f>
        <v>45108.89349</v>
      </c>
      <c r="D3418" s="15">
        <f>IFERROR(__xludf.DUMMYFUNCTION("""COMPUTED_VALUE"""),1.004)</f>
        <v>1.004</v>
      </c>
      <c r="E3418" s="16">
        <f>IFERROR(__xludf.DUMMYFUNCTION("""COMPUTED_VALUE"""),70.0)</f>
        <v>70</v>
      </c>
      <c r="F3418" s="19" t="str">
        <f>IFERROR(__xludf.DUMMYFUNCTION("""COMPUTED_VALUE"""),"BLACK")</f>
        <v>BLACK</v>
      </c>
      <c r="G3418" s="20" t="str">
        <f>IFERROR(__xludf.DUMMYFUNCTION("""COMPUTED_VALUE"""),"Uncle Sams Cider (04/04/2023)")</f>
        <v>Uncle Sams Cider (04/04/2023)</v>
      </c>
      <c r="H3418" s="19"/>
    </row>
    <row r="3419">
      <c r="A3419" s="9"/>
      <c r="B3419" s="15"/>
      <c r="C3419" s="9">
        <f>IFERROR(__xludf.DUMMYFUNCTION("""COMPUTED_VALUE"""),45108.8830701157)</f>
        <v>45108.88307</v>
      </c>
      <c r="D3419" s="15">
        <f>IFERROR(__xludf.DUMMYFUNCTION("""COMPUTED_VALUE"""),1.004)</f>
        <v>1.004</v>
      </c>
      <c r="E3419" s="16">
        <f>IFERROR(__xludf.DUMMYFUNCTION("""COMPUTED_VALUE"""),70.0)</f>
        <v>70</v>
      </c>
      <c r="F3419" s="19" t="str">
        <f>IFERROR(__xludf.DUMMYFUNCTION("""COMPUTED_VALUE"""),"BLACK")</f>
        <v>BLACK</v>
      </c>
      <c r="G3419" s="20" t="str">
        <f>IFERROR(__xludf.DUMMYFUNCTION("""COMPUTED_VALUE"""),"Uncle Sams Cider (04/04/2023)")</f>
        <v>Uncle Sams Cider (04/04/2023)</v>
      </c>
      <c r="H3419" s="19"/>
    </row>
    <row r="3420">
      <c r="A3420" s="9"/>
      <c r="B3420" s="15"/>
      <c r="C3420" s="9">
        <f>IFERROR(__xludf.DUMMYFUNCTION("""COMPUTED_VALUE"""),45108.8726465625)</f>
        <v>45108.87265</v>
      </c>
      <c r="D3420" s="15">
        <f>IFERROR(__xludf.DUMMYFUNCTION("""COMPUTED_VALUE"""),1.004)</f>
        <v>1.004</v>
      </c>
      <c r="E3420" s="16">
        <f>IFERROR(__xludf.DUMMYFUNCTION("""COMPUTED_VALUE"""),70.0)</f>
        <v>70</v>
      </c>
      <c r="F3420" s="19" t="str">
        <f>IFERROR(__xludf.DUMMYFUNCTION("""COMPUTED_VALUE"""),"BLACK")</f>
        <v>BLACK</v>
      </c>
      <c r="G3420" s="20" t="str">
        <f>IFERROR(__xludf.DUMMYFUNCTION("""COMPUTED_VALUE"""),"Uncle Sams Cider (04/04/2023)")</f>
        <v>Uncle Sams Cider (04/04/2023)</v>
      </c>
      <c r="H3420" s="19"/>
    </row>
    <row r="3421">
      <c r="A3421" s="9"/>
      <c r="B3421" s="15"/>
      <c r="C3421" s="9">
        <f>IFERROR(__xludf.DUMMYFUNCTION("""COMPUTED_VALUE"""),45108.8622263078)</f>
        <v>45108.86223</v>
      </c>
      <c r="D3421" s="15">
        <f>IFERROR(__xludf.DUMMYFUNCTION("""COMPUTED_VALUE"""),1.004)</f>
        <v>1.004</v>
      </c>
      <c r="E3421" s="16">
        <f>IFERROR(__xludf.DUMMYFUNCTION("""COMPUTED_VALUE"""),70.0)</f>
        <v>70</v>
      </c>
      <c r="F3421" s="19" t="str">
        <f>IFERROR(__xludf.DUMMYFUNCTION("""COMPUTED_VALUE"""),"BLACK")</f>
        <v>BLACK</v>
      </c>
      <c r="G3421" s="20" t="str">
        <f>IFERROR(__xludf.DUMMYFUNCTION("""COMPUTED_VALUE"""),"Uncle Sams Cider (04/04/2023)")</f>
        <v>Uncle Sams Cider (04/04/2023)</v>
      </c>
      <c r="H3421" s="19"/>
    </row>
    <row r="3422">
      <c r="A3422" s="9"/>
      <c r="B3422" s="15"/>
      <c r="C3422" s="9">
        <f>IFERROR(__xludf.DUMMYFUNCTION("""COMPUTED_VALUE"""),45108.8517952777)</f>
        <v>45108.8518</v>
      </c>
      <c r="D3422" s="15">
        <f>IFERROR(__xludf.DUMMYFUNCTION("""COMPUTED_VALUE"""),1.004)</f>
        <v>1.004</v>
      </c>
      <c r="E3422" s="16">
        <f>IFERROR(__xludf.DUMMYFUNCTION("""COMPUTED_VALUE"""),70.0)</f>
        <v>70</v>
      </c>
      <c r="F3422" s="19" t="str">
        <f>IFERROR(__xludf.DUMMYFUNCTION("""COMPUTED_VALUE"""),"BLACK")</f>
        <v>BLACK</v>
      </c>
      <c r="G3422" s="20" t="str">
        <f>IFERROR(__xludf.DUMMYFUNCTION("""COMPUTED_VALUE"""),"Uncle Sams Cider (04/04/2023)")</f>
        <v>Uncle Sams Cider (04/04/2023)</v>
      </c>
      <c r="H3422" s="19"/>
    </row>
    <row r="3423">
      <c r="A3423" s="9"/>
      <c r="B3423" s="15"/>
      <c r="C3423" s="9">
        <f>IFERROR(__xludf.DUMMYFUNCTION("""COMPUTED_VALUE"""),45108.8413744444)</f>
        <v>45108.84137</v>
      </c>
      <c r="D3423" s="15">
        <f>IFERROR(__xludf.DUMMYFUNCTION("""COMPUTED_VALUE"""),1.004)</f>
        <v>1.004</v>
      </c>
      <c r="E3423" s="16">
        <f>IFERROR(__xludf.DUMMYFUNCTION("""COMPUTED_VALUE"""),70.0)</f>
        <v>70</v>
      </c>
      <c r="F3423" s="19" t="str">
        <f>IFERROR(__xludf.DUMMYFUNCTION("""COMPUTED_VALUE"""),"BLACK")</f>
        <v>BLACK</v>
      </c>
      <c r="G3423" s="20" t="str">
        <f>IFERROR(__xludf.DUMMYFUNCTION("""COMPUTED_VALUE"""),"Uncle Sams Cider (04/04/2023)")</f>
        <v>Uncle Sams Cider (04/04/2023)</v>
      </c>
      <c r="H3423" s="19"/>
    </row>
    <row r="3424">
      <c r="A3424" s="9"/>
      <c r="B3424" s="15"/>
      <c r="C3424" s="9">
        <f>IFERROR(__xludf.DUMMYFUNCTION("""COMPUTED_VALUE"""),45108.8309541319)</f>
        <v>45108.83095</v>
      </c>
      <c r="D3424" s="15">
        <f>IFERROR(__xludf.DUMMYFUNCTION("""COMPUTED_VALUE"""),1.004)</f>
        <v>1.004</v>
      </c>
      <c r="E3424" s="16">
        <f>IFERROR(__xludf.DUMMYFUNCTION("""COMPUTED_VALUE"""),70.0)</f>
        <v>70</v>
      </c>
      <c r="F3424" s="19" t="str">
        <f>IFERROR(__xludf.DUMMYFUNCTION("""COMPUTED_VALUE"""),"BLACK")</f>
        <v>BLACK</v>
      </c>
      <c r="G3424" s="20" t="str">
        <f>IFERROR(__xludf.DUMMYFUNCTION("""COMPUTED_VALUE"""),"Uncle Sams Cider (04/04/2023)")</f>
        <v>Uncle Sams Cider (04/04/2023)</v>
      </c>
      <c r="H3424" s="19"/>
    </row>
    <row r="3425">
      <c r="A3425" s="9"/>
      <c r="B3425" s="15"/>
      <c r="C3425" s="9">
        <f>IFERROR(__xludf.DUMMYFUNCTION("""COMPUTED_VALUE"""),45108.8205326388)</f>
        <v>45108.82053</v>
      </c>
      <c r="D3425" s="15">
        <f>IFERROR(__xludf.DUMMYFUNCTION("""COMPUTED_VALUE"""),1.004)</f>
        <v>1.004</v>
      </c>
      <c r="E3425" s="16">
        <f>IFERROR(__xludf.DUMMYFUNCTION("""COMPUTED_VALUE"""),70.0)</f>
        <v>70</v>
      </c>
      <c r="F3425" s="19" t="str">
        <f>IFERROR(__xludf.DUMMYFUNCTION("""COMPUTED_VALUE"""),"BLACK")</f>
        <v>BLACK</v>
      </c>
      <c r="G3425" s="20" t="str">
        <f>IFERROR(__xludf.DUMMYFUNCTION("""COMPUTED_VALUE"""),"Uncle Sams Cider (04/04/2023)")</f>
        <v>Uncle Sams Cider (04/04/2023)</v>
      </c>
      <c r="H3425" s="19"/>
    </row>
    <row r="3426">
      <c r="A3426" s="9"/>
      <c r="B3426" s="15"/>
      <c r="C3426" s="9">
        <f>IFERROR(__xludf.DUMMYFUNCTION("""COMPUTED_VALUE"""),45108.8101122916)</f>
        <v>45108.81011</v>
      </c>
      <c r="D3426" s="15">
        <f>IFERROR(__xludf.DUMMYFUNCTION("""COMPUTED_VALUE"""),1.004)</f>
        <v>1.004</v>
      </c>
      <c r="E3426" s="16">
        <f>IFERROR(__xludf.DUMMYFUNCTION("""COMPUTED_VALUE"""),70.0)</f>
        <v>70</v>
      </c>
      <c r="F3426" s="19" t="str">
        <f>IFERROR(__xludf.DUMMYFUNCTION("""COMPUTED_VALUE"""),"BLACK")</f>
        <v>BLACK</v>
      </c>
      <c r="G3426" s="20" t="str">
        <f>IFERROR(__xludf.DUMMYFUNCTION("""COMPUTED_VALUE"""),"Uncle Sams Cider (04/04/2023)")</f>
        <v>Uncle Sams Cider (04/04/2023)</v>
      </c>
      <c r="H3426" s="19"/>
    </row>
    <row r="3427">
      <c r="A3427" s="9"/>
      <c r="B3427" s="15"/>
      <c r="C3427" s="9">
        <f>IFERROR(__xludf.DUMMYFUNCTION("""COMPUTED_VALUE"""),45108.799690706)</f>
        <v>45108.79969</v>
      </c>
      <c r="D3427" s="15">
        <f>IFERROR(__xludf.DUMMYFUNCTION("""COMPUTED_VALUE"""),1.004)</f>
        <v>1.004</v>
      </c>
      <c r="E3427" s="16">
        <f>IFERROR(__xludf.DUMMYFUNCTION("""COMPUTED_VALUE"""),70.0)</f>
        <v>70</v>
      </c>
      <c r="F3427" s="19" t="str">
        <f>IFERROR(__xludf.DUMMYFUNCTION("""COMPUTED_VALUE"""),"BLACK")</f>
        <v>BLACK</v>
      </c>
      <c r="G3427" s="20" t="str">
        <f>IFERROR(__xludf.DUMMYFUNCTION("""COMPUTED_VALUE"""),"Uncle Sams Cider (04/04/2023)")</f>
        <v>Uncle Sams Cider (04/04/2023)</v>
      </c>
      <c r="H3427" s="19"/>
    </row>
    <row r="3428">
      <c r="A3428" s="9"/>
      <c r="B3428" s="15"/>
      <c r="C3428" s="9">
        <f>IFERROR(__xludf.DUMMYFUNCTION("""COMPUTED_VALUE"""),45108.789245081)</f>
        <v>45108.78925</v>
      </c>
      <c r="D3428" s="15">
        <f>IFERROR(__xludf.DUMMYFUNCTION("""COMPUTED_VALUE"""),1.004)</f>
        <v>1.004</v>
      </c>
      <c r="E3428" s="16">
        <f>IFERROR(__xludf.DUMMYFUNCTION("""COMPUTED_VALUE"""),70.0)</f>
        <v>70</v>
      </c>
      <c r="F3428" s="19" t="str">
        <f>IFERROR(__xludf.DUMMYFUNCTION("""COMPUTED_VALUE"""),"BLACK")</f>
        <v>BLACK</v>
      </c>
      <c r="G3428" s="20" t="str">
        <f>IFERROR(__xludf.DUMMYFUNCTION("""COMPUTED_VALUE"""),"Uncle Sams Cider (04/04/2023)")</f>
        <v>Uncle Sams Cider (04/04/2023)</v>
      </c>
      <c r="H3428" s="19"/>
    </row>
    <row r="3429">
      <c r="A3429" s="9"/>
      <c r="B3429" s="15"/>
      <c r="C3429" s="9">
        <f>IFERROR(__xludf.DUMMYFUNCTION("""COMPUTED_VALUE"""),45108.7788229282)</f>
        <v>45108.77882</v>
      </c>
      <c r="D3429" s="15">
        <f>IFERROR(__xludf.DUMMYFUNCTION("""COMPUTED_VALUE"""),1.004)</f>
        <v>1.004</v>
      </c>
      <c r="E3429" s="16">
        <f>IFERROR(__xludf.DUMMYFUNCTION("""COMPUTED_VALUE"""),70.0)</f>
        <v>70</v>
      </c>
      <c r="F3429" s="19" t="str">
        <f>IFERROR(__xludf.DUMMYFUNCTION("""COMPUTED_VALUE"""),"BLACK")</f>
        <v>BLACK</v>
      </c>
      <c r="G3429" s="20" t="str">
        <f>IFERROR(__xludf.DUMMYFUNCTION("""COMPUTED_VALUE"""),"Uncle Sams Cider (04/04/2023)")</f>
        <v>Uncle Sams Cider (04/04/2023)</v>
      </c>
      <c r="H3429" s="19"/>
    </row>
    <row r="3430">
      <c r="A3430" s="9"/>
      <c r="B3430" s="15"/>
      <c r="C3430" s="9">
        <f>IFERROR(__xludf.DUMMYFUNCTION("""COMPUTED_VALUE"""),45108.7684004398)</f>
        <v>45108.7684</v>
      </c>
      <c r="D3430" s="15">
        <f>IFERROR(__xludf.DUMMYFUNCTION("""COMPUTED_VALUE"""),1.004)</f>
        <v>1.004</v>
      </c>
      <c r="E3430" s="16">
        <f>IFERROR(__xludf.DUMMYFUNCTION("""COMPUTED_VALUE"""),70.0)</f>
        <v>70</v>
      </c>
      <c r="F3430" s="19" t="str">
        <f>IFERROR(__xludf.DUMMYFUNCTION("""COMPUTED_VALUE"""),"BLACK")</f>
        <v>BLACK</v>
      </c>
      <c r="G3430" s="20" t="str">
        <f>IFERROR(__xludf.DUMMYFUNCTION("""COMPUTED_VALUE"""),"Uncle Sams Cider (04/04/2023)")</f>
        <v>Uncle Sams Cider (04/04/2023)</v>
      </c>
      <c r="H3430" s="19"/>
    </row>
    <row r="3431">
      <c r="A3431" s="9"/>
      <c r="B3431" s="15"/>
      <c r="C3431" s="9">
        <f>IFERROR(__xludf.DUMMYFUNCTION("""COMPUTED_VALUE"""),45108.7579796412)</f>
        <v>45108.75798</v>
      </c>
      <c r="D3431" s="15">
        <f>IFERROR(__xludf.DUMMYFUNCTION("""COMPUTED_VALUE"""),1.004)</f>
        <v>1.004</v>
      </c>
      <c r="E3431" s="16">
        <f>IFERROR(__xludf.DUMMYFUNCTION("""COMPUTED_VALUE"""),70.0)</f>
        <v>70</v>
      </c>
      <c r="F3431" s="19" t="str">
        <f>IFERROR(__xludf.DUMMYFUNCTION("""COMPUTED_VALUE"""),"BLACK")</f>
        <v>BLACK</v>
      </c>
      <c r="G3431" s="20" t="str">
        <f>IFERROR(__xludf.DUMMYFUNCTION("""COMPUTED_VALUE"""),"Uncle Sams Cider (04/04/2023)")</f>
        <v>Uncle Sams Cider (04/04/2023)</v>
      </c>
      <c r="H3431" s="19"/>
    </row>
    <row r="3432">
      <c r="A3432" s="9"/>
      <c r="B3432" s="15"/>
      <c r="C3432" s="9">
        <f>IFERROR(__xludf.DUMMYFUNCTION("""COMPUTED_VALUE"""),45108.7475590972)</f>
        <v>45108.74756</v>
      </c>
      <c r="D3432" s="15">
        <f>IFERROR(__xludf.DUMMYFUNCTION("""COMPUTED_VALUE"""),1.004)</f>
        <v>1.004</v>
      </c>
      <c r="E3432" s="16">
        <f>IFERROR(__xludf.DUMMYFUNCTION("""COMPUTED_VALUE"""),70.0)</f>
        <v>70</v>
      </c>
      <c r="F3432" s="19" t="str">
        <f>IFERROR(__xludf.DUMMYFUNCTION("""COMPUTED_VALUE"""),"BLACK")</f>
        <v>BLACK</v>
      </c>
      <c r="G3432" s="20" t="str">
        <f>IFERROR(__xludf.DUMMYFUNCTION("""COMPUTED_VALUE"""),"Uncle Sams Cider (04/04/2023)")</f>
        <v>Uncle Sams Cider (04/04/2023)</v>
      </c>
      <c r="H3432" s="19"/>
    </row>
    <row r="3433">
      <c r="A3433" s="9"/>
      <c r="B3433" s="15"/>
      <c r="C3433" s="9">
        <f>IFERROR(__xludf.DUMMYFUNCTION("""COMPUTED_VALUE"""),45108.7371377893)</f>
        <v>45108.73714</v>
      </c>
      <c r="D3433" s="15">
        <f>IFERROR(__xludf.DUMMYFUNCTION("""COMPUTED_VALUE"""),1.004)</f>
        <v>1.004</v>
      </c>
      <c r="E3433" s="16">
        <f>IFERROR(__xludf.DUMMYFUNCTION("""COMPUTED_VALUE"""),70.0)</f>
        <v>70</v>
      </c>
      <c r="F3433" s="19" t="str">
        <f>IFERROR(__xludf.DUMMYFUNCTION("""COMPUTED_VALUE"""),"BLACK")</f>
        <v>BLACK</v>
      </c>
      <c r="G3433" s="20" t="str">
        <f>IFERROR(__xludf.DUMMYFUNCTION("""COMPUTED_VALUE"""),"Uncle Sams Cider (04/04/2023)")</f>
        <v>Uncle Sams Cider (04/04/2023)</v>
      </c>
      <c r="H3433" s="19"/>
    </row>
    <row r="3434">
      <c r="A3434" s="9"/>
      <c r="B3434" s="15"/>
      <c r="C3434" s="9">
        <f>IFERROR(__xludf.DUMMYFUNCTION("""COMPUTED_VALUE"""),45108.7267059143)</f>
        <v>45108.72671</v>
      </c>
      <c r="D3434" s="15">
        <f>IFERROR(__xludf.DUMMYFUNCTION("""COMPUTED_VALUE"""),1.004)</f>
        <v>1.004</v>
      </c>
      <c r="E3434" s="16">
        <f>IFERROR(__xludf.DUMMYFUNCTION("""COMPUTED_VALUE"""),70.0)</f>
        <v>70</v>
      </c>
      <c r="F3434" s="19" t="str">
        <f>IFERROR(__xludf.DUMMYFUNCTION("""COMPUTED_VALUE"""),"BLACK")</f>
        <v>BLACK</v>
      </c>
      <c r="G3434" s="20" t="str">
        <f>IFERROR(__xludf.DUMMYFUNCTION("""COMPUTED_VALUE"""),"Uncle Sams Cider (04/04/2023)")</f>
        <v>Uncle Sams Cider (04/04/2023)</v>
      </c>
      <c r="H3434" s="19"/>
    </row>
    <row r="3435">
      <c r="A3435" s="9"/>
      <c r="B3435" s="15"/>
      <c r="C3435" s="9">
        <f>IFERROR(__xludf.DUMMYFUNCTION("""COMPUTED_VALUE"""),45108.7162848032)</f>
        <v>45108.71628</v>
      </c>
      <c r="D3435" s="15">
        <f>IFERROR(__xludf.DUMMYFUNCTION("""COMPUTED_VALUE"""),1.004)</f>
        <v>1.004</v>
      </c>
      <c r="E3435" s="16">
        <f>IFERROR(__xludf.DUMMYFUNCTION("""COMPUTED_VALUE"""),70.0)</f>
        <v>70</v>
      </c>
      <c r="F3435" s="19" t="str">
        <f>IFERROR(__xludf.DUMMYFUNCTION("""COMPUTED_VALUE"""),"BLACK")</f>
        <v>BLACK</v>
      </c>
      <c r="G3435" s="20" t="str">
        <f>IFERROR(__xludf.DUMMYFUNCTION("""COMPUTED_VALUE"""),"Uncle Sams Cider (04/04/2023)")</f>
        <v>Uncle Sams Cider (04/04/2023)</v>
      </c>
      <c r="H3435" s="19"/>
    </row>
    <row r="3436">
      <c r="A3436" s="9"/>
      <c r="B3436" s="15"/>
      <c r="C3436" s="9">
        <f>IFERROR(__xludf.DUMMYFUNCTION("""COMPUTED_VALUE"""),45108.7058638657)</f>
        <v>45108.70586</v>
      </c>
      <c r="D3436" s="15">
        <f>IFERROR(__xludf.DUMMYFUNCTION("""COMPUTED_VALUE"""),1.004)</f>
        <v>1.004</v>
      </c>
      <c r="E3436" s="16">
        <f>IFERROR(__xludf.DUMMYFUNCTION("""COMPUTED_VALUE"""),70.0)</f>
        <v>70</v>
      </c>
      <c r="F3436" s="19" t="str">
        <f>IFERROR(__xludf.DUMMYFUNCTION("""COMPUTED_VALUE"""),"BLACK")</f>
        <v>BLACK</v>
      </c>
      <c r="G3436" s="20" t="str">
        <f>IFERROR(__xludf.DUMMYFUNCTION("""COMPUTED_VALUE"""),"Uncle Sams Cider (04/04/2023)")</f>
        <v>Uncle Sams Cider (04/04/2023)</v>
      </c>
      <c r="H3436" s="19"/>
    </row>
    <row r="3437">
      <c r="A3437" s="9"/>
      <c r="B3437" s="15"/>
      <c r="C3437" s="9">
        <f>IFERROR(__xludf.DUMMYFUNCTION("""COMPUTED_VALUE"""),45108.6954428472)</f>
        <v>45108.69544</v>
      </c>
      <c r="D3437" s="15">
        <f>IFERROR(__xludf.DUMMYFUNCTION("""COMPUTED_VALUE"""),1.004)</f>
        <v>1.004</v>
      </c>
      <c r="E3437" s="16">
        <f>IFERROR(__xludf.DUMMYFUNCTION("""COMPUTED_VALUE"""),70.0)</f>
        <v>70</v>
      </c>
      <c r="F3437" s="19" t="str">
        <f>IFERROR(__xludf.DUMMYFUNCTION("""COMPUTED_VALUE"""),"BLACK")</f>
        <v>BLACK</v>
      </c>
      <c r="G3437" s="20" t="str">
        <f>IFERROR(__xludf.DUMMYFUNCTION("""COMPUTED_VALUE"""),"Uncle Sams Cider (04/04/2023)")</f>
        <v>Uncle Sams Cider (04/04/2023)</v>
      </c>
      <c r="H3437" s="19"/>
    </row>
    <row r="3438">
      <c r="A3438" s="9"/>
      <c r="B3438" s="15"/>
      <c r="C3438" s="9">
        <f>IFERROR(__xludf.DUMMYFUNCTION("""COMPUTED_VALUE"""),45108.6850216203)</f>
        <v>45108.68502</v>
      </c>
      <c r="D3438" s="15">
        <f>IFERROR(__xludf.DUMMYFUNCTION("""COMPUTED_VALUE"""),1.004)</f>
        <v>1.004</v>
      </c>
      <c r="E3438" s="16">
        <f>IFERROR(__xludf.DUMMYFUNCTION("""COMPUTED_VALUE"""),70.0)</f>
        <v>70</v>
      </c>
      <c r="F3438" s="19" t="str">
        <f>IFERROR(__xludf.DUMMYFUNCTION("""COMPUTED_VALUE"""),"BLACK")</f>
        <v>BLACK</v>
      </c>
      <c r="G3438" s="20" t="str">
        <f>IFERROR(__xludf.DUMMYFUNCTION("""COMPUTED_VALUE"""),"Uncle Sams Cider (04/04/2023)")</f>
        <v>Uncle Sams Cider (04/04/2023)</v>
      </c>
      <c r="H3438" s="19"/>
    </row>
    <row r="3439">
      <c r="A3439" s="9"/>
      <c r="B3439" s="15"/>
      <c r="C3439" s="9">
        <f>IFERROR(__xludf.DUMMYFUNCTION("""COMPUTED_VALUE"""),45108.6745995949)</f>
        <v>45108.6746</v>
      </c>
      <c r="D3439" s="15">
        <f>IFERROR(__xludf.DUMMYFUNCTION("""COMPUTED_VALUE"""),1.004)</f>
        <v>1.004</v>
      </c>
      <c r="E3439" s="16">
        <f>IFERROR(__xludf.DUMMYFUNCTION("""COMPUTED_VALUE"""),70.0)</f>
        <v>70</v>
      </c>
      <c r="F3439" s="19" t="str">
        <f>IFERROR(__xludf.DUMMYFUNCTION("""COMPUTED_VALUE"""),"BLACK")</f>
        <v>BLACK</v>
      </c>
      <c r="G3439" s="20" t="str">
        <f>IFERROR(__xludf.DUMMYFUNCTION("""COMPUTED_VALUE"""),"Uncle Sams Cider (04/04/2023)")</f>
        <v>Uncle Sams Cider (04/04/2023)</v>
      </c>
      <c r="H3439" s="19"/>
    </row>
    <row r="3440">
      <c r="A3440" s="9"/>
      <c r="B3440" s="15"/>
      <c r="C3440" s="9">
        <f>IFERROR(__xludf.DUMMYFUNCTION("""COMPUTED_VALUE"""),45108.6641786111)</f>
        <v>45108.66418</v>
      </c>
      <c r="D3440" s="15">
        <f>IFERROR(__xludf.DUMMYFUNCTION("""COMPUTED_VALUE"""),1.004)</f>
        <v>1.004</v>
      </c>
      <c r="E3440" s="16">
        <f>IFERROR(__xludf.DUMMYFUNCTION("""COMPUTED_VALUE"""),70.0)</f>
        <v>70</v>
      </c>
      <c r="F3440" s="19" t="str">
        <f>IFERROR(__xludf.DUMMYFUNCTION("""COMPUTED_VALUE"""),"BLACK")</f>
        <v>BLACK</v>
      </c>
      <c r="G3440" s="20" t="str">
        <f>IFERROR(__xludf.DUMMYFUNCTION("""COMPUTED_VALUE"""),"Uncle Sams Cider (04/04/2023)")</f>
        <v>Uncle Sams Cider (04/04/2023)</v>
      </c>
      <c r="H3440" s="19"/>
    </row>
    <row r="3441">
      <c r="A3441" s="9"/>
      <c r="B3441" s="15"/>
      <c r="C3441" s="9">
        <f>IFERROR(__xludf.DUMMYFUNCTION("""COMPUTED_VALUE"""),45108.6537573148)</f>
        <v>45108.65376</v>
      </c>
      <c r="D3441" s="15">
        <f>IFERROR(__xludf.DUMMYFUNCTION("""COMPUTED_VALUE"""),1.004)</f>
        <v>1.004</v>
      </c>
      <c r="E3441" s="16">
        <f>IFERROR(__xludf.DUMMYFUNCTION("""COMPUTED_VALUE"""),70.0)</f>
        <v>70</v>
      </c>
      <c r="F3441" s="19" t="str">
        <f>IFERROR(__xludf.DUMMYFUNCTION("""COMPUTED_VALUE"""),"BLACK")</f>
        <v>BLACK</v>
      </c>
      <c r="G3441" s="20" t="str">
        <f>IFERROR(__xludf.DUMMYFUNCTION("""COMPUTED_VALUE"""),"Uncle Sams Cider (04/04/2023)")</f>
        <v>Uncle Sams Cider (04/04/2023)</v>
      </c>
      <c r="H3441" s="19"/>
    </row>
    <row r="3442">
      <c r="A3442" s="9"/>
      <c r="B3442" s="15"/>
      <c r="C3442" s="9">
        <f>IFERROR(__xludf.DUMMYFUNCTION("""COMPUTED_VALUE"""),45108.6433375115)</f>
        <v>45108.64334</v>
      </c>
      <c r="D3442" s="15">
        <f>IFERROR(__xludf.DUMMYFUNCTION("""COMPUTED_VALUE"""),1.004)</f>
        <v>1.004</v>
      </c>
      <c r="E3442" s="16">
        <f>IFERROR(__xludf.DUMMYFUNCTION("""COMPUTED_VALUE"""),70.0)</f>
        <v>70</v>
      </c>
      <c r="F3442" s="19" t="str">
        <f>IFERROR(__xludf.DUMMYFUNCTION("""COMPUTED_VALUE"""),"BLACK")</f>
        <v>BLACK</v>
      </c>
      <c r="G3442" s="20" t="str">
        <f>IFERROR(__xludf.DUMMYFUNCTION("""COMPUTED_VALUE"""),"Uncle Sams Cider (04/04/2023)")</f>
        <v>Uncle Sams Cider (04/04/2023)</v>
      </c>
      <c r="H3442" s="19"/>
    </row>
    <row r="3443">
      <c r="A3443" s="9"/>
      <c r="B3443" s="15"/>
      <c r="C3443" s="9">
        <f>IFERROR(__xludf.DUMMYFUNCTION("""COMPUTED_VALUE"""),45108.6329166087)</f>
        <v>45108.63292</v>
      </c>
      <c r="D3443" s="15">
        <f>IFERROR(__xludf.DUMMYFUNCTION("""COMPUTED_VALUE"""),1.004)</f>
        <v>1.004</v>
      </c>
      <c r="E3443" s="16">
        <f>IFERROR(__xludf.DUMMYFUNCTION("""COMPUTED_VALUE"""),70.0)</f>
        <v>70</v>
      </c>
      <c r="F3443" s="19" t="str">
        <f>IFERROR(__xludf.DUMMYFUNCTION("""COMPUTED_VALUE"""),"BLACK")</f>
        <v>BLACK</v>
      </c>
      <c r="G3443" s="20" t="str">
        <f>IFERROR(__xludf.DUMMYFUNCTION("""COMPUTED_VALUE"""),"Uncle Sams Cider (04/04/2023)")</f>
        <v>Uncle Sams Cider (04/04/2023)</v>
      </c>
      <c r="H3443" s="19"/>
    </row>
    <row r="3444">
      <c r="A3444" s="9"/>
      <c r="B3444" s="15"/>
      <c r="C3444" s="9">
        <f>IFERROR(__xludf.DUMMYFUNCTION("""COMPUTED_VALUE"""),45108.6224837963)</f>
        <v>45108.62248</v>
      </c>
      <c r="D3444" s="15">
        <f>IFERROR(__xludf.DUMMYFUNCTION("""COMPUTED_VALUE"""),1.004)</f>
        <v>1.004</v>
      </c>
      <c r="E3444" s="16">
        <f>IFERROR(__xludf.DUMMYFUNCTION("""COMPUTED_VALUE"""),70.0)</f>
        <v>70</v>
      </c>
      <c r="F3444" s="19" t="str">
        <f>IFERROR(__xludf.DUMMYFUNCTION("""COMPUTED_VALUE"""),"BLACK")</f>
        <v>BLACK</v>
      </c>
      <c r="G3444" s="20" t="str">
        <f>IFERROR(__xludf.DUMMYFUNCTION("""COMPUTED_VALUE"""),"Uncle Sams Cider (04/04/2023)")</f>
        <v>Uncle Sams Cider (04/04/2023)</v>
      </c>
      <c r="H3444" s="19"/>
    </row>
    <row r="3445">
      <c r="A3445" s="9"/>
      <c r="B3445" s="15"/>
      <c r="C3445" s="9">
        <f>IFERROR(__xludf.DUMMYFUNCTION("""COMPUTED_VALUE"""),45108.6120620254)</f>
        <v>45108.61206</v>
      </c>
      <c r="D3445" s="15">
        <f>IFERROR(__xludf.DUMMYFUNCTION("""COMPUTED_VALUE"""),1.004)</f>
        <v>1.004</v>
      </c>
      <c r="E3445" s="16">
        <f>IFERROR(__xludf.DUMMYFUNCTION("""COMPUTED_VALUE"""),70.0)</f>
        <v>70</v>
      </c>
      <c r="F3445" s="19" t="str">
        <f>IFERROR(__xludf.DUMMYFUNCTION("""COMPUTED_VALUE"""),"BLACK")</f>
        <v>BLACK</v>
      </c>
      <c r="G3445" s="20" t="str">
        <f>IFERROR(__xludf.DUMMYFUNCTION("""COMPUTED_VALUE"""),"Uncle Sams Cider (04/04/2023)")</f>
        <v>Uncle Sams Cider (04/04/2023)</v>
      </c>
      <c r="H3445" s="19"/>
    </row>
    <row r="3446">
      <c r="A3446" s="9"/>
      <c r="B3446" s="15"/>
      <c r="C3446" s="9">
        <f>IFERROR(__xludf.DUMMYFUNCTION("""COMPUTED_VALUE"""),45108.6016413194)</f>
        <v>45108.60164</v>
      </c>
      <c r="D3446" s="15">
        <f>IFERROR(__xludf.DUMMYFUNCTION("""COMPUTED_VALUE"""),1.004)</f>
        <v>1.004</v>
      </c>
      <c r="E3446" s="16">
        <f>IFERROR(__xludf.DUMMYFUNCTION("""COMPUTED_VALUE"""),70.0)</f>
        <v>70</v>
      </c>
      <c r="F3446" s="19" t="str">
        <f>IFERROR(__xludf.DUMMYFUNCTION("""COMPUTED_VALUE"""),"BLACK")</f>
        <v>BLACK</v>
      </c>
      <c r="G3446" s="20" t="str">
        <f>IFERROR(__xludf.DUMMYFUNCTION("""COMPUTED_VALUE"""),"Uncle Sams Cider (04/04/2023)")</f>
        <v>Uncle Sams Cider (04/04/2023)</v>
      </c>
      <c r="H3446" s="19"/>
    </row>
    <row r="3447">
      <c r="A3447" s="9"/>
      <c r="B3447" s="15"/>
      <c r="C3447" s="9">
        <f>IFERROR(__xludf.DUMMYFUNCTION("""COMPUTED_VALUE"""),45108.591220787)</f>
        <v>45108.59122</v>
      </c>
      <c r="D3447" s="15">
        <f>IFERROR(__xludf.DUMMYFUNCTION("""COMPUTED_VALUE"""),1.004)</f>
        <v>1.004</v>
      </c>
      <c r="E3447" s="16">
        <f>IFERROR(__xludf.DUMMYFUNCTION("""COMPUTED_VALUE"""),70.0)</f>
        <v>70</v>
      </c>
      <c r="F3447" s="19" t="str">
        <f>IFERROR(__xludf.DUMMYFUNCTION("""COMPUTED_VALUE"""),"BLACK")</f>
        <v>BLACK</v>
      </c>
      <c r="G3447" s="20" t="str">
        <f>IFERROR(__xludf.DUMMYFUNCTION("""COMPUTED_VALUE"""),"Uncle Sams Cider (04/04/2023)")</f>
        <v>Uncle Sams Cider (04/04/2023)</v>
      </c>
      <c r="H3447" s="19"/>
    </row>
    <row r="3448">
      <c r="A3448" s="9"/>
      <c r="B3448" s="15"/>
      <c r="C3448" s="9">
        <f>IFERROR(__xludf.DUMMYFUNCTION("""COMPUTED_VALUE"""),45108.58080103)</f>
        <v>45108.5808</v>
      </c>
      <c r="D3448" s="15">
        <f>IFERROR(__xludf.DUMMYFUNCTION("""COMPUTED_VALUE"""),1.004)</f>
        <v>1.004</v>
      </c>
      <c r="E3448" s="16">
        <f>IFERROR(__xludf.DUMMYFUNCTION("""COMPUTED_VALUE"""),70.0)</f>
        <v>70</v>
      </c>
      <c r="F3448" s="19" t="str">
        <f>IFERROR(__xludf.DUMMYFUNCTION("""COMPUTED_VALUE"""),"BLACK")</f>
        <v>BLACK</v>
      </c>
      <c r="G3448" s="20" t="str">
        <f>IFERROR(__xludf.DUMMYFUNCTION("""COMPUTED_VALUE"""),"Uncle Sams Cider (04/04/2023)")</f>
        <v>Uncle Sams Cider (04/04/2023)</v>
      </c>
      <c r="H3448" s="19"/>
    </row>
    <row r="3449">
      <c r="A3449" s="9"/>
      <c r="B3449" s="15"/>
      <c r="C3449" s="9">
        <f>IFERROR(__xludf.DUMMYFUNCTION("""COMPUTED_VALUE"""),45108.5703683333)</f>
        <v>45108.57037</v>
      </c>
      <c r="D3449" s="15">
        <f>IFERROR(__xludf.DUMMYFUNCTION("""COMPUTED_VALUE"""),1.004)</f>
        <v>1.004</v>
      </c>
      <c r="E3449" s="16">
        <f>IFERROR(__xludf.DUMMYFUNCTION("""COMPUTED_VALUE"""),70.0)</f>
        <v>70</v>
      </c>
      <c r="F3449" s="19" t="str">
        <f>IFERROR(__xludf.DUMMYFUNCTION("""COMPUTED_VALUE"""),"BLACK")</f>
        <v>BLACK</v>
      </c>
      <c r="G3449" s="20" t="str">
        <f>IFERROR(__xludf.DUMMYFUNCTION("""COMPUTED_VALUE"""),"Uncle Sams Cider (04/04/2023)")</f>
        <v>Uncle Sams Cider (04/04/2023)</v>
      </c>
      <c r="H3449" s="19"/>
    </row>
    <row r="3450">
      <c r="A3450" s="9"/>
      <c r="B3450" s="15"/>
      <c r="C3450" s="9">
        <f>IFERROR(__xludf.DUMMYFUNCTION("""COMPUTED_VALUE"""),45108.5599347338)</f>
        <v>45108.55993</v>
      </c>
      <c r="D3450" s="15">
        <f>IFERROR(__xludf.DUMMYFUNCTION("""COMPUTED_VALUE"""),1.004)</f>
        <v>1.004</v>
      </c>
      <c r="E3450" s="16">
        <f>IFERROR(__xludf.DUMMYFUNCTION("""COMPUTED_VALUE"""),70.0)</f>
        <v>70</v>
      </c>
      <c r="F3450" s="19" t="str">
        <f>IFERROR(__xludf.DUMMYFUNCTION("""COMPUTED_VALUE"""),"BLACK")</f>
        <v>BLACK</v>
      </c>
      <c r="G3450" s="20" t="str">
        <f>IFERROR(__xludf.DUMMYFUNCTION("""COMPUTED_VALUE"""),"Uncle Sams Cider (04/04/2023)")</f>
        <v>Uncle Sams Cider (04/04/2023)</v>
      </c>
      <c r="H3450" s="19"/>
    </row>
    <row r="3451">
      <c r="A3451" s="9"/>
      <c r="B3451" s="15"/>
      <c r="C3451" s="9">
        <f>IFERROR(__xludf.DUMMYFUNCTION("""COMPUTED_VALUE"""),45108.5495162963)</f>
        <v>45108.54952</v>
      </c>
      <c r="D3451" s="15">
        <f>IFERROR(__xludf.DUMMYFUNCTION("""COMPUTED_VALUE"""),1.004)</f>
        <v>1.004</v>
      </c>
      <c r="E3451" s="16">
        <f>IFERROR(__xludf.DUMMYFUNCTION("""COMPUTED_VALUE"""),70.0)</f>
        <v>70</v>
      </c>
      <c r="F3451" s="19" t="str">
        <f>IFERROR(__xludf.DUMMYFUNCTION("""COMPUTED_VALUE"""),"BLACK")</f>
        <v>BLACK</v>
      </c>
      <c r="G3451" s="20" t="str">
        <f>IFERROR(__xludf.DUMMYFUNCTION("""COMPUTED_VALUE"""),"Uncle Sams Cider (04/04/2023)")</f>
        <v>Uncle Sams Cider (04/04/2023)</v>
      </c>
      <c r="H3451" s="19"/>
    </row>
    <row r="3452">
      <c r="A3452" s="9"/>
      <c r="B3452" s="15"/>
      <c r="C3452" s="9">
        <f>IFERROR(__xludf.DUMMYFUNCTION("""COMPUTED_VALUE"""),45108.5390946527)</f>
        <v>45108.53909</v>
      </c>
      <c r="D3452" s="15">
        <f>IFERROR(__xludf.DUMMYFUNCTION("""COMPUTED_VALUE"""),1.004)</f>
        <v>1.004</v>
      </c>
      <c r="E3452" s="16">
        <f>IFERROR(__xludf.DUMMYFUNCTION("""COMPUTED_VALUE"""),70.0)</f>
        <v>70</v>
      </c>
      <c r="F3452" s="19" t="str">
        <f>IFERROR(__xludf.DUMMYFUNCTION("""COMPUTED_VALUE"""),"BLACK")</f>
        <v>BLACK</v>
      </c>
      <c r="G3452" s="20" t="str">
        <f>IFERROR(__xludf.DUMMYFUNCTION("""COMPUTED_VALUE"""),"Uncle Sams Cider (04/04/2023)")</f>
        <v>Uncle Sams Cider (04/04/2023)</v>
      </c>
      <c r="H3452" s="19"/>
    </row>
    <row r="3453">
      <c r="A3453" s="9"/>
      <c r="B3453" s="15"/>
      <c r="C3453" s="9">
        <f>IFERROR(__xludf.DUMMYFUNCTION("""COMPUTED_VALUE"""),45108.5286710764)</f>
        <v>45108.52867</v>
      </c>
      <c r="D3453" s="15">
        <f>IFERROR(__xludf.DUMMYFUNCTION("""COMPUTED_VALUE"""),1.004)</f>
        <v>1.004</v>
      </c>
      <c r="E3453" s="16">
        <f>IFERROR(__xludf.DUMMYFUNCTION("""COMPUTED_VALUE"""),70.0)</f>
        <v>70</v>
      </c>
      <c r="F3453" s="19" t="str">
        <f>IFERROR(__xludf.DUMMYFUNCTION("""COMPUTED_VALUE"""),"BLACK")</f>
        <v>BLACK</v>
      </c>
      <c r="G3453" s="20" t="str">
        <f>IFERROR(__xludf.DUMMYFUNCTION("""COMPUTED_VALUE"""),"Uncle Sams Cider (04/04/2023)")</f>
        <v>Uncle Sams Cider (04/04/2023)</v>
      </c>
      <c r="H3453" s="19"/>
    </row>
    <row r="3454">
      <c r="A3454" s="9"/>
      <c r="B3454" s="15"/>
      <c r="C3454" s="9">
        <f>IFERROR(__xludf.DUMMYFUNCTION("""COMPUTED_VALUE"""),45108.5182491898)</f>
        <v>45108.51825</v>
      </c>
      <c r="D3454" s="15">
        <f>IFERROR(__xludf.DUMMYFUNCTION("""COMPUTED_VALUE"""),1.005)</f>
        <v>1.005</v>
      </c>
      <c r="E3454" s="16">
        <f>IFERROR(__xludf.DUMMYFUNCTION("""COMPUTED_VALUE"""),70.0)</f>
        <v>70</v>
      </c>
      <c r="F3454" s="19" t="str">
        <f>IFERROR(__xludf.DUMMYFUNCTION("""COMPUTED_VALUE"""),"BLACK")</f>
        <v>BLACK</v>
      </c>
      <c r="G3454" s="20" t="str">
        <f>IFERROR(__xludf.DUMMYFUNCTION("""COMPUTED_VALUE"""),"Uncle Sams Cider (04/04/2023)")</f>
        <v>Uncle Sams Cider (04/04/2023)</v>
      </c>
      <c r="H3454" s="19"/>
    </row>
    <row r="3455">
      <c r="A3455" s="9"/>
      <c r="B3455" s="15"/>
      <c r="C3455" s="9">
        <f>IFERROR(__xludf.DUMMYFUNCTION("""COMPUTED_VALUE"""),45108.507827824)</f>
        <v>45108.50783</v>
      </c>
      <c r="D3455" s="15">
        <f>IFERROR(__xludf.DUMMYFUNCTION("""COMPUTED_VALUE"""),1.004)</f>
        <v>1.004</v>
      </c>
      <c r="E3455" s="16">
        <f>IFERROR(__xludf.DUMMYFUNCTION("""COMPUTED_VALUE"""),70.0)</f>
        <v>70</v>
      </c>
      <c r="F3455" s="19" t="str">
        <f>IFERROR(__xludf.DUMMYFUNCTION("""COMPUTED_VALUE"""),"BLACK")</f>
        <v>BLACK</v>
      </c>
      <c r="G3455" s="20" t="str">
        <f>IFERROR(__xludf.DUMMYFUNCTION("""COMPUTED_VALUE"""),"Uncle Sams Cider (04/04/2023)")</f>
        <v>Uncle Sams Cider (04/04/2023)</v>
      </c>
      <c r="H3455" s="19"/>
    </row>
    <row r="3456">
      <c r="A3456" s="9"/>
      <c r="B3456" s="15"/>
      <c r="C3456" s="9">
        <f>IFERROR(__xludf.DUMMYFUNCTION("""COMPUTED_VALUE"""),45108.4974070601)</f>
        <v>45108.49741</v>
      </c>
      <c r="D3456" s="15">
        <f>IFERROR(__xludf.DUMMYFUNCTION("""COMPUTED_VALUE"""),1.004)</f>
        <v>1.004</v>
      </c>
      <c r="E3456" s="16">
        <f>IFERROR(__xludf.DUMMYFUNCTION("""COMPUTED_VALUE"""),70.0)</f>
        <v>70</v>
      </c>
      <c r="F3456" s="19" t="str">
        <f>IFERROR(__xludf.DUMMYFUNCTION("""COMPUTED_VALUE"""),"BLACK")</f>
        <v>BLACK</v>
      </c>
      <c r="G3456" s="20" t="str">
        <f>IFERROR(__xludf.DUMMYFUNCTION("""COMPUTED_VALUE"""),"Uncle Sams Cider (04/04/2023)")</f>
        <v>Uncle Sams Cider (04/04/2023)</v>
      </c>
      <c r="H3456" s="19"/>
    </row>
    <row r="3457">
      <c r="A3457" s="9"/>
      <c r="B3457" s="15"/>
      <c r="C3457" s="9">
        <f>IFERROR(__xludf.DUMMYFUNCTION("""COMPUTED_VALUE"""),45108.4869627199)</f>
        <v>45108.48696</v>
      </c>
      <c r="D3457" s="15">
        <f>IFERROR(__xludf.DUMMYFUNCTION("""COMPUTED_VALUE"""),1.004)</f>
        <v>1.004</v>
      </c>
      <c r="E3457" s="16">
        <f>IFERROR(__xludf.DUMMYFUNCTION("""COMPUTED_VALUE"""),70.0)</f>
        <v>70</v>
      </c>
      <c r="F3457" s="19" t="str">
        <f>IFERROR(__xludf.DUMMYFUNCTION("""COMPUTED_VALUE"""),"BLACK")</f>
        <v>BLACK</v>
      </c>
      <c r="G3457" s="20" t="str">
        <f>IFERROR(__xludf.DUMMYFUNCTION("""COMPUTED_VALUE"""),"Uncle Sams Cider (04/04/2023)")</f>
        <v>Uncle Sams Cider (04/04/2023)</v>
      </c>
      <c r="H3457" s="19"/>
    </row>
    <row r="3458">
      <c r="A3458" s="9"/>
      <c r="B3458" s="15"/>
      <c r="C3458" s="9">
        <f>IFERROR(__xludf.DUMMYFUNCTION("""COMPUTED_VALUE"""),45108.4765420601)</f>
        <v>45108.47654</v>
      </c>
      <c r="D3458" s="15">
        <f>IFERROR(__xludf.DUMMYFUNCTION("""COMPUTED_VALUE"""),1.004)</f>
        <v>1.004</v>
      </c>
      <c r="E3458" s="16">
        <f>IFERROR(__xludf.DUMMYFUNCTION("""COMPUTED_VALUE"""),70.0)</f>
        <v>70</v>
      </c>
      <c r="F3458" s="19" t="str">
        <f>IFERROR(__xludf.DUMMYFUNCTION("""COMPUTED_VALUE"""),"BLACK")</f>
        <v>BLACK</v>
      </c>
      <c r="G3458" s="20" t="str">
        <f>IFERROR(__xludf.DUMMYFUNCTION("""COMPUTED_VALUE"""),"Uncle Sams Cider (04/04/2023)")</f>
        <v>Uncle Sams Cider (04/04/2023)</v>
      </c>
      <c r="H3458" s="19"/>
    </row>
    <row r="3459">
      <c r="A3459" s="9"/>
      <c r="B3459" s="15"/>
      <c r="C3459" s="9">
        <f>IFERROR(__xludf.DUMMYFUNCTION("""COMPUTED_VALUE"""),45108.4661089351)</f>
        <v>45108.46611</v>
      </c>
      <c r="D3459" s="15">
        <f>IFERROR(__xludf.DUMMYFUNCTION("""COMPUTED_VALUE"""),1.004)</f>
        <v>1.004</v>
      </c>
      <c r="E3459" s="16">
        <f>IFERROR(__xludf.DUMMYFUNCTION("""COMPUTED_VALUE"""),70.0)</f>
        <v>70</v>
      </c>
      <c r="F3459" s="19" t="str">
        <f>IFERROR(__xludf.DUMMYFUNCTION("""COMPUTED_VALUE"""),"BLACK")</f>
        <v>BLACK</v>
      </c>
      <c r="G3459" s="20" t="str">
        <f>IFERROR(__xludf.DUMMYFUNCTION("""COMPUTED_VALUE"""),"Uncle Sams Cider (04/04/2023)")</f>
        <v>Uncle Sams Cider (04/04/2023)</v>
      </c>
      <c r="H3459" s="19"/>
    </row>
    <row r="3460">
      <c r="A3460" s="9"/>
      <c r="B3460" s="15"/>
      <c r="C3460" s="9">
        <f>IFERROR(__xludf.DUMMYFUNCTION("""COMPUTED_VALUE"""),45108.4556880208)</f>
        <v>45108.45569</v>
      </c>
      <c r="D3460" s="15">
        <f>IFERROR(__xludf.DUMMYFUNCTION("""COMPUTED_VALUE"""),1.004)</f>
        <v>1.004</v>
      </c>
      <c r="E3460" s="16">
        <f>IFERROR(__xludf.DUMMYFUNCTION("""COMPUTED_VALUE"""),70.0)</f>
        <v>70</v>
      </c>
      <c r="F3460" s="19" t="str">
        <f>IFERROR(__xludf.DUMMYFUNCTION("""COMPUTED_VALUE"""),"BLACK")</f>
        <v>BLACK</v>
      </c>
      <c r="G3460" s="20" t="str">
        <f>IFERROR(__xludf.DUMMYFUNCTION("""COMPUTED_VALUE"""),"Uncle Sams Cider (04/04/2023)")</f>
        <v>Uncle Sams Cider (04/04/2023)</v>
      </c>
      <c r="H3460" s="19"/>
    </row>
    <row r="3461">
      <c r="A3461" s="9"/>
      <c r="B3461" s="15"/>
      <c r="C3461" s="9">
        <f>IFERROR(__xludf.DUMMYFUNCTION("""COMPUTED_VALUE"""),45108.4452554166)</f>
        <v>45108.44526</v>
      </c>
      <c r="D3461" s="15">
        <f>IFERROR(__xludf.DUMMYFUNCTION("""COMPUTED_VALUE"""),1.004)</f>
        <v>1.004</v>
      </c>
      <c r="E3461" s="16">
        <f>IFERROR(__xludf.DUMMYFUNCTION("""COMPUTED_VALUE"""),70.0)</f>
        <v>70</v>
      </c>
      <c r="F3461" s="19" t="str">
        <f>IFERROR(__xludf.DUMMYFUNCTION("""COMPUTED_VALUE"""),"BLACK")</f>
        <v>BLACK</v>
      </c>
      <c r="G3461" s="20" t="str">
        <f>IFERROR(__xludf.DUMMYFUNCTION("""COMPUTED_VALUE"""),"Uncle Sams Cider (04/04/2023)")</f>
        <v>Uncle Sams Cider (04/04/2023)</v>
      </c>
      <c r="H3461" s="19"/>
    </row>
    <row r="3462">
      <c r="A3462" s="9"/>
      <c r="B3462" s="15"/>
      <c r="C3462" s="9">
        <f>IFERROR(__xludf.DUMMYFUNCTION("""COMPUTED_VALUE"""),45108.4348223958)</f>
        <v>45108.43482</v>
      </c>
      <c r="D3462" s="15">
        <f>IFERROR(__xludf.DUMMYFUNCTION("""COMPUTED_VALUE"""),1.004)</f>
        <v>1.004</v>
      </c>
      <c r="E3462" s="16">
        <f>IFERROR(__xludf.DUMMYFUNCTION("""COMPUTED_VALUE"""),70.0)</f>
        <v>70</v>
      </c>
      <c r="F3462" s="19" t="str">
        <f>IFERROR(__xludf.DUMMYFUNCTION("""COMPUTED_VALUE"""),"BLACK")</f>
        <v>BLACK</v>
      </c>
      <c r="G3462" s="20" t="str">
        <f>IFERROR(__xludf.DUMMYFUNCTION("""COMPUTED_VALUE"""),"Uncle Sams Cider (04/04/2023)")</f>
        <v>Uncle Sams Cider (04/04/2023)</v>
      </c>
      <c r="H3462" s="19"/>
    </row>
    <row r="3463">
      <c r="A3463" s="9"/>
      <c r="B3463" s="15"/>
      <c r="C3463" s="9">
        <f>IFERROR(__xludf.DUMMYFUNCTION("""COMPUTED_VALUE"""),45108.4244016666)</f>
        <v>45108.4244</v>
      </c>
      <c r="D3463" s="15">
        <f>IFERROR(__xludf.DUMMYFUNCTION("""COMPUTED_VALUE"""),1.004)</f>
        <v>1.004</v>
      </c>
      <c r="E3463" s="16">
        <f>IFERROR(__xludf.DUMMYFUNCTION("""COMPUTED_VALUE"""),70.0)</f>
        <v>70</v>
      </c>
      <c r="F3463" s="19" t="str">
        <f>IFERROR(__xludf.DUMMYFUNCTION("""COMPUTED_VALUE"""),"BLACK")</f>
        <v>BLACK</v>
      </c>
      <c r="G3463" s="20" t="str">
        <f>IFERROR(__xludf.DUMMYFUNCTION("""COMPUTED_VALUE"""),"Uncle Sams Cider (04/04/2023)")</f>
        <v>Uncle Sams Cider (04/04/2023)</v>
      </c>
      <c r="H3463" s="19"/>
    </row>
    <row r="3464">
      <c r="A3464" s="9"/>
      <c r="B3464" s="15"/>
      <c r="C3464" s="9">
        <f>IFERROR(__xludf.DUMMYFUNCTION("""COMPUTED_VALUE"""),45108.4139797453)</f>
        <v>45108.41398</v>
      </c>
      <c r="D3464" s="15">
        <f>IFERROR(__xludf.DUMMYFUNCTION("""COMPUTED_VALUE"""),1.004)</f>
        <v>1.004</v>
      </c>
      <c r="E3464" s="16">
        <f>IFERROR(__xludf.DUMMYFUNCTION("""COMPUTED_VALUE"""),70.0)</f>
        <v>70</v>
      </c>
      <c r="F3464" s="19" t="str">
        <f>IFERROR(__xludf.DUMMYFUNCTION("""COMPUTED_VALUE"""),"BLACK")</f>
        <v>BLACK</v>
      </c>
      <c r="G3464" s="20" t="str">
        <f>IFERROR(__xludf.DUMMYFUNCTION("""COMPUTED_VALUE"""),"Uncle Sams Cider (04/04/2023)")</f>
        <v>Uncle Sams Cider (04/04/2023)</v>
      </c>
      <c r="H3464" s="19"/>
    </row>
    <row r="3465">
      <c r="A3465" s="9"/>
      <c r="B3465" s="15"/>
      <c r="C3465" s="9">
        <f>IFERROR(__xludf.DUMMYFUNCTION("""COMPUTED_VALUE"""),45108.4035346064)</f>
        <v>45108.40353</v>
      </c>
      <c r="D3465" s="15">
        <f>IFERROR(__xludf.DUMMYFUNCTION("""COMPUTED_VALUE"""),1.004)</f>
        <v>1.004</v>
      </c>
      <c r="E3465" s="16">
        <f>IFERROR(__xludf.DUMMYFUNCTION("""COMPUTED_VALUE"""),70.0)</f>
        <v>70</v>
      </c>
      <c r="F3465" s="19" t="str">
        <f>IFERROR(__xludf.DUMMYFUNCTION("""COMPUTED_VALUE"""),"BLACK")</f>
        <v>BLACK</v>
      </c>
      <c r="G3465" s="20" t="str">
        <f>IFERROR(__xludf.DUMMYFUNCTION("""COMPUTED_VALUE"""),"Uncle Sams Cider (04/04/2023)")</f>
        <v>Uncle Sams Cider (04/04/2023)</v>
      </c>
      <c r="H3465" s="19"/>
    </row>
    <row r="3466">
      <c r="A3466" s="9"/>
      <c r="B3466" s="15"/>
      <c r="C3466" s="9">
        <f>IFERROR(__xludf.DUMMYFUNCTION("""COMPUTED_VALUE"""),45108.3931030208)</f>
        <v>45108.3931</v>
      </c>
      <c r="D3466" s="15">
        <f>IFERROR(__xludf.DUMMYFUNCTION("""COMPUTED_VALUE"""),1.004)</f>
        <v>1.004</v>
      </c>
      <c r="E3466" s="16">
        <f>IFERROR(__xludf.DUMMYFUNCTION("""COMPUTED_VALUE"""),70.0)</f>
        <v>70</v>
      </c>
      <c r="F3466" s="19" t="str">
        <f>IFERROR(__xludf.DUMMYFUNCTION("""COMPUTED_VALUE"""),"BLACK")</f>
        <v>BLACK</v>
      </c>
      <c r="G3466" s="20" t="str">
        <f>IFERROR(__xludf.DUMMYFUNCTION("""COMPUTED_VALUE"""),"Uncle Sams Cider (04/04/2023)")</f>
        <v>Uncle Sams Cider (04/04/2023)</v>
      </c>
      <c r="H3466" s="19"/>
    </row>
    <row r="3467">
      <c r="A3467" s="9"/>
      <c r="B3467" s="15"/>
      <c r="C3467" s="9">
        <f>IFERROR(__xludf.DUMMYFUNCTION("""COMPUTED_VALUE"""),45108.3826818171)</f>
        <v>45108.38268</v>
      </c>
      <c r="D3467" s="15">
        <f>IFERROR(__xludf.DUMMYFUNCTION("""COMPUTED_VALUE"""),1.004)</f>
        <v>1.004</v>
      </c>
      <c r="E3467" s="16">
        <f>IFERROR(__xludf.DUMMYFUNCTION("""COMPUTED_VALUE"""),70.0)</f>
        <v>70</v>
      </c>
      <c r="F3467" s="19" t="str">
        <f>IFERROR(__xludf.DUMMYFUNCTION("""COMPUTED_VALUE"""),"BLACK")</f>
        <v>BLACK</v>
      </c>
      <c r="G3467" s="20" t="str">
        <f>IFERROR(__xludf.DUMMYFUNCTION("""COMPUTED_VALUE"""),"Uncle Sams Cider (04/04/2023)")</f>
        <v>Uncle Sams Cider (04/04/2023)</v>
      </c>
      <c r="H3467" s="19"/>
    </row>
    <row r="3468">
      <c r="A3468" s="9"/>
      <c r="B3468" s="15"/>
      <c r="C3468" s="9">
        <f>IFERROR(__xludf.DUMMYFUNCTION("""COMPUTED_VALUE"""),45108.3722608449)</f>
        <v>45108.37226</v>
      </c>
      <c r="D3468" s="15">
        <f>IFERROR(__xludf.DUMMYFUNCTION("""COMPUTED_VALUE"""),1.004)</f>
        <v>1.004</v>
      </c>
      <c r="E3468" s="16">
        <f>IFERROR(__xludf.DUMMYFUNCTION("""COMPUTED_VALUE"""),70.0)</f>
        <v>70</v>
      </c>
      <c r="F3468" s="19" t="str">
        <f>IFERROR(__xludf.DUMMYFUNCTION("""COMPUTED_VALUE"""),"BLACK")</f>
        <v>BLACK</v>
      </c>
      <c r="G3468" s="20" t="str">
        <f>IFERROR(__xludf.DUMMYFUNCTION("""COMPUTED_VALUE"""),"Uncle Sams Cider (04/04/2023)")</f>
        <v>Uncle Sams Cider (04/04/2023)</v>
      </c>
      <c r="H3468" s="19"/>
    </row>
    <row r="3469">
      <c r="A3469" s="9"/>
      <c r="B3469" s="15"/>
      <c r="C3469" s="9">
        <f>IFERROR(__xludf.DUMMYFUNCTION("""COMPUTED_VALUE"""),45108.36183875)</f>
        <v>45108.36184</v>
      </c>
      <c r="D3469" s="15">
        <f>IFERROR(__xludf.DUMMYFUNCTION("""COMPUTED_VALUE"""),1.004)</f>
        <v>1.004</v>
      </c>
      <c r="E3469" s="16">
        <f>IFERROR(__xludf.DUMMYFUNCTION("""COMPUTED_VALUE"""),70.0)</f>
        <v>70</v>
      </c>
      <c r="F3469" s="19" t="str">
        <f>IFERROR(__xludf.DUMMYFUNCTION("""COMPUTED_VALUE"""),"BLACK")</f>
        <v>BLACK</v>
      </c>
      <c r="G3469" s="20" t="str">
        <f>IFERROR(__xludf.DUMMYFUNCTION("""COMPUTED_VALUE"""),"Uncle Sams Cider (04/04/2023)")</f>
        <v>Uncle Sams Cider (04/04/2023)</v>
      </c>
      <c r="H3469" s="19"/>
    </row>
    <row r="3470">
      <c r="A3470" s="9"/>
      <c r="B3470" s="15"/>
      <c r="C3470" s="9">
        <f>IFERROR(__xludf.DUMMYFUNCTION("""COMPUTED_VALUE"""),45108.3514176041)</f>
        <v>45108.35142</v>
      </c>
      <c r="D3470" s="15">
        <f>IFERROR(__xludf.DUMMYFUNCTION("""COMPUTED_VALUE"""),1.004)</f>
        <v>1.004</v>
      </c>
      <c r="E3470" s="16">
        <f>IFERROR(__xludf.DUMMYFUNCTION("""COMPUTED_VALUE"""),70.0)</f>
        <v>70</v>
      </c>
      <c r="F3470" s="19" t="str">
        <f>IFERROR(__xludf.DUMMYFUNCTION("""COMPUTED_VALUE"""),"BLACK")</f>
        <v>BLACK</v>
      </c>
      <c r="G3470" s="20" t="str">
        <f>IFERROR(__xludf.DUMMYFUNCTION("""COMPUTED_VALUE"""),"Uncle Sams Cider (04/04/2023)")</f>
        <v>Uncle Sams Cider (04/04/2023)</v>
      </c>
      <c r="H3470" s="19"/>
    </row>
    <row r="3471">
      <c r="A3471" s="9"/>
      <c r="B3471" s="15"/>
      <c r="C3471" s="9">
        <f>IFERROR(__xludf.DUMMYFUNCTION("""COMPUTED_VALUE"""),45108.3409962847)</f>
        <v>45108.341</v>
      </c>
      <c r="D3471" s="15">
        <f>IFERROR(__xludf.DUMMYFUNCTION("""COMPUTED_VALUE"""),1.004)</f>
        <v>1.004</v>
      </c>
      <c r="E3471" s="16">
        <f>IFERROR(__xludf.DUMMYFUNCTION("""COMPUTED_VALUE"""),70.0)</f>
        <v>70</v>
      </c>
      <c r="F3471" s="19" t="str">
        <f>IFERROR(__xludf.DUMMYFUNCTION("""COMPUTED_VALUE"""),"BLACK")</f>
        <v>BLACK</v>
      </c>
      <c r="G3471" s="20" t="str">
        <f>IFERROR(__xludf.DUMMYFUNCTION("""COMPUTED_VALUE"""),"Uncle Sams Cider (04/04/2023)")</f>
        <v>Uncle Sams Cider (04/04/2023)</v>
      </c>
      <c r="H3471" s="19"/>
    </row>
    <row r="3472">
      <c r="A3472" s="9"/>
      <c r="B3472" s="15"/>
      <c r="C3472" s="9">
        <f>IFERROR(__xludf.DUMMYFUNCTION("""COMPUTED_VALUE"""),45108.3305646064)</f>
        <v>45108.33056</v>
      </c>
      <c r="D3472" s="15">
        <f>IFERROR(__xludf.DUMMYFUNCTION("""COMPUTED_VALUE"""),1.004)</f>
        <v>1.004</v>
      </c>
      <c r="E3472" s="16">
        <f>IFERROR(__xludf.DUMMYFUNCTION("""COMPUTED_VALUE"""),70.0)</f>
        <v>70</v>
      </c>
      <c r="F3472" s="19" t="str">
        <f>IFERROR(__xludf.DUMMYFUNCTION("""COMPUTED_VALUE"""),"BLACK")</f>
        <v>BLACK</v>
      </c>
      <c r="G3472" s="20" t="str">
        <f>IFERROR(__xludf.DUMMYFUNCTION("""COMPUTED_VALUE"""),"Uncle Sams Cider (04/04/2023)")</f>
        <v>Uncle Sams Cider (04/04/2023)</v>
      </c>
      <c r="H3472" s="19"/>
    </row>
    <row r="3473">
      <c r="A3473" s="9"/>
      <c r="B3473" s="15"/>
      <c r="C3473" s="9">
        <f>IFERROR(__xludf.DUMMYFUNCTION("""COMPUTED_VALUE"""),45108.3201438541)</f>
        <v>45108.32014</v>
      </c>
      <c r="D3473" s="15">
        <f>IFERROR(__xludf.DUMMYFUNCTION("""COMPUTED_VALUE"""),1.004)</f>
        <v>1.004</v>
      </c>
      <c r="E3473" s="16">
        <f>IFERROR(__xludf.DUMMYFUNCTION("""COMPUTED_VALUE"""),70.0)</f>
        <v>70</v>
      </c>
      <c r="F3473" s="19" t="str">
        <f>IFERROR(__xludf.DUMMYFUNCTION("""COMPUTED_VALUE"""),"BLACK")</f>
        <v>BLACK</v>
      </c>
      <c r="G3473" s="20" t="str">
        <f>IFERROR(__xludf.DUMMYFUNCTION("""COMPUTED_VALUE"""),"Uncle Sams Cider (04/04/2023)")</f>
        <v>Uncle Sams Cider (04/04/2023)</v>
      </c>
      <c r="H3473" s="19"/>
    </row>
    <row r="3474">
      <c r="A3474" s="9"/>
      <c r="B3474" s="15"/>
      <c r="C3474" s="9">
        <f>IFERROR(__xludf.DUMMYFUNCTION("""COMPUTED_VALUE"""),45108.3097218865)</f>
        <v>45108.30972</v>
      </c>
      <c r="D3474" s="15">
        <f>IFERROR(__xludf.DUMMYFUNCTION("""COMPUTED_VALUE"""),1.004)</f>
        <v>1.004</v>
      </c>
      <c r="E3474" s="16">
        <f>IFERROR(__xludf.DUMMYFUNCTION("""COMPUTED_VALUE"""),70.0)</f>
        <v>70</v>
      </c>
      <c r="F3474" s="19" t="str">
        <f>IFERROR(__xludf.DUMMYFUNCTION("""COMPUTED_VALUE"""),"BLACK")</f>
        <v>BLACK</v>
      </c>
      <c r="G3474" s="20" t="str">
        <f>IFERROR(__xludf.DUMMYFUNCTION("""COMPUTED_VALUE"""),"Uncle Sams Cider (04/04/2023)")</f>
        <v>Uncle Sams Cider (04/04/2023)</v>
      </c>
      <c r="H3474" s="19"/>
    </row>
    <row r="3475">
      <c r="A3475" s="9"/>
      <c r="B3475" s="15"/>
      <c r="C3475" s="9">
        <f>IFERROR(__xludf.DUMMYFUNCTION("""COMPUTED_VALUE"""),45108.2992775)</f>
        <v>45108.29928</v>
      </c>
      <c r="D3475" s="15">
        <f>IFERROR(__xludf.DUMMYFUNCTION("""COMPUTED_VALUE"""),1.004)</f>
        <v>1.004</v>
      </c>
      <c r="E3475" s="16">
        <f>IFERROR(__xludf.DUMMYFUNCTION("""COMPUTED_VALUE"""),70.0)</f>
        <v>70</v>
      </c>
      <c r="F3475" s="19" t="str">
        <f>IFERROR(__xludf.DUMMYFUNCTION("""COMPUTED_VALUE"""),"BLACK")</f>
        <v>BLACK</v>
      </c>
      <c r="G3475" s="20" t="str">
        <f>IFERROR(__xludf.DUMMYFUNCTION("""COMPUTED_VALUE"""),"Uncle Sams Cider (04/04/2023)")</f>
        <v>Uncle Sams Cider (04/04/2023)</v>
      </c>
      <c r="H3475" s="19"/>
    </row>
    <row r="3476">
      <c r="A3476" s="9"/>
      <c r="B3476" s="15"/>
      <c r="C3476" s="9">
        <f>IFERROR(__xludf.DUMMYFUNCTION("""COMPUTED_VALUE"""),45108.2888581944)</f>
        <v>45108.28886</v>
      </c>
      <c r="D3476" s="15">
        <f>IFERROR(__xludf.DUMMYFUNCTION("""COMPUTED_VALUE"""),1.004)</f>
        <v>1.004</v>
      </c>
      <c r="E3476" s="16">
        <f>IFERROR(__xludf.DUMMYFUNCTION("""COMPUTED_VALUE"""),70.0)</f>
        <v>70</v>
      </c>
      <c r="F3476" s="19" t="str">
        <f>IFERROR(__xludf.DUMMYFUNCTION("""COMPUTED_VALUE"""),"BLACK")</f>
        <v>BLACK</v>
      </c>
      <c r="G3476" s="20" t="str">
        <f>IFERROR(__xludf.DUMMYFUNCTION("""COMPUTED_VALUE"""),"Uncle Sams Cider (04/04/2023)")</f>
        <v>Uncle Sams Cider (04/04/2023)</v>
      </c>
      <c r="H3476" s="19"/>
    </row>
    <row r="3477">
      <c r="A3477" s="9"/>
      <c r="B3477" s="15"/>
      <c r="C3477" s="9">
        <f>IFERROR(__xludf.DUMMYFUNCTION("""COMPUTED_VALUE"""),45108.2784368055)</f>
        <v>45108.27844</v>
      </c>
      <c r="D3477" s="15">
        <f>IFERROR(__xludf.DUMMYFUNCTION("""COMPUTED_VALUE"""),1.004)</f>
        <v>1.004</v>
      </c>
      <c r="E3477" s="16">
        <f>IFERROR(__xludf.DUMMYFUNCTION("""COMPUTED_VALUE"""),70.0)</f>
        <v>70</v>
      </c>
      <c r="F3477" s="19" t="str">
        <f>IFERROR(__xludf.DUMMYFUNCTION("""COMPUTED_VALUE"""),"BLACK")</f>
        <v>BLACK</v>
      </c>
      <c r="G3477" s="20" t="str">
        <f>IFERROR(__xludf.DUMMYFUNCTION("""COMPUTED_VALUE"""),"Uncle Sams Cider (04/04/2023)")</f>
        <v>Uncle Sams Cider (04/04/2023)</v>
      </c>
      <c r="H3477" s="19"/>
    </row>
    <row r="3478">
      <c r="A3478" s="9"/>
      <c r="B3478" s="15"/>
      <c r="C3478" s="9">
        <f>IFERROR(__xludf.DUMMYFUNCTION("""COMPUTED_VALUE"""),45108.2680035185)</f>
        <v>45108.268</v>
      </c>
      <c r="D3478" s="15">
        <f>IFERROR(__xludf.DUMMYFUNCTION("""COMPUTED_VALUE"""),1.004)</f>
        <v>1.004</v>
      </c>
      <c r="E3478" s="16">
        <f>IFERROR(__xludf.DUMMYFUNCTION("""COMPUTED_VALUE"""),70.0)</f>
        <v>70</v>
      </c>
      <c r="F3478" s="19" t="str">
        <f>IFERROR(__xludf.DUMMYFUNCTION("""COMPUTED_VALUE"""),"BLACK")</f>
        <v>BLACK</v>
      </c>
      <c r="G3478" s="20" t="str">
        <f>IFERROR(__xludf.DUMMYFUNCTION("""COMPUTED_VALUE"""),"Uncle Sams Cider (04/04/2023)")</f>
        <v>Uncle Sams Cider (04/04/2023)</v>
      </c>
      <c r="H3478" s="19"/>
    </row>
    <row r="3479">
      <c r="A3479" s="9"/>
      <c r="B3479" s="15"/>
      <c r="C3479" s="9">
        <f>IFERROR(__xludf.DUMMYFUNCTION("""COMPUTED_VALUE"""),45108.257581493)</f>
        <v>45108.25758</v>
      </c>
      <c r="D3479" s="15">
        <f>IFERROR(__xludf.DUMMYFUNCTION("""COMPUTED_VALUE"""),1.004)</f>
        <v>1.004</v>
      </c>
      <c r="E3479" s="16">
        <f>IFERROR(__xludf.DUMMYFUNCTION("""COMPUTED_VALUE"""),70.0)</f>
        <v>70</v>
      </c>
      <c r="F3479" s="19" t="str">
        <f>IFERROR(__xludf.DUMMYFUNCTION("""COMPUTED_VALUE"""),"BLACK")</f>
        <v>BLACK</v>
      </c>
      <c r="G3479" s="20" t="str">
        <f>IFERROR(__xludf.DUMMYFUNCTION("""COMPUTED_VALUE"""),"Uncle Sams Cider (04/04/2023)")</f>
        <v>Uncle Sams Cider (04/04/2023)</v>
      </c>
      <c r="H3479" s="19"/>
    </row>
    <row r="3480">
      <c r="A3480" s="9"/>
      <c r="B3480" s="15"/>
      <c r="C3480" s="9">
        <f>IFERROR(__xludf.DUMMYFUNCTION("""COMPUTED_VALUE"""),45108.2471474884)</f>
        <v>45108.24715</v>
      </c>
      <c r="D3480" s="15">
        <f>IFERROR(__xludf.DUMMYFUNCTION("""COMPUTED_VALUE"""),1.004)</f>
        <v>1.004</v>
      </c>
      <c r="E3480" s="16">
        <f>IFERROR(__xludf.DUMMYFUNCTION("""COMPUTED_VALUE"""),70.0)</f>
        <v>70</v>
      </c>
      <c r="F3480" s="19" t="str">
        <f>IFERROR(__xludf.DUMMYFUNCTION("""COMPUTED_VALUE"""),"BLACK")</f>
        <v>BLACK</v>
      </c>
      <c r="G3480" s="20" t="str">
        <f>IFERROR(__xludf.DUMMYFUNCTION("""COMPUTED_VALUE"""),"Uncle Sams Cider (04/04/2023)")</f>
        <v>Uncle Sams Cider (04/04/2023)</v>
      </c>
      <c r="H3480" s="19"/>
    </row>
    <row r="3481">
      <c r="A3481" s="9"/>
      <c r="B3481" s="15"/>
      <c r="C3481" s="9">
        <f>IFERROR(__xludf.DUMMYFUNCTION("""COMPUTED_VALUE"""),45108.2367028356)</f>
        <v>45108.2367</v>
      </c>
      <c r="D3481" s="15">
        <f>IFERROR(__xludf.DUMMYFUNCTION("""COMPUTED_VALUE"""),1.004)</f>
        <v>1.004</v>
      </c>
      <c r="E3481" s="16">
        <f>IFERROR(__xludf.DUMMYFUNCTION("""COMPUTED_VALUE"""),70.0)</f>
        <v>70</v>
      </c>
      <c r="F3481" s="19" t="str">
        <f>IFERROR(__xludf.DUMMYFUNCTION("""COMPUTED_VALUE"""),"BLACK")</f>
        <v>BLACK</v>
      </c>
      <c r="G3481" s="20" t="str">
        <f>IFERROR(__xludf.DUMMYFUNCTION("""COMPUTED_VALUE"""),"Uncle Sams Cider (04/04/2023)")</f>
        <v>Uncle Sams Cider (04/04/2023)</v>
      </c>
      <c r="H3481" s="19"/>
    </row>
    <row r="3482">
      <c r="A3482" s="9"/>
      <c r="B3482" s="15"/>
      <c r="C3482" s="9">
        <f>IFERROR(__xludf.DUMMYFUNCTION("""COMPUTED_VALUE"""),45108.2262790162)</f>
        <v>45108.22628</v>
      </c>
      <c r="D3482" s="15">
        <f>IFERROR(__xludf.DUMMYFUNCTION("""COMPUTED_VALUE"""),1.004)</f>
        <v>1.004</v>
      </c>
      <c r="E3482" s="16">
        <f>IFERROR(__xludf.DUMMYFUNCTION("""COMPUTED_VALUE"""),70.0)</f>
        <v>70</v>
      </c>
      <c r="F3482" s="19" t="str">
        <f>IFERROR(__xludf.DUMMYFUNCTION("""COMPUTED_VALUE"""),"BLACK")</f>
        <v>BLACK</v>
      </c>
      <c r="G3482" s="20" t="str">
        <f>IFERROR(__xludf.DUMMYFUNCTION("""COMPUTED_VALUE"""),"Uncle Sams Cider (04/04/2023)")</f>
        <v>Uncle Sams Cider (04/04/2023)</v>
      </c>
      <c r="H3482" s="19"/>
    </row>
    <row r="3483">
      <c r="A3483" s="9"/>
      <c r="B3483" s="15"/>
      <c r="C3483" s="9">
        <f>IFERROR(__xludf.DUMMYFUNCTION("""COMPUTED_VALUE"""),45108.2158604282)</f>
        <v>45108.21586</v>
      </c>
      <c r="D3483" s="15">
        <f>IFERROR(__xludf.DUMMYFUNCTION("""COMPUTED_VALUE"""),1.004)</f>
        <v>1.004</v>
      </c>
      <c r="E3483" s="16">
        <f>IFERROR(__xludf.DUMMYFUNCTION("""COMPUTED_VALUE"""),70.0)</f>
        <v>70</v>
      </c>
      <c r="F3483" s="19" t="str">
        <f>IFERROR(__xludf.DUMMYFUNCTION("""COMPUTED_VALUE"""),"BLACK")</f>
        <v>BLACK</v>
      </c>
      <c r="G3483" s="20" t="str">
        <f>IFERROR(__xludf.DUMMYFUNCTION("""COMPUTED_VALUE"""),"Uncle Sams Cider (04/04/2023)")</f>
        <v>Uncle Sams Cider (04/04/2023)</v>
      </c>
      <c r="H3483" s="19"/>
    </row>
    <row r="3484">
      <c r="A3484" s="9"/>
      <c r="B3484" s="15"/>
      <c r="C3484" s="9">
        <f>IFERROR(__xludf.DUMMYFUNCTION("""COMPUTED_VALUE"""),45108.2054391898)</f>
        <v>45108.20544</v>
      </c>
      <c r="D3484" s="15">
        <f>IFERROR(__xludf.DUMMYFUNCTION("""COMPUTED_VALUE"""),1.004)</f>
        <v>1.004</v>
      </c>
      <c r="E3484" s="16">
        <f>IFERROR(__xludf.DUMMYFUNCTION("""COMPUTED_VALUE"""),70.0)</f>
        <v>70</v>
      </c>
      <c r="F3484" s="19" t="str">
        <f>IFERROR(__xludf.DUMMYFUNCTION("""COMPUTED_VALUE"""),"BLACK")</f>
        <v>BLACK</v>
      </c>
      <c r="G3484" s="20" t="str">
        <f>IFERROR(__xludf.DUMMYFUNCTION("""COMPUTED_VALUE"""),"Uncle Sams Cider (04/04/2023)")</f>
        <v>Uncle Sams Cider (04/04/2023)</v>
      </c>
      <c r="H3484" s="19"/>
    </row>
    <row r="3485">
      <c r="A3485" s="9"/>
      <c r="B3485" s="15"/>
      <c r="C3485" s="9">
        <f>IFERROR(__xludf.DUMMYFUNCTION("""COMPUTED_VALUE"""),45108.1950180555)</f>
        <v>45108.19502</v>
      </c>
      <c r="D3485" s="15">
        <f>IFERROR(__xludf.DUMMYFUNCTION("""COMPUTED_VALUE"""),1.004)</f>
        <v>1.004</v>
      </c>
      <c r="E3485" s="16">
        <f>IFERROR(__xludf.DUMMYFUNCTION("""COMPUTED_VALUE"""),70.0)</f>
        <v>70</v>
      </c>
      <c r="F3485" s="19" t="str">
        <f>IFERROR(__xludf.DUMMYFUNCTION("""COMPUTED_VALUE"""),"BLACK")</f>
        <v>BLACK</v>
      </c>
      <c r="G3485" s="20" t="str">
        <f>IFERROR(__xludf.DUMMYFUNCTION("""COMPUTED_VALUE"""),"Uncle Sams Cider (04/04/2023)")</f>
        <v>Uncle Sams Cider (04/04/2023)</v>
      </c>
      <c r="H3485" s="19"/>
    </row>
    <row r="3486">
      <c r="A3486" s="9"/>
      <c r="B3486" s="15"/>
      <c r="C3486" s="9">
        <f>IFERROR(__xludf.DUMMYFUNCTION("""COMPUTED_VALUE"""),45108.1845980671)</f>
        <v>45108.1846</v>
      </c>
      <c r="D3486" s="15">
        <f>IFERROR(__xludf.DUMMYFUNCTION("""COMPUTED_VALUE"""),1.004)</f>
        <v>1.004</v>
      </c>
      <c r="E3486" s="16">
        <f>IFERROR(__xludf.DUMMYFUNCTION("""COMPUTED_VALUE"""),70.0)</f>
        <v>70</v>
      </c>
      <c r="F3486" s="19" t="str">
        <f>IFERROR(__xludf.DUMMYFUNCTION("""COMPUTED_VALUE"""),"BLACK")</f>
        <v>BLACK</v>
      </c>
      <c r="G3486" s="20" t="str">
        <f>IFERROR(__xludf.DUMMYFUNCTION("""COMPUTED_VALUE"""),"Uncle Sams Cider (04/04/2023)")</f>
        <v>Uncle Sams Cider (04/04/2023)</v>
      </c>
      <c r="H3486" s="19"/>
    </row>
    <row r="3487">
      <c r="A3487" s="9"/>
      <c r="B3487" s="15"/>
      <c r="C3487" s="9">
        <f>IFERROR(__xludf.DUMMYFUNCTION("""COMPUTED_VALUE"""),45108.1741649652)</f>
        <v>45108.17416</v>
      </c>
      <c r="D3487" s="15">
        <f>IFERROR(__xludf.DUMMYFUNCTION("""COMPUTED_VALUE"""),1.004)</f>
        <v>1.004</v>
      </c>
      <c r="E3487" s="16">
        <f>IFERROR(__xludf.DUMMYFUNCTION("""COMPUTED_VALUE"""),70.0)</f>
        <v>70</v>
      </c>
      <c r="F3487" s="19" t="str">
        <f>IFERROR(__xludf.DUMMYFUNCTION("""COMPUTED_VALUE"""),"BLACK")</f>
        <v>BLACK</v>
      </c>
      <c r="G3487" s="20" t="str">
        <f>IFERROR(__xludf.DUMMYFUNCTION("""COMPUTED_VALUE"""),"Uncle Sams Cider (04/04/2023)")</f>
        <v>Uncle Sams Cider (04/04/2023)</v>
      </c>
      <c r="H3487" s="19"/>
    </row>
    <row r="3488">
      <c r="A3488" s="9"/>
      <c r="B3488" s="15"/>
      <c r="C3488" s="9">
        <f>IFERROR(__xludf.DUMMYFUNCTION("""COMPUTED_VALUE"""),45108.163744456)</f>
        <v>45108.16374</v>
      </c>
      <c r="D3488" s="15">
        <f>IFERROR(__xludf.DUMMYFUNCTION("""COMPUTED_VALUE"""),1.004)</f>
        <v>1.004</v>
      </c>
      <c r="E3488" s="16">
        <f>IFERROR(__xludf.DUMMYFUNCTION("""COMPUTED_VALUE"""),70.0)</f>
        <v>70</v>
      </c>
      <c r="F3488" s="19" t="str">
        <f>IFERROR(__xludf.DUMMYFUNCTION("""COMPUTED_VALUE"""),"BLACK")</f>
        <v>BLACK</v>
      </c>
      <c r="G3488" s="20" t="str">
        <f>IFERROR(__xludf.DUMMYFUNCTION("""COMPUTED_VALUE"""),"Uncle Sams Cider (04/04/2023)")</f>
        <v>Uncle Sams Cider (04/04/2023)</v>
      </c>
      <c r="H3488" s="19"/>
    </row>
    <row r="3489">
      <c r="A3489" s="9"/>
      <c r="B3489" s="15"/>
      <c r="C3489" s="9">
        <f>IFERROR(__xludf.DUMMYFUNCTION("""COMPUTED_VALUE"""),45108.1533226736)</f>
        <v>45108.15332</v>
      </c>
      <c r="D3489" s="15">
        <f>IFERROR(__xludf.DUMMYFUNCTION("""COMPUTED_VALUE"""),1.004)</f>
        <v>1.004</v>
      </c>
      <c r="E3489" s="16">
        <f>IFERROR(__xludf.DUMMYFUNCTION("""COMPUTED_VALUE"""),70.0)</f>
        <v>70</v>
      </c>
      <c r="F3489" s="19" t="str">
        <f>IFERROR(__xludf.DUMMYFUNCTION("""COMPUTED_VALUE"""),"BLACK")</f>
        <v>BLACK</v>
      </c>
      <c r="G3489" s="20" t="str">
        <f>IFERROR(__xludf.DUMMYFUNCTION("""COMPUTED_VALUE"""),"Uncle Sams Cider (04/04/2023)")</f>
        <v>Uncle Sams Cider (04/04/2023)</v>
      </c>
      <c r="H3489" s="19"/>
    </row>
    <row r="3490">
      <c r="A3490" s="9"/>
      <c r="B3490" s="15"/>
      <c r="C3490" s="9">
        <f>IFERROR(__xludf.DUMMYFUNCTION("""COMPUTED_VALUE"""),45108.1429013888)</f>
        <v>45108.1429</v>
      </c>
      <c r="D3490" s="15">
        <f>IFERROR(__xludf.DUMMYFUNCTION("""COMPUTED_VALUE"""),1.004)</f>
        <v>1.004</v>
      </c>
      <c r="E3490" s="16">
        <f>IFERROR(__xludf.DUMMYFUNCTION("""COMPUTED_VALUE"""),70.0)</f>
        <v>70</v>
      </c>
      <c r="F3490" s="19" t="str">
        <f>IFERROR(__xludf.DUMMYFUNCTION("""COMPUTED_VALUE"""),"BLACK")</f>
        <v>BLACK</v>
      </c>
      <c r="G3490" s="20" t="str">
        <f>IFERROR(__xludf.DUMMYFUNCTION("""COMPUTED_VALUE"""),"Uncle Sams Cider (04/04/2023)")</f>
        <v>Uncle Sams Cider (04/04/2023)</v>
      </c>
      <c r="H3490" s="19"/>
    </row>
    <row r="3491">
      <c r="A3491" s="9"/>
      <c r="B3491" s="15"/>
      <c r="C3491" s="9">
        <f>IFERROR(__xludf.DUMMYFUNCTION("""COMPUTED_VALUE"""),45108.1324791203)</f>
        <v>45108.13248</v>
      </c>
      <c r="D3491" s="15">
        <f>IFERROR(__xludf.DUMMYFUNCTION("""COMPUTED_VALUE"""),1.004)</f>
        <v>1.004</v>
      </c>
      <c r="E3491" s="16">
        <f>IFERROR(__xludf.DUMMYFUNCTION("""COMPUTED_VALUE"""),70.0)</f>
        <v>70</v>
      </c>
      <c r="F3491" s="19" t="str">
        <f>IFERROR(__xludf.DUMMYFUNCTION("""COMPUTED_VALUE"""),"BLACK")</f>
        <v>BLACK</v>
      </c>
      <c r="G3491" s="20" t="str">
        <f>IFERROR(__xludf.DUMMYFUNCTION("""COMPUTED_VALUE"""),"Uncle Sams Cider (04/04/2023)")</f>
        <v>Uncle Sams Cider (04/04/2023)</v>
      </c>
      <c r="H3491" s="19"/>
    </row>
    <row r="3492">
      <c r="A3492" s="9"/>
      <c r="B3492" s="15"/>
      <c r="C3492" s="9">
        <f>IFERROR(__xludf.DUMMYFUNCTION("""COMPUTED_VALUE"""),45108.1220563541)</f>
        <v>45108.12206</v>
      </c>
      <c r="D3492" s="15">
        <f>IFERROR(__xludf.DUMMYFUNCTION("""COMPUTED_VALUE"""),1.004)</f>
        <v>1.004</v>
      </c>
      <c r="E3492" s="16">
        <f>IFERROR(__xludf.DUMMYFUNCTION("""COMPUTED_VALUE"""),70.0)</f>
        <v>70</v>
      </c>
      <c r="F3492" s="19" t="str">
        <f>IFERROR(__xludf.DUMMYFUNCTION("""COMPUTED_VALUE"""),"BLACK")</f>
        <v>BLACK</v>
      </c>
      <c r="G3492" s="20" t="str">
        <f>IFERROR(__xludf.DUMMYFUNCTION("""COMPUTED_VALUE"""),"Uncle Sams Cider (04/04/2023)")</f>
        <v>Uncle Sams Cider (04/04/2023)</v>
      </c>
      <c r="H3492" s="19"/>
    </row>
    <row r="3493">
      <c r="A3493" s="9"/>
      <c r="B3493" s="15"/>
      <c r="C3493" s="9">
        <f>IFERROR(__xludf.DUMMYFUNCTION("""COMPUTED_VALUE"""),45108.1116347222)</f>
        <v>45108.11163</v>
      </c>
      <c r="D3493" s="15">
        <f>IFERROR(__xludf.DUMMYFUNCTION("""COMPUTED_VALUE"""),1.004)</f>
        <v>1.004</v>
      </c>
      <c r="E3493" s="16">
        <f>IFERROR(__xludf.DUMMYFUNCTION("""COMPUTED_VALUE"""),70.0)</f>
        <v>70</v>
      </c>
      <c r="F3493" s="19" t="str">
        <f>IFERROR(__xludf.DUMMYFUNCTION("""COMPUTED_VALUE"""),"BLACK")</f>
        <v>BLACK</v>
      </c>
      <c r="G3493" s="20" t="str">
        <f>IFERROR(__xludf.DUMMYFUNCTION("""COMPUTED_VALUE"""),"Uncle Sams Cider (04/04/2023)")</f>
        <v>Uncle Sams Cider (04/04/2023)</v>
      </c>
      <c r="H3493" s="19"/>
    </row>
    <row r="3494">
      <c r="A3494" s="9"/>
      <c r="B3494" s="15"/>
      <c r="C3494" s="9">
        <f>IFERROR(__xludf.DUMMYFUNCTION("""COMPUTED_VALUE"""),45108.1012138657)</f>
        <v>45108.10121</v>
      </c>
      <c r="D3494" s="15">
        <f>IFERROR(__xludf.DUMMYFUNCTION("""COMPUTED_VALUE"""),1.004)</f>
        <v>1.004</v>
      </c>
      <c r="E3494" s="16">
        <f>IFERROR(__xludf.DUMMYFUNCTION("""COMPUTED_VALUE"""),70.0)</f>
        <v>70</v>
      </c>
      <c r="F3494" s="19" t="str">
        <f>IFERROR(__xludf.DUMMYFUNCTION("""COMPUTED_VALUE"""),"BLACK")</f>
        <v>BLACK</v>
      </c>
      <c r="G3494" s="20" t="str">
        <f>IFERROR(__xludf.DUMMYFUNCTION("""COMPUTED_VALUE"""),"Uncle Sams Cider (04/04/2023)")</f>
        <v>Uncle Sams Cider (04/04/2023)</v>
      </c>
      <c r="H3494" s="19"/>
    </row>
    <row r="3495">
      <c r="A3495" s="9"/>
      <c r="B3495" s="15"/>
      <c r="C3495" s="9">
        <f>IFERROR(__xludf.DUMMYFUNCTION("""COMPUTED_VALUE"""),45108.0907922569)</f>
        <v>45108.09079</v>
      </c>
      <c r="D3495" s="15">
        <f>IFERROR(__xludf.DUMMYFUNCTION("""COMPUTED_VALUE"""),1.004)</f>
        <v>1.004</v>
      </c>
      <c r="E3495" s="16">
        <f>IFERROR(__xludf.DUMMYFUNCTION("""COMPUTED_VALUE"""),70.0)</f>
        <v>70</v>
      </c>
      <c r="F3495" s="19" t="str">
        <f>IFERROR(__xludf.DUMMYFUNCTION("""COMPUTED_VALUE"""),"BLACK")</f>
        <v>BLACK</v>
      </c>
      <c r="G3495" s="20" t="str">
        <f>IFERROR(__xludf.DUMMYFUNCTION("""COMPUTED_VALUE"""),"Uncle Sams Cider (04/04/2023)")</f>
        <v>Uncle Sams Cider (04/04/2023)</v>
      </c>
      <c r="H3495" s="19"/>
    </row>
    <row r="3496">
      <c r="A3496" s="9"/>
      <c r="B3496" s="15"/>
      <c r="C3496" s="9">
        <f>IFERROR(__xludf.DUMMYFUNCTION("""COMPUTED_VALUE"""),45108.0803697916)</f>
        <v>45108.08037</v>
      </c>
      <c r="D3496" s="15">
        <f>IFERROR(__xludf.DUMMYFUNCTION("""COMPUTED_VALUE"""),1.004)</f>
        <v>1.004</v>
      </c>
      <c r="E3496" s="16">
        <f>IFERROR(__xludf.DUMMYFUNCTION("""COMPUTED_VALUE"""),70.0)</f>
        <v>70</v>
      </c>
      <c r="F3496" s="19" t="str">
        <f>IFERROR(__xludf.DUMMYFUNCTION("""COMPUTED_VALUE"""),"BLACK")</f>
        <v>BLACK</v>
      </c>
      <c r="G3496" s="20" t="str">
        <f>IFERROR(__xludf.DUMMYFUNCTION("""COMPUTED_VALUE"""),"Uncle Sams Cider (04/04/2023)")</f>
        <v>Uncle Sams Cider (04/04/2023)</v>
      </c>
      <c r="H3496" s="19"/>
    </row>
    <row r="3497">
      <c r="A3497" s="9"/>
      <c r="B3497" s="15"/>
      <c r="C3497" s="9">
        <f>IFERROR(__xludf.DUMMYFUNCTION("""COMPUTED_VALUE"""),45108.0699489351)</f>
        <v>45108.06995</v>
      </c>
      <c r="D3497" s="15">
        <f>IFERROR(__xludf.DUMMYFUNCTION("""COMPUTED_VALUE"""),1.004)</f>
        <v>1.004</v>
      </c>
      <c r="E3497" s="16">
        <f>IFERROR(__xludf.DUMMYFUNCTION("""COMPUTED_VALUE"""),70.0)</f>
        <v>70</v>
      </c>
      <c r="F3497" s="19" t="str">
        <f>IFERROR(__xludf.DUMMYFUNCTION("""COMPUTED_VALUE"""),"BLACK")</f>
        <v>BLACK</v>
      </c>
      <c r="G3497" s="20" t="str">
        <f>IFERROR(__xludf.DUMMYFUNCTION("""COMPUTED_VALUE"""),"Uncle Sams Cider (04/04/2023)")</f>
        <v>Uncle Sams Cider (04/04/2023)</v>
      </c>
      <c r="H3497" s="19"/>
    </row>
    <row r="3498">
      <c r="A3498" s="9"/>
      <c r="B3498" s="15"/>
      <c r="C3498" s="9">
        <f>IFERROR(__xludf.DUMMYFUNCTION("""COMPUTED_VALUE"""),45108.0595055671)</f>
        <v>45108.05951</v>
      </c>
      <c r="D3498" s="15">
        <f>IFERROR(__xludf.DUMMYFUNCTION("""COMPUTED_VALUE"""),1.004)</f>
        <v>1.004</v>
      </c>
      <c r="E3498" s="16">
        <f>IFERROR(__xludf.DUMMYFUNCTION("""COMPUTED_VALUE"""),70.0)</f>
        <v>70</v>
      </c>
      <c r="F3498" s="19" t="str">
        <f>IFERROR(__xludf.DUMMYFUNCTION("""COMPUTED_VALUE"""),"BLACK")</f>
        <v>BLACK</v>
      </c>
      <c r="G3498" s="20" t="str">
        <f>IFERROR(__xludf.DUMMYFUNCTION("""COMPUTED_VALUE"""),"Uncle Sams Cider (04/04/2023)")</f>
        <v>Uncle Sams Cider (04/04/2023)</v>
      </c>
      <c r="H3498" s="19"/>
    </row>
    <row r="3499">
      <c r="A3499" s="9"/>
      <c r="B3499" s="15"/>
      <c r="C3499" s="9">
        <f>IFERROR(__xludf.DUMMYFUNCTION("""COMPUTED_VALUE"""),45108.04908353)</f>
        <v>45108.04908</v>
      </c>
      <c r="D3499" s="15">
        <f>IFERROR(__xludf.DUMMYFUNCTION("""COMPUTED_VALUE"""),1.004)</f>
        <v>1.004</v>
      </c>
      <c r="E3499" s="16">
        <f>IFERROR(__xludf.DUMMYFUNCTION("""COMPUTED_VALUE"""),70.0)</f>
        <v>70</v>
      </c>
      <c r="F3499" s="19" t="str">
        <f>IFERROR(__xludf.DUMMYFUNCTION("""COMPUTED_VALUE"""),"BLACK")</f>
        <v>BLACK</v>
      </c>
      <c r="G3499" s="20" t="str">
        <f>IFERROR(__xludf.DUMMYFUNCTION("""COMPUTED_VALUE"""),"Uncle Sams Cider (04/04/2023)")</f>
        <v>Uncle Sams Cider (04/04/2023)</v>
      </c>
      <c r="H3499" s="19"/>
    </row>
    <row r="3500">
      <c r="A3500" s="9"/>
      <c r="B3500" s="15"/>
      <c r="C3500" s="9">
        <f>IFERROR(__xludf.DUMMYFUNCTION("""COMPUTED_VALUE"""),45108.0386631481)</f>
        <v>45108.03866</v>
      </c>
      <c r="D3500" s="15">
        <f>IFERROR(__xludf.DUMMYFUNCTION("""COMPUTED_VALUE"""),1.004)</f>
        <v>1.004</v>
      </c>
      <c r="E3500" s="16">
        <f>IFERROR(__xludf.DUMMYFUNCTION("""COMPUTED_VALUE"""),70.0)</f>
        <v>70</v>
      </c>
      <c r="F3500" s="19" t="str">
        <f>IFERROR(__xludf.DUMMYFUNCTION("""COMPUTED_VALUE"""),"BLACK")</f>
        <v>BLACK</v>
      </c>
      <c r="G3500" s="20" t="str">
        <f>IFERROR(__xludf.DUMMYFUNCTION("""COMPUTED_VALUE"""),"Uncle Sams Cider (04/04/2023)")</f>
        <v>Uncle Sams Cider (04/04/2023)</v>
      </c>
      <c r="H3500" s="19"/>
    </row>
    <row r="3501">
      <c r="A3501" s="9"/>
      <c r="B3501" s="15"/>
      <c r="C3501" s="9">
        <f>IFERROR(__xludf.DUMMYFUNCTION("""COMPUTED_VALUE"""),45108.028240625)</f>
        <v>45108.02824</v>
      </c>
      <c r="D3501" s="15">
        <f>IFERROR(__xludf.DUMMYFUNCTION("""COMPUTED_VALUE"""),1.004)</f>
        <v>1.004</v>
      </c>
      <c r="E3501" s="16">
        <f>IFERROR(__xludf.DUMMYFUNCTION("""COMPUTED_VALUE"""),70.0)</f>
        <v>70</v>
      </c>
      <c r="F3501" s="19" t="str">
        <f>IFERROR(__xludf.DUMMYFUNCTION("""COMPUTED_VALUE"""),"BLACK")</f>
        <v>BLACK</v>
      </c>
      <c r="G3501" s="20" t="str">
        <f>IFERROR(__xludf.DUMMYFUNCTION("""COMPUTED_VALUE"""),"Uncle Sams Cider (04/04/2023)")</f>
        <v>Uncle Sams Cider (04/04/2023)</v>
      </c>
      <c r="H3501" s="19"/>
    </row>
    <row r="3502">
      <c r="A3502" s="9"/>
      <c r="B3502" s="15"/>
      <c r="C3502" s="9">
        <f>IFERROR(__xludf.DUMMYFUNCTION("""COMPUTED_VALUE"""),45108.017819699)</f>
        <v>45108.01782</v>
      </c>
      <c r="D3502" s="15">
        <f>IFERROR(__xludf.DUMMYFUNCTION("""COMPUTED_VALUE"""),1.004)</f>
        <v>1.004</v>
      </c>
      <c r="E3502" s="16">
        <f>IFERROR(__xludf.DUMMYFUNCTION("""COMPUTED_VALUE"""),70.0)</f>
        <v>70</v>
      </c>
      <c r="F3502" s="19" t="str">
        <f>IFERROR(__xludf.DUMMYFUNCTION("""COMPUTED_VALUE"""),"BLACK")</f>
        <v>BLACK</v>
      </c>
      <c r="G3502" s="20" t="str">
        <f>IFERROR(__xludf.DUMMYFUNCTION("""COMPUTED_VALUE"""),"Uncle Sams Cider (04/04/2023)")</f>
        <v>Uncle Sams Cider (04/04/2023)</v>
      </c>
      <c r="H3502" s="19"/>
    </row>
    <row r="3503">
      <c r="A3503" s="9"/>
      <c r="B3503" s="15"/>
      <c r="C3503" s="9">
        <f>IFERROR(__xludf.DUMMYFUNCTION("""COMPUTED_VALUE"""),45108.0073983101)</f>
        <v>45108.0074</v>
      </c>
      <c r="D3503" s="15">
        <f>IFERROR(__xludf.DUMMYFUNCTION("""COMPUTED_VALUE"""),1.004)</f>
        <v>1.004</v>
      </c>
      <c r="E3503" s="16">
        <f>IFERROR(__xludf.DUMMYFUNCTION("""COMPUTED_VALUE"""),70.0)</f>
        <v>70</v>
      </c>
      <c r="F3503" s="19" t="str">
        <f>IFERROR(__xludf.DUMMYFUNCTION("""COMPUTED_VALUE"""),"BLACK")</f>
        <v>BLACK</v>
      </c>
      <c r="G3503" s="20" t="str">
        <f>IFERROR(__xludf.DUMMYFUNCTION("""COMPUTED_VALUE"""),"Uncle Sams Cider (04/04/2023)")</f>
        <v>Uncle Sams Cider (04/04/2023)</v>
      </c>
      <c r="H3503" s="19"/>
    </row>
    <row r="3504">
      <c r="A3504" s="9"/>
      <c r="B3504" s="15"/>
      <c r="C3504" s="9">
        <f>IFERROR(__xludf.DUMMYFUNCTION("""COMPUTED_VALUE"""),45107.9969778125)</f>
        <v>45107.99698</v>
      </c>
      <c r="D3504" s="15">
        <f>IFERROR(__xludf.DUMMYFUNCTION("""COMPUTED_VALUE"""),1.004)</f>
        <v>1.004</v>
      </c>
      <c r="E3504" s="16">
        <f>IFERROR(__xludf.DUMMYFUNCTION("""COMPUTED_VALUE"""),70.0)</f>
        <v>70</v>
      </c>
      <c r="F3504" s="19" t="str">
        <f>IFERROR(__xludf.DUMMYFUNCTION("""COMPUTED_VALUE"""),"BLACK")</f>
        <v>BLACK</v>
      </c>
      <c r="G3504" s="20" t="str">
        <f>IFERROR(__xludf.DUMMYFUNCTION("""COMPUTED_VALUE"""),"Uncle Sams Cider (04/04/2023)")</f>
        <v>Uncle Sams Cider (04/04/2023)</v>
      </c>
      <c r="H3504" s="19"/>
    </row>
    <row r="3505">
      <c r="A3505" s="9"/>
      <c r="B3505" s="15"/>
      <c r="C3505" s="9">
        <f>IFERROR(__xludf.DUMMYFUNCTION("""COMPUTED_VALUE"""),45107.9865578356)</f>
        <v>45107.98656</v>
      </c>
      <c r="D3505" s="15">
        <f>IFERROR(__xludf.DUMMYFUNCTION("""COMPUTED_VALUE"""),1.004)</f>
        <v>1.004</v>
      </c>
      <c r="E3505" s="16">
        <f>IFERROR(__xludf.DUMMYFUNCTION("""COMPUTED_VALUE"""),70.0)</f>
        <v>70</v>
      </c>
      <c r="F3505" s="19" t="str">
        <f>IFERROR(__xludf.DUMMYFUNCTION("""COMPUTED_VALUE"""),"BLACK")</f>
        <v>BLACK</v>
      </c>
      <c r="G3505" s="20" t="str">
        <f>IFERROR(__xludf.DUMMYFUNCTION("""COMPUTED_VALUE"""),"Uncle Sams Cider (04/04/2023)")</f>
        <v>Uncle Sams Cider (04/04/2023)</v>
      </c>
      <c r="H3505" s="19"/>
    </row>
    <row r="3506">
      <c r="A3506" s="9"/>
      <c r="B3506" s="15"/>
      <c r="C3506" s="9">
        <f>IFERROR(__xludf.DUMMYFUNCTION("""COMPUTED_VALUE"""),45107.9761344097)</f>
        <v>45107.97613</v>
      </c>
      <c r="D3506" s="15">
        <f>IFERROR(__xludf.DUMMYFUNCTION("""COMPUTED_VALUE"""),1.004)</f>
        <v>1.004</v>
      </c>
      <c r="E3506" s="16">
        <f>IFERROR(__xludf.DUMMYFUNCTION("""COMPUTED_VALUE"""),70.0)</f>
        <v>70</v>
      </c>
      <c r="F3506" s="19" t="str">
        <f>IFERROR(__xludf.DUMMYFUNCTION("""COMPUTED_VALUE"""),"BLACK")</f>
        <v>BLACK</v>
      </c>
      <c r="G3506" s="20" t="str">
        <f>IFERROR(__xludf.DUMMYFUNCTION("""COMPUTED_VALUE"""),"Uncle Sams Cider (04/04/2023)")</f>
        <v>Uncle Sams Cider (04/04/2023)</v>
      </c>
      <c r="H3506" s="19"/>
    </row>
    <row r="3507">
      <c r="A3507" s="9"/>
      <c r="B3507" s="15"/>
      <c r="C3507" s="9">
        <f>IFERROR(__xludf.DUMMYFUNCTION("""COMPUTED_VALUE"""),45107.9657128935)</f>
        <v>45107.96571</v>
      </c>
      <c r="D3507" s="15">
        <f>IFERROR(__xludf.DUMMYFUNCTION("""COMPUTED_VALUE"""),1.004)</f>
        <v>1.004</v>
      </c>
      <c r="E3507" s="16">
        <f>IFERROR(__xludf.DUMMYFUNCTION("""COMPUTED_VALUE"""),70.0)</f>
        <v>70</v>
      </c>
      <c r="F3507" s="19" t="str">
        <f>IFERROR(__xludf.DUMMYFUNCTION("""COMPUTED_VALUE"""),"BLACK")</f>
        <v>BLACK</v>
      </c>
      <c r="G3507" s="20" t="str">
        <f>IFERROR(__xludf.DUMMYFUNCTION("""COMPUTED_VALUE"""),"Uncle Sams Cider (04/04/2023)")</f>
        <v>Uncle Sams Cider (04/04/2023)</v>
      </c>
      <c r="H3507" s="19"/>
    </row>
    <row r="3508">
      <c r="A3508" s="9"/>
      <c r="B3508" s="15"/>
      <c r="C3508" s="9">
        <f>IFERROR(__xludf.DUMMYFUNCTION("""COMPUTED_VALUE"""),45107.9552919907)</f>
        <v>45107.95529</v>
      </c>
      <c r="D3508" s="15">
        <f>IFERROR(__xludf.DUMMYFUNCTION("""COMPUTED_VALUE"""),1.004)</f>
        <v>1.004</v>
      </c>
      <c r="E3508" s="16">
        <f>IFERROR(__xludf.DUMMYFUNCTION("""COMPUTED_VALUE"""),70.0)</f>
        <v>70</v>
      </c>
      <c r="F3508" s="19" t="str">
        <f>IFERROR(__xludf.DUMMYFUNCTION("""COMPUTED_VALUE"""),"BLACK")</f>
        <v>BLACK</v>
      </c>
      <c r="G3508" s="20" t="str">
        <f>IFERROR(__xludf.DUMMYFUNCTION("""COMPUTED_VALUE"""),"Uncle Sams Cider (04/04/2023)")</f>
        <v>Uncle Sams Cider (04/04/2023)</v>
      </c>
      <c r="H3508" s="19"/>
    </row>
    <row r="3509">
      <c r="A3509" s="9"/>
      <c r="B3509" s="15"/>
      <c r="C3509" s="9">
        <f>IFERROR(__xludf.DUMMYFUNCTION("""COMPUTED_VALUE"""),45107.9448710532)</f>
        <v>45107.94487</v>
      </c>
      <c r="D3509" s="15">
        <f>IFERROR(__xludf.DUMMYFUNCTION("""COMPUTED_VALUE"""),1.004)</f>
        <v>1.004</v>
      </c>
      <c r="E3509" s="16">
        <f>IFERROR(__xludf.DUMMYFUNCTION("""COMPUTED_VALUE"""),70.0)</f>
        <v>70</v>
      </c>
      <c r="F3509" s="19" t="str">
        <f>IFERROR(__xludf.DUMMYFUNCTION("""COMPUTED_VALUE"""),"BLACK")</f>
        <v>BLACK</v>
      </c>
      <c r="G3509" s="20" t="str">
        <f>IFERROR(__xludf.DUMMYFUNCTION("""COMPUTED_VALUE"""),"Uncle Sams Cider (04/04/2023)")</f>
        <v>Uncle Sams Cider (04/04/2023)</v>
      </c>
      <c r="H3509" s="19"/>
    </row>
    <row r="3510">
      <c r="A3510" s="9"/>
      <c r="B3510" s="15"/>
      <c r="C3510" s="9">
        <f>IFERROR(__xludf.DUMMYFUNCTION("""COMPUTED_VALUE"""),45107.9344522685)</f>
        <v>45107.93445</v>
      </c>
      <c r="D3510" s="15">
        <f>IFERROR(__xludf.DUMMYFUNCTION("""COMPUTED_VALUE"""),1.004)</f>
        <v>1.004</v>
      </c>
      <c r="E3510" s="16">
        <f>IFERROR(__xludf.DUMMYFUNCTION("""COMPUTED_VALUE"""),70.0)</f>
        <v>70</v>
      </c>
      <c r="F3510" s="19" t="str">
        <f>IFERROR(__xludf.DUMMYFUNCTION("""COMPUTED_VALUE"""),"BLACK")</f>
        <v>BLACK</v>
      </c>
      <c r="G3510" s="20" t="str">
        <f>IFERROR(__xludf.DUMMYFUNCTION("""COMPUTED_VALUE"""),"Uncle Sams Cider (04/04/2023)")</f>
        <v>Uncle Sams Cider (04/04/2023)</v>
      </c>
      <c r="H3510" s="19"/>
    </row>
    <row r="3511">
      <c r="A3511" s="9"/>
      <c r="B3511" s="15"/>
      <c r="C3511" s="9">
        <f>IFERROR(__xludf.DUMMYFUNCTION("""COMPUTED_VALUE"""),45107.9240186921)</f>
        <v>45107.92402</v>
      </c>
      <c r="D3511" s="15">
        <f>IFERROR(__xludf.DUMMYFUNCTION("""COMPUTED_VALUE"""),1.004)</f>
        <v>1.004</v>
      </c>
      <c r="E3511" s="16">
        <f>IFERROR(__xludf.DUMMYFUNCTION("""COMPUTED_VALUE"""),70.0)</f>
        <v>70</v>
      </c>
      <c r="F3511" s="19" t="str">
        <f>IFERROR(__xludf.DUMMYFUNCTION("""COMPUTED_VALUE"""),"BLACK")</f>
        <v>BLACK</v>
      </c>
      <c r="G3511" s="20" t="str">
        <f>IFERROR(__xludf.DUMMYFUNCTION("""COMPUTED_VALUE"""),"Uncle Sams Cider (04/04/2023)")</f>
        <v>Uncle Sams Cider (04/04/2023)</v>
      </c>
      <c r="H3511" s="19"/>
    </row>
    <row r="3512">
      <c r="A3512" s="9"/>
      <c r="B3512" s="15"/>
      <c r="C3512" s="9">
        <f>IFERROR(__xludf.DUMMYFUNCTION("""COMPUTED_VALUE"""),45107.9135972222)</f>
        <v>45107.9136</v>
      </c>
      <c r="D3512" s="15">
        <f>IFERROR(__xludf.DUMMYFUNCTION("""COMPUTED_VALUE"""),1.004)</f>
        <v>1.004</v>
      </c>
      <c r="E3512" s="16">
        <f>IFERROR(__xludf.DUMMYFUNCTION("""COMPUTED_VALUE"""),70.0)</f>
        <v>70</v>
      </c>
      <c r="F3512" s="19" t="str">
        <f>IFERROR(__xludf.DUMMYFUNCTION("""COMPUTED_VALUE"""),"BLACK")</f>
        <v>BLACK</v>
      </c>
      <c r="G3512" s="20" t="str">
        <f>IFERROR(__xludf.DUMMYFUNCTION("""COMPUTED_VALUE"""),"Uncle Sams Cider (04/04/2023)")</f>
        <v>Uncle Sams Cider (04/04/2023)</v>
      </c>
      <c r="H3512" s="19"/>
    </row>
    <row r="3513">
      <c r="A3513" s="9"/>
      <c r="B3513" s="15"/>
      <c r="C3513" s="9">
        <f>IFERROR(__xludf.DUMMYFUNCTION("""COMPUTED_VALUE"""),45107.9031756018)</f>
        <v>45107.90318</v>
      </c>
      <c r="D3513" s="15">
        <f>IFERROR(__xludf.DUMMYFUNCTION("""COMPUTED_VALUE"""),1.004)</f>
        <v>1.004</v>
      </c>
      <c r="E3513" s="16">
        <f>IFERROR(__xludf.DUMMYFUNCTION("""COMPUTED_VALUE"""),70.0)</f>
        <v>70</v>
      </c>
      <c r="F3513" s="19" t="str">
        <f>IFERROR(__xludf.DUMMYFUNCTION("""COMPUTED_VALUE"""),"BLACK")</f>
        <v>BLACK</v>
      </c>
      <c r="G3513" s="20" t="str">
        <f>IFERROR(__xludf.DUMMYFUNCTION("""COMPUTED_VALUE"""),"Uncle Sams Cider (04/04/2023)")</f>
        <v>Uncle Sams Cider (04/04/2023)</v>
      </c>
      <c r="H3513" s="19"/>
    </row>
    <row r="3514">
      <c r="A3514" s="9"/>
      <c r="B3514" s="15"/>
      <c r="C3514" s="9">
        <f>IFERROR(__xludf.DUMMYFUNCTION("""COMPUTED_VALUE"""),45107.8927422106)</f>
        <v>45107.89274</v>
      </c>
      <c r="D3514" s="15">
        <f>IFERROR(__xludf.DUMMYFUNCTION("""COMPUTED_VALUE"""),1.004)</f>
        <v>1.004</v>
      </c>
      <c r="E3514" s="16">
        <f>IFERROR(__xludf.DUMMYFUNCTION("""COMPUTED_VALUE"""),70.0)</f>
        <v>70</v>
      </c>
      <c r="F3514" s="19" t="str">
        <f>IFERROR(__xludf.DUMMYFUNCTION("""COMPUTED_VALUE"""),"BLACK")</f>
        <v>BLACK</v>
      </c>
      <c r="G3514" s="20" t="str">
        <f>IFERROR(__xludf.DUMMYFUNCTION("""COMPUTED_VALUE"""),"Uncle Sams Cider (04/04/2023)")</f>
        <v>Uncle Sams Cider (04/04/2023)</v>
      </c>
      <c r="H3514" s="19"/>
    </row>
    <row r="3515">
      <c r="A3515" s="9"/>
      <c r="B3515" s="15"/>
      <c r="C3515" s="9">
        <f>IFERROR(__xludf.DUMMYFUNCTION("""COMPUTED_VALUE"""),45107.8823222916)</f>
        <v>45107.88232</v>
      </c>
      <c r="D3515" s="15">
        <f>IFERROR(__xludf.DUMMYFUNCTION("""COMPUTED_VALUE"""),1.004)</f>
        <v>1.004</v>
      </c>
      <c r="E3515" s="16">
        <f>IFERROR(__xludf.DUMMYFUNCTION("""COMPUTED_VALUE"""),70.0)</f>
        <v>70</v>
      </c>
      <c r="F3515" s="19" t="str">
        <f>IFERROR(__xludf.DUMMYFUNCTION("""COMPUTED_VALUE"""),"BLACK")</f>
        <v>BLACK</v>
      </c>
      <c r="G3515" s="20" t="str">
        <f>IFERROR(__xludf.DUMMYFUNCTION("""COMPUTED_VALUE"""),"Uncle Sams Cider (04/04/2023)")</f>
        <v>Uncle Sams Cider (04/04/2023)</v>
      </c>
      <c r="H3515" s="19"/>
    </row>
    <row r="3516">
      <c r="A3516" s="9"/>
      <c r="B3516" s="15"/>
      <c r="C3516" s="9">
        <f>IFERROR(__xludf.DUMMYFUNCTION("""COMPUTED_VALUE"""),45107.8719012268)</f>
        <v>45107.8719</v>
      </c>
      <c r="D3516" s="15">
        <f>IFERROR(__xludf.DUMMYFUNCTION("""COMPUTED_VALUE"""),1.004)</f>
        <v>1.004</v>
      </c>
      <c r="E3516" s="16">
        <f>IFERROR(__xludf.DUMMYFUNCTION("""COMPUTED_VALUE"""),70.0)</f>
        <v>70</v>
      </c>
      <c r="F3516" s="19" t="str">
        <f>IFERROR(__xludf.DUMMYFUNCTION("""COMPUTED_VALUE"""),"BLACK")</f>
        <v>BLACK</v>
      </c>
      <c r="G3516" s="20" t="str">
        <f>IFERROR(__xludf.DUMMYFUNCTION("""COMPUTED_VALUE"""),"Uncle Sams Cider (04/04/2023)")</f>
        <v>Uncle Sams Cider (04/04/2023)</v>
      </c>
      <c r="H3516" s="19"/>
    </row>
    <row r="3517">
      <c r="A3517" s="9"/>
      <c r="B3517" s="15"/>
      <c r="C3517" s="9">
        <f>IFERROR(__xludf.DUMMYFUNCTION("""COMPUTED_VALUE"""),45107.8614807523)</f>
        <v>45107.86148</v>
      </c>
      <c r="D3517" s="15">
        <f>IFERROR(__xludf.DUMMYFUNCTION("""COMPUTED_VALUE"""),1.005)</f>
        <v>1.005</v>
      </c>
      <c r="E3517" s="16">
        <f>IFERROR(__xludf.DUMMYFUNCTION("""COMPUTED_VALUE"""),70.0)</f>
        <v>70</v>
      </c>
      <c r="F3517" s="19" t="str">
        <f>IFERROR(__xludf.DUMMYFUNCTION("""COMPUTED_VALUE"""),"BLACK")</f>
        <v>BLACK</v>
      </c>
      <c r="G3517" s="20" t="str">
        <f>IFERROR(__xludf.DUMMYFUNCTION("""COMPUTED_VALUE"""),"Uncle Sams Cider (04/04/2023)")</f>
        <v>Uncle Sams Cider (04/04/2023)</v>
      </c>
      <c r="H3517" s="19"/>
    </row>
    <row r="3518">
      <c r="A3518" s="9"/>
      <c r="B3518" s="15"/>
      <c r="C3518" s="9">
        <f>IFERROR(__xludf.DUMMYFUNCTION("""COMPUTED_VALUE"""),45107.8510470138)</f>
        <v>45107.85105</v>
      </c>
      <c r="D3518" s="15">
        <f>IFERROR(__xludf.DUMMYFUNCTION("""COMPUTED_VALUE"""),1.004)</f>
        <v>1.004</v>
      </c>
      <c r="E3518" s="16">
        <f>IFERROR(__xludf.DUMMYFUNCTION("""COMPUTED_VALUE"""),70.0)</f>
        <v>70</v>
      </c>
      <c r="F3518" s="19" t="str">
        <f>IFERROR(__xludf.DUMMYFUNCTION("""COMPUTED_VALUE"""),"BLACK")</f>
        <v>BLACK</v>
      </c>
      <c r="G3518" s="20" t="str">
        <f>IFERROR(__xludf.DUMMYFUNCTION("""COMPUTED_VALUE"""),"Uncle Sams Cider (04/04/2023)")</f>
        <v>Uncle Sams Cider (04/04/2023)</v>
      </c>
      <c r="H3518" s="19"/>
    </row>
    <row r="3519">
      <c r="A3519" s="9"/>
      <c r="B3519" s="15"/>
      <c r="C3519" s="9">
        <f>IFERROR(__xludf.DUMMYFUNCTION("""COMPUTED_VALUE"""),45107.840627581)</f>
        <v>45107.84063</v>
      </c>
      <c r="D3519" s="15">
        <f>IFERROR(__xludf.DUMMYFUNCTION("""COMPUTED_VALUE"""),1.004)</f>
        <v>1.004</v>
      </c>
      <c r="E3519" s="16">
        <f>IFERROR(__xludf.DUMMYFUNCTION("""COMPUTED_VALUE"""),70.0)</f>
        <v>70</v>
      </c>
      <c r="F3519" s="19" t="str">
        <f>IFERROR(__xludf.DUMMYFUNCTION("""COMPUTED_VALUE"""),"BLACK")</f>
        <v>BLACK</v>
      </c>
      <c r="G3519" s="20" t="str">
        <f>IFERROR(__xludf.DUMMYFUNCTION("""COMPUTED_VALUE"""),"Uncle Sams Cider (04/04/2023)")</f>
        <v>Uncle Sams Cider (04/04/2023)</v>
      </c>
      <c r="H3519" s="19"/>
    </row>
    <row r="3520">
      <c r="A3520" s="9"/>
      <c r="B3520" s="15"/>
      <c r="C3520" s="9">
        <f>IFERROR(__xludf.DUMMYFUNCTION("""COMPUTED_VALUE"""),45107.8302055787)</f>
        <v>45107.83021</v>
      </c>
      <c r="D3520" s="15">
        <f>IFERROR(__xludf.DUMMYFUNCTION("""COMPUTED_VALUE"""),1.004)</f>
        <v>1.004</v>
      </c>
      <c r="E3520" s="16">
        <f>IFERROR(__xludf.DUMMYFUNCTION("""COMPUTED_VALUE"""),70.0)</f>
        <v>70</v>
      </c>
      <c r="F3520" s="19" t="str">
        <f>IFERROR(__xludf.DUMMYFUNCTION("""COMPUTED_VALUE"""),"BLACK")</f>
        <v>BLACK</v>
      </c>
      <c r="G3520" s="20" t="str">
        <f>IFERROR(__xludf.DUMMYFUNCTION("""COMPUTED_VALUE"""),"Uncle Sams Cider (04/04/2023)")</f>
        <v>Uncle Sams Cider (04/04/2023)</v>
      </c>
      <c r="H3520" s="19"/>
    </row>
    <row r="3521">
      <c r="A3521" s="9"/>
      <c r="B3521" s="15"/>
      <c r="C3521" s="9">
        <f>IFERROR(__xludf.DUMMYFUNCTION("""COMPUTED_VALUE"""),45107.8197849189)</f>
        <v>45107.81978</v>
      </c>
      <c r="D3521" s="15">
        <f>IFERROR(__xludf.DUMMYFUNCTION("""COMPUTED_VALUE"""),1.004)</f>
        <v>1.004</v>
      </c>
      <c r="E3521" s="16">
        <f>IFERROR(__xludf.DUMMYFUNCTION("""COMPUTED_VALUE"""),70.0)</f>
        <v>70</v>
      </c>
      <c r="F3521" s="19" t="str">
        <f>IFERROR(__xludf.DUMMYFUNCTION("""COMPUTED_VALUE"""),"BLACK")</f>
        <v>BLACK</v>
      </c>
      <c r="G3521" s="20" t="str">
        <f>IFERROR(__xludf.DUMMYFUNCTION("""COMPUTED_VALUE"""),"Uncle Sams Cider (04/04/2023)")</f>
        <v>Uncle Sams Cider (04/04/2023)</v>
      </c>
      <c r="H3521" s="19"/>
    </row>
    <row r="3522">
      <c r="A3522" s="9"/>
      <c r="B3522" s="15"/>
      <c r="C3522" s="9">
        <f>IFERROR(__xludf.DUMMYFUNCTION("""COMPUTED_VALUE"""),45107.8093630092)</f>
        <v>45107.80936</v>
      </c>
      <c r="D3522" s="15">
        <f>IFERROR(__xludf.DUMMYFUNCTION("""COMPUTED_VALUE"""),1.004)</f>
        <v>1.004</v>
      </c>
      <c r="E3522" s="16">
        <f>IFERROR(__xludf.DUMMYFUNCTION("""COMPUTED_VALUE"""),70.0)</f>
        <v>70</v>
      </c>
      <c r="F3522" s="19" t="str">
        <f>IFERROR(__xludf.DUMMYFUNCTION("""COMPUTED_VALUE"""),"BLACK")</f>
        <v>BLACK</v>
      </c>
      <c r="G3522" s="20" t="str">
        <f>IFERROR(__xludf.DUMMYFUNCTION("""COMPUTED_VALUE"""),"Uncle Sams Cider (04/04/2023)")</f>
        <v>Uncle Sams Cider (04/04/2023)</v>
      </c>
      <c r="H3522" s="19"/>
    </row>
    <row r="3523">
      <c r="A3523" s="9"/>
      <c r="B3523" s="15"/>
      <c r="C3523" s="9">
        <f>IFERROR(__xludf.DUMMYFUNCTION("""COMPUTED_VALUE"""),45107.7989307523)</f>
        <v>45107.79893</v>
      </c>
      <c r="D3523" s="15">
        <f>IFERROR(__xludf.DUMMYFUNCTION("""COMPUTED_VALUE"""),1.004)</f>
        <v>1.004</v>
      </c>
      <c r="E3523" s="16">
        <f>IFERROR(__xludf.DUMMYFUNCTION("""COMPUTED_VALUE"""),70.0)</f>
        <v>70</v>
      </c>
      <c r="F3523" s="19" t="str">
        <f>IFERROR(__xludf.DUMMYFUNCTION("""COMPUTED_VALUE"""),"BLACK")</f>
        <v>BLACK</v>
      </c>
      <c r="G3523" s="20" t="str">
        <f>IFERROR(__xludf.DUMMYFUNCTION("""COMPUTED_VALUE"""),"Uncle Sams Cider (04/04/2023)")</f>
        <v>Uncle Sams Cider (04/04/2023)</v>
      </c>
      <c r="H3523" s="19"/>
    </row>
    <row r="3524">
      <c r="A3524" s="9"/>
      <c r="B3524" s="15"/>
      <c r="C3524" s="9">
        <f>IFERROR(__xludf.DUMMYFUNCTION("""COMPUTED_VALUE"""),45107.7885095486)</f>
        <v>45107.78851</v>
      </c>
      <c r="D3524" s="15">
        <f>IFERROR(__xludf.DUMMYFUNCTION("""COMPUTED_VALUE"""),1.004)</f>
        <v>1.004</v>
      </c>
      <c r="E3524" s="16">
        <f>IFERROR(__xludf.DUMMYFUNCTION("""COMPUTED_VALUE"""),70.0)</f>
        <v>70</v>
      </c>
      <c r="F3524" s="19" t="str">
        <f>IFERROR(__xludf.DUMMYFUNCTION("""COMPUTED_VALUE"""),"BLACK")</f>
        <v>BLACK</v>
      </c>
      <c r="G3524" s="20" t="str">
        <f>IFERROR(__xludf.DUMMYFUNCTION("""COMPUTED_VALUE"""),"Uncle Sams Cider (04/04/2023)")</f>
        <v>Uncle Sams Cider (04/04/2023)</v>
      </c>
      <c r="H3524" s="19"/>
    </row>
    <row r="3525">
      <c r="A3525" s="9"/>
      <c r="B3525" s="15"/>
      <c r="C3525" s="9">
        <f>IFERROR(__xludf.DUMMYFUNCTION("""COMPUTED_VALUE"""),45107.7780882407)</f>
        <v>45107.77809</v>
      </c>
      <c r="D3525" s="15">
        <f>IFERROR(__xludf.DUMMYFUNCTION("""COMPUTED_VALUE"""),1.004)</f>
        <v>1.004</v>
      </c>
      <c r="E3525" s="16">
        <f>IFERROR(__xludf.DUMMYFUNCTION("""COMPUTED_VALUE"""),70.0)</f>
        <v>70</v>
      </c>
      <c r="F3525" s="19" t="str">
        <f>IFERROR(__xludf.DUMMYFUNCTION("""COMPUTED_VALUE"""),"BLACK")</f>
        <v>BLACK</v>
      </c>
      <c r="G3525" s="20" t="str">
        <f>IFERROR(__xludf.DUMMYFUNCTION("""COMPUTED_VALUE"""),"Uncle Sams Cider (04/04/2023)")</f>
        <v>Uncle Sams Cider (04/04/2023)</v>
      </c>
      <c r="H3525" s="19"/>
    </row>
    <row r="3526">
      <c r="A3526" s="9"/>
      <c r="B3526" s="15"/>
      <c r="C3526" s="9">
        <f>IFERROR(__xludf.DUMMYFUNCTION("""COMPUTED_VALUE"""),45107.767667199)</f>
        <v>45107.76767</v>
      </c>
      <c r="D3526" s="15">
        <f>IFERROR(__xludf.DUMMYFUNCTION("""COMPUTED_VALUE"""),1.004)</f>
        <v>1.004</v>
      </c>
      <c r="E3526" s="16">
        <f>IFERROR(__xludf.DUMMYFUNCTION("""COMPUTED_VALUE"""),70.0)</f>
        <v>70</v>
      </c>
      <c r="F3526" s="19" t="str">
        <f>IFERROR(__xludf.DUMMYFUNCTION("""COMPUTED_VALUE"""),"BLACK")</f>
        <v>BLACK</v>
      </c>
      <c r="G3526" s="20" t="str">
        <f>IFERROR(__xludf.DUMMYFUNCTION("""COMPUTED_VALUE"""),"Uncle Sams Cider (04/04/2023)")</f>
        <v>Uncle Sams Cider (04/04/2023)</v>
      </c>
      <c r="H3526" s="19"/>
    </row>
    <row r="3527">
      <c r="A3527" s="9"/>
      <c r="B3527" s="15"/>
      <c r="C3527" s="9">
        <f>IFERROR(__xludf.DUMMYFUNCTION("""COMPUTED_VALUE"""),45107.7572343634)</f>
        <v>45107.75723</v>
      </c>
      <c r="D3527" s="15">
        <f>IFERROR(__xludf.DUMMYFUNCTION("""COMPUTED_VALUE"""),1.004)</f>
        <v>1.004</v>
      </c>
      <c r="E3527" s="16">
        <f>IFERROR(__xludf.DUMMYFUNCTION("""COMPUTED_VALUE"""),70.0)</f>
        <v>70</v>
      </c>
      <c r="F3527" s="19" t="str">
        <f>IFERROR(__xludf.DUMMYFUNCTION("""COMPUTED_VALUE"""),"BLACK")</f>
        <v>BLACK</v>
      </c>
      <c r="G3527" s="20" t="str">
        <f>IFERROR(__xludf.DUMMYFUNCTION("""COMPUTED_VALUE"""),"Uncle Sams Cider (04/04/2023)")</f>
        <v>Uncle Sams Cider (04/04/2023)</v>
      </c>
      <c r="H3527" s="19"/>
    </row>
    <row r="3528">
      <c r="A3528" s="9"/>
      <c r="B3528" s="15"/>
      <c r="C3528" s="9">
        <f>IFERROR(__xludf.DUMMYFUNCTION("""COMPUTED_VALUE"""),45107.7468141087)</f>
        <v>45107.74681</v>
      </c>
      <c r="D3528" s="15">
        <f>IFERROR(__xludf.DUMMYFUNCTION("""COMPUTED_VALUE"""),1.004)</f>
        <v>1.004</v>
      </c>
      <c r="E3528" s="16">
        <f>IFERROR(__xludf.DUMMYFUNCTION("""COMPUTED_VALUE"""),70.0)</f>
        <v>70</v>
      </c>
      <c r="F3528" s="19" t="str">
        <f>IFERROR(__xludf.DUMMYFUNCTION("""COMPUTED_VALUE"""),"BLACK")</f>
        <v>BLACK</v>
      </c>
      <c r="G3528" s="20" t="str">
        <f>IFERROR(__xludf.DUMMYFUNCTION("""COMPUTED_VALUE"""),"Uncle Sams Cider (04/04/2023)")</f>
        <v>Uncle Sams Cider (04/04/2023)</v>
      </c>
      <c r="H3528" s="19"/>
    </row>
    <row r="3529">
      <c r="A3529" s="9"/>
      <c r="B3529" s="15"/>
      <c r="C3529" s="9">
        <f>IFERROR(__xludf.DUMMYFUNCTION("""COMPUTED_VALUE"""),45107.7363950463)</f>
        <v>45107.7364</v>
      </c>
      <c r="D3529" s="15">
        <f>IFERROR(__xludf.DUMMYFUNCTION("""COMPUTED_VALUE"""),1.004)</f>
        <v>1.004</v>
      </c>
      <c r="E3529" s="16">
        <f>IFERROR(__xludf.DUMMYFUNCTION("""COMPUTED_VALUE"""),70.0)</f>
        <v>70</v>
      </c>
      <c r="F3529" s="19" t="str">
        <f>IFERROR(__xludf.DUMMYFUNCTION("""COMPUTED_VALUE"""),"BLACK")</f>
        <v>BLACK</v>
      </c>
      <c r="G3529" s="20" t="str">
        <f>IFERROR(__xludf.DUMMYFUNCTION("""COMPUTED_VALUE"""),"Uncle Sams Cider (04/04/2023)")</f>
        <v>Uncle Sams Cider (04/04/2023)</v>
      </c>
      <c r="H3529" s="19"/>
    </row>
    <row r="3530">
      <c r="A3530" s="9"/>
      <c r="B3530" s="15"/>
      <c r="C3530" s="9">
        <f>IFERROR(__xludf.DUMMYFUNCTION("""COMPUTED_VALUE"""),45107.7259730902)</f>
        <v>45107.72597</v>
      </c>
      <c r="D3530" s="15">
        <f>IFERROR(__xludf.DUMMYFUNCTION("""COMPUTED_VALUE"""),1.004)</f>
        <v>1.004</v>
      </c>
      <c r="E3530" s="16">
        <f>IFERROR(__xludf.DUMMYFUNCTION("""COMPUTED_VALUE"""),70.0)</f>
        <v>70</v>
      </c>
      <c r="F3530" s="19" t="str">
        <f>IFERROR(__xludf.DUMMYFUNCTION("""COMPUTED_VALUE"""),"BLACK")</f>
        <v>BLACK</v>
      </c>
      <c r="G3530" s="20" t="str">
        <f>IFERROR(__xludf.DUMMYFUNCTION("""COMPUTED_VALUE"""),"Uncle Sams Cider (04/04/2023)")</f>
        <v>Uncle Sams Cider (04/04/2023)</v>
      </c>
      <c r="H3530" s="19"/>
    </row>
    <row r="3531">
      <c r="A3531" s="9"/>
      <c r="B3531" s="15"/>
      <c r="C3531" s="9">
        <f>IFERROR(__xludf.DUMMYFUNCTION("""COMPUTED_VALUE"""),45107.7155425)</f>
        <v>45107.71554</v>
      </c>
      <c r="D3531" s="15">
        <f>IFERROR(__xludf.DUMMYFUNCTION("""COMPUTED_VALUE"""),1.004)</f>
        <v>1.004</v>
      </c>
      <c r="E3531" s="16">
        <f>IFERROR(__xludf.DUMMYFUNCTION("""COMPUTED_VALUE"""),70.0)</f>
        <v>70</v>
      </c>
      <c r="F3531" s="19" t="str">
        <f>IFERROR(__xludf.DUMMYFUNCTION("""COMPUTED_VALUE"""),"BLACK")</f>
        <v>BLACK</v>
      </c>
      <c r="G3531" s="20" t="str">
        <f>IFERROR(__xludf.DUMMYFUNCTION("""COMPUTED_VALUE"""),"Uncle Sams Cider (04/04/2023)")</f>
        <v>Uncle Sams Cider (04/04/2023)</v>
      </c>
      <c r="H3531" s="19"/>
    </row>
    <row r="3532">
      <c r="A3532" s="9"/>
      <c r="B3532" s="15"/>
      <c r="C3532" s="9">
        <f>IFERROR(__xludf.DUMMYFUNCTION("""COMPUTED_VALUE"""),45107.7051234027)</f>
        <v>45107.70512</v>
      </c>
      <c r="D3532" s="15">
        <f>IFERROR(__xludf.DUMMYFUNCTION("""COMPUTED_VALUE"""),1.004)</f>
        <v>1.004</v>
      </c>
      <c r="E3532" s="16">
        <f>IFERROR(__xludf.DUMMYFUNCTION("""COMPUTED_VALUE"""),70.0)</f>
        <v>70</v>
      </c>
      <c r="F3532" s="19" t="str">
        <f>IFERROR(__xludf.DUMMYFUNCTION("""COMPUTED_VALUE"""),"BLACK")</f>
        <v>BLACK</v>
      </c>
      <c r="G3532" s="20" t="str">
        <f>IFERROR(__xludf.DUMMYFUNCTION("""COMPUTED_VALUE"""),"Uncle Sams Cider (04/04/2023)")</f>
        <v>Uncle Sams Cider (04/04/2023)</v>
      </c>
      <c r="H3532" s="19"/>
    </row>
    <row r="3533">
      <c r="A3533" s="9"/>
      <c r="B3533" s="15"/>
      <c r="C3533" s="9">
        <f>IFERROR(__xludf.DUMMYFUNCTION("""COMPUTED_VALUE"""),45107.6947013888)</f>
        <v>45107.6947</v>
      </c>
      <c r="D3533" s="15">
        <f>IFERROR(__xludf.DUMMYFUNCTION("""COMPUTED_VALUE"""),1.004)</f>
        <v>1.004</v>
      </c>
      <c r="E3533" s="16">
        <f>IFERROR(__xludf.DUMMYFUNCTION("""COMPUTED_VALUE"""),70.0)</f>
        <v>70</v>
      </c>
      <c r="F3533" s="19" t="str">
        <f>IFERROR(__xludf.DUMMYFUNCTION("""COMPUTED_VALUE"""),"BLACK")</f>
        <v>BLACK</v>
      </c>
      <c r="G3533" s="20" t="str">
        <f>IFERROR(__xludf.DUMMYFUNCTION("""COMPUTED_VALUE"""),"Uncle Sams Cider (04/04/2023)")</f>
        <v>Uncle Sams Cider (04/04/2023)</v>
      </c>
      <c r="H3533" s="19"/>
    </row>
    <row r="3534">
      <c r="A3534" s="9"/>
      <c r="B3534" s="15"/>
      <c r="C3534" s="9">
        <f>IFERROR(__xludf.DUMMYFUNCTION("""COMPUTED_VALUE"""),45107.6842794097)</f>
        <v>45107.68428</v>
      </c>
      <c r="D3534" s="15">
        <f>IFERROR(__xludf.DUMMYFUNCTION("""COMPUTED_VALUE"""),1.004)</f>
        <v>1.004</v>
      </c>
      <c r="E3534" s="16">
        <f>IFERROR(__xludf.DUMMYFUNCTION("""COMPUTED_VALUE"""),70.0)</f>
        <v>70</v>
      </c>
      <c r="F3534" s="19" t="str">
        <f>IFERROR(__xludf.DUMMYFUNCTION("""COMPUTED_VALUE"""),"BLACK")</f>
        <v>BLACK</v>
      </c>
      <c r="G3534" s="20" t="str">
        <f>IFERROR(__xludf.DUMMYFUNCTION("""COMPUTED_VALUE"""),"Uncle Sams Cider (04/04/2023)")</f>
        <v>Uncle Sams Cider (04/04/2023)</v>
      </c>
      <c r="H3534" s="19"/>
    </row>
    <row r="3535">
      <c r="A3535" s="9"/>
      <c r="B3535" s="15"/>
      <c r="C3535" s="9">
        <f>IFERROR(__xludf.DUMMYFUNCTION("""COMPUTED_VALUE"""),45107.6738575578)</f>
        <v>45107.67386</v>
      </c>
      <c r="D3535" s="15">
        <f>IFERROR(__xludf.DUMMYFUNCTION("""COMPUTED_VALUE"""),1.004)</f>
        <v>1.004</v>
      </c>
      <c r="E3535" s="16">
        <f>IFERROR(__xludf.DUMMYFUNCTION("""COMPUTED_VALUE"""),70.0)</f>
        <v>70</v>
      </c>
      <c r="F3535" s="19" t="str">
        <f>IFERROR(__xludf.DUMMYFUNCTION("""COMPUTED_VALUE"""),"BLACK")</f>
        <v>BLACK</v>
      </c>
      <c r="G3535" s="20" t="str">
        <f>IFERROR(__xludf.DUMMYFUNCTION("""COMPUTED_VALUE"""),"Uncle Sams Cider (04/04/2023)")</f>
        <v>Uncle Sams Cider (04/04/2023)</v>
      </c>
      <c r="H3535" s="19"/>
    </row>
    <row r="3536">
      <c r="A3536" s="9"/>
      <c r="B3536" s="15"/>
      <c r="C3536" s="9">
        <f>IFERROR(__xludf.DUMMYFUNCTION("""COMPUTED_VALUE"""),45107.6634368865)</f>
        <v>45107.66344</v>
      </c>
      <c r="D3536" s="15">
        <f>IFERROR(__xludf.DUMMYFUNCTION("""COMPUTED_VALUE"""),1.004)</f>
        <v>1.004</v>
      </c>
      <c r="E3536" s="16">
        <f>IFERROR(__xludf.DUMMYFUNCTION("""COMPUTED_VALUE"""),70.0)</f>
        <v>70</v>
      </c>
      <c r="F3536" s="19" t="str">
        <f>IFERROR(__xludf.DUMMYFUNCTION("""COMPUTED_VALUE"""),"BLACK")</f>
        <v>BLACK</v>
      </c>
      <c r="G3536" s="20" t="str">
        <f>IFERROR(__xludf.DUMMYFUNCTION("""COMPUTED_VALUE"""),"Uncle Sams Cider (04/04/2023)")</f>
        <v>Uncle Sams Cider (04/04/2023)</v>
      </c>
      <c r="H3536" s="19"/>
    </row>
    <row r="3537">
      <c r="A3537" s="9"/>
      <c r="B3537" s="15"/>
      <c r="C3537" s="9">
        <f>IFERROR(__xludf.DUMMYFUNCTION("""COMPUTED_VALUE"""),45107.653016331)</f>
        <v>45107.65302</v>
      </c>
      <c r="D3537" s="15">
        <f>IFERROR(__xludf.DUMMYFUNCTION("""COMPUTED_VALUE"""),1.004)</f>
        <v>1.004</v>
      </c>
      <c r="E3537" s="16">
        <f>IFERROR(__xludf.DUMMYFUNCTION("""COMPUTED_VALUE"""),70.0)</f>
        <v>70</v>
      </c>
      <c r="F3537" s="19" t="str">
        <f>IFERROR(__xludf.DUMMYFUNCTION("""COMPUTED_VALUE"""),"BLACK")</f>
        <v>BLACK</v>
      </c>
      <c r="G3537" s="20" t="str">
        <f>IFERROR(__xludf.DUMMYFUNCTION("""COMPUTED_VALUE"""),"Uncle Sams Cider (04/04/2023)")</f>
        <v>Uncle Sams Cider (04/04/2023)</v>
      </c>
      <c r="H3537" s="19"/>
    </row>
    <row r="3538">
      <c r="A3538" s="9"/>
      <c r="B3538" s="15"/>
      <c r="C3538" s="9">
        <f>IFERROR(__xludf.DUMMYFUNCTION("""COMPUTED_VALUE"""),45107.6425725463)</f>
        <v>45107.64257</v>
      </c>
      <c r="D3538" s="15">
        <f>IFERROR(__xludf.DUMMYFUNCTION("""COMPUTED_VALUE"""),1.004)</f>
        <v>1.004</v>
      </c>
      <c r="E3538" s="16">
        <f>IFERROR(__xludf.DUMMYFUNCTION("""COMPUTED_VALUE"""),70.0)</f>
        <v>70</v>
      </c>
      <c r="F3538" s="19" t="str">
        <f>IFERROR(__xludf.DUMMYFUNCTION("""COMPUTED_VALUE"""),"BLACK")</f>
        <v>BLACK</v>
      </c>
      <c r="G3538" s="20" t="str">
        <f>IFERROR(__xludf.DUMMYFUNCTION("""COMPUTED_VALUE"""),"Uncle Sams Cider (04/04/2023)")</f>
        <v>Uncle Sams Cider (04/04/2023)</v>
      </c>
      <c r="H3538" s="19"/>
    </row>
    <row r="3539">
      <c r="A3539" s="9"/>
      <c r="B3539" s="15"/>
      <c r="C3539" s="9">
        <f>IFERROR(__xludf.DUMMYFUNCTION("""COMPUTED_VALUE"""),45107.6321514004)</f>
        <v>45107.63215</v>
      </c>
      <c r="D3539" s="15">
        <f>IFERROR(__xludf.DUMMYFUNCTION("""COMPUTED_VALUE"""),1.004)</f>
        <v>1.004</v>
      </c>
      <c r="E3539" s="16">
        <f>IFERROR(__xludf.DUMMYFUNCTION("""COMPUTED_VALUE"""),70.0)</f>
        <v>70</v>
      </c>
      <c r="F3539" s="19" t="str">
        <f>IFERROR(__xludf.DUMMYFUNCTION("""COMPUTED_VALUE"""),"BLACK")</f>
        <v>BLACK</v>
      </c>
      <c r="G3539" s="20" t="str">
        <f>IFERROR(__xludf.DUMMYFUNCTION("""COMPUTED_VALUE"""),"Uncle Sams Cider (04/04/2023)")</f>
        <v>Uncle Sams Cider (04/04/2023)</v>
      </c>
      <c r="H3539" s="19"/>
    </row>
    <row r="3540">
      <c r="A3540" s="9"/>
      <c r="B3540" s="15"/>
      <c r="C3540" s="9">
        <f>IFERROR(__xludf.DUMMYFUNCTION("""COMPUTED_VALUE"""),45107.621720081)</f>
        <v>45107.62172</v>
      </c>
      <c r="D3540" s="15">
        <f>IFERROR(__xludf.DUMMYFUNCTION("""COMPUTED_VALUE"""),1.004)</f>
        <v>1.004</v>
      </c>
      <c r="E3540" s="16">
        <f>IFERROR(__xludf.DUMMYFUNCTION("""COMPUTED_VALUE"""),70.0)</f>
        <v>70</v>
      </c>
      <c r="F3540" s="19" t="str">
        <f>IFERROR(__xludf.DUMMYFUNCTION("""COMPUTED_VALUE"""),"BLACK")</f>
        <v>BLACK</v>
      </c>
      <c r="G3540" s="20" t="str">
        <f>IFERROR(__xludf.DUMMYFUNCTION("""COMPUTED_VALUE"""),"Uncle Sams Cider (04/04/2023)")</f>
        <v>Uncle Sams Cider (04/04/2023)</v>
      </c>
      <c r="H3540" s="19"/>
    </row>
    <row r="3541">
      <c r="A3541" s="9"/>
      <c r="B3541" s="15"/>
      <c r="C3541" s="9">
        <f>IFERROR(__xludf.DUMMYFUNCTION("""COMPUTED_VALUE"""),45107.6112974884)</f>
        <v>45107.6113</v>
      </c>
      <c r="D3541" s="15">
        <f>IFERROR(__xludf.DUMMYFUNCTION("""COMPUTED_VALUE"""),1.004)</f>
        <v>1.004</v>
      </c>
      <c r="E3541" s="16">
        <f>IFERROR(__xludf.DUMMYFUNCTION("""COMPUTED_VALUE"""),70.0)</f>
        <v>70</v>
      </c>
      <c r="F3541" s="19" t="str">
        <f>IFERROR(__xludf.DUMMYFUNCTION("""COMPUTED_VALUE"""),"BLACK")</f>
        <v>BLACK</v>
      </c>
      <c r="G3541" s="20" t="str">
        <f>IFERROR(__xludf.DUMMYFUNCTION("""COMPUTED_VALUE"""),"Uncle Sams Cider (04/04/2023)")</f>
        <v>Uncle Sams Cider (04/04/2023)</v>
      </c>
      <c r="H3541" s="19"/>
    </row>
    <row r="3542">
      <c r="A3542" s="9"/>
      <c r="B3542" s="15"/>
      <c r="C3542" s="9">
        <f>IFERROR(__xludf.DUMMYFUNCTION("""COMPUTED_VALUE"""),45107.6008781365)</f>
        <v>45107.60088</v>
      </c>
      <c r="D3542" s="15">
        <f>IFERROR(__xludf.DUMMYFUNCTION("""COMPUTED_VALUE"""),1.004)</f>
        <v>1.004</v>
      </c>
      <c r="E3542" s="16">
        <f>IFERROR(__xludf.DUMMYFUNCTION("""COMPUTED_VALUE"""),70.0)</f>
        <v>70</v>
      </c>
      <c r="F3542" s="19" t="str">
        <f>IFERROR(__xludf.DUMMYFUNCTION("""COMPUTED_VALUE"""),"BLACK")</f>
        <v>BLACK</v>
      </c>
      <c r="G3542" s="20" t="str">
        <f>IFERROR(__xludf.DUMMYFUNCTION("""COMPUTED_VALUE"""),"Uncle Sams Cider (04/04/2023)")</f>
        <v>Uncle Sams Cider (04/04/2023)</v>
      </c>
      <c r="H3542" s="19"/>
    </row>
    <row r="3543">
      <c r="A3543" s="9"/>
      <c r="B3543" s="15"/>
      <c r="C3543" s="9">
        <f>IFERROR(__xludf.DUMMYFUNCTION("""COMPUTED_VALUE"""),45107.5904462268)</f>
        <v>45107.59045</v>
      </c>
      <c r="D3543" s="15">
        <f>IFERROR(__xludf.DUMMYFUNCTION("""COMPUTED_VALUE"""),1.004)</f>
        <v>1.004</v>
      </c>
      <c r="E3543" s="16">
        <f>IFERROR(__xludf.DUMMYFUNCTION("""COMPUTED_VALUE"""),70.0)</f>
        <v>70</v>
      </c>
      <c r="F3543" s="19" t="str">
        <f>IFERROR(__xludf.DUMMYFUNCTION("""COMPUTED_VALUE"""),"BLACK")</f>
        <v>BLACK</v>
      </c>
      <c r="G3543" s="20" t="str">
        <f>IFERROR(__xludf.DUMMYFUNCTION("""COMPUTED_VALUE"""),"Uncle Sams Cider (04/04/2023)")</f>
        <v>Uncle Sams Cider (04/04/2023)</v>
      </c>
      <c r="H3543" s="19"/>
    </row>
    <row r="3544">
      <c r="A3544" s="9"/>
      <c r="B3544" s="15"/>
      <c r="C3544" s="9">
        <f>IFERROR(__xludf.DUMMYFUNCTION("""COMPUTED_VALUE"""),45107.5800242476)</f>
        <v>45107.58002</v>
      </c>
      <c r="D3544" s="15">
        <f>IFERROR(__xludf.DUMMYFUNCTION("""COMPUTED_VALUE"""),1.004)</f>
        <v>1.004</v>
      </c>
      <c r="E3544" s="16">
        <f>IFERROR(__xludf.DUMMYFUNCTION("""COMPUTED_VALUE"""),70.0)</f>
        <v>70</v>
      </c>
      <c r="F3544" s="19" t="str">
        <f>IFERROR(__xludf.DUMMYFUNCTION("""COMPUTED_VALUE"""),"BLACK")</f>
        <v>BLACK</v>
      </c>
      <c r="G3544" s="20" t="str">
        <f>IFERROR(__xludf.DUMMYFUNCTION("""COMPUTED_VALUE"""),"Uncle Sams Cider (04/04/2023)")</f>
        <v>Uncle Sams Cider (04/04/2023)</v>
      </c>
      <c r="H3544" s="19"/>
    </row>
    <row r="3545">
      <c r="A3545" s="9"/>
      <c r="B3545" s="15"/>
      <c r="C3545" s="9">
        <f>IFERROR(__xludf.DUMMYFUNCTION("""COMPUTED_VALUE"""),45107.5696038541)</f>
        <v>45107.5696</v>
      </c>
      <c r="D3545" s="15">
        <f>IFERROR(__xludf.DUMMYFUNCTION("""COMPUTED_VALUE"""),1.004)</f>
        <v>1.004</v>
      </c>
      <c r="E3545" s="16">
        <f>IFERROR(__xludf.DUMMYFUNCTION("""COMPUTED_VALUE"""),70.0)</f>
        <v>70</v>
      </c>
      <c r="F3545" s="19" t="str">
        <f>IFERROR(__xludf.DUMMYFUNCTION("""COMPUTED_VALUE"""),"BLACK")</f>
        <v>BLACK</v>
      </c>
      <c r="G3545" s="20" t="str">
        <f>IFERROR(__xludf.DUMMYFUNCTION("""COMPUTED_VALUE"""),"Uncle Sams Cider (04/04/2023)")</f>
        <v>Uncle Sams Cider (04/04/2023)</v>
      </c>
      <c r="H3545" s="19"/>
    </row>
    <row r="3546">
      <c r="A3546" s="9"/>
      <c r="B3546" s="15"/>
      <c r="C3546" s="9">
        <f>IFERROR(__xludf.DUMMYFUNCTION("""COMPUTED_VALUE"""),45107.5591824652)</f>
        <v>45107.55918</v>
      </c>
      <c r="D3546" s="15">
        <f>IFERROR(__xludf.DUMMYFUNCTION("""COMPUTED_VALUE"""),1.004)</f>
        <v>1.004</v>
      </c>
      <c r="E3546" s="16">
        <f>IFERROR(__xludf.DUMMYFUNCTION("""COMPUTED_VALUE"""),70.0)</f>
        <v>70</v>
      </c>
      <c r="F3546" s="19" t="str">
        <f>IFERROR(__xludf.DUMMYFUNCTION("""COMPUTED_VALUE"""),"BLACK")</f>
        <v>BLACK</v>
      </c>
      <c r="G3546" s="20" t="str">
        <f>IFERROR(__xludf.DUMMYFUNCTION("""COMPUTED_VALUE"""),"Uncle Sams Cider (04/04/2023)")</f>
        <v>Uncle Sams Cider (04/04/2023)</v>
      </c>
      <c r="H3546" s="19"/>
    </row>
    <row r="3547">
      <c r="A3547" s="9"/>
      <c r="B3547" s="15"/>
      <c r="C3547" s="9">
        <f>IFERROR(__xludf.DUMMYFUNCTION("""COMPUTED_VALUE"""),45107.5487623495)</f>
        <v>45107.54876</v>
      </c>
      <c r="D3547" s="15">
        <f>IFERROR(__xludf.DUMMYFUNCTION("""COMPUTED_VALUE"""),1.004)</f>
        <v>1.004</v>
      </c>
      <c r="E3547" s="16">
        <f>IFERROR(__xludf.DUMMYFUNCTION("""COMPUTED_VALUE"""),70.0)</f>
        <v>70</v>
      </c>
      <c r="F3547" s="19" t="str">
        <f>IFERROR(__xludf.DUMMYFUNCTION("""COMPUTED_VALUE"""),"BLACK")</f>
        <v>BLACK</v>
      </c>
      <c r="G3547" s="20" t="str">
        <f>IFERROR(__xludf.DUMMYFUNCTION("""COMPUTED_VALUE"""),"Uncle Sams Cider (04/04/2023)")</f>
        <v>Uncle Sams Cider (04/04/2023)</v>
      </c>
      <c r="H3547" s="19"/>
    </row>
    <row r="3548">
      <c r="A3548" s="9"/>
      <c r="B3548" s="15"/>
      <c r="C3548" s="9">
        <f>IFERROR(__xludf.DUMMYFUNCTION("""COMPUTED_VALUE"""),45107.5383414699)</f>
        <v>45107.53834</v>
      </c>
      <c r="D3548" s="15">
        <f>IFERROR(__xludf.DUMMYFUNCTION("""COMPUTED_VALUE"""),1.004)</f>
        <v>1.004</v>
      </c>
      <c r="E3548" s="16">
        <f>IFERROR(__xludf.DUMMYFUNCTION("""COMPUTED_VALUE"""),70.0)</f>
        <v>70</v>
      </c>
      <c r="F3548" s="19" t="str">
        <f>IFERROR(__xludf.DUMMYFUNCTION("""COMPUTED_VALUE"""),"BLACK")</f>
        <v>BLACK</v>
      </c>
      <c r="G3548" s="20" t="str">
        <f>IFERROR(__xludf.DUMMYFUNCTION("""COMPUTED_VALUE"""),"Uncle Sams Cider (04/04/2023)")</f>
        <v>Uncle Sams Cider (04/04/2023)</v>
      </c>
      <c r="H3548" s="19"/>
    </row>
    <row r="3549">
      <c r="A3549" s="9"/>
      <c r="B3549" s="15"/>
      <c r="C3549" s="9">
        <f>IFERROR(__xludf.DUMMYFUNCTION("""COMPUTED_VALUE"""),45107.5279190046)</f>
        <v>45107.52792</v>
      </c>
      <c r="D3549" s="15">
        <f>IFERROR(__xludf.DUMMYFUNCTION("""COMPUTED_VALUE"""),1.004)</f>
        <v>1.004</v>
      </c>
      <c r="E3549" s="16">
        <f>IFERROR(__xludf.DUMMYFUNCTION("""COMPUTED_VALUE"""),70.0)</f>
        <v>70</v>
      </c>
      <c r="F3549" s="19" t="str">
        <f>IFERROR(__xludf.DUMMYFUNCTION("""COMPUTED_VALUE"""),"BLACK")</f>
        <v>BLACK</v>
      </c>
      <c r="G3549" s="20" t="str">
        <f>IFERROR(__xludf.DUMMYFUNCTION("""COMPUTED_VALUE"""),"Uncle Sams Cider (04/04/2023)")</f>
        <v>Uncle Sams Cider (04/04/2023)</v>
      </c>
      <c r="H3549" s="19"/>
    </row>
    <row r="3550">
      <c r="A3550" s="9"/>
      <c r="B3550" s="15"/>
      <c r="C3550" s="9">
        <f>IFERROR(__xludf.DUMMYFUNCTION("""COMPUTED_VALUE"""),45107.5174862152)</f>
        <v>45107.51749</v>
      </c>
      <c r="D3550" s="15">
        <f>IFERROR(__xludf.DUMMYFUNCTION("""COMPUTED_VALUE"""),1.004)</f>
        <v>1.004</v>
      </c>
      <c r="E3550" s="16">
        <f>IFERROR(__xludf.DUMMYFUNCTION("""COMPUTED_VALUE"""),70.0)</f>
        <v>70</v>
      </c>
      <c r="F3550" s="19" t="str">
        <f>IFERROR(__xludf.DUMMYFUNCTION("""COMPUTED_VALUE"""),"BLACK")</f>
        <v>BLACK</v>
      </c>
      <c r="G3550" s="20" t="str">
        <f>IFERROR(__xludf.DUMMYFUNCTION("""COMPUTED_VALUE"""),"Uncle Sams Cider (04/04/2023)")</f>
        <v>Uncle Sams Cider (04/04/2023)</v>
      </c>
      <c r="H3550" s="19"/>
    </row>
    <row r="3551">
      <c r="A3551" s="9"/>
      <c r="B3551" s="15"/>
      <c r="C3551" s="9">
        <f>IFERROR(__xludf.DUMMYFUNCTION("""COMPUTED_VALUE"""),45107.5070651736)</f>
        <v>45107.50707</v>
      </c>
      <c r="D3551" s="15">
        <f>IFERROR(__xludf.DUMMYFUNCTION("""COMPUTED_VALUE"""),1.004)</f>
        <v>1.004</v>
      </c>
      <c r="E3551" s="16">
        <f>IFERROR(__xludf.DUMMYFUNCTION("""COMPUTED_VALUE"""),70.0)</f>
        <v>70</v>
      </c>
      <c r="F3551" s="19" t="str">
        <f>IFERROR(__xludf.DUMMYFUNCTION("""COMPUTED_VALUE"""),"BLACK")</f>
        <v>BLACK</v>
      </c>
      <c r="G3551" s="20" t="str">
        <f>IFERROR(__xludf.DUMMYFUNCTION("""COMPUTED_VALUE"""),"Uncle Sams Cider (04/04/2023)")</f>
        <v>Uncle Sams Cider (04/04/2023)</v>
      </c>
      <c r="H3551" s="19"/>
    </row>
    <row r="3552">
      <c r="A3552" s="9"/>
      <c r="B3552" s="15"/>
      <c r="C3552" s="9">
        <f>IFERROR(__xludf.DUMMYFUNCTION("""COMPUTED_VALUE"""),45107.4965960763)</f>
        <v>45107.4966</v>
      </c>
      <c r="D3552" s="15">
        <f>IFERROR(__xludf.DUMMYFUNCTION("""COMPUTED_VALUE"""),1.004)</f>
        <v>1.004</v>
      </c>
      <c r="E3552" s="16">
        <f>IFERROR(__xludf.DUMMYFUNCTION("""COMPUTED_VALUE"""),70.0)</f>
        <v>70</v>
      </c>
      <c r="F3552" s="19" t="str">
        <f>IFERROR(__xludf.DUMMYFUNCTION("""COMPUTED_VALUE"""),"BLACK")</f>
        <v>BLACK</v>
      </c>
      <c r="G3552" s="20" t="str">
        <f>IFERROR(__xludf.DUMMYFUNCTION("""COMPUTED_VALUE"""),"Uncle Sams Cider (04/04/2023)")</f>
        <v>Uncle Sams Cider (04/04/2023)</v>
      </c>
      <c r="H3552" s="19"/>
    </row>
    <row r="3553">
      <c r="A3553" s="9"/>
      <c r="B3553" s="15"/>
      <c r="C3553" s="9">
        <f>IFERROR(__xludf.DUMMYFUNCTION("""COMPUTED_VALUE"""),45107.4861738773)</f>
        <v>45107.48617</v>
      </c>
      <c r="D3553" s="15">
        <f>IFERROR(__xludf.DUMMYFUNCTION("""COMPUTED_VALUE"""),1.004)</f>
        <v>1.004</v>
      </c>
      <c r="E3553" s="16">
        <f>IFERROR(__xludf.DUMMYFUNCTION("""COMPUTED_VALUE"""),70.0)</f>
        <v>70</v>
      </c>
      <c r="F3553" s="19" t="str">
        <f>IFERROR(__xludf.DUMMYFUNCTION("""COMPUTED_VALUE"""),"BLACK")</f>
        <v>BLACK</v>
      </c>
      <c r="G3553" s="20" t="str">
        <f>IFERROR(__xludf.DUMMYFUNCTION("""COMPUTED_VALUE"""),"Uncle Sams Cider (04/04/2023)")</f>
        <v>Uncle Sams Cider (04/04/2023)</v>
      </c>
      <c r="H3553" s="19"/>
    </row>
    <row r="3554">
      <c r="A3554" s="9"/>
      <c r="B3554" s="15"/>
      <c r="C3554" s="9">
        <f>IFERROR(__xludf.DUMMYFUNCTION("""COMPUTED_VALUE"""),45107.4757408101)</f>
        <v>45107.47574</v>
      </c>
      <c r="D3554" s="15">
        <f>IFERROR(__xludf.DUMMYFUNCTION("""COMPUTED_VALUE"""),1.004)</f>
        <v>1.004</v>
      </c>
      <c r="E3554" s="16">
        <f>IFERROR(__xludf.DUMMYFUNCTION("""COMPUTED_VALUE"""),70.0)</f>
        <v>70</v>
      </c>
      <c r="F3554" s="19" t="str">
        <f>IFERROR(__xludf.DUMMYFUNCTION("""COMPUTED_VALUE"""),"BLACK")</f>
        <v>BLACK</v>
      </c>
      <c r="G3554" s="20" t="str">
        <f>IFERROR(__xludf.DUMMYFUNCTION("""COMPUTED_VALUE"""),"Uncle Sams Cider (04/04/2023)")</f>
        <v>Uncle Sams Cider (04/04/2023)</v>
      </c>
      <c r="H3554" s="19"/>
    </row>
    <row r="3555">
      <c r="A3555" s="9"/>
      <c r="B3555" s="15"/>
      <c r="C3555" s="9">
        <f>IFERROR(__xludf.DUMMYFUNCTION("""COMPUTED_VALUE"""),45107.4653186342)</f>
        <v>45107.46532</v>
      </c>
      <c r="D3555" s="15">
        <f>IFERROR(__xludf.DUMMYFUNCTION("""COMPUTED_VALUE"""),1.004)</f>
        <v>1.004</v>
      </c>
      <c r="E3555" s="16">
        <f>IFERROR(__xludf.DUMMYFUNCTION("""COMPUTED_VALUE"""),70.0)</f>
        <v>70</v>
      </c>
      <c r="F3555" s="19" t="str">
        <f>IFERROR(__xludf.DUMMYFUNCTION("""COMPUTED_VALUE"""),"BLACK")</f>
        <v>BLACK</v>
      </c>
      <c r="G3555" s="20" t="str">
        <f>IFERROR(__xludf.DUMMYFUNCTION("""COMPUTED_VALUE"""),"Uncle Sams Cider (04/04/2023)")</f>
        <v>Uncle Sams Cider (04/04/2023)</v>
      </c>
      <c r="H3555" s="19"/>
    </row>
    <row r="3556">
      <c r="A3556" s="9"/>
      <c r="B3556" s="15"/>
      <c r="C3556" s="9">
        <f>IFERROR(__xludf.DUMMYFUNCTION("""COMPUTED_VALUE"""),45107.4548979976)</f>
        <v>45107.4549</v>
      </c>
      <c r="D3556" s="15">
        <f>IFERROR(__xludf.DUMMYFUNCTION("""COMPUTED_VALUE"""),1.004)</f>
        <v>1.004</v>
      </c>
      <c r="E3556" s="16">
        <f>IFERROR(__xludf.DUMMYFUNCTION("""COMPUTED_VALUE"""),70.0)</f>
        <v>70</v>
      </c>
      <c r="F3556" s="19" t="str">
        <f>IFERROR(__xludf.DUMMYFUNCTION("""COMPUTED_VALUE"""),"BLACK")</f>
        <v>BLACK</v>
      </c>
      <c r="G3556" s="20" t="str">
        <f>IFERROR(__xludf.DUMMYFUNCTION("""COMPUTED_VALUE"""),"Uncle Sams Cider (04/04/2023)")</f>
        <v>Uncle Sams Cider (04/04/2023)</v>
      </c>
      <c r="H3556" s="19"/>
    </row>
    <row r="3557">
      <c r="A3557" s="9"/>
      <c r="B3557" s="15"/>
      <c r="C3557" s="9">
        <f>IFERROR(__xludf.DUMMYFUNCTION("""COMPUTED_VALUE"""),45107.4444774189)</f>
        <v>45107.44448</v>
      </c>
      <c r="D3557" s="15">
        <f>IFERROR(__xludf.DUMMYFUNCTION("""COMPUTED_VALUE"""),1.004)</f>
        <v>1.004</v>
      </c>
      <c r="E3557" s="16">
        <f>IFERROR(__xludf.DUMMYFUNCTION("""COMPUTED_VALUE"""),70.0)</f>
        <v>70</v>
      </c>
      <c r="F3557" s="19" t="str">
        <f>IFERROR(__xludf.DUMMYFUNCTION("""COMPUTED_VALUE"""),"BLACK")</f>
        <v>BLACK</v>
      </c>
      <c r="G3557" s="20" t="str">
        <f>IFERROR(__xludf.DUMMYFUNCTION("""COMPUTED_VALUE"""),"Uncle Sams Cider (04/04/2023)")</f>
        <v>Uncle Sams Cider (04/04/2023)</v>
      </c>
      <c r="H3557" s="19"/>
    </row>
    <row r="3558">
      <c r="A3558" s="9"/>
      <c r="B3558" s="15"/>
      <c r="C3558" s="9">
        <f>IFERROR(__xludf.DUMMYFUNCTION("""COMPUTED_VALUE"""),45107.4340572338)</f>
        <v>45107.43406</v>
      </c>
      <c r="D3558" s="15">
        <f>IFERROR(__xludf.DUMMYFUNCTION("""COMPUTED_VALUE"""),1.004)</f>
        <v>1.004</v>
      </c>
      <c r="E3558" s="16">
        <f>IFERROR(__xludf.DUMMYFUNCTION("""COMPUTED_VALUE"""),70.0)</f>
        <v>70</v>
      </c>
      <c r="F3558" s="19" t="str">
        <f>IFERROR(__xludf.DUMMYFUNCTION("""COMPUTED_VALUE"""),"BLACK")</f>
        <v>BLACK</v>
      </c>
      <c r="G3558" s="20" t="str">
        <f>IFERROR(__xludf.DUMMYFUNCTION("""COMPUTED_VALUE"""),"Uncle Sams Cider (04/04/2023)")</f>
        <v>Uncle Sams Cider (04/04/2023)</v>
      </c>
      <c r="H3558" s="19"/>
    </row>
    <row r="3559">
      <c r="A3559" s="9"/>
      <c r="B3559" s="15"/>
      <c r="C3559" s="9">
        <f>IFERROR(__xludf.DUMMYFUNCTION("""COMPUTED_VALUE"""),45107.4236012152)</f>
        <v>45107.4236</v>
      </c>
      <c r="D3559" s="15">
        <f>IFERROR(__xludf.DUMMYFUNCTION("""COMPUTED_VALUE"""),1.004)</f>
        <v>1.004</v>
      </c>
      <c r="E3559" s="16">
        <f>IFERROR(__xludf.DUMMYFUNCTION("""COMPUTED_VALUE"""),70.0)</f>
        <v>70</v>
      </c>
      <c r="F3559" s="19" t="str">
        <f>IFERROR(__xludf.DUMMYFUNCTION("""COMPUTED_VALUE"""),"BLACK")</f>
        <v>BLACK</v>
      </c>
      <c r="G3559" s="20" t="str">
        <f>IFERROR(__xludf.DUMMYFUNCTION("""COMPUTED_VALUE"""),"Uncle Sams Cider (04/04/2023)")</f>
        <v>Uncle Sams Cider (04/04/2023)</v>
      </c>
      <c r="H3559" s="19"/>
    </row>
    <row r="3560">
      <c r="A3560" s="9"/>
      <c r="B3560" s="15"/>
      <c r="C3560" s="9">
        <f>IFERROR(__xludf.DUMMYFUNCTION("""COMPUTED_VALUE"""),45107.4131791087)</f>
        <v>45107.41318</v>
      </c>
      <c r="D3560" s="15">
        <f>IFERROR(__xludf.DUMMYFUNCTION("""COMPUTED_VALUE"""),1.004)</f>
        <v>1.004</v>
      </c>
      <c r="E3560" s="16">
        <f>IFERROR(__xludf.DUMMYFUNCTION("""COMPUTED_VALUE"""),70.0)</f>
        <v>70</v>
      </c>
      <c r="F3560" s="19" t="str">
        <f>IFERROR(__xludf.DUMMYFUNCTION("""COMPUTED_VALUE"""),"BLACK")</f>
        <v>BLACK</v>
      </c>
      <c r="G3560" s="20" t="str">
        <f>IFERROR(__xludf.DUMMYFUNCTION("""COMPUTED_VALUE"""),"Uncle Sams Cider (04/04/2023)")</f>
        <v>Uncle Sams Cider (04/04/2023)</v>
      </c>
      <c r="H3560" s="19"/>
    </row>
    <row r="3561">
      <c r="A3561" s="9"/>
      <c r="B3561" s="15"/>
      <c r="C3561" s="9">
        <f>IFERROR(__xludf.DUMMYFUNCTION("""COMPUTED_VALUE"""),45107.3923359027)</f>
        <v>45107.39234</v>
      </c>
      <c r="D3561" s="15">
        <f>IFERROR(__xludf.DUMMYFUNCTION("""COMPUTED_VALUE"""),1.004)</f>
        <v>1.004</v>
      </c>
      <c r="E3561" s="16">
        <f>IFERROR(__xludf.DUMMYFUNCTION("""COMPUTED_VALUE"""),70.0)</f>
        <v>70</v>
      </c>
      <c r="F3561" s="19" t="str">
        <f>IFERROR(__xludf.DUMMYFUNCTION("""COMPUTED_VALUE"""),"BLACK")</f>
        <v>BLACK</v>
      </c>
      <c r="G3561" s="20" t="str">
        <f>IFERROR(__xludf.DUMMYFUNCTION("""COMPUTED_VALUE"""),"Uncle Sams Cider (04/04/2023)")</f>
        <v>Uncle Sams Cider (04/04/2023)</v>
      </c>
      <c r="H3561" s="19"/>
    </row>
    <row r="3562">
      <c r="A3562" s="9"/>
      <c r="B3562" s="15"/>
      <c r="C3562" s="9">
        <f>IFERROR(__xludf.DUMMYFUNCTION("""COMPUTED_VALUE"""),45107.3819157523)</f>
        <v>45107.38192</v>
      </c>
      <c r="D3562" s="15">
        <f>IFERROR(__xludf.DUMMYFUNCTION("""COMPUTED_VALUE"""),1.004)</f>
        <v>1.004</v>
      </c>
      <c r="E3562" s="16">
        <f>IFERROR(__xludf.DUMMYFUNCTION("""COMPUTED_VALUE"""),70.0)</f>
        <v>70</v>
      </c>
      <c r="F3562" s="19" t="str">
        <f>IFERROR(__xludf.DUMMYFUNCTION("""COMPUTED_VALUE"""),"BLACK")</f>
        <v>BLACK</v>
      </c>
      <c r="G3562" s="20" t="str">
        <f>IFERROR(__xludf.DUMMYFUNCTION("""COMPUTED_VALUE"""),"Uncle Sams Cider (04/04/2023)")</f>
        <v>Uncle Sams Cider (04/04/2023)</v>
      </c>
      <c r="H3562" s="19"/>
    </row>
    <row r="3563">
      <c r="A3563" s="9"/>
      <c r="B3563" s="15"/>
      <c r="C3563" s="9">
        <f>IFERROR(__xludf.DUMMYFUNCTION("""COMPUTED_VALUE"""),45107.3714946527)</f>
        <v>45107.37149</v>
      </c>
      <c r="D3563" s="15">
        <f>IFERROR(__xludf.DUMMYFUNCTION("""COMPUTED_VALUE"""),1.004)</f>
        <v>1.004</v>
      </c>
      <c r="E3563" s="16">
        <f>IFERROR(__xludf.DUMMYFUNCTION("""COMPUTED_VALUE"""),70.0)</f>
        <v>70</v>
      </c>
      <c r="F3563" s="19" t="str">
        <f>IFERROR(__xludf.DUMMYFUNCTION("""COMPUTED_VALUE"""),"BLACK")</f>
        <v>BLACK</v>
      </c>
      <c r="G3563" s="20" t="str">
        <f>IFERROR(__xludf.DUMMYFUNCTION("""COMPUTED_VALUE"""),"Uncle Sams Cider (04/04/2023)")</f>
        <v>Uncle Sams Cider (04/04/2023)</v>
      </c>
      <c r="H3563" s="19"/>
    </row>
    <row r="3564">
      <c r="A3564" s="9"/>
      <c r="B3564" s="15"/>
      <c r="C3564" s="9">
        <f>IFERROR(__xludf.DUMMYFUNCTION("""COMPUTED_VALUE"""),45107.3610739583)</f>
        <v>45107.36107</v>
      </c>
      <c r="D3564" s="15">
        <f>IFERROR(__xludf.DUMMYFUNCTION("""COMPUTED_VALUE"""),1.004)</f>
        <v>1.004</v>
      </c>
      <c r="E3564" s="16">
        <f>IFERROR(__xludf.DUMMYFUNCTION("""COMPUTED_VALUE"""),70.0)</f>
        <v>70</v>
      </c>
      <c r="F3564" s="19" t="str">
        <f>IFERROR(__xludf.DUMMYFUNCTION("""COMPUTED_VALUE"""),"BLACK")</f>
        <v>BLACK</v>
      </c>
      <c r="G3564" s="20" t="str">
        <f>IFERROR(__xludf.DUMMYFUNCTION("""COMPUTED_VALUE"""),"Uncle Sams Cider (04/04/2023)")</f>
        <v>Uncle Sams Cider (04/04/2023)</v>
      </c>
      <c r="H3564" s="19"/>
    </row>
    <row r="3565">
      <c r="A3565" s="9"/>
      <c r="B3565" s="15"/>
      <c r="C3565" s="9">
        <f>IFERROR(__xludf.DUMMYFUNCTION("""COMPUTED_VALUE"""),45107.350651412)</f>
        <v>45107.35065</v>
      </c>
      <c r="D3565" s="15">
        <f>IFERROR(__xludf.DUMMYFUNCTION("""COMPUTED_VALUE"""),1.004)</f>
        <v>1.004</v>
      </c>
      <c r="E3565" s="16">
        <f>IFERROR(__xludf.DUMMYFUNCTION("""COMPUTED_VALUE"""),70.0)</f>
        <v>70</v>
      </c>
      <c r="F3565" s="19" t="str">
        <f>IFERROR(__xludf.DUMMYFUNCTION("""COMPUTED_VALUE"""),"BLACK")</f>
        <v>BLACK</v>
      </c>
      <c r="G3565" s="20" t="str">
        <f>IFERROR(__xludf.DUMMYFUNCTION("""COMPUTED_VALUE"""),"Uncle Sams Cider (04/04/2023)")</f>
        <v>Uncle Sams Cider (04/04/2023)</v>
      </c>
      <c r="H3565" s="19"/>
    </row>
    <row r="3566">
      <c r="A3566" s="9"/>
      <c r="B3566" s="15"/>
      <c r="C3566" s="9">
        <f>IFERROR(__xludf.DUMMYFUNCTION("""COMPUTED_VALUE"""),45107.3402315856)</f>
        <v>45107.34023</v>
      </c>
      <c r="D3566" s="15">
        <f>IFERROR(__xludf.DUMMYFUNCTION("""COMPUTED_VALUE"""),1.004)</f>
        <v>1.004</v>
      </c>
      <c r="E3566" s="16">
        <f>IFERROR(__xludf.DUMMYFUNCTION("""COMPUTED_VALUE"""),70.0)</f>
        <v>70</v>
      </c>
      <c r="F3566" s="19" t="str">
        <f>IFERROR(__xludf.DUMMYFUNCTION("""COMPUTED_VALUE"""),"BLACK")</f>
        <v>BLACK</v>
      </c>
      <c r="G3566" s="20" t="str">
        <f>IFERROR(__xludf.DUMMYFUNCTION("""COMPUTED_VALUE"""),"Uncle Sams Cider (04/04/2023)")</f>
        <v>Uncle Sams Cider (04/04/2023)</v>
      </c>
      <c r="H3566" s="19"/>
    </row>
    <row r="3567">
      <c r="A3567" s="9"/>
      <c r="B3567" s="15"/>
      <c r="C3567" s="9">
        <f>IFERROR(__xludf.DUMMYFUNCTION("""COMPUTED_VALUE"""),45107.3298096412)</f>
        <v>45107.32981</v>
      </c>
      <c r="D3567" s="15">
        <f>IFERROR(__xludf.DUMMYFUNCTION("""COMPUTED_VALUE"""),1.004)</f>
        <v>1.004</v>
      </c>
      <c r="E3567" s="16">
        <f>IFERROR(__xludf.DUMMYFUNCTION("""COMPUTED_VALUE"""),70.0)</f>
        <v>70</v>
      </c>
      <c r="F3567" s="19" t="str">
        <f>IFERROR(__xludf.DUMMYFUNCTION("""COMPUTED_VALUE"""),"BLACK")</f>
        <v>BLACK</v>
      </c>
      <c r="G3567" s="20" t="str">
        <f>IFERROR(__xludf.DUMMYFUNCTION("""COMPUTED_VALUE"""),"Uncle Sams Cider (04/04/2023)")</f>
        <v>Uncle Sams Cider (04/04/2023)</v>
      </c>
      <c r="H3567" s="19"/>
    </row>
    <row r="3568">
      <c r="A3568" s="9"/>
      <c r="B3568" s="15"/>
      <c r="C3568" s="9">
        <f>IFERROR(__xludf.DUMMYFUNCTION("""COMPUTED_VALUE"""),45107.3193637963)</f>
        <v>45107.31936</v>
      </c>
      <c r="D3568" s="15">
        <f>IFERROR(__xludf.DUMMYFUNCTION("""COMPUTED_VALUE"""),1.005)</f>
        <v>1.005</v>
      </c>
      <c r="E3568" s="16">
        <f>IFERROR(__xludf.DUMMYFUNCTION("""COMPUTED_VALUE"""),70.0)</f>
        <v>70</v>
      </c>
      <c r="F3568" s="19" t="str">
        <f>IFERROR(__xludf.DUMMYFUNCTION("""COMPUTED_VALUE"""),"BLACK")</f>
        <v>BLACK</v>
      </c>
      <c r="G3568" s="20" t="str">
        <f>IFERROR(__xludf.DUMMYFUNCTION("""COMPUTED_VALUE"""),"Uncle Sams Cider (04/04/2023)")</f>
        <v>Uncle Sams Cider (04/04/2023)</v>
      </c>
      <c r="H3568" s="19"/>
    </row>
    <row r="3569">
      <c r="A3569" s="9"/>
      <c r="B3569" s="15"/>
      <c r="C3569" s="9">
        <f>IFERROR(__xludf.DUMMYFUNCTION("""COMPUTED_VALUE"""),45107.3089419213)</f>
        <v>45107.30894</v>
      </c>
      <c r="D3569" s="15">
        <f>IFERROR(__xludf.DUMMYFUNCTION("""COMPUTED_VALUE"""),1.004)</f>
        <v>1.004</v>
      </c>
      <c r="E3569" s="16">
        <f>IFERROR(__xludf.DUMMYFUNCTION("""COMPUTED_VALUE"""),70.0)</f>
        <v>70</v>
      </c>
      <c r="F3569" s="19" t="str">
        <f>IFERROR(__xludf.DUMMYFUNCTION("""COMPUTED_VALUE"""),"BLACK")</f>
        <v>BLACK</v>
      </c>
      <c r="G3569" s="20" t="str">
        <f>IFERROR(__xludf.DUMMYFUNCTION("""COMPUTED_VALUE"""),"Uncle Sams Cider (04/04/2023)")</f>
        <v>Uncle Sams Cider (04/04/2023)</v>
      </c>
      <c r="H3569" s="19"/>
    </row>
    <row r="3570">
      <c r="A3570" s="9"/>
      <c r="B3570" s="15"/>
      <c r="C3570" s="9">
        <f>IFERROR(__xludf.DUMMYFUNCTION("""COMPUTED_VALUE"""),45107.2985094791)</f>
        <v>45107.29851</v>
      </c>
      <c r="D3570" s="15">
        <f>IFERROR(__xludf.DUMMYFUNCTION("""COMPUTED_VALUE"""),1.004)</f>
        <v>1.004</v>
      </c>
      <c r="E3570" s="16">
        <f>IFERROR(__xludf.DUMMYFUNCTION("""COMPUTED_VALUE"""),70.0)</f>
        <v>70</v>
      </c>
      <c r="F3570" s="19" t="str">
        <f>IFERROR(__xludf.DUMMYFUNCTION("""COMPUTED_VALUE"""),"BLACK")</f>
        <v>BLACK</v>
      </c>
      <c r="G3570" s="20" t="str">
        <f>IFERROR(__xludf.DUMMYFUNCTION("""COMPUTED_VALUE"""),"Uncle Sams Cider (04/04/2023)")</f>
        <v>Uncle Sams Cider (04/04/2023)</v>
      </c>
      <c r="H3570" s="19"/>
    </row>
    <row r="3571">
      <c r="A3571" s="9"/>
      <c r="B3571" s="15"/>
      <c r="C3571" s="9">
        <f>IFERROR(__xludf.DUMMYFUNCTION("""COMPUTED_VALUE"""),45107.2880886458)</f>
        <v>45107.28809</v>
      </c>
      <c r="D3571" s="15">
        <f>IFERROR(__xludf.DUMMYFUNCTION("""COMPUTED_VALUE"""),1.004)</f>
        <v>1.004</v>
      </c>
      <c r="E3571" s="16">
        <f>IFERROR(__xludf.DUMMYFUNCTION("""COMPUTED_VALUE"""),70.0)</f>
        <v>70</v>
      </c>
      <c r="F3571" s="19" t="str">
        <f>IFERROR(__xludf.DUMMYFUNCTION("""COMPUTED_VALUE"""),"BLACK")</f>
        <v>BLACK</v>
      </c>
      <c r="G3571" s="20" t="str">
        <f>IFERROR(__xludf.DUMMYFUNCTION("""COMPUTED_VALUE"""),"Uncle Sams Cider (04/04/2023)")</f>
        <v>Uncle Sams Cider (04/04/2023)</v>
      </c>
      <c r="H3571" s="19"/>
    </row>
    <row r="3572">
      <c r="A3572" s="9"/>
      <c r="B3572" s="15"/>
      <c r="C3572" s="9">
        <f>IFERROR(__xludf.DUMMYFUNCTION("""COMPUTED_VALUE"""),45107.2776551736)</f>
        <v>45107.27766</v>
      </c>
      <c r="D3572" s="15">
        <f>IFERROR(__xludf.DUMMYFUNCTION("""COMPUTED_VALUE"""),1.004)</f>
        <v>1.004</v>
      </c>
      <c r="E3572" s="16">
        <f>IFERROR(__xludf.DUMMYFUNCTION("""COMPUTED_VALUE"""),70.0)</f>
        <v>70</v>
      </c>
      <c r="F3572" s="19" t="str">
        <f>IFERROR(__xludf.DUMMYFUNCTION("""COMPUTED_VALUE"""),"BLACK")</f>
        <v>BLACK</v>
      </c>
      <c r="G3572" s="20" t="str">
        <f>IFERROR(__xludf.DUMMYFUNCTION("""COMPUTED_VALUE"""),"Uncle Sams Cider (04/04/2023)")</f>
        <v>Uncle Sams Cider (04/04/2023)</v>
      </c>
      <c r="H3572" s="19"/>
    </row>
    <row r="3573">
      <c r="A3573" s="9"/>
      <c r="B3573" s="15"/>
      <c r="C3573" s="9">
        <f>IFERROR(__xludf.DUMMYFUNCTION("""COMPUTED_VALUE"""),45107.2672220949)</f>
        <v>45107.26722</v>
      </c>
      <c r="D3573" s="15">
        <f>IFERROR(__xludf.DUMMYFUNCTION("""COMPUTED_VALUE"""),1.004)</f>
        <v>1.004</v>
      </c>
      <c r="E3573" s="16">
        <f>IFERROR(__xludf.DUMMYFUNCTION("""COMPUTED_VALUE"""),70.0)</f>
        <v>70</v>
      </c>
      <c r="F3573" s="19" t="str">
        <f>IFERROR(__xludf.DUMMYFUNCTION("""COMPUTED_VALUE"""),"BLACK")</f>
        <v>BLACK</v>
      </c>
      <c r="G3573" s="20" t="str">
        <f>IFERROR(__xludf.DUMMYFUNCTION("""COMPUTED_VALUE"""),"Uncle Sams Cider (04/04/2023)")</f>
        <v>Uncle Sams Cider (04/04/2023)</v>
      </c>
      <c r="H3573" s="19"/>
    </row>
    <row r="3574">
      <c r="A3574" s="9"/>
      <c r="B3574" s="15"/>
      <c r="C3574" s="9">
        <f>IFERROR(__xludf.DUMMYFUNCTION("""COMPUTED_VALUE"""),45107.2567779629)</f>
        <v>45107.25678</v>
      </c>
      <c r="D3574" s="15">
        <f>IFERROR(__xludf.DUMMYFUNCTION("""COMPUTED_VALUE"""),1.004)</f>
        <v>1.004</v>
      </c>
      <c r="E3574" s="16">
        <f>IFERROR(__xludf.DUMMYFUNCTION("""COMPUTED_VALUE"""),70.0)</f>
        <v>70</v>
      </c>
      <c r="F3574" s="19" t="str">
        <f>IFERROR(__xludf.DUMMYFUNCTION("""COMPUTED_VALUE"""),"BLACK")</f>
        <v>BLACK</v>
      </c>
      <c r="G3574" s="20" t="str">
        <f>IFERROR(__xludf.DUMMYFUNCTION("""COMPUTED_VALUE"""),"Uncle Sams Cider (04/04/2023)")</f>
        <v>Uncle Sams Cider (04/04/2023)</v>
      </c>
      <c r="H3574" s="19"/>
    </row>
    <row r="3575">
      <c r="A3575" s="9"/>
      <c r="B3575" s="15"/>
      <c r="C3575" s="9">
        <f>IFERROR(__xludf.DUMMYFUNCTION("""COMPUTED_VALUE"""),45107.2463575347)</f>
        <v>45107.24636</v>
      </c>
      <c r="D3575" s="15">
        <f>IFERROR(__xludf.DUMMYFUNCTION("""COMPUTED_VALUE"""),1.004)</f>
        <v>1.004</v>
      </c>
      <c r="E3575" s="16">
        <f>IFERROR(__xludf.DUMMYFUNCTION("""COMPUTED_VALUE"""),70.0)</f>
        <v>70</v>
      </c>
      <c r="F3575" s="19" t="str">
        <f>IFERROR(__xludf.DUMMYFUNCTION("""COMPUTED_VALUE"""),"BLACK")</f>
        <v>BLACK</v>
      </c>
      <c r="G3575" s="20" t="str">
        <f>IFERROR(__xludf.DUMMYFUNCTION("""COMPUTED_VALUE"""),"Uncle Sams Cider (04/04/2023)")</f>
        <v>Uncle Sams Cider (04/04/2023)</v>
      </c>
      <c r="H3575" s="19"/>
    </row>
    <row r="3576">
      <c r="A3576" s="9"/>
      <c r="B3576" s="15"/>
      <c r="C3576" s="9">
        <f>IFERROR(__xludf.DUMMYFUNCTION("""COMPUTED_VALUE"""),45107.2359234722)</f>
        <v>45107.23592</v>
      </c>
      <c r="D3576" s="15">
        <f>IFERROR(__xludf.DUMMYFUNCTION("""COMPUTED_VALUE"""),1.004)</f>
        <v>1.004</v>
      </c>
      <c r="E3576" s="16">
        <f>IFERROR(__xludf.DUMMYFUNCTION("""COMPUTED_VALUE"""),70.0)</f>
        <v>70</v>
      </c>
      <c r="F3576" s="19" t="str">
        <f>IFERROR(__xludf.DUMMYFUNCTION("""COMPUTED_VALUE"""),"BLACK")</f>
        <v>BLACK</v>
      </c>
      <c r="G3576" s="20" t="str">
        <f>IFERROR(__xludf.DUMMYFUNCTION("""COMPUTED_VALUE"""),"Uncle Sams Cider (04/04/2023)")</f>
        <v>Uncle Sams Cider (04/04/2023)</v>
      </c>
      <c r="H3576" s="19"/>
    </row>
    <row r="3577">
      <c r="A3577" s="9"/>
      <c r="B3577" s="15"/>
      <c r="C3577" s="9">
        <f>IFERROR(__xludf.DUMMYFUNCTION("""COMPUTED_VALUE"""),45107.2255037152)</f>
        <v>45107.2255</v>
      </c>
      <c r="D3577" s="15">
        <f>IFERROR(__xludf.DUMMYFUNCTION("""COMPUTED_VALUE"""),1.004)</f>
        <v>1.004</v>
      </c>
      <c r="E3577" s="16">
        <f>IFERROR(__xludf.DUMMYFUNCTION("""COMPUTED_VALUE"""),70.0)</f>
        <v>70</v>
      </c>
      <c r="F3577" s="19" t="str">
        <f>IFERROR(__xludf.DUMMYFUNCTION("""COMPUTED_VALUE"""),"BLACK")</f>
        <v>BLACK</v>
      </c>
      <c r="G3577" s="20" t="str">
        <f>IFERROR(__xludf.DUMMYFUNCTION("""COMPUTED_VALUE"""),"Uncle Sams Cider (04/04/2023)")</f>
        <v>Uncle Sams Cider (04/04/2023)</v>
      </c>
      <c r="H3577" s="19"/>
    </row>
    <row r="3578">
      <c r="A3578" s="9"/>
      <c r="B3578" s="15"/>
      <c r="C3578" s="9">
        <f>IFERROR(__xludf.DUMMYFUNCTION("""COMPUTED_VALUE"""),45107.2150846064)</f>
        <v>45107.21508</v>
      </c>
      <c r="D3578" s="15">
        <f>IFERROR(__xludf.DUMMYFUNCTION("""COMPUTED_VALUE"""),1.004)</f>
        <v>1.004</v>
      </c>
      <c r="E3578" s="16">
        <f>IFERROR(__xludf.DUMMYFUNCTION("""COMPUTED_VALUE"""),70.0)</f>
        <v>70</v>
      </c>
      <c r="F3578" s="19" t="str">
        <f>IFERROR(__xludf.DUMMYFUNCTION("""COMPUTED_VALUE"""),"BLACK")</f>
        <v>BLACK</v>
      </c>
      <c r="G3578" s="20" t="str">
        <f>IFERROR(__xludf.DUMMYFUNCTION("""COMPUTED_VALUE"""),"Uncle Sams Cider (04/04/2023)")</f>
        <v>Uncle Sams Cider (04/04/2023)</v>
      </c>
      <c r="H3578" s="19"/>
    </row>
    <row r="3579">
      <c r="A3579" s="9"/>
      <c r="B3579" s="15"/>
      <c r="C3579" s="9">
        <f>IFERROR(__xludf.DUMMYFUNCTION("""COMPUTED_VALUE"""),45107.2046498495)</f>
        <v>45107.20465</v>
      </c>
      <c r="D3579" s="15">
        <f>IFERROR(__xludf.DUMMYFUNCTION("""COMPUTED_VALUE"""),1.005)</f>
        <v>1.005</v>
      </c>
      <c r="E3579" s="16">
        <f>IFERROR(__xludf.DUMMYFUNCTION("""COMPUTED_VALUE"""),70.0)</f>
        <v>70</v>
      </c>
      <c r="F3579" s="19" t="str">
        <f>IFERROR(__xludf.DUMMYFUNCTION("""COMPUTED_VALUE"""),"BLACK")</f>
        <v>BLACK</v>
      </c>
      <c r="G3579" s="20" t="str">
        <f>IFERROR(__xludf.DUMMYFUNCTION("""COMPUTED_VALUE"""),"Uncle Sams Cider (04/04/2023)")</f>
        <v>Uncle Sams Cider (04/04/2023)</v>
      </c>
      <c r="H3579" s="19"/>
    </row>
    <row r="3580">
      <c r="A3580" s="9"/>
      <c r="B3580" s="15"/>
      <c r="C3580" s="9">
        <f>IFERROR(__xludf.DUMMYFUNCTION("""COMPUTED_VALUE"""),45107.1942285532)</f>
        <v>45107.19423</v>
      </c>
      <c r="D3580" s="15">
        <f>IFERROR(__xludf.DUMMYFUNCTION("""COMPUTED_VALUE"""),1.004)</f>
        <v>1.004</v>
      </c>
      <c r="E3580" s="16">
        <f>IFERROR(__xludf.DUMMYFUNCTION("""COMPUTED_VALUE"""),70.0)</f>
        <v>70</v>
      </c>
      <c r="F3580" s="19" t="str">
        <f>IFERROR(__xludf.DUMMYFUNCTION("""COMPUTED_VALUE"""),"BLACK")</f>
        <v>BLACK</v>
      </c>
      <c r="G3580" s="20" t="str">
        <f>IFERROR(__xludf.DUMMYFUNCTION("""COMPUTED_VALUE"""),"Uncle Sams Cider (04/04/2023)")</f>
        <v>Uncle Sams Cider (04/04/2023)</v>
      </c>
      <c r="H3580" s="19"/>
    </row>
    <row r="3581">
      <c r="A3581" s="9"/>
      <c r="B3581" s="15"/>
      <c r="C3581" s="9">
        <f>IFERROR(__xludf.DUMMYFUNCTION("""COMPUTED_VALUE"""),45107.1838087963)</f>
        <v>45107.18381</v>
      </c>
      <c r="D3581" s="15">
        <f>IFERROR(__xludf.DUMMYFUNCTION("""COMPUTED_VALUE"""),1.004)</f>
        <v>1.004</v>
      </c>
      <c r="E3581" s="16">
        <f>IFERROR(__xludf.DUMMYFUNCTION("""COMPUTED_VALUE"""),70.0)</f>
        <v>70</v>
      </c>
      <c r="F3581" s="19" t="str">
        <f>IFERROR(__xludf.DUMMYFUNCTION("""COMPUTED_VALUE"""),"BLACK")</f>
        <v>BLACK</v>
      </c>
      <c r="G3581" s="20" t="str">
        <f>IFERROR(__xludf.DUMMYFUNCTION("""COMPUTED_VALUE"""),"Uncle Sams Cider (04/04/2023)")</f>
        <v>Uncle Sams Cider (04/04/2023)</v>
      </c>
      <c r="H3581" s="19"/>
    </row>
    <row r="3582">
      <c r="A3582" s="9"/>
      <c r="B3582" s="15"/>
      <c r="C3582" s="9">
        <f>IFERROR(__xludf.DUMMYFUNCTION("""COMPUTED_VALUE"""),45107.1733886574)</f>
        <v>45107.17339</v>
      </c>
      <c r="D3582" s="15">
        <f>IFERROR(__xludf.DUMMYFUNCTION("""COMPUTED_VALUE"""),1.004)</f>
        <v>1.004</v>
      </c>
      <c r="E3582" s="16">
        <f>IFERROR(__xludf.DUMMYFUNCTION("""COMPUTED_VALUE"""),70.0)</f>
        <v>70</v>
      </c>
      <c r="F3582" s="19" t="str">
        <f>IFERROR(__xludf.DUMMYFUNCTION("""COMPUTED_VALUE"""),"BLACK")</f>
        <v>BLACK</v>
      </c>
      <c r="G3582" s="20" t="str">
        <f>IFERROR(__xludf.DUMMYFUNCTION("""COMPUTED_VALUE"""),"Uncle Sams Cider (04/04/2023)")</f>
        <v>Uncle Sams Cider (04/04/2023)</v>
      </c>
      <c r="H3582" s="19"/>
    </row>
    <row r="3583">
      <c r="A3583" s="9"/>
      <c r="B3583" s="15"/>
      <c r="C3583" s="9">
        <f>IFERROR(__xludf.DUMMYFUNCTION("""COMPUTED_VALUE"""),45107.1629643171)</f>
        <v>45107.16296</v>
      </c>
      <c r="D3583" s="15">
        <f>IFERROR(__xludf.DUMMYFUNCTION("""COMPUTED_VALUE"""),1.004)</f>
        <v>1.004</v>
      </c>
      <c r="E3583" s="16">
        <f>IFERROR(__xludf.DUMMYFUNCTION("""COMPUTED_VALUE"""),70.0)</f>
        <v>70</v>
      </c>
      <c r="F3583" s="19" t="str">
        <f>IFERROR(__xludf.DUMMYFUNCTION("""COMPUTED_VALUE"""),"BLACK")</f>
        <v>BLACK</v>
      </c>
      <c r="G3583" s="20" t="str">
        <f>IFERROR(__xludf.DUMMYFUNCTION("""COMPUTED_VALUE"""),"Uncle Sams Cider (04/04/2023)")</f>
        <v>Uncle Sams Cider (04/04/2023)</v>
      </c>
      <c r="H3583" s="19"/>
    </row>
    <row r="3584">
      <c r="A3584" s="9"/>
      <c r="B3584" s="15"/>
      <c r="C3584" s="9">
        <f>IFERROR(__xludf.DUMMYFUNCTION("""COMPUTED_VALUE"""),45107.1525454398)</f>
        <v>45107.15255</v>
      </c>
      <c r="D3584" s="15">
        <f>IFERROR(__xludf.DUMMYFUNCTION("""COMPUTED_VALUE"""),1.004)</f>
        <v>1.004</v>
      </c>
      <c r="E3584" s="16">
        <f>IFERROR(__xludf.DUMMYFUNCTION("""COMPUTED_VALUE"""),70.0)</f>
        <v>70</v>
      </c>
      <c r="F3584" s="19" t="str">
        <f>IFERROR(__xludf.DUMMYFUNCTION("""COMPUTED_VALUE"""),"BLACK")</f>
        <v>BLACK</v>
      </c>
      <c r="G3584" s="20" t="str">
        <f>IFERROR(__xludf.DUMMYFUNCTION("""COMPUTED_VALUE"""),"Uncle Sams Cider (04/04/2023)")</f>
        <v>Uncle Sams Cider (04/04/2023)</v>
      </c>
      <c r="H3584" s="19"/>
    </row>
    <row r="3585">
      <c r="A3585" s="9"/>
      <c r="B3585" s="15"/>
      <c r="C3585" s="9">
        <f>IFERROR(__xludf.DUMMYFUNCTION("""COMPUTED_VALUE"""),45107.1421241782)</f>
        <v>45107.14212</v>
      </c>
      <c r="D3585" s="15">
        <f>IFERROR(__xludf.DUMMYFUNCTION("""COMPUTED_VALUE"""),1.004)</f>
        <v>1.004</v>
      </c>
      <c r="E3585" s="16">
        <f>IFERROR(__xludf.DUMMYFUNCTION("""COMPUTED_VALUE"""),70.0)</f>
        <v>70</v>
      </c>
      <c r="F3585" s="19" t="str">
        <f>IFERROR(__xludf.DUMMYFUNCTION("""COMPUTED_VALUE"""),"BLACK")</f>
        <v>BLACK</v>
      </c>
      <c r="G3585" s="20" t="str">
        <f>IFERROR(__xludf.DUMMYFUNCTION("""COMPUTED_VALUE"""),"Uncle Sams Cider (04/04/2023)")</f>
        <v>Uncle Sams Cider (04/04/2023)</v>
      </c>
      <c r="H3585" s="19"/>
    </row>
    <row r="3586">
      <c r="A3586" s="9"/>
      <c r="B3586" s="15"/>
      <c r="C3586" s="9">
        <f>IFERROR(__xludf.DUMMYFUNCTION("""COMPUTED_VALUE"""),45107.1317018634)</f>
        <v>45107.1317</v>
      </c>
      <c r="D3586" s="15">
        <f>IFERROR(__xludf.DUMMYFUNCTION("""COMPUTED_VALUE"""),1.004)</f>
        <v>1.004</v>
      </c>
      <c r="E3586" s="16">
        <f>IFERROR(__xludf.DUMMYFUNCTION("""COMPUTED_VALUE"""),70.0)</f>
        <v>70</v>
      </c>
      <c r="F3586" s="19" t="str">
        <f>IFERROR(__xludf.DUMMYFUNCTION("""COMPUTED_VALUE"""),"BLACK")</f>
        <v>BLACK</v>
      </c>
      <c r="G3586" s="20" t="str">
        <f>IFERROR(__xludf.DUMMYFUNCTION("""COMPUTED_VALUE"""),"Uncle Sams Cider (04/04/2023)")</f>
        <v>Uncle Sams Cider (04/04/2023)</v>
      </c>
      <c r="H3586" s="19"/>
    </row>
    <row r="3587">
      <c r="A3587" s="9"/>
      <c r="B3587" s="15"/>
      <c r="C3587" s="9">
        <f>IFERROR(__xludf.DUMMYFUNCTION("""COMPUTED_VALUE"""),45107.1212691551)</f>
        <v>45107.12127</v>
      </c>
      <c r="D3587" s="15">
        <f>IFERROR(__xludf.DUMMYFUNCTION("""COMPUTED_VALUE"""),1.004)</f>
        <v>1.004</v>
      </c>
      <c r="E3587" s="16">
        <f>IFERROR(__xludf.DUMMYFUNCTION("""COMPUTED_VALUE"""),70.0)</f>
        <v>70</v>
      </c>
      <c r="F3587" s="19" t="str">
        <f>IFERROR(__xludf.DUMMYFUNCTION("""COMPUTED_VALUE"""),"BLACK")</f>
        <v>BLACK</v>
      </c>
      <c r="G3587" s="20" t="str">
        <f>IFERROR(__xludf.DUMMYFUNCTION("""COMPUTED_VALUE"""),"Uncle Sams Cider (04/04/2023)")</f>
        <v>Uncle Sams Cider (04/04/2023)</v>
      </c>
      <c r="H3587" s="19"/>
    </row>
    <row r="3588">
      <c r="A3588" s="9"/>
      <c r="B3588" s="15"/>
      <c r="C3588" s="9">
        <f>IFERROR(__xludf.DUMMYFUNCTION("""COMPUTED_VALUE"""),45107.1108356365)</f>
        <v>45107.11084</v>
      </c>
      <c r="D3588" s="15">
        <f>IFERROR(__xludf.DUMMYFUNCTION("""COMPUTED_VALUE"""),1.005)</f>
        <v>1.005</v>
      </c>
      <c r="E3588" s="16">
        <f>IFERROR(__xludf.DUMMYFUNCTION("""COMPUTED_VALUE"""),70.0)</f>
        <v>70</v>
      </c>
      <c r="F3588" s="19" t="str">
        <f>IFERROR(__xludf.DUMMYFUNCTION("""COMPUTED_VALUE"""),"BLACK")</f>
        <v>BLACK</v>
      </c>
      <c r="G3588" s="20" t="str">
        <f>IFERROR(__xludf.DUMMYFUNCTION("""COMPUTED_VALUE"""),"Uncle Sams Cider (04/04/2023)")</f>
        <v>Uncle Sams Cider (04/04/2023)</v>
      </c>
      <c r="H3588" s="19"/>
    </row>
    <row r="3589">
      <c r="A3589" s="9"/>
      <c r="B3589" s="15"/>
      <c r="C3589" s="9">
        <f>IFERROR(__xludf.DUMMYFUNCTION("""COMPUTED_VALUE"""),45107.1004142361)</f>
        <v>45107.10041</v>
      </c>
      <c r="D3589" s="15">
        <f>IFERROR(__xludf.DUMMYFUNCTION("""COMPUTED_VALUE"""),1.004)</f>
        <v>1.004</v>
      </c>
      <c r="E3589" s="16">
        <f>IFERROR(__xludf.DUMMYFUNCTION("""COMPUTED_VALUE"""),70.0)</f>
        <v>70</v>
      </c>
      <c r="F3589" s="19" t="str">
        <f>IFERROR(__xludf.DUMMYFUNCTION("""COMPUTED_VALUE"""),"BLACK")</f>
        <v>BLACK</v>
      </c>
      <c r="G3589" s="20" t="str">
        <f>IFERROR(__xludf.DUMMYFUNCTION("""COMPUTED_VALUE"""),"Uncle Sams Cider (04/04/2023)")</f>
        <v>Uncle Sams Cider (04/04/2023)</v>
      </c>
      <c r="H3589" s="19"/>
    </row>
    <row r="3590">
      <c r="A3590" s="9"/>
      <c r="B3590" s="15"/>
      <c r="C3590" s="9">
        <f>IFERROR(__xludf.DUMMYFUNCTION("""COMPUTED_VALUE"""),45107.0899942245)</f>
        <v>45107.08999</v>
      </c>
      <c r="D3590" s="15">
        <f>IFERROR(__xludf.DUMMYFUNCTION("""COMPUTED_VALUE"""),1.004)</f>
        <v>1.004</v>
      </c>
      <c r="E3590" s="16">
        <f>IFERROR(__xludf.DUMMYFUNCTION("""COMPUTED_VALUE"""),70.0)</f>
        <v>70</v>
      </c>
      <c r="F3590" s="19" t="str">
        <f>IFERROR(__xludf.DUMMYFUNCTION("""COMPUTED_VALUE"""),"BLACK")</f>
        <v>BLACK</v>
      </c>
      <c r="G3590" s="20" t="str">
        <f>IFERROR(__xludf.DUMMYFUNCTION("""COMPUTED_VALUE"""),"Uncle Sams Cider (04/04/2023)")</f>
        <v>Uncle Sams Cider (04/04/2023)</v>
      </c>
      <c r="H3590" s="19"/>
    </row>
    <row r="3591">
      <c r="A3591" s="9"/>
      <c r="B3591" s="15"/>
      <c r="C3591" s="9">
        <f>IFERROR(__xludf.DUMMYFUNCTION("""COMPUTED_VALUE"""),45107.0795740393)</f>
        <v>45107.07957</v>
      </c>
      <c r="D3591" s="15">
        <f>IFERROR(__xludf.DUMMYFUNCTION("""COMPUTED_VALUE"""),1.004)</f>
        <v>1.004</v>
      </c>
      <c r="E3591" s="16">
        <f>IFERROR(__xludf.DUMMYFUNCTION("""COMPUTED_VALUE"""),70.0)</f>
        <v>70</v>
      </c>
      <c r="F3591" s="19" t="str">
        <f>IFERROR(__xludf.DUMMYFUNCTION("""COMPUTED_VALUE"""),"BLACK")</f>
        <v>BLACK</v>
      </c>
      <c r="G3591" s="20" t="str">
        <f>IFERROR(__xludf.DUMMYFUNCTION("""COMPUTED_VALUE"""),"Uncle Sams Cider (04/04/2023)")</f>
        <v>Uncle Sams Cider (04/04/2023)</v>
      </c>
      <c r="H3591" s="19"/>
    </row>
    <row r="3592">
      <c r="A3592" s="9"/>
      <c r="B3592" s="15"/>
      <c r="C3592" s="9">
        <f>IFERROR(__xludf.DUMMYFUNCTION("""COMPUTED_VALUE"""),45107.0691420833)</f>
        <v>45107.06914</v>
      </c>
      <c r="D3592" s="15">
        <f>IFERROR(__xludf.DUMMYFUNCTION("""COMPUTED_VALUE"""),1.004)</f>
        <v>1.004</v>
      </c>
      <c r="E3592" s="16">
        <f>IFERROR(__xludf.DUMMYFUNCTION("""COMPUTED_VALUE"""),70.0)</f>
        <v>70</v>
      </c>
      <c r="F3592" s="19" t="str">
        <f>IFERROR(__xludf.DUMMYFUNCTION("""COMPUTED_VALUE"""),"BLACK")</f>
        <v>BLACK</v>
      </c>
      <c r="G3592" s="20" t="str">
        <f>IFERROR(__xludf.DUMMYFUNCTION("""COMPUTED_VALUE"""),"Uncle Sams Cider (04/04/2023)")</f>
        <v>Uncle Sams Cider (04/04/2023)</v>
      </c>
      <c r="H3592" s="19"/>
    </row>
    <row r="3593">
      <c r="A3593" s="9"/>
      <c r="B3593" s="15"/>
      <c r="C3593" s="9">
        <f>IFERROR(__xludf.DUMMYFUNCTION("""COMPUTED_VALUE"""),45107.0587198611)</f>
        <v>45107.05872</v>
      </c>
      <c r="D3593" s="15">
        <f>IFERROR(__xludf.DUMMYFUNCTION("""COMPUTED_VALUE"""),1.004)</f>
        <v>1.004</v>
      </c>
      <c r="E3593" s="16">
        <f>IFERROR(__xludf.DUMMYFUNCTION("""COMPUTED_VALUE"""),70.0)</f>
        <v>70</v>
      </c>
      <c r="F3593" s="19" t="str">
        <f>IFERROR(__xludf.DUMMYFUNCTION("""COMPUTED_VALUE"""),"BLACK")</f>
        <v>BLACK</v>
      </c>
      <c r="G3593" s="20" t="str">
        <f>IFERROR(__xludf.DUMMYFUNCTION("""COMPUTED_VALUE"""),"Uncle Sams Cider (04/04/2023)")</f>
        <v>Uncle Sams Cider (04/04/2023)</v>
      </c>
      <c r="H3593" s="19"/>
    </row>
    <row r="3594">
      <c r="A3594" s="9"/>
      <c r="B3594" s="15"/>
      <c r="C3594" s="9">
        <f>IFERROR(__xludf.DUMMYFUNCTION("""COMPUTED_VALUE"""),45107.0482870486)</f>
        <v>45107.04829</v>
      </c>
      <c r="D3594" s="15">
        <f>IFERROR(__xludf.DUMMYFUNCTION("""COMPUTED_VALUE"""),1.005)</f>
        <v>1.005</v>
      </c>
      <c r="E3594" s="16">
        <f>IFERROR(__xludf.DUMMYFUNCTION("""COMPUTED_VALUE"""),70.0)</f>
        <v>70</v>
      </c>
      <c r="F3594" s="19" t="str">
        <f>IFERROR(__xludf.DUMMYFUNCTION("""COMPUTED_VALUE"""),"BLACK")</f>
        <v>BLACK</v>
      </c>
      <c r="G3594" s="20" t="str">
        <f>IFERROR(__xludf.DUMMYFUNCTION("""COMPUTED_VALUE"""),"Uncle Sams Cider (04/04/2023)")</f>
        <v>Uncle Sams Cider (04/04/2023)</v>
      </c>
      <c r="H3594" s="19"/>
    </row>
    <row r="3595">
      <c r="A3595" s="9"/>
      <c r="B3595" s="15"/>
      <c r="C3595" s="9">
        <f>IFERROR(__xludf.DUMMYFUNCTION("""COMPUTED_VALUE"""),45107.037865324)</f>
        <v>45107.03787</v>
      </c>
      <c r="D3595" s="15">
        <f>IFERROR(__xludf.DUMMYFUNCTION("""COMPUTED_VALUE"""),1.004)</f>
        <v>1.004</v>
      </c>
      <c r="E3595" s="16">
        <f>IFERROR(__xludf.DUMMYFUNCTION("""COMPUTED_VALUE"""),70.0)</f>
        <v>70</v>
      </c>
      <c r="F3595" s="19" t="str">
        <f>IFERROR(__xludf.DUMMYFUNCTION("""COMPUTED_VALUE"""),"BLACK")</f>
        <v>BLACK</v>
      </c>
      <c r="G3595" s="20" t="str">
        <f>IFERROR(__xludf.DUMMYFUNCTION("""COMPUTED_VALUE"""),"Uncle Sams Cider (04/04/2023)")</f>
        <v>Uncle Sams Cider (04/04/2023)</v>
      </c>
      <c r="H3595" s="19"/>
    </row>
    <row r="3596">
      <c r="A3596" s="9"/>
      <c r="B3596" s="15"/>
      <c r="C3596" s="9">
        <f>IFERROR(__xludf.DUMMYFUNCTION("""COMPUTED_VALUE"""),45107.027432581)</f>
        <v>45107.02743</v>
      </c>
      <c r="D3596" s="15">
        <f>IFERROR(__xludf.DUMMYFUNCTION("""COMPUTED_VALUE"""),1.004)</f>
        <v>1.004</v>
      </c>
      <c r="E3596" s="16">
        <f>IFERROR(__xludf.DUMMYFUNCTION("""COMPUTED_VALUE"""),70.0)</f>
        <v>70</v>
      </c>
      <c r="F3596" s="19" t="str">
        <f>IFERROR(__xludf.DUMMYFUNCTION("""COMPUTED_VALUE"""),"BLACK")</f>
        <v>BLACK</v>
      </c>
      <c r="G3596" s="20" t="str">
        <f>IFERROR(__xludf.DUMMYFUNCTION("""COMPUTED_VALUE"""),"Uncle Sams Cider (04/04/2023)")</f>
        <v>Uncle Sams Cider (04/04/2023)</v>
      </c>
      <c r="H3596" s="19"/>
    </row>
    <row r="3597">
      <c r="A3597" s="9"/>
      <c r="B3597" s="15"/>
      <c r="C3597" s="9">
        <f>IFERROR(__xludf.DUMMYFUNCTION("""COMPUTED_VALUE"""),45107.017012037)</f>
        <v>45107.01701</v>
      </c>
      <c r="D3597" s="15">
        <f>IFERROR(__xludf.DUMMYFUNCTION("""COMPUTED_VALUE"""),1.004)</f>
        <v>1.004</v>
      </c>
      <c r="E3597" s="16">
        <f>IFERROR(__xludf.DUMMYFUNCTION("""COMPUTED_VALUE"""),70.0)</f>
        <v>70</v>
      </c>
      <c r="F3597" s="19" t="str">
        <f>IFERROR(__xludf.DUMMYFUNCTION("""COMPUTED_VALUE"""),"BLACK")</f>
        <v>BLACK</v>
      </c>
      <c r="G3597" s="20" t="str">
        <f>IFERROR(__xludf.DUMMYFUNCTION("""COMPUTED_VALUE"""),"Uncle Sams Cider (04/04/2023)")</f>
        <v>Uncle Sams Cider (04/04/2023)</v>
      </c>
      <c r="H3597" s="19"/>
    </row>
    <row r="3598">
      <c r="A3598" s="9"/>
      <c r="B3598" s="15"/>
      <c r="C3598" s="9">
        <f>IFERROR(__xludf.DUMMYFUNCTION("""COMPUTED_VALUE"""),45107.006579537)</f>
        <v>45107.00658</v>
      </c>
      <c r="D3598" s="15">
        <f>IFERROR(__xludf.DUMMYFUNCTION("""COMPUTED_VALUE"""),1.004)</f>
        <v>1.004</v>
      </c>
      <c r="E3598" s="16">
        <f>IFERROR(__xludf.DUMMYFUNCTION("""COMPUTED_VALUE"""),70.0)</f>
        <v>70</v>
      </c>
      <c r="F3598" s="19" t="str">
        <f>IFERROR(__xludf.DUMMYFUNCTION("""COMPUTED_VALUE"""),"BLACK")</f>
        <v>BLACK</v>
      </c>
      <c r="G3598" s="20" t="str">
        <f>IFERROR(__xludf.DUMMYFUNCTION("""COMPUTED_VALUE"""),"Uncle Sams Cider (04/04/2023)")</f>
        <v>Uncle Sams Cider (04/04/2023)</v>
      </c>
      <c r="H3598" s="19"/>
    </row>
    <row r="3599">
      <c r="A3599" s="9"/>
      <c r="B3599" s="15"/>
      <c r="C3599" s="9">
        <f>IFERROR(__xludf.DUMMYFUNCTION("""COMPUTED_VALUE"""),45106.9961482523)</f>
        <v>45106.99615</v>
      </c>
      <c r="D3599" s="15">
        <f>IFERROR(__xludf.DUMMYFUNCTION("""COMPUTED_VALUE"""),1.005)</f>
        <v>1.005</v>
      </c>
      <c r="E3599" s="16">
        <f>IFERROR(__xludf.DUMMYFUNCTION("""COMPUTED_VALUE"""),70.0)</f>
        <v>70</v>
      </c>
      <c r="F3599" s="19" t="str">
        <f>IFERROR(__xludf.DUMMYFUNCTION("""COMPUTED_VALUE"""),"BLACK")</f>
        <v>BLACK</v>
      </c>
      <c r="G3599" s="20" t="str">
        <f>IFERROR(__xludf.DUMMYFUNCTION("""COMPUTED_VALUE"""),"Uncle Sams Cider (04/04/2023)")</f>
        <v>Uncle Sams Cider (04/04/2023)</v>
      </c>
      <c r="H3599" s="19"/>
    </row>
    <row r="3600">
      <c r="A3600" s="9"/>
      <c r="B3600" s="15"/>
      <c r="C3600" s="9">
        <f>IFERROR(__xludf.DUMMYFUNCTION("""COMPUTED_VALUE"""),45106.9857151967)</f>
        <v>45106.98572</v>
      </c>
      <c r="D3600" s="15">
        <f>IFERROR(__xludf.DUMMYFUNCTION("""COMPUTED_VALUE"""),1.005)</f>
        <v>1.005</v>
      </c>
      <c r="E3600" s="16">
        <f>IFERROR(__xludf.DUMMYFUNCTION("""COMPUTED_VALUE"""),70.0)</f>
        <v>70</v>
      </c>
      <c r="F3600" s="19" t="str">
        <f>IFERROR(__xludf.DUMMYFUNCTION("""COMPUTED_VALUE"""),"BLACK")</f>
        <v>BLACK</v>
      </c>
      <c r="G3600" s="20" t="str">
        <f>IFERROR(__xludf.DUMMYFUNCTION("""COMPUTED_VALUE"""),"Uncle Sams Cider (04/04/2023)")</f>
        <v>Uncle Sams Cider (04/04/2023)</v>
      </c>
      <c r="H3600" s="19"/>
    </row>
    <row r="3601">
      <c r="A3601" s="9"/>
      <c r="B3601" s="15"/>
      <c r="C3601" s="9">
        <f>IFERROR(__xludf.DUMMYFUNCTION("""COMPUTED_VALUE"""),45106.9752947685)</f>
        <v>45106.97529</v>
      </c>
      <c r="D3601" s="15">
        <f>IFERROR(__xludf.DUMMYFUNCTION("""COMPUTED_VALUE"""),1.004)</f>
        <v>1.004</v>
      </c>
      <c r="E3601" s="16">
        <f>IFERROR(__xludf.DUMMYFUNCTION("""COMPUTED_VALUE"""),70.0)</f>
        <v>70</v>
      </c>
      <c r="F3601" s="19" t="str">
        <f>IFERROR(__xludf.DUMMYFUNCTION("""COMPUTED_VALUE"""),"BLACK")</f>
        <v>BLACK</v>
      </c>
      <c r="G3601" s="20" t="str">
        <f>IFERROR(__xludf.DUMMYFUNCTION("""COMPUTED_VALUE"""),"Uncle Sams Cider (04/04/2023)")</f>
        <v>Uncle Sams Cider (04/04/2023)</v>
      </c>
      <c r="H3601" s="19"/>
    </row>
    <row r="3602">
      <c r="A3602" s="9"/>
      <c r="B3602" s="15"/>
      <c r="C3602" s="9">
        <f>IFERROR(__xludf.DUMMYFUNCTION("""COMPUTED_VALUE"""),45106.9648729861)</f>
        <v>45106.96487</v>
      </c>
      <c r="D3602" s="15">
        <f>IFERROR(__xludf.DUMMYFUNCTION("""COMPUTED_VALUE"""),1.005)</f>
        <v>1.005</v>
      </c>
      <c r="E3602" s="16">
        <f>IFERROR(__xludf.DUMMYFUNCTION("""COMPUTED_VALUE"""),70.0)</f>
        <v>70</v>
      </c>
      <c r="F3602" s="19" t="str">
        <f>IFERROR(__xludf.DUMMYFUNCTION("""COMPUTED_VALUE"""),"BLACK")</f>
        <v>BLACK</v>
      </c>
      <c r="G3602" s="20" t="str">
        <f>IFERROR(__xludf.DUMMYFUNCTION("""COMPUTED_VALUE"""),"Uncle Sams Cider (04/04/2023)")</f>
        <v>Uncle Sams Cider (04/04/2023)</v>
      </c>
      <c r="H3602" s="19"/>
    </row>
    <row r="3603">
      <c r="A3603" s="9"/>
      <c r="B3603" s="15"/>
      <c r="C3603" s="9">
        <f>IFERROR(__xludf.DUMMYFUNCTION("""COMPUTED_VALUE"""),45106.9544515277)</f>
        <v>45106.95445</v>
      </c>
      <c r="D3603" s="15">
        <f>IFERROR(__xludf.DUMMYFUNCTION("""COMPUTED_VALUE"""),1.004)</f>
        <v>1.004</v>
      </c>
      <c r="E3603" s="16">
        <f>IFERROR(__xludf.DUMMYFUNCTION("""COMPUTED_VALUE"""),70.0)</f>
        <v>70</v>
      </c>
      <c r="F3603" s="19" t="str">
        <f>IFERROR(__xludf.DUMMYFUNCTION("""COMPUTED_VALUE"""),"BLACK")</f>
        <v>BLACK</v>
      </c>
      <c r="G3603" s="20" t="str">
        <f>IFERROR(__xludf.DUMMYFUNCTION("""COMPUTED_VALUE"""),"Uncle Sams Cider (04/04/2023)")</f>
        <v>Uncle Sams Cider (04/04/2023)</v>
      </c>
      <c r="H3603" s="19"/>
    </row>
    <row r="3604">
      <c r="A3604" s="9"/>
      <c r="B3604" s="15"/>
      <c r="C3604" s="9">
        <f>IFERROR(__xludf.DUMMYFUNCTION("""COMPUTED_VALUE"""),45106.9440318171)</f>
        <v>45106.94403</v>
      </c>
      <c r="D3604" s="15">
        <f>IFERROR(__xludf.DUMMYFUNCTION("""COMPUTED_VALUE"""),1.005)</f>
        <v>1.005</v>
      </c>
      <c r="E3604" s="16">
        <f>IFERROR(__xludf.DUMMYFUNCTION("""COMPUTED_VALUE"""),70.0)</f>
        <v>70</v>
      </c>
      <c r="F3604" s="19" t="str">
        <f>IFERROR(__xludf.DUMMYFUNCTION("""COMPUTED_VALUE"""),"BLACK")</f>
        <v>BLACK</v>
      </c>
      <c r="G3604" s="20" t="str">
        <f>IFERROR(__xludf.DUMMYFUNCTION("""COMPUTED_VALUE"""),"Uncle Sams Cider (04/04/2023)")</f>
        <v>Uncle Sams Cider (04/04/2023)</v>
      </c>
      <c r="H3604" s="19"/>
    </row>
    <row r="3605">
      <c r="A3605" s="9"/>
      <c r="B3605" s="15"/>
      <c r="C3605" s="9">
        <f>IFERROR(__xludf.DUMMYFUNCTION("""COMPUTED_VALUE"""),45106.9336105324)</f>
        <v>45106.93361</v>
      </c>
      <c r="D3605" s="15">
        <f>IFERROR(__xludf.DUMMYFUNCTION("""COMPUTED_VALUE"""),1.004)</f>
        <v>1.004</v>
      </c>
      <c r="E3605" s="16">
        <f>IFERROR(__xludf.DUMMYFUNCTION("""COMPUTED_VALUE"""),70.0)</f>
        <v>70</v>
      </c>
      <c r="F3605" s="19" t="str">
        <f>IFERROR(__xludf.DUMMYFUNCTION("""COMPUTED_VALUE"""),"BLACK")</f>
        <v>BLACK</v>
      </c>
      <c r="G3605" s="20" t="str">
        <f>IFERROR(__xludf.DUMMYFUNCTION("""COMPUTED_VALUE"""),"Uncle Sams Cider (04/04/2023)")</f>
        <v>Uncle Sams Cider (04/04/2023)</v>
      </c>
      <c r="H3605" s="19"/>
    </row>
    <row r="3606">
      <c r="A3606" s="9"/>
      <c r="B3606" s="15"/>
      <c r="C3606" s="9">
        <f>IFERROR(__xludf.DUMMYFUNCTION("""COMPUTED_VALUE"""),45106.923189618)</f>
        <v>45106.92319</v>
      </c>
      <c r="D3606" s="15">
        <f>IFERROR(__xludf.DUMMYFUNCTION("""COMPUTED_VALUE"""),1.004)</f>
        <v>1.004</v>
      </c>
      <c r="E3606" s="16">
        <f>IFERROR(__xludf.DUMMYFUNCTION("""COMPUTED_VALUE"""),70.0)</f>
        <v>70</v>
      </c>
      <c r="F3606" s="19" t="str">
        <f>IFERROR(__xludf.DUMMYFUNCTION("""COMPUTED_VALUE"""),"BLACK")</f>
        <v>BLACK</v>
      </c>
      <c r="G3606" s="20" t="str">
        <f>IFERROR(__xludf.DUMMYFUNCTION("""COMPUTED_VALUE"""),"Uncle Sams Cider (04/04/2023)")</f>
        <v>Uncle Sams Cider (04/04/2023)</v>
      </c>
      <c r="H3606" s="19"/>
    </row>
    <row r="3607">
      <c r="A3607" s="9"/>
      <c r="B3607" s="15"/>
      <c r="C3607" s="9">
        <f>IFERROR(__xludf.DUMMYFUNCTION("""COMPUTED_VALUE"""),45106.9127692361)</f>
        <v>45106.91277</v>
      </c>
      <c r="D3607" s="15">
        <f>IFERROR(__xludf.DUMMYFUNCTION("""COMPUTED_VALUE"""),1.004)</f>
        <v>1.004</v>
      </c>
      <c r="E3607" s="16">
        <f>IFERROR(__xludf.DUMMYFUNCTION("""COMPUTED_VALUE"""),70.0)</f>
        <v>70</v>
      </c>
      <c r="F3607" s="19" t="str">
        <f>IFERROR(__xludf.DUMMYFUNCTION("""COMPUTED_VALUE"""),"BLACK")</f>
        <v>BLACK</v>
      </c>
      <c r="G3607" s="20" t="str">
        <f>IFERROR(__xludf.DUMMYFUNCTION("""COMPUTED_VALUE"""),"Uncle Sams Cider (04/04/2023)")</f>
        <v>Uncle Sams Cider (04/04/2023)</v>
      </c>
      <c r="H3607" s="19"/>
    </row>
    <row r="3608">
      <c r="A3608" s="9"/>
      <c r="B3608" s="15"/>
      <c r="C3608" s="9">
        <f>IFERROR(__xludf.DUMMYFUNCTION("""COMPUTED_VALUE"""),45106.9023478703)</f>
        <v>45106.90235</v>
      </c>
      <c r="D3608" s="15">
        <f>IFERROR(__xludf.DUMMYFUNCTION("""COMPUTED_VALUE"""),1.005)</f>
        <v>1.005</v>
      </c>
      <c r="E3608" s="16">
        <f>IFERROR(__xludf.DUMMYFUNCTION("""COMPUTED_VALUE"""),70.0)</f>
        <v>70</v>
      </c>
      <c r="F3608" s="19" t="str">
        <f>IFERROR(__xludf.DUMMYFUNCTION("""COMPUTED_VALUE"""),"BLACK")</f>
        <v>BLACK</v>
      </c>
      <c r="G3608" s="20" t="str">
        <f>IFERROR(__xludf.DUMMYFUNCTION("""COMPUTED_VALUE"""),"Uncle Sams Cider (04/04/2023)")</f>
        <v>Uncle Sams Cider (04/04/2023)</v>
      </c>
      <c r="H3608" s="19"/>
    </row>
    <row r="3609">
      <c r="A3609" s="9"/>
      <c r="B3609" s="15"/>
      <c r="C3609" s="9">
        <f>IFERROR(__xludf.DUMMYFUNCTION("""COMPUTED_VALUE"""),45106.891927199)</f>
        <v>45106.89193</v>
      </c>
      <c r="D3609" s="15">
        <f>IFERROR(__xludf.DUMMYFUNCTION("""COMPUTED_VALUE"""),1.004)</f>
        <v>1.004</v>
      </c>
      <c r="E3609" s="16">
        <f>IFERROR(__xludf.DUMMYFUNCTION("""COMPUTED_VALUE"""),70.0)</f>
        <v>70</v>
      </c>
      <c r="F3609" s="19" t="str">
        <f>IFERROR(__xludf.DUMMYFUNCTION("""COMPUTED_VALUE"""),"BLACK")</f>
        <v>BLACK</v>
      </c>
      <c r="G3609" s="20" t="str">
        <f>IFERROR(__xludf.DUMMYFUNCTION("""COMPUTED_VALUE"""),"Uncle Sams Cider (04/04/2023)")</f>
        <v>Uncle Sams Cider (04/04/2023)</v>
      </c>
      <c r="H3609" s="19"/>
    </row>
    <row r="3610">
      <c r="A3610" s="9"/>
      <c r="B3610" s="15"/>
      <c r="C3610" s="9">
        <f>IFERROR(__xludf.DUMMYFUNCTION("""COMPUTED_VALUE"""),45106.881505706)</f>
        <v>45106.88151</v>
      </c>
      <c r="D3610" s="15">
        <f>IFERROR(__xludf.DUMMYFUNCTION("""COMPUTED_VALUE"""),1.005)</f>
        <v>1.005</v>
      </c>
      <c r="E3610" s="16">
        <f>IFERROR(__xludf.DUMMYFUNCTION("""COMPUTED_VALUE"""),70.0)</f>
        <v>70</v>
      </c>
      <c r="F3610" s="19" t="str">
        <f>IFERROR(__xludf.DUMMYFUNCTION("""COMPUTED_VALUE"""),"BLACK")</f>
        <v>BLACK</v>
      </c>
      <c r="G3610" s="20" t="str">
        <f>IFERROR(__xludf.DUMMYFUNCTION("""COMPUTED_VALUE"""),"Uncle Sams Cider (04/04/2023)")</f>
        <v>Uncle Sams Cider (04/04/2023)</v>
      </c>
      <c r="H3610" s="19"/>
    </row>
    <row r="3611">
      <c r="A3611" s="9"/>
      <c r="B3611" s="15"/>
      <c r="C3611" s="9">
        <f>IFERROR(__xludf.DUMMYFUNCTION("""COMPUTED_VALUE"""),45106.8710727777)</f>
        <v>45106.87107</v>
      </c>
      <c r="D3611" s="15">
        <f>IFERROR(__xludf.DUMMYFUNCTION("""COMPUTED_VALUE"""),1.004)</f>
        <v>1.004</v>
      </c>
      <c r="E3611" s="16">
        <f>IFERROR(__xludf.DUMMYFUNCTION("""COMPUTED_VALUE"""),70.0)</f>
        <v>70</v>
      </c>
      <c r="F3611" s="19" t="str">
        <f>IFERROR(__xludf.DUMMYFUNCTION("""COMPUTED_VALUE"""),"BLACK")</f>
        <v>BLACK</v>
      </c>
      <c r="G3611" s="20" t="str">
        <f>IFERROR(__xludf.DUMMYFUNCTION("""COMPUTED_VALUE"""),"Uncle Sams Cider (04/04/2023)")</f>
        <v>Uncle Sams Cider (04/04/2023)</v>
      </c>
      <c r="H3611" s="19"/>
    </row>
    <row r="3612">
      <c r="A3612" s="9"/>
      <c r="B3612" s="15"/>
      <c r="C3612" s="9">
        <f>IFERROR(__xludf.DUMMYFUNCTION("""COMPUTED_VALUE"""),45106.8606512037)</f>
        <v>45106.86065</v>
      </c>
      <c r="D3612" s="15">
        <f>IFERROR(__xludf.DUMMYFUNCTION("""COMPUTED_VALUE"""),1.004)</f>
        <v>1.004</v>
      </c>
      <c r="E3612" s="16">
        <f>IFERROR(__xludf.DUMMYFUNCTION("""COMPUTED_VALUE"""),70.0)</f>
        <v>70</v>
      </c>
      <c r="F3612" s="19" t="str">
        <f>IFERROR(__xludf.DUMMYFUNCTION("""COMPUTED_VALUE"""),"BLACK")</f>
        <v>BLACK</v>
      </c>
      <c r="G3612" s="20" t="str">
        <f>IFERROR(__xludf.DUMMYFUNCTION("""COMPUTED_VALUE"""),"Uncle Sams Cider (04/04/2023)")</f>
        <v>Uncle Sams Cider (04/04/2023)</v>
      </c>
      <c r="H3612" s="19"/>
    </row>
    <row r="3613">
      <c r="A3613" s="9"/>
      <c r="B3613" s="15"/>
      <c r="C3613" s="9">
        <f>IFERROR(__xludf.DUMMYFUNCTION("""COMPUTED_VALUE"""),45106.8502190162)</f>
        <v>45106.85022</v>
      </c>
      <c r="D3613" s="15">
        <f>IFERROR(__xludf.DUMMYFUNCTION("""COMPUTED_VALUE"""),1.004)</f>
        <v>1.004</v>
      </c>
      <c r="E3613" s="16">
        <f>IFERROR(__xludf.DUMMYFUNCTION("""COMPUTED_VALUE"""),70.0)</f>
        <v>70</v>
      </c>
      <c r="F3613" s="19" t="str">
        <f>IFERROR(__xludf.DUMMYFUNCTION("""COMPUTED_VALUE"""),"BLACK")</f>
        <v>BLACK</v>
      </c>
      <c r="G3613" s="20" t="str">
        <f>IFERROR(__xludf.DUMMYFUNCTION("""COMPUTED_VALUE"""),"Uncle Sams Cider (04/04/2023)")</f>
        <v>Uncle Sams Cider (04/04/2023)</v>
      </c>
      <c r="H3613" s="19"/>
    </row>
    <row r="3614">
      <c r="A3614" s="9"/>
      <c r="B3614" s="15"/>
      <c r="C3614" s="9">
        <f>IFERROR(__xludf.DUMMYFUNCTION("""COMPUTED_VALUE"""),45106.8397853009)</f>
        <v>45106.83979</v>
      </c>
      <c r="D3614" s="15">
        <f>IFERROR(__xludf.DUMMYFUNCTION("""COMPUTED_VALUE"""),1.005)</f>
        <v>1.005</v>
      </c>
      <c r="E3614" s="16">
        <f>IFERROR(__xludf.DUMMYFUNCTION("""COMPUTED_VALUE"""),70.0)</f>
        <v>70</v>
      </c>
      <c r="F3614" s="19" t="str">
        <f>IFERROR(__xludf.DUMMYFUNCTION("""COMPUTED_VALUE"""),"BLACK")</f>
        <v>BLACK</v>
      </c>
      <c r="G3614" s="20" t="str">
        <f>IFERROR(__xludf.DUMMYFUNCTION("""COMPUTED_VALUE"""),"Uncle Sams Cider (04/04/2023)")</f>
        <v>Uncle Sams Cider (04/04/2023)</v>
      </c>
      <c r="H3614" s="19"/>
    </row>
    <row r="3615">
      <c r="A3615" s="9"/>
      <c r="B3615" s="15"/>
      <c r="C3615" s="9">
        <f>IFERROR(__xludf.DUMMYFUNCTION("""COMPUTED_VALUE"""),45106.8293511111)</f>
        <v>45106.82935</v>
      </c>
      <c r="D3615" s="15">
        <f>IFERROR(__xludf.DUMMYFUNCTION("""COMPUTED_VALUE"""),1.004)</f>
        <v>1.004</v>
      </c>
      <c r="E3615" s="16">
        <f>IFERROR(__xludf.DUMMYFUNCTION("""COMPUTED_VALUE"""),70.0)</f>
        <v>70</v>
      </c>
      <c r="F3615" s="19" t="str">
        <f>IFERROR(__xludf.DUMMYFUNCTION("""COMPUTED_VALUE"""),"BLACK")</f>
        <v>BLACK</v>
      </c>
      <c r="G3615" s="20" t="str">
        <f>IFERROR(__xludf.DUMMYFUNCTION("""COMPUTED_VALUE"""),"Uncle Sams Cider (04/04/2023)")</f>
        <v>Uncle Sams Cider (04/04/2023)</v>
      </c>
      <c r="H3615" s="19"/>
    </row>
    <row r="3616">
      <c r="A3616" s="9"/>
      <c r="B3616" s="15"/>
      <c r="C3616" s="9">
        <f>IFERROR(__xludf.DUMMYFUNCTION("""COMPUTED_VALUE"""),45106.8189293865)</f>
        <v>45106.81893</v>
      </c>
      <c r="D3616" s="15">
        <f>IFERROR(__xludf.DUMMYFUNCTION("""COMPUTED_VALUE"""),1.004)</f>
        <v>1.004</v>
      </c>
      <c r="E3616" s="16">
        <f>IFERROR(__xludf.DUMMYFUNCTION("""COMPUTED_VALUE"""),70.0)</f>
        <v>70</v>
      </c>
      <c r="F3616" s="19" t="str">
        <f>IFERROR(__xludf.DUMMYFUNCTION("""COMPUTED_VALUE"""),"BLACK")</f>
        <v>BLACK</v>
      </c>
      <c r="G3616" s="20" t="str">
        <f>IFERROR(__xludf.DUMMYFUNCTION("""COMPUTED_VALUE"""),"Uncle Sams Cider (04/04/2023)")</f>
        <v>Uncle Sams Cider (04/04/2023)</v>
      </c>
      <c r="H3616" s="19"/>
    </row>
    <row r="3617">
      <c r="A3617" s="9"/>
      <c r="B3617" s="15"/>
      <c r="C3617" s="9">
        <f>IFERROR(__xludf.DUMMYFUNCTION("""COMPUTED_VALUE"""),45106.8085083564)</f>
        <v>45106.80851</v>
      </c>
      <c r="D3617" s="15">
        <f>IFERROR(__xludf.DUMMYFUNCTION("""COMPUTED_VALUE"""),1.004)</f>
        <v>1.004</v>
      </c>
      <c r="E3617" s="16">
        <f>IFERROR(__xludf.DUMMYFUNCTION("""COMPUTED_VALUE"""),70.0)</f>
        <v>70</v>
      </c>
      <c r="F3617" s="19" t="str">
        <f>IFERROR(__xludf.DUMMYFUNCTION("""COMPUTED_VALUE"""),"BLACK")</f>
        <v>BLACK</v>
      </c>
      <c r="G3617" s="20" t="str">
        <f>IFERROR(__xludf.DUMMYFUNCTION("""COMPUTED_VALUE"""),"Uncle Sams Cider (04/04/2023)")</f>
        <v>Uncle Sams Cider (04/04/2023)</v>
      </c>
      <c r="H3617" s="19"/>
    </row>
    <row r="3618">
      <c r="A3618" s="9"/>
      <c r="B3618" s="15"/>
      <c r="C3618" s="9">
        <f>IFERROR(__xludf.DUMMYFUNCTION("""COMPUTED_VALUE"""),45106.7980882407)</f>
        <v>45106.79809</v>
      </c>
      <c r="D3618" s="15">
        <f>IFERROR(__xludf.DUMMYFUNCTION("""COMPUTED_VALUE"""),1.004)</f>
        <v>1.004</v>
      </c>
      <c r="E3618" s="16">
        <f>IFERROR(__xludf.DUMMYFUNCTION("""COMPUTED_VALUE"""),70.0)</f>
        <v>70</v>
      </c>
      <c r="F3618" s="19" t="str">
        <f>IFERROR(__xludf.DUMMYFUNCTION("""COMPUTED_VALUE"""),"BLACK")</f>
        <v>BLACK</v>
      </c>
      <c r="G3618" s="20" t="str">
        <f>IFERROR(__xludf.DUMMYFUNCTION("""COMPUTED_VALUE"""),"Uncle Sams Cider (04/04/2023)")</f>
        <v>Uncle Sams Cider (04/04/2023)</v>
      </c>
      <c r="H3618" s="19"/>
    </row>
    <row r="3619">
      <c r="A3619" s="9"/>
      <c r="B3619" s="15"/>
      <c r="C3619" s="9">
        <f>IFERROR(__xludf.DUMMYFUNCTION("""COMPUTED_VALUE"""),45106.7876676736)</f>
        <v>45106.78767</v>
      </c>
      <c r="D3619" s="15">
        <f>IFERROR(__xludf.DUMMYFUNCTION("""COMPUTED_VALUE"""),1.004)</f>
        <v>1.004</v>
      </c>
      <c r="E3619" s="16">
        <f>IFERROR(__xludf.DUMMYFUNCTION("""COMPUTED_VALUE"""),70.0)</f>
        <v>70</v>
      </c>
      <c r="F3619" s="19" t="str">
        <f>IFERROR(__xludf.DUMMYFUNCTION("""COMPUTED_VALUE"""),"BLACK")</f>
        <v>BLACK</v>
      </c>
      <c r="G3619" s="20" t="str">
        <f>IFERROR(__xludf.DUMMYFUNCTION("""COMPUTED_VALUE"""),"Uncle Sams Cider (04/04/2023)")</f>
        <v>Uncle Sams Cider (04/04/2023)</v>
      </c>
      <c r="H3619" s="19"/>
    </row>
    <row r="3620">
      <c r="A3620" s="9"/>
      <c r="B3620" s="15"/>
      <c r="C3620" s="9">
        <f>IFERROR(__xludf.DUMMYFUNCTION("""COMPUTED_VALUE"""),45106.7772467361)</f>
        <v>45106.77725</v>
      </c>
      <c r="D3620" s="15">
        <f>IFERROR(__xludf.DUMMYFUNCTION("""COMPUTED_VALUE"""),1.004)</f>
        <v>1.004</v>
      </c>
      <c r="E3620" s="16">
        <f>IFERROR(__xludf.DUMMYFUNCTION("""COMPUTED_VALUE"""),70.0)</f>
        <v>70</v>
      </c>
      <c r="F3620" s="19" t="str">
        <f>IFERROR(__xludf.DUMMYFUNCTION("""COMPUTED_VALUE"""),"BLACK")</f>
        <v>BLACK</v>
      </c>
      <c r="G3620" s="20" t="str">
        <f>IFERROR(__xludf.DUMMYFUNCTION("""COMPUTED_VALUE"""),"Uncle Sams Cider (04/04/2023)")</f>
        <v>Uncle Sams Cider (04/04/2023)</v>
      </c>
      <c r="H3620" s="19"/>
    </row>
    <row r="3621">
      <c r="A3621" s="9"/>
      <c r="B3621" s="15"/>
      <c r="C3621" s="9">
        <f>IFERROR(__xludf.DUMMYFUNCTION("""COMPUTED_VALUE"""),45106.7668271412)</f>
        <v>45106.76683</v>
      </c>
      <c r="D3621" s="15">
        <f>IFERROR(__xludf.DUMMYFUNCTION("""COMPUTED_VALUE"""),1.004)</f>
        <v>1.004</v>
      </c>
      <c r="E3621" s="16">
        <f>IFERROR(__xludf.DUMMYFUNCTION("""COMPUTED_VALUE"""),70.0)</f>
        <v>70</v>
      </c>
      <c r="F3621" s="19" t="str">
        <f>IFERROR(__xludf.DUMMYFUNCTION("""COMPUTED_VALUE"""),"BLACK")</f>
        <v>BLACK</v>
      </c>
      <c r="G3621" s="20" t="str">
        <f>IFERROR(__xludf.DUMMYFUNCTION("""COMPUTED_VALUE"""),"Uncle Sams Cider (04/04/2023)")</f>
        <v>Uncle Sams Cider (04/04/2023)</v>
      </c>
      <c r="H3621" s="19"/>
    </row>
    <row r="3622">
      <c r="A3622" s="9"/>
      <c r="B3622" s="15"/>
      <c r="C3622" s="9">
        <f>IFERROR(__xludf.DUMMYFUNCTION("""COMPUTED_VALUE"""),45106.7564069444)</f>
        <v>45106.75641</v>
      </c>
      <c r="D3622" s="15">
        <f>IFERROR(__xludf.DUMMYFUNCTION("""COMPUTED_VALUE"""),1.004)</f>
        <v>1.004</v>
      </c>
      <c r="E3622" s="16">
        <f>IFERROR(__xludf.DUMMYFUNCTION("""COMPUTED_VALUE"""),70.0)</f>
        <v>70</v>
      </c>
      <c r="F3622" s="19" t="str">
        <f>IFERROR(__xludf.DUMMYFUNCTION("""COMPUTED_VALUE"""),"BLACK")</f>
        <v>BLACK</v>
      </c>
      <c r="G3622" s="20" t="str">
        <f>IFERROR(__xludf.DUMMYFUNCTION("""COMPUTED_VALUE"""),"Uncle Sams Cider (04/04/2023)")</f>
        <v>Uncle Sams Cider (04/04/2023)</v>
      </c>
      <c r="H3622" s="19"/>
    </row>
    <row r="3623">
      <c r="A3623" s="9"/>
      <c r="B3623" s="15"/>
      <c r="C3623" s="9">
        <f>IFERROR(__xludf.DUMMYFUNCTION("""COMPUTED_VALUE"""),45106.7459851736)</f>
        <v>45106.74599</v>
      </c>
      <c r="D3623" s="15">
        <f>IFERROR(__xludf.DUMMYFUNCTION("""COMPUTED_VALUE"""),1.004)</f>
        <v>1.004</v>
      </c>
      <c r="E3623" s="16">
        <f>IFERROR(__xludf.DUMMYFUNCTION("""COMPUTED_VALUE"""),70.0)</f>
        <v>70</v>
      </c>
      <c r="F3623" s="19" t="str">
        <f>IFERROR(__xludf.DUMMYFUNCTION("""COMPUTED_VALUE"""),"BLACK")</f>
        <v>BLACK</v>
      </c>
      <c r="G3623" s="20" t="str">
        <f>IFERROR(__xludf.DUMMYFUNCTION("""COMPUTED_VALUE"""),"Uncle Sams Cider (04/04/2023)")</f>
        <v>Uncle Sams Cider (04/04/2023)</v>
      </c>
      <c r="H3623" s="19"/>
    </row>
    <row r="3624">
      <c r="A3624" s="9"/>
      <c r="B3624" s="15"/>
      <c r="C3624" s="9">
        <f>IFERROR(__xludf.DUMMYFUNCTION("""COMPUTED_VALUE"""),45106.7355625463)</f>
        <v>45106.73556</v>
      </c>
      <c r="D3624" s="15">
        <f>IFERROR(__xludf.DUMMYFUNCTION("""COMPUTED_VALUE"""),1.004)</f>
        <v>1.004</v>
      </c>
      <c r="E3624" s="16">
        <f>IFERROR(__xludf.DUMMYFUNCTION("""COMPUTED_VALUE"""),70.0)</f>
        <v>70</v>
      </c>
      <c r="F3624" s="19" t="str">
        <f>IFERROR(__xludf.DUMMYFUNCTION("""COMPUTED_VALUE"""),"BLACK")</f>
        <v>BLACK</v>
      </c>
      <c r="G3624" s="20" t="str">
        <f>IFERROR(__xludf.DUMMYFUNCTION("""COMPUTED_VALUE"""),"Uncle Sams Cider (04/04/2023)")</f>
        <v>Uncle Sams Cider (04/04/2023)</v>
      </c>
      <c r="H3624" s="19"/>
    </row>
    <row r="3625">
      <c r="A3625" s="9"/>
      <c r="B3625" s="15"/>
      <c r="C3625" s="9">
        <f>IFERROR(__xludf.DUMMYFUNCTION("""COMPUTED_VALUE"""),45106.7251415046)</f>
        <v>45106.72514</v>
      </c>
      <c r="D3625" s="15">
        <f>IFERROR(__xludf.DUMMYFUNCTION("""COMPUTED_VALUE"""),1.004)</f>
        <v>1.004</v>
      </c>
      <c r="E3625" s="16">
        <f>IFERROR(__xludf.DUMMYFUNCTION("""COMPUTED_VALUE"""),70.0)</f>
        <v>70</v>
      </c>
      <c r="F3625" s="19" t="str">
        <f>IFERROR(__xludf.DUMMYFUNCTION("""COMPUTED_VALUE"""),"BLACK")</f>
        <v>BLACK</v>
      </c>
      <c r="G3625" s="20" t="str">
        <f>IFERROR(__xludf.DUMMYFUNCTION("""COMPUTED_VALUE"""),"Uncle Sams Cider (04/04/2023)")</f>
        <v>Uncle Sams Cider (04/04/2023)</v>
      </c>
      <c r="H3625" s="19"/>
    </row>
    <row r="3626">
      <c r="A3626" s="9"/>
      <c r="B3626" s="15"/>
      <c r="C3626" s="9">
        <f>IFERROR(__xludf.DUMMYFUNCTION("""COMPUTED_VALUE"""),45106.714720081)</f>
        <v>45106.71472</v>
      </c>
      <c r="D3626" s="15">
        <f>IFERROR(__xludf.DUMMYFUNCTION("""COMPUTED_VALUE"""),1.004)</f>
        <v>1.004</v>
      </c>
      <c r="E3626" s="16">
        <f>IFERROR(__xludf.DUMMYFUNCTION("""COMPUTED_VALUE"""),70.0)</f>
        <v>70</v>
      </c>
      <c r="F3626" s="19" t="str">
        <f>IFERROR(__xludf.DUMMYFUNCTION("""COMPUTED_VALUE"""),"BLACK")</f>
        <v>BLACK</v>
      </c>
      <c r="G3626" s="20" t="str">
        <f>IFERROR(__xludf.DUMMYFUNCTION("""COMPUTED_VALUE"""),"Uncle Sams Cider (04/04/2023)")</f>
        <v>Uncle Sams Cider (04/04/2023)</v>
      </c>
      <c r="H3626" s="19"/>
    </row>
    <row r="3627">
      <c r="A3627" s="9"/>
      <c r="B3627" s="15"/>
      <c r="C3627" s="9">
        <f>IFERROR(__xludf.DUMMYFUNCTION("""COMPUTED_VALUE"""),45106.7042969675)</f>
        <v>45106.7043</v>
      </c>
      <c r="D3627" s="15">
        <f>IFERROR(__xludf.DUMMYFUNCTION("""COMPUTED_VALUE"""),1.004)</f>
        <v>1.004</v>
      </c>
      <c r="E3627" s="16">
        <f>IFERROR(__xludf.DUMMYFUNCTION("""COMPUTED_VALUE"""),70.0)</f>
        <v>70</v>
      </c>
      <c r="F3627" s="19" t="str">
        <f>IFERROR(__xludf.DUMMYFUNCTION("""COMPUTED_VALUE"""),"BLACK")</f>
        <v>BLACK</v>
      </c>
      <c r="G3627" s="20" t="str">
        <f>IFERROR(__xludf.DUMMYFUNCTION("""COMPUTED_VALUE"""),"Uncle Sams Cider (04/04/2023)")</f>
        <v>Uncle Sams Cider (04/04/2023)</v>
      </c>
      <c r="H3627" s="19"/>
    </row>
    <row r="3628">
      <c r="A3628" s="9"/>
      <c r="B3628" s="15"/>
      <c r="C3628" s="9">
        <f>IFERROR(__xludf.DUMMYFUNCTION("""COMPUTED_VALUE"""),45106.6938752546)</f>
        <v>45106.69388</v>
      </c>
      <c r="D3628" s="15">
        <f>IFERROR(__xludf.DUMMYFUNCTION("""COMPUTED_VALUE"""),1.004)</f>
        <v>1.004</v>
      </c>
      <c r="E3628" s="16">
        <f>IFERROR(__xludf.DUMMYFUNCTION("""COMPUTED_VALUE"""),70.0)</f>
        <v>70</v>
      </c>
      <c r="F3628" s="19" t="str">
        <f>IFERROR(__xludf.DUMMYFUNCTION("""COMPUTED_VALUE"""),"BLACK")</f>
        <v>BLACK</v>
      </c>
      <c r="G3628" s="20" t="str">
        <f>IFERROR(__xludf.DUMMYFUNCTION("""COMPUTED_VALUE"""),"Uncle Sams Cider (04/04/2023)")</f>
        <v>Uncle Sams Cider (04/04/2023)</v>
      </c>
      <c r="H3628" s="19"/>
    </row>
    <row r="3629">
      <c r="A3629" s="9"/>
      <c r="B3629" s="15"/>
      <c r="C3629" s="9">
        <f>IFERROR(__xludf.DUMMYFUNCTION("""COMPUTED_VALUE"""),45106.6834528009)</f>
        <v>45106.68345</v>
      </c>
      <c r="D3629" s="15">
        <f>IFERROR(__xludf.DUMMYFUNCTION("""COMPUTED_VALUE"""),1.004)</f>
        <v>1.004</v>
      </c>
      <c r="E3629" s="16">
        <f>IFERROR(__xludf.DUMMYFUNCTION("""COMPUTED_VALUE"""),70.0)</f>
        <v>70</v>
      </c>
      <c r="F3629" s="19" t="str">
        <f>IFERROR(__xludf.DUMMYFUNCTION("""COMPUTED_VALUE"""),"BLACK")</f>
        <v>BLACK</v>
      </c>
      <c r="G3629" s="20" t="str">
        <f>IFERROR(__xludf.DUMMYFUNCTION("""COMPUTED_VALUE"""),"Uncle Sams Cider (04/04/2023)")</f>
        <v>Uncle Sams Cider (04/04/2023)</v>
      </c>
      <c r="H3629" s="19"/>
    </row>
    <row r="3630">
      <c r="A3630" s="9"/>
      <c r="B3630" s="15"/>
      <c r="C3630" s="9">
        <f>IFERROR(__xludf.DUMMYFUNCTION("""COMPUTED_VALUE"""),45106.673032581)</f>
        <v>45106.67303</v>
      </c>
      <c r="D3630" s="15">
        <f>IFERROR(__xludf.DUMMYFUNCTION("""COMPUTED_VALUE"""),1.004)</f>
        <v>1.004</v>
      </c>
      <c r="E3630" s="16">
        <f>IFERROR(__xludf.DUMMYFUNCTION("""COMPUTED_VALUE"""),70.0)</f>
        <v>70</v>
      </c>
      <c r="F3630" s="19" t="str">
        <f>IFERROR(__xludf.DUMMYFUNCTION("""COMPUTED_VALUE"""),"BLACK")</f>
        <v>BLACK</v>
      </c>
      <c r="G3630" s="20" t="str">
        <f>IFERROR(__xludf.DUMMYFUNCTION("""COMPUTED_VALUE"""),"Uncle Sams Cider (04/04/2023)")</f>
        <v>Uncle Sams Cider (04/04/2023)</v>
      </c>
      <c r="H3630" s="19"/>
    </row>
    <row r="3631">
      <c r="A3631" s="9"/>
      <c r="B3631" s="15"/>
      <c r="C3631" s="9">
        <f>IFERROR(__xludf.DUMMYFUNCTION("""COMPUTED_VALUE"""),45106.6626111574)</f>
        <v>45106.66261</v>
      </c>
      <c r="D3631" s="15">
        <f>IFERROR(__xludf.DUMMYFUNCTION("""COMPUTED_VALUE"""),1.004)</f>
        <v>1.004</v>
      </c>
      <c r="E3631" s="16">
        <f>IFERROR(__xludf.DUMMYFUNCTION("""COMPUTED_VALUE"""),70.0)</f>
        <v>70</v>
      </c>
      <c r="F3631" s="19" t="str">
        <f>IFERROR(__xludf.DUMMYFUNCTION("""COMPUTED_VALUE"""),"BLACK")</f>
        <v>BLACK</v>
      </c>
      <c r="G3631" s="20" t="str">
        <f>IFERROR(__xludf.DUMMYFUNCTION("""COMPUTED_VALUE"""),"Uncle Sams Cider (04/04/2023)")</f>
        <v>Uncle Sams Cider (04/04/2023)</v>
      </c>
      <c r="H3631" s="19"/>
    </row>
    <row r="3632">
      <c r="A3632" s="9"/>
      <c r="B3632" s="15"/>
      <c r="C3632" s="9">
        <f>IFERROR(__xludf.DUMMYFUNCTION("""COMPUTED_VALUE"""),45106.6521896643)</f>
        <v>45106.65219</v>
      </c>
      <c r="D3632" s="15">
        <f>IFERROR(__xludf.DUMMYFUNCTION("""COMPUTED_VALUE"""),1.004)</f>
        <v>1.004</v>
      </c>
      <c r="E3632" s="16">
        <f>IFERROR(__xludf.DUMMYFUNCTION("""COMPUTED_VALUE"""),70.0)</f>
        <v>70</v>
      </c>
      <c r="F3632" s="19" t="str">
        <f>IFERROR(__xludf.DUMMYFUNCTION("""COMPUTED_VALUE"""),"BLACK")</f>
        <v>BLACK</v>
      </c>
      <c r="G3632" s="20" t="str">
        <f>IFERROR(__xludf.DUMMYFUNCTION("""COMPUTED_VALUE"""),"Uncle Sams Cider (04/04/2023)")</f>
        <v>Uncle Sams Cider (04/04/2023)</v>
      </c>
      <c r="H3632" s="19"/>
    </row>
    <row r="3633">
      <c r="A3633" s="9"/>
      <c r="B3633" s="15"/>
      <c r="C3633" s="9">
        <f>IFERROR(__xludf.DUMMYFUNCTION("""COMPUTED_VALUE"""),45106.6417669328)</f>
        <v>45106.64177</v>
      </c>
      <c r="D3633" s="15">
        <f>IFERROR(__xludf.DUMMYFUNCTION("""COMPUTED_VALUE"""),1.005)</f>
        <v>1.005</v>
      </c>
      <c r="E3633" s="16">
        <f>IFERROR(__xludf.DUMMYFUNCTION("""COMPUTED_VALUE"""),70.0)</f>
        <v>70</v>
      </c>
      <c r="F3633" s="19" t="str">
        <f>IFERROR(__xludf.DUMMYFUNCTION("""COMPUTED_VALUE"""),"BLACK")</f>
        <v>BLACK</v>
      </c>
      <c r="G3633" s="20" t="str">
        <f>IFERROR(__xludf.DUMMYFUNCTION("""COMPUTED_VALUE"""),"Uncle Sams Cider (04/04/2023)")</f>
        <v>Uncle Sams Cider (04/04/2023)</v>
      </c>
      <c r="H3633" s="19"/>
    </row>
    <row r="3634">
      <c r="A3634" s="9"/>
      <c r="B3634" s="15"/>
      <c r="C3634" s="9">
        <f>IFERROR(__xludf.DUMMYFUNCTION("""COMPUTED_VALUE"""),45106.6313456365)</f>
        <v>45106.63135</v>
      </c>
      <c r="D3634" s="15">
        <f>IFERROR(__xludf.DUMMYFUNCTION("""COMPUTED_VALUE"""),1.004)</f>
        <v>1.004</v>
      </c>
      <c r="E3634" s="16">
        <f>IFERROR(__xludf.DUMMYFUNCTION("""COMPUTED_VALUE"""),70.0)</f>
        <v>70</v>
      </c>
      <c r="F3634" s="19" t="str">
        <f>IFERROR(__xludf.DUMMYFUNCTION("""COMPUTED_VALUE"""),"BLACK")</f>
        <v>BLACK</v>
      </c>
      <c r="G3634" s="20" t="str">
        <f>IFERROR(__xludf.DUMMYFUNCTION("""COMPUTED_VALUE"""),"Uncle Sams Cider (04/04/2023)")</f>
        <v>Uncle Sams Cider (04/04/2023)</v>
      </c>
      <c r="H3634" s="19"/>
    </row>
    <row r="3635">
      <c r="A3635" s="9"/>
      <c r="B3635" s="15"/>
      <c r="C3635" s="9">
        <f>IFERROR(__xludf.DUMMYFUNCTION("""COMPUTED_VALUE"""),45106.6209256828)</f>
        <v>45106.62093</v>
      </c>
      <c r="D3635" s="15">
        <f>IFERROR(__xludf.DUMMYFUNCTION("""COMPUTED_VALUE"""),1.005)</f>
        <v>1.005</v>
      </c>
      <c r="E3635" s="16">
        <f>IFERROR(__xludf.DUMMYFUNCTION("""COMPUTED_VALUE"""),70.0)</f>
        <v>70</v>
      </c>
      <c r="F3635" s="19" t="str">
        <f>IFERROR(__xludf.DUMMYFUNCTION("""COMPUTED_VALUE"""),"BLACK")</f>
        <v>BLACK</v>
      </c>
      <c r="G3635" s="20" t="str">
        <f>IFERROR(__xludf.DUMMYFUNCTION("""COMPUTED_VALUE"""),"Uncle Sams Cider (04/04/2023)")</f>
        <v>Uncle Sams Cider (04/04/2023)</v>
      </c>
      <c r="H3635" s="19"/>
    </row>
    <row r="3636">
      <c r="A3636" s="9"/>
      <c r="B3636" s="15"/>
      <c r="C3636" s="9">
        <f>IFERROR(__xludf.DUMMYFUNCTION("""COMPUTED_VALUE"""),45106.6104795601)</f>
        <v>45106.61048</v>
      </c>
      <c r="D3636" s="15">
        <f>IFERROR(__xludf.DUMMYFUNCTION("""COMPUTED_VALUE"""),1.004)</f>
        <v>1.004</v>
      </c>
      <c r="E3636" s="16">
        <f>IFERROR(__xludf.DUMMYFUNCTION("""COMPUTED_VALUE"""),70.0)</f>
        <v>70</v>
      </c>
      <c r="F3636" s="19" t="str">
        <f>IFERROR(__xludf.DUMMYFUNCTION("""COMPUTED_VALUE"""),"BLACK")</f>
        <v>BLACK</v>
      </c>
      <c r="G3636" s="20" t="str">
        <f>IFERROR(__xludf.DUMMYFUNCTION("""COMPUTED_VALUE"""),"Uncle Sams Cider (04/04/2023)")</f>
        <v>Uncle Sams Cider (04/04/2023)</v>
      </c>
      <c r="H3636" s="19"/>
    </row>
    <row r="3637">
      <c r="A3637" s="9"/>
      <c r="B3637" s="15"/>
      <c r="C3637" s="9">
        <f>IFERROR(__xludf.DUMMYFUNCTION("""COMPUTED_VALUE"""),45106.6000338888)</f>
        <v>45106.60003</v>
      </c>
      <c r="D3637" s="15">
        <f>IFERROR(__xludf.DUMMYFUNCTION("""COMPUTED_VALUE"""),1.004)</f>
        <v>1.004</v>
      </c>
      <c r="E3637" s="16">
        <f>IFERROR(__xludf.DUMMYFUNCTION("""COMPUTED_VALUE"""),70.0)</f>
        <v>70</v>
      </c>
      <c r="F3637" s="19" t="str">
        <f>IFERROR(__xludf.DUMMYFUNCTION("""COMPUTED_VALUE"""),"BLACK")</f>
        <v>BLACK</v>
      </c>
      <c r="G3637" s="20" t="str">
        <f>IFERROR(__xludf.DUMMYFUNCTION("""COMPUTED_VALUE"""),"Uncle Sams Cider (04/04/2023)")</f>
        <v>Uncle Sams Cider (04/04/2023)</v>
      </c>
      <c r="H3637" s="19"/>
    </row>
    <row r="3638">
      <c r="A3638" s="9"/>
      <c r="B3638" s="15"/>
      <c r="C3638" s="9">
        <f>IFERROR(__xludf.DUMMYFUNCTION("""COMPUTED_VALUE"""),45106.5896123726)</f>
        <v>45106.58961</v>
      </c>
      <c r="D3638" s="15">
        <f>IFERROR(__xludf.DUMMYFUNCTION("""COMPUTED_VALUE"""),1.004)</f>
        <v>1.004</v>
      </c>
      <c r="E3638" s="16">
        <f>IFERROR(__xludf.DUMMYFUNCTION("""COMPUTED_VALUE"""),70.0)</f>
        <v>70</v>
      </c>
      <c r="F3638" s="19" t="str">
        <f>IFERROR(__xludf.DUMMYFUNCTION("""COMPUTED_VALUE"""),"BLACK")</f>
        <v>BLACK</v>
      </c>
      <c r="G3638" s="20" t="str">
        <f>IFERROR(__xludf.DUMMYFUNCTION("""COMPUTED_VALUE"""),"Uncle Sams Cider (04/04/2023)")</f>
        <v>Uncle Sams Cider (04/04/2023)</v>
      </c>
      <c r="H3638" s="19"/>
    </row>
    <row r="3639">
      <c r="A3639" s="9"/>
      <c r="B3639" s="15"/>
      <c r="C3639" s="9">
        <f>IFERROR(__xludf.DUMMYFUNCTION("""COMPUTED_VALUE"""),45106.5791919791)</f>
        <v>45106.57919</v>
      </c>
      <c r="D3639" s="15">
        <f>IFERROR(__xludf.DUMMYFUNCTION("""COMPUTED_VALUE"""),1.004)</f>
        <v>1.004</v>
      </c>
      <c r="E3639" s="16">
        <f>IFERROR(__xludf.DUMMYFUNCTION("""COMPUTED_VALUE"""),70.0)</f>
        <v>70</v>
      </c>
      <c r="F3639" s="19" t="str">
        <f>IFERROR(__xludf.DUMMYFUNCTION("""COMPUTED_VALUE"""),"BLACK")</f>
        <v>BLACK</v>
      </c>
      <c r="G3639" s="20" t="str">
        <f>IFERROR(__xludf.DUMMYFUNCTION("""COMPUTED_VALUE"""),"Uncle Sams Cider (04/04/2023)")</f>
        <v>Uncle Sams Cider (04/04/2023)</v>
      </c>
      <c r="H3639" s="19"/>
    </row>
    <row r="3640">
      <c r="A3640" s="9"/>
      <c r="B3640" s="15"/>
      <c r="C3640" s="9">
        <f>IFERROR(__xludf.DUMMYFUNCTION("""COMPUTED_VALUE"""),45106.5687704051)</f>
        <v>45106.56877</v>
      </c>
      <c r="D3640" s="15">
        <f>IFERROR(__xludf.DUMMYFUNCTION("""COMPUTED_VALUE"""),1.005)</f>
        <v>1.005</v>
      </c>
      <c r="E3640" s="16">
        <f>IFERROR(__xludf.DUMMYFUNCTION("""COMPUTED_VALUE"""),70.0)</f>
        <v>70</v>
      </c>
      <c r="F3640" s="19" t="str">
        <f>IFERROR(__xludf.DUMMYFUNCTION("""COMPUTED_VALUE"""),"BLACK")</f>
        <v>BLACK</v>
      </c>
      <c r="G3640" s="20" t="str">
        <f>IFERROR(__xludf.DUMMYFUNCTION("""COMPUTED_VALUE"""),"Uncle Sams Cider (04/04/2023)")</f>
        <v>Uncle Sams Cider (04/04/2023)</v>
      </c>
      <c r="H3640" s="19"/>
    </row>
    <row r="3641">
      <c r="A3641" s="9"/>
      <c r="B3641" s="15"/>
      <c r="C3641" s="9">
        <f>IFERROR(__xludf.DUMMYFUNCTION("""COMPUTED_VALUE"""),45106.5583474652)</f>
        <v>45106.55835</v>
      </c>
      <c r="D3641" s="15">
        <f>IFERROR(__xludf.DUMMYFUNCTION("""COMPUTED_VALUE"""),1.005)</f>
        <v>1.005</v>
      </c>
      <c r="E3641" s="16">
        <f>IFERROR(__xludf.DUMMYFUNCTION("""COMPUTED_VALUE"""),70.0)</f>
        <v>70</v>
      </c>
      <c r="F3641" s="19" t="str">
        <f>IFERROR(__xludf.DUMMYFUNCTION("""COMPUTED_VALUE"""),"BLACK")</f>
        <v>BLACK</v>
      </c>
      <c r="G3641" s="20" t="str">
        <f>IFERROR(__xludf.DUMMYFUNCTION("""COMPUTED_VALUE"""),"Uncle Sams Cider (04/04/2023)")</f>
        <v>Uncle Sams Cider (04/04/2023)</v>
      </c>
      <c r="H3641" s="19"/>
    </row>
    <row r="3642">
      <c r="A3642" s="9"/>
      <c r="B3642" s="15"/>
      <c r="C3642" s="9">
        <f>IFERROR(__xludf.DUMMYFUNCTION("""COMPUTED_VALUE"""),45106.5479265046)</f>
        <v>45106.54793</v>
      </c>
      <c r="D3642" s="15">
        <f>IFERROR(__xludf.DUMMYFUNCTION("""COMPUTED_VALUE"""),1.004)</f>
        <v>1.004</v>
      </c>
      <c r="E3642" s="16">
        <f>IFERROR(__xludf.DUMMYFUNCTION("""COMPUTED_VALUE"""),70.0)</f>
        <v>70</v>
      </c>
      <c r="F3642" s="19" t="str">
        <f>IFERROR(__xludf.DUMMYFUNCTION("""COMPUTED_VALUE"""),"BLACK")</f>
        <v>BLACK</v>
      </c>
      <c r="G3642" s="20" t="str">
        <f>IFERROR(__xludf.DUMMYFUNCTION("""COMPUTED_VALUE"""),"Uncle Sams Cider (04/04/2023)")</f>
        <v>Uncle Sams Cider (04/04/2023)</v>
      </c>
      <c r="H3642" s="19"/>
    </row>
    <row r="3643">
      <c r="A3643" s="9"/>
      <c r="B3643" s="15"/>
      <c r="C3643" s="9">
        <f>IFERROR(__xludf.DUMMYFUNCTION("""COMPUTED_VALUE"""),45106.5374810879)</f>
        <v>45106.53748</v>
      </c>
      <c r="D3643" s="15">
        <f>IFERROR(__xludf.DUMMYFUNCTION("""COMPUTED_VALUE"""),1.004)</f>
        <v>1.004</v>
      </c>
      <c r="E3643" s="16">
        <f>IFERROR(__xludf.DUMMYFUNCTION("""COMPUTED_VALUE"""),70.0)</f>
        <v>70</v>
      </c>
      <c r="F3643" s="19" t="str">
        <f>IFERROR(__xludf.DUMMYFUNCTION("""COMPUTED_VALUE"""),"BLACK")</f>
        <v>BLACK</v>
      </c>
      <c r="G3643" s="20" t="str">
        <f>IFERROR(__xludf.DUMMYFUNCTION("""COMPUTED_VALUE"""),"Uncle Sams Cider (04/04/2023)")</f>
        <v>Uncle Sams Cider (04/04/2023)</v>
      </c>
      <c r="H3643" s="19"/>
    </row>
    <row r="3644">
      <c r="A3644" s="9"/>
      <c r="B3644" s="15"/>
      <c r="C3644" s="9">
        <f>IFERROR(__xludf.DUMMYFUNCTION("""COMPUTED_VALUE"""),45106.527059618)</f>
        <v>45106.52706</v>
      </c>
      <c r="D3644" s="15">
        <f>IFERROR(__xludf.DUMMYFUNCTION("""COMPUTED_VALUE"""),1.004)</f>
        <v>1.004</v>
      </c>
      <c r="E3644" s="16">
        <f>IFERROR(__xludf.DUMMYFUNCTION("""COMPUTED_VALUE"""),70.0)</f>
        <v>70</v>
      </c>
      <c r="F3644" s="19" t="str">
        <f>IFERROR(__xludf.DUMMYFUNCTION("""COMPUTED_VALUE"""),"BLACK")</f>
        <v>BLACK</v>
      </c>
      <c r="G3644" s="20" t="str">
        <f>IFERROR(__xludf.DUMMYFUNCTION("""COMPUTED_VALUE"""),"Uncle Sams Cider (04/04/2023)")</f>
        <v>Uncle Sams Cider (04/04/2023)</v>
      </c>
      <c r="H3644" s="19"/>
    </row>
    <row r="3645">
      <c r="A3645" s="9"/>
      <c r="B3645" s="15"/>
      <c r="C3645" s="9">
        <f>IFERROR(__xludf.DUMMYFUNCTION("""COMPUTED_VALUE"""),45106.5166386226)</f>
        <v>45106.51664</v>
      </c>
      <c r="D3645" s="15">
        <f>IFERROR(__xludf.DUMMYFUNCTION("""COMPUTED_VALUE"""),1.004)</f>
        <v>1.004</v>
      </c>
      <c r="E3645" s="16">
        <f>IFERROR(__xludf.DUMMYFUNCTION("""COMPUTED_VALUE"""),70.0)</f>
        <v>70</v>
      </c>
      <c r="F3645" s="19" t="str">
        <f>IFERROR(__xludf.DUMMYFUNCTION("""COMPUTED_VALUE"""),"BLACK")</f>
        <v>BLACK</v>
      </c>
      <c r="G3645" s="20" t="str">
        <f>IFERROR(__xludf.DUMMYFUNCTION("""COMPUTED_VALUE"""),"Uncle Sams Cider (04/04/2023)")</f>
        <v>Uncle Sams Cider (04/04/2023)</v>
      </c>
      <c r="H3645" s="19"/>
    </row>
    <row r="3646">
      <c r="A3646" s="9"/>
      <c r="B3646" s="15"/>
      <c r="C3646" s="9">
        <f>IFERROR(__xludf.DUMMYFUNCTION("""COMPUTED_VALUE"""),45106.5062057407)</f>
        <v>45106.50621</v>
      </c>
      <c r="D3646" s="15">
        <f>IFERROR(__xludf.DUMMYFUNCTION("""COMPUTED_VALUE"""),1.004)</f>
        <v>1.004</v>
      </c>
      <c r="E3646" s="16">
        <f>IFERROR(__xludf.DUMMYFUNCTION("""COMPUTED_VALUE"""),70.0)</f>
        <v>70</v>
      </c>
      <c r="F3646" s="19" t="str">
        <f>IFERROR(__xludf.DUMMYFUNCTION("""COMPUTED_VALUE"""),"BLACK")</f>
        <v>BLACK</v>
      </c>
      <c r="G3646" s="20" t="str">
        <f>IFERROR(__xludf.DUMMYFUNCTION("""COMPUTED_VALUE"""),"Uncle Sams Cider (04/04/2023)")</f>
        <v>Uncle Sams Cider (04/04/2023)</v>
      </c>
      <c r="H3646" s="19"/>
    </row>
    <row r="3647">
      <c r="A3647" s="9"/>
      <c r="B3647" s="15"/>
      <c r="C3647" s="9">
        <f>IFERROR(__xludf.DUMMYFUNCTION("""COMPUTED_VALUE"""),45106.4957846875)</f>
        <v>45106.49578</v>
      </c>
      <c r="D3647" s="15">
        <f>IFERROR(__xludf.DUMMYFUNCTION("""COMPUTED_VALUE"""),1.004)</f>
        <v>1.004</v>
      </c>
      <c r="E3647" s="16">
        <f>IFERROR(__xludf.DUMMYFUNCTION("""COMPUTED_VALUE"""),70.0)</f>
        <v>70</v>
      </c>
      <c r="F3647" s="19" t="str">
        <f>IFERROR(__xludf.DUMMYFUNCTION("""COMPUTED_VALUE"""),"BLACK")</f>
        <v>BLACK</v>
      </c>
      <c r="G3647" s="20" t="str">
        <f>IFERROR(__xludf.DUMMYFUNCTION("""COMPUTED_VALUE"""),"Uncle Sams Cider (04/04/2023)")</f>
        <v>Uncle Sams Cider (04/04/2023)</v>
      </c>
      <c r="H3647" s="19"/>
    </row>
    <row r="3648">
      <c r="A3648" s="9"/>
      <c r="B3648" s="15"/>
      <c r="C3648" s="9">
        <f>IFERROR(__xludf.DUMMYFUNCTION("""COMPUTED_VALUE"""),45106.4853510416)</f>
        <v>45106.48535</v>
      </c>
      <c r="D3648" s="15">
        <f>IFERROR(__xludf.DUMMYFUNCTION("""COMPUTED_VALUE"""),1.004)</f>
        <v>1.004</v>
      </c>
      <c r="E3648" s="16">
        <f>IFERROR(__xludf.DUMMYFUNCTION("""COMPUTED_VALUE"""),70.0)</f>
        <v>70</v>
      </c>
      <c r="F3648" s="19" t="str">
        <f>IFERROR(__xludf.DUMMYFUNCTION("""COMPUTED_VALUE"""),"BLACK")</f>
        <v>BLACK</v>
      </c>
      <c r="G3648" s="20" t="str">
        <f>IFERROR(__xludf.DUMMYFUNCTION("""COMPUTED_VALUE"""),"Uncle Sams Cider (04/04/2023)")</f>
        <v>Uncle Sams Cider (04/04/2023)</v>
      </c>
      <c r="H3648" s="19"/>
    </row>
    <row r="3649">
      <c r="A3649" s="9"/>
      <c r="B3649" s="15"/>
      <c r="C3649" s="9">
        <f>IFERROR(__xludf.DUMMYFUNCTION("""COMPUTED_VALUE"""),45106.4749299652)</f>
        <v>45106.47493</v>
      </c>
      <c r="D3649" s="15">
        <f>IFERROR(__xludf.DUMMYFUNCTION("""COMPUTED_VALUE"""),1.005)</f>
        <v>1.005</v>
      </c>
      <c r="E3649" s="16">
        <f>IFERROR(__xludf.DUMMYFUNCTION("""COMPUTED_VALUE"""),70.0)</f>
        <v>70</v>
      </c>
      <c r="F3649" s="19" t="str">
        <f>IFERROR(__xludf.DUMMYFUNCTION("""COMPUTED_VALUE"""),"BLACK")</f>
        <v>BLACK</v>
      </c>
      <c r="G3649" s="20" t="str">
        <f>IFERROR(__xludf.DUMMYFUNCTION("""COMPUTED_VALUE"""),"Uncle Sams Cider (04/04/2023)")</f>
        <v>Uncle Sams Cider (04/04/2023)</v>
      </c>
      <c r="H3649" s="19"/>
    </row>
    <row r="3650">
      <c r="A3650" s="9"/>
      <c r="B3650" s="15"/>
      <c r="C3650" s="9">
        <f>IFERROR(__xludf.DUMMYFUNCTION("""COMPUTED_VALUE"""),45106.4645089467)</f>
        <v>45106.46451</v>
      </c>
      <c r="D3650" s="15">
        <f>IFERROR(__xludf.DUMMYFUNCTION("""COMPUTED_VALUE"""),1.004)</f>
        <v>1.004</v>
      </c>
      <c r="E3650" s="16">
        <f>IFERROR(__xludf.DUMMYFUNCTION("""COMPUTED_VALUE"""),70.0)</f>
        <v>70</v>
      </c>
      <c r="F3650" s="19" t="str">
        <f>IFERROR(__xludf.DUMMYFUNCTION("""COMPUTED_VALUE"""),"BLACK")</f>
        <v>BLACK</v>
      </c>
      <c r="G3650" s="20" t="str">
        <f>IFERROR(__xludf.DUMMYFUNCTION("""COMPUTED_VALUE"""),"Uncle Sams Cider (04/04/2023)")</f>
        <v>Uncle Sams Cider (04/04/2023)</v>
      </c>
      <c r="H3650" s="19"/>
    </row>
    <row r="3651">
      <c r="A3651" s="9"/>
      <c r="B3651" s="15"/>
      <c r="C3651" s="9">
        <f>IFERROR(__xludf.DUMMYFUNCTION("""COMPUTED_VALUE"""),45106.4436635879)</f>
        <v>45106.44366</v>
      </c>
      <c r="D3651" s="15">
        <f>IFERROR(__xludf.DUMMYFUNCTION("""COMPUTED_VALUE"""),1.004)</f>
        <v>1.004</v>
      </c>
      <c r="E3651" s="16">
        <f>IFERROR(__xludf.DUMMYFUNCTION("""COMPUTED_VALUE"""),70.0)</f>
        <v>70</v>
      </c>
      <c r="F3651" s="19" t="str">
        <f>IFERROR(__xludf.DUMMYFUNCTION("""COMPUTED_VALUE"""),"BLACK")</f>
        <v>BLACK</v>
      </c>
      <c r="G3651" s="20" t="str">
        <f>IFERROR(__xludf.DUMMYFUNCTION("""COMPUTED_VALUE"""),"Uncle Sams Cider (04/04/2023)")</f>
        <v>Uncle Sams Cider (04/04/2023)</v>
      </c>
      <c r="H3651" s="19"/>
    </row>
    <row r="3652">
      <c r="A3652" s="9"/>
      <c r="B3652" s="15"/>
      <c r="C3652" s="9">
        <f>IFERROR(__xludf.DUMMYFUNCTION("""COMPUTED_VALUE"""),45106.4332190509)</f>
        <v>45106.43322</v>
      </c>
      <c r="D3652" s="15">
        <f>IFERROR(__xludf.DUMMYFUNCTION("""COMPUTED_VALUE"""),1.005)</f>
        <v>1.005</v>
      </c>
      <c r="E3652" s="16">
        <f>IFERROR(__xludf.DUMMYFUNCTION("""COMPUTED_VALUE"""),70.0)</f>
        <v>70</v>
      </c>
      <c r="F3652" s="19" t="str">
        <f>IFERROR(__xludf.DUMMYFUNCTION("""COMPUTED_VALUE"""),"BLACK")</f>
        <v>BLACK</v>
      </c>
      <c r="G3652" s="20" t="str">
        <f>IFERROR(__xludf.DUMMYFUNCTION("""COMPUTED_VALUE"""),"Uncle Sams Cider (04/04/2023)")</f>
        <v>Uncle Sams Cider (04/04/2023)</v>
      </c>
      <c r="H3652" s="19"/>
    </row>
    <row r="3653">
      <c r="A3653" s="9"/>
      <c r="B3653" s="15"/>
      <c r="C3653" s="9">
        <f>IFERROR(__xludf.DUMMYFUNCTION("""COMPUTED_VALUE"""),45106.4227983449)</f>
        <v>45106.4228</v>
      </c>
      <c r="D3653" s="15">
        <f>IFERROR(__xludf.DUMMYFUNCTION("""COMPUTED_VALUE"""),1.004)</f>
        <v>1.004</v>
      </c>
      <c r="E3653" s="16">
        <f>IFERROR(__xludf.DUMMYFUNCTION("""COMPUTED_VALUE"""),70.0)</f>
        <v>70</v>
      </c>
      <c r="F3653" s="19" t="str">
        <f>IFERROR(__xludf.DUMMYFUNCTION("""COMPUTED_VALUE"""),"BLACK")</f>
        <v>BLACK</v>
      </c>
      <c r="G3653" s="20" t="str">
        <f>IFERROR(__xludf.DUMMYFUNCTION("""COMPUTED_VALUE"""),"Uncle Sams Cider (04/04/2023)")</f>
        <v>Uncle Sams Cider (04/04/2023)</v>
      </c>
      <c r="H3653" s="19"/>
    </row>
    <row r="3654">
      <c r="A3654" s="9"/>
      <c r="B3654" s="15"/>
      <c r="C3654" s="9">
        <f>IFERROR(__xludf.DUMMYFUNCTION("""COMPUTED_VALUE"""),45106.412364155)</f>
        <v>45106.41236</v>
      </c>
      <c r="D3654" s="15">
        <f>IFERROR(__xludf.DUMMYFUNCTION("""COMPUTED_VALUE"""),1.004)</f>
        <v>1.004</v>
      </c>
      <c r="E3654" s="16">
        <f>IFERROR(__xludf.DUMMYFUNCTION("""COMPUTED_VALUE"""),70.0)</f>
        <v>70</v>
      </c>
      <c r="F3654" s="19" t="str">
        <f>IFERROR(__xludf.DUMMYFUNCTION("""COMPUTED_VALUE"""),"BLACK")</f>
        <v>BLACK</v>
      </c>
      <c r="G3654" s="20" t="str">
        <f>IFERROR(__xludf.DUMMYFUNCTION("""COMPUTED_VALUE"""),"Uncle Sams Cider (04/04/2023)")</f>
        <v>Uncle Sams Cider (04/04/2023)</v>
      </c>
      <c r="H3654" s="19"/>
    </row>
    <row r="3655">
      <c r="A3655" s="9"/>
      <c r="B3655" s="15"/>
      <c r="C3655" s="9">
        <f>IFERROR(__xludf.DUMMYFUNCTION("""COMPUTED_VALUE"""),45106.4019423379)</f>
        <v>45106.40194</v>
      </c>
      <c r="D3655" s="15">
        <f>IFERROR(__xludf.DUMMYFUNCTION("""COMPUTED_VALUE"""),1.005)</f>
        <v>1.005</v>
      </c>
      <c r="E3655" s="16">
        <f>IFERROR(__xludf.DUMMYFUNCTION("""COMPUTED_VALUE"""),70.0)</f>
        <v>70</v>
      </c>
      <c r="F3655" s="19" t="str">
        <f>IFERROR(__xludf.DUMMYFUNCTION("""COMPUTED_VALUE"""),"BLACK")</f>
        <v>BLACK</v>
      </c>
      <c r="G3655" s="20" t="str">
        <f>IFERROR(__xludf.DUMMYFUNCTION("""COMPUTED_VALUE"""),"Uncle Sams Cider (04/04/2023)")</f>
        <v>Uncle Sams Cider (04/04/2023)</v>
      </c>
      <c r="H3655" s="19"/>
    </row>
    <row r="3656">
      <c r="A3656" s="9"/>
      <c r="B3656" s="15"/>
      <c r="C3656" s="9">
        <f>IFERROR(__xludf.DUMMYFUNCTION("""COMPUTED_VALUE"""),45106.3915178703)</f>
        <v>45106.39152</v>
      </c>
      <c r="D3656" s="15">
        <f>IFERROR(__xludf.DUMMYFUNCTION("""COMPUTED_VALUE"""),1.004)</f>
        <v>1.004</v>
      </c>
      <c r="E3656" s="16">
        <f>IFERROR(__xludf.DUMMYFUNCTION("""COMPUTED_VALUE"""),70.0)</f>
        <v>70</v>
      </c>
      <c r="F3656" s="19" t="str">
        <f>IFERROR(__xludf.DUMMYFUNCTION("""COMPUTED_VALUE"""),"BLACK")</f>
        <v>BLACK</v>
      </c>
      <c r="G3656" s="20" t="str">
        <f>IFERROR(__xludf.DUMMYFUNCTION("""COMPUTED_VALUE"""),"Uncle Sams Cider (04/04/2023)")</f>
        <v>Uncle Sams Cider (04/04/2023)</v>
      </c>
      <c r="H3656" s="19"/>
    </row>
    <row r="3657">
      <c r="A3657" s="9"/>
      <c r="B3657" s="15"/>
      <c r="C3657" s="9">
        <f>IFERROR(__xludf.DUMMYFUNCTION("""COMPUTED_VALUE"""),45106.3810979166)</f>
        <v>45106.3811</v>
      </c>
      <c r="D3657" s="15">
        <f>IFERROR(__xludf.DUMMYFUNCTION("""COMPUTED_VALUE"""),1.004)</f>
        <v>1.004</v>
      </c>
      <c r="E3657" s="16">
        <f>IFERROR(__xludf.DUMMYFUNCTION("""COMPUTED_VALUE"""),70.0)</f>
        <v>70</v>
      </c>
      <c r="F3657" s="19" t="str">
        <f>IFERROR(__xludf.DUMMYFUNCTION("""COMPUTED_VALUE"""),"BLACK")</f>
        <v>BLACK</v>
      </c>
      <c r="G3657" s="20" t="str">
        <f>IFERROR(__xludf.DUMMYFUNCTION("""COMPUTED_VALUE"""),"Uncle Sams Cider (04/04/2023)")</f>
        <v>Uncle Sams Cider (04/04/2023)</v>
      </c>
      <c r="H3657" s="19"/>
    </row>
    <row r="3658">
      <c r="A3658" s="9"/>
      <c r="B3658" s="15"/>
      <c r="C3658" s="9">
        <f>IFERROR(__xludf.DUMMYFUNCTION("""COMPUTED_VALUE"""),45106.3706781713)</f>
        <v>45106.37068</v>
      </c>
      <c r="D3658" s="15">
        <f>IFERROR(__xludf.DUMMYFUNCTION("""COMPUTED_VALUE"""),1.005)</f>
        <v>1.005</v>
      </c>
      <c r="E3658" s="16">
        <f>IFERROR(__xludf.DUMMYFUNCTION("""COMPUTED_VALUE"""),70.0)</f>
        <v>70</v>
      </c>
      <c r="F3658" s="19" t="str">
        <f>IFERROR(__xludf.DUMMYFUNCTION("""COMPUTED_VALUE"""),"BLACK")</f>
        <v>BLACK</v>
      </c>
      <c r="G3658" s="20" t="str">
        <f>IFERROR(__xludf.DUMMYFUNCTION("""COMPUTED_VALUE"""),"Uncle Sams Cider (04/04/2023)")</f>
        <v>Uncle Sams Cider (04/04/2023)</v>
      </c>
      <c r="H3658" s="19"/>
    </row>
    <row r="3659">
      <c r="A3659" s="9"/>
      <c r="B3659" s="15"/>
      <c r="C3659" s="9">
        <f>IFERROR(__xludf.DUMMYFUNCTION("""COMPUTED_VALUE"""),45106.3602577083)</f>
        <v>45106.36026</v>
      </c>
      <c r="D3659" s="15">
        <f>IFERROR(__xludf.DUMMYFUNCTION("""COMPUTED_VALUE"""),1.005)</f>
        <v>1.005</v>
      </c>
      <c r="E3659" s="16">
        <f>IFERROR(__xludf.DUMMYFUNCTION("""COMPUTED_VALUE"""),70.0)</f>
        <v>70</v>
      </c>
      <c r="F3659" s="19" t="str">
        <f>IFERROR(__xludf.DUMMYFUNCTION("""COMPUTED_VALUE"""),"BLACK")</f>
        <v>BLACK</v>
      </c>
      <c r="G3659" s="20" t="str">
        <f>IFERROR(__xludf.DUMMYFUNCTION("""COMPUTED_VALUE"""),"Uncle Sams Cider (04/04/2023)")</f>
        <v>Uncle Sams Cider (04/04/2023)</v>
      </c>
      <c r="H3659" s="19"/>
    </row>
    <row r="3660">
      <c r="A3660" s="9"/>
      <c r="B3660" s="15"/>
      <c r="C3660" s="9">
        <f>IFERROR(__xludf.DUMMYFUNCTION("""COMPUTED_VALUE"""),45106.3394165856)</f>
        <v>45106.33942</v>
      </c>
      <c r="D3660" s="15">
        <f>IFERROR(__xludf.DUMMYFUNCTION("""COMPUTED_VALUE"""),1.004)</f>
        <v>1.004</v>
      </c>
      <c r="E3660" s="16">
        <f>IFERROR(__xludf.DUMMYFUNCTION("""COMPUTED_VALUE"""),70.0)</f>
        <v>70</v>
      </c>
      <c r="F3660" s="19" t="str">
        <f>IFERROR(__xludf.DUMMYFUNCTION("""COMPUTED_VALUE"""),"BLACK")</f>
        <v>BLACK</v>
      </c>
      <c r="G3660" s="20" t="str">
        <f>IFERROR(__xludf.DUMMYFUNCTION("""COMPUTED_VALUE"""),"Uncle Sams Cider (04/04/2023)")</f>
        <v>Uncle Sams Cider (04/04/2023)</v>
      </c>
      <c r="H3660" s="19"/>
    </row>
    <row r="3661">
      <c r="A3661" s="9"/>
      <c r="B3661" s="15"/>
      <c r="C3661" s="9">
        <f>IFERROR(__xludf.DUMMYFUNCTION("""COMPUTED_VALUE"""),45106.3289951388)</f>
        <v>45106.329</v>
      </c>
      <c r="D3661" s="15">
        <f>IFERROR(__xludf.DUMMYFUNCTION("""COMPUTED_VALUE"""),1.005)</f>
        <v>1.005</v>
      </c>
      <c r="E3661" s="16">
        <f>IFERROR(__xludf.DUMMYFUNCTION("""COMPUTED_VALUE"""),70.0)</f>
        <v>70</v>
      </c>
      <c r="F3661" s="19" t="str">
        <f>IFERROR(__xludf.DUMMYFUNCTION("""COMPUTED_VALUE"""),"BLACK")</f>
        <v>BLACK</v>
      </c>
      <c r="G3661" s="20" t="str">
        <f>IFERROR(__xludf.DUMMYFUNCTION("""COMPUTED_VALUE"""),"Uncle Sams Cider (04/04/2023)")</f>
        <v>Uncle Sams Cider (04/04/2023)</v>
      </c>
      <c r="H3661" s="19"/>
    </row>
    <row r="3662">
      <c r="A3662" s="9"/>
      <c r="B3662" s="15"/>
      <c r="C3662" s="9">
        <f>IFERROR(__xludf.DUMMYFUNCTION("""COMPUTED_VALUE"""),45106.3185729051)</f>
        <v>45106.31857</v>
      </c>
      <c r="D3662" s="15">
        <f>IFERROR(__xludf.DUMMYFUNCTION("""COMPUTED_VALUE"""),1.004)</f>
        <v>1.004</v>
      </c>
      <c r="E3662" s="16">
        <f>IFERROR(__xludf.DUMMYFUNCTION("""COMPUTED_VALUE"""),70.0)</f>
        <v>70</v>
      </c>
      <c r="F3662" s="19" t="str">
        <f>IFERROR(__xludf.DUMMYFUNCTION("""COMPUTED_VALUE"""),"BLACK")</f>
        <v>BLACK</v>
      </c>
      <c r="G3662" s="20" t="str">
        <f>IFERROR(__xludf.DUMMYFUNCTION("""COMPUTED_VALUE"""),"Uncle Sams Cider (04/04/2023)")</f>
        <v>Uncle Sams Cider (04/04/2023)</v>
      </c>
      <c r="H3662" s="19"/>
    </row>
    <row r="3663">
      <c r="A3663" s="9"/>
      <c r="B3663" s="15"/>
      <c r="C3663" s="9">
        <f>IFERROR(__xludf.DUMMYFUNCTION("""COMPUTED_VALUE"""),45106.3081513657)</f>
        <v>45106.30815</v>
      </c>
      <c r="D3663" s="15">
        <f>IFERROR(__xludf.DUMMYFUNCTION("""COMPUTED_VALUE"""),1.005)</f>
        <v>1.005</v>
      </c>
      <c r="E3663" s="16">
        <f>IFERROR(__xludf.DUMMYFUNCTION("""COMPUTED_VALUE"""),70.0)</f>
        <v>70</v>
      </c>
      <c r="F3663" s="19" t="str">
        <f>IFERROR(__xludf.DUMMYFUNCTION("""COMPUTED_VALUE"""),"BLACK")</f>
        <v>BLACK</v>
      </c>
      <c r="G3663" s="20" t="str">
        <f>IFERROR(__xludf.DUMMYFUNCTION("""COMPUTED_VALUE"""),"Uncle Sams Cider (04/04/2023)")</f>
        <v>Uncle Sams Cider (04/04/2023)</v>
      </c>
      <c r="H3663" s="19"/>
    </row>
    <row r="3664">
      <c r="A3664" s="9"/>
      <c r="B3664" s="15"/>
      <c r="C3664" s="9">
        <f>IFERROR(__xludf.DUMMYFUNCTION("""COMPUTED_VALUE"""),45106.297720405)</f>
        <v>45106.29772</v>
      </c>
      <c r="D3664" s="15">
        <f>IFERROR(__xludf.DUMMYFUNCTION("""COMPUTED_VALUE"""),1.004)</f>
        <v>1.004</v>
      </c>
      <c r="E3664" s="16">
        <f>IFERROR(__xludf.DUMMYFUNCTION("""COMPUTED_VALUE"""),70.0)</f>
        <v>70</v>
      </c>
      <c r="F3664" s="19" t="str">
        <f>IFERROR(__xludf.DUMMYFUNCTION("""COMPUTED_VALUE"""),"BLACK")</f>
        <v>BLACK</v>
      </c>
      <c r="G3664" s="20" t="str">
        <f>IFERROR(__xludf.DUMMYFUNCTION("""COMPUTED_VALUE"""),"Uncle Sams Cider (04/04/2023)")</f>
        <v>Uncle Sams Cider (04/04/2023)</v>
      </c>
      <c r="H3664" s="19"/>
    </row>
    <row r="3665">
      <c r="A3665" s="9"/>
      <c r="B3665" s="15"/>
      <c r="C3665" s="9">
        <f>IFERROR(__xludf.DUMMYFUNCTION("""COMPUTED_VALUE"""),45106.2872756134)</f>
        <v>45106.28728</v>
      </c>
      <c r="D3665" s="15">
        <f>IFERROR(__xludf.DUMMYFUNCTION("""COMPUTED_VALUE"""),1.004)</f>
        <v>1.004</v>
      </c>
      <c r="E3665" s="16">
        <f>IFERROR(__xludf.DUMMYFUNCTION("""COMPUTED_VALUE"""),70.0)</f>
        <v>70</v>
      </c>
      <c r="F3665" s="19" t="str">
        <f>IFERROR(__xludf.DUMMYFUNCTION("""COMPUTED_VALUE"""),"BLACK")</f>
        <v>BLACK</v>
      </c>
      <c r="G3665" s="20" t="str">
        <f>IFERROR(__xludf.DUMMYFUNCTION("""COMPUTED_VALUE"""),"Uncle Sams Cider (04/04/2023)")</f>
        <v>Uncle Sams Cider (04/04/2023)</v>
      </c>
      <c r="H3665" s="19"/>
    </row>
    <row r="3666">
      <c r="A3666" s="9"/>
      <c r="B3666" s="15"/>
      <c r="C3666" s="9">
        <f>IFERROR(__xludf.DUMMYFUNCTION("""COMPUTED_VALUE"""),45106.2768433217)</f>
        <v>45106.27684</v>
      </c>
      <c r="D3666" s="15">
        <f>IFERROR(__xludf.DUMMYFUNCTION("""COMPUTED_VALUE"""),1.004)</f>
        <v>1.004</v>
      </c>
      <c r="E3666" s="16">
        <f>IFERROR(__xludf.DUMMYFUNCTION("""COMPUTED_VALUE"""),70.0)</f>
        <v>70</v>
      </c>
      <c r="F3666" s="19" t="str">
        <f>IFERROR(__xludf.DUMMYFUNCTION("""COMPUTED_VALUE"""),"BLACK")</f>
        <v>BLACK</v>
      </c>
      <c r="G3666" s="20" t="str">
        <f>IFERROR(__xludf.DUMMYFUNCTION("""COMPUTED_VALUE"""),"Uncle Sams Cider (04/04/2023)")</f>
        <v>Uncle Sams Cider (04/04/2023)</v>
      </c>
      <c r="H3666" s="19"/>
    </row>
    <row r="3667">
      <c r="A3667" s="9"/>
      <c r="B3667" s="15"/>
      <c r="C3667" s="9">
        <f>IFERROR(__xludf.DUMMYFUNCTION("""COMPUTED_VALUE"""),45106.2664208912)</f>
        <v>45106.26642</v>
      </c>
      <c r="D3667" s="15">
        <f>IFERROR(__xludf.DUMMYFUNCTION("""COMPUTED_VALUE"""),1.004)</f>
        <v>1.004</v>
      </c>
      <c r="E3667" s="16">
        <f>IFERROR(__xludf.DUMMYFUNCTION("""COMPUTED_VALUE"""),70.0)</f>
        <v>70</v>
      </c>
      <c r="F3667" s="19" t="str">
        <f>IFERROR(__xludf.DUMMYFUNCTION("""COMPUTED_VALUE"""),"BLACK")</f>
        <v>BLACK</v>
      </c>
      <c r="G3667" s="20" t="str">
        <f>IFERROR(__xludf.DUMMYFUNCTION("""COMPUTED_VALUE"""),"Uncle Sams Cider (04/04/2023)")</f>
        <v>Uncle Sams Cider (04/04/2023)</v>
      </c>
      <c r="H3667" s="19"/>
    </row>
    <row r="3668">
      <c r="A3668" s="9"/>
      <c r="B3668" s="15"/>
      <c r="C3668" s="9">
        <f>IFERROR(__xludf.DUMMYFUNCTION("""COMPUTED_VALUE"""),45106.2559990046)</f>
        <v>45106.256</v>
      </c>
      <c r="D3668" s="15">
        <f>IFERROR(__xludf.DUMMYFUNCTION("""COMPUTED_VALUE"""),1.005)</f>
        <v>1.005</v>
      </c>
      <c r="E3668" s="16">
        <f>IFERROR(__xludf.DUMMYFUNCTION("""COMPUTED_VALUE"""),70.0)</f>
        <v>70</v>
      </c>
      <c r="F3668" s="19" t="str">
        <f>IFERROR(__xludf.DUMMYFUNCTION("""COMPUTED_VALUE"""),"BLACK")</f>
        <v>BLACK</v>
      </c>
      <c r="G3668" s="20" t="str">
        <f>IFERROR(__xludf.DUMMYFUNCTION("""COMPUTED_VALUE"""),"Uncle Sams Cider (04/04/2023)")</f>
        <v>Uncle Sams Cider (04/04/2023)</v>
      </c>
      <c r="H3668" s="19"/>
    </row>
    <row r="3669">
      <c r="A3669" s="9"/>
      <c r="B3669" s="15"/>
      <c r="C3669" s="9">
        <f>IFERROR(__xludf.DUMMYFUNCTION("""COMPUTED_VALUE"""),45106.2455780208)</f>
        <v>45106.24558</v>
      </c>
      <c r="D3669" s="15">
        <f>IFERROR(__xludf.DUMMYFUNCTION("""COMPUTED_VALUE"""),1.004)</f>
        <v>1.004</v>
      </c>
      <c r="E3669" s="16">
        <f>IFERROR(__xludf.DUMMYFUNCTION("""COMPUTED_VALUE"""),70.0)</f>
        <v>70</v>
      </c>
      <c r="F3669" s="19" t="str">
        <f>IFERROR(__xludf.DUMMYFUNCTION("""COMPUTED_VALUE"""),"BLACK")</f>
        <v>BLACK</v>
      </c>
      <c r="G3669" s="20" t="str">
        <f>IFERROR(__xludf.DUMMYFUNCTION("""COMPUTED_VALUE"""),"Uncle Sams Cider (04/04/2023)")</f>
        <v>Uncle Sams Cider (04/04/2023)</v>
      </c>
      <c r="H3669" s="19"/>
    </row>
    <row r="3670">
      <c r="A3670" s="9"/>
      <c r="B3670" s="15"/>
      <c r="C3670" s="9">
        <f>IFERROR(__xludf.DUMMYFUNCTION("""COMPUTED_VALUE"""),45106.2351570138)</f>
        <v>45106.23516</v>
      </c>
      <c r="D3670" s="15">
        <f>IFERROR(__xludf.DUMMYFUNCTION("""COMPUTED_VALUE"""),1.005)</f>
        <v>1.005</v>
      </c>
      <c r="E3670" s="16">
        <f>IFERROR(__xludf.DUMMYFUNCTION("""COMPUTED_VALUE"""),70.0)</f>
        <v>70</v>
      </c>
      <c r="F3670" s="19" t="str">
        <f>IFERROR(__xludf.DUMMYFUNCTION("""COMPUTED_VALUE"""),"BLACK")</f>
        <v>BLACK</v>
      </c>
      <c r="G3670" s="20" t="str">
        <f>IFERROR(__xludf.DUMMYFUNCTION("""COMPUTED_VALUE"""),"Uncle Sams Cider (04/04/2023)")</f>
        <v>Uncle Sams Cider (04/04/2023)</v>
      </c>
      <c r="H3670" s="19"/>
    </row>
    <row r="3671">
      <c r="A3671" s="9"/>
      <c r="B3671" s="15"/>
      <c r="C3671" s="9">
        <f>IFERROR(__xludf.DUMMYFUNCTION("""COMPUTED_VALUE"""),45106.2247143865)</f>
        <v>45106.22471</v>
      </c>
      <c r="D3671" s="15">
        <f>IFERROR(__xludf.DUMMYFUNCTION("""COMPUTED_VALUE"""),1.005)</f>
        <v>1.005</v>
      </c>
      <c r="E3671" s="16">
        <f>IFERROR(__xludf.DUMMYFUNCTION("""COMPUTED_VALUE"""),70.0)</f>
        <v>70</v>
      </c>
      <c r="F3671" s="19" t="str">
        <f>IFERROR(__xludf.DUMMYFUNCTION("""COMPUTED_VALUE"""),"BLACK")</f>
        <v>BLACK</v>
      </c>
      <c r="G3671" s="20" t="str">
        <f>IFERROR(__xludf.DUMMYFUNCTION("""COMPUTED_VALUE"""),"Uncle Sams Cider (04/04/2023)")</f>
        <v>Uncle Sams Cider (04/04/2023)</v>
      </c>
      <c r="H3671" s="19"/>
    </row>
    <row r="3672">
      <c r="A3672" s="9"/>
      <c r="B3672" s="15"/>
      <c r="C3672" s="9">
        <f>IFERROR(__xludf.DUMMYFUNCTION("""COMPUTED_VALUE"""),45106.2142470486)</f>
        <v>45106.21425</v>
      </c>
      <c r="D3672" s="15">
        <f>IFERROR(__xludf.DUMMYFUNCTION("""COMPUTED_VALUE"""),1.005)</f>
        <v>1.005</v>
      </c>
      <c r="E3672" s="16">
        <f>IFERROR(__xludf.DUMMYFUNCTION("""COMPUTED_VALUE"""),70.0)</f>
        <v>70</v>
      </c>
      <c r="F3672" s="19" t="str">
        <f>IFERROR(__xludf.DUMMYFUNCTION("""COMPUTED_VALUE"""),"BLACK")</f>
        <v>BLACK</v>
      </c>
      <c r="G3672" s="20" t="str">
        <f>IFERROR(__xludf.DUMMYFUNCTION("""COMPUTED_VALUE"""),"Uncle Sams Cider (04/04/2023)")</f>
        <v>Uncle Sams Cider (04/04/2023)</v>
      </c>
      <c r="H3672" s="19"/>
    </row>
    <row r="3673">
      <c r="A3673" s="9"/>
      <c r="B3673" s="15"/>
      <c r="C3673" s="9">
        <f>IFERROR(__xludf.DUMMYFUNCTION("""COMPUTED_VALUE"""),45106.2038242013)</f>
        <v>45106.20382</v>
      </c>
      <c r="D3673" s="15">
        <f>IFERROR(__xludf.DUMMYFUNCTION("""COMPUTED_VALUE"""),1.005)</f>
        <v>1.005</v>
      </c>
      <c r="E3673" s="16">
        <f>IFERROR(__xludf.DUMMYFUNCTION("""COMPUTED_VALUE"""),70.0)</f>
        <v>70</v>
      </c>
      <c r="F3673" s="19" t="str">
        <f>IFERROR(__xludf.DUMMYFUNCTION("""COMPUTED_VALUE"""),"BLACK")</f>
        <v>BLACK</v>
      </c>
      <c r="G3673" s="20" t="str">
        <f>IFERROR(__xludf.DUMMYFUNCTION("""COMPUTED_VALUE"""),"Uncle Sams Cider (04/04/2023)")</f>
        <v>Uncle Sams Cider (04/04/2023)</v>
      </c>
      <c r="H3673" s="19"/>
    </row>
    <row r="3674">
      <c r="A3674" s="9"/>
      <c r="B3674" s="15"/>
      <c r="C3674" s="9">
        <f>IFERROR(__xludf.DUMMYFUNCTION("""COMPUTED_VALUE"""),45106.1934011458)</f>
        <v>45106.1934</v>
      </c>
      <c r="D3674" s="15">
        <f>IFERROR(__xludf.DUMMYFUNCTION("""COMPUTED_VALUE"""),1.004)</f>
        <v>1.004</v>
      </c>
      <c r="E3674" s="16">
        <f>IFERROR(__xludf.DUMMYFUNCTION("""COMPUTED_VALUE"""),70.0)</f>
        <v>70</v>
      </c>
      <c r="F3674" s="19" t="str">
        <f>IFERROR(__xludf.DUMMYFUNCTION("""COMPUTED_VALUE"""),"BLACK")</f>
        <v>BLACK</v>
      </c>
      <c r="G3674" s="20" t="str">
        <f>IFERROR(__xludf.DUMMYFUNCTION("""COMPUTED_VALUE"""),"Uncle Sams Cider (04/04/2023)")</f>
        <v>Uncle Sams Cider (04/04/2023)</v>
      </c>
      <c r="H3674" s="19"/>
    </row>
    <row r="3675">
      <c r="A3675" s="9"/>
      <c r="B3675" s="15"/>
      <c r="C3675" s="9">
        <f>IFERROR(__xludf.DUMMYFUNCTION("""COMPUTED_VALUE"""),45106.1829343518)</f>
        <v>45106.18293</v>
      </c>
      <c r="D3675" s="15">
        <f>IFERROR(__xludf.DUMMYFUNCTION("""COMPUTED_VALUE"""),1.004)</f>
        <v>1.004</v>
      </c>
      <c r="E3675" s="16">
        <f>IFERROR(__xludf.DUMMYFUNCTION("""COMPUTED_VALUE"""),70.0)</f>
        <v>70</v>
      </c>
      <c r="F3675" s="19" t="str">
        <f>IFERROR(__xludf.DUMMYFUNCTION("""COMPUTED_VALUE"""),"BLACK")</f>
        <v>BLACK</v>
      </c>
      <c r="G3675" s="20" t="str">
        <f>IFERROR(__xludf.DUMMYFUNCTION("""COMPUTED_VALUE"""),"Uncle Sams Cider (04/04/2023)")</f>
        <v>Uncle Sams Cider (04/04/2023)</v>
      </c>
      <c r="H3675" s="19"/>
    </row>
    <row r="3676">
      <c r="A3676" s="9"/>
      <c r="B3676" s="15"/>
      <c r="C3676" s="9">
        <f>IFERROR(__xludf.DUMMYFUNCTION("""COMPUTED_VALUE"""),45106.172499456)</f>
        <v>45106.1725</v>
      </c>
      <c r="D3676" s="15">
        <f>IFERROR(__xludf.DUMMYFUNCTION("""COMPUTED_VALUE"""),1.005)</f>
        <v>1.005</v>
      </c>
      <c r="E3676" s="16">
        <f>IFERROR(__xludf.DUMMYFUNCTION("""COMPUTED_VALUE"""),70.0)</f>
        <v>70</v>
      </c>
      <c r="F3676" s="19" t="str">
        <f>IFERROR(__xludf.DUMMYFUNCTION("""COMPUTED_VALUE"""),"BLACK")</f>
        <v>BLACK</v>
      </c>
      <c r="G3676" s="20" t="str">
        <f>IFERROR(__xludf.DUMMYFUNCTION("""COMPUTED_VALUE"""),"Uncle Sams Cider (04/04/2023)")</f>
        <v>Uncle Sams Cider (04/04/2023)</v>
      </c>
      <c r="H3676" s="19"/>
    </row>
    <row r="3677">
      <c r="A3677" s="9"/>
      <c r="B3677" s="15"/>
      <c r="C3677" s="9">
        <f>IFERROR(__xludf.DUMMYFUNCTION("""COMPUTED_VALUE"""),45106.16206625)</f>
        <v>45106.16207</v>
      </c>
      <c r="D3677" s="15">
        <f>IFERROR(__xludf.DUMMYFUNCTION("""COMPUTED_VALUE"""),1.004)</f>
        <v>1.004</v>
      </c>
      <c r="E3677" s="16">
        <f>IFERROR(__xludf.DUMMYFUNCTION("""COMPUTED_VALUE"""),70.0)</f>
        <v>70</v>
      </c>
      <c r="F3677" s="19" t="str">
        <f>IFERROR(__xludf.DUMMYFUNCTION("""COMPUTED_VALUE"""),"BLACK")</f>
        <v>BLACK</v>
      </c>
      <c r="G3677" s="20" t="str">
        <f>IFERROR(__xludf.DUMMYFUNCTION("""COMPUTED_VALUE"""),"Uncle Sams Cider (04/04/2023)")</f>
        <v>Uncle Sams Cider (04/04/2023)</v>
      </c>
      <c r="H3677" s="19"/>
    </row>
    <row r="3678">
      <c r="A3678" s="9"/>
      <c r="B3678" s="15"/>
      <c r="C3678" s="9">
        <f>IFERROR(__xludf.DUMMYFUNCTION("""COMPUTED_VALUE"""),45106.1516447569)</f>
        <v>45106.15164</v>
      </c>
      <c r="D3678" s="15">
        <f>IFERROR(__xludf.DUMMYFUNCTION("""COMPUTED_VALUE"""),1.004)</f>
        <v>1.004</v>
      </c>
      <c r="E3678" s="16">
        <f>IFERROR(__xludf.DUMMYFUNCTION("""COMPUTED_VALUE"""),70.0)</f>
        <v>70</v>
      </c>
      <c r="F3678" s="19" t="str">
        <f>IFERROR(__xludf.DUMMYFUNCTION("""COMPUTED_VALUE"""),"BLACK")</f>
        <v>BLACK</v>
      </c>
      <c r="G3678" s="20" t="str">
        <f>IFERROR(__xludf.DUMMYFUNCTION("""COMPUTED_VALUE"""),"Uncle Sams Cider (04/04/2023)")</f>
        <v>Uncle Sams Cider (04/04/2023)</v>
      </c>
      <c r="H3678" s="19"/>
    </row>
    <row r="3679">
      <c r="A3679" s="9"/>
      <c r="B3679" s="15"/>
      <c r="C3679" s="9">
        <f>IFERROR(__xludf.DUMMYFUNCTION("""COMPUTED_VALUE"""),45106.141222743)</f>
        <v>45106.14122</v>
      </c>
      <c r="D3679" s="15">
        <f>IFERROR(__xludf.DUMMYFUNCTION("""COMPUTED_VALUE"""),1.004)</f>
        <v>1.004</v>
      </c>
      <c r="E3679" s="16">
        <f>IFERROR(__xludf.DUMMYFUNCTION("""COMPUTED_VALUE"""),70.0)</f>
        <v>70</v>
      </c>
      <c r="F3679" s="19" t="str">
        <f>IFERROR(__xludf.DUMMYFUNCTION("""COMPUTED_VALUE"""),"BLACK")</f>
        <v>BLACK</v>
      </c>
      <c r="G3679" s="20" t="str">
        <f>IFERROR(__xludf.DUMMYFUNCTION("""COMPUTED_VALUE"""),"Uncle Sams Cider (04/04/2023)")</f>
        <v>Uncle Sams Cider (04/04/2023)</v>
      </c>
      <c r="H3679" s="19"/>
    </row>
    <row r="3680">
      <c r="A3680" s="9"/>
      <c r="B3680" s="15"/>
      <c r="C3680" s="9">
        <f>IFERROR(__xludf.DUMMYFUNCTION("""COMPUTED_VALUE"""),45106.1307773032)</f>
        <v>45106.13078</v>
      </c>
      <c r="D3680" s="15">
        <f>IFERROR(__xludf.DUMMYFUNCTION("""COMPUTED_VALUE"""),1.004)</f>
        <v>1.004</v>
      </c>
      <c r="E3680" s="16">
        <f>IFERROR(__xludf.DUMMYFUNCTION("""COMPUTED_VALUE"""),70.0)</f>
        <v>70</v>
      </c>
      <c r="F3680" s="19" t="str">
        <f>IFERROR(__xludf.DUMMYFUNCTION("""COMPUTED_VALUE"""),"BLACK")</f>
        <v>BLACK</v>
      </c>
      <c r="G3680" s="20" t="str">
        <f>IFERROR(__xludf.DUMMYFUNCTION("""COMPUTED_VALUE"""),"Uncle Sams Cider (04/04/2023)")</f>
        <v>Uncle Sams Cider (04/04/2023)</v>
      </c>
      <c r="H3680" s="19"/>
    </row>
    <row r="3681">
      <c r="A3681" s="9"/>
      <c r="B3681" s="15"/>
      <c r="C3681" s="9">
        <f>IFERROR(__xludf.DUMMYFUNCTION("""COMPUTED_VALUE"""),45106.1203558912)</f>
        <v>45106.12036</v>
      </c>
      <c r="D3681" s="15">
        <f>IFERROR(__xludf.DUMMYFUNCTION("""COMPUTED_VALUE"""),1.005)</f>
        <v>1.005</v>
      </c>
      <c r="E3681" s="16">
        <f>IFERROR(__xludf.DUMMYFUNCTION("""COMPUTED_VALUE"""),70.0)</f>
        <v>70</v>
      </c>
      <c r="F3681" s="19" t="str">
        <f>IFERROR(__xludf.DUMMYFUNCTION("""COMPUTED_VALUE"""),"BLACK")</f>
        <v>BLACK</v>
      </c>
      <c r="G3681" s="20" t="str">
        <f>IFERROR(__xludf.DUMMYFUNCTION("""COMPUTED_VALUE"""),"Uncle Sams Cider (04/04/2023)")</f>
        <v>Uncle Sams Cider (04/04/2023)</v>
      </c>
      <c r="H3681" s="19"/>
    </row>
    <row r="3682">
      <c r="A3682" s="9"/>
      <c r="B3682" s="15"/>
      <c r="C3682" s="9">
        <f>IFERROR(__xludf.DUMMYFUNCTION("""COMPUTED_VALUE"""),45106.1099230092)</f>
        <v>45106.10992</v>
      </c>
      <c r="D3682" s="15">
        <f>IFERROR(__xludf.DUMMYFUNCTION("""COMPUTED_VALUE"""),1.004)</f>
        <v>1.004</v>
      </c>
      <c r="E3682" s="16">
        <f>IFERROR(__xludf.DUMMYFUNCTION("""COMPUTED_VALUE"""),70.0)</f>
        <v>70</v>
      </c>
      <c r="F3682" s="19" t="str">
        <f>IFERROR(__xludf.DUMMYFUNCTION("""COMPUTED_VALUE"""),"BLACK")</f>
        <v>BLACK</v>
      </c>
      <c r="G3682" s="20" t="str">
        <f>IFERROR(__xludf.DUMMYFUNCTION("""COMPUTED_VALUE"""),"Uncle Sams Cider (04/04/2023)")</f>
        <v>Uncle Sams Cider (04/04/2023)</v>
      </c>
      <c r="H3682" s="19"/>
    </row>
    <row r="3683">
      <c r="A3683" s="9"/>
      <c r="B3683" s="15"/>
      <c r="C3683" s="9">
        <f>IFERROR(__xludf.DUMMYFUNCTION("""COMPUTED_VALUE"""),45106.0995023263)</f>
        <v>45106.0995</v>
      </c>
      <c r="D3683" s="15">
        <f>IFERROR(__xludf.DUMMYFUNCTION("""COMPUTED_VALUE"""),1.004)</f>
        <v>1.004</v>
      </c>
      <c r="E3683" s="16">
        <f>IFERROR(__xludf.DUMMYFUNCTION("""COMPUTED_VALUE"""),70.0)</f>
        <v>70</v>
      </c>
      <c r="F3683" s="19" t="str">
        <f>IFERROR(__xludf.DUMMYFUNCTION("""COMPUTED_VALUE"""),"BLACK")</f>
        <v>BLACK</v>
      </c>
      <c r="G3683" s="20" t="str">
        <f>IFERROR(__xludf.DUMMYFUNCTION("""COMPUTED_VALUE"""),"Uncle Sams Cider (04/04/2023)")</f>
        <v>Uncle Sams Cider (04/04/2023)</v>
      </c>
      <c r="H3683" s="19"/>
    </row>
    <row r="3684">
      <c r="A3684" s="9"/>
      <c r="B3684" s="15"/>
      <c r="C3684" s="9">
        <f>IFERROR(__xludf.DUMMYFUNCTION("""COMPUTED_VALUE"""),45106.089080868)</f>
        <v>45106.08908</v>
      </c>
      <c r="D3684" s="15">
        <f>IFERROR(__xludf.DUMMYFUNCTION("""COMPUTED_VALUE"""),1.005)</f>
        <v>1.005</v>
      </c>
      <c r="E3684" s="16">
        <f>IFERROR(__xludf.DUMMYFUNCTION("""COMPUTED_VALUE"""),70.0)</f>
        <v>70</v>
      </c>
      <c r="F3684" s="19" t="str">
        <f>IFERROR(__xludf.DUMMYFUNCTION("""COMPUTED_VALUE"""),"BLACK")</f>
        <v>BLACK</v>
      </c>
      <c r="G3684" s="20" t="str">
        <f>IFERROR(__xludf.DUMMYFUNCTION("""COMPUTED_VALUE"""),"Uncle Sams Cider (04/04/2023)")</f>
        <v>Uncle Sams Cider (04/04/2023)</v>
      </c>
      <c r="H3684" s="19"/>
    </row>
    <row r="3685">
      <c r="A3685" s="9"/>
      <c r="B3685" s="15"/>
      <c r="C3685" s="9">
        <f>IFERROR(__xludf.DUMMYFUNCTION("""COMPUTED_VALUE"""),45106.0786587731)</f>
        <v>45106.07866</v>
      </c>
      <c r="D3685" s="15">
        <f>IFERROR(__xludf.DUMMYFUNCTION("""COMPUTED_VALUE"""),1.004)</f>
        <v>1.004</v>
      </c>
      <c r="E3685" s="16">
        <f>IFERROR(__xludf.DUMMYFUNCTION("""COMPUTED_VALUE"""),70.0)</f>
        <v>70</v>
      </c>
      <c r="F3685" s="19" t="str">
        <f>IFERROR(__xludf.DUMMYFUNCTION("""COMPUTED_VALUE"""),"BLACK")</f>
        <v>BLACK</v>
      </c>
      <c r="G3685" s="20" t="str">
        <f>IFERROR(__xludf.DUMMYFUNCTION("""COMPUTED_VALUE"""),"Uncle Sams Cider (04/04/2023)")</f>
        <v>Uncle Sams Cider (04/04/2023)</v>
      </c>
      <c r="H3685" s="19"/>
    </row>
    <row r="3686">
      <c r="A3686" s="9"/>
      <c r="B3686" s="15"/>
      <c r="C3686" s="9">
        <f>IFERROR(__xludf.DUMMYFUNCTION("""COMPUTED_VALUE"""),45106.0682257291)</f>
        <v>45106.06823</v>
      </c>
      <c r="D3686" s="15">
        <f>IFERROR(__xludf.DUMMYFUNCTION("""COMPUTED_VALUE"""),1.005)</f>
        <v>1.005</v>
      </c>
      <c r="E3686" s="16">
        <f>IFERROR(__xludf.DUMMYFUNCTION("""COMPUTED_VALUE"""),70.0)</f>
        <v>70</v>
      </c>
      <c r="F3686" s="19" t="str">
        <f>IFERROR(__xludf.DUMMYFUNCTION("""COMPUTED_VALUE"""),"BLACK")</f>
        <v>BLACK</v>
      </c>
      <c r="G3686" s="20" t="str">
        <f>IFERROR(__xludf.DUMMYFUNCTION("""COMPUTED_VALUE"""),"Uncle Sams Cider (04/04/2023)")</f>
        <v>Uncle Sams Cider (04/04/2023)</v>
      </c>
      <c r="H3686" s="19"/>
    </row>
    <row r="3687">
      <c r="A3687" s="9"/>
      <c r="B3687" s="15"/>
      <c r="C3687" s="9">
        <f>IFERROR(__xludf.DUMMYFUNCTION("""COMPUTED_VALUE"""),45106.0578046412)</f>
        <v>45106.0578</v>
      </c>
      <c r="D3687" s="15">
        <f>IFERROR(__xludf.DUMMYFUNCTION("""COMPUTED_VALUE"""),1.004)</f>
        <v>1.004</v>
      </c>
      <c r="E3687" s="16">
        <f>IFERROR(__xludf.DUMMYFUNCTION("""COMPUTED_VALUE"""),70.0)</f>
        <v>70</v>
      </c>
      <c r="F3687" s="19" t="str">
        <f>IFERROR(__xludf.DUMMYFUNCTION("""COMPUTED_VALUE"""),"BLACK")</f>
        <v>BLACK</v>
      </c>
      <c r="G3687" s="20" t="str">
        <f>IFERROR(__xludf.DUMMYFUNCTION("""COMPUTED_VALUE"""),"Uncle Sams Cider (04/04/2023)")</f>
        <v>Uncle Sams Cider (04/04/2023)</v>
      </c>
      <c r="H3687" s="19"/>
    </row>
    <row r="3688">
      <c r="A3688" s="9"/>
      <c r="B3688" s="15"/>
      <c r="C3688" s="9">
        <f>IFERROR(__xludf.DUMMYFUNCTION("""COMPUTED_VALUE"""),45106.0473829051)</f>
        <v>45106.04738</v>
      </c>
      <c r="D3688" s="15">
        <f>IFERROR(__xludf.DUMMYFUNCTION("""COMPUTED_VALUE"""),1.005)</f>
        <v>1.005</v>
      </c>
      <c r="E3688" s="16">
        <f>IFERROR(__xludf.DUMMYFUNCTION("""COMPUTED_VALUE"""),70.0)</f>
        <v>70</v>
      </c>
      <c r="F3688" s="19" t="str">
        <f>IFERROR(__xludf.DUMMYFUNCTION("""COMPUTED_VALUE"""),"BLACK")</f>
        <v>BLACK</v>
      </c>
      <c r="G3688" s="20" t="str">
        <f>IFERROR(__xludf.DUMMYFUNCTION("""COMPUTED_VALUE"""),"Uncle Sams Cider (04/04/2023)")</f>
        <v>Uncle Sams Cider (04/04/2023)</v>
      </c>
      <c r="H3688" s="19"/>
    </row>
    <row r="3689">
      <c r="A3689" s="9"/>
      <c r="B3689" s="15"/>
      <c r="C3689" s="9">
        <f>IFERROR(__xludf.DUMMYFUNCTION("""COMPUTED_VALUE"""),45106.02653978)</f>
        <v>45106.02654</v>
      </c>
      <c r="D3689" s="15">
        <f>IFERROR(__xludf.DUMMYFUNCTION("""COMPUTED_VALUE"""),1.005)</f>
        <v>1.005</v>
      </c>
      <c r="E3689" s="16">
        <f>IFERROR(__xludf.DUMMYFUNCTION("""COMPUTED_VALUE"""),70.0)</f>
        <v>70</v>
      </c>
      <c r="F3689" s="19" t="str">
        <f>IFERROR(__xludf.DUMMYFUNCTION("""COMPUTED_VALUE"""),"BLACK")</f>
        <v>BLACK</v>
      </c>
      <c r="G3689" s="20" t="str">
        <f>IFERROR(__xludf.DUMMYFUNCTION("""COMPUTED_VALUE"""),"Uncle Sams Cider (04/04/2023)")</f>
        <v>Uncle Sams Cider (04/04/2023)</v>
      </c>
      <c r="H3689" s="19"/>
    </row>
    <row r="3690">
      <c r="A3690" s="9"/>
      <c r="B3690" s="15"/>
      <c r="C3690" s="9">
        <f>IFERROR(__xludf.DUMMYFUNCTION("""COMPUTED_VALUE"""),45106.0161192013)</f>
        <v>45106.01612</v>
      </c>
      <c r="D3690" s="15">
        <f>IFERROR(__xludf.DUMMYFUNCTION("""COMPUTED_VALUE"""),1.004)</f>
        <v>1.004</v>
      </c>
      <c r="E3690" s="16">
        <f>IFERROR(__xludf.DUMMYFUNCTION("""COMPUTED_VALUE"""),70.0)</f>
        <v>70</v>
      </c>
      <c r="F3690" s="19" t="str">
        <f>IFERROR(__xludf.DUMMYFUNCTION("""COMPUTED_VALUE"""),"BLACK")</f>
        <v>BLACK</v>
      </c>
      <c r="G3690" s="20" t="str">
        <f>IFERROR(__xludf.DUMMYFUNCTION("""COMPUTED_VALUE"""),"Uncle Sams Cider (04/04/2023)")</f>
        <v>Uncle Sams Cider (04/04/2023)</v>
      </c>
      <c r="H3690" s="19"/>
    </row>
    <row r="3691">
      <c r="A3691" s="9"/>
      <c r="B3691" s="15"/>
      <c r="C3691" s="9">
        <f>IFERROR(__xludf.DUMMYFUNCTION("""COMPUTED_VALUE"""),45106.0056972106)</f>
        <v>45106.0057</v>
      </c>
      <c r="D3691" s="15">
        <f>IFERROR(__xludf.DUMMYFUNCTION("""COMPUTED_VALUE"""),1.005)</f>
        <v>1.005</v>
      </c>
      <c r="E3691" s="16">
        <f>IFERROR(__xludf.DUMMYFUNCTION("""COMPUTED_VALUE"""),70.0)</f>
        <v>70</v>
      </c>
      <c r="F3691" s="19" t="str">
        <f>IFERROR(__xludf.DUMMYFUNCTION("""COMPUTED_VALUE"""),"BLACK")</f>
        <v>BLACK</v>
      </c>
      <c r="G3691" s="20" t="str">
        <f>IFERROR(__xludf.DUMMYFUNCTION("""COMPUTED_VALUE"""),"Uncle Sams Cider (04/04/2023)")</f>
        <v>Uncle Sams Cider (04/04/2023)</v>
      </c>
      <c r="H3691" s="19"/>
    </row>
    <row r="3692">
      <c r="A3692" s="9"/>
      <c r="B3692" s="15"/>
      <c r="C3692" s="9">
        <f>IFERROR(__xludf.DUMMYFUNCTION("""COMPUTED_VALUE"""),45105.9952747106)</f>
        <v>45105.99527</v>
      </c>
      <c r="D3692" s="15">
        <f>IFERROR(__xludf.DUMMYFUNCTION("""COMPUTED_VALUE"""),1.004)</f>
        <v>1.004</v>
      </c>
      <c r="E3692" s="16">
        <f>IFERROR(__xludf.DUMMYFUNCTION("""COMPUTED_VALUE"""),70.0)</f>
        <v>70</v>
      </c>
      <c r="F3692" s="19" t="str">
        <f>IFERROR(__xludf.DUMMYFUNCTION("""COMPUTED_VALUE"""),"BLACK")</f>
        <v>BLACK</v>
      </c>
      <c r="G3692" s="20" t="str">
        <f>IFERROR(__xludf.DUMMYFUNCTION("""COMPUTED_VALUE"""),"Uncle Sams Cider (04/04/2023)")</f>
        <v>Uncle Sams Cider (04/04/2023)</v>
      </c>
      <c r="H3692" s="19"/>
    </row>
    <row r="3693">
      <c r="A3693" s="9"/>
      <c r="B3693" s="15"/>
      <c r="C3693" s="9">
        <f>IFERROR(__xludf.DUMMYFUNCTION("""COMPUTED_VALUE"""),45105.9848532638)</f>
        <v>45105.98485</v>
      </c>
      <c r="D3693" s="15">
        <f>IFERROR(__xludf.DUMMYFUNCTION("""COMPUTED_VALUE"""),1.004)</f>
        <v>1.004</v>
      </c>
      <c r="E3693" s="16">
        <f>IFERROR(__xludf.DUMMYFUNCTION("""COMPUTED_VALUE"""),70.0)</f>
        <v>70</v>
      </c>
      <c r="F3693" s="19" t="str">
        <f>IFERROR(__xludf.DUMMYFUNCTION("""COMPUTED_VALUE"""),"BLACK")</f>
        <v>BLACK</v>
      </c>
      <c r="G3693" s="20" t="str">
        <f>IFERROR(__xludf.DUMMYFUNCTION("""COMPUTED_VALUE"""),"Uncle Sams Cider (04/04/2023)")</f>
        <v>Uncle Sams Cider (04/04/2023)</v>
      </c>
      <c r="H3693" s="19"/>
    </row>
    <row r="3694">
      <c r="A3694" s="9"/>
      <c r="B3694" s="15"/>
      <c r="C3694" s="9">
        <f>IFERROR(__xludf.DUMMYFUNCTION("""COMPUTED_VALUE"""),45105.9744222685)</f>
        <v>45105.97442</v>
      </c>
      <c r="D3694" s="15">
        <f>IFERROR(__xludf.DUMMYFUNCTION("""COMPUTED_VALUE"""),1.005)</f>
        <v>1.005</v>
      </c>
      <c r="E3694" s="16">
        <f>IFERROR(__xludf.DUMMYFUNCTION("""COMPUTED_VALUE"""),70.0)</f>
        <v>70</v>
      </c>
      <c r="F3694" s="19" t="str">
        <f>IFERROR(__xludf.DUMMYFUNCTION("""COMPUTED_VALUE"""),"BLACK")</f>
        <v>BLACK</v>
      </c>
      <c r="G3694" s="20" t="str">
        <f>IFERROR(__xludf.DUMMYFUNCTION("""COMPUTED_VALUE"""),"Uncle Sams Cider (04/04/2023)")</f>
        <v>Uncle Sams Cider (04/04/2023)</v>
      </c>
      <c r="H3694" s="19"/>
    </row>
    <row r="3695">
      <c r="A3695" s="9"/>
      <c r="B3695" s="15"/>
      <c r="C3695" s="9">
        <f>IFERROR(__xludf.DUMMYFUNCTION("""COMPUTED_VALUE"""),45105.963999456)</f>
        <v>45105.964</v>
      </c>
      <c r="D3695" s="15">
        <f>IFERROR(__xludf.DUMMYFUNCTION("""COMPUTED_VALUE"""),1.004)</f>
        <v>1.004</v>
      </c>
      <c r="E3695" s="16">
        <f>IFERROR(__xludf.DUMMYFUNCTION("""COMPUTED_VALUE"""),70.0)</f>
        <v>70</v>
      </c>
      <c r="F3695" s="19" t="str">
        <f>IFERROR(__xludf.DUMMYFUNCTION("""COMPUTED_VALUE"""),"BLACK")</f>
        <v>BLACK</v>
      </c>
      <c r="G3695" s="20" t="str">
        <f>IFERROR(__xludf.DUMMYFUNCTION("""COMPUTED_VALUE"""),"Uncle Sams Cider (04/04/2023)")</f>
        <v>Uncle Sams Cider (04/04/2023)</v>
      </c>
      <c r="H3695" s="19"/>
    </row>
    <row r="3696">
      <c r="A3696" s="9"/>
      <c r="B3696" s="15"/>
      <c r="C3696" s="9">
        <f>IFERROR(__xludf.DUMMYFUNCTION("""COMPUTED_VALUE"""),45105.9535792361)</f>
        <v>45105.95358</v>
      </c>
      <c r="D3696" s="15">
        <f>IFERROR(__xludf.DUMMYFUNCTION("""COMPUTED_VALUE"""),1.004)</f>
        <v>1.004</v>
      </c>
      <c r="E3696" s="16">
        <f>IFERROR(__xludf.DUMMYFUNCTION("""COMPUTED_VALUE"""),70.0)</f>
        <v>70</v>
      </c>
      <c r="F3696" s="19" t="str">
        <f>IFERROR(__xludf.DUMMYFUNCTION("""COMPUTED_VALUE"""),"BLACK")</f>
        <v>BLACK</v>
      </c>
      <c r="G3696" s="20" t="str">
        <f>IFERROR(__xludf.DUMMYFUNCTION("""COMPUTED_VALUE"""),"Uncle Sams Cider (04/04/2023)")</f>
        <v>Uncle Sams Cider (04/04/2023)</v>
      </c>
      <c r="H3696" s="19"/>
    </row>
    <row r="3697">
      <c r="A3697" s="9"/>
      <c r="B3697" s="15"/>
      <c r="C3697" s="9">
        <f>IFERROR(__xludf.DUMMYFUNCTION("""COMPUTED_VALUE"""),45105.9431587037)</f>
        <v>45105.94316</v>
      </c>
      <c r="D3697" s="15">
        <f>IFERROR(__xludf.DUMMYFUNCTION("""COMPUTED_VALUE"""),1.004)</f>
        <v>1.004</v>
      </c>
      <c r="E3697" s="16">
        <f>IFERROR(__xludf.DUMMYFUNCTION("""COMPUTED_VALUE"""),70.0)</f>
        <v>70</v>
      </c>
      <c r="F3697" s="19" t="str">
        <f>IFERROR(__xludf.DUMMYFUNCTION("""COMPUTED_VALUE"""),"BLACK")</f>
        <v>BLACK</v>
      </c>
      <c r="G3697" s="20" t="str">
        <f>IFERROR(__xludf.DUMMYFUNCTION("""COMPUTED_VALUE"""),"Uncle Sams Cider (04/04/2023)")</f>
        <v>Uncle Sams Cider (04/04/2023)</v>
      </c>
      <c r="H3697" s="19"/>
    </row>
    <row r="3698">
      <c r="A3698" s="9"/>
      <c r="B3698" s="15"/>
      <c r="C3698" s="9">
        <f>IFERROR(__xludf.DUMMYFUNCTION("""COMPUTED_VALUE"""),45105.9327230671)</f>
        <v>45105.93272</v>
      </c>
      <c r="D3698" s="15">
        <f>IFERROR(__xludf.DUMMYFUNCTION("""COMPUTED_VALUE"""),1.005)</f>
        <v>1.005</v>
      </c>
      <c r="E3698" s="16">
        <f>IFERROR(__xludf.DUMMYFUNCTION("""COMPUTED_VALUE"""),70.0)</f>
        <v>70</v>
      </c>
      <c r="F3698" s="19" t="str">
        <f>IFERROR(__xludf.DUMMYFUNCTION("""COMPUTED_VALUE"""),"BLACK")</f>
        <v>BLACK</v>
      </c>
      <c r="G3698" s="20" t="str">
        <f>IFERROR(__xludf.DUMMYFUNCTION("""COMPUTED_VALUE"""),"Uncle Sams Cider (04/04/2023)")</f>
        <v>Uncle Sams Cider (04/04/2023)</v>
      </c>
      <c r="H3698" s="19"/>
    </row>
    <row r="3699">
      <c r="A3699" s="9"/>
      <c r="B3699" s="15"/>
      <c r="C3699" s="9">
        <f>IFERROR(__xludf.DUMMYFUNCTION("""COMPUTED_VALUE"""),45105.9222903125)</f>
        <v>45105.92229</v>
      </c>
      <c r="D3699" s="15">
        <f>IFERROR(__xludf.DUMMYFUNCTION("""COMPUTED_VALUE"""),1.004)</f>
        <v>1.004</v>
      </c>
      <c r="E3699" s="16">
        <f>IFERROR(__xludf.DUMMYFUNCTION("""COMPUTED_VALUE"""),70.0)</f>
        <v>70</v>
      </c>
      <c r="F3699" s="19" t="str">
        <f>IFERROR(__xludf.DUMMYFUNCTION("""COMPUTED_VALUE"""),"BLACK")</f>
        <v>BLACK</v>
      </c>
      <c r="G3699" s="20" t="str">
        <f>IFERROR(__xludf.DUMMYFUNCTION("""COMPUTED_VALUE"""),"Uncle Sams Cider (04/04/2023)")</f>
        <v>Uncle Sams Cider (04/04/2023)</v>
      </c>
      <c r="H3699" s="19"/>
    </row>
    <row r="3700">
      <c r="A3700" s="9"/>
      <c r="B3700" s="15"/>
      <c r="C3700" s="9">
        <f>IFERROR(__xludf.DUMMYFUNCTION("""COMPUTED_VALUE"""),45105.9118693518)</f>
        <v>45105.91187</v>
      </c>
      <c r="D3700" s="15">
        <f>IFERROR(__xludf.DUMMYFUNCTION("""COMPUTED_VALUE"""),1.004)</f>
        <v>1.004</v>
      </c>
      <c r="E3700" s="16">
        <f>IFERROR(__xludf.DUMMYFUNCTION("""COMPUTED_VALUE"""),70.0)</f>
        <v>70</v>
      </c>
      <c r="F3700" s="19" t="str">
        <f>IFERROR(__xludf.DUMMYFUNCTION("""COMPUTED_VALUE"""),"BLACK")</f>
        <v>BLACK</v>
      </c>
      <c r="G3700" s="20" t="str">
        <f>IFERROR(__xludf.DUMMYFUNCTION("""COMPUTED_VALUE"""),"Uncle Sams Cider (04/04/2023)")</f>
        <v>Uncle Sams Cider (04/04/2023)</v>
      </c>
      <c r="H3700" s="19"/>
    </row>
    <row r="3701">
      <c r="A3701" s="9"/>
      <c r="B3701" s="15"/>
      <c r="C3701" s="9">
        <f>IFERROR(__xludf.DUMMYFUNCTION("""COMPUTED_VALUE"""),45105.9014494675)</f>
        <v>45105.90145</v>
      </c>
      <c r="D3701" s="15">
        <f>IFERROR(__xludf.DUMMYFUNCTION("""COMPUTED_VALUE"""),1.005)</f>
        <v>1.005</v>
      </c>
      <c r="E3701" s="16">
        <f>IFERROR(__xludf.DUMMYFUNCTION("""COMPUTED_VALUE"""),70.0)</f>
        <v>70</v>
      </c>
      <c r="F3701" s="19" t="str">
        <f>IFERROR(__xludf.DUMMYFUNCTION("""COMPUTED_VALUE"""),"BLACK")</f>
        <v>BLACK</v>
      </c>
      <c r="G3701" s="20" t="str">
        <f>IFERROR(__xludf.DUMMYFUNCTION("""COMPUTED_VALUE"""),"Uncle Sams Cider (04/04/2023)")</f>
        <v>Uncle Sams Cider (04/04/2023)</v>
      </c>
      <c r="H3701" s="19"/>
    </row>
    <row r="3702">
      <c r="A3702" s="9"/>
      <c r="B3702" s="15"/>
      <c r="C3702" s="9">
        <f>IFERROR(__xludf.DUMMYFUNCTION("""COMPUTED_VALUE"""),45105.8910278472)</f>
        <v>45105.89103</v>
      </c>
      <c r="D3702" s="15">
        <f>IFERROR(__xludf.DUMMYFUNCTION("""COMPUTED_VALUE"""),1.004)</f>
        <v>1.004</v>
      </c>
      <c r="E3702" s="16">
        <f>IFERROR(__xludf.DUMMYFUNCTION("""COMPUTED_VALUE"""),70.0)</f>
        <v>70</v>
      </c>
      <c r="F3702" s="19" t="str">
        <f>IFERROR(__xludf.DUMMYFUNCTION("""COMPUTED_VALUE"""),"BLACK")</f>
        <v>BLACK</v>
      </c>
      <c r="G3702" s="20" t="str">
        <f>IFERROR(__xludf.DUMMYFUNCTION("""COMPUTED_VALUE"""),"Uncle Sams Cider (04/04/2023)")</f>
        <v>Uncle Sams Cider (04/04/2023)</v>
      </c>
      <c r="H3702" s="19"/>
    </row>
    <row r="3703">
      <c r="A3703" s="9"/>
      <c r="B3703" s="15"/>
      <c r="C3703" s="9">
        <f>IFERROR(__xludf.DUMMYFUNCTION("""COMPUTED_VALUE"""),45105.8806057291)</f>
        <v>45105.88061</v>
      </c>
      <c r="D3703" s="15">
        <f>IFERROR(__xludf.DUMMYFUNCTION("""COMPUTED_VALUE"""),1.004)</f>
        <v>1.004</v>
      </c>
      <c r="E3703" s="16">
        <f>IFERROR(__xludf.DUMMYFUNCTION("""COMPUTED_VALUE"""),70.0)</f>
        <v>70</v>
      </c>
      <c r="F3703" s="19" t="str">
        <f>IFERROR(__xludf.DUMMYFUNCTION("""COMPUTED_VALUE"""),"BLACK")</f>
        <v>BLACK</v>
      </c>
      <c r="G3703" s="20" t="str">
        <f>IFERROR(__xludf.DUMMYFUNCTION("""COMPUTED_VALUE"""),"Uncle Sams Cider (04/04/2023)")</f>
        <v>Uncle Sams Cider (04/04/2023)</v>
      </c>
      <c r="H3703" s="19"/>
    </row>
    <row r="3704">
      <c r="A3704" s="9"/>
      <c r="B3704" s="15"/>
      <c r="C3704" s="9">
        <f>IFERROR(__xludf.DUMMYFUNCTION("""COMPUTED_VALUE"""),45105.8701847916)</f>
        <v>45105.87018</v>
      </c>
      <c r="D3704" s="15">
        <f>IFERROR(__xludf.DUMMYFUNCTION("""COMPUTED_VALUE"""),1.004)</f>
        <v>1.004</v>
      </c>
      <c r="E3704" s="16">
        <f>IFERROR(__xludf.DUMMYFUNCTION("""COMPUTED_VALUE"""),70.0)</f>
        <v>70</v>
      </c>
      <c r="F3704" s="19" t="str">
        <f>IFERROR(__xludf.DUMMYFUNCTION("""COMPUTED_VALUE"""),"BLACK")</f>
        <v>BLACK</v>
      </c>
      <c r="G3704" s="20" t="str">
        <f>IFERROR(__xludf.DUMMYFUNCTION("""COMPUTED_VALUE"""),"Uncle Sams Cider (04/04/2023)")</f>
        <v>Uncle Sams Cider (04/04/2023)</v>
      </c>
      <c r="H3704" s="19"/>
    </row>
    <row r="3705">
      <c r="A3705" s="9"/>
      <c r="B3705" s="15"/>
      <c r="C3705" s="9">
        <f>IFERROR(__xludf.DUMMYFUNCTION("""COMPUTED_VALUE"""),45105.8597638541)</f>
        <v>45105.85976</v>
      </c>
      <c r="D3705" s="15">
        <f>IFERROR(__xludf.DUMMYFUNCTION("""COMPUTED_VALUE"""),1.004)</f>
        <v>1.004</v>
      </c>
      <c r="E3705" s="16">
        <f>IFERROR(__xludf.DUMMYFUNCTION("""COMPUTED_VALUE"""),70.0)</f>
        <v>70</v>
      </c>
      <c r="F3705" s="19" t="str">
        <f>IFERROR(__xludf.DUMMYFUNCTION("""COMPUTED_VALUE"""),"BLACK")</f>
        <v>BLACK</v>
      </c>
      <c r="G3705" s="20" t="str">
        <f>IFERROR(__xludf.DUMMYFUNCTION("""COMPUTED_VALUE"""),"Uncle Sams Cider (04/04/2023)")</f>
        <v>Uncle Sams Cider (04/04/2023)</v>
      </c>
      <c r="H3705" s="19"/>
    </row>
    <row r="3706">
      <c r="A3706" s="9"/>
      <c r="B3706" s="15"/>
      <c r="C3706" s="9">
        <f>IFERROR(__xludf.DUMMYFUNCTION("""COMPUTED_VALUE"""),45105.8493311574)</f>
        <v>45105.84933</v>
      </c>
      <c r="D3706" s="15">
        <f>IFERROR(__xludf.DUMMYFUNCTION("""COMPUTED_VALUE"""),1.005)</f>
        <v>1.005</v>
      </c>
      <c r="E3706" s="16">
        <f>IFERROR(__xludf.DUMMYFUNCTION("""COMPUTED_VALUE"""),70.0)</f>
        <v>70</v>
      </c>
      <c r="F3706" s="19" t="str">
        <f>IFERROR(__xludf.DUMMYFUNCTION("""COMPUTED_VALUE"""),"BLACK")</f>
        <v>BLACK</v>
      </c>
      <c r="G3706" s="20" t="str">
        <f>IFERROR(__xludf.DUMMYFUNCTION("""COMPUTED_VALUE"""),"Uncle Sams Cider (04/04/2023)")</f>
        <v>Uncle Sams Cider (04/04/2023)</v>
      </c>
      <c r="H3706" s="19"/>
    </row>
    <row r="3707">
      <c r="A3707" s="9"/>
      <c r="B3707" s="15"/>
      <c r="C3707" s="9">
        <f>IFERROR(__xludf.DUMMYFUNCTION("""COMPUTED_VALUE"""),45105.8388977314)</f>
        <v>45105.8389</v>
      </c>
      <c r="D3707" s="15">
        <f>IFERROR(__xludf.DUMMYFUNCTION("""COMPUTED_VALUE"""),1.005)</f>
        <v>1.005</v>
      </c>
      <c r="E3707" s="16">
        <f>IFERROR(__xludf.DUMMYFUNCTION("""COMPUTED_VALUE"""),70.0)</f>
        <v>70</v>
      </c>
      <c r="F3707" s="19" t="str">
        <f>IFERROR(__xludf.DUMMYFUNCTION("""COMPUTED_VALUE"""),"BLACK")</f>
        <v>BLACK</v>
      </c>
      <c r="G3707" s="20" t="str">
        <f>IFERROR(__xludf.DUMMYFUNCTION("""COMPUTED_VALUE"""),"Uncle Sams Cider (04/04/2023)")</f>
        <v>Uncle Sams Cider (04/04/2023)</v>
      </c>
      <c r="H3707" s="19"/>
    </row>
    <row r="3708">
      <c r="A3708" s="9"/>
      <c r="B3708" s="15"/>
      <c r="C3708" s="9">
        <f>IFERROR(__xludf.DUMMYFUNCTION("""COMPUTED_VALUE"""),45105.8284784722)</f>
        <v>45105.82848</v>
      </c>
      <c r="D3708" s="15">
        <f>IFERROR(__xludf.DUMMYFUNCTION("""COMPUTED_VALUE"""),1.005)</f>
        <v>1.005</v>
      </c>
      <c r="E3708" s="16">
        <f>IFERROR(__xludf.DUMMYFUNCTION("""COMPUTED_VALUE"""),70.0)</f>
        <v>70</v>
      </c>
      <c r="F3708" s="19" t="str">
        <f>IFERROR(__xludf.DUMMYFUNCTION("""COMPUTED_VALUE"""),"BLACK")</f>
        <v>BLACK</v>
      </c>
      <c r="G3708" s="20" t="str">
        <f>IFERROR(__xludf.DUMMYFUNCTION("""COMPUTED_VALUE"""),"Uncle Sams Cider (04/04/2023)")</f>
        <v>Uncle Sams Cider (04/04/2023)</v>
      </c>
      <c r="H3708" s="19"/>
    </row>
    <row r="3709">
      <c r="A3709" s="9"/>
      <c r="B3709" s="15"/>
      <c r="C3709" s="9">
        <f>IFERROR(__xludf.DUMMYFUNCTION("""COMPUTED_VALUE"""),45105.8180333449)</f>
        <v>45105.81803</v>
      </c>
      <c r="D3709" s="15">
        <f>IFERROR(__xludf.DUMMYFUNCTION("""COMPUTED_VALUE"""),1.004)</f>
        <v>1.004</v>
      </c>
      <c r="E3709" s="16">
        <f>IFERROR(__xludf.DUMMYFUNCTION("""COMPUTED_VALUE"""),70.0)</f>
        <v>70</v>
      </c>
      <c r="F3709" s="19" t="str">
        <f>IFERROR(__xludf.DUMMYFUNCTION("""COMPUTED_VALUE"""),"BLACK")</f>
        <v>BLACK</v>
      </c>
      <c r="G3709" s="20" t="str">
        <f>IFERROR(__xludf.DUMMYFUNCTION("""COMPUTED_VALUE"""),"Uncle Sams Cider (04/04/2023)")</f>
        <v>Uncle Sams Cider (04/04/2023)</v>
      </c>
      <c r="H3709" s="19"/>
    </row>
    <row r="3710">
      <c r="A3710" s="9"/>
      <c r="B3710" s="15"/>
      <c r="C3710" s="9">
        <f>IFERROR(__xludf.DUMMYFUNCTION("""COMPUTED_VALUE"""),45105.8076116319)</f>
        <v>45105.80761</v>
      </c>
      <c r="D3710" s="15">
        <f>IFERROR(__xludf.DUMMYFUNCTION("""COMPUTED_VALUE"""),1.004)</f>
        <v>1.004</v>
      </c>
      <c r="E3710" s="16">
        <f>IFERROR(__xludf.DUMMYFUNCTION("""COMPUTED_VALUE"""),70.0)</f>
        <v>70</v>
      </c>
      <c r="F3710" s="19" t="str">
        <f>IFERROR(__xludf.DUMMYFUNCTION("""COMPUTED_VALUE"""),"BLACK")</f>
        <v>BLACK</v>
      </c>
      <c r="G3710" s="20" t="str">
        <f>IFERROR(__xludf.DUMMYFUNCTION("""COMPUTED_VALUE"""),"Uncle Sams Cider (04/04/2023)")</f>
        <v>Uncle Sams Cider (04/04/2023)</v>
      </c>
      <c r="H3710" s="19"/>
    </row>
    <row r="3711">
      <c r="A3711" s="9"/>
      <c r="B3711" s="15"/>
      <c r="C3711" s="9">
        <f>IFERROR(__xludf.DUMMYFUNCTION("""COMPUTED_VALUE"""),45105.7971891666)</f>
        <v>45105.79719</v>
      </c>
      <c r="D3711" s="15">
        <f>IFERROR(__xludf.DUMMYFUNCTION("""COMPUTED_VALUE"""),1.005)</f>
        <v>1.005</v>
      </c>
      <c r="E3711" s="16">
        <f>IFERROR(__xludf.DUMMYFUNCTION("""COMPUTED_VALUE"""),70.0)</f>
        <v>70</v>
      </c>
      <c r="F3711" s="19" t="str">
        <f>IFERROR(__xludf.DUMMYFUNCTION("""COMPUTED_VALUE"""),"BLACK")</f>
        <v>BLACK</v>
      </c>
      <c r="G3711" s="20" t="str">
        <f>IFERROR(__xludf.DUMMYFUNCTION("""COMPUTED_VALUE"""),"Uncle Sams Cider (04/04/2023)")</f>
        <v>Uncle Sams Cider (04/04/2023)</v>
      </c>
      <c r="H3711" s="19"/>
    </row>
    <row r="3712">
      <c r="A3712" s="9"/>
      <c r="B3712" s="15"/>
      <c r="C3712" s="9">
        <f>IFERROR(__xludf.DUMMYFUNCTION("""COMPUTED_VALUE"""),45105.7867574189)</f>
        <v>45105.78676</v>
      </c>
      <c r="D3712" s="15">
        <f>IFERROR(__xludf.DUMMYFUNCTION("""COMPUTED_VALUE"""),1.004)</f>
        <v>1.004</v>
      </c>
      <c r="E3712" s="16">
        <f>IFERROR(__xludf.DUMMYFUNCTION("""COMPUTED_VALUE"""),70.0)</f>
        <v>70</v>
      </c>
      <c r="F3712" s="19" t="str">
        <f>IFERROR(__xludf.DUMMYFUNCTION("""COMPUTED_VALUE"""),"BLACK")</f>
        <v>BLACK</v>
      </c>
      <c r="G3712" s="20" t="str">
        <f>IFERROR(__xludf.DUMMYFUNCTION("""COMPUTED_VALUE"""),"Uncle Sams Cider (04/04/2023)")</f>
        <v>Uncle Sams Cider (04/04/2023)</v>
      </c>
      <c r="H3712" s="19"/>
    </row>
    <row r="3713">
      <c r="A3713" s="9"/>
      <c r="B3713" s="15"/>
      <c r="C3713" s="9">
        <f>IFERROR(__xludf.DUMMYFUNCTION("""COMPUTED_VALUE"""),45105.7763240393)</f>
        <v>45105.77632</v>
      </c>
      <c r="D3713" s="15">
        <f>IFERROR(__xludf.DUMMYFUNCTION("""COMPUTED_VALUE"""),1.005)</f>
        <v>1.005</v>
      </c>
      <c r="E3713" s="16">
        <f>IFERROR(__xludf.DUMMYFUNCTION("""COMPUTED_VALUE"""),70.0)</f>
        <v>70</v>
      </c>
      <c r="F3713" s="19" t="str">
        <f>IFERROR(__xludf.DUMMYFUNCTION("""COMPUTED_VALUE"""),"BLACK")</f>
        <v>BLACK</v>
      </c>
      <c r="G3713" s="20" t="str">
        <f>IFERROR(__xludf.DUMMYFUNCTION("""COMPUTED_VALUE"""),"Uncle Sams Cider (04/04/2023)")</f>
        <v>Uncle Sams Cider (04/04/2023)</v>
      </c>
      <c r="H3713" s="19"/>
    </row>
    <row r="3714">
      <c r="A3714" s="9"/>
      <c r="B3714" s="15"/>
      <c r="C3714" s="9">
        <f>IFERROR(__xludf.DUMMYFUNCTION("""COMPUTED_VALUE"""),45105.7659021296)</f>
        <v>45105.7659</v>
      </c>
      <c r="D3714" s="15">
        <f>IFERROR(__xludf.DUMMYFUNCTION("""COMPUTED_VALUE"""),1.005)</f>
        <v>1.005</v>
      </c>
      <c r="E3714" s="16">
        <f>IFERROR(__xludf.DUMMYFUNCTION("""COMPUTED_VALUE"""),70.0)</f>
        <v>70</v>
      </c>
      <c r="F3714" s="19" t="str">
        <f>IFERROR(__xludf.DUMMYFUNCTION("""COMPUTED_VALUE"""),"BLACK")</f>
        <v>BLACK</v>
      </c>
      <c r="G3714" s="20" t="str">
        <f>IFERROR(__xludf.DUMMYFUNCTION("""COMPUTED_VALUE"""),"Uncle Sams Cider (04/04/2023)")</f>
        <v>Uncle Sams Cider (04/04/2023)</v>
      </c>
      <c r="H3714" s="19"/>
    </row>
    <row r="3715">
      <c r="A3715" s="9"/>
      <c r="B3715" s="15"/>
      <c r="C3715" s="9">
        <f>IFERROR(__xludf.DUMMYFUNCTION("""COMPUTED_VALUE"""),45105.7554808101)</f>
        <v>45105.75548</v>
      </c>
      <c r="D3715" s="15">
        <f>IFERROR(__xludf.DUMMYFUNCTION("""COMPUTED_VALUE"""),1.005)</f>
        <v>1.005</v>
      </c>
      <c r="E3715" s="16">
        <f>IFERROR(__xludf.DUMMYFUNCTION("""COMPUTED_VALUE"""),70.0)</f>
        <v>70</v>
      </c>
      <c r="F3715" s="19" t="str">
        <f>IFERROR(__xludf.DUMMYFUNCTION("""COMPUTED_VALUE"""),"BLACK")</f>
        <v>BLACK</v>
      </c>
      <c r="G3715" s="20" t="str">
        <f>IFERROR(__xludf.DUMMYFUNCTION("""COMPUTED_VALUE"""),"Uncle Sams Cider (04/04/2023)")</f>
        <v>Uncle Sams Cider (04/04/2023)</v>
      </c>
      <c r="H3715" s="19"/>
    </row>
    <row r="3716">
      <c r="A3716" s="9"/>
      <c r="B3716" s="15"/>
      <c r="C3716" s="9">
        <f>IFERROR(__xludf.DUMMYFUNCTION("""COMPUTED_VALUE"""),45105.7450366666)</f>
        <v>45105.74504</v>
      </c>
      <c r="D3716" s="15">
        <f>IFERROR(__xludf.DUMMYFUNCTION("""COMPUTED_VALUE"""),1.005)</f>
        <v>1.005</v>
      </c>
      <c r="E3716" s="16">
        <f>IFERROR(__xludf.DUMMYFUNCTION("""COMPUTED_VALUE"""),70.0)</f>
        <v>70</v>
      </c>
      <c r="F3716" s="19" t="str">
        <f>IFERROR(__xludf.DUMMYFUNCTION("""COMPUTED_VALUE"""),"BLACK")</f>
        <v>BLACK</v>
      </c>
      <c r="G3716" s="20" t="str">
        <f>IFERROR(__xludf.DUMMYFUNCTION("""COMPUTED_VALUE"""),"Uncle Sams Cider (04/04/2023)")</f>
        <v>Uncle Sams Cider (04/04/2023)</v>
      </c>
      <c r="H3716" s="19"/>
    </row>
    <row r="3717">
      <c r="A3717" s="9"/>
      <c r="B3717" s="15"/>
      <c r="C3717" s="9">
        <f>IFERROR(__xludf.DUMMYFUNCTION("""COMPUTED_VALUE"""),45105.7345923148)</f>
        <v>45105.73459</v>
      </c>
      <c r="D3717" s="15">
        <f>IFERROR(__xludf.DUMMYFUNCTION("""COMPUTED_VALUE"""),1.004)</f>
        <v>1.004</v>
      </c>
      <c r="E3717" s="16">
        <f>IFERROR(__xludf.DUMMYFUNCTION("""COMPUTED_VALUE"""),70.0)</f>
        <v>70</v>
      </c>
      <c r="F3717" s="19" t="str">
        <f>IFERROR(__xludf.DUMMYFUNCTION("""COMPUTED_VALUE"""),"BLACK")</f>
        <v>BLACK</v>
      </c>
      <c r="G3717" s="20" t="str">
        <f>IFERROR(__xludf.DUMMYFUNCTION("""COMPUTED_VALUE"""),"Uncle Sams Cider (04/04/2023)")</f>
        <v>Uncle Sams Cider (04/04/2023)</v>
      </c>
      <c r="H3717" s="19"/>
    </row>
    <row r="3718">
      <c r="A3718" s="9"/>
      <c r="B3718" s="15"/>
      <c r="C3718" s="9">
        <f>IFERROR(__xludf.DUMMYFUNCTION("""COMPUTED_VALUE"""),45105.7241710069)</f>
        <v>45105.72417</v>
      </c>
      <c r="D3718" s="15">
        <f>IFERROR(__xludf.DUMMYFUNCTION("""COMPUTED_VALUE"""),1.005)</f>
        <v>1.005</v>
      </c>
      <c r="E3718" s="16">
        <f>IFERROR(__xludf.DUMMYFUNCTION("""COMPUTED_VALUE"""),70.0)</f>
        <v>70</v>
      </c>
      <c r="F3718" s="19" t="str">
        <f>IFERROR(__xludf.DUMMYFUNCTION("""COMPUTED_VALUE"""),"BLACK")</f>
        <v>BLACK</v>
      </c>
      <c r="G3718" s="20" t="str">
        <f>IFERROR(__xludf.DUMMYFUNCTION("""COMPUTED_VALUE"""),"Uncle Sams Cider (04/04/2023)")</f>
        <v>Uncle Sams Cider (04/04/2023)</v>
      </c>
      <c r="H3718" s="19"/>
    </row>
    <row r="3719">
      <c r="A3719" s="9"/>
      <c r="B3719" s="15"/>
      <c r="C3719" s="9">
        <f>IFERROR(__xludf.DUMMYFUNCTION("""COMPUTED_VALUE"""),45105.7137493634)</f>
        <v>45105.71375</v>
      </c>
      <c r="D3719" s="15">
        <f>IFERROR(__xludf.DUMMYFUNCTION("""COMPUTED_VALUE"""),1.004)</f>
        <v>1.004</v>
      </c>
      <c r="E3719" s="16">
        <f>IFERROR(__xludf.DUMMYFUNCTION("""COMPUTED_VALUE"""),70.0)</f>
        <v>70</v>
      </c>
      <c r="F3719" s="19" t="str">
        <f>IFERROR(__xludf.DUMMYFUNCTION("""COMPUTED_VALUE"""),"BLACK")</f>
        <v>BLACK</v>
      </c>
      <c r="G3719" s="20" t="str">
        <f>IFERROR(__xludf.DUMMYFUNCTION("""COMPUTED_VALUE"""),"Uncle Sams Cider (04/04/2023)")</f>
        <v>Uncle Sams Cider (04/04/2023)</v>
      </c>
      <c r="H3719" s="19"/>
    </row>
    <row r="3720">
      <c r="A3720" s="9"/>
      <c r="B3720" s="15"/>
      <c r="C3720" s="9">
        <f>IFERROR(__xludf.DUMMYFUNCTION("""COMPUTED_VALUE"""),45105.7033269213)</f>
        <v>45105.70333</v>
      </c>
      <c r="D3720" s="15">
        <f>IFERROR(__xludf.DUMMYFUNCTION("""COMPUTED_VALUE"""),1.004)</f>
        <v>1.004</v>
      </c>
      <c r="E3720" s="16">
        <f>IFERROR(__xludf.DUMMYFUNCTION("""COMPUTED_VALUE"""),70.0)</f>
        <v>70</v>
      </c>
      <c r="F3720" s="19" t="str">
        <f>IFERROR(__xludf.DUMMYFUNCTION("""COMPUTED_VALUE"""),"BLACK")</f>
        <v>BLACK</v>
      </c>
      <c r="G3720" s="20" t="str">
        <f>IFERROR(__xludf.DUMMYFUNCTION("""COMPUTED_VALUE"""),"Uncle Sams Cider (04/04/2023)")</f>
        <v>Uncle Sams Cider (04/04/2023)</v>
      </c>
      <c r="H3720" s="19"/>
    </row>
    <row r="3721">
      <c r="A3721" s="9"/>
      <c r="B3721" s="15"/>
      <c r="C3721" s="9">
        <f>IFERROR(__xludf.DUMMYFUNCTION("""COMPUTED_VALUE"""),45105.6929068865)</f>
        <v>45105.69291</v>
      </c>
      <c r="D3721" s="15">
        <f>IFERROR(__xludf.DUMMYFUNCTION("""COMPUTED_VALUE"""),1.005)</f>
        <v>1.005</v>
      </c>
      <c r="E3721" s="16">
        <f>IFERROR(__xludf.DUMMYFUNCTION("""COMPUTED_VALUE"""),70.0)</f>
        <v>70</v>
      </c>
      <c r="F3721" s="19" t="str">
        <f>IFERROR(__xludf.DUMMYFUNCTION("""COMPUTED_VALUE"""),"BLACK")</f>
        <v>BLACK</v>
      </c>
      <c r="G3721" s="20" t="str">
        <f>IFERROR(__xludf.DUMMYFUNCTION("""COMPUTED_VALUE"""),"Uncle Sams Cider (04/04/2023)")</f>
        <v>Uncle Sams Cider (04/04/2023)</v>
      </c>
      <c r="H3721" s="19"/>
    </row>
    <row r="3722">
      <c r="A3722" s="9"/>
      <c r="B3722" s="15"/>
      <c r="C3722" s="9">
        <f>IFERROR(__xludf.DUMMYFUNCTION("""COMPUTED_VALUE"""),45105.6824634953)</f>
        <v>45105.68246</v>
      </c>
      <c r="D3722" s="15">
        <f>IFERROR(__xludf.DUMMYFUNCTION("""COMPUTED_VALUE"""),1.004)</f>
        <v>1.004</v>
      </c>
      <c r="E3722" s="16">
        <f>IFERROR(__xludf.DUMMYFUNCTION("""COMPUTED_VALUE"""),70.0)</f>
        <v>70</v>
      </c>
      <c r="F3722" s="19" t="str">
        <f>IFERROR(__xludf.DUMMYFUNCTION("""COMPUTED_VALUE"""),"BLACK")</f>
        <v>BLACK</v>
      </c>
      <c r="G3722" s="20" t="str">
        <f>IFERROR(__xludf.DUMMYFUNCTION("""COMPUTED_VALUE"""),"Uncle Sams Cider (04/04/2023)")</f>
        <v>Uncle Sams Cider (04/04/2023)</v>
      </c>
      <c r="H3722" s="19"/>
    </row>
    <row r="3723">
      <c r="A3723" s="9"/>
      <c r="B3723" s="15"/>
      <c r="C3723" s="9">
        <f>IFERROR(__xludf.DUMMYFUNCTION("""COMPUTED_VALUE"""),45105.6720421527)</f>
        <v>45105.67204</v>
      </c>
      <c r="D3723" s="15">
        <f>IFERROR(__xludf.DUMMYFUNCTION("""COMPUTED_VALUE"""),1.004)</f>
        <v>1.004</v>
      </c>
      <c r="E3723" s="16">
        <f>IFERROR(__xludf.DUMMYFUNCTION("""COMPUTED_VALUE"""),70.0)</f>
        <v>70</v>
      </c>
      <c r="F3723" s="19" t="str">
        <f>IFERROR(__xludf.DUMMYFUNCTION("""COMPUTED_VALUE"""),"BLACK")</f>
        <v>BLACK</v>
      </c>
      <c r="G3723" s="20" t="str">
        <f>IFERROR(__xludf.DUMMYFUNCTION("""COMPUTED_VALUE"""),"Uncle Sams Cider (04/04/2023)")</f>
        <v>Uncle Sams Cider (04/04/2023)</v>
      </c>
      <c r="H3723" s="19"/>
    </row>
    <row r="3724">
      <c r="A3724" s="9"/>
      <c r="B3724" s="15"/>
      <c r="C3724" s="9">
        <f>IFERROR(__xludf.DUMMYFUNCTION("""COMPUTED_VALUE"""),45105.6616224652)</f>
        <v>45105.66162</v>
      </c>
      <c r="D3724" s="15">
        <f>IFERROR(__xludf.DUMMYFUNCTION("""COMPUTED_VALUE"""),1.005)</f>
        <v>1.005</v>
      </c>
      <c r="E3724" s="16">
        <f>IFERROR(__xludf.DUMMYFUNCTION("""COMPUTED_VALUE"""),70.0)</f>
        <v>70</v>
      </c>
      <c r="F3724" s="19" t="str">
        <f>IFERROR(__xludf.DUMMYFUNCTION("""COMPUTED_VALUE"""),"BLACK")</f>
        <v>BLACK</v>
      </c>
      <c r="G3724" s="20" t="str">
        <f>IFERROR(__xludf.DUMMYFUNCTION("""COMPUTED_VALUE"""),"Uncle Sams Cider (04/04/2023)")</f>
        <v>Uncle Sams Cider (04/04/2023)</v>
      </c>
      <c r="H3724" s="19"/>
    </row>
    <row r="3725">
      <c r="A3725" s="9"/>
      <c r="B3725" s="15"/>
      <c r="C3725" s="9">
        <f>IFERROR(__xludf.DUMMYFUNCTION("""COMPUTED_VALUE"""),45105.6512017476)</f>
        <v>45105.6512</v>
      </c>
      <c r="D3725" s="15">
        <f>IFERROR(__xludf.DUMMYFUNCTION("""COMPUTED_VALUE"""),1.005)</f>
        <v>1.005</v>
      </c>
      <c r="E3725" s="16">
        <f>IFERROR(__xludf.DUMMYFUNCTION("""COMPUTED_VALUE"""),70.0)</f>
        <v>70</v>
      </c>
      <c r="F3725" s="19" t="str">
        <f>IFERROR(__xludf.DUMMYFUNCTION("""COMPUTED_VALUE"""),"BLACK")</f>
        <v>BLACK</v>
      </c>
      <c r="G3725" s="20" t="str">
        <f>IFERROR(__xludf.DUMMYFUNCTION("""COMPUTED_VALUE"""),"Uncle Sams Cider (04/04/2023)")</f>
        <v>Uncle Sams Cider (04/04/2023)</v>
      </c>
      <c r="H3725" s="19"/>
    </row>
    <row r="3726">
      <c r="A3726" s="9"/>
      <c r="B3726" s="15"/>
      <c r="C3726" s="9">
        <f>IFERROR(__xludf.DUMMYFUNCTION("""COMPUTED_VALUE"""),45105.6407810879)</f>
        <v>45105.64078</v>
      </c>
      <c r="D3726" s="15">
        <f>IFERROR(__xludf.DUMMYFUNCTION("""COMPUTED_VALUE"""),1.005)</f>
        <v>1.005</v>
      </c>
      <c r="E3726" s="16">
        <f>IFERROR(__xludf.DUMMYFUNCTION("""COMPUTED_VALUE"""),70.0)</f>
        <v>70</v>
      </c>
      <c r="F3726" s="19" t="str">
        <f>IFERROR(__xludf.DUMMYFUNCTION("""COMPUTED_VALUE"""),"BLACK")</f>
        <v>BLACK</v>
      </c>
      <c r="G3726" s="20" t="str">
        <f>IFERROR(__xludf.DUMMYFUNCTION("""COMPUTED_VALUE"""),"Uncle Sams Cider (04/04/2023)")</f>
        <v>Uncle Sams Cider (04/04/2023)</v>
      </c>
      <c r="H3726" s="19"/>
    </row>
    <row r="3727">
      <c r="A3727" s="9"/>
      <c r="B3727" s="15"/>
      <c r="C3727" s="9">
        <f>IFERROR(__xludf.DUMMYFUNCTION("""COMPUTED_VALUE"""),45105.6303594907)</f>
        <v>45105.63036</v>
      </c>
      <c r="D3727" s="15">
        <f>IFERROR(__xludf.DUMMYFUNCTION("""COMPUTED_VALUE"""),1.004)</f>
        <v>1.004</v>
      </c>
      <c r="E3727" s="16">
        <f>IFERROR(__xludf.DUMMYFUNCTION("""COMPUTED_VALUE"""),70.0)</f>
        <v>70</v>
      </c>
      <c r="F3727" s="19" t="str">
        <f>IFERROR(__xludf.DUMMYFUNCTION("""COMPUTED_VALUE"""),"BLACK")</f>
        <v>BLACK</v>
      </c>
      <c r="G3727" s="20" t="str">
        <f>IFERROR(__xludf.DUMMYFUNCTION("""COMPUTED_VALUE"""),"Uncle Sams Cider (04/04/2023)")</f>
        <v>Uncle Sams Cider (04/04/2023)</v>
      </c>
      <c r="H3727" s="19"/>
    </row>
    <row r="3728">
      <c r="A3728" s="9"/>
      <c r="B3728" s="15"/>
      <c r="C3728" s="9">
        <f>IFERROR(__xludf.DUMMYFUNCTION("""COMPUTED_VALUE"""),45105.6199397453)</f>
        <v>45105.61994</v>
      </c>
      <c r="D3728" s="15">
        <f>IFERROR(__xludf.DUMMYFUNCTION("""COMPUTED_VALUE"""),1.005)</f>
        <v>1.005</v>
      </c>
      <c r="E3728" s="16">
        <f>IFERROR(__xludf.DUMMYFUNCTION("""COMPUTED_VALUE"""),70.0)</f>
        <v>70</v>
      </c>
      <c r="F3728" s="19" t="str">
        <f>IFERROR(__xludf.DUMMYFUNCTION("""COMPUTED_VALUE"""),"BLACK")</f>
        <v>BLACK</v>
      </c>
      <c r="G3728" s="20" t="str">
        <f>IFERROR(__xludf.DUMMYFUNCTION("""COMPUTED_VALUE"""),"Uncle Sams Cider (04/04/2023)")</f>
        <v>Uncle Sams Cider (04/04/2023)</v>
      </c>
      <c r="H3728" s="19"/>
    </row>
    <row r="3729">
      <c r="A3729" s="9"/>
      <c r="B3729" s="15"/>
      <c r="C3729" s="9">
        <f>IFERROR(__xludf.DUMMYFUNCTION("""COMPUTED_VALUE"""),45105.6095170833)</f>
        <v>45105.60952</v>
      </c>
      <c r="D3729" s="15">
        <f>IFERROR(__xludf.DUMMYFUNCTION("""COMPUTED_VALUE"""),1.004)</f>
        <v>1.004</v>
      </c>
      <c r="E3729" s="16">
        <f>IFERROR(__xludf.DUMMYFUNCTION("""COMPUTED_VALUE"""),70.0)</f>
        <v>70</v>
      </c>
      <c r="F3729" s="19" t="str">
        <f>IFERROR(__xludf.DUMMYFUNCTION("""COMPUTED_VALUE"""),"BLACK")</f>
        <v>BLACK</v>
      </c>
      <c r="G3729" s="20" t="str">
        <f>IFERROR(__xludf.DUMMYFUNCTION("""COMPUTED_VALUE"""),"Uncle Sams Cider (04/04/2023)")</f>
        <v>Uncle Sams Cider (04/04/2023)</v>
      </c>
      <c r="H3729" s="19"/>
    </row>
    <row r="3730">
      <c r="A3730" s="9"/>
      <c r="B3730" s="15"/>
      <c r="C3730" s="9">
        <f>IFERROR(__xludf.DUMMYFUNCTION("""COMPUTED_VALUE"""),45105.5990950694)</f>
        <v>45105.5991</v>
      </c>
      <c r="D3730" s="15">
        <f>IFERROR(__xludf.DUMMYFUNCTION("""COMPUTED_VALUE"""),1.004)</f>
        <v>1.004</v>
      </c>
      <c r="E3730" s="16">
        <f>IFERROR(__xludf.DUMMYFUNCTION("""COMPUTED_VALUE"""),70.0)</f>
        <v>70</v>
      </c>
      <c r="F3730" s="19" t="str">
        <f>IFERROR(__xludf.DUMMYFUNCTION("""COMPUTED_VALUE"""),"BLACK")</f>
        <v>BLACK</v>
      </c>
      <c r="G3730" s="20" t="str">
        <f>IFERROR(__xludf.DUMMYFUNCTION("""COMPUTED_VALUE"""),"Uncle Sams Cider (04/04/2023)")</f>
        <v>Uncle Sams Cider (04/04/2023)</v>
      </c>
      <c r="H3730" s="19"/>
    </row>
    <row r="3731">
      <c r="A3731" s="9"/>
      <c r="B3731" s="15"/>
      <c r="C3731" s="9">
        <f>IFERROR(__xludf.DUMMYFUNCTION("""COMPUTED_VALUE"""),45105.5886726736)</f>
        <v>45105.58867</v>
      </c>
      <c r="D3731" s="15">
        <f>IFERROR(__xludf.DUMMYFUNCTION("""COMPUTED_VALUE"""),1.005)</f>
        <v>1.005</v>
      </c>
      <c r="E3731" s="16">
        <f>IFERROR(__xludf.DUMMYFUNCTION("""COMPUTED_VALUE"""),70.0)</f>
        <v>70</v>
      </c>
      <c r="F3731" s="19" t="str">
        <f>IFERROR(__xludf.DUMMYFUNCTION("""COMPUTED_VALUE"""),"BLACK")</f>
        <v>BLACK</v>
      </c>
      <c r="G3731" s="20" t="str">
        <f>IFERROR(__xludf.DUMMYFUNCTION("""COMPUTED_VALUE"""),"Uncle Sams Cider (04/04/2023)")</f>
        <v>Uncle Sams Cider (04/04/2023)</v>
      </c>
      <c r="H3731" s="19"/>
    </row>
    <row r="3732">
      <c r="A3732" s="9"/>
      <c r="B3732" s="15"/>
      <c r="C3732" s="9">
        <f>IFERROR(__xludf.DUMMYFUNCTION("""COMPUTED_VALUE"""),45105.5782515972)</f>
        <v>45105.57825</v>
      </c>
      <c r="D3732" s="15">
        <f>IFERROR(__xludf.DUMMYFUNCTION("""COMPUTED_VALUE"""),1.004)</f>
        <v>1.004</v>
      </c>
      <c r="E3732" s="16">
        <f>IFERROR(__xludf.DUMMYFUNCTION("""COMPUTED_VALUE"""),70.0)</f>
        <v>70</v>
      </c>
      <c r="F3732" s="19" t="str">
        <f>IFERROR(__xludf.DUMMYFUNCTION("""COMPUTED_VALUE"""),"BLACK")</f>
        <v>BLACK</v>
      </c>
      <c r="G3732" s="20" t="str">
        <f>IFERROR(__xludf.DUMMYFUNCTION("""COMPUTED_VALUE"""),"Uncle Sams Cider (04/04/2023)")</f>
        <v>Uncle Sams Cider (04/04/2023)</v>
      </c>
      <c r="H3732" s="19"/>
    </row>
    <row r="3733">
      <c r="A3733" s="9"/>
      <c r="B3733" s="15"/>
      <c r="C3733" s="9">
        <f>IFERROR(__xludf.DUMMYFUNCTION("""COMPUTED_VALUE"""),45105.5678301851)</f>
        <v>45105.56783</v>
      </c>
      <c r="D3733" s="15">
        <f>IFERROR(__xludf.DUMMYFUNCTION("""COMPUTED_VALUE"""),1.004)</f>
        <v>1.004</v>
      </c>
      <c r="E3733" s="16">
        <f>IFERROR(__xludf.DUMMYFUNCTION("""COMPUTED_VALUE"""),70.0)</f>
        <v>70</v>
      </c>
      <c r="F3733" s="19" t="str">
        <f>IFERROR(__xludf.DUMMYFUNCTION("""COMPUTED_VALUE"""),"BLACK")</f>
        <v>BLACK</v>
      </c>
      <c r="G3733" s="20" t="str">
        <f>IFERROR(__xludf.DUMMYFUNCTION("""COMPUTED_VALUE"""),"Uncle Sams Cider (04/04/2023)")</f>
        <v>Uncle Sams Cider (04/04/2023)</v>
      </c>
      <c r="H3733" s="19"/>
    </row>
    <row r="3734">
      <c r="A3734" s="9"/>
      <c r="B3734" s="15"/>
      <c r="C3734" s="9">
        <f>IFERROR(__xludf.DUMMYFUNCTION("""COMPUTED_VALUE"""),45105.5574091435)</f>
        <v>45105.55741</v>
      </c>
      <c r="D3734" s="15">
        <f>IFERROR(__xludf.DUMMYFUNCTION("""COMPUTED_VALUE"""),1.005)</f>
        <v>1.005</v>
      </c>
      <c r="E3734" s="16">
        <f>IFERROR(__xludf.DUMMYFUNCTION("""COMPUTED_VALUE"""),70.0)</f>
        <v>70</v>
      </c>
      <c r="F3734" s="19" t="str">
        <f>IFERROR(__xludf.DUMMYFUNCTION("""COMPUTED_VALUE"""),"BLACK")</f>
        <v>BLACK</v>
      </c>
      <c r="G3734" s="20" t="str">
        <f>IFERROR(__xludf.DUMMYFUNCTION("""COMPUTED_VALUE"""),"Uncle Sams Cider (04/04/2023)")</f>
        <v>Uncle Sams Cider (04/04/2023)</v>
      </c>
      <c r="H3734" s="19"/>
    </row>
    <row r="3735">
      <c r="A3735" s="9"/>
      <c r="B3735" s="15"/>
      <c r="C3735" s="9">
        <f>IFERROR(__xludf.DUMMYFUNCTION("""COMPUTED_VALUE"""),45105.5469895254)</f>
        <v>45105.54699</v>
      </c>
      <c r="D3735" s="15">
        <f>IFERROR(__xludf.DUMMYFUNCTION("""COMPUTED_VALUE"""),1.005)</f>
        <v>1.005</v>
      </c>
      <c r="E3735" s="16">
        <f>IFERROR(__xludf.DUMMYFUNCTION("""COMPUTED_VALUE"""),70.0)</f>
        <v>70</v>
      </c>
      <c r="F3735" s="19" t="str">
        <f>IFERROR(__xludf.DUMMYFUNCTION("""COMPUTED_VALUE"""),"BLACK")</f>
        <v>BLACK</v>
      </c>
      <c r="G3735" s="20" t="str">
        <f>IFERROR(__xludf.DUMMYFUNCTION("""COMPUTED_VALUE"""),"Uncle Sams Cider (04/04/2023)")</f>
        <v>Uncle Sams Cider (04/04/2023)</v>
      </c>
      <c r="H3735" s="19"/>
    </row>
    <row r="3736">
      <c r="A3736" s="9"/>
      <c r="B3736" s="15"/>
      <c r="C3736" s="9">
        <f>IFERROR(__xludf.DUMMYFUNCTION("""COMPUTED_VALUE"""),45105.5365690162)</f>
        <v>45105.53657</v>
      </c>
      <c r="D3736" s="15">
        <f>IFERROR(__xludf.DUMMYFUNCTION("""COMPUTED_VALUE"""),1.004)</f>
        <v>1.004</v>
      </c>
      <c r="E3736" s="16">
        <f>IFERROR(__xludf.DUMMYFUNCTION("""COMPUTED_VALUE"""),70.0)</f>
        <v>70</v>
      </c>
      <c r="F3736" s="19" t="str">
        <f>IFERROR(__xludf.DUMMYFUNCTION("""COMPUTED_VALUE"""),"BLACK")</f>
        <v>BLACK</v>
      </c>
      <c r="G3736" s="20" t="str">
        <f>IFERROR(__xludf.DUMMYFUNCTION("""COMPUTED_VALUE"""),"Uncle Sams Cider (04/04/2023)")</f>
        <v>Uncle Sams Cider (04/04/2023)</v>
      </c>
      <c r="H3736" s="19"/>
    </row>
    <row r="3737">
      <c r="A3737" s="9"/>
      <c r="B3737" s="15"/>
      <c r="C3737" s="9">
        <f>IFERROR(__xludf.DUMMYFUNCTION("""COMPUTED_VALUE"""),45105.5261265509)</f>
        <v>45105.52613</v>
      </c>
      <c r="D3737" s="15">
        <f>IFERROR(__xludf.DUMMYFUNCTION("""COMPUTED_VALUE"""),1.005)</f>
        <v>1.005</v>
      </c>
      <c r="E3737" s="16">
        <f>IFERROR(__xludf.DUMMYFUNCTION("""COMPUTED_VALUE"""),70.0)</f>
        <v>70</v>
      </c>
      <c r="F3737" s="19" t="str">
        <f>IFERROR(__xludf.DUMMYFUNCTION("""COMPUTED_VALUE"""),"BLACK")</f>
        <v>BLACK</v>
      </c>
      <c r="G3737" s="20" t="str">
        <f>IFERROR(__xludf.DUMMYFUNCTION("""COMPUTED_VALUE"""),"Uncle Sams Cider (04/04/2023)")</f>
        <v>Uncle Sams Cider (04/04/2023)</v>
      </c>
      <c r="H3737" s="19"/>
    </row>
    <row r="3738">
      <c r="A3738" s="9"/>
      <c r="B3738" s="15"/>
      <c r="C3738" s="9">
        <f>IFERROR(__xludf.DUMMYFUNCTION("""COMPUTED_VALUE"""),45105.5156826041)</f>
        <v>45105.51568</v>
      </c>
      <c r="D3738" s="15">
        <f>IFERROR(__xludf.DUMMYFUNCTION("""COMPUTED_VALUE"""),1.004)</f>
        <v>1.004</v>
      </c>
      <c r="E3738" s="16">
        <f>IFERROR(__xludf.DUMMYFUNCTION("""COMPUTED_VALUE"""),70.0)</f>
        <v>70</v>
      </c>
      <c r="F3738" s="19" t="str">
        <f>IFERROR(__xludf.DUMMYFUNCTION("""COMPUTED_VALUE"""),"BLACK")</f>
        <v>BLACK</v>
      </c>
      <c r="G3738" s="20" t="str">
        <f>IFERROR(__xludf.DUMMYFUNCTION("""COMPUTED_VALUE"""),"Uncle Sams Cider (04/04/2023)")</f>
        <v>Uncle Sams Cider (04/04/2023)</v>
      </c>
      <c r="H3738" s="19"/>
    </row>
    <row r="3739">
      <c r="A3739" s="9"/>
      <c r="B3739" s="15"/>
      <c r="C3739" s="9">
        <f>IFERROR(__xludf.DUMMYFUNCTION("""COMPUTED_VALUE"""),45105.5052618171)</f>
        <v>45105.50526</v>
      </c>
      <c r="D3739" s="15">
        <f>IFERROR(__xludf.DUMMYFUNCTION("""COMPUTED_VALUE"""),1.005)</f>
        <v>1.005</v>
      </c>
      <c r="E3739" s="16">
        <f>IFERROR(__xludf.DUMMYFUNCTION("""COMPUTED_VALUE"""),70.0)</f>
        <v>70</v>
      </c>
      <c r="F3739" s="19" t="str">
        <f>IFERROR(__xludf.DUMMYFUNCTION("""COMPUTED_VALUE"""),"BLACK")</f>
        <v>BLACK</v>
      </c>
      <c r="G3739" s="20" t="str">
        <f>IFERROR(__xludf.DUMMYFUNCTION("""COMPUTED_VALUE"""),"Uncle Sams Cider (04/04/2023)")</f>
        <v>Uncle Sams Cider (04/04/2023)</v>
      </c>
      <c r="H3739" s="19"/>
    </row>
    <row r="3740">
      <c r="A3740" s="9"/>
      <c r="B3740" s="15"/>
      <c r="C3740" s="9">
        <f>IFERROR(__xludf.DUMMYFUNCTION("""COMPUTED_VALUE"""),45105.4948405324)</f>
        <v>45105.49484</v>
      </c>
      <c r="D3740" s="15">
        <f>IFERROR(__xludf.DUMMYFUNCTION("""COMPUTED_VALUE"""),1.004)</f>
        <v>1.004</v>
      </c>
      <c r="E3740" s="16">
        <f>IFERROR(__xludf.DUMMYFUNCTION("""COMPUTED_VALUE"""),70.0)</f>
        <v>70</v>
      </c>
      <c r="F3740" s="19" t="str">
        <f>IFERROR(__xludf.DUMMYFUNCTION("""COMPUTED_VALUE"""),"BLACK")</f>
        <v>BLACK</v>
      </c>
      <c r="G3740" s="20" t="str">
        <f>IFERROR(__xludf.DUMMYFUNCTION("""COMPUTED_VALUE"""),"Uncle Sams Cider (04/04/2023)")</f>
        <v>Uncle Sams Cider (04/04/2023)</v>
      </c>
      <c r="H3740" s="19"/>
    </row>
    <row r="3741">
      <c r="A3741" s="9"/>
      <c r="B3741" s="15"/>
      <c r="C3741" s="9">
        <f>IFERROR(__xludf.DUMMYFUNCTION("""COMPUTED_VALUE"""),45105.4844196759)</f>
        <v>45105.48442</v>
      </c>
      <c r="D3741" s="15">
        <f>IFERROR(__xludf.DUMMYFUNCTION("""COMPUTED_VALUE"""),1.005)</f>
        <v>1.005</v>
      </c>
      <c r="E3741" s="16">
        <f>IFERROR(__xludf.DUMMYFUNCTION("""COMPUTED_VALUE"""),70.0)</f>
        <v>70</v>
      </c>
      <c r="F3741" s="19" t="str">
        <f>IFERROR(__xludf.DUMMYFUNCTION("""COMPUTED_VALUE"""),"BLACK")</f>
        <v>BLACK</v>
      </c>
      <c r="G3741" s="20" t="str">
        <f>IFERROR(__xludf.DUMMYFUNCTION("""COMPUTED_VALUE"""),"Uncle Sams Cider (04/04/2023)")</f>
        <v>Uncle Sams Cider (04/04/2023)</v>
      </c>
      <c r="H3741" s="19"/>
    </row>
    <row r="3742">
      <c r="A3742" s="9"/>
      <c r="B3742" s="15"/>
      <c r="C3742" s="9">
        <f>IFERROR(__xludf.DUMMYFUNCTION("""COMPUTED_VALUE"""),45105.4739990972)</f>
        <v>45105.474</v>
      </c>
      <c r="D3742" s="15">
        <f>IFERROR(__xludf.DUMMYFUNCTION("""COMPUTED_VALUE"""),1.004)</f>
        <v>1.004</v>
      </c>
      <c r="E3742" s="16">
        <f>IFERROR(__xludf.DUMMYFUNCTION("""COMPUTED_VALUE"""),70.0)</f>
        <v>70</v>
      </c>
      <c r="F3742" s="19" t="str">
        <f>IFERROR(__xludf.DUMMYFUNCTION("""COMPUTED_VALUE"""),"BLACK")</f>
        <v>BLACK</v>
      </c>
      <c r="G3742" s="20" t="str">
        <f>IFERROR(__xludf.DUMMYFUNCTION("""COMPUTED_VALUE"""),"Uncle Sams Cider (04/04/2023)")</f>
        <v>Uncle Sams Cider (04/04/2023)</v>
      </c>
      <c r="H3742" s="19"/>
    </row>
    <row r="3743">
      <c r="A3743" s="9"/>
      <c r="B3743" s="15"/>
      <c r="C3743" s="9">
        <f>IFERROR(__xludf.DUMMYFUNCTION("""COMPUTED_VALUE"""),45105.4635786458)</f>
        <v>45105.46358</v>
      </c>
      <c r="D3743" s="15">
        <f>IFERROR(__xludf.DUMMYFUNCTION("""COMPUTED_VALUE"""),1.005)</f>
        <v>1.005</v>
      </c>
      <c r="E3743" s="16">
        <f>IFERROR(__xludf.DUMMYFUNCTION("""COMPUTED_VALUE"""),70.0)</f>
        <v>70</v>
      </c>
      <c r="F3743" s="19" t="str">
        <f>IFERROR(__xludf.DUMMYFUNCTION("""COMPUTED_VALUE"""),"BLACK")</f>
        <v>BLACK</v>
      </c>
      <c r="G3743" s="20" t="str">
        <f>IFERROR(__xludf.DUMMYFUNCTION("""COMPUTED_VALUE"""),"Uncle Sams Cider (04/04/2023)")</f>
        <v>Uncle Sams Cider (04/04/2023)</v>
      </c>
      <c r="H3743" s="19"/>
    </row>
    <row r="3744">
      <c r="A3744" s="9"/>
      <c r="B3744" s="15"/>
      <c r="C3744" s="9">
        <f>IFERROR(__xludf.DUMMYFUNCTION("""COMPUTED_VALUE"""),45105.4531350347)</f>
        <v>45105.45314</v>
      </c>
      <c r="D3744" s="15">
        <f>IFERROR(__xludf.DUMMYFUNCTION("""COMPUTED_VALUE"""),1.004)</f>
        <v>1.004</v>
      </c>
      <c r="E3744" s="16">
        <f>IFERROR(__xludf.DUMMYFUNCTION("""COMPUTED_VALUE"""),70.0)</f>
        <v>70</v>
      </c>
      <c r="F3744" s="19" t="str">
        <f>IFERROR(__xludf.DUMMYFUNCTION("""COMPUTED_VALUE"""),"BLACK")</f>
        <v>BLACK</v>
      </c>
      <c r="G3744" s="20" t="str">
        <f>IFERROR(__xludf.DUMMYFUNCTION("""COMPUTED_VALUE"""),"Uncle Sams Cider (04/04/2023)")</f>
        <v>Uncle Sams Cider (04/04/2023)</v>
      </c>
      <c r="H3744" s="19"/>
    </row>
    <row r="3745">
      <c r="A3745" s="9"/>
      <c r="B3745" s="15"/>
      <c r="C3745" s="9">
        <f>IFERROR(__xludf.DUMMYFUNCTION("""COMPUTED_VALUE"""),45105.4426893981)</f>
        <v>45105.44269</v>
      </c>
      <c r="D3745" s="15">
        <f>IFERROR(__xludf.DUMMYFUNCTION("""COMPUTED_VALUE"""),1.004)</f>
        <v>1.004</v>
      </c>
      <c r="E3745" s="16">
        <f>IFERROR(__xludf.DUMMYFUNCTION("""COMPUTED_VALUE"""),70.0)</f>
        <v>70</v>
      </c>
      <c r="F3745" s="19" t="str">
        <f>IFERROR(__xludf.DUMMYFUNCTION("""COMPUTED_VALUE"""),"BLACK")</f>
        <v>BLACK</v>
      </c>
      <c r="G3745" s="20" t="str">
        <f>IFERROR(__xludf.DUMMYFUNCTION("""COMPUTED_VALUE"""),"Uncle Sams Cider (04/04/2023)")</f>
        <v>Uncle Sams Cider (04/04/2023)</v>
      </c>
      <c r="H3745" s="19"/>
    </row>
    <row r="3746">
      <c r="A3746" s="9"/>
      <c r="B3746" s="15"/>
      <c r="C3746" s="9">
        <f>IFERROR(__xludf.DUMMYFUNCTION("""COMPUTED_VALUE"""),45105.4322677314)</f>
        <v>45105.43227</v>
      </c>
      <c r="D3746" s="15">
        <f>IFERROR(__xludf.DUMMYFUNCTION("""COMPUTED_VALUE"""),1.005)</f>
        <v>1.005</v>
      </c>
      <c r="E3746" s="16">
        <f>IFERROR(__xludf.DUMMYFUNCTION("""COMPUTED_VALUE"""),70.0)</f>
        <v>70</v>
      </c>
      <c r="F3746" s="19" t="str">
        <f>IFERROR(__xludf.DUMMYFUNCTION("""COMPUTED_VALUE"""),"BLACK")</f>
        <v>BLACK</v>
      </c>
      <c r="G3746" s="20" t="str">
        <f>IFERROR(__xludf.DUMMYFUNCTION("""COMPUTED_VALUE"""),"Uncle Sams Cider (04/04/2023)")</f>
        <v>Uncle Sams Cider (04/04/2023)</v>
      </c>
      <c r="H3746" s="19"/>
    </row>
    <row r="3747">
      <c r="A3747" s="9"/>
      <c r="B3747" s="15"/>
      <c r="C3747" s="9">
        <f>IFERROR(__xludf.DUMMYFUNCTION("""COMPUTED_VALUE"""),45105.4218473032)</f>
        <v>45105.42185</v>
      </c>
      <c r="D3747" s="15">
        <f>IFERROR(__xludf.DUMMYFUNCTION("""COMPUTED_VALUE"""),1.005)</f>
        <v>1.005</v>
      </c>
      <c r="E3747" s="16">
        <f>IFERROR(__xludf.DUMMYFUNCTION("""COMPUTED_VALUE"""),70.0)</f>
        <v>70</v>
      </c>
      <c r="F3747" s="19" t="str">
        <f>IFERROR(__xludf.DUMMYFUNCTION("""COMPUTED_VALUE"""),"BLACK")</f>
        <v>BLACK</v>
      </c>
      <c r="G3747" s="20" t="str">
        <f>IFERROR(__xludf.DUMMYFUNCTION("""COMPUTED_VALUE"""),"Uncle Sams Cider (04/04/2023)")</f>
        <v>Uncle Sams Cider (04/04/2023)</v>
      </c>
      <c r="H3747" s="19"/>
    </row>
    <row r="3748">
      <c r="A3748" s="9"/>
      <c r="B3748" s="15"/>
      <c r="C3748" s="9">
        <f>IFERROR(__xludf.DUMMYFUNCTION("""COMPUTED_VALUE"""),45105.4114296296)</f>
        <v>45105.41143</v>
      </c>
      <c r="D3748" s="15">
        <f>IFERROR(__xludf.DUMMYFUNCTION("""COMPUTED_VALUE"""),1.004)</f>
        <v>1.004</v>
      </c>
      <c r="E3748" s="16">
        <f>IFERROR(__xludf.DUMMYFUNCTION("""COMPUTED_VALUE"""),70.0)</f>
        <v>70</v>
      </c>
      <c r="F3748" s="19" t="str">
        <f>IFERROR(__xludf.DUMMYFUNCTION("""COMPUTED_VALUE"""),"BLACK")</f>
        <v>BLACK</v>
      </c>
      <c r="G3748" s="20" t="str">
        <f>IFERROR(__xludf.DUMMYFUNCTION("""COMPUTED_VALUE"""),"Uncle Sams Cider (04/04/2023)")</f>
        <v>Uncle Sams Cider (04/04/2023)</v>
      </c>
      <c r="H3748" s="19"/>
    </row>
    <row r="3749">
      <c r="A3749" s="9"/>
      <c r="B3749" s="15"/>
      <c r="C3749" s="9">
        <f>IFERROR(__xludf.DUMMYFUNCTION("""COMPUTED_VALUE"""),45105.4010093865)</f>
        <v>45105.40101</v>
      </c>
      <c r="D3749" s="15">
        <f>IFERROR(__xludf.DUMMYFUNCTION("""COMPUTED_VALUE"""),1.005)</f>
        <v>1.005</v>
      </c>
      <c r="E3749" s="16">
        <f>IFERROR(__xludf.DUMMYFUNCTION("""COMPUTED_VALUE"""),70.0)</f>
        <v>70</v>
      </c>
      <c r="F3749" s="19" t="str">
        <f>IFERROR(__xludf.DUMMYFUNCTION("""COMPUTED_VALUE"""),"BLACK")</f>
        <v>BLACK</v>
      </c>
      <c r="G3749" s="20" t="str">
        <f>IFERROR(__xludf.DUMMYFUNCTION("""COMPUTED_VALUE"""),"Uncle Sams Cider (04/04/2023)")</f>
        <v>Uncle Sams Cider (04/04/2023)</v>
      </c>
      <c r="H3749" s="19"/>
    </row>
    <row r="3750">
      <c r="A3750" s="9"/>
      <c r="B3750" s="15"/>
      <c r="C3750" s="9">
        <f>IFERROR(__xludf.DUMMYFUNCTION("""COMPUTED_VALUE"""),45105.390588993)</f>
        <v>45105.39059</v>
      </c>
      <c r="D3750" s="15">
        <f>IFERROR(__xludf.DUMMYFUNCTION("""COMPUTED_VALUE"""),1.004)</f>
        <v>1.004</v>
      </c>
      <c r="E3750" s="16">
        <f>IFERROR(__xludf.DUMMYFUNCTION("""COMPUTED_VALUE"""),70.0)</f>
        <v>70</v>
      </c>
      <c r="F3750" s="19" t="str">
        <f>IFERROR(__xludf.DUMMYFUNCTION("""COMPUTED_VALUE"""),"BLACK")</f>
        <v>BLACK</v>
      </c>
      <c r="G3750" s="20" t="str">
        <f>IFERROR(__xludf.DUMMYFUNCTION("""COMPUTED_VALUE"""),"Uncle Sams Cider (04/04/2023)")</f>
        <v>Uncle Sams Cider (04/04/2023)</v>
      </c>
      <c r="H3750" s="19"/>
    </row>
    <row r="3751">
      <c r="A3751" s="9"/>
      <c r="B3751" s="15"/>
      <c r="C3751" s="9">
        <f>IFERROR(__xludf.DUMMYFUNCTION("""COMPUTED_VALUE"""),45105.3801673032)</f>
        <v>45105.38017</v>
      </c>
      <c r="D3751" s="15">
        <f>IFERROR(__xludf.DUMMYFUNCTION("""COMPUTED_VALUE"""),1.004)</f>
        <v>1.004</v>
      </c>
      <c r="E3751" s="16">
        <f>IFERROR(__xludf.DUMMYFUNCTION("""COMPUTED_VALUE"""),70.0)</f>
        <v>70</v>
      </c>
      <c r="F3751" s="19" t="str">
        <f>IFERROR(__xludf.DUMMYFUNCTION("""COMPUTED_VALUE"""),"BLACK")</f>
        <v>BLACK</v>
      </c>
      <c r="G3751" s="20" t="str">
        <f>IFERROR(__xludf.DUMMYFUNCTION("""COMPUTED_VALUE"""),"Uncle Sams Cider (04/04/2023)")</f>
        <v>Uncle Sams Cider (04/04/2023)</v>
      </c>
      <c r="H3751" s="19"/>
    </row>
    <row r="3752">
      <c r="A3752" s="9"/>
      <c r="B3752" s="15"/>
      <c r="C3752" s="9">
        <f>IFERROR(__xludf.DUMMYFUNCTION("""COMPUTED_VALUE"""),45105.3697223842)</f>
        <v>45105.36972</v>
      </c>
      <c r="D3752" s="15">
        <f>IFERROR(__xludf.DUMMYFUNCTION("""COMPUTED_VALUE"""),1.005)</f>
        <v>1.005</v>
      </c>
      <c r="E3752" s="16">
        <f>IFERROR(__xludf.DUMMYFUNCTION("""COMPUTED_VALUE"""),70.0)</f>
        <v>70</v>
      </c>
      <c r="F3752" s="19" t="str">
        <f>IFERROR(__xludf.DUMMYFUNCTION("""COMPUTED_VALUE"""),"BLACK")</f>
        <v>BLACK</v>
      </c>
      <c r="G3752" s="20" t="str">
        <f>IFERROR(__xludf.DUMMYFUNCTION("""COMPUTED_VALUE"""),"Uncle Sams Cider (04/04/2023)")</f>
        <v>Uncle Sams Cider (04/04/2023)</v>
      </c>
      <c r="H3752" s="19"/>
    </row>
    <row r="3753">
      <c r="A3753" s="9"/>
      <c r="B3753" s="15"/>
      <c r="C3753" s="9">
        <f>IFERROR(__xludf.DUMMYFUNCTION("""COMPUTED_VALUE"""),45105.3593010995)</f>
        <v>45105.3593</v>
      </c>
      <c r="D3753" s="15">
        <f>IFERROR(__xludf.DUMMYFUNCTION("""COMPUTED_VALUE"""),1.004)</f>
        <v>1.004</v>
      </c>
      <c r="E3753" s="16">
        <f>IFERROR(__xludf.DUMMYFUNCTION("""COMPUTED_VALUE"""),70.0)</f>
        <v>70</v>
      </c>
      <c r="F3753" s="19" t="str">
        <f>IFERROR(__xludf.DUMMYFUNCTION("""COMPUTED_VALUE"""),"BLACK")</f>
        <v>BLACK</v>
      </c>
      <c r="G3753" s="20" t="str">
        <f>IFERROR(__xludf.DUMMYFUNCTION("""COMPUTED_VALUE"""),"Uncle Sams Cider (04/04/2023)")</f>
        <v>Uncle Sams Cider (04/04/2023)</v>
      </c>
      <c r="H3753" s="19"/>
    </row>
    <row r="3754">
      <c r="A3754" s="9"/>
      <c r="B3754" s="15"/>
      <c r="C3754" s="9">
        <f>IFERROR(__xludf.DUMMYFUNCTION("""COMPUTED_VALUE"""),45105.3488805208)</f>
        <v>45105.34888</v>
      </c>
      <c r="D3754" s="15">
        <f>IFERROR(__xludf.DUMMYFUNCTION("""COMPUTED_VALUE"""),1.005)</f>
        <v>1.005</v>
      </c>
      <c r="E3754" s="16">
        <f>IFERROR(__xludf.DUMMYFUNCTION("""COMPUTED_VALUE"""),70.0)</f>
        <v>70</v>
      </c>
      <c r="F3754" s="19" t="str">
        <f>IFERROR(__xludf.DUMMYFUNCTION("""COMPUTED_VALUE"""),"BLACK")</f>
        <v>BLACK</v>
      </c>
      <c r="G3754" s="20" t="str">
        <f>IFERROR(__xludf.DUMMYFUNCTION("""COMPUTED_VALUE"""),"Uncle Sams Cider (04/04/2023)")</f>
        <v>Uncle Sams Cider (04/04/2023)</v>
      </c>
      <c r="H3754" s="19"/>
    </row>
    <row r="3755">
      <c r="A3755" s="9"/>
      <c r="B3755" s="15"/>
      <c r="C3755" s="9">
        <f>IFERROR(__xludf.DUMMYFUNCTION("""COMPUTED_VALUE"""),45105.3384589004)</f>
        <v>45105.33846</v>
      </c>
      <c r="D3755" s="15">
        <f>IFERROR(__xludf.DUMMYFUNCTION("""COMPUTED_VALUE"""),1.004)</f>
        <v>1.004</v>
      </c>
      <c r="E3755" s="16">
        <f>IFERROR(__xludf.DUMMYFUNCTION("""COMPUTED_VALUE"""),70.0)</f>
        <v>70</v>
      </c>
      <c r="F3755" s="19" t="str">
        <f>IFERROR(__xludf.DUMMYFUNCTION("""COMPUTED_VALUE"""),"BLACK")</f>
        <v>BLACK</v>
      </c>
      <c r="G3755" s="20" t="str">
        <f>IFERROR(__xludf.DUMMYFUNCTION("""COMPUTED_VALUE"""),"Uncle Sams Cider (04/04/2023)")</f>
        <v>Uncle Sams Cider (04/04/2023)</v>
      </c>
      <c r="H3755" s="19"/>
    </row>
    <row r="3756">
      <c r="A3756" s="9"/>
      <c r="B3756" s="15"/>
      <c r="C3756" s="9">
        <f>IFERROR(__xludf.DUMMYFUNCTION("""COMPUTED_VALUE"""),45105.3280367129)</f>
        <v>45105.32804</v>
      </c>
      <c r="D3756" s="15">
        <f>IFERROR(__xludf.DUMMYFUNCTION("""COMPUTED_VALUE"""),1.004)</f>
        <v>1.004</v>
      </c>
      <c r="E3756" s="16">
        <f>IFERROR(__xludf.DUMMYFUNCTION("""COMPUTED_VALUE"""),70.0)</f>
        <v>70</v>
      </c>
      <c r="F3756" s="19" t="str">
        <f>IFERROR(__xludf.DUMMYFUNCTION("""COMPUTED_VALUE"""),"BLACK")</f>
        <v>BLACK</v>
      </c>
      <c r="G3756" s="20" t="str">
        <f>IFERROR(__xludf.DUMMYFUNCTION("""COMPUTED_VALUE"""),"Uncle Sams Cider (04/04/2023)")</f>
        <v>Uncle Sams Cider (04/04/2023)</v>
      </c>
      <c r="H3756" s="19"/>
    </row>
    <row r="3757">
      <c r="A3757" s="9"/>
      <c r="B3757" s="15"/>
      <c r="C3757" s="9">
        <f>IFERROR(__xludf.DUMMYFUNCTION("""COMPUTED_VALUE"""),45105.3176145833)</f>
        <v>45105.31761</v>
      </c>
      <c r="D3757" s="15">
        <f>IFERROR(__xludf.DUMMYFUNCTION("""COMPUTED_VALUE"""),1.004)</f>
        <v>1.004</v>
      </c>
      <c r="E3757" s="16">
        <f>IFERROR(__xludf.DUMMYFUNCTION("""COMPUTED_VALUE"""),70.0)</f>
        <v>70</v>
      </c>
      <c r="F3757" s="19" t="str">
        <f>IFERROR(__xludf.DUMMYFUNCTION("""COMPUTED_VALUE"""),"BLACK")</f>
        <v>BLACK</v>
      </c>
      <c r="G3757" s="20" t="str">
        <f>IFERROR(__xludf.DUMMYFUNCTION("""COMPUTED_VALUE"""),"Uncle Sams Cider (04/04/2023)")</f>
        <v>Uncle Sams Cider (04/04/2023)</v>
      </c>
      <c r="H3757" s="19"/>
    </row>
    <row r="3758">
      <c r="A3758" s="9"/>
      <c r="B3758" s="15"/>
      <c r="C3758" s="9">
        <f>IFERROR(__xludf.DUMMYFUNCTION("""COMPUTED_VALUE"""),45105.307191493)</f>
        <v>45105.30719</v>
      </c>
      <c r="D3758" s="15">
        <f>IFERROR(__xludf.DUMMYFUNCTION("""COMPUTED_VALUE"""),1.005)</f>
        <v>1.005</v>
      </c>
      <c r="E3758" s="16">
        <f>IFERROR(__xludf.DUMMYFUNCTION("""COMPUTED_VALUE"""),70.0)</f>
        <v>70</v>
      </c>
      <c r="F3758" s="19" t="str">
        <f>IFERROR(__xludf.DUMMYFUNCTION("""COMPUTED_VALUE"""),"BLACK")</f>
        <v>BLACK</v>
      </c>
      <c r="G3758" s="20" t="str">
        <f>IFERROR(__xludf.DUMMYFUNCTION("""COMPUTED_VALUE"""),"Uncle Sams Cider (04/04/2023)")</f>
        <v>Uncle Sams Cider (04/04/2023)</v>
      </c>
      <c r="H3758" s="19"/>
    </row>
    <row r="3759">
      <c r="A3759" s="9"/>
      <c r="B3759" s="15"/>
      <c r="C3759" s="9">
        <f>IFERROR(__xludf.DUMMYFUNCTION("""COMPUTED_VALUE"""),45105.2967472685)</f>
        <v>45105.29675</v>
      </c>
      <c r="D3759" s="15">
        <f>IFERROR(__xludf.DUMMYFUNCTION("""COMPUTED_VALUE"""),1.004)</f>
        <v>1.004</v>
      </c>
      <c r="E3759" s="16">
        <f>IFERROR(__xludf.DUMMYFUNCTION("""COMPUTED_VALUE"""),70.0)</f>
        <v>70</v>
      </c>
      <c r="F3759" s="19" t="str">
        <f>IFERROR(__xludf.DUMMYFUNCTION("""COMPUTED_VALUE"""),"BLACK")</f>
        <v>BLACK</v>
      </c>
      <c r="G3759" s="20" t="str">
        <f>IFERROR(__xludf.DUMMYFUNCTION("""COMPUTED_VALUE"""),"Uncle Sams Cider (04/04/2023)")</f>
        <v>Uncle Sams Cider (04/04/2023)</v>
      </c>
      <c r="H3759" s="19"/>
    </row>
    <row r="3760">
      <c r="A3760" s="9"/>
      <c r="B3760" s="15"/>
      <c r="C3760" s="9">
        <f>IFERROR(__xludf.DUMMYFUNCTION("""COMPUTED_VALUE"""),45105.2863264699)</f>
        <v>45105.28633</v>
      </c>
      <c r="D3760" s="15">
        <f>IFERROR(__xludf.DUMMYFUNCTION("""COMPUTED_VALUE"""),1.005)</f>
        <v>1.005</v>
      </c>
      <c r="E3760" s="16">
        <f>IFERROR(__xludf.DUMMYFUNCTION("""COMPUTED_VALUE"""),70.0)</f>
        <v>70</v>
      </c>
      <c r="F3760" s="19" t="str">
        <f>IFERROR(__xludf.DUMMYFUNCTION("""COMPUTED_VALUE"""),"BLACK")</f>
        <v>BLACK</v>
      </c>
      <c r="G3760" s="20" t="str">
        <f>IFERROR(__xludf.DUMMYFUNCTION("""COMPUTED_VALUE"""),"Uncle Sams Cider (04/04/2023)")</f>
        <v>Uncle Sams Cider (04/04/2023)</v>
      </c>
      <c r="H3760" s="19"/>
    </row>
    <row r="3761">
      <c r="A3761" s="9"/>
      <c r="B3761" s="15"/>
      <c r="C3761" s="9">
        <f>IFERROR(__xludf.DUMMYFUNCTION("""COMPUTED_VALUE"""),45105.2758820138)</f>
        <v>45105.27588</v>
      </c>
      <c r="D3761" s="15">
        <f>IFERROR(__xludf.DUMMYFUNCTION("""COMPUTED_VALUE"""),1.004)</f>
        <v>1.004</v>
      </c>
      <c r="E3761" s="16">
        <f>IFERROR(__xludf.DUMMYFUNCTION("""COMPUTED_VALUE"""),70.0)</f>
        <v>70</v>
      </c>
      <c r="F3761" s="19" t="str">
        <f>IFERROR(__xludf.DUMMYFUNCTION("""COMPUTED_VALUE"""),"BLACK")</f>
        <v>BLACK</v>
      </c>
      <c r="G3761" s="20" t="str">
        <f>IFERROR(__xludf.DUMMYFUNCTION("""COMPUTED_VALUE"""),"Uncle Sams Cider (04/04/2023)")</f>
        <v>Uncle Sams Cider (04/04/2023)</v>
      </c>
      <c r="H3761" s="19"/>
    </row>
    <row r="3762">
      <c r="A3762" s="9"/>
      <c r="B3762" s="15"/>
      <c r="C3762" s="9">
        <f>IFERROR(__xludf.DUMMYFUNCTION("""COMPUTED_VALUE"""),45105.2654587384)</f>
        <v>45105.26546</v>
      </c>
      <c r="D3762" s="15">
        <f>IFERROR(__xludf.DUMMYFUNCTION("""COMPUTED_VALUE"""),1.005)</f>
        <v>1.005</v>
      </c>
      <c r="E3762" s="16">
        <f>IFERROR(__xludf.DUMMYFUNCTION("""COMPUTED_VALUE"""),70.0)</f>
        <v>70</v>
      </c>
      <c r="F3762" s="19" t="str">
        <f>IFERROR(__xludf.DUMMYFUNCTION("""COMPUTED_VALUE"""),"BLACK")</f>
        <v>BLACK</v>
      </c>
      <c r="G3762" s="20" t="str">
        <f>IFERROR(__xludf.DUMMYFUNCTION("""COMPUTED_VALUE"""),"Uncle Sams Cider (04/04/2023)")</f>
        <v>Uncle Sams Cider (04/04/2023)</v>
      </c>
      <c r="H3762" s="19"/>
    </row>
    <row r="3763">
      <c r="A3763" s="9"/>
      <c r="B3763" s="15"/>
      <c r="C3763" s="9">
        <f>IFERROR(__xludf.DUMMYFUNCTION("""COMPUTED_VALUE"""),45105.2550260532)</f>
        <v>45105.25503</v>
      </c>
      <c r="D3763" s="15">
        <f>IFERROR(__xludf.DUMMYFUNCTION("""COMPUTED_VALUE"""),1.005)</f>
        <v>1.005</v>
      </c>
      <c r="E3763" s="16">
        <f>IFERROR(__xludf.DUMMYFUNCTION("""COMPUTED_VALUE"""),70.0)</f>
        <v>70</v>
      </c>
      <c r="F3763" s="19" t="str">
        <f>IFERROR(__xludf.DUMMYFUNCTION("""COMPUTED_VALUE"""),"BLACK")</f>
        <v>BLACK</v>
      </c>
      <c r="G3763" s="20" t="str">
        <f>IFERROR(__xludf.DUMMYFUNCTION("""COMPUTED_VALUE"""),"Uncle Sams Cider (04/04/2023)")</f>
        <v>Uncle Sams Cider (04/04/2023)</v>
      </c>
      <c r="H3763" s="19"/>
    </row>
    <row r="3764">
      <c r="A3764" s="9"/>
      <c r="B3764" s="15"/>
      <c r="C3764" s="9">
        <f>IFERROR(__xludf.DUMMYFUNCTION("""COMPUTED_VALUE"""),45105.2446057175)</f>
        <v>45105.24461</v>
      </c>
      <c r="D3764" s="15">
        <f>IFERROR(__xludf.DUMMYFUNCTION("""COMPUTED_VALUE"""),1.004)</f>
        <v>1.004</v>
      </c>
      <c r="E3764" s="16">
        <f>IFERROR(__xludf.DUMMYFUNCTION("""COMPUTED_VALUE"""),70.0)</f>
        <v>70</v>
      </c>
      <c r="F3764" s="19" t="str">
        <f>IFERROR(__xludf.DUMMYFUNCTION("""COMPUTED_VALUE"""),"BLACK")</f>
        <v>BLACK</v>
      </c>
      <c r="G3764" s="20" t="str">
        <f>IFERROR(__xludf.DUMMYFUNCTION("""COMPUTED_VALUE"""),"Uncle Sams Cider (04/04/2023)")</f>
        <v>Uncle Sams Cider (04/04/2023)</v>
      </c>
      <c r="H3764" s="19"/>
    </row>
    <row r="3765">
      <c r="A3765" s="9"/>
      <c r="B3765" s="15"/>
      <c r="C3765" s="9">
        <f>IFERROR(__xludf.DUMMYFUNCTION("""COMPUTED_VALUE"""),45105.2341840046)</f>
        <v>45105.23418</v>
      </c>
      <c r="D3765" s="15">
        <f>IFERROR(__xludf.DUMMYFUNCTION("""COMPUTED_VALUE"""),1.005)</f>
        <v>1.005</v>
      </c>
      <c r="E3765" s="16">
        <f>IFERROR(__xludf.DUMMYFUNCTION("""COMPUTED_VALUE"""),70.0)</f>
        <v>70</v>
      </c>
      <c r="F3765" s="19" t="str">
        <f>IFERROR(__xludf.DUMMYFUNCTION("""COMPUTED_VALUE"""),"BLACK")</f>
        <v>BLACK</v>
      </c>
      <c r="G3765" s="20" t="str">
        <f>IFERROR(__xludf.DUMMYFUNCTION("""COMPUTED_VALUE"""),"Uncle Sams Cider (04/04/2023)")</f>
        <v>Uncle Sams Cider (04/04/2023)</v>
      </c>
      <c r="H3765" s="19"/>
    </row>
    <row r="3766">
      <c r="A3766" s="9"/>
      <c r="B3766" s="15"/>
      <c r="C3766" s="9">
        <f>IFERROR(__xludf.DUMMYFUNCTION("""COMPUTED_VALUE"""),45105.2237615393)</f>
        <v>45105.22376</v>
      </c>
      <c r="D3766" s="15">
        <f>IFERROR(__xludf.DUMMYFUNCTION("""COMPUTED_VALUE"""),1.004)</f>
        <v>1.004</v>
      </c>
      <c r="E3766" s="16">
        <f>IFERROR(__xludf.DUMMYFUNCTION("""COMPUTED_VALUE"""),70.0)</f>
        <v>70</v>
      </c>
      <c r="F3766" s="19" t="str">
        <f>IFERROR(__xludf.DUMMYFUNCTION("""COMPUTED_VALUE"""),"BLACK")</f>
        <v>BLACK</v>
      </c>
      <c r="G3766" s="20" t="str">
        <f>IFERROR(__xludf.DUMMYFUNCTION("""COMPUTED_VALUE"""),"Uncle Sams Cider (04/04/2023)")</f>
        <v>Uncle Sams Cider (04/04/2023)</v>
      </c>
      <c r="H3766" s="19"/>
    </row>
    <row r="3767">
      <c r="A3767" s="9"/>
      <c r="B3767" s="15"/>
      <c r="C3767" s="9">
        <f>IFERROR(__xludf.DUMMYFUNCTION("""COMPUTED_VALUE"""),45105.2133402083)</f>
        <v>45105.21334</v>
      </c>
      <c r="D3767" s="15">
        <f>IFERROR(__xludf.DUMMYFUNCTION("""COMPUTED_VALUE"""),1.004)</f>
        <v>1.004</v>
      </c>
      <c r="E3767" s="16">
        <f>IFERROR(__xludf.DUMMYFUNCTION("""COMPUTED_VALUE"""),70.0)</f>
        <v>70</v>
      </c>
      <c r="F3767" s="19" t="str">
        <f>IFERROR(__xludf.DUMMYFUNCTION("""COMPUTED_VALUE"""),"BLACK")</f>
        <v>BLACK</v>
      </c>
      <c r="G3767" s="20" t="str">
        <f>IFERROR(__xludf.DUMMYFUNCTION("""COMPUTED_VALUE"""),"Uncle Sams Cider (04/04/2023)")</f>
        <v>Uncle Sams Cider (04/04/2023)</v>
      </c>
      <c r="H3767" s="19"/>
    </row>
    <row r="3768">
      <c r="A3768" s="9"/>
      <c r="B3768" s="15"/>
      <c r="C3768" s="9">
        <f>IFERROR(__xludf.DUMMYFUNCTION("""COMPUTED_VALUE"""),45105.2029185879)</f>
        <v>45105.20292</v>
      </c>
      <c r="D3768" s="15">
        <f>IFERROR(__xludf.DUMMYFUNCTION("""COMPUTED_VALUE"""),1.004)</f>
        <v>1.004</v>
      </c>
      <c r="E3768" s="16">
        <f>IFERROR(__xludf.DUMMYFUNCTION("""COMPUTED_VALUE"""),70.0)</f>
        <v>70</v>
      </c>
      <c r="F3768" s="19" t="str">
        <f>IFERROR(__xludf.DUMMYFUNCTION("""COMPUTED_VALUE"""),"BLACK")</f>
        <v>BLACK</v>
      </c>
      <c r="G3768" s="20" t="str">
        <f>IFERROR(__xludf.DUMMYFUNCTION("""COMPUTED_VALUE"""),"Uncle Sams Cider (04/04/2023)")</f>
        <v>Uncle Sams Cider (04/04/2023)</v>
      </c>
      <c r="H3768" s="19"/>
    </row>
    <row r="3769">
      <c r="A3769" s="9"/>
      <c r="B3769" s="15"/>
      <c r="C3769" s="9">
        <f>IFERROR(__xludf.DUMMYFUNCTION("""COMPUTED_VALUE"""),45105.1924975347)</f>
        <v>45105.1925</v>
      </c>
      <c r="D3769" s="15">
        <f>IFERROR(__xludf.DUMMYFUNCTION("""COMPUTED_VALUE"""),1.004)</f>
        <v>1.004</v>
      </c>
      <c r="E3769" s="16">
        <f>IFERROR(__xludf.DUMMYFUNCTION("""COMPUTED_VALUE"""),70.0)</f>
        <v>70</v>
      </c>
      <c r="F3769" s="19" t="str">
        <f>IFERROR(__xludf.DUMMYFUNCTION("""COMPUTED_VALUE"""),"BLACK")</f>
        <v>BLACK</v>
      </c>
      <c r="G3769" s="20" t="str">
        <f>IFERROR(__xludf.DUMMYFUNCTION("""COMPUTED_VALUE"""),"Uncle Sams Cider (04/04/2023)")</f>
        <v>Uncle Sams Cider (04/04/2023)</v>
      </c>
      <c r="H3769" s="19"/>
    </row>
    <row r="3770">
      <c r="A3770" s="9"/>
      <c r="B3770" s="15"/>
      <c r="C3770" s="9">
        <f>IFERROR(__xludf.DUMMYFUNCTION("""COMPUTED_VALUE"""),45105.1820758912)</f>
        <v>45105.18208</v>
      </c>
      <c r="D3770" s="15">
        <f>IFERROR(__xludf.DUMMYFUNCTION("""COMPUTED_VALUE"""),1.005)</f>
        <v>1.005</v>
      </c>
      <c r="E3770" s="16">
        <f>IFERROR(__xludf.DUMMYFUNCTION("""COMPUTED_VALUE"""),70.0)</f>
        <v>70</v>
      </c>
      <c r="F3770" s="19" t="str">
        <f>IFERROR(__xludf.DUMMYFUNCTION("""COMPUTED_VALUE"""),"BLACK")</f>
        <v>BLACK</v>
      </c>
      <c r="G3770" s="20" t="str">
        <f>IFERROR(__xludf.DUMMYFUNCTION("""COMPUTED_VALUE"""),"Uncle Sams Cider (04/04/2023)")</f>
        <v>Uncle Sams Cider (04/04/2023)</v>
      </c>
      <c r="H3770" s="19"/>
    </row>
    <row r="3771">
      <c r="A3771" s="9"/>
      <c r="B3771" s="15"/>
      <c r="C3771" s="9">
        <f>IFERROR(__xludf.DUMMYFUNCTION("""COMPUTED_VALUE"""),45105.1716535995)</f>
        <v>45105.17165</v>
      </c>
      <c r="D3771" s="15">
        <f>IFERROR(__xludf.DUMMYFUNCTION("""COMPUTED_VALUE"""),1.004)</f>
        <v>1.004</v>
      </c>
      <c r="E3771" s="16">
        <f>IFERROR(__xludf.DUMMYFUNCTION("""COMPUTED_VALUE"""),70.0)</f>
        <v>70</v>
      </c>
      <c r="F3771" s="19" t="str">
        <f>IFERROR(__xludf.DUMMYFUNCTION("""COMPUTED_VALUE"""),"BLACK")</f>
        <v>BLACK</v>
      </c>
      <c r="G3771" s="20" t="str">
        <f>IFERROR(__xludf.DUMMYFUNCTION("""COMPUTED_VALUE"""),"Uncle Sams Cider (04/04/2023)")</f>
        <v>Uncle Sams Cider (04/04/2023)</v>
      </c>
      <c r="H3771" s="19"/>
    </row>
    <row r="3772">
      <c r="A3772" s="9"/>
      <c r="B3772" s="15"/>
      <c r="C3772" s="9">
        <f>IFERROR(__xludf.DUMMYFUNCTION("""COMPUTED_VALUE"""),45105.1612229166)</f>
        <v>45105.16122</v>
      </c>
      <c r="D3772" s="15">
        <f>IFERROR(__xludf.DUMMYFUNCTION("""COMPUTED_VALUE"""),1.005)</f>
        <v>1.005</v>
      </c>
      <c r="E3772" s="16">
        <f>IFERROR(__xludf.DUMMYFUNCTION("""COMPUTED_VALUE"""),70.0)</f>
        <v>70</v>
      </c>
      <c r="F3772" s="19" t="str">
        <f>IFERROR(__xludf.DUMMYFUNCTION("""COMPUTED_VALUE"""),"BLACK")</f>
        <v>BLACK</v>
      </c>
      <c r="G3772" s="20" t="str">
        <f>IFERROR(__xludf.DUMMYFUNCTION("""COMPUTED_VALUE"""),"Uncle Sams Cider (04/04/2023)")</f>
        <v>Uncle Sams Cider (04/04/2023)</v>
      </c>
      <c r="H3772" s="19"/>
    </row>
    <row r="3773">
      <c r="A3773" s="9"/>
      <c r="B3773" s="15"/>
      <c r="C3773" s="9">
        <f>IFERROR(__xludf.DUMMYFUNCTION("""COMPUTED_VALUE"""),45105.1508018981)</f>
        <v>45105.1508</v>
      </c>
      <c r="D3773" s="15">
        <f>IFERROR(__xludf.DUMMYFUNCTION("""COMPUTED_VALUE"""),1.004)</f>
        <v>1.004</v>
      </c>
      <c r="E3773" s="16">
        <f>IFERROR(__xludf.DUMMYFUNCTION("""COMPUTED_VALUE"""),70.0)</f>
        <v>70</v>
      </c>
      <c r="F3773" s="19" t="str">
        <f>IFERROR(__xludf.DUMMYFUNCTION("""COMPUTED_VALUE"""),"BLACK")</f>
        <v>BLACK</v>
      </c>
      <c r="G3773" s="20" t="str">
        <f>IFERROR(__xludf.DUMMYFUNCTION("""COMPUTED_VALUE"""),"Uncle Sams Cider (04/04/2023)")</f>
        <v>Uncle Sams Cider (04/04/2023)</v>
      </c>
      <c r="H3773" s="19"/>
    </row>
    <row r="3774">
      <c r="A3774" s="9"/>
      <c r="B3774" s="15"/>
      <c r="C3774" s="9">
        <f>IFERROR(__xludf.DUMMYFUNCTION("""COMPUTED_VALUE"""),45105.140382037)</f>
        <v>45105.14038</v>
      </c>
      <c r="D3774" s="15">
        <f>IFERROR(__xludf.DUMMYFUNCTION("""COMPUTED_VALUE"""),1.004)</f>
        <v>1.004</v>
      </c>
      <c r="E3774" s="16">
        <f>IFERROR(__xludf.DUMMYFUNCTION("""COMPUTED_VALUE"""),70.0)</f>
        <v>70</v>
      </c>
      <c r="F3774" s="19" t="str">
        <f>IFERROR(__xludf.DUMMYFUNCTION("""COMPUTED_VALUE"""),"BLACK")</f>
        <v>BLACK</v>
      </c>
      <c r="G3774" s="20" t="str">
        <f>IFERROR(__xludf.DUMMYFUNCTION("""COMPUTED_VALUE"""),"Uncle Sams Cider (04/04/2023)")</f>
        <v>Uncle Sams Cider (04/04/2023)</v>
      </c>
      <c r="H3774" s="19"/>
    </row>
    <row r="3775">
      <c r="A3775" s="9"/>
      <c r="B3775" s="15"/>
      <c r="C3775" s="9">
        <f>IFERROR(__xludf.DUMMYFUNCTION("""COMPUTED_VALUE"""),45105.1299372685)</f>
        <v>45105.12994</v>
      </c>
      <c r="D3775" s="15">
        <f>IFERROR(__xludf.DUMMYFUNCTION("""COMPUTED_VALUE"""),1.005)</f>
        <v>1.005</v>
      </c>
      <c r="E3775" s="16">
        <f>IFERROR(__xludf.DUMMYFUNCTION("""COMPUTED_VALUE"""),70.0)</f>
        <v>70</v>
      </c>
      <c r="F3775" s="19" t="str">
        <f>IFERROR(__xludf.DUMMYFUNCTION("""COMPUTED_VALUE"""),"BLACK")</f>
        <v>BLACK</v>
      </c>
      <c r="G3775" s="20" t="str">
        <f>IFERROR(__xludf.DUMMYFUNCTION("""COMPUTED_VALUE"""),"Uncle Sams Cider (04/04/2023)")</f>
        <v>Uncle Sams Cider (04/04/2023)</v>
      </c>
      <c r="H3775" s="19"/>
    </row>
    <row r="3776">
      <c r="A3776" s="9"/>
      <c r="B3776" s="15"/>
      <c r="C3776" s="9">
        <f>IFERROR(__xludf.DUMMYFUNCTION("""COMPUTED_VALUE"""),45105.119518287)</f>
        <v>45105.11952</v>
      </c>
      <c r="D3776" s="15">
        <f>IFERROR(__xludf.DUMMYFUNCTION("""COMPUTED_VALUE"""),1.005)</f>
        <v>1.005</v>
      </c>
      <c r="E3776" s="16">
        <f>IFERROR(__xludf.DUMMYFUNCTION("""COMPUTED_VALUE"""),70.0)</f>
        <v>70</v>
      </c>
      <c r="F3776" s="19" t="str">
        <f>IFERROR(__xludf.DUMMYFUNCTION("""COMPUTED_VALUE"""),"BLACK")</f>
        <v>BLACK</v>
      </c>
      <c r="G3776" s="20" t="str">
        <f>IFERROR(__xludf.DUMMYFUNCTION("""COMPUTED_VALUE"""),"Uncle Sams Cider (04/04/2023)")</f>
        <v>Uncle Sams Cider (04/04/2023)</v>
      </c>
      <c r="H3776" s="19"/>
    </row>
    <row r="3777">
      <c r="A3777" s="9"/>
      <c r="B3777" s="15"/>
      <c r="C3777" s="9">
        <f>IFERROR(__xludf.DUMMYFUNCTION("""COMPUTED_VALUE"""),45105.1090962615)</f>
        <v>45105.1091</v>
      </c>
      <c r="D3777" s="15">
        <f>IFERROR(__xludf.DUMMYFUNCTION("""COMPUTED_VALUE"""),1.005)</f>
        <v>1.005</v>
      </c>
      <c r="E3777" s="16">
        <f>IFERROR(__xludf.DUMMYFUNCTION("""COMPUTED_VALUE"""),70.0)</f>
        <v>70</v>
      </c>
      <c r="F3777" s="19" t="str">
        <f>IFERROR(__xludf.DUMMYFUNCTION("""COMPUTED_VALUE"""),"BLACK")</f>
        <v>BLACK</v>
      </c>
      <c r="G3777" s="20" t="str">
        <f>IFERROR(__xludf.DUMMYFUNCTION("""COMPUTED_VALUE"""),"Uncle Sams Cider (04/04/2023)")</f>
        <v>Uncle Sams Cider (04/04/2023)</v>
      </c>
      <c r="H3777" s="19"/>
    </row>
    <row r="3778">
      <c r="A3778" s="9"/>
      <c r="B3778" s="15"/>
      <c r="C3778" s="9">
        <f>IFERROR(__xludf.DUMMYFUNCTION("""COMPUTED_VALUE"""),45105.098674456)</f>
        <v>45105.09867</v>
      </c>
      <c r="D3778" s="15">
        <f>IFERROR(__xludf.DUMMYFUNCTION("""COMPUTED_VALUE"""),1.004)</f>
        <v>1.004</v>
      </c>
      <c r="E3778" s="16">
        <f>IFERROR(__xludf.DUMMYFUNCTION("""COMPUTED_VALUE"""),70.0)</f>
        <v>70</v>
      </c>
      <c r="F3778" s="19" t="str">
        <f>IFERROR(__xludf.DUMMYFUNCTION("""COMPUTED_VALUE"""),"BLACK")</f>
        <v>BLACK</v>
      </c>
      <c r="G3778" s="20" t="str">
        <f>IFERROR(__xludf.DUMMYFUNCTION("""COMPUTED_VALUE"""),"Uncle Sams Cider (04/04/2023)")</f>
        <v>Uncle Sams Cider (04/04/2023)</v>
      </c>
      <c r="H3778" s="19"/>
    </row>
    <row r="3779">
      <c r="A3779" s="9"/>
      <c r="B3779" s="15"/>
      <c r="C3779" s="9">
        <f>IFERROR(__xludf.DUMMYFUNCTION("""COMPUTED_VALUE"""),45105.0882547106)</f>
        <v>45105.08825</v>
      </c>
      <c r="D3779" s="15">
        <f>IFERROR(__xludf.DUMMYFUNCTION("""COMPUTED_VALUE"""),1.004)</f>
        <v>1.004</v>
      </c>
      <c r="E3779" s="16">
        <f>IFERROR(__xludf.DUMMYFUNCTION("""COMPUTED_VALUE"""),70.0)</f>
        <v>70</v>
      </c>
      <c r="F3779" s="19" t="str">
        <f>IFERROR(__xludf.DUMMYFUNCTION("""COMPUTED_VALUE"""),"BLACK")</f>
        <v>BLACK</v>
      </c>
      <c r="G3779" s="20" t="str">
        <f>IFERROR(__xludf.DUMMYFUNCTION("""COMPUTED_VALUE"""),"Uncle Sams Cider (04/04/2023)")</f>
        <v>Uncle Sams Cider (04/04/2023)</v>
      </c>
      <c r="H3779" s="19"/>
    </row>
    <row r="3780">
      <c r="A3780" s="9"/>
      <c r="B3780" s="15"/>
      <c r="C3780" s="9">
        <f>IFERROR(__xludf.DUMMYFUNCTION("""COMPUTED_VALUE"""),45105.0778338657)</f>
        <v>45105.07783</v>
      </c>
      <c r="D3780" s="15">
        <f>IFERROR(__xludf.DUMMYFUNCTION("""COMPUTED_VALUE"""),1.004)</f>
        <v>1.004</v>
      </c>
      <c r="E3780" s="16">
        <f>IFERROR(__xludf.DUMMYFUNCTION("""COMPUTED_VALUE"""),70.0)</f>
        <v>70</v>
      </c>
      <c r="F3780" s="19" t="str">
        <f>IFERROR(__xludf.DUMMYFUNCTION("""COMPUTED_VALUE"""),"BLACK")</f>
        <v>BLACK</v>
      </c>
      <c r="G3780" s="20" t="str">
        <f>IFERROR(__xludf.DUMMYFUNCTION("""COMPUTED_VALUE"""),"Uncle Sams Cider (04/04/2023)")</f>
        <v>Uncle Sams Cider (04/04/2023)</v>
      </c>
      <c r="H3780" s="19"/>
    </row>
    <row r="3781">
      <c r="A3781" s="9"/>
      <c r="B3781" s="15"/>
      <c r="C3781" s="9">
        <f>IFERROR(__xludf.DUMMYFUNCTION("""COMPUTED_VALUE"""),45105.0674122338)</f>
        <v>45105.06741</v>
      </c>
      <c r="D3781" s="15">
        <f>IFERROR(__xludf.DUMMYFUNCTION("""COMPUTED_VALUE"""),1.004)</f>
        <v>1.004</v>
      </c>
      <c r="E3781" s="16">
        <f>IFERROR(__xludf.DUMMYFUNCTION("""COMPUTED_VALUE"""),70.0)</f>
        <v>70</v>
      </c>
      <c r="F3781" s="19" t="str">
        <f>IFERROR(__xludf.DUMMYFUNCTION("""COMPUTED_VALUE"""),"BLACK")</f>
        <v>BLACK</v>
      </c>
      <c r="G3781" s="20" t="str">
        <f>IFERROR(__xludf.DUMMYFUNCTION("""COMPUTED_VALUE"""),"Uncle Sams Cider (04/04/2023)")</f>
        <v>Uncle Sams Cider (04/04/2023)</v>
      </c>
      <c r="H3781" s="19"/>
    </row>
    <row r="3782">
      <c r="A3782" s="9"/>
      <c r="B3782" s="15"/>
      <c r="C3782" s="9">
        <f>IFERROR(__xludf.DUMMYFUNCTION("""COMPUTED_VALUE"""),45105.0569917129)</f>
        <v>45105.05699</v>
      </c>
      <c r="D3782" s="15">
        <f>IFERROR(__xludf.DUMMYFUNCTION("""COMPUTED_VALUE"""),1.004)</f>
        <v>1.004</v>
      </c>
      <c r="E3782" s="16">
        <f>IFERROR(__xludf.DUMMYFUNCTION("""COMPUTED_VALUE"""),70.0)</f>
        <v>70</v>
      </c>
      <c r="F3782" s="19" t="str">
        <f>IFERROR(__xludf.DUMMYFUNCTION("""COMPUTED_VALUE"""),"BLACK")</f>
        <v>BLACK</v>
      </c>
      <c r="G3782" s="20" t="str">
        <f>IFERROR(__xludf.DUMMYFUNCTION("""COMPUTED_VALUE"""),"Uncle Sams Cider (04/04/2023)")</f>
        <v>Uncle Sams Cider (04/04/2023)</v>
      </c>
      <c r="H3782" s="19"/>
    </row>
    <row r="3783">
      <c r="A3783" s="9"/>
      <c r="B3783" s="15"/>
      <c r="C3783" s="9">
        <f>IFERROR(__xludf.DUMMYFUNCTION("""COMPUTED_VALUE"""),45105.0465702199)</f>
        <v>45105.04657</v>
      </c>
      <c r="D3783" s="15">
        <f>IFERROR(__xludf.DUMMYFUNCTION("""COMPUTED_VALUE"""),1.005)</f>
        <v>1.005</v>
      </c>
      <c r="E3783" s="16">
        <f>IFERROR(__xludf.DUMMYFUNCTION("""COMPUTED_VALUE"""),70.0)</f>
        <v>70</v>
      </c>
      <c r="F3783" s="19" t="str">
        <f>IFERROR(__xludf.DUMMYFUNCTION("""COMPUTED_VALUE"""),"BLACK")</f>
        <v>BLACK</v>
      </c>
      <c r="G3783" s="20" t="str">
        <f>IFERROR(__xludf.DUMMYFUNCTION("""COMPUTED_VALUE"""),"Uncle Sams Cider (04/04/2023)")</f>
        <v>Uncle Sams Cider (04/04/2023)</v>
      </c>
      <c r="H3783" s="19"/>
    </row>
    <row r="3784">
      <c r="A3784" s="9"/>
      <c r="B3784" s="15"/>
      <c r="C3784" s="9">
        <f>IFERROR(__xludf.DUMMYFUNCTION("""COMPUTED_VALUE"""),45105.0361477199)</f>
        <v>45105.03615</v>
      </c>
      <c r="D3784" s="15">
        <f>IFERROR(__xludf.DUMMYFUNCTION("""COMPUTED_VALUE"""),1.005)</f>
        <v>1.005</v>
      </c>
      <c r="E3784" s="16">
        <f>IFERROR(__xludf.DUMMYFUNCTION("""COMPUTED_VALUE"""),70.0)</f>
        <v>70</v>
      </c>
      <c r="F3784" s="19" t="str">
        <f>IFERROR(__xludf.DUMMYFUNCTION("""COMPUTED_VALUE"""),"BLACK")</f>
        <v>BLACK</v>
      </c>
      <c r="G3784" s="20" t="str">
        <f>IFERROR(__xludf.DUMMYFUNCTION("""COMPUTED_VALUE"""),"Uncle Sams Cider (04/04/2023)")</f>
        <v>Uncle Sams Cider (04/04/2023)</v>
      </c>
      <c r="H3784" s="19"/>
    </row>
    <row r="3785">
      <c r="A3785" s="9"/>
      <c r="B3785" s="15"/>
      <c r="C3785" s="9">
        <f>IFERROR(__xludf.DUMMYFUNCTION("""COMPUTED_VALUE"""),45105.0257260879)</f>
        <v>45105.02573</v>
      </c>
      <c r="D3785" s="15">
        <f>IFERROR(__xludf.DUMMYFUNCTION("""COMPUTED_VALUE"""),1.005)</f>
        <v>1.005</v>
      </c>
      <c r="E3785" s="16">
        <f>IFERROR(__xludf.DUMMYFUNCTION("""COMPUTED_VALUE"""),70.0)</f>
        <v>70</v>
      </c>
      <c r="F3785" s="19" t="str">
        <f>IFERROR(__xludf.DUMMYFUNCTION("""COMPUTED_VALUE"""),"BLACK")</f>
        <v>BLACK</v>
      </c>
      <c r="G3785" s="20" t="str">
        <f>IFERROR(__xludf.DUMMYFUNCTION("""COMPUTED_VALUE"""),"Uncle Sams Cider (04/04/2023)")</f>
        <v>Uncle Sams Cider (04/04/2023)</v>
      </c>
      <c r="H3785" s="19"/>
    </row>
    <row r="3786">
      <c r="A3786" s="9"/>
      <c r="B3786" s="15"/>
      <c r="C3786" s="9">
        <f>IFERROR(__xludf.DUMMYFUNCTION("""COMPUTED_VALUE"""),45105.0153062037)</f>
        <v>45105.01531</v>
      </c>
      <c r="D3786" s="15">
        <f>IFERROR(__xludf.DUMMYFUNCTION("""COMPUTED_VALUE"""),1.005)</f>
        <v>1.005</v>
      </c>
      <c r="E3786" s="16">
        <f>IFERROR(__xludf.DUMMYFUNCTION("""COMPUTED_VALUE"""),70.0)</f>
        <v>70</v>
      </c>
      <c r="F3786" s="19" t="str">
        <f>IFERROR(__xludf.DUMMYFUNCTION("""COMPUTED_VALUE"""),"BLACK")</f>
        <v>BLACK</v>
      </c>
      <c r="G3786" s="20" t="str">
        <f>IFERROR(__xludf.DUMMYFUNCTION("""COMPUTED_VALUE"""),"Uncle Sams Cider (04/04/2023)")</f>
        <v>Uncle Sams Cider (04/04/2023)</v>
      </c>
      <c r="H3786" s="19"/>
    </row>
    <row r="3787">
      <c r="A3787" s="9"/>
      <c r="B3787" s="15"/>
      <c r="C3787" s="9">
        <f>IFERROR(__xludf.DUMMYFUNCTION("""COMPUTED_VALUE"""),45105.0048859838)</f>
        <v>45105.00489</v>
      </c>
      <c r="D3787" s="15">
        <f>IFERROR(__xludf.DUMMYFUNCTION("""COMPUTED_VALUE"""),1.004)</f>
        <v>1.004</v>
      </c>
      <c r="E3787" s="16">
        <f>IFERROR(__xludf.DUMMYFUNCTION("""COMPUTED_VALUE"""),70.0)</f>
        <v>70</v>
      </c>
      <c r="F3787" s="19" t="str">
        <f>IFERROR(__xludf.DUMMYFUNCTION("""COMPUTED_VALUE"""),"BLACK")</f>
        <v>BLACK</v>
      </c>
      <c r="G3787" s="20" t="str">
        <f>IFERROR(__xludf.DUMMYFUNCTION("""COMPUTED_VALUE"""),"Uncle Sams Cider (04/04/2023)")</f>
        <v>Uncle Sams Cider (04/04/2023)</v>
      </c>
      <c r="H3787" s="19"/>
    </row>
    <row r="3788">
      <c r="A3788" s="9"/>
      <c r="B3788" s="15"/>
      <c r="C3788" s="9">
        <f>IFERROR(__xludf.DUMMYFUNCTION("""COMPUTED_VALUE"""),45104.9944649884)</f>
        <v>45104.99446</v>
      </c>
      <c r="D3788" s="15">
        <f>IFERROR(__xludf.DUMMYFUNCTION("""COMPUTED_VALUE"""),1.004)</f>
        <v>1.004</v>
      </c>
      <c r="E3788" s="16">
        <f>IFERROR(__xludf.DUMMYFUNCTION("""COMPUTED_VALUE"""),70.0)</f>
        <v>70</v>
      </c>
      <c r="F3788" s="19" t="str">
        <f>IFERROR(__xludf.DUMMYFUNCTION("""COMPUTED_VALUE"""),"BLACK")</f>
        <v>BLACK</v>
      </c>
      <c r="G3788" s="20" t="str">
        <f>IFERROR(__xludf.DUMMYFUNCTION("""COMPUTED_VALUE"""),"Uncle Sams Cider (04/04/2023)")</f>
        <v>Uncle Sams Cider (04/04/2023)</v>
      </c>
      <c r="H3788" s="19"/>
    </row>
    <row r="3789">
      <c r="A3789" s="9"/>
      <c r="B3789" s="15"/>
      <c r="C3789" s="9">
        <f>IFERROR(__xludf.DUMMYFUNCTION("""COMPUTED_VALUE"""),45104.9840338425)</f>
        <v>45104.98403</v>
      </c>
      <c r="D3789" s="15">
        <f>IFERROR(__xludf.DUMMYFUNCTION("""COMPUTED_VALUE"""),1.005)</f>
        <v>1.005</v>
      </c>
      <c r="E3789" s="16">
        <f>IFERROR(__xludf.DUMMYFUNCTION("""COMPUTED_VALUE"""),70.0)</f>
        <v>70</v>
      </c>
      <c r="F3789" s="19" t="str">
        <f>IFERROR(__xludf.DUMMYFUNCTION("""COMPUTED_VALUE"""),"BLACK")</f>
        <v>BLACK</v>
      </c>
      <c r="G3789" s="20" t="str">
        <f>IFERROR(__xludf.DUMMYFUNCTION("""COMPUTED_VALUE"""),"Uncle Sams Cider (04/04/2023)")</f>
        <v>Uncle Sams Cider (04/04/2023)</v>
      </c>
      <c r="H3789" s="19"/>
    </row>
    <row r="3790">
      <c r="A3790" s="9"/>
      <c r="B3790" s="15"/>
      <c r="C3790" s="9">
        <f>IFERROR(__xludf.DUMMYFUNCTION("""COMPUTED_VALUE"""),45104.9736130092)</f>
        <v>45104.97361</v>
      </c>
      <c r="D3790" s="15">
        <f>IFERROR(__xludf.DUMMYFUNCTION("""COMPUTED_VALUE"""),1.005)</f>
        <v>1.005</v>
      </c>
      <c r="E3790" s="16">
        <f>IFERROR(__xludf.DUMMYFUNCTION("""COMPUTED_VALUE"""),70.0)</f>
        <v>70</v>
      </c>
      <c r="F3790" s="19" t="str">
        <f>IFERROR(__xludf.DUMMYFUNCTION("""COMPUTED_VALUE"""),"BLACK")</f>
        <v>BLACK</v>
      </c>
      <c r="G3790" s="20" t="str">
        <f>IFERROR(__xludf.DUMMYFUNCTION("""COMPUTED_VALUE"""),"Uncle Sams Cider (04/04/2023)")</f>
        <v>Uncle Sams Cider (04/04/2023)</v>
      </c>
      <c r="H3790" s="19"/>
    </row>
    <row r="3791">
      <c r="A3791" s="9"/>
      <c r="B3791" s="15"/>
      <c r="C3791" s="9">
        <f>IFERROR(__xludf.DUMMYFUNCTION("""COMPUTED_VALUE"""),45104.96319)</f>
        <v>45104.96319</v>
      </c>
      <c r="D3791" s="15">
        <f>IFERROR(__xludf.DUMMYFUNCTION("""COMPUTED_VALUE"""),1.004)</f>
        <v>1.004</v>
      </c>
      <c r="E3791" s="16">
        <f>IFERROR(__xludf.DUMMYFUNCTION("""COMPUTED_VALUE"""),70.0)</f>
        <v>70</v>
      </c>
      <c r="F3791" s="19" t="str">
        <f>IFERROR(__xludf.DUMMYFUNCTION("""COMPUTED_VALUE"""),"BLACK")</f>
        <v>BLACK</v>
      </c>
      <c r="G3791" s="20" t="str">
        <f>IFERROR(__xludf.DUMMYFUNCTION("""COMPUTED_VALUE"""),"Uncle Sams Cider (04/04/2023)")</f>
        <v>Uncle Sams Cider (04/04/2023)</v>
      </c>
      <c r="H3791" s="19"/>
    </row>
    <row r="3792">
      <c r="A3792" s="9"/>
      <c r="B3792" s="15"/>
      <c r="C3792" s="9">
        <f>IFERROR(__xludf.DUMMYFUNCTION("""COMPUTED_VALUE"""),45104.9527701736)</f>
        <v>45104.95277</v>
      </c>
      <c r="D3792" s="15">
        <f>IFERROR(__xludf.DUMMYFUNCTION("""COMPUTED_VALUE"""),1.004)</f>
        <v>1.004</v>
      </c>
      <c r="E3792" s="16">
        <f>IFERROR(__xludf.DUMMYFUNCTION("""COMPUTED_VALUE"""),70.0)</f>
        <v>70</v>
      </c>
      <c r="F3792" s="19" t="str">
        <f>IFERROR(__xludf.DUMMYFUNCTION("""COMPUTED_VALUE"""),"BLACK")</f>
        <v>BLACK</v>
      </c>
      <c r="G3792" s="20" t="str">
        <f>IFERROR(__xludf.DUMMYFUNCTION("""COMPUTED_VALUE"""),"Uncle Sams Cider (04/04/2023)")</f>
        <v>Uncle Sams Cider (04/04/2023)</v>
      </c>
      <c r="H3792" s="19"/>
    </row>
    <row r="3793">
      <c r="A3793" s="9"/>
      <c r="B3793" s="15"/>
      <c r="C3793" s="9">
        <f>IFERROR(__xludf.DUMMYFUNCTION("""COMPUTED_VALUE"""),45104.9423373032)</f>
        <v>45104.94234</v>
      </c>
      <c r="D3793" s="15">
        <f>IFERROR(__xludf.DUMMYFUNCTION("""COMPUTED_VALUE"""),1.005)</f>
        <v>1.005</v>
      </c>
      <c r="E3793" s="16">
        <f>IFERROR(__xludf.DUMMYFUNCTION("""COMPUTED_VALUE"""),70.0)</f>
        <v>70</v>
      </c>
      <c r="F3793" s="19" t="str">
        <f>IFERROR(__xludf.DUMMYFUNCTION("""COMPUTED_VALUE"""),"BLACK")</f>
        <v>BLACK</v>
      </c>
      <c r="G3793" s="20" t="str">
        <f>IFERROR(__xludf.DUMMYFUNCTION("""COMPUTED_VALUE"""),"Uncle Sams Cider (04/04/2023)")</f>
        <v>Uncle Sams Cider (04/04/2023)</v>
      </c>
      <c r="H3793" s="19"/>
    </row>
    <row r="3794">
      <c r="A3794" s="9"/>
      <c r="B3794" s="15"/>
      <c r="C3794" s="9">
        <f>IFERROR(__xludf.DUMMYFUNCTION("""COMPUTED_VALUE"""),45104.9319030555)</f>
        <v>45104.9319</v>
      </c>
      <c r="D3794" s="15">
        <f>IFERROR(__xludf.DUMMYFUNCTION("""COMPUTED_VALUE"""),1.005)</f>
        <v>1.005</v>
      </c>
      <c r="E3794" s="16">
        <f>IFERROR(__xludf.DUMMYFUNCTION("""COMPUTED_VALUE"""),70.0)</f>
        <v>70</v>
      </c>
      <c r="F3794" s="19" t="str">
        <f>IFERROR(__xludf.DUMMYFUNCTION("""COMPUTED_VALUE"""),"BLACK")</f>
        <v>BLACK</v>
      </c>
      <c r="G3794" s="20" t="str">
        <f>IFERROR(__xludf.DUMMYFUNCTION("""COMPUTED_VALUE"""),"Uncle Sams Cider (04/04/2023)")</f>
        <v>Uncle Sams Cider (04/04/2023)</v>
      </c>
      <c r="H3794" s="19"/>
    </row>
    <row r="3795">
      <c r="A3795" s="9"/>
      <c r="B3795" s="15"/>
      <c r="C3795" s="9">
        <f>IFERROR(__xludf.DUMMYFUNCTION("""COMPUTED_VALUE"""),45104.9214580092)</f>
        <v>45104.92146</v>
      </c>
      <c r="D3795" s="15">
        <f>IFERROR(__xludf.DUMMYFUNCTION("""COMPUTED_VALUE"""),1.005)</f>
        <v>1.005</v>
      </c>
      <c r="E3795" s="16">
        <f>IFERROR(__xludf.DUMMYFUNCTION("""COMPUTED_VALUE"""),70.0)</f>
        <v>70</v>
      </c>
      <c r="F3795" s="19" t="str">
        <f>IFERROR(__xludf.DUMMYFUNCTION("""COMPUTED_VALUE"""),"BLACK")</f>
        <v>BLACK</v>
      </c>
      <c r="G3795" s="20" t="str">
        <f>IFERROR(__xludf.DUMMYFUNCTION("""COMPUTED_VALUE"""),"Uncle Sams Cider (04/04/2023)")</f>
        <v>Uncle Sams Cider (04/04/2023)</v>
      </c>
      <c r="H3795" s="19"/>
    </row>
    <row r="3796">
      <c r="A3796" s="9"/>
      <c r="B3796" s="15"/>
      <c r="C3796" s="9">
        <f>IFERROR(__xludf.DUMMYFUNCTION("""COMPUTED_VALUE"""),45104.9110253472)</f>
        <v>45104.91103</v>
      </c>
      <c r="D3796" s="15">
        <f>IFERROR(__xludf.DUMMYFUNCTION("""COMPUTED_VALUE"""),1.004)</f>
        <v>1.004</v>
      </c>
      <c r="E3796" s="16">
        <f>IFERROR(__xludf.DUMMYFUNCTION("""COMPUTED_VALUE"""),70.0)</f>
        <v>70</v>
      </c>
      <c r="F3796" s="19" t="str">
        <f>IFERROR(__xludf.DUMMYFUNCTION("""COMPUTED_VALUE"""),"BLACK")</f>
        <v>BLACK</v>
      </c>
      <c r="G3796" s="20" t="str">
        <f>IFERROR(__xludf.DUMMYFUNCTION("""COMPUTED_VALUE"""),"Uncle Sams Cider (04/04/2023)")</f>
        <v>Uncle Sams Cider (04/04/2023)</v>
      </c>
      <c r="H3796" s="19"/>
    </row>
    <row r="3797">
      <c r="A3797" s="9"/>
      <c r="B3797" s="15"/>
      <c r="C3797" s="9">
        <f>IFERROR(__xludf.DUMMYFUNCTION("""COMPUTED_VALUE"""),45104.9006033333)</f>
        <v>45104.9006</v>
      </c>
      <c r="D3797" s="15">
        <f>IFERROR(__xludf.DUMMYFUNCTION("""COMPUTED_VALUE"""),1.004)</f>
        <v>1.004</v>
      </c>
      <c r="E3797" s="16">
        <f>IFERROR(__xludf.DUMMYFUNCTION("""COMPUTED_VALUE"""),70.0)</f>
        <v>70</v>
      </c>
      <c r="F3797" s="19" t="str">
        <f>IFERROR(__xludf.DUMMYFUNCTION("""COMPUTED_VALUE"""),"BLACK")</f>
        <v>BLACK</v>
      </c>
      <c r="G3797" s="20" t="str">
        <f>IFERROR(__xludf.DUMMYFUNCTION("""COMPUTED_VALUE"""),"Uncle Sams Cider (04/04/2023)")</f>
        <v>Uncle Sams Cider (04/04/2023)</v>
      </c>
      <c r="H3797" s="19"/>
    </row>
    <row r="3798">
      <c r="A3798" s="9"/>
      <c r="B3798" s="15"/>
      <c r="C3798" s="9">
        <f>IFERROR(__xludf.DUMMYFUNCTION("""COMPUTED_VALUE"""),45104.8901828356)</f>
        <v>45104.89018</v>
      </c>
      <c r="D3798" s="15">
        <f>IFERROR(__xludf.DUMMYFUNCTION("""COMPUTED_VALUE"""),1.004)</f>
        <v>1.004</v>
      </c>
      <c r="E3798" s="16">
        <f>IFERROR(__xludf.DUMMYFUNCTION("""COMPUTED_VALUE"""),70.0)</f>
        <v>70</v>
      </c>
      <c r="F3798" s="19" t="str">
        <f>IFERROR(__xludf.DUMMYFUNCTION("""COMPUTED_VALUE"""),"BLACK")</f>
        <v>BLACK</v>
      </c>
      <c r="G3798" s="20" t="str">
        <f>IFERROR(__xludf.DUMMYFUNCTION("""COMPUTED_VALUE"""),"Uncle Sams Cider (04/04/2023)")</f>
        <v>Uncle Sams Cider (04/04/2023)</v>
      </c>
      <c r="H3798" s="19"/>
    </row>
    <row r="3799">
      <c r="A3799" s="9"/>
      <c r="B3799" s="15"/>
      <c r="C3799" s="9">
        <f>IFERROR(__xludf.DUMMYFUNCTION("""COMPUTED_VALUE"""),45104.8797496064)</f>
        <v>45104.87975</v>
      </c>
      <c r="D3799" s="15">
        <f>IFERROR(__xludf.DUMMYFUNCTION("""COMPUTED_VALUE"""),1.004)</f>
        <v>1.004</v>
      </c>
      <c r="E3799" s="16">
        <f>IFERROR(__xludf.DUMMYFUNCTION("""COMPUTED_VALUE"""),70.0)</f>
        <v>70</v>
      </c>
      <c r="F3799" s="19" t="str">
        <f>IFERROR(__xludf.DUMMYFUNCTION("""COMPUTED_VALUE"""),"BLACK")</f>
        <v>BLACK</v>
      </c>
      <c r="G3799" s="20" t="str">
        <f>IFERROR(__xludf.DUMMYFUNCTION("""COMPUTED_VALUE"""),"Uncle Sams Cider (04/04/2023)")</f>
        <v>Uncle Sams Cider (04/04/2023)</v>
      </c>
      <c r="H3799" s="19"/>
    </row>
    <row r="3800">
      <c r="A3800" s="9"/>
      <c r="B3800" s="15"/>
      <c r="C3800" s="9">
        <f>IFERROR(__xludf.DUMMYFUNCTION("""COMPUTED_VALUE"""),45104.8693273032)</f>
        <v>45104.86933</v>
      </c>
      <c r="D3800" s="15">
        <f>IFERROR(__xludf.DUMMYFUNCTION("""COMPUTED_VALUE"""),1.005)</f>
        <v>1.005</v>
      </c>
      <c r="E3800" s="16">
        <f>IFERROR(__xludf.DUMMYFUNCTION("""COMPUTED_VALUE"""),70.0)</f>
        <v>70</v>
      </c>
      <c r="F3800" s="19" t="str">
        <f>IFERROR(__xludf.DUMMYFUNCTION("""COMPUTED_VALUE"""),"BLACK")</f>
        <v>BLACK</v>
      </c>
      <c r="G3800" s="20" t="str">
        <f>IFERROR(__xludf.DUMMYFUNCTION("""COMPUTED_VALUE"""),"Uncle Sams Cider (04/04/2023)")</f>
        <v>Uncle Sams Cider (04/04/2023)</v>
      </c>
      <c r="H3800" s="19"/>
    </row>
    <row r="3801">
      <c r="A3801" s="9"/>
      <c r="B3801" s="15"/>
      <c r="C3801" s="9">
        <f>IFERROR(__xludf.DUMMYFUNCTION("""COMPUTED_VALUE"""),45104.8589065972)</f>
        <v>45104.85891</v>
      </c>
      <c r="D3801" s="15">
        <f>IFERROR(__xludf.DUMMYFUNCTION("""COMPUTED_VALUE"""),1.004)</f>
        <v>1.004</v>
      </c>
      <c r="E3801" s="16">
        <f>IFERROR(__xludf.DUMMYFUNCTION("""COMPUTED_VALUE"""),70.0)</f>
        <v>70</v>
      </c>
      <c r="F3801" s="19" t="str">
        <f>IFERROR(__xludf.DUMMYFUNCTION("""COMPUTED_VALUE"""),"BLACK")</f>
        <v>BLACK</v>
      </c>
      <c r="G3801" s="20" t="str">
        <f>IFERROR(__xludf.DUMMYFUNCTION("""COMPUTED_VALUE"""),"Uncle Sams Cider (04/04/2023)")</f>
        <v>Uncle Sams Cider (04/04/2023)</v>
      </c>
      <c r="H3801" s="19"/>
    </row>
    <row r="3802">
      <c r="A3802" s="9"/>
      <c r="B3802" s="15"/>
      <c r="C3802" s="9">
        <f>IFERROR(__xludf.DUMMYFUNCTION("""COMPUTED_VALUE"""),45104.8484866088)</f>
        <v>45104.84849</v>
      </c>
      <c r="D3802" s="15">
        <f>IFERROR(__xludf.DUMMYFUNCTION("""COMPUTED_VALUE"""),1.004)</f>
        <v>1.004</v>
      </c>
      <c r="E3802" s="16">
        <f>IFERROR(__xludf.DUMMYFUNCTION("""COMPUTED_VALUE"""),70.0)</f>
        <v>70</v>
      </c>
      <c r="F3802" s="19" t="str">
        <f>IFERROR(__xludf.DUMMYFUNCTION("""COMPUTED_VALUE"""),"BLACK")</f>
        <v>BLACK</v>
      </c>
      <c r="G3802" s="20" t="str">
        <f>IFERROR(__xludf.DUMMYFUNCTION("""COMPUTED_VALUE"""),"Uncle Sams Cider (04/04/2023)")</f>
        <v>Uncle Sams Cider (04/04/2023)</v>
      </c>
      <c r="H3802" s="19"/>
    </row>
    <row r="3803">
      <c r="A3803" s="9"/>
      <c r="B3803" s="15"/>
      <c r="C3803" s="9">
        <f>IFERROR(__xludf.DUMMYFUNCTION("""COMPUTED_VALUE"""),45104.8380631944)</f>
        <v>45104.83806</v>
      </c>
      <c r="D3803" s="15">
        <f>IFERROR(__xludf.DUMMYFUNCTION("""COMPUTED_VALUE"""),1.005)</f>
        <v>1.005</v>
      </c>
      <c r="E3803" s="16">
        <f>IFERROR(__xludf.DUMMYFUNCTION("""COMPUTED_VALUE"""),70.0)</f>
        <v>70</v>
      </c>
      <c r="F3803" s="19" t="str">
        <f>IFERROR(__xludf.DUMMYFUNCTION("""COMPUTED_VALUE"""),"BLACK")</f>
        <v>BLACK</v>
      </c>
      <c r="G3803" s="20" t="str">
        <f>IFERROR(__xludf.DUMMYFUNCTION("""COMPUTED_VALUE"""),"Uncle Sams Cider (04/04/2023)")</f>
        <v>Uncle Sams Cider (04/04/2023)</v>
      </c>
      <c r="H3803" s="19"/>
    </row>
    <row r="3804">
      <c r="A3804" s="9"/>
      <c r="B3804" s="15"/>
      <c r="C3804" s="9">
        <f>IFERROR(__xludf.DUMMYFUNCTION("""COMPUTED_VALUE"""),45104.8276418981)</f>
        <v>45104.82764</v>
      </c>
      <c r="D3804" s="15">
        <f>IFERROR(__xludf.DUMMYFUNCTION("""COMPUTED_VALUE"""),1.005)</f>
        <v>1.005</v>
      </c>
      <c r="E3804" s="16">
        <f>IFERROR(__xludf.DUMMYFUNCTION("""COMPUTED_VALUE"""),70.0)</f>
        <v>70</v>
      </c>
      <c r="F3804" s="19" t="str">
        <f>IFERROR(__xludf.DUMMYFUNCTION("""COMPUTED_VALUE"""),"BLACK")</f>
        <v>BLACK</v>
      </c>
      <c r="G3804" s="20" t="str">
        <f>IFERROR(__xludf.DUMMYFUNCTION("""COMPUTED_VALUE"""),"Uncle Sams Cider (04/04/2023)")</f>
        <v>Uncle Sams Cider (04/04/2023)</v>
      </c>
      <c r="H3804" s="19"/>
    </row>
    <row r="3805">
      <c r="A3805" s="9"/>
      <c r="B3805" s="15"/>
      <c r="C3805" s="9">
        <f>IFERROR(__xludf.DUMMYFUNCTION("""COMPUTED_VALUE"""),45104.8172098379)</f>
        <v>45104.81721</v>
      </c>
      <c r="D3805" s="15">
        <f>IFERROR(__xludf.DUMMYFUNCTION("""COMPUTED_VALUE"""),1.004)</f>
        <v>1.004</v>
      </c>
      <c r="E3805" s="16">
        <f>IFERROR(__xludf.DUMMYFUNCTION("""COMPUTED_VALUE"""),70.0)</f>
        <v>70</v>
      </c>
      <c r="F3805" s="19" t="str">
        <f>IFERROR(__xludf.DUMMYFUNCTION("""COMPUTED_VALUE"""),"BLACK")</f>
        <v>BLACK</v>
      </c>
      <c r="G3805" s="20" t="str">
        <f>IFERROR(__xludf.DUMMYFUNCTION("""COMPUTED_VALUE"""),"Uncle Sams Cider (04/04/2023)")</f>
        <v>Uncle Sams Cider (04/04/2023)</v>
      </c>
      <c r="H3805" s="19"/>
    </row>
    <row r="3806">
      <c r="A3806" s="9"/>
      <c r="B3806" s="15"/>
      <c r="C3806" s="9">
        <f>IFERROR(__xludf.DUMMYFUNCTION("""COMPUTED_VALUE"""),45104.8067891319)</f>
        <v>45104.80679</v>
      </c>
      <c r="D3806" s="15">
        <f>IFERROR(__xludf.DUMMYFUNCTION("""COMPUTED_VALUE"""),1.004)</f>
        <v>1.004</v>
      </c>
      <c r="E3806" s="16">
        <f>IFERROR(__xludf.DUMMYFUNCTION("""COMPUTED_VALUE"""),70.0)</f>
        <v>70</v>
      </c>
      <c r="F3806" s="19" t="str">
        <f>IFERROR(__xludf.DUMMYFUNCTION("""COMPUTED_VALUE"""),"BLACK")</f>
        <v>BLACK</v>
      </c>
      <c r="G3806" s="20" t="str">
        <f>IFERROR(__xludf.DUMMYFUNCTION("""COMPUTED_VALUE"""),"Uncle Sams Cider (04/04/2023)")</f>
        <v>Uncle Sams Cider (04/04/2023)</v>
      </c>
      <c r="H3806" s="19"/>
    </row>
    <row r="3807">
      <c r="A3807" s="9"/>
      <c r="B3807" s="15"/>
      <c r="C3807" s="9">
        <f>IFERROR(__xludf.DUMMYFUNCTION("""COMPUTED_VALUE"""),45104.7963569097)</f>
        <v>45104.79636</v>
      </c>
      <c r="D3807" s="15">
        <f>IFERROR(__xludf.DUMMYFUNCTION("""COMPUTED_VALUE"""),1.005)</f>
        <v>1.005</v>
      </c>
      <c r="E3807" s="16">
        <f>IFERROR(__xludf.DUMMYFUNCTION("""COMPUTED_VALUE"""),70.0)</f>
        <v>70</v>
      </c>
      <c r="F3807" s="19" t="str">
        <f>IFERROR(__xludf.DUMMYFUNCTION("""COMPUTED_VALUE"""),"BLACK")</f>
        <v>BLACK</v>
      </c>
      <c r="G3807" s="20" t="str">
        <f>IFERROR(__xludf.DUMMYFUNCTION("""COMPUTED_VALUE"""),"Uncle Sams Cider (04/04/2023)")</f>
        <v>Uncle Sams Cider (04/04/2023)</v>
      </c>
      <c r="H3807" s="19"/>
    </row>
    <row r="3808">
      <c r="A3808" s="9"/>
      <c r="B3808" s="15"/>
      <c r="C3808" s="9">
        <f>IFERROR(__xludf.DUMMYFUNCTION("""COMPUTED_VALUE"""),45104.785933912)</f>
        <v>45104.78593</v>
      </c>
      <c r="D3808" s="15">
        <f>IFERROR(__xludf.DUMMYFUNCTION("""COMPUTED_VALUE"""),1.004)</f>
        <v>1.004</v>
      </c>
      <c r="E3808" s="16">
        <f>IFERROR(__xludf.DUMMYFUNCTION("""COMPUTED_VALUE"""),70.0)</f>
        <v>70</v>
      </c>
      <c r="F3808" s="19" t="str">
        <f>IFERROR(__xludf.DUMMYFUNCTION("""COMPUTED_VALUE"""),"BLACK")</f>
        <v>BLACK</v>
      </c>
      <c r="G3808" s="20" t="str">
        <f>IFERROR(__xludf.DUMMYFUNCTION("""COMPUTED_VALUE"""),"Uncle Sams Cider (04/04/2023)")</f>
        <v>Uncle Sams Cider (04/04/2023)</v>
      </c>
      <c r="H3808" s="19"/>
    </row>
    <row r="3809">
      <c r="A3809" s="9"/>
      <c r="B3809" s="15"/>
      <c r="C3809" s="9">
        <f>IFERROR(__xludf.DUMMYFUNCTION("""COMPUTED_VALUE"""),45104.7755131944)</f>
        <v>45104.77551</v>
      </c>
      <c r="D3809" s="15">
        <f>IFERROR(__xludf.DUMMYFUNCTION("""COMPUTED_VALUE"""),1.004)</f>
        <v>1.004</v>
      </c>
      <c r="E3809" s="16">
        <f>IFERROR(__xludf.DUMMYFUNCTION("""COMPUTED_VALUE"""),70.0)</f>
        <v>70</v>
      </c>
      <c r="F3809" s="19" t="str">
        <f>IFERROR(__xludf.DUMMYFUNCTION("""COMPUTED_VALUE"""),"BLACK")</f>
        <v>BLACK</v>
      </c>
      <c r="G3809" s="20" t="str">
        <f>IFERROR(__xludf.DUMMYFUNCTION("""COMPUTED_VALUE"""),"Uncle Sams Cider (04/04/2023)")</f>
        <v>Uncle Sams Cider (04/04/2023)</v>
      </c>
      <c r="H3809" s="19"/>
    </row>
    <row r="3810">
      <c r="A3810" s="9"/>
      <c r="B3810" s="15"/>
      <c r="C3810" s="9">
        <f>IFERROR(__xludf.DUMMYFUNCTION("""COMPUTED_VALUE"""),45104.7650920023)</f>
        <v>45104.76509</v>
      </c>
      <c r="D3810" s="15">
        <f>IFERROR(__xludf.DUMMYFUNCTION("""COMPUTED_VALUE"""),1.005)</f>
        <v>1.005</v>
      </c>
      <c r="E3810" s="16">
        <f>IFERROR(__xludf.DUMMYFUNCTION("""COMPUTED_VALUE"""),70.0)</f>
        <v>70</v>
      </c>
      <c r="F3810" s="19" t="str">
        <f>IFERROR(__xludf.DUMMYFUNCTION("""COMPUTED_VALUE"""),"BLACK")</f>
        <v>BLACK</v>
      </c>
      <c r="G3810" s="20" t="str">
        <f>IFERROR(__xludf.DUMMYFUNCTION("""COMPUTED_VALUE"""),"Uncle Sams Cider (04/04/2023)")</f>
        <v>Uncle Sams Cider (04/04/2023)</v>
      </c>
      <c r="H3810" s="19"/>
    </row>
    <row r="3811">
      <c r="A3811" s="9"/>
      <c r="B3811" s="15"/>
      <c r="C3811" s="9">
        <f>IFERROR(__xludf.DUMMYFUNCTION("""COMPUTED_VALUE"""),45104.7546698958)</f>
        <v>45104.75467</v>
      </c>
      <c r="D3811" s="15">
        <f>IFERROR(__xludf.DUMMYFUNCTION("""COMPUTED_VALUE"""),1.005)</f>
        <v>1.005</v>
      </c>
      <c r="E3811" s="16">
        <f>IFERROR(__xludf.DUMMYFUNCTION("""COMPUTED_VALUE"""),70.0)</f>
        <v>70</v>
      </c>
      <c r="F3811" s="19" t="str">
        <f>IFERROR(__xludf.DUMMYFUNCTION("""COMPUTED_VALUE"""),"BLACK")</f>
        <v>BLACK</v>
      </c>
      <c r="G3811" s="20" t="str">
        <f>IFERROR(__xludf.DUMMYFUNCTION("""COMPUTED_VALUE"""),"Uncle Sams Cider (04/04/2023)")</f>
        <v>Uncle Sams Cider (04/04/2023)</v>
      </c>
      <c r="H3811" s="19"/>
    </row>
    <row r="3812">
      <c r="A3812" s="9"/>
      <c r="B3812" s="15"/>
      <c r="C3812" s="9">
        <f>IFERROR(__xludf.DUMMYFUNCTION("""COMPUTED_VALUE"""),45104.7442487615)</f>
        <v>45104.74425</v>
      </c>
      <c r="D3812" s="15">
        <f>IFERROR(__xludf.DUMMYFUNCTION("""COMPUTED_VALUE"""),1.004)</f>
        <v>1.004</v>
      </c>
      <c r="E3812" s="16">
        <f>IFERROR(__xludf.DUMMYFUNCTION("""COMPUTED_VALUE"""),70.0)</f>
        <v>70</v>
      </c>
      <c r="F3812" s="19" t="str">
        <f>IFERROR(__xludf.DUMMYFUNCTION("""COMPUTED_VALUE"""),"BLACK")</f>
        <v>BLACK</v>
      </c>
      <c r="G3812" s="20" t="str">
        <f>IFERROR(__xludf.DUMMYFUNCTION("""COMPUTED_VALUE"""),"Uncle Sams Cider (04/04/2023)")</f>
        <v>Uncle Sams Cider (04/04/2023)</v>
      </c>
      <c r="H3812" s="19"/>
    </row>
    <row r="3813">
      <c r="A3813" s="9"/>
      <c r="B3813" s="15"/>
      <c r="C3813" s="9">
        <f>IFERROR(__xludf.DUMMYFUNCTION("""COMPUTED_VALUE"""),45104.7338144907)</f>
        <v>45104.73381</v>
      </c>
      <c r="D3813" s="15">
        <f>IFERROR(__xludf.DUMMYFUNCTION("""COMPUTED_VALUE"""),1.005)</f>
        <v>1.005</v>
      </c>
      <c r="E3813" s="16">
        <f>IFERROR(__xludf.DUMMYFUNCTION("""COMPUTED_VALUE"""),70.0)</f>
        <v>70</v>
      </c>
      <c r="F3813" s="19" t="str">
        <f>IFERROR(__xludf.DUMMYFUNCTION("""COMPUTED_VALUE"""),"BLACK")</f>
        <v>BLACK</v>
      </c>
      <c r="G3813" s="20" t="str">
        <f>IFERROR(__xludf.DUMMYFUNCTION("""COMPUTED_VALUE"""),"Uncle Sams Cider (04/04/2023)")</f>
        <v>Uncle Sams Cider (04/04/2023)</v>
      </c>
      <c r="H3813" s="19"/>
    </row>
    <row r="3814">
      <c r="A3814" s="9"/>
      <c r="B3814" s="15"/>
      <c r="C3814" s="9">
        <f>IFERROR(__xludf.DUMMYFUNCTION("""COMPUTED_VALUE"""),45104.7233930555)</f>
        <v>45104.72339</v>
      </c>
      <c r="D3814" s="15">
        <f>IFERROR(__xludf.DUMMYFUNCTION("""COMPUTED_VALUE"""),1.004)</f>
        <v>1.004</v>
      </c>
      <c r="E3814" s="16">
        <f>IFERROR(__xludf.DUMMYFUNCTION("""COMPUTED_VALUE"""),70.0)</f>
        <v>70</v>
      </c>
      <c r="F3814" s="19" t="str">
        <f>IFERROR(__xludf.DUMMYFUNCTION("""COMPUTED_VALUE"""),"BLACK")</f>
        <v>BLACK</v>
      </c>
      <c r="G3814" s="20" t="str">
        <f>IFERROR(__xludf.DUMMYFUNCTION("""COMPUTED_VALUE"""),"Uncle Sams Cider (04/04/2023)")</f>
        <v>Uncle Sams Cider (04/04/2023)</v>
      </c>
      <c r="H3814" s="19"/>
    </row>
    <row r="3815">
      <c r="A3815" s="9"/>
      <c r="B3815" s="15"/>
      <c r="C3815" s="9">
        <f>IFERROR(__xludf.DUMMYFUNCTION("""COMPUTED_VALUE"""),45104.7129716088)</f>
        <v>45104.71297</v>
      </c>
      <c r="D3815" s="15">
        <f>IFERROR(__xludf.DUMMYFUNCTION("""COMPUTED_VALUE"""),1.005)</f>
        <v>1.005</v>
      </c>
      <c r="E3815" s="16">
        <f>IFERROR(__xludf.DUMMYFUNCTION("""COMPUTED_VALUE"""),70.0)</f>
        <v>70</v>
      </c>
      <c r="F3815" s="19" t="str">
        <f>IFERROR(__xludf.DUMMYFUNCTION("""COMPUTED_VALUE"""),"BLACK")</f>
        <v>BLACK</v>
      </c>
      <c r="G3815" s="20" t="str">
        <f>IFERROR(__xludf.DUMMYFUNCTION("""COMPUTED_VALUE"""),"Uncle Sams Cider (04/04/2023)")</f>
        <v>Uncle Sams Cider (04/04/2023)</v>
      </c>
      <c r="H3815" s="19"/>
    </row>
    <row r="3816">
      <c r="A3816" s="9"/>
      <c r="B3816" s="15"/>
      <c r="C3816" s="9">
        <f>IFERROR(__xludf.DUMMYFUNCTION("""COMPUTED_VALUE"""),45104.70253875)</f>
        <v>45104.70254</v>
      </c>
      <c r="D3816" s="15">
        <f>IFERROR(__xludf.DUMMYFUNCTION("""COMPUTED_VALUE"""),1.004)</f>
        <v>1.004</v>
      </c>
      <c r="E3816" s="16">
        <f>IFERROR(__xludf.DUMMYFUNCTION("""COMPUTED_VALUE"""),70.0)</f>
        <v>70</v>
      </c>
      <c r="F3816" s="19" t="str">
        <f>IFERROR(__xludf.DUMMYFUNCTION("""COMPUTED_VALUE"""),"BLACK")</f>
        <v>BLACK</v>
      </c>
      <c r="G3816" s="20" t="str">
        <f>IFERROR(__xludf.DUMMYFUNCTION("""COMPUTED_VALUE"""),"Uncle Sams Cider (04/04/2023)")</f>
        <v>Uncle Sams Cider (04/04/2023)</v>
      </c>
      <c r="H3816" s="19"/>
    </row>
    <row r="3817">
      <c r="A3817" s="9"/>
      <c r="B3817" s="15"/>
      <c r="C3817" s="9">
        <f>IFERROR(__xludf.DUMMYFUNCTION("""COMPUTED_VALUE"""),45104.6921162615)</f>
        <v>45104.69212</v>
      </c>
      <c r="D3817" s="15">
        <f>IFERROR(__xludf.DUMMYFUNCTION("""COMPUTED_VALUE"""),1.004)</f>
        <v>1.004</v>
      </c>
      <c r="E3817" s="16">
        <f>IFERROR(__xludf.DUMMYFUNCTION("""COMPUTED_VALUE"""),70.0)</f>
        <v>70</v>
      </c>
      <c r="F3817" s="19" t="str">
        <f>IFERROR(__xludf.DUMMYFUNCTION("""COMPUTED_VALUE"""),"BLACK")</f>
        <v>BLACK</v>
      </c>
      <c r="G3817" s="20" t="str">
        <f>IFERROR(__xludf.DUMMYFUNCTION("""COMPUTED_VALUE"""),"Uncle Sams Cider (04/04/2023)")</f>
        <v>Uncle Sams Cider (04/04/2023)</v>
      </c>
      <c r="H3817" s="19"/>
    </row>
    <row r="3818">
      <c r="A3818" s="9"/>
      <c r="B3818" s="15"/>
      <c r="C3818" s="9">
        <f>IFERROR(__xludf.DUMMYFUNCTION("""COMPUTED_VALUE"""),45104.6816971643)</f>
        <v>45104.6817</v>
      </c>
      <c r="D3818" s="15">
        <f>IFERROR(__xludf.DUMMYFUNCTION("""COMPUTED_VALUE"""),1.004)</f>
        <v>1.004</v>
      </c>
      <c r="E3818" s="16">
        <f>IFERROR(__xludf.DUMMYFUNCTION("""COMPUTED_VALUE"""),70.0)</f>
        <v>70</v>
      </c>
      <c r="F3818" s="19" t="str">
        <f>IFERROR(__xludf.DUMMYFUNCTION("""COMPUTED_VALUE"""),"BLACK")</f>
        <v>BLACK</v>
      </c>
      <c r="G3818" s="20" t="str">
        <f>IFERROR(__xludf.DUMMYFUNCTION("""COMPUTED_VALUE"""),"Uncle Sams Cider (04/04/2023)")</f>
        <v>Uncle Sams Cider (04/04/2023)</v>
      </c>
      <c r="H3818" s="19"/>
    </row>
    <row r="3819">
      <c r="A3819" s="9"/>
      <c r="B3819" s="15"/>
      <c r="C3819" s="9">
        <f>IFERROR(__xludf.DUMMYFUNCTION("""COMPUTED_VALUE"""),45104.6712750925)</f>
        <v>45104.67128</v>
      </c>
      <c r="D3819" s="15">
        <f>IFERROR(__xludf.DUMMYFUNCTION("""COMPUTED_VALUE"""),1.004)</f>
        <v>1.004</v>
      </c>
      <c r="E3819" s="16">
        <f>IFERROR(__xludf.DUMMYFUNCTION("""COMPUTED_VALUE"""),70.0)</f>
        <v>70</v>
      </c>
      <c r="F3819" s="19" t="str">
        <f>IFERROR(__xludf.DUMMYFUNCTION("""COMPUTED_VALUE"""),"BLACK")</f>
        <v>BLACK</v>
      </c>
      <c r="G3819" s="20" t="str">
        <f>IFERROR(__xludf.DUMMYFUNCTION("""COMPUTED_VALUE"""),"Uncle Sams Cider (04/04/2023)")</f>
        <v>Uncle Sams Cider (04/04/2023)</v>
      </c>
      <c r="H3819" s="19"/>
    </row>
    <row r="3820">
      <c r="A3820" s="9"/>
      <c r="B3820" s="15"/>
      <c r="C3820" s="9">
        <f>IFERROR(__xludf.DUMMYFUNCTION("""COMPUTED_VALUE"""),45104.6608527546)</f>
        <v>45104.66085</v>
      </c>
      <c r="D3820" s="15">
        <f>IFERROR(__xludf.DUMMYFUNCTION("""COMPUTED_VALUE"""),1.005)</f>
        <v>1.005</v>
      </c>
      <c r="E3820" s="16">
        <f>IFERROR(__xludf.DUMMYFUNCTION("""COMPUTED_VALUE"""),70.0)</f>
        <v>70</v>
      </c>
      <c r="F3820" s="19" t="str">
        <f>IFERROR(__xludf.DUMMYFUNCTION("""COMPUTED_VALUE"""),"BLACK")</f>
        <v>BLACK</v>
      </c>
      <c r="G3820" s="20" t="str">
        <f>IFERROR(__xludf.DUMMYFUNCTION("""COMPUTED_VALUE"""),"Uncle Sams Cider (04/04/2023)")</f>
        <v>Uncle Sams Cider (04/04/2023)</v>
      </c>
      <c r="H3820" s="19"/>
    </row>
    <row r="3821">
      <c r="A3821" s="9"/>
      <c r="B3821" s="15"/>
      <c r="C3821" s="9">
        <f>IFERROR(__xludf.DUMMYFUNCTION("""COMPUTED_VALUE"""),45104.6504291666)</f>
        <v>45104.65043</v>
      </c>
      <c r="D3821" s="15">
        <f>IFERROR(__xludf.DUMMYFUNCTION("""COMPUTED_VALUE"""),1.005)</f>
        <v>1.005</v>
      </c>
      <c r="E3821" s="16">
        <f>IFERROR(__xludf.DUMMYFUNCTION("""COMPUTED_VALUE"""),70.0)</f>
        <v>70</v>
      </c>
      <c r="F3821" s="19" t="str">
        <f>IFERROR(__xludf.DUMMYFUNCTION("""COMPUTED_VALUE"""),"BLACK")</f>
        <v>BLACK</v>
      </c>
      <c r="G3821" s="20" t="str">
        <f>IFERROR(__xludf.DUMMYFUNCTION("""COMPUTED_VALUE"""),"Uncle Sams Cider (04/04/2023)")</f>
        <v>Uncle Sams Cider (04/04/2023)</v>
      </c>
      <c r="H3821" s="19"/>
    </row>
    <row r="3822">
      <c r="A3822" s="9"/>
      <c r="B3822" s="15"/>
      <c r="C3822" s="9">
        <f>IFERROR(__xludf.DUMMYFUNCTION("""COMPUTED_VALUE"""),45104.6400075115)</f>
        <v>45104.64001</v>
      </c>
      <c r="D3822" s="15">
        <f>IFERROR(__xludf.DUMMYFUNCTION("""COMPUTED_VALUE"""),1.005)</f>
        <v>1.005</v>
      </c>
      <c r="E3822" s="16">
        <f>IFERROR(__xludf.DUMMYFUNCTION("""COMPUTED_VALUE"""),70.0)</f>
        <v>70</v>
      </c>
      <c r="F3822" s="19" t="str">
        <f>IFERROR(__xludf.DUMMYFUNCTION("""COMPUTED_VALUE"""),"BLACK")</f>
        <v>BLACK</v>
      </c>
      <c r="G3822" s="20" t="str">
        <f>IFERROR(__xludf.DUMMYFUNCTION("""COMPUTED_VALUE"""),"Uncle Sams Cider (04/04/2023)")</f>
        <v>Uncle Sams Cider (04/04/2023)</v>
      </c>
      <c r="H3822" s="19"/>
    </row>
    <row r="3823">
      <c r="A3823" s="9"/>
      <c r="B3823" s="15"/>
      <c r="C3823" s="9">
        <f>IFERROR(__xludf.DUMMYFUNCTION("""COMPUTED_VALUE"""),45104.6295625115)</f>
        <v>45104.62956</v>
      </c>
      <c r="D3823" s="15">
        <f>IFERROR(__xludf.DUMMYFUNCTION("""COMPUTED_VALUE"""),1.004)</f>
        <v>1.004</v>
      </c>
      <c r="E3823" s="16">
        <f>IFERROR(__xludf.DUMMYFUNCTION("""COMPUTED_VALUE"""),70.0)</f>
        <v>70</v>
      </c>
      <c r="F3823" s="19" t="str">
        <f>IFERROR(__xludf.DUMMYFUNCTION("""COMPUTED_VALUE"""),"BLACK")</f>
        <v>BLACK</v>
      </c>
      <c r="G3823" s="20" t="str">
        <f>IFERROR(__xludf.DUMMYFUNCTION("""COMPUTED_VALUE"""),"Uncle Sams Cider (04/04/2023)")</f>
        <v>Uncle Sams Cider (04/04/2023)</v>
      </c>
      <c r="H3823" s="19"/>
    </row>
    <row r="3824">
      <c r="A3824" s="9"/>
      <c r="B3824" s="15"/>
      <c r="C3824" s="9">
        <f>IFERROR(__xludf.DUMMYFUNCTION("""COMPUTED_VALUE"""),45104.6191417245)</f>
        <v>45104.61914</v>
      </c>
      <c r="D3824" s="15">
        <f>IFERROR(__xludf.DUMMYFUNCTION("""COMPUTED_VALUE"""),1.004)</f>
        <v>1.004</v>
      </c>
      <c r="E3824" s="16">
        <f>IFERROR(__xludf.DUMMYFUNCTION("""COMPUTED_VALUE"""),70.0)</f>
        <v>70</v>
      </c>
      <c r="F3824" s="19" t="str">
        <f>IFERROR(__xludf.DUMMYFUNCTION("""COMPUTED_VALUE"""),"BLACK")</f>
        <v>BLACK</v>
      </c>
      <c r="G3824" s="20" t="str">
        <f>IFERROR(__xludf.DUMMYFUNCTION("""COMPUTED_VALUE"""),"Uncle Sams Cider (04/04/2023)")</f>
        <v>Uncle Sams Cider (04/04/2023)</v>
      </c>
      <c r="H3824" s="19"/>
    </row>
    <row r="3825">
      <c r="A3825" s="9"/>
      <c r="B3825" s="15"/>
      <c r="C3825" s="9">
        <f>IFERROR(__xludf.DUMMYFUNCTION("""COMPUTED_VALUE"""),45104.6087076851)</f>
        <v>45104.60871</v>
      </c>
      <c r="D3825" s="15">
        <f>IFERROR(__xludf.DUMMYFUNCTION("""COMPUTED_VALUE"""),1.004)</f>
        <v>1.004</v>
      </c>
      <c r="E3825" s="16">
        <f>IFERROR(__xludf.DUMMYFUNCTION("""COMPUTED_VALUE"""),70.0)</f>
        <v>70</v>
      </c>
      <c r="F3825" s="19" t="str">
        <f>IFERROR(__xludf.DUMMYFUNCTION("""COMPUTED_VALUE"""),"BLACK")</f>
        <v>BLACK</v>
      </c>
      <c r="G3825" s="20" t="str">
        <f>IFERROR(__xludf.DUMMYFUNCTION("""COMPUTED_VALUE"""),"Uncle Sams Cider (04/04/2023)")</f>
        <v>Uncle Sams Cider (04/04/2023)</v>
      </c>
      <c r="H3825" s="19"/>
    </row>
    <row r="3826">
      <c r="A3826" s="9"/>
      <c r="B3826" s="15"/>
      <c r="C3826" s="9">
        <f>IFERROR(__xludf.DUMMYFUNCTION("""COMPUTED_VALUE"""),45104.5982871875)</f>
        <v>45104.59829</v>
      </c>
      <c r="D3826" s="15">
        <f>IFERROR(__xludf.DUMMYFUNCTION("""COMPUTED_VALUE"""),1.005)</f>
        <v>1.005</v>
      </c>
      <c r="E3826" s="16">
        <f>IFERROR(__xludf.DUMMYFUNCTION("""COMPUTED_VALUE"""),70.0)</f>
        <v>70</v>
      </c>
      <c r="F3826" s="19" t="str">
        <f>IFERROR(__xludf.DUMMYFUNCTION("""COMPUTED_VALUE"""),"BLACK")</f>
        <v>BLACK</v>
      </c>
      <c r="G3826" s="20" t="str">
        <f>IFERROR(__xludf.DUMMYFUNCTION("""COMPUTED_VALUE"""),"Uncle Sams Cider (04/04/2023)")</f>
        <v>Uncle Sams Cider (04/04/2023)</v>
      </c>
      <c r="H3826" s="19"/>
    </row>
    <row r="3827">
      <c r="A3827" s="9"/>
      <c r="B3827" s="15"/>
      <c r="C3827" s="9">
        <f>IFERROR(__xludf.DUMMYFUNCTION("""COMPUTED_VALUE"""),45104.5878665162)</f>
        <v>45104.58787</v>
      </c>
      <c r="D3827" s="15">
        <f>IFERROR(__xludf.DUMMYFUNCTION("""COMPUTED_VALUE"""),1.005)</f>
        <v>1.005</v>
      </c>
      <c r="E3827" s="16">
        <f>IFERROR(__xludf.DUMMYFUNCTION("""COMPUTED_VALUE"""),70.0)</f>
        <v>70</v>
      </c>
      <c r="F3827" s="19" t="str">
        <f>IFERROR(__xludf.DUMMYFUNCTION("""COMPUTED_VALUE"""),"BLACK")</f>
        <v>BLACK</v>
      </c>
      <c r="G3827" s="20" t="str">
        <f>IFERROR(__xludf.DUMMYFUNCTION("""COMPUTED_VALUE"""),"Uncle Sams Cider (04/04/2023)")</f>
        <v>Uncle Sams Cider (04/04/2023)</v>
      </c>
      <c r="H3827" s="19"/>
    </row>
    <row r="3828">
      <c r="A3828" s="9"/>
      <c r="B3828" s="15"/>
      <c r="C3828" s="9">
        <f>IFERROR(__xludf.DUMMYFUNCTION("""COMPUTED_VALUE"""),45104.5774436574)</f>
        <v>45104.57744</v>
      </c>
      <c r="D3828" s="15">
        <f>IFERROR(__xludf.DUMMYFUNCTION("""COMPUTED_VALUE"""),1.004)</f>
        <v>1.004</v>
      </c>
      <c r="E3828" s="16">
        <f>IFERROR(__xludf.DUMMYFUNCTION("""COMPUTED_VALUE"""),70.0)</f>
        <v>70</v>
      </c>
      <c r="F3828" s="19" t="str">
        <f>IFERROR(__xludf.DUMMYFUNCTION("""COMPUTED_VALUE"""),"BLACK")</f>
        <v>BLACK</v>
      </c>
      <c r="G3828" s="20" t="str">
        <f>IFERROR(__xludf.DUMMYFUNCTION("""COMPUTED_VALUE"""),"Uncle Sams Cider (04/04/2023)")</f>
        <v>Uncle Sams Cider (04/04/2023)</v>
      </c>
      <c r="H3828" s="19"/>
    </row>
    <row r="3829">
      <c r="A3829" s="9"/>
      <c r="B3829" s="15"/>
      <c r="C3829" s="9">
        <f>IFERROR(__xludf.DUMMYFUNCTION("""COMPUTED_VALUE"""),45104.5670115509)</f>
        <v>45104.56701</v>
      </c>
      <c r="D3829" s="15">
        <f>IFERROR(__xludf.DUMMYFUNCTION("""COMPUTED_VALUE"""),1.005)</f>
        <v>1.005</v>
      </c>
      <c r="E3829" s="16">
        <f>IFERROR(__xludf.DUMMYFUNCTION("""COMPUTED_VALUE"""),70.0)</f>
        <v>70</v>
      </c>
      <c r="F3829" s="19" t="str">
        <f>IFERROR(__xludf.DUMMYFUNCTION("""COMPUTED_VALUE"""),"BLACK")</f>
        <v>BLACK</v>
      </c>
      <c r="G3829" s="20" t="str">
        <f>IFERROR(__xludf.DUMMYFUNCTION("""COMPUTED_VALUE"""),"Uncle Sams Cider (04/04/2023)")</f>
        <v>Uncle Sams Cider (04/04/2023)</v>
      </c>
      <c r="H3829" s="19"/>
    </row>
    <row r="3830">
      <c r="A3830" s="9"/>
      <c r="B3830" s="15"/>
      <c r="C3830" s="9">
        <f>IFERROR(__xludf.DUMMYFUNCTION("""COMPUTED_VALUE"""),45104.5565901504)</f>
        <v>45104.55659</v>
      </c>
      <c r="D3830" s="15">
        <f>IFERROR(__xludf.DUMMYFUNCTION("""COMPUTED_VALUE"""),1.005)</f>
        <v>1.005</v>
      </c>
      <c r="E3830" s="16">
        <f>IFERROR(__xludf.DUMMYFUNCTION("""COMPUTED_VALUE"""),70.0)</f>
        <v>70</v>
      </c>
      <c r="F3830" s="19" t="str">
        <f>IFERROR(__xludf.DUMMYFUNCTION("""COMPUTED_VALUE"""),"BLACK")</f>
        <v>BLACK</v>
      </c>
      <c r="G3830" s="20" t="str">
        <f>IFERROR(__xludf.DUMMYFUNCTION("""COMPUTED_VALUE"""),"Uncle Sams Cider (04/04/2023)")</f>
        <v>Uncle Sams Cider (04/04/2023)</v>
      </c>
      <c r="H3830" s="19"/>
    </row>
    <row r="3831">
      <c r="A3831" s="9"/>
      <c r="B3831" s="15"/>
      <c r="C3831" s="9">
        <f>IFERROR(__xludf.DUMMYFUNCTION("""COMPUTED_VALUE"""),45104.5461682523)</f>
        <v>45104.54617</v>
      </c>
      <c r="D3831" s="15">
        <f>IFERROR(__xludf.DUMMYFUNCTION("""COMPUTED_VALUE"""),1.004)</f>
        <v>1.004</v>
      </c>
      <c r="E3831" s="16">
        <f>IFERROR(__xludf.DUMMYFUNCTION("""COMPUTED_VALUE"""),70.0)</f>
        <v>70</v>
      </c>
      <c r="F3831" s="19" t="str">
        <f>IFERROR(__xludf.DUMMYFUNCTION("""COMPUTED_VALUE"""),"BLACK")</f>
        <v>BLACK</v>
      </c>
      <c r="G3831" s="20" t="str">
        <f>IFERROR(__xludf.DUMMYFUNCTION("""COMPUTED_VALUE"""),"Uncle Sams Cider (04/04/2023)")</f>
        <v>Uncle Sams Cider (04/04/2023)</v>
      </c>
      <c r="H3831" s="19"/>
    </row>
    <row r="3832">
      <c r="A3832" s="9"/>
      <c r="B3832" s="15"/>
      <c r="C3832" s="9">
        <f>IFERROR(__xludf.DUMMYFUNCTION("""COMPUTED_VALUE"""),45104.5357350694)</f>
        <v>45104.53574</v>
      </c>
      <c r="D3832" s="15">
        <f>IFERROR(__xludf.DUMMYFUNCTION("""COMPUTED_VALUE"""),1.005)</f>
        <v>1.005</v>
      </c>
      <c r="E3832" s="16">
        <f>IFERROR(__xludf.DUMMYFUNCTION("""COMPUTED_VALUE"""),70.0)</f>
        <v>70</v>
      </c>
      <c r="F3832" s="19" t="str">
        <f>IFERROR(__xludf.DUMMYFUNCTION("""COMPUTED_VALUE"""),"BLACK")</f>
        <v>BLACK</v>
      </c>
      <c r="G3832" s="20" t="str">
        <f>IFERROR(__xludf.DUMMYFUNCTION("""COMPUTED_VALUE"""),"Uncle Sams Cider (04/04/2023)")</f>
        <v>Uncle Sams Cider (04/04/2023)</v>
      </c>
      <c r="H3832" s="19"/>
    </row>
    <row r="3833">
      <c r="A3833" s="9"/>
      <c r="B3833" s="15"/>
      <c r="C3833" s="9">
        <f>IFERROR(__xludf.DUMMYFUNCTION("""COMPUTED_VALUE"""),45104.5253135648)</f>
        <v>45104.52531</v>
      </c>
      <c r="D3833" s="15">
        <f>IFERROR(__xludf.DUMMYFUNCTION("""COMPUTED_VALUE"""),1.005)</f>
        <v>1.005</v>
      </c>
      <c r="E3833" s="16">
        <f>IFERROR(__xludf.DUMMYFUNCTION("""COMPUTED_VALUE"""),70.0)</f>
        <v>70</v>
      </c>
      <c r="F3833" s="19" t="str">
        <f>IFERROR(__xludf.DUMMYFUNCTION("""COMPUTED_VALUE"""),"BLACK")</f>
        <v>BLACK</v>
      </c>
      <c r="G3833" s="20" t="str">
        <f>IFERROR(__xludf.DUMMYFUNCTION("""COMPUTED_VALUE"""),"Uncle Sams Cider (04/04/2023)")</f>
        <v>Uncle Sams Cider (04/04/2023)</v>
      </c>
      <c r="H3833" s="19"/>
    </row>
    <row r="3834">
      <c r="A3834" s="9"/>
      <c r="B3834" s="15"/>
      <c r="C3834" s="9">
        <f>IFERROR(__xludf.DUMMYFUNCTION("""COMPUTED_VALUE"""),45104.5148813773)</f>
        <v>45104.51488</v>
      </c>
      <c r="D3834" s="15">
        <f>IFERROR(__xludf.DUMMYFUNCTION("""COMPUTED_VALUE"""),1.005)</f>
        <v>1.005</v>
      </c>
      <c r="E3834" s="16">
        <f>IFERROR(__xludf.DUMMYFUNCTION("""COMPUTED_VALUE"""),70.0)</f>
        <v>70</v>
      </c>
      <c r="F3834" s="19" t="str">
        <f>IFERROR(__xludf.DUMMYFUNCTION("""COMPUTED_VALUE"""),"BLACK")</f>
        <v>BLACK</v>
      </c>
      <c r="G3834" s="20" t="str">
        <f>IFERROR(__xludf.DUMMYFUNCTION("""COMPUTED_VALUE"""),"Uncle Sams Cider (04/04/2023)")</f>
        <v>Uncle Sams Cider (04/04/2023)</v>
      </c>
      <c r="H3834" s="19"/>
    </row>
    <row r="3835">
      <c r="A3835" s="9"/>
      <c r="B3835" s="15"/>
      <c r="C3835" s="9">
        <f>IFERROR(__xludf.DUMMYFUNCTION("""COMPUTED_VALUE"""),45104.5044608564)</f>
        <v>45104.50446</v>
      </c>
      <c r="D3835" s="15">
        <f>IFERROR(__xludf.DUMMYFUNCTION("""COMPUTED_VALUE"""),1.005)</f>
        <v>1.005</v>
      </c>
      <c r="E3835" s="16">
        <f>IFERROR(__xludf.DUMMYFUNCTION("""COMPUTED_VALUE"""),70.0)</f>
        <v>70</v>
      </c>
      <c r="F3835" s="19" t="str">
        <f>IFERROR(__xludf.DUMMYFUNCTION("""COMPUTED_VALUE"""),"BLACK")</f>
        <v>BLACK</v>
      </c>
      <c r="G3835" s="20" t="str">
        <f>IFERROR(__xludf.DUMMYFUNCTION("""COMPUTED_VALUE"""),"Uncle Sams Cider (04/04/2023)")</f>
        <v>Uncle Sams Cider (04/04/2023)</v>
      </c>
      <c r="H3835" s="19"/>
    </row>
    <row r="3836">
      <c r="A3836" s="9"/>
      <c r="B3836" s="15"/>
      <c r="C3836" s="9">
        <f>IFERROR(__xludf.DUMMYFUNCTION("""COMPUTED_VALUE"""),45104.4940407638)</f>
        <v>45104.49404</v>
      </c>
      <c r="D3836" s="15">
        <f>IFERROR(__xludf.DUMMYFUNCTION("""COMPUTED_VALUE"""),1.004)</f>
        <v>1.004</v>
      </c>
      <c r="E3836" s="16">
        <f>IFERROR(__xludf.DUMMYFUNCTION("""COMPUTED_VALUE"""),70.0)</f>
        <v>70</v>
      </c>
      <c r="F3836" s="19" t="str">
        <f>IFERROR(__xludf.DUMMYFUNCTION("""COMPUTED_VALUE"""),"BLACK")</f>
        <v>BLACK</v>
      </c>
      <c r="G3836" s="20" t="str">
        <f>IFERROR(__xludf.DUMMYFUNCTION("""COMPUTED_VALUE"""),"Uncle Sams Cider (04/04/2023)")</f>
        <v>Uncle Sams Cider (04/04/2023)</v>
      </c>
      <c r="H3836" s="19"/>
    </row>
    <row r="3837">
      <c r="A3837" s="9"/>
      <c r="B3837" s="15"/>
      <c r="C3837" s="9">
        <f>IFERROR(__xludf.DUMMYFUNCTION("""COMPUTED_VALUE"""),45104.4836164814)</f>
        <v>45104.48362</v>
      </c>
      <c r="D3837" s="15">
        <f>IFERROR(__xludf.DUMMYFUNCTION("""COMPUTED_VALUE"""),1.005)</f>
        <v>1.005</v>
      </c>
      <c r="E3837" s="16">
        <f>IFERROR(__xludf.DUMMYFUNCTION("""COMPUTED_VALUE"""),70.0)</f>
        <v>70</v>
      </c>
      <c r="F3837" s="19" t="str">
        <f>IFERROR(__xludf.DUMMYFUNCTION("""COMPUTED_VALUE"""),"BLACK")</f>
        <v>BLACK</v>
      </c>
      <c r="G3837" s="20" t="str">
        <f>IFERROR(__xludf.DUMMYFUNCTION("""COMPUTED_VALUE"""),"Uncle Sams Cider (04/04/2023)")</f>
        <v>Uncle Sams Cider (04/04/2023)</v>
      </c>
      <c r="H3837" s="19"/>
    </row>
    <row r="3838">
      <c r="A3838" s="9"/>
      <c r="B3838" s="15"/>
      <c r="C3838" s="9">
        <f>IFERROR(__xludf.DUMMYFUNCTION("""COMPUTED_VALUE"""),45104.4731949305)</f>
        <v>45104.47319</v>
      </c>
      <c r="D3838" s="15">
        <f>IFERROR(__xludf.DUMMYFUNCTION("""COMPUTED_VALUE"""),1.005)</f>
        <v>1.005</v>
      </c>
      <c r="E3838" s="16">
        <f>IFERROR(__xludf.DUMMYFUNCTION("""COMPUTED_VALUE"""),70.0)</f>
        <v>70</v>
      </c>
      <c r="F3838" s="19" t="str">
        <f>IFERROR(__xludf.DUMMYFUNCTION("""COMPUTED_VALUE"""),"BLACK")</f>
        <v>BLACK</v>
      </c>
      <c r="G3838" s="20" t="str">
        <f>IFERROR(__xludf.DUMMYFUNCTION("""COMPUTED_VALUE"""),"Uncle Sams Cider (04/04/2023)")</f>
        <v>Uncle Sams Cider (04/04/2023)</v>
      </c>
      <c r="H3838" s="19"/>
    </row>
    <row r="3839">
      <c r="A3839" s="9"/>
      <c r="B3839" s="15"/>
      <c r="C3839" s="9">
        <f>IFERROR(__xludf.DUMMYFUNCTION("""COMPUTED_VALUE"""),45104.4627753472)</f>
        <v>45104.46278</v>
      </c>
      <c r="D3839" s="15">
        <f>IFERROR(__xludf.DUMMYFUNCTION("""COMPUTED_VALUE"""),1.004)</f>
        <v>1.004</v>
      </c>
      <c r="E3839" s="16">
        <f>IFERROR(__xludf.DUMMYFUNCTION("""COMPUTED_VALUE"""),70.0)</f>
        <v>70</v>
      </c>
      <c r="F3839" s="19" t="str">
        <f>IFERROR(__xludf.DUMMYFUNCTION("""COMPUTED_VALUE"""),"BLACK")</f>
        <v>BLACK</v>
      </c>
      <c r="G3839" s="20" t="str">
        <f>IFERROR(__xludf.DUMMYFUNCTION("""COMPUTED_VALUE"""),"Uncle Sams Cider (04/04/2023)")</f>
        <v>Uncle Sams Cider (04/04/2023)</v>
      </c>
      <c r="H3839" s="19"/>
    </row>
    <row r="3840">
      <c r="A3840" s="9"/>
      <c r="B3840" s="15"/>
      <c r="C3840" s="9">
        <f>IFERROR(__xludf.DUMMYFUNCTION("""COMPUTED_VALUE"""),45104.4523555787)</f>
        <v>45104.45236</v>
      </c>
      <c r="D3840" s="15">
        <f>IFERROR(__xludf.DUMMYFUNCTION("""COMPUTED_VALUE"""),1.004)</f>
        <v>1.004</v>
      </c>
      <c r="E3840" s="16">
        <f>IFERROR(__xludf.DUMMYFUNCTION("""COMPUTED_VALUE"""),70.0)</f>
        <v>70</v>
      </c>
      <c r="F3840" s="19" t="str">
        <f>IFERROR(__xludf.DUMMYFUNCTION("""COMPUTED_VALUE"""),"BLACK")</f>
        <v>BLACK</v>
      </c>
      <c r="G3840" s="20" t="str">
        <f>IFERROR(__xludf.DUMMYFUNCTION("""COMPUTED_VALUE"""),"Uncle Sams Cider (04/04/2023)")</f>
        <v>Uncle Sams Cider (04/04/2023)</v>
      </c>
      <c r="H3840" s="19"/>
    </row>
    <row r="3841">
      <c r="A3841" s="9"/>
      <c r="B3841" s="15"/>
      <c r="C3841" s="9">
        <f>IFERROR(__xludf.DUMMYFUNCTION("""COMPUTED_VALUE"""),45104.4419345138)</f>
        <v>45104.44193</v>
      </c>
      <c r="D3841" s="15">
        <f>IFERROR(__xludf.DUMMYFUNCTION("""COMPUTED_VALUE"""),1.005)</f>
        <v>1.005</v>
      </c>
      <c r="E3841" s="16">
        <f>IFERROR(__xludf.DUMMYFUNCTION("""COMPUTED_VALUE"""),70.0)</f>
        <v>70</v>
      </c>
      <c r="F3841" s="19" t="str">
        <f>IFERROR(__xludf.DUMMYFUNCTION("""COMPUTED_VALUE"""),"BLACK")</f>
        <v>BLACK</v>
      </c>
      <c r="G3841" s="20" t="str">
        <f>IFERROR(__xludf.DUMMYFUNCTION("""COMPUTED_VALUE"""),"Uncle Sams Cider (04/04/2023)")</f>
        <v>Uncle Sams Cider (04/04/2023)</v>
      </c>
      <c r="H3841" s="19"/>
    </row>
    <row r="3842">
      <c r="A3842" s="9"/>
      <c r="B3842" s="15"/>
      <c r="C3842" s="9">
        <f>IFERROR(__xludf.DUMMYFUNCTION("""COMPUTED_VALUE"""),45104.4315140162)</f>
        <v>45104.43151</v>
      </c>
      <c r="D3842" s="15">
        <f>IFERROR(__xludf.DUMMYFUNCTION("""COMPUTED_VALUE"""),1.004)</f>
        <v>1.004</v>
      </c>
      <c r="E3842" s="16">
        <f>IFERROR(__xludf.DUMMYFUNCTION("""COMPUTED_VALUE"""),70.0)</f>
        <v>70</v>
      </c>
      <c r="F3842" s="19" t="str">
        <f>IFERROR(__xludf.DUMMYFUNCTION("""COMPUTED_VALUE"""),"BLACK")</f>
        <v>BLACK</v>
      </c>
      <c r="G3842" s="20" t="str">
        <f>IFERROR(__xludf.DUMMYFUNCTION("""COMPUTED_VALUE"""),"Uncle Sams Cider (04/04/2023)")</f>
        <v>Uncle Sams Cider (04/04/2023)</v>
      </c>
      <c r="H3842" s="19"/>
    </row>
    <row r="3843">
      <c r="A3843" s="9"/>
      <c r="B3843" s="15"/>
      <c r="C3843" s="9">
        <f>IFERROR(__xludf.DUMMYFUNCTION("""COMPUTED_VALUE"""),45104.4210914236)</f>
        <v>45104.42109</v>
      </c>
      <c r="D3843" s="15">
        <f>IFERROR(__xludf.DUMMYFUNCTION("""COMPUTED_VALUE"""),1.005)</f>
        <v>1.005</v>
      </c>
      <c r="E3843" s="16">
        <f>IFERROR(__xludf.DUMMYFUNCTION("""COMPUTED_VALUE"""),70.0)</f>
        <v>70</v>
      </c>
      <c r="F3843" s="19" t="str">
        <f>IFERROR(__xludf.DUMMYFUNCTION("""COMPUTED_VALUE"""),"BLACK")</f>
        <v>BLACK</v>
      </c>
      <c r="G3843" s="20" t="str">
        <f>IFERROR(__xludf.DUMMYFUNCTION("""COMPUTED_VALUE"""),"Uncle Sams Cider (04/04/2023)")</f>
        <v>Uncle Sams Cider (04/04/2023)</v>
      </c>
      <c r="H3843" s="19"/>
    </row>
    <row r="3844">
      <c r="A3844" s="9"/>
      <c r="B3844" s="15"/>
      <c r="C3844" s="9">
        <f>IFERROR(__xludf.DUMMYFUNCTION("""COMPUTED_VALUE"""),45104.4106713657)</f>
        <v>45104.41067</v>
      </c>
      <c r="D3844" s="15">
        <f>IFERROR(__xludf.DUMMYFUNCTION("""COMPUTED_VALUE"""),1.005)</f>
        <v>1.005</v>
      </c>
      <c r="E3844" s="16">
        <f>IFERROR(__xludf.DUMMYFUNCTION("""COMPUTED_VALUE"""),70.0)</f>
        <v>70</v>
      </c>
      <c r="F3844" s="19" t="str">
        <f>IFERROR(__xludf.DUMMYFUNCTION("""COMPUTED_VALUE"""),"BLACK")</f>
        <v>BLACK</v>
      </c>
      <c r="G3844" s="20" t="str">
        <f>IFERROR(__xludf.DUMMYFUNCTION("""COMPUTED_VALUE"""),"Uncle Sams Cider (04/04/2023)")</f>
        <v>Uncle Sams Cider (04/04/2023)</v>
      </c>
      <c r="H3844" s="19"/>
    </row>
    <row r="3845">
      <c r="A3845" s="9"/>
      <c r="B3845" s="15"/>
      <c r="C3845" s="9">
        <f>IFERROR(__xludf.DUMMYFUNCTION("""COMPUTED_VALUE"""),45104.4002380555)</f>
        <v>45104.40024</v>
      </c>
      <c r="D3845" s="15">
        <f>IFERROR(__xludf.DUMMYFUNCTION("""COMPUTED_VALUE"""),1.005)</f>
        <v>1.005</v>
      </c>
      <c r="E3845" s="16">
        <f>IFERROR(__xludf.DUMMYFUNCTION("""COMPUTED_VALUE"""),70.0)</f>
        <v>70</v>
      </c>
      <c r="F3845" s="19" t="str">
        <f>IFERROR(__xludf.DUMMYFUNCTION("""COMPUTED_VALUE"""),"BLACK")</f>
        <v>BLACK</v>
      </c>
      <c r="G3845" s="20" t="str">
        <f>IFERROR(__xludf.DUMMYFUNCTION("""COMPUTED_VALUE"""),"Uncle Sams Cider (04/04/2023)")</f>
        <v>Uncle Sams Cider (04/04/2023)</v>
      </c>
      <c r="H3845" s="19"/>
    </row>
    <row r="3846">
      <c r="A3846" s="9"/>
      <c r="B3846" s="15"/>
      <c r="C3846" s="9">
        <f>IFERROR(__xludf.DUMMYFUNCTION("""COMPUTED_VALUE"""),45104.3898169213)</f>
        <v>45104.38982</v>
      </c>
      <c r="D3846" s="15">
        <f>IFERROR(__xludf.DUMMYFUNCTION("""COMPUTED_VALUE"""),1.004)</f>
        <v>1.004</v>
      </c>
      <c r="E3846" s="16">
        <f>IFERROR(__xludf.DUMMYFUNCTION("""COMPUTED_VALUE"""),70.0)</f>
        <v>70</v>
      </c>
      <c r="F3846" s="19" t="str">
        <f>IFERROR(__xludf.DUMMYFUNCTION("""COMPUTED_VALUE"""),"BLACK")</f>
        <v>BLACK</v>
      </c>
      <c r="G3846" s="20" t="str">
        <f>IFERROR(__xludf.DUMMYFUNCTION("""COMPUTED_VALUE"""),"Uncle Sams Cider (04/04/2023)")</f>
        <v>Uncle Sams Cider (04/04/2023)</v>
      </c>
      <c r="H3846" s="19"/>
    </row>
    <row r="3847">
      <c r="A3847" s="9"/>
      <c r="B3847" s="15"/>
      <c r="C3847" s="9">
        <f>IFERROR(__xludf.DUMMYFUNCTION("""COMPUTED_VALUE"""),45104.3793947453)</f>
        <v>45104.37939</v>
      </c>
      <c r="D3847" s="15">
        <f>IFERROR(__xludf.DUMMYFUNCTION("""COMPUTED_VALUE"""),1.005)</f>
        <v>1.005</v>
      </c>
      <c r="E3847" s="16">
        <f>IFERROR(__xludf.DUMMYFUNCTION("""COMPUTED_VALUE"""),70.0)</f>
        <v>70</v>
      </c>
      <c r="F3847" s="19" t="str">
        <f>IFERROR(__xludf.DUMMYFUNCTION("""COMPUTED_VALUE"""),"BLACK")</f>
        <v>BLACK</v>
      </c>
      <c r="G3847" s="20" t="str">
        <f>IFERROR(__xludf.DUMMYFUNCTION("""COMPUTED_VALUE"""),"Uncle Sams Cider (04/04/2023)")</f>
        <v>Uncle Sams Cider (04/04/2023)</v>
      </c>
      <c r="H3847" s="19"/>
    </row>
    <row r="3848">
      <c r="A3848" s="9"/>
      <c r="B3848" s="15"/>
      <c r="C3848" s="9">
        <f>IFERROR(__xludf.DUMMYFUNCTION("""COMPUTED_VALUE"""),45104.3689729745)</f>
        <v>45104.36897</v>
      </c>
      <c r="D3848" s="15">
        <f>IFERROR(__xludf.DUMMYFUNCTION("""COMPUTED_VALUE"""),1.005)</f>
        <v>1.005</v>
      </c>
      <c r="E3848" s="16">
        <f>IFERROR(__xludf.DUMMYFUNCTION("""COMPUTED_VALUE"""),70.0)</f>
        <v>70</v>
      </c>
      <c r="F3848" s="19" t="str">
        <f>IFERROR(__xludf.DUMMYFUNCTION("""COMPUTED_VALUE"""),"BLACK")</f>
        <v>BLACK</v>
      </c>
      <c r="G3848" s="20" t="str">
        <f>IFERROR(__xludf.DUMMYFUNCTION("""COMPUTED_VALUE"""),"Uncle Sams Cider (04/04/2023)")</f>
        <v>Uncle Sams Cider (04/04/2023)</v>
      </c>
      <c r="H3848" s="19"/>
    </row>
    <row r="3849">
      <c r="A3849" s="9"/>
      <c r="B3849" s="15"/>
      <c r="C3849" s="9">
        <f>IFERROR(__xludf.DUMMYFUNCTION("""COMPUTED_VALUE"""),45104.3585295833)</f>
        <v>45104.35853</v>
      </c>
      <c r="D3849" s="15">
        <f>IFERROR(__xludf.DUMMYFUNCTION("""COMPUTED_VALUE"""),1.005)</f>
        <v>1.005</v>
      </c>
      <c r="E3849" s="16">
        <f>IFERROR(__xludf.DUMMYFUNCTION("""COMPUTED_VALUE"""),70.0)</f>
        <v>70</v>
      </c>
      <c r="F3849" s="19" t="str">
        <f>IFERROR(__xludf.DUMMYFUNCTION("""COMPUTED_VALUE"""),"BLACK")</f>
        <v>BLACK</v>
      </c>
      <c r="G3849" s="20" t="str">
        <f>IFERROR(__xludf.DUMMYFUNCTION("""COMPUTED_VALUE"""),"Uncle Sams Cider (04/04/2023)")</f>
        <v>Uncle Sams Cider (04/04/2023)</v>
      </c>
      <c r="H3849" s="19"/>
    </row>
    <row r="3850">
      <c r="A3850" s="9"/>
      <c r="B3850" s="15"/>
      <c r="C3850" s="9">
        <f>IFERROR(__xludf.DUMMYFUNCTION("""COMPUTED_VALUE"""),45104.3480962963)</f>
        <v>45104.3481</v>
      </c>
      <c r="D3850" s="15">
        <f>IFERROR(__xludf.DUMMYFUNCTION("""COMPUTED_VALUE"""),1.005)</f>
        <v>1.005</v>
      </c>
      <c r="E3850" s="16">
        <f>IFERROR(__xludf.DUMMYFUNCTION("""COMPUTED_VALUE"""),70.0)</f>
        <v>70</v>
      </c>
      <c r="F3850" s="19" t="str">
        <f>IFERROR(__xludf.DUMMYFUNCTION("""COMPUTED_VALUE"""),"BLACK")</f>
        <v>BLACK</v>
      </c>
      <c r="G3850" s="20" t="str">
        <f>IFERROR(__xludf.DUMMYFUNCTION("""COMPUTED_VALUE"""),"Uncle Sams Cider (04/04/2023)")</f>
        <v>Uncle Sams Cider (04/04/2023)</v>
      </c>
      <c r="H3850" s="19"/>
    </row>
    <row r="3851">
      <c r="A3851" s="9"/>
      <c r="B3851" s="15"/>
      <c r="C3851" s="9">
        <f>IFERROR(__xludf.DUMMYFUNCTION("""COMPUTED_VALUE"""),45104.3376770949)</f>
        <v>45104.33768</v>
      </c>
      <c r="D3851" s="15">
        <f>IFERROR(__xludf.DUMMYFUNCTION("""COMPUTED_VALUE"""),1.005)</f>
        <v>1.005</v>
      </c>
      <c r="E3851" s="16">
        <f>IFERROR(__xludf.DUMMYFUNCTION("""COMPUTED_VALUE"""),70.0)</f>
        <v>70</v>
      </c>
      <c r="F3851" s="19" t="str">
        <f>IFERROR(__xludf.DUMMYFUNCTION("""COMPUTED_VALUE"""),"BLACK")</f>
        <v>BLACK</v>
      </c>
      <c r="G3851" s="20" t="str">
        <f>IFERROR(__xludf.DUMMYFUNCTION("""COMPUTED_VALUE"""),"Uncle Sams Cider (04/04/2023)")</f>
        <v>Uncle Sams Cider (04/04/2023)</v>
      </c>
      <c r="H3851" s="19"/>
    </row>
    <row r="3852">
      <c r="A3852" s="9"/>
      <c r="B3852" s="15"/>
      <c r="C3852" s="9">
        <f>IFERROR(__xludf.DUMMYFUNCTION("""COMPUTED_VALUE"""),45104.3272559143)</f>
        <v>45104.32726</v>
      </c>
      <c r="D3852" s="15">
        <f>IFERROR(__xludf.DUMMYFUNCTION("""COMPUTED_VALUE"""),1.005)</f>
        <v>1.005</v>
      </c>
      <c r="E3852" s="16">
        <f>IFERROR(__xludf.DUMMYFUNCTION("""COMPUTED_VALUE"""),70.0)</f>
        <v>70</v>
      </c>
      <c r="F3852" s="19" t="str">
        <f>IFERROR(__xludf.DUMMYFUNCTION("""COMPUTED_VALUE"""),"BLACK")</f>
        <v>BLACK</v>
      </c>
      <c r="G3852" s="20" t="str">
        <f>IFERROR(__xludf.DUMMYFUNCTION("""COMPUTED_VALUE"""),"Uncle Sams Cider (04/04/2023)")</f>
        <v>Uncle Sams Cider (04/04/2023)</v>
      </c>
      <c r="H3852" s="19"/>
    </row>
    <row r="3853">
      <c r="A3853" s="9"/>
      <c r="B3853" s="15"/>
      <c r="C3853" s="9">
        <f>IFERROR(__xludf.DUMMYFUNCTION("""COMPUTED_VALUE"""),45104.3168223148)</f>
        <v>45104.31682</v>
      </c>
      <c r="D3853" s="15">
        <f>IFERROR(__xludf.DUMMYFUNCTION("""COMPUTED_VALUE"""),1.004)</f>
        <v>1.004</v>
      </c>
      <c r="E3853" s="16">
        <f>IFERROR(__xludf.DUMMYFUNCTION("""COMPUTED_VALUE"""),70.0)</f>
        <v>70</v>
      </c>
      <c r="F3853" s="19" t="str">
        <f>IFERROR(__xludf.DUMMYFUNCTION("""COMPUTED_VALUE"""),"BLACK")</f>
        <v>BLACK</v>
      </c>
      <c r="G3853" s="20" t="str">
        <f>IFERROR(__xludf.DUMMYFUNCTION("""COMPUTED_VALUE"""),"Uncle Sams Cider (04/04/2023)")</f>
        <v>Uncle Sams Cider (04/04/2023)</v>
      </c>
      <c r="H3853" s="19"/>
    </row>
    <row r="3854">
      <c r="A3854" s="9"/>
      <c r="B3854" s="15"/>
      <c r="C3854" s="9">
        <f>IFERROR(__xludf.DUMMYFUNCTION("""COMPUTED_VALUE"""),45104.3064020254)</f>
        <v>45104.3064</v>
      </c>
      <c r="D3854" s="15">
        <f>IFERROR(__xludf.DUMMYFUNCTION("""COMPUTED_VALUE"""),1.004)</f>
        <v>1.004</v>
      </c>
      <c r="E3854" s="16">
        <f>IFERROR(__xludf.DUMMYFUNCTION("""COMPUTED_VALUE"""),70.0)</f>
        <v>70</v>
      </c>
      <c r="F3854" s="19" t="str">
        <f>IFERROR(__xludf.DUMMYFUNCTION("""COMPUTED_VALUE"""),"BLACK")</f>
        <v>BLACK</v>
      </c>
      <c r="G3854" s="20" t="str">
        <f>IFERROR(__xludf.DUMMYFUNCTION("""COMPUTED_VALUE"""),"Uncle Sams Cider (04/04/2023)")</f>
        <v>Uncle Sams Cider (04/04/2023)</v>
      </c>
      <c r="H3854" s="19"/>
    </row>
    <row r="3855">
      <c r="A3855" s="9"/>
      <c r="B3855" s="15"/>
      <c r="C3855" s="9">
        <f>IFERROR(__xludf.DUMMYFUNCTION("""COMPUTED_VALUE"""),45104.2959812615)</f>
        <v>45104.29598</v>
      </c>
      <c r="D3855" s="15">
        <f>IFERROR(__xludf.DUMMYFUNCTION("""COMPUTED_VALUE"""),1.005)</f>
        <v>1.005</v>
      </c>
      <c r="E3855" s="16">
        <f>IFERROR(__xludf.DUMMYFUNCTION("""COMPUTED_VALUE"""),70.0)</f>
        <v>70</v>
      </c>
      <c r="F3855" s="19" t="str">
        <f>IFERROR(__xludf.DUMMYFUNCTION("""COMPUTED_VALUE"""),"BLACK")</f>
        <v>BLACK</v>
      </c>
      <c r="G3855" s="20" t="str">
        <f>IFERROR(__xludf.DUMMYFUNCTION("""COMPUTED_VALUE"""),"Uncle Sams Cider (04/04/2023)")</f>
        <v>Uncle Sams Cider (04/04/2023)</v>
      </c>
      <c r="H3855" s="19"/>
    </row>
    <row r="3856">
      <c r="A3856" s="9"/>
      <c r="B3856" s="15"/>
      <c r="C3856" s="9">
        <f>IFERROR(__xludf.DUMMYFUNCTION("""COMPUTED_VALUE"""),45104.2855480324)</f>
        <v>45104.28555</v>
      </c>
      <c r="D3856" s="15">
        <f>IFERROR(__xludf.DUMMYFUNCTION("""COMPUTED_VALUE"""),1.005)</f>
        <v>1.005</v>
      </c>
      <c r="E3856" s="16">
        <f>IFERROR(__xludf.DUMMYFUNCTION("""COMPUTED_VALUE"""),70.0)</f>
        <v>70</v>
      </c>
      <c r="F3856" s="19" t="str">
        <f>IFERROR(__xludf.DUMMYFUNCTION("""COMPUTED_VALUE"""),"BLACK")</f>
        <v>BLACK</v>
      </c>
      <c r="G3856" s="20" t="str">
        <f>IFERROR(__xludf.DUMMYFUNCTION("""COMPUTED_VALUE"""),"Uncle Sams Cider (04/04/2023)")</f>
        <v>Uncle Sams Cider (04/04/2023)</v>
      </c>
      <c r="H3856" s="19"/>
    </row>
    <row r="3857">
      <c r="A3857" s="9"/>
      <c r="B3857" s="15"/>
      <c r="C3857" s="9">
        <f>IFERROR(__xludf.DUMMYFUNCTION("""COMPUTED_VALUE"""),45104.2751153009)</f>
        <v>45104.27512</v>
      </c>
      <c r="D3857" s="15">
        <f>IFERROR(__xludf.DUMMYFUNCTION("""COMPUTED_VALUE"""),1.004)</f>
        <v>1.004</v>
      </c>
      <c r="E3857" s="16">
        <f>IFERROR(__xludf.DUMMYFUNCTION("""COMPUTED_VALUE"""),70.0)</f>
        <v>70</v>
      </c>
      <c r="F3857" s="19" t="str">
        <f>IFERROR(__xludf.DUMMYFUNCTION("""COMPUTED_VALUE"""),"BLACK")</f>
        <v>BLACK</v>
      </c>
      <c r="G3857" s="20" t="str">
        <f>IFERROR(__xludf.DUMMYFUNCTION("""COMPUTED_VALUE"""),"Uncle Sams Cider (04/04/2023)")</f>
        <v>Uncle Sams Cider (04/04/2023)</v>
      </c>
      <c r="H3857" s="19"/>
    </row>
    <row r="3858">
      <c r="A3858" s="9"/>
      <c r="B3858" s="15"/>
      <c r="C3858" s="9">
        <f>IFERROR(__xludf.DUMMYFUNCTION("""COMPUTED_VALUE"""),45104.264691956)</f>
        <v>45104.26469</v>
      </c>
      <c r="D3858" s="15">
        <f>IFERROR(__xludf.DUMMYFUNCTION("""COMPUTED_VALUE"""),1.005)</f>
        <v>1.005</v>
      </c>
      <c r="E3858" s="16">
        <f>IFERROR(__xludf.DUMMYFUNCTION("""COMPUTED_VALUE"""),70.0)</f>
        <v>70</v>
      </c>
      <c r="F3858" s="19" t="str">
        <f>IFERROR(__xludf.DUMMYFUNCTION("""COMPUTED_VALUE"""),"BLACK")</f>
        <v>BLACK</v>
      </c>
      <c r="G3858" s="20" t="str">
        <f>IFERROR(__xludf.DUMMYFUNCTION("""COMPUTED_VALUE"""),"Uncle Sams Cider (04/04/2023)")</f>
        <v>Uncle Sams Cider (04/04/2023)</v>
      </c>
      <c r="H3858" s="19"/>
    </row>
    <row r="3859">
      <c r="A3859" s="9"/>
      <c r="B3859" s="15"/>
      <c r="C3859" s="9">
        <f>IFERROR(__xludf.DUMMYFUNCTION("""COMPUTED_VALUE"""),45104.2542583217)</f>
        <v>45104.25426</v>
      </c>
      <c r="D3859" s="15">
        <f>IFERROR(__xludf.DUMMYFUNCTION("""COMPUTED_VALUE"""),1.005)</f>
        <v>1.005</v>
      </c>
      <c r="E3859" s="16">
        <f>IFERROR(__xludf.DUMMYFUNCTION("""COMPUTED_VALUE"""),70.0)</f>
        <v>70</v>
      </c>
      <c r="F3859" s="19" t="str">
        <f>IFERROR(__xludf.DUMMYFUNCTION("""COMPUTED_VALUE"""),"BLACK")</f>
        <v>BLACK</v>
      </c>
      <c r="G3859" s="20" t="str">
        <f>IFERROR(__xludf.DUMMYFUNCTION("""COMPUTED_VALUE"""),"Uncle Sams Cider (04/04/2023)")</f>
        <v>Uncle Sams Cider (04/04/2023)</v>
      </c>
      <c r="H3859" s="19"/>
    </row>
    <row r="3860">
      <c r="A3860" s="9"/>
      <c r="B3860" s="15"/>
      <c r="C3860" s="9">
        <f>IFERROR(__xludf.DUMMYFUNCTION("""COMPUTED_VALUE"""),45104.2438342824)</f>
        <v>45104.24383</v>
      </c>
      <c r="D3860" s="15">
        <f>IFERROR(__xludf.DUMMYFUNCTION("""COMPUTED_VALUE"""),1.005)</f>
        <v>1.005</v>
      </c>
      <c r="E3860" s="16">
        <f>IFERROR(__xludf.DUMMYFUNCTION("""COMPUTED_VALUE"""),70.0)</f>
        <v>70</v>
      </c>
      <c r="F3860" s="19" t="str">
        <f>IFERROR(__xludf.DUMMYFUNCTION("""COMPUTED_VALUE"""),"BLACK")</f>
        <v>BLACK</v>
      </c>
      <c r="G3860" s="20" t="str">
        <f>IFERROR(__xludf.DUMMYFUNCTION("""COMPUTED_VALUE"""),"Uncle Sams Cider (04/04/2023)")</f>
        <v>Uncle Sams Cider (04/04/2023)</v>
      </c>
      <c r="H3860" s="19"/>
    </row>
    <row r="3861">
      <c r="A3861" s="9"/>
      <c r="B3861" s="15"/>
      <c r="C3861" s="9">
        <f>IFERROR(__xludf.DUMMYFUNCTION("""COMPUTED_VALUE"""),45104.2334147338)</f>
        <v>45104.23341</v>
      </c>
      <c r="D3861" s="15">
        <f>IFERROR(__xludf.DUMMYFUNCTION("""COMPUTED_VALUE"""),1.004)</f>
        <v>1.004</v>
      </c>
      <c r="E3861" s="16">
        <f>IFERROR(__xludf.DUMMYFUNCTION("""COMPUTED_VALUE"""),70.0)</f>
        <v>70</v>
      </c>
      <c r="F3861" s="19" t="str">
        <f>IFERROR(__xludf.DUMMYFUNCTION("""COMPUTED_VALUE"""),"BLACK")</f>
        <v>BLACK</v>
      </c>
      <c r="G3861" s="20" t="str">
        <f>IFERROR(__xludf.DUMMYFUNCTION("""COMPUTED_VALUE"""),"Uncle Sams Cider (04/04/2023)")</f>
        <v>Uncle Sams Cider (04/04/2023)</v>
      </c>
      <c r="H3861" s="19"/>
    </row>
    <row r="3862">
      <c r="A3862" s="9"/>
      <c r="B3862" s="15"/>
      <c r="C3862" s="9">
        <f>IFERROR(__xludf.DUMMYFUNCTION("""COMPUTED_VALUE"""),45104.2229938888)</f>
        <v>45104.22299</v>
      </c>
      <c r="D3862" s="15">
        <f>IFERROR(__xludf.DUMMYFUNCTION("""COMPUTED_VALUE"""),1.004)</f>
        <v>1.004</v>
      </c>
      <c r="E3862" s="16">
        <f>IFERROR(__xludf.DUMMYFUNCTION("""COMPUTED_VALUE"""),70.0)</f>
        <v>70</v>
      </c>
      <c r="F3862" s="19" t="str">
        <f>IFERROR(__xludf.DUMMYFUNCTION("""COMPUTED_VALUE"""),"BLACK")</f>
        <v>BLACK</v>
      </c>
      <c r="G3862" s="20" t="str">
        <f>IFERROR(__xludf.DUMMYFUNCTION("""COMPUTED_VALUE"""),"Uncle Sams Cider (04/04/2023)")</f>
        <v>Uncle Sams Cider (04/04/2023)</v>
      </c>
      <c r="H3862" s="19"/>
    </row>
    <row r="3863">
      <c r="A3863" s="9"/>
      <c r="B3863" s="15"/>
      <c r="C3863" s="9">
        <f>IFERROR(__xludf.DUMMYFUNCTION("""COMPUTED_VALUE"""),45104.2125711689)</f>
        <v>45104.21257</v>
      </c>
      <c r="D3863" s="15">
        <f>IFERROR(__xludf.DUMMYFUNCTION("""COMPUTED_VALUE"""),1.005)</f>
        <v>1.005</v>
      </c>
      <c r="E3863" s="16">
        <f>IFERROR(__xludf.DUMMYFUNCTION("""COMPUTED_VALUE"""),70.0)</f>
        <v>70</v>
      </c>
      <c r="F3863" s="19" t="str">
        <f>IFERROR(__xludf.DUMMYFUNCTION("""COMPUTED_VALUE"""),"BLACK")</f>
        <v>BLACK</v>
      </c>
      <c r="G3863" s="20" t="str">
        <f>IFERROR(__xludf.DUMMYFUNCTION("""COMPUTED_VALUE"""),"Uncle Sams Cider (04/04/2023)")</f>
        <v>Uncle Sams Cider (04/04/2023)</v>
      </c>
      <c r="H3863" s="19"/>
    </row>
    <row r="3864">
      <c r="A3864" s="9"/>
      <c r="B3864" s="15"/>
      <c r="C3864" s="9">
        <f>IFERROR(__xludf.DUMMYFUNCTION("""COMPUTED_VALUE"""),45104.2021481597)</f>
        <v>45104.20215</v>
      </c>
      <c r="D3864" s="15">
        <f>IFERROR(__xludf.DUMMYFUNCTION("""COMPUTED_VALUE"""),1.005)</f>
        <v>1.005</v>
      </c>
      <c r="E3864" s="16">
        <f>IFERROR(__xludf.DUMMYFUNCTION("""COMPUTED_VALUE"""),70.0)</f>
        <v>70</v>
      </c>
      <c r="F3864" s="19" t="str">
        <f>IFERROR(__xludf.DUMMYFUNCTION("""COMPUTED_VALUE"""),"BLACK")</f>
        <v>BLACK</v>
      </c>
      <c r="G3864" s="20" t="str">
        <f>IFERROR(__xludf.DUMMYFUNCTION("""COMPUTED_VALUE"""),"Uncle Sams Cider (04/04/2023)")</f>
        <v>Uncle Sams Cider (04/04/2023)</v>
      </c>
      <c r="H3864" s="19"/>
    </row>
    <row r="3865">
      <c r="A3865" s="9"/>
      <c r="B3865" s="15"/>
      <c r="C3865" s="9">
        <f>IFERROR(__xludf.DUMMYFUNCTION("""COMPUTED_VALUE"""),45104.1917265393)</f>
        <v>45104.19173</v>
      </c>
      <c r="D3865" s="15">
        <f>IFERROR(__xludf.DUMMYFUNCTION("""COMPUTED_VALUE"""),1.005)</f>
        <v>1.005</v>
      </c>
      <c r="E3865" s="16">
        <f>IFERROR(__xludf.DUMMYFUNCTION("""COMPUTED_VALUE"""),70.0)</f>
        <v>70</v>
      </c>
      <c r="F3865" s="19" t="str">
        <f>IFERROR(__xludf.DUMMYFUNCTION("""COMPUTED_VALUE"""),"BLACK")</f>
        <v>BLACK</v>
      </c>
      <c r="G3865" s="20" t="str">
        <f>IFERROR(__xludf.DUMMYFUNCTION("""COMPUTED_VALUE"""),"Uncle Sams Cider (04/04/2023)")</f>
        <v>Uncle Sams Cider (04/04/2023)</v>
      </c>
      <c r="H3865" s="19"/>
    </row>
    <row r="3866">
      <c r="A3866" s="9"/>
      <c r="B3866" s="15"/>
      <c r="C3866" s="9">
        <f>IFERROR(__xludf.DUMMYFUNCTION("""COMPUTED_VALUE"""),45104.1813055092)</f>
        <v>45104.18131</v>
      </c>
      <c r="D3866" s="15">
        <f>IFERROR(__xludf.DUMMYFUNCTION("""COMPUTED_VALUE"""),1.005)</f>
        <v>1.005</v>
      </c>
      <c r="E3866" s="16">
        <f>IFERROR(__xludf.DUMMYFUNCTION("""COMPUTED_VALUE"""),70.0)</f>
        <v>70</v>
      </c>
      <c r="F3866" s="19" t="str">
        <f>IFERROR(__xludf.DUMMYFUNCTION("""COMPUTED_VALUE"""),"BLACK")</f>
        <v>BLACK</v>
      </c>
      <c r="G3866" s="20" t="str">
        <f>IFERROR(__xludf.DUMMYFUNCTION("""COMPUTED_VALUE"""),"Uncle Sams Cider (04/04/2023)")</f>
        <v>Uncle Sams Cider (04/04/2023)</v>
      </c>
      <c r="H3866" s="19"/>
    </row>
    <row r="3867">
      <c r="A3867" s="9"/>
      <c r="B3867" s="15"/>
      <c r="C3867" s="9">
        <f>IFERROR(__xludf.DUMMYFUNCTION("""COMPUTED_VALUE"""),45104.1708842361)</f>
        <v>45104.17088</v>
      </c>
      <c r="D3867" s="15">
        <f>IFERROR(__xludf.DUMMYFUNCTION("""COMPUTED_VALUE"""),1.004)</f>
        <v>1.004</v>
      </c>
      <c r="E3867" s="16">
        <f>IFERROR(__xludf.DUMMYFUNCTION("""COMPUTED_VALUE"""),70.0)</f>
        <v>70</v>
      </c>
      <c r="F3867" s="19" t="str">
        <f>IFERROR(__xludf.DUMMYFUNCTION("""COMPUTED_VALUE"""),"BLACK")</f>
        <v>BLACK</v>
      </c>
      <c r="G3867" s="20" t="str">
        <f>IFERROR(__xludf.DUMMYFUNCTION("""COMPUTED_VALUE"""),"Uncle Sams Cider (04/04/2023)")</f>
        <v>Uncle Sams Cider (04/04/2023)</v>
      </c>
      <c r="H3867" s="19"/>
    </row>
    <row r="3868">
      <c r="A3868" s="9"/>
      <c r="B3868" s="15"/>
      <c r="C3868" s="9">
        <f>IFERROR(__xludf.DUMMYFUNCTION("""COMPUTED_VALUE"""),45104.1604626388)</f>
        <v>45104.16046</v>
      </c>
      <c r="D3868" s="15">
        <f>IFERROR(__xludf.DUMMYFUNCTION("""COMPUTED_VALUE"""),1.004)</f>
        <v>1.004</v>
      </c>
      <c r="E3868" s="16">
        <f>IFERROR(__xludf.DUMMYFUNCTION("""COMPUTED_VALUE"""),70.0)</f>
        <v>70</v>
      </c>
      <c r="F3868" s="19" t="str">
        <f>IFERROR(__xludf.DUMMYFUNCTION("""COMPUTED_VALUE"""),"BLACK")</f>
        <v>BLACK</v>
      </c>
      <c r="G3868" s="20" t="str">
        <f>IFERROR(__xludf.DUMMYFUNCTION("""COMPUTED_VALUE"""),"Uncle Sams Cider (04/04/2023)")</f>
        <v>Uncle Sams Cider (04/04/2023)</v>
      </c>
      <c r="H3868" s="19"/>
    </row>
    <row r="3869">
      <c r="A3869" s="9"/>
      <c r="B3869" s="15"/>
      <c r="C3869" s="9">
        <f>IFERROR(__xludf.DUMMYFUNCTION("""COMPUTED_VALUE"""),45104.1500408101)</f>
        <v>45104.15004</v>
      </c>
      <c r="D3869" s="15">
        <f>IFERROR(__xludf.DUMMYFUNCTION("""COMPUTED_VALUE"""),1.005)</f>
        <v>1.005</v>
      </c>
      <c r="E3869" s="16">
        <f>IFERROR(__xludf.DUMMYFUNCTION("""COMPUTED_VALUE"""),70.0)</f>
        <v>70</v>
      </c>
      <c r="F3869" s="19" t="str">
        <f>IFERROR(__xludf.DUMMYFUNCTION("""COMPUTED_VALUE"""),"BLACK")</f>
        <v>BLACK</v>
      </c>
      <c r="G3869" s="20" t="str">
        <f>IFERROR(__xludf.DUMMYFUNCTION("""COMPUTED_VALUE"""),"Uncle Sams Cider (04/04/2023)")</f>
        <v>Uncle Sams Cider (04/04/2023)</v>
      </c>
      <c r="H3869" s="19"/>
    </row>
    <row r="3870">
      <c r="A3870" s="9"/>
      <c r="B3870" s="15"/>
      <c r="C3870" s="9">
        <f>IFERROR(__xludf.DUMMYFUNCTION("""COMPUTED_VALUE"""),45104.1396191666)</f>
        <v>45104.13962</v>
      </c>
      <c r="D3870" s="15">
        <f>IFERROR(__xludf.DUMMYFUNCTION("""COMPUTED_VALUE"""),1.004)</f>
        <v>1.004</v>
      </c>
      <c r="E3870" s="16">
        <f>IFERROR(__xludf.DUMMYFUNCTION("""COMPUTED_VALUE"""),70.0)</f>
        <v>70</v>
      </c>
      <c r="F3870" s="19" t="str">
        <f>IFERROR(__xludf.DUMMYFUNCTION("""COMPUTED_VALUE"""),"BLACK")</f>
        <v>BLACK</v>
      </c>
      <c r="G3870" s="20" t="str">
        <f>IFERROR(__xludf.DUMMYFUNCTION("""COMPUTED_VALUE"""),"Uncle Sams Cider (04/04/2023)")</f>
        <v>Uncle Sams Cider (04/04/2023)</v>
      </c>
      <c r="H3870" s="19"/>
    </row>
    <row r="3871">
      <c r="A3871" s="9"/>
      <c r="B3871" s="15"/>
      <c r="C3871" s="9">
        <f>IFERROR(__xludf.DUMMYFUNCTION("""COMPUTED_VALUE"""),45104.1291975231)</f>
        <v>45104.1292</v>
      </c>
      <c r="D3871" s="15">
        <f>IFERROR(__xludf.DUMMYFUNCTION("""COMPUTED_VALUE"""),1.004)</f>
        <v>1.004</v>
      </c>
      <c r="E3871" s="16">
        <f>IFERROR(__xludf.DUMMYFUNCTION("""COMPUTED_VALUE"""),70.0)</f>
        <v>70</v>
      </c>
      <c r="F3871" s="19" t="str">
        <f>IFERROR(__xludf.DUMMYFUNCTION("""COMPUTED_VALUE"""),"BLACK")</f>
        <v>BLACK</v>
      </c>
      <c r="G3871" s="20" t="str">
        <f>IFERROR(__xludf.DUMMYFUNCTION("""COMPUTED_VALUE"""),"Uncle Sams Cider (04/04/2023)")</f>
        <v>Uncle Sams Cider (04/04/2023)</v>
      </c>
      <c r="H3871" s="19"/>
    </row>
    <row r="3872">
      <c r="A3872" s="9"/>
      <c r="B3872" s="15"/>
      <c r="C3872" s="9">
        <f>IFERROR(__xludf.DUMMYFUNCTION("""COMPUTED_VALUE"""),45104.1187771527)</f>
        <v>45104.11878</v>
      </c>
      <c r="D3872" s="15">
        <f>IFERROR(__xludf.DUMMYFUNCTION("""COMPUTED_VALUE"""),1.005)</f>
        <v>1.005</v>
      </c>
      <c r="E3872" s="16">
        <f>IFERROR(__xludf.DUMMYFUNCTION("""COMPUTED_VALUE"""),70.0)</f>
        <v>70</v>
      </c>
      <c r="F3872" s="19" t="str">
        <f>IFERROR(__xludf.DUMMYFUNCTION("""COMPUTED_VALUE"""),"BLACK")</f>
        <v>BLACK</v>
      </c>
      <c r="G3872" s="20" t="str">
        <f>IFERROR(__xludf.DUMMYFUNCTION("""COMPUTED_VALUE"""),"Uncle Sams Cider (04/04/2023)")</f>
        <v>Uncle Sams Cider (04/04/2023)</v>
      </c>
      <c r="H3872" s="19"/>
    </row>
    <row r="3873">
      <c r="A3873" s="9"/>
      <c r="B3873" s="15"/>
      <c r="C3873" s="9">
        <f>IFERROR(__xludf.DUMMYFUNCTION("""COMPUTED_VALUE"""),45104.1083222569)</f>
        <v>45104.10832</v>
      </c>
      <c r="D3873" s="15">
        <f>IFERROR(__xludf.DUMMYFUNCTION("""COMPUTED_VALUE"""),1.004)</f>
        <v>1.004</v>
      </c>
      <c r="E3873" s="16">
        <f>IFERROR(__xludf.DUMMYFUNCTION("""COMPUTED_VALUE"""),70.0)</f>
        <v>70</v>
      </c>
      <c r="F3873" s="19" t="str">
        <f>IFERROR(__xludf.DUMMYFUNCTION("""COMPUTED_VALUE"""),"BLACK")</f>
        <v>BLACK</v>
      </c>
      <c r="G3873" s="20" t="str">
        <f>IFERROR(__xludf.DUMMYFUNCTION("""COMPUTED_VALUE"""),"Uncle Sams Cider (04/04/2023)")</f>
        <v>Uncle Sams Cider (04/04/2023)</v>
      </c>
      <c r="H3873" s="19"/>
    </row>
    <row r="3874">
      <c r="A3874" s="9"/>
      <c r="B3874" s="15"/>
      <c r="C3874" s="9">
        <f>IFERROR(__xludf.DUMMYFUNCTION("""COMPUTED_VALUE"""),45104.0978625231)</f>
        <v>45104.09786</v>
      </c>
      <c r="D3874" s="15">
        <f>IFERROR(__xludf.DUMMYFUNCTION("""COMPUTED_VALUE"""),1.004)</f>
        <v>1.004</v>
      </c>
      <c r="E3874" s="16">
        <f>IFERROR(__xludf.DUMMYFUNCTION("""COMPUTED_VALUE"""),70.0)</f>
        <v>70</v>
      </c>
      <c r="F3874" s="19" t="str">
        <f>IFERROR(__xludf.DUMMYFUNCTION("""COMPUTED_VALUE"""),"BLACK")</f>
        <v>BLACK</v>
      </c>
      <c r="G3874" s="20" t="str">
        <f>IFERROR(__xludf.DUMMYFUNCTION("""COMPUTED_VALUE"""),"Uncle Sams Cider (04/04/2023)")</f>
        <v>Uncle Sams Cider (04/04/2023)</v>
      </c>
      <c r="H3874" s="19"/>
    </row>
    <row r="3875">
      <c r="A3875" s="9"/>
      <c r="B3875" s="15"/>
      <c r="C3875" s="9">
        <f>IFERROR(__xludf.DUMMYFUNCTION("""COMPUTED_VALUE"""),45104.0874425925)</f>
        <v>45104.08744</v>
      </c>
      <c r="D3875" s="15">
        <f>IFERROR(__xludf.DUMMYFUNCTION("""COMPUTED_VALUE"""),1.005)</f>
        <v>1.005</v>
      </c>
      <c r="E3875" s="16">
        <f>IFERROR(__xludf.DUMMYFUNCTION("""COMPUTED_VALUE"""),70.0)</f>
        <v>70</v>
      </c>
      <c r="F3875" s="19" t="str">
        <f>IFERROR(__xludf.DUMMYFUNCTION("""COMPUTED_VALUE"""),"BLACK")</f>
        <v>BLACK</v>
      </c>
      <c r="G3875" s="20" t="str">
        <f>IFERROR(__xludf.DUMMYFUNCTION("""COMPUTED_VALUE"""),"Uncle Sams Cider (04/04/2023)")</f>
        <v>Uncle Sams Cider (04/04/2023)</v>
      </c>
      <c r="H3875" s="19"/>
    </row>
    <row r="3876">
      <c r="A3876" s="9"/>
      <c r="B3876" s="15"/>
      <c r="C3876" s="9">
        <f>IFERROR(__xludf.DUMMYFUNCTION("""COMPUTED_VALUE"""),45104.0770093402)</f>
        <v>45104.07701</v>
      </c>
      <c r="D3876" s="15">
        <f>IFERROR(__xludf.DUMMYFUNCTION("""COMPUTED_VALUE"""),1.004)</f>
        <v>1.004</v>
      </c>
      <c r="E3876" s="16">
        <f>IFERROR(__xludf.DUMMYFUNCTION("""COMPUTED_VALUE"""),70.0)</f>
        <v>70</v>
      </c>
      <c r="F3876" s="19" t="str">
        <f>IFERROR(__xludf.DUMMYFUNCTION("""COMPUTED_VALUE"""),"BLACK")</f>
        <v>BLACK</v>
      </c>
      <c r="G3876" s="20" t="str">
        <f>IFERROR(__xludf.DUMMYFUNCTION("""COMPUTED_VALUE"""),"Uncle Sams Cider (04/04/2023)")</f>
        <v>Uncle Sams Cider (04/04/2023)</v>
      </c>
      <c r="H3876" s="19"/>
    </row>
    <row r="3877">
      <c r="A3877" s="9"/>
      <c r="B3877" s="15"/>
      <c r="C3877" s="9">
        <f>IFERROR(__xludf.DUMMYFUNCTION("""COMPUTED_VALUE"""),45104.0665895717)</f>
        <v>45104.06659</v>
      </c>
      <c r="D3877" s="15">
        <f>IFERROR(__xludf.DUMMYFUNCTION("""COMPUTED_VALUE"""),1.005)</f>
        <v>1.005</v>
      </c>
      <c r="E3877" s="16">
        <f>IFERROR(__xludf.DUMMYFUNCTION("""COMPUTED_VALUE"""),70.0)</f>
        <v>70</v>
      </c>
      <c r="F3877" s="19" t="str">
        <f>IFERROR(__xludf.DUMMYFUNCTION("""COMPUTED_VALUE"""),"BLACK")</f>
        <v>BLACK</v>
      </c>
      <c r="G3877" s="20" t="str">
        <f>IFERROR(__xludf.DUMMYFUNCTION("""COMPUTED_VALUE"""),"Uncle Sams Cider (04/04/2023)")</f>
        <v>Uncle Sams Cider (04/04/2023)</v>
      </c>
      <c r="H3877" s="19"/>
    </row>
    <row r="3878">
      <c r="A3878" s="9"/>
      <c r="B3878" s="15"/>
      <c r="C3878" s="9">
        <f>IFERROR(__xludf.DUMMYFUNCTION("""COMPUTED_VALUE"""),45104.0561674537)</f>
        <v>45104.05617</v>
      </c>
      <c r="D3878" s="15">
        <f>IFERROR(__xludf.DUMMYFUNCTION("""COMPUTED_VALUE"""),1.004)</f>
        <v>1.004</v>
      </c>
      <c r="E3878" s="16">
        <f>IFERROR(__xludf.DUMMYFUNCTION("""COMPUTED_VALUE"""),70.0)</f>
        <v>70</v>
      </c>
      <c r="F3878" s="19" t="str">
        <f>IFERROR(__xludf.DUMMYFUNCTION("""COMPUTED_VALUE"""),"BLACK")</f>
        <v>BLACK</v>
      </c>
      <c r="G3878" s="20" t="str">
        <f>IFERROR(__xludf.DUMMYFUNCTION("""COMPUTED_VALUE"""),"Uncle Sams Cider (04/04/2023)")</f>
        <v>Uncle Sams Cider (04/04/2023)</v>
      </c>
      <c r="H3878" s="19"/>
    </row>
    <row r="3879">
      <c r="A3879" s="9"/>
      <c r="B3879" s="15"/>
      <c r="C3879" s="9">
        <f>IFERROR(__xludf.DUMMYFUNCTION("""COMPUTED_VALUE"""),45104.0457459838)</f>
        <v>45104.04575</v>
      </c>
      <c r="D3879" s="15">
        <f>IFERROR(__xludf.DUMMYFUNCTION("""COMPUTED_VALUE"""),1.005)</f>
        <v>1.005</v>
      </c>
      <c r="E3879" s="16">
        <f>IFERROR(__xludf.DUMMYFUNCTION("""COMPUTED_VALUE"""),70.0)</f>
        <v>70</v>
      </c>
      <c r="F3879" s="19" t="str">
        <f>IFERROR(__xludf.DUMMYFUNCTION("""COMPUTED_VALUE"""),"BLACK")</f>
        <v>BLACK</v>
      </c>
      <c r="G3879" s="20" t="str">
        <f>IFERROR(__xludf.DUMMYFUNCTION("""COMPUTED_VALUE"""),"Uncle Sams Cider (04/04/2023)")</f>
        <v>Uncle Sams Cider (04/04/2023)</v>
      </c>
      <c r="H3879" s="19"/>
    </row>
    <row r="3880">
      <c r="A3880" s="9"/>
      <c r="B3880" s="15"/>
      <c r="C3880" s="9">
        <f>IFERROR(__xludf.DUMMYFUNCTION("""COMPUTED_VALUE"""),45104.0353253703)</f>
        <v>45104.03533</v>
      </c>
      <c r="D3880" s="15">
        <f>IFERROR(__xludf.DUMMYFUNCTION("""COMPUTED_VALUE"""),1.005)</f>
        <v>1.005</v>
      </c>
      <c r="E3880" s="16">
        <f>IFERROR(__xludf.DUMMYFUNCTION("""COMPUTED_VALUE"""),70.0)</f>
        <v>70</v>
      </c>
      <c r="F3880" s="19" t="str">
        <f>IFERROR(__xludf.DUMMYFUNCTION("""COMPUTED_VALUE"""),"BLACK")</f>
        <v>BLACK</v>
      </c>
      <c r="G3880" s="20" t="str">
        <f>IFERROR(__xludf.DUMMYFUNCTION("""COMPUTED_VALUE"""),"Uncle Sams Cider (04/04/2023)")</f>
        <v>Uncle Sams Cider (04/04/2023)</v>
      </c>
      <c r="H3880" s="19"/>
    </row>
    <row r="3881">
      <c r="A3881" s="9"/>
      <c r="B3881" s="15"/>
      <c r="C3881" s="9">
        <f>IFERROR(__xludf.DUMMYFUNCTION("""COMPUTED_VALUE"""),45104.0249059953)</f>
        <v>45104.02491</v>
      </c>
      <c r="D3881" s="15">
        <f>IFERROR(__xludf.DUMMYFUNCTION("""COMPUTED_VALUE"""),1.005)</f>
        <v>1.005</v>
      </c>
      <c r="E3881" s="16">
        <f>IFERROR(__xludf.DUMMYFUNCTION("""COMPUTED_VALUE"""),70.0)</f>
        <v>70</v>
      </c>
      <c r="F3881" s="19" t="str">
        <f>IFERROR(__xludf.DUMMYFUNCTION("""COMPUTED_VALUE"""),"BLACK")</f>
        <v>BLACK</v>
      </c>
      <c r="G3881" s="20" t="str">
        <f>IFERROR(__xludf.DUMMYFUNCTION("""COMPUTED_VALUE"""),"Uncle Sams Cider (04/04/2023)")</f>
        <v>Uncle Sams Cider (04/04/2023)</v>
      </c>
      <c r="H3881" s="19"/>
    </row>
    <row r="3882">
      <c r="A3882" s="9"/>
      <c r="B3882" s="15"/>
      <c r="C3882" s="9">
        <f>IFERROR(__xludf.DUMMYFUNCTION("""COMPUTED_VALUE"""),45104.0144721643)</f>
        <v>45104.01447</v>
      </c>
      <c r="D3882" s="15">
        <f>IFERROR(__xludf.DUMMYFUNCTION("""COMPUTED_VALUE"""),1.005)</f>
        <v>1.005</v>
      </c>
      <c r="E3882" s="16">
        <f>IFERROR(__xludf.DUMMYFUNCTION("""COMPUTED_VALUE"""),70.0)</f>
        <v>70</v>
      </c>
      <c r="F3882" s="19" t="str">
        <f>IFERROR(__xludf.DUMMYFUNCTION("""COMPUTED_VALUE"""),"BLACK")</f>
        <v>BLACK</v>
      </c>
      <c r="G3882" s="20" t="str">
        <f>IFERROR(__xludf.DUMMYFUNCTION("""COMPUTED_VALUE"""),"Uncle Sams Cider (04/04/2023)")</f>
        <v>Uncle Sams Cider (04/04/2023)</v>
      </c>
      <c r="H3882" s="19"/>
    </row>
    <row r="3883">
      <c r="A3883" s="9"/>
      <c r="B3883" s="15"/>
      <c r="C3883" s="9">
        <f>IFERROR(__xludf.DUMMYFUNCTION("""COMPUTED_VALUE"""),45104.0040485069)</f>
        <v>45104.00405</v>
      </c>
      <c r="D3883" s="15">
        <f>IFERROR(__xludf.DUMMYFUNCTION("""COMPUTED_VALUE"""),1.004)</f>
        <v>1.004</v>
      </c>
      <c r="E3883" s="16">
        <f>IFERROR(__xludf.DUMMYFUNCTION("""COMPUTED_VALUE"""),70.0)</f>
        <v>70</v>
      </c>
      <c r="F3883" s="19" t="str">
        <f>IFERROR(__xludf.DUMMYFUNCTION("""COMPUTED_VALUE"""),"BLACK")</f>
        <v>BLACK</v>
      </c>
      <c r="G3883" s="20" t="str">
        <f>IFERROR(__xludf.DUMMYFUNCTION("""COMPUTED_VALUE"""),"Uncle Sams Cider (04/04/2023)")</f>
        <v>Uncle Sams Cider (04/04/2023)</v>
      </c>
      <c r="H3883" s="19"/>
    </row>
    <row r="3884">
      <c r="A3884" s="9"/>
      <c r="B3884" s="15"/>
      <c r="C3884" s="9">
        <f>IFERROR(__xludf.DUMMYFUNCTION("""COMPUTED_VALUE"""),45103.9936270138)</f>
        <v>45103.99363</v>
      </c>
      <c r="D3884" s="15">
        <f>IFERROR(__xludf.DUMMYFUNCTION("""COMPUTED_VALUE"""),1.005)</f>
        <v>1.005</v>
      </c>
      <c r="E3884" s="16">
        <f>IFERROR(__xludf.DUMMYFUNCTION("""COMPUTED_VALUE"""),70.0)</f>
        <v>70</v>
      </c>
      <c r="F3884" s="19" t="str">
        <f>IFERROR(__xludf.DUMMYFUNCTION("""COMPUTED_VALUE"""),"BLACK")</f>
        <v>BLACK</v>
      </c>
      <c r="G3884" s="20" t="str">
        <f>IFERROR(__xludf.DUMMYFUNCTION("""COMPUTED_VALUE"""),"Uncle Sams Cider (04/04/2023)")</f>
        <v>Uncle Sams Cider (04/04/2023)</v>
      </c>
      <c r="H3884" s="19"/>
    </row>
    <row r="3885">
      <c r="A3885" s="9"/>
      <c r="B3885" s="15"/>
      <c r="C3885" s="9">
        <f>IFERROR(__xludf.DUMMYFUNCTION("""COMPUTED_VALUE"""),45103.9831918287)</f>
        <v>45103.98319</v>
      </c>
      <c r="D3885" s="15">
        <f>IFERROR(__xludf.DUMMYFUNCTION("""COMPUTED_VALUE"""),1.005)</f>
        <v>1.005</v>
      </c>
      <c r="E3885" s="16">
        <f>IFERROR(__xludf.DUMMYFUNCTION("""COMPUTED_VALUE"""),70.0)</f>
        <v>70</v>
      </c>
      <c r="F3885" s="19" t="str">
        <f>IFERROR(__xludf.DUMMYFUNCTION("""COMPUTED_VALUE"""),"BLACK")</f>
        <v>BLACK</v>
      </c>
      <c r="G3885" s="20" t="str">
        <f>IFERROR(__xludf.DUMMYFUNCTION("""COMPUTED_VALUE"""),"Uncle Sams Cider (04/04/2023)")</f>
        <v>Uncle Sams Cider (04/04/2023)</v>
      </c>
      <c r="H3885" s="19"/>
    </row>
    <row r="3886">
      <c r="A3886" s="9"/>
      <c r="B3886" s="15"/>
      <c r="C3886" s="9">
        <f>IFERROR(__xludf.DUMMYFUNCTION("""COMPUTED_VALUE"""),45103.9727130902)</f>
        <v>45103.97271</v>
      </c>
      <c r="D3886" s="15">
        <f>IFERROR(__xludf.DUMMYFUNCTION("""COMPUTED_VALUE"""),1.005)</f>
        <v>1.005</v>
      </c>
      <c r="E3886" s="16">
        <f>IFERROR(__xludf.DUMMYFUNCTION("""COMPUTED_VALUE"""),70.0)</f>
        <v>70</v>
      </c>
      <c r="F3886" s="19" t="str">
        <f>IFERROR(__xludf.DUMMYFUNCTION("""COMPUTED_VALUE"""),"BLACK")</f>
        <v>BLACK</v>
      </c>
      <c r="G3886" s="20" t="str">
        <f>IFERROR(__xludf.DUMMYFUNCTION("""COMPUTED_VALUE"""),"Uncle Sams Cider (04/04/2023)")</f>
        <v>Uncle Sams Cider (04/04/2023)</v>
      </c>
      <c r="H3886" s="19"/>
    </row>
    <row r="3887">
      <c r="A3887" s="9"/>
      <c r="B3887" s="15"/>
      <c r="C3887" s="9">
        <f>IFERROR(__xludf.DUMMYFUNCTION("""COMPUTED_VALUE"""),45103.9622908449)</f>
        <v>45103.96229</v>
      </c>
      <c r="D3887" s="15">
        <f>IFERROR(__xludf.DUMMYFUNCTION("""COMPUTED_VALUE"""),1.005)</f>
        <v>1.005</v>
      </c>
      <c r="E3887" s="16">
        <f>IFERROR(__xludf.DUMMYFUNCTION("""COMPUTED_VALUE"""),70.0)</f>
        <v>70</v>
      </c>
      <c r="F3887" s="19" t="str">
        <f>IFERROR(__xludf.DUMMYFUNCTION("""COMPUTED_VALUE"""),"BLACK")</f>
        <v>BLACK</v>
      </c>
      <c r="G3887" s="20" t="str">
        <f>IFERROR(__xludf.DUMMYFUNCTION("""COMPUTED_VALUE"""),"Uncle Sams Cider (04/04/2023)")</f>
        <v>Uncle Sams Cider (04/04/2023)</v>
      </c>
      <c r="H3887" s="19"/>
    </row>
    <row r="3888">
      <c r="A3888" s="9"/>
      <c r="B3888" s="15"/>
      <c r="C3888" s="9">
        <f>IFERROR(__xludf.DUMMYFUNCTION("""COMPUTED_VALUE"""),45103.9518715625)</f>
        <v>45103.95187</v>
      </c>
      <c r="D3888" s="15">
        <f>IFERROR(__xludf.DUMMYFUNCTION("""COMPUTED_VALUE"""),1.004)</f>
        <v>1.004</v>
      </c>
      <c r="E3888" s="16">
        <f>IFERROR(__xludf.DUMMYFUNCTION("""COMPUTED_VALUE"""),70.0)</f>
        <v>70</v>
      </c>
      <c r="F3888" s="19" t="str">
        <f>IFERROR(__xludf.DUMMYFUNCTION("""COMPUTED_VALUE"""),"BLACK")</f>
        <v>BLACK</v>
      </c>
      <c r="G3888" s="20" t="str">
        <f>IFERROR(__xludf.DUMMYFUNCTION("""COMPUTED_VALUE"""),"Uncle Sams Cider (04/04/2023)")</f>
        <v>Uncle Sams Cider (04/04/2023)</v>
      </c>
      <c r="H3888" s="19"/>
    </row>
    <row r="3889">
      <c r="A3889" s="9"/>
      <c r="B3889" s="15"/>
      <c r="C3889" s="9">
        <f>IFERROR(__xludf.DUMMYFUNCTION("""COMPUTED_VALUE"""),45103.9414501157)</f>
        <v>45103.94145</v>
      </c>
      <c r="D3889" s="15">
        <f>IFERROR(__xludf.DUMMYFUNCTION("""COMPUTED_VALUE"""),1.005)</f>
        <v>1.005</v>
      </c>
      <c r="E3889" s="16">
        <f>IFERROR(__xludf.DUMMYFUNCTION("""COMPUTED_VALUE"""),70.0)</f>
        <v>70</v>
      </c>
      <c r="F3889" s="19" t="str">
        <f>IFERROR(__xludf.DUMMYFUNCTION("""COMPUTED_VALUE"""),"BLACK")</f>
        <v>BLACK</v>
      </c>
      <c r="G3889" s="20" t="str">
        <f>IFERROR(__xludf.DUMMYFUNCTION("""COMPUTED_VALUE"""),"Uncle Sams Cider (04/04/2023)")</f>
        <v>Uncle Sams Cider (04/04/2023)</v>
      </c>
      <c r="H3889" s="19"/>
    </row>
    <row r="3890">
      <c r="A3890" s="9"/>
      <c r="B3890" s="15"/>
      <c r="C3890" s="9">
        <f>IFERROR(__xludf.DUMMYFUNCTION("""COMPUTED_VALUE"""),45103.9310154282)</f>
        <v>45103.93102</v>
      </c>
      <c r="D3890" s="15">
        <f>IFERROR(__xludf.DUMMYFUNCTION("""COMPUTED_VALUE"""),1.005)</f>
        <v>1.005</v>
      </c>
      <c r="E3890" s="16">
        <f>IFERROR(__xludf.DUMMYFUNCTION("""COMPUTED_VALUE"""),70.0)</f>
        <v>70</v>
      </c>
      <c r="F3890" s="19" t="str">
        <f>IFERROR(__xludf.DUMMYFUNCTION("""COMPUTED_VALUE"""),"BLACK")</f>
        <v>BLACK</v>
      </c>
      <c r="G3890" s="20" t="str">
        <f>IFERROR(__xludf.DUMMYFUNCTION("""COMPUTED_VALUE"""),"Uncle Sams Cider (04/04/2023)")</f>
        <v>Uncle Sams Cider (04/04/2023)</v>
      </c>
      <c r="H3890" s="19"/>
    </row>
    <row r="3891">
      <c r="A3891" s="9"/>
      <c r="B3891" s="15"/>
      <c r="C3891" s="9">
        <f>IFERROR(__xludf.DUMMYFUNCTION("""COMPUTED_VALUE"""),45103.9205940972)</f>
        <v>45103.92059</v>
      </c>
      <c r="D3891" s="15">
        <f>IFERROR(__xludf.DUMMYFUNCTION("""COMPUTED_VALUE"""),1.005)</f>
        <v>1.005</v>
      </c>
      <c r="E3891" s="16">
        <f>IFERROR(__xludf.DUMMYFUNCTION("""COMPUTED_VALUE"""),70.0)</f>
        <v>70</v>
      </c>
      <c r="F3891" s="19" t="str">
        <f>IFERROR(__xludf.DUMMYFUNCTION("""COMPUTED_VALUE"""),"BLACK")</f>
        <v>BLACK</v>
      </c>
      <c r="G3891" s="20" t="str">
        <f>IFERROR(__xludf.DUMMYFUNCTION("""COMPUTED_VALUE"""),"Uncle Sams Cider (04/04/2023)")</f>
        <v>Uncle Sams Cider (04/04/2023)</v>
      </c>
      <c r="H3891" s="19"/>
    </row>
    <row r="3892">
      <c r="A3892" s="9"/>
      <c r="B3892" s="15"/>
      <c r="C3892" s="9">
        <f>IFERROR(__xludf.DUMMYFUNCTION("""COMPUTED_VALUE"""),45103.9101718634)</f>
        <v>45103.91017</v>
      </c>
      <c r="D3892" s="15">
        <f>IFERROR(__xludf.DUMMYFUNCTION("""COMPUTED_VALUE"""),1.005)</f>
        <v>1.005</v>
      </c>
      <c r="E3892" s="16">
        <f>IFERROR(__xludf.DUMMYFUNCTION("""COMPUTED_VALUE"""),70.0)</f>
        <v>70</v>
      </c>
      <c r="F3892" s="19" t="str">
        <f>IFERROR(__xludf.DUMMYFUNCTION("""COMPUTED_VALUE"""),"BLACK")</f>
        <v>BLACK</v>
      </c>
      <c r="G3892" s="20" t="str">
        <f>IFERROR(__xludf.DUMMYFUNCTION("""COMPUTED_VALUE"""),"Uncle Sams Cider (04/04/2023)")</f>
        <v>Uncle Sams Cider (04/04/2023)</v>
      </c>
      <c r="H3892" s="19"/>
    </row>
    <row r="3893">
      <c r="A3893" s="9"/>
      <c r="B3893" s="15"/>
      <c r="C3893" s="9">
        <f>IFERROR(__xludf.DUMMYFUNCTION("""COMPUTED_VALUE"""),45103.8997503703)</f>
        <v>45103.89975</v>
      </c>
      <c r="D3893" s="15">
        <f>IFERROR(__xludf.DUMMYFUNCTION("""COMPUTED_VALUE"""),1.005)</f>
        <v>1.005</v>
      </c>
      <c r="E3893" s="16">
        <f>IFERROR(__xludf.DUMMYFUNCTION("""COMPUTED_VALUE"""),70.0)</f>
        <v>70</v>
      </c>
      <c r="F3893" s="19" t="str">
        <f>IFERROR(__xludf.DUMMYFUNCTION("""COMPUTED_VALUE"""),"BLACK")</f>
        <v>BLACK</v>
      </c>
      <c r="G3893" s="20" t="str">
        <f>IFERROR(__xludf.DUMMYFUNCTION("""COMPUTED_VALUE"""),"Uncle Sams Cider (04/04/2023)")</f>
        <v>Uncle Sams Cider (04/04/2023)</v>
      </c>
      <c r="H3893" s="19"/>
    </row>
    <row r="3894">
      <c r="A3894" s="9"/>
      <c r="B3894" s="15"/>
      <c r="C3894" s="9">
        <f>IFERROR(__xludf.DUMMYFUNCTION("""COMPUTED_VALUE"""),45103.8893181018)</f>
        <v>45103.88932</v>
      </c>
      <c r="D3894" s="15">
        <f>IFERROR(__xludf.DUMMYFUNCTION("""COMPUTED_VALUE"""),1.005)</f>
        <v>1.005</v>
      </c>
      <c r="E3894" s="16">
        <f>IFERROR(__xludf.DUMMYFUNCTION("""COMPUTED_VALUE"""),70.0)</f>
        <v>70</v>
      </c>
      <c r="F3894" s="19" t="str">
        <f>IFERROR(__xludf.DUMMYFUNCTION("""COMPUTED_VALUE"""),"BLACK")</f>
        <v>BLACK</v>
      </c>
      <c r="G3894" s="20" t="str">
        <f>IFERROR(__xludf.DUMMYFUNCTION("""COMPUTED_VALUE"""),"Uncle Sams Cider (04/04/2023)")</f>
        <v>Uncle Sams Cider (04/04/2023)</v>
      </c>
      <c r="H3894" s="19"/>
    </row>
    <row r="3895">
      <c r="A3895" s="9"/>
      <c r="B3895" s="15"/>
      <c r="C3895" s="9">
        <f>IFERROR(__xludf.DUMMYFUNCTION("""COMPUTED_VALUE"""),45103.8788859027)</f>
        <v>45103.87889</v>
      </c>
      <c r="D3895" s="15">
        <f>IFERROR(__xludf.DUMMYFUNCTION("""COMPUTED_VALUE"""),1.005)</f>
        <v>1.005</v>
      </c>
      <c r="E3895" s="16">
        <f>IFERROR(__xludf.DUMMYFUNCTION("""COMPUTED_VALUE"""),70.0)</f>
        <v>70</v>
      </c>
      <c r="F3895" s="19" t="str">
        <f>IFERROR(__xludf.DUMMYFUNCTION("""COMPUTED_VALUE"""),"BLACK")</f>
        <v>BLACK</v>
      </c>
      <c r="G3895" s="20" t="str">
        <f>IFERROR(__xludf.DUMMYFUNCTION("""COMPUTED_VALUE"""),"Uncle Sams Cider (04/04/2023)")</f>
        <v>Uncle Sams Cider (04/04/2023)</v>
      </c>
      <c r="H3895" s="19"/>
    </row>
    <row r="3896">
      <c r="A3896" s="9"/>
      <c r="B3896" s="15"/>
      <c r="C3896" s="9">
        <f>IFERROR(__xludf.DUMMYFUNCTION("""COMPUTED_VALUE"""),45103.8684637384)</f>
        <v>45103.86846</v>
      </c>
      <c r="D3896" s="15">
        <f>IFERROR(__xludf.DUMMYFUNCTION("""COMPUTED_VALUE"""),1.005)</f>
        <v>1.005</v>
      </c>
      <c r="E3896" s="16">
        <f>IFERROR(__xludf.DUMMYFUNCTION("""COMPUTED_VALUE"""),70.0)</f>
        <v>70</v>
      </c>
      <c r="F3896" s="19" t="str">
        <f>IFERROR(__xludf.DUMMYFUNCTION("""COMPUTED_VALUE"""),"BLACK")</f>
        <v>BLACK</v>
      </c>
      <c r="G3896" s="20" t="str">
        <f>IFERROR(__xludf.DUMMYFUNCTION("""COMPUTED_VALUE"""),"Uncle Sams Cider (04/04/2023)")</f>
        <v>Uncle Sams Cider (04/04/2023)</v>
      </c>
      <c r="H3896" s="19"/>
    </row>
    <row r="3897">
      <c r="A3897" s="9"/>
      <c r="B3897" s="15"/>
      <c r="C3897" s="9">
        <f>IFERROR(__xludf.DUMMYFUNCTION("""COMPUTED_VALUE"""),45103.8580431828)</f>
        <v>45103.85804</v>
      </c>
      <c r="D3897" s="15">
        <f>IFERROR(__xludf.DUMMYFUNCTION("""COMPUTED_VALUE"""),1.004)</f>
        <v>1.004</v>
      </c>
      <c r="E3897" s="16">
        <f>IFERROR(__xludf.DUMMYFUNCTION("""COMPUTED_VALUE"""),70.0)</f>
        <v>70</v>
      </c>
      <c r="F3897" s="19" t="str">
        <f>IFERROR(__xludf.DUMMYFUNCTION("""COMPUTED_VALUE"""),"BLACK")</f>
        <v>BLACK</v>
      </c>
      <c r="G3897" s="20" t="str">
        <f>IFERROR(__xludf.DUMMYFUNCTION("""COMPUTED_VALUE"""),"Uncle Sams Cider (04/04/2023)")</f>
        <v>Uncle Sams Cider (04/04/2023)</v>
      </c>
      <c r="H3897" s="19"/>
    </row>
    <row r="3898">
      <c r="A3898" s="9"/>
      <c r="B3898" s="15"/>
      <c r="C3898" s="9">
        <f>IFERROR(__xludf.DUMMYFUNCTION("""COMPUTED_VALUE"""),45103.8476216435)</f>
        <v>45103.84762</v>
      </c>
      <c r="D3898" s="15">
        <f>IFERROR(__xludf.DUMMYFUNCTION("""COMPUTED_VALUE"""),1.005)</f>
        <v>1.005</v>
      </c>
      <c r="E3898" s="16">
        <f>IFERROR(__xludf.DUMMYFUNCTION("""COMPUTED_VALUE"""),70.0)</f>
        <v>70</v>
      </c>
      <c r="F3898" s="19" t="str">
        <f>IFERROR(__xludf.DUMMYFUNCTION("""COMPUTED_VALUE"""),"BLACK")</f>
        <v>BLACK</v>
      </c>
      <c r="G3898" s="20" t="str">
        <f>IFERROR(__xludf.DUMMYFUNCTION("""COMPUTED_VALUE"""),"Uncle Sams Cider (04/04/2023)")</f>
        <v>Uncle Sams Cider (04/04/2023)</v>
      </c>
      <c r="H3898" s="19"/>
    </row>
    <row r="3899">
      <c r="A3899" s="9"/>
      <c r="B3899" s="15"/>
      <c r="C3899" s="9">
        <f>IFERROR(__xludf.DUMMYFUNCTION("""COMPUTED_VALUE"""),45103.8371998148)</f>
        <v>45103.8372</v>
      </c>
      <c r="D3899" s="15">
        <f>IFERROR(__xludf.DUMMYFUNCTION("""COMPUTED_VALUE"""),1.005)</f>
        <v>1.005</v>
      </c>
      <c r="E3899" s="16">
        <f>IFERROR(__xludf.DUMMYFUNCTION("""COMPUTED_VALUE"""),70.0)</f>
        <v>70</v>
      </c>
      <c r="F3899" s="19" t="str">
        <f>IFERROR(__xludf.DUMMYFUNCTION("""COMPUTED_VALUE"""),"BLACK")</f>
        <v>BLACK</v>
      </c>
      <c r="G3899" s="20" t="str">
        <f>IFERROR(__xludf.DUMMYFUNCTION("""COMPUTED_VALUE"""),"Uncle Sams Cider (04/04/2023)")</f>
        <v>Uncle Sams Cider (04/04/2023)</v>
      </c>
      <c r="H3899" s="19"/>
    </row>
    <row r="3900">
      <c r="A3900" s="9"/>
      <c r="B3900" s="15"/>
      <c r="C3900" s="9">
        <f>IFERROR(__xludf.DUMMYFUNCTION("""COMPUTED_VALUE"""),45103.8267785532)</f>
        <v>45103.82678</v>
      </c>
      <c r="D3900" s="15">
        <f>IFERROR(__xludf.DUMMYFUNCTION("""COMPUTED_VALUE"""),1.005)</f>
        <v>1.005</v>
      </c>
      <c r="E3900" s="16">
        <f>IFERROR(__xludf.DUMMYFUNCTION("""COMPUTED_VALUE"""),70.0)</f>
        <v>70</v>
      </c>
      <c r="F3900" s="19" t="str">
        <f>IFERROR(__xludf.DUMMYFUNCTION("""COMPUTED_VALUE"""),"BLACK")</f>
        <v>BLACK</v>
      </c>
      <c r="G3900" s="20" t="str">
        <f>IFERROR(__xludf.DUMMYFUNCTION("""COMPUTED_VALUE"""),"Uncle Sams Cider (04/04/2023)")</f>
        <v>Uncle Sams Cider (04/04/2023)</v>
      </c>
      <c r="H3900" s="19"/>
    </row>
    <row r="3901">
      <c r="A3901" s="9"/>
      <c r="B3901" s="15"/>
      <c r="C3901" s="9">
        <f>IFERROR(__xludf.DUMMYFUNCTION("""COMPUTED_VALUE"""),45103.816345706)</f>
        <v>45103.81635</v>
      </c>
      <c r="D3901" s="15">
        <f>IFERROR(__xludf.DUMMYFUNCTION("""COMPUTED_VALUE"""),1.005)</f>
        <v>1.005</v>
      </c>
      <c r="E3901" s="16">
        <f>IFERROR(__xludf.DUMMYFUNCTION("""COMPUTED_VALUE"""),70.0)</f>
        <v>70</v>
      </c>
      <c r="F3901" s="19" t="str">
        <f>IFERROR(__xludf.DUMMYFUNCTION("""COMPUTED_VALUE"""),"BLACK")</f>
        <v>BLACK</v>
      </c>
      <c r="G3901" s="20" t="str">
        <f>IFERROR(__xludf.DUMMYFUNCTION("""COMPUTED_VALUE"""),"Uncle Sams Cider (04/04/2023)")</f>
        <v>Uncle Sams Cider (04/04/2023)</v>
      </c>
      <c r="H3901" s="19"/>
    </row>
    <row r="3902">
      <c r="A3902" s="9"/>
      <c r="B3902" s="15"/>
      <c r="C3902" s="9">
        <f>IFERROR(__xludf.DUMMYFUNCTION("""COMPUTED_VALUE"""),45103.8058900925)</f>
        <v>45103.80589</v>
      </c>
      <c r="D3902" s="15">
        <f>IFERROR(__xludf.DUMMYFUNCTION("""COMPUTED_VALUE"""),1.004)</f>
        <v>1.004</v>
      </c>
      <c r="E3902" s="16">
        <f>IFERROR(__xludf.DUMMYFUNCTION("""COMPUTED_VALUE"""),70.0)</f>
        <v>70</v>
      </c>
      <c r="F3902" s="19" t="str">
        <f>IFERROR(__xludf.DUMMYFUNCTION("""COMPUTED_VALUE"""),"BLACK")</f>
        <v>BLACK</v>
      </c>
      <c r="G3902" s="20" t="str">
        <f>IFERROR(__xludf.DUMMYFUNCTION("""COMPUTED_VALUE"""),"Uncle Sams Cider (04/04/2023)")</f>
        <v>Uncle Sams Cider (04/04/2023)</v>
      </c>
      <c r="H3902" s="19"/>
    </row>
    <row r="3903">
      <c r="A3903" s="9"/>
      <c r="B3903" s="15"/>
      <c r="C3903" s="9">
        <f>IFERROR(__xludf.DUMMYFUNCTION("""COMPUTED_VALUE"""),45103.7954679513)</f>
        <v>45103.79547</v>
      </c>
      <c r="D3903" s="15">
        <f>IFERROR(__xludf.DUMMYFUNCTION("""COMPUTED_VALUE"""),1.005)</f>
        <v>1.005</v>
      </c>
      <c r="E3903" s="16">
        <f>IFERROR(__xludf.DUMMYFUNCTION("""COMPUTED_VALUE"""),70.0)</f>
        <v>70</v>
      </c>
      <c r="F3903" s="19" t="str">
        <f>IFERROR(__xludf.DUMMYFUNCTION("""COMPUTED_VALUE"""),"BLACK")</f>
        <v>BLACK</v>
      </c>
      <c r="G3903" s="20" t="str">
        <f>IFERROR(__xludf.DUMMYFUNCTION("""COMPUTED_VALUE"""),"Uncle Sams Cider (04/04/2023)")</f>
        <v>Uncle Sams Cider (04/04/2023)</v>
      </c>
      <c r="H3903" s="19"/>
    </row>
    <row r="3904">
      <c r="A3904" s="9"/>
      <c r="B3904" s="15"/>
      <c r="C3904" s="9">
        <f>IFERROR(__xludf.DUMMYFUNCTION("""COMPUTED_VALUE"""),45103.785047662)</f>
        <v>45103.78505</v>
      </c>
      <c r="D3904" s="15">
        <f>IFERROR(__xludf.DUMMYFUNCTION("""COMPUTED_VALUE"""),1.005)</f>
        <v>1.005</v>
      </c>
      <c r="E3904" s="16">
        <f>IFERROR(__xludf.DUMMYFUNCTION("""COMPUTED_VALUE"""),70.0)</f>
        <v>70</v>
      </c>
      <c r="F3904" s="19" t="str">
        <f>IFERROR(__xludf.DUMMYFUNCTION("""COMPUTED_VALUE"""),"BLACK")</f>
        <v>BLACK</v>
      </c>
      <c r="G3904" s="20" t="str">
        <f>IFERROR(__xludf.DUMMYFUNCTION("""COMPUTED_VALUE"""),"Uncle Sams Cider (04/04/2023)")</f>
        <v>Uncle Sams Cider (04/04/2023)</v>
      </c>
      <c r="H3904" s="19"/>
    </row>
    <row r="3905">
      <c r="A3905" s="9"/>
      <c r="B3905" s="15"/>
      <c r="C3905" s="9">
        <f>IFERROR(__xludf.DUMMYFUNCTION("""COMPUTED_VALUE"""),45103.7746135185)</f>
        <v>45103.77461</v>
      </c>
      <c r="D3905" s="15">
        <f>IFERROR(__xludf.DUMMYFUNCTION("""COMPUTED_VALUE"""),1.004)</f>
        <v>1.004</v>
      </c>
      <c r="E3905" s="16">
        <f>IFERROR(__xludf.DUMMYFUNCTION("""COMPUTED_VALUE"""),70.0)</f>
        <v>70</v>
      </c>
      <c r="F3905" s="19" t="str">
        <f>IFERROR(__xludf.DUMMYFUNCTION("""COMPUTED_VALUE"""),"BLACK")</f>
        <v>BLACK</v>
      </c>
      <c r="G3905" s="20" t="str">
        <f>IFERROR(__xludf.DUMMYFUNCTION("""COMPUTED_VALUE"""),"Uncle Sams Cider (04/04/2023)")</f>
        <v>Uncle Sams Cider (04/04/2023)</v>
      </c>
      <c r="H3905" s="19"/>
    </row>
    <row r="3906">
      <c r="A3906" s="9"/>
      <c r="B3906" s="15"/>
      <c r="C3906" s="9">
        <f>IFERROR(__xludf.DUMMYFUNCTION("""COMPUTED_VALUE"""),45103.7641896527)</f>
        <v>45103.76419</v>
      </c>
      <c r="D3906" s="15">
        <f>IFERROR(__xludf.DUMMYFUNCTION("""COMPUTED_VALUE"""),1.005)</f>
        <v>1.005</v>
      </c>
      <c r="E3906" s="16">
        <f>IFERROR(__xludf.DUMMYFUNCTION("""COMPUTED_VALUE"""),70.0)</f>
        <v>70</v>
      </c>
      <c r="F3906" s="19" t="str">
        <f>IFERROR(__xludf.DUMMYFUNCTION("""COMPUTED_VALUE"""),"BLACK")</f>
        <v>BLACK</v>
      </c>
      <c r="G3906" s="20" t="str">
        <f>IFERROR(__xludf.DUMMYFUNCTION("""COMPUTED_VALUE"""),"Uncle Sams Cider (04/04/2023)")</f>
        <v>Uncle Sams Cider (04/04/2023)</v>
      </c>
      <c r="H3906" s="19"/>
    </row>
    <row r="3907">
      <c r="A3907" s="9"/>
      <c r="B3907" s="15"/>
      <c r="C3907" s="9">
        <f>IFERROR(__xludf.DUMMYFUNCTION("""COMPUTED_VALUE"""),45103.753768206)</f>
        <v>45103.75377</v>
      </c>
      <c r="D3907" s="15">
        <f>IFERROR(__xludf.DUMMYFUNCTION("""COMPUTED_VALUE"""),1.005)</f>
        <v>1.005</v>
      </c>
      <c r="E3907" s="16">
        <f>IFERROR(__xludf.DUMMYFUNCTION("""COMPUTED_VALUE"""),70.0)</f>
        <v>70</v>
      </c>
      <c r="F3907" s="19" t="str">
        <f>IFERROR(__xludf.DUMMYFUNCTION("""COMPUTED_VALUE"""),"BLACK")</f>
        <v>BLACK</v>
      </c>
      <c r="G3907" s="20" t="str">
        <f>IFERROR(__xludf.DUMMYFUNCTION("""COMPUTED_VALUE"""),"Uncle Sams Cider (04/04/2023)")</f>
        <v>Uncle Sams Cider (04/04/2023)</v>
      </c>
      <c r="H3907" s="19"/>
    </row>
    <row r="3908">
      <c r="A3908" s="9"/>
      <c r="B3908" s="15"/>
      <c r="C3908" s="9">
        <f>IFERROR(__xludf.DUMMYFUNCTION("""COMPUTED_VALUE"""),45103.7433457986)</f>
        <v>45103.74335</v>
      </c>
      <c r="D3908" s="15">
        <f>IFERROR(__xludf.DUMMYFUNCTION("""COMPUTED_VALUE"""),1.005)</f>
        <v>1.005</v>
      </c>
      <c r="E3908" s="16">
        <f>IFERROR(__xludf.DUMMYFUNCTION("""COMPUTED_VALUE"""),70.0)</f>
        <v>70</v>
      </c>
      <c r="F3908" s="19" t="str">
        <f>IFERROR(__xludf.DUMMYFUNCTION("""COMPUTED_VALUE"""),"BLACK")</f>
        <v>BLACK</v>
      </c>
      <c r="G3908" s="20" t="str">
        <f>IFERROR(__xludf.DUMMYFUNCTION("""COMPUTED_VALUE"""),"Uncle Sams Cider (04/04/2023)")</f>
        <v>Uncle Sams Cider (04/04/2023)</v>
      </c>
      <c r="H3908" s="19"/>
    </row>
    <row r="3909">
      <c r="A3909" s="9"/>
      <c r="B3909" s="15"/>
      <c r="C3909" s="9">
        <f>IFERROR(__xludf.DUMMYFUNCTION("""COMPUTED_VALUE"""),45103.7329229861)</f>
        <v>45103.73292</v>
      </c>
      <c r="D3909" s="15">
        <f>IFERROR(__xludf.DUMMYFUNCTION("""COMPUTED_VALUE"""),1.005)</f>
        <v>1.005</v>
      </c>
      <c r="E3909" s="16">
        <f>IFERROR(__xludf.DUMMYFUNCTION("""COMPUTED_VALUE"""),70.0)</f>
        <v>70</v>
      </c>
      <c r="F3909" s="19" t="str">
        <f>IFERROR(__xludf.DUMMYFUNCTION("""COMPUTED_VALUE"""),"BLACK")</f>
        <v>BLACK</v>
      </c>
      <c r="G3909" s="20" t="str">
        <f>IFERROR(__xludf.DUMMYFUNCTION("""COMPUTED_VALUE"""),"Uncle Sams Cider (04/04/2023)")</f>
        <v>Uncle Sams Cider (04/04/2023)</v>
      </c>
      <c r="H3909" s="19"/>
    </row>
    <row r="3910">
      <c r="A3910" s="9"/>
      <c r="B3910" s="15"/>
      <c r="C3910" s="9">
        <f>IFERROR(__xludf.DUMMYFUNCTION("""COMPUTED_VALUE"""),45103.7225023263)</f>
        <v>45103.7225</v>
      </c>
      <c r="D3910" s="15">
        <f>IFERROR(__xludf.DUMMYFUNCTION("""COMPUTED_VALUE"""),1.005)</f>
        <v>1.005</v>
      </c>
      <c r="E3910" s="16">
        <f>IFERROR(__xludf.DUMMYFUNCTION("""COMPUTED_VALUE"""),70.0)</f>
        <v>70</v>
      </c>
      <c r="F3910" s="19" t="str">
        <f>IFERROR(__xludf.DUMMYFUNCTION("""COMPUTED_VALUE"""),"BLACK")</f>
        <v>BLACK</v>
      </c>
      <c r="G3910" s="20" t="str">
        <f>IFERROR(__xludf.DUMMYFUNCTION("""COMPUTED_VALUE"""),"Uncle Sams Cider (04/04/2023)")</f>
        <v>Uncle Sams Cider (04/04/2023)</v>
      </c>
      <c r="H3910" s="19"/>
    </row>
    <row r="3911">
      <c r="A3911" s="9"/>
      <c r="B3911" s="15"/>
      <c r="C3911" s="9">
        <f>IFERROR(__xludf.DUMMYFUNCTION("""COMPUTED_VALUE"""),45103.7120808217)</f>
        <v>45103.71208</v>
      </c>
      <c r="D3911" s="15">
        <f>IFERROR(__xludf.DUMMYFUNCTION("""COMPUTED_VALUE"""),1.005)</f>
        <v>1.005</v>
      </c>
      <c r="E3911" s="16">
        <f>IFERROR(__xludf.DUMMYFUNCTION("""COMPUTED_VALUE"""),70.0)</f>
        <v>70</v>
      </c>
      <c r="F3911" s="19" t="str">
        <f>IFERROR(__xludf.DUMMYFUNCTION("""COMPUTED_VALUE"""),"BLACK")</f>
        <v>BLACK</v>
      </c>
      <c r="G3911" s="20" t="str">
        <f>IFERROR(__xludf.DUMMYFUNCTION("""COMPUTED_VALUE"""),"Uncle Sams Cider (04/04/2023)")</f>
        <v>Uncle Sams Cider (04/04/2023)</v>
      </c>
      <c r="H3911" s="19"/>
    </row>
    <row r="3912">
      <c r="A3912" s="9"/>
      <c r="B3912" s="15"/>
      <c r="C3912" s="9">
        <f>IFERROR(__xludf.DUMMYFUNCTION("""COMPUTED_VALUE"""),45103.7016593634)</f>
        <v>45103.70166</v>
      </c>
      <c r="D3912" s="15">
        <f>IFERROR(__xludf.DUMMYFUNCTION("""COMPUTED_VALUE"""),1.005)</f>
        <v>1.005</v>
      </c>
      <c r="E3912" s="16">
        <f>IFERROR(__xludf.DUMMYFUNCTION("""COMPUTED_VALUE"""),70.0)</f>
        <v>70</v>
      </c>
      <c r="F3912" s="19" t="str">
        <f>IFERROR(__xludf.DUMMYFUNCTION("""COMPUTED_VALUE"""),"BLACK")</f>
        <v>BLACK</v>
      </c>
      <c r="G3912" s="20" t="str">
        <f>IFERROR(__xludf.DUMMYFUNCTION("""COMPUTED_VALUE"""),"Uncle Sams Cider (04/04/2023)")</f>
        <v>Uncle Sams Cider (04/04/2023)</v>
      </c>
      <c r="H3912" s="19"/>
    </row>
    <row r="3913">
      <c r="A3913" s="9"/>
      <c r="B3913" s="15"/>
      <c r="C3913" s="9">
        <f>IFERROR(__xludf.DUMMYFUNCTION("""COMPUTED_VALUE"""),45103.6912392361)</f>
        <v>45103.69124</v>
      </c>
      <c r="D3913" s="15">
        <f>IFERROR(__xludf.DUMMYFUNCTION("""COMPUTED_VALUE"""),1.005)</f>
        <v>1.005</v>
      </c>
      <c r="E3913" s="16">
        <f>IFERROR(__xludf.DUMMYFUNCTION("""COMPUTED_VALUE"""),70.0)</f>
        <v>70</v>
      </c>
      <c r="F3913" s="19" t="str">
        <f>IFERROR(__xludf.DUMMYFUNCTION("""COMPUTED_VALUE"""),"BLACK")</f>
        <v>BLACK</v>
      </c>
      <c r="G3913" s="20" t="str">
        <f>IFERROR(__xludf.DUMMYFUNCTION("""COMPUTED_VALUE"""),"Uncle Sams Cider (04/04/2023)")</f>
        <v>Uncle Sams Cider (04/04/2023)</v>
      </c>
      <c r="H3913" s="19"/>
    </row>
    <row r="3914">
      <c r="A3914" s="9"/>
      <c r="B3914" s="15"/>
      <c r="C3914" s="9">
        <f>IFERROR(__xludf.DUMMYFUNCTION("""COMPUTED_VALUE"""),45103.6808066088)</f>
        <v>45103.68081</v>
      </c>
      <c r="D3914" s="15">
        <f>IFERROR(__xludf.DUMMYFUNCTION("""COMPUTED_VALUE"""),1.005)</f>
        <v>1.005</v>
      </c>
      <c r="E3914" s="16">
        <f>IFERROR(__xludf.DUMMYFUNCTION("""COMPUTED_VALUE"""),70.0)</f>
        <v>70</v>
      </c>
      <c r="F3914" s="19" t="str">
        <f>IFERROR(__xludf.DUMMYFUNCTION("""COMPUTED_VALUE"""),"BLACK")</f>
        <v>BLACK</v>
      </c>
      <c r="G3914" s="20" t="str">
        <f>IFERROR(__xludf.DUMMYFUNCTION("""COMPUTED_VALUE"""),"Uncle Sams Cider (04/04/2023)")</f>
        <v>Uncle Sams Cider (04/04/2023)</v>
      </c>
      <c r="H3914" s="19"/>
    </row>
    <row r="3915">
      <c r="A3915" s="9"/>
      <c r="B3915" s="15"/>
      <c r="C3915" s="9">
        <f>IFERROR(__xludf.DUMMYFUNCTION("""COMPUTED_VALUE"""),45103.6703863541)</f>
        <v>45103.67039</v>
      </c>
      <c r="D3915" s="15">
        <f>IFERROR(__xludf.DUMMYFUNCTION("""COMPUTED_VALUE"""),1.005)</f>
        <v>1.005</v>
      </c>
      <c r="E3915" s="16">
        <f>IFERROR(__xludf.DUMMYFUNCTION("""COMPUTED_VALUE"""),70.0)</f>
        <v>70</v>
      </c>
      <c r="F3915" s="19" t="str">
        <f>IFERROR(__xludf.DUMMYFUNCTION("""COMPUTED_VALUE"""),"BLACK")</f>
        <v>BLACK</v>
      </c>
      <c r="G3915" s="20" t="str">
        <f>IFERROR(__xludf.DUMMYFUNCTION("""COMPUTED_VALUE"""),"Uncle Sams Cider (04/04/2023)")</f>
        <v>Uncle Sams Cider (04/04/2023)</v>
      </c>
      <c r="H3915" s="19"/>
    </row>
    <row r="3916">
      <c r="A3916" s="9"/>
      <c r="B3916" s="15"/>
      <c r="C3916" s="9">
        <f>IFERROR(__xludf.DUMMYFUNCTION("""COMPUTED_VALUE"""),45103.6599652893)</f>
        <v>45103.65997</v>
      </c>
      <c r="D3916" s="15">
        <f>IFERROR(__xludf.DUMMYFUNCTION("""COMPUTED_VALUE"""),1.005)</f>
        <v>1.005</v>
      </c>
      <c r="E3916" s="16">
        <f>IFERROR(__xludf.DUMMYFUNCTION("""COMPUTED_VALUE"""),70.0)</f>
        <v>70</v>
      </c>
      <c r="F3916" s="19" t="str">
        <f>IFERROR(__xludf.DUMMYFUNCTION("""COMPUTED_VALUE"""),"BLACK")</f>
        <v>BLACK</v>
      </c>
      <c r="G3916" s="20" t="str">
        <f>IFERROR(__xludf.DUMMYFUNCTION("""COMPUTED_VALUE"""),"Uncle Sams Cider (04/04/2023)")</f>
        <v>Uncle Sams Cider (04/04/2023)</v>
      </c>
      <c r="H3916" s="19"/>
    </row>
    <row r="3917">
      <c r="A3917" s="9"/>
      <c r="B3917" s="15"/>
      <c r="C3917" s="9">
        <f>IFERROR(__xludf.DUMMYFUNCTION("""COMPUTED_VALUE"""),45103.6495446527)</f>
        <v>45103.64954</v>
      </c>
      <c r="D3917" s="15">
        <f>IFERROR(__xludf.DUMMYFUNCTION("""COMPUTED_VALUE"""),1.005)</f>
        <v>1.005</v>
      </c>
      <c r="E3917" s="16">
        <f>IFERROR(__xludf.DUMMYFUNCTION("""COMPUTED_VALUE"""),70.0)</f>
        <v>70</v>
      </c>
      <c r="F3917" s="19" t="str">
        <f>IFERROR(__xludf.DUMMYFUNCTION("""COMPUTED_VALUE"""),"BLACK")</f>
        <v>BLACK</v>
      </c>
      <c r="G3917" s="20" t="str">
        <f>IFERROR(__xludf.DUMMYFUNCTION("""COMPUTED_VALUE"""),"Uncle Sams Cider (04/04/2023)")</f>
        <v>Uncle Sams Cider (04/04/2023)</v>
      </c>
      <c r="H3917" s="19"/>
    </row>
    <row r="3918">
      <c r="A3918" s="9"/>
      <c r="B3918" s="15"/>
      <c r="C3918" s="9">
        <f>IFERROR(__xludf.DUMMYFUNCTION("""COMPUTED_VALUE"""),45103.63911228)</f>
        <v>45103.63911</v>
      </c>
      <c r="D3918" s="15">
        <f>IFERROR(__xludf.DUMMYFUNCTION("""COMPUTED_VALUE"""),1.005)</f>
        <v>1.005</v>
      </c>
      <c r="E3918" s="16">
        <f>IFERROR(__xludf.DUMMYFUNCTION("""COMPUTED_VALUE"""),70.0)</f>
        <v>70</v>
      </c>
      <c r="F3918" s="19" t="str">
        <f>IFERROR(__xludf.DUMMYFUNCTION("""COMPUTED_VALUE"""),"BLACK")</f>
        <v>BLACK</v>
      </c>
      <c r="G3918" s="20" t="str">
        <f>IFERROR(__xludf.DUMMYFUNCTION("""COMPUTED_VALUE"""),"Uncle Sams Cider (04/04/2023)")</f>
        <v>Uncle Sams Cider (04/04/2023)</v>
      </c>
      <c r="H3918" s="19"/>
    </row>
    <row r="3919">
      <c r="A3919" s="9"/>
      <c r="B3919" s="15"/>
      <c r="C3919" s="9">
        <f>IFERROR(__xludf.DUMMYFUNCTION("""COMPUTED_VALUE"""),45103.6286907407)</f>
        <v>45103.62869</v>
      </c>
      <c r="D3919" s="15">
        <f>IFERROR(__xludf.DUMMYFUNCTION("""COMPUTED_VALUE"""),1.005)</f>
        <v>1.005</v>
      </c>
      <c r="E3919" s="16">
        <f>IFERROR(__xludf.DUMMYFUNCTION("""COMPUTED_VALUE"""),70.0)</f>
        <v>70</v>
      </c>
      <c r="F3919" s="19" t="str">
        <f>IFERROR(__xludf.DUMMYFUNCTION("""COMPUTED_VALUE"""),"BLACK")</f>
        <v>BLACK</v>
      </c>
      <c r="G3919" s="20" t="str">
        <f>IFERROR(__xludf.DUMMYFUNCTION("""COMPUTED_VALUE"""),"Uncle Sams Cider (04/04/2023)")</f>
        <v>Uncle Sams Cider (04/04/2023)</v>
      </c>
      <c r="H3919" s="19"/>
    </row>
    <row r="3920">
      <c r="A3920" s="9"/>
      <c r="B3920" s="15"/>
      <c r="C3920" s="9">
        <f>IFERROR(__xludf.DUMMYFUNCTION("""COMPUTED_VALUE"""),45103.6182706481)</f>
        <v>45103.61827</v>
      </c>
      <c r="D3920" s="15">
        <f>IFERROR(__xludf.DUMMYFUNCTION("""COMPUTED_VALUE"""),1.005)</f>
        <v>1.005</v>
      </c>
      <c r="E3920" s="16">
        <f>IFERROR(__xludf.DUMMYFUNCTION("""COMPUTED_VALUE"""),70.0)</f>
        <v>70</v>
      </c>
      <c r="F3920" s="19" t="str">
        <f>IFERROR(__xludf.DUMMYFUNCTION("""COMPUTED_VALUE"""),"BLACK")</f>
        <v>BLACK</v>
      </c>
      <c r="G3920" s="20" t="str">
        <f>IFERROR(__xludf.DUMMYFUNCTION("""COMPUTED_VALUE"""),"Uncle Sams Cider (04/04/2023)")</f>
        <v>Uncle Sams Cider (04/04/2023)</v>
      </c>
      <c r="H3920" s="19"/>
    </row>
    <row r="3921">
      <c r="A3921" s="9"/>
      <c r="B3921" s="15"/>
      <c r="C3921" s="9">
        <f>IFERROR(__xludf.DUMMYFUNCTION("""COMPUTED_VALUE"""),45103.6078485763)</f>
        <v>45103.60785</v>
      </c>
      <c r="D3921" s="15">
        <f>IFERROR(__xludf.DUMMYFUNCTION("""COMPUTED_VALUE"""),1.005)</f>
        <v>1.005</v>
      </c>
      <c r="E3921" s="16">
        <f>IFERROR(__xludf.DUMMYFUNCTION("""COMPUTED_VALUE"""),70.0)</f>
        <v>70</v>
      </c>
      <c r="F3921" s="19" t="str">
        <f>IFERROR(__xludf.DUMMYFUNCTION("""COMPUTED_VALUE"""),"BLACK")</f>
        <v>BLACK</v>
      </c>
      <c r="G3921" s="20" t="str">
        <f>IFERROR(__xludf.DUMMYFUNCTION("""COMPUTED_VALUE"""),"Uncle Sams Cider (04/04/2023)")</f>
        <v>Uncle Sams Cider (04/04/2023)</v>
      </c>
      <c r="H3921" s="19"/>
    </row>
    <row r="3922">
      <c r="A3922" s="9"/>
      <c r="B3922" s="15"/>
      <c r="C3922" s="9">
        <f>IFERROR(__xludf.DUMMYFUNCTION("""COMPUTED_VALUE"""),45103.5974260185)</f>
        <v>45103.59743</v>
      </c>
      <c r="D3922" s="15">
        <f>IFERROR(__xludf.DUMMYFUNCTION("""COMPUTED_VALUE"""),1.005)</f>
        <v>1.005</v>
      </c>
      <c r="E3922" s="16">
        <f>IFERROR(__xludf.DUMMYFUNCTION("""COMPUTED_VALUE"""),70.0)</f>
        <v>70</v>
      </c>
      <c r="F3922" s="19" t="str">
        <f>IFERROR(__xludf.DUMMYFUNCTION("""COMPUTED_VALUE"""),"BLACK")</f>
        <v>BLACK</v>
      </c>
      <c r="G3922" s="20" t="str">
        <f>IFERROR(__xludf.DUMMYFUNCTION("""COMPUTED_VALUE"""),"Uncle Sams Cider (04/04/2023)")</f>
        <v>Uncle Sams Cider (04/04/2023)</v>
      </c>
      <c r="H3922" s="19"/>
    </row>
    <row r="3923">
      <c r="A3923" s="9"/>
      <c r="B3923" s="15"/>
      <c r="C3923" s="9">
        <f>IFERROR(__xludf.DUMMYFUNCTION("""COMPUTED_VALUE"""),45103.5869931018)</f>
        <v>45103.58699</v>
      </c>
      <c r="D3923" s="15">
        <f>IFERROR(__xludf.DUMMYFUNCTION("""COMPUTED_VALUE"""),1.005)</f>
        <v>1.005</v>
      </c>
      <c r="E3923" s="16">
        <f>IFERROR(__xludf.DUMMYFUNCTION("""COMPUTED_VALUE"""),70.0)</f>
        <v>70</v>
      </c>
      <c r="F3923" s="19" t="str">
        <f>IFERROR(__xludf.DUMMYFUNCTION("""COMPUTED_VALUE"""),"BLACK")</f>
        <v>BLACK</v>
      </c>
      <c r="G3923" s="20" t="str">
        <f>IFERROR(__xludf.DUMMYFUNCTION("""COMPUTED_VALUE"""),"Uncle Sams Cider (04/04/2023)")</f>
        <v>Uncle Sams Cider (04/04/2023)</v>
      </c>
      <c r="H3923" s="19"/>
    </row>
    <row r="3924">
      <c r="A3924" s="9"/>
      <c r="B3924" s="15"/>
      <c r="C3924" s="9">
        <f>IFERROR(__xludf.DUMMYFUNCTION("""COMPUTED_VALUE"""),45103.576570949)</f>
        <v>45103.57657</v>
      </c>
      <c r="D3924" s="15">
        <f>IFERROR(__xludf.DUMMYFUNCTION("""COMPUTED_VALUE"""),1.005)</f>
        <v>1.005</v>
      </c>
      <c r="E3924" s="16">
        <f>IFERROR(__xludf.DUMMYFUNCTION("""COMPUTED_VALUE"""),70.0)</f>
        <v>70</v>
      </c>
      <c r="F3924" s="19" t="str">
        <f>IFERROR(__xludf.DUMMYFUNCTION("""COMPUTED_VALUE"""),"BLACK")</f>
        <v>BLACK</v>
      </c>
      <c r="G3924" s="20" t="str">
        <f>IFERROR(__xludf.DUMMYFUNCTION("""COMPUTED_VALUE"""),"Uncle Sams Cider (04/04/2023)")</f>
        <v>Uncle Sams Cider (04/04/2023)</v>
      </c>
      <c r="H3924" s="19"/>
    </row>
    <row r="3925">
      <c r="A3925" s="9"/>
      <c r="B3925" s="15"/>
      <c r="C3925" s="9">
        <f>IFERROR(__xludf.DUMMYFUNCTION("""COMPUTED_VALUE"""),45103.5661505671)</f>
        <v>45103.56615</v>
      </c>
      <c r="D3925" s="15">
        <f>IFERROR(__xludf.DUMMYFUNCTION("""COMPUTED_VALUE"""),1.005)</f>
        <v>1.005</v>
      </c>
      <c r="E3925" s="16">
        <f>IFERROR(__xludf.DUMMYFUNCTION("""COMPUTED_VALUE"""),70.0)</f>
        <v>70</v>
      </c>
      <c r="F3925" s="19" t="str">
        <f>IFERROR(__xludf.DUMMYFUNCTION("""COMPUTED_VALUE"""),"BLACK")</f>
        <v>BLACK</v>
      </c>
      <c r="G3925" s="20" t="str">
        <f>IFERROR(__xludf.DUMMYFUNCTION("""COMPUTED_VALUE"""),"Uncle Sams Cider (04/04/2023)")</f>
        <v>Uncle Sams Cider (04/04/2023)</v>
      </c>
      <c r="H3925" s="19"/>
    </row>
    <row r="3926">
      <c r="A3926" s="9"/>
      <c r="B3926" s="15"/>
      <c r="C3926" s="9">
        <f>IFERROR(__xludf.DUMMYFUNCTION("""COMPUTED_VALUE"""),45103.5556947453)</f>
        <v>45103.55569</v>
      </c>
      <c r="D3926" s="15">
        <f>IFERROR(__xludf.DUMMYFUNCTION("""COMPUTED_VALUE"""),1.005)</f>
        <v>1.005</v>
      </c>
      <c r="E3926" s="16">
        <f>IFERROR(__xludf.DUMMYFUNCTION("""COMPUTED_VALUE"""),70.0)</f>
        <v>70</v>
      </c>
      <c r="F3926" s="19" t="str">
        <f>IFERROR(__xludf.DUMMYFUNCTION("""COMPUTED_VALUE"""),"BLACK")</f>
        <v>BLACK</v>
      </c>
      <c r="G3926" s="20" t="str">
        <f>IFERROR(__xludf.DUMMYFUNCTION("""COMPUTED_VALUE"""),"Uncle Sams Cider (04/04/2023)")</f>
        <v>Uncle Sams Cider (04/04/2023)</v>
      </c>
      <c r="H3926" s="19"/>
    </row>
    <row r="3927">
      <c r="A3927" s="9"/>
      <c r="B3927" s="15"/>
      <c r="C3927" s="9">
        <f>IFERROR(__xludf.DUMMYFUNCTION("""COMPUTED_VALUE"""),45103.5452617939)</f>
        <v>45103.54526</v>
      </c>
      <c r="D3927" s="15">
        <f>IFERROR(__xludf.DUMMYFUNCTION("""COMPUTED_VALUE"""),1.005)</f>
        <v>1.005</v>
      </c>
      <c r="E3927" s="16">
        <f>IFERROR(__xludf.DUMMYFUNCTION("""COMPUTED_VALUE"""),70.0)</f>
        <v>70</v>
      </c>
      <c r="F3927" s="19" t="str">
        <f>IFERROR(__xludf.DUMMYFUNCTION("""COMPUTED_VALUE"""),"BLACK")</f>
        <v>BLACK</v>
      </c>
      <c r="G3927" s="20" t="str">
        <f>IFERROR(__xludf.DUMMYFUNCTION("""COMPUTED_VALUE"""),"Uncle Sams Cider (04/04/2023)")</f>
        <v>Uncle Sams Cider (04/04/2023)</v>
      </c>
      <c r="H3927" s="19"/>
    </row>
    <row r="3928">
      <c r="A3928" s="9"/>
      <c r="B3928" s="15"/>
      <c r="C3928" s="9">
        <f>IFERROR(__xludf.DUMMYFUNCTION("""COMPUTED_VALUE"""),45103.5348404976)</f>
        <v>45103.53484</v>
      </c>
      <c r="D3928" s="15">
        <f>IFERROR(__xludf.DUMMYFUNCTION("""COMPUTED_VALUE"""),1.004)</f>
        <v>1.004</v>
      </c>
      <c r="E3928" s="16">
        <f>IFERROR(__xludf.DUMMYFUNCTION("""COMPUTED_VALUE"""),70.0)</f>
        <v>70</v>
      </c>
      <c r="F3928" s="19" t="str">
        <f>IFERROR(__xludf.DUMMYFUNCTION("""COMPUTED_VALUE"""),"BLACK")</f>
        <v>BLACK</v>
      </c>
      <c r="G3928" s="20" t="str">
        <f>IFERROR(__xludf.DUMMYFUNCTION("""COMPUTED_VALUE"""),"Uncle Sams Cider (04/04/2023)")</f>
        <v>Uncle Sams Cider (04/04/2023)</v>
      </c>
      <c r="H3928" s="19"/>
    </row>
    <row r="3929">
      <c r="A3929" s="9"/>
      <c r="B3929" s="15"/>
      <c r="C3929" s="9">
        <f>IFERROR(__xludf.DUMMYFUNCTION("""COMPUTED_VALUE"""),45103.5244185995)</f>
        <v>45103.52442</v>
      </c>
      <c r="D3929" s="15">
        <f>IFERROR(__xludf.DUMMYFUNCTION("""COMPUTED_VALUE"""),1.005)</f>
        <v>1.005</v>
      </c>
      <c r="E3929" s="16">
        <f>IFERROR(__xludf.DUMMYFUNCTION("""COMPUTED_VALUE"""),70.0)</f>
        <v>70</v>
      </c>
      <c r="F3929" s="19" t="str">
        <f>IFERROR(__xludf.DUMMYFUNCTION("""COMPUTED_VALUE"""),"BLACK")</f>
        <v>BLACK</v>
      </c>
      <c r="G3929" s="20" t="str">
        <f>IFERROR(__xludf.DUMMYFUNCTION("""COMPUTED_VALUE"""),"Uncle Sams Cider (04/04/2023)")</f>
        <v>Uncle Sams Cider (04/04/2023)</v>
      </c>
      <c r="H3929" s="19"/>
    </row>
    <row r="3930">
      <c r="A3930" s="9"/>
      <c r="B3930" s="15"/>
      <c r="C3930" s="9">
        <f>IFERROR(__xludf.DUMMYFUNCTION("""COMPUTED_VALUE"""),45103.51399625)</f>
        <v>45103.514</v>
      </c>
      <c r="D3930" s="15">
        <f>IFERROR(__xludf.DUMMYFUNCTION("""COMPUTED_VALUE"""),1.005)</f>
        <v>1.005</v>
      </c>
      <c r="E3930" s="16">
        <f>IFERROR(__xludf.DUMMYFUNCTION("""COMPUTED_VALUE"""),70.0)</f>
        <v>70</v>
      </c>
      <c r="F3930" s="19" t="str">
        <f>IFERROR(__xludf.DUMMYFUNCTION("""COMPUTED_VALUE"""),"BLACK")</f>
        <v>BLACK</v>
      </c>
      <c r="G3930" s="20" t="str">
        <f>IFERROR(__xludf.DUMMYFUNCTION("""COMPUTED_VALUE"""),"Uncle Sams Cider (04/04/2023)")</f>
        <v>Uncle Sams Cider (04/04/2023)</v>
      </c>
      <c r="H3930" s="19"/>
    </row>
    <row r="3931">
      <c r="A3931" s="9"/>
      <c r="B3931" s="15"/>
      <c r="C3931" s="9">
        <f>IFERROR(__xludf.DUMMYFUNCTION("""COMPUTED_VALUE"""),45103.5035765277)</f>
        <v>45103.50358</v>
      </c>
      <c r="D3931" s="15">
        <f>IFERROR(__xludf.DUMMYFUNCTION("""COMPUTED_VALUE"""),1.005)</f>
        <v>1.005</v>
      </c>
      <c r="E3931" s="16">
        <f>IFERROR(__xludf.DUMMYFUNCTION("""COMPUTED_VALUE"""),70.0)</f>
        <v>70</v>
      </c>
      <c r="F3931" s="19" t="str">
        <f>IFERROR(__xludf.DUMMYFUNCTION("""COMPUTED_VALUE"""),"BLACK")</f>
        <v>BLACK</v>
      </c>
      <c r="G3931" s="20" t="str">
        <f>IFERROR(__xludf.DUMMYFUNCTION("""COMPUTED_VALUE"""),"Uncle Sams Cider (04/04/2023)")</f>
        <v>Uncle Sams Cider (04/04/2023)</v>
      </c>
      <c r="H3931" s="19"/>
    </row>
    <row r="3932">
      <c r="A3932" s="9"/>
      <c r="B3932" s="15"/>
      <c r="C3932" s="9">
        <f>IFERROR(__xludf.DUMMYFUNCTION("""COMPUTED_VALUE"""),45103.4931429513)</f>
        <v>45103.49314</v>
      </c>
      <c r="D3932" s="15">
        <f>IFERROR(__xludf.DUMMYFUNCTION("""COMPUTED_VALUE"""),1.005)</f>
        <v>1.005</v>
      </c>
      <c r="E3932" s="16">
        <f>IFERROR(__xludf.DUMMYFUNCTION("""COMPUTED_VALUE"""),70.0)</f>
        <v>70</v>
      </c>
      <c r="F3932" s="19" t="str">
        <f>IFERROR(__xludf.DUMMYFUNCTION("""COMPUTED_VALUE"""),"BLACK")</f>
        <v>BLACK</v>
      </c>
      <c r="G3932" s="20" t="str">
        <f>IFERROR(__xludf.DUMMYFUNCTION("""COMPUTED_VALUE"""),"Uncle Sams Cider (04/04/2023)")</f>
        <v>Uncle Sams Cider (04/04/2023)</v>
      </c>
      <c r="H3932" s="19"/>
    </row>
    <row r="3933">
      <c r="A3933" s="9"/>
      <c r="B3933" s="15"/>
      <c r="C3933" s="9">
        <f>IFERROR(__xludf.DUMMYFUNCTION("""COMPUTED_VALUE"""),45103.4827241203)</f>
        <v>45103.48272</v>
      </c>
      <c r="D3933" s="15">
        <f>IFERROR(__xludf.DUMMYFUNCTION("""COMPUTED_VALUE"""),1.005)</f>
        <v>1.005</v>
      </c>
      <c r="E3933" s="16">
        <f>IFERROR(__xludf.DUMMYFUNCTION("""COMPUTED_VALUE"""),70.0)</f>
        <v>70</v>
      </c>
      <c r="F3933" s="19" t="str">
        <f>IFERROR(__xludf.DUMMYFUNCTION("""COMPUTED_VALUE"""),"BLACK")</f>
        <v>BLACK</v>
      </c>
      <c r="G3933" s="20" t="str">
        <f>IFERROR(__xludf.DUMMYFUNCTION("""COMPUTED_VALUE"""),"Uncle Sams Cider (04/04/2023)")</f>
        <v>Uncle Sams Cider (04/04/2023)</v>
      </c>
      <c r="H3933" s="19"/>
    </row>
    <row r="3934">
      <c r="A3934" s="9"/>
      <c r="B3934" s="15"/>
      <c r="C3934" s="9">
        <f>IFERROR(__xludf.DUMMYFUNCTION("""COMPUTED_VALUE"""),45103.4723033796)</f>
        <v>45103.4723</v>
      </c>
      <c r="D3934" s="15">
        <f>IFERROR(__xludf.DUMMYFUNCTION("""COMPUTED_VALUE"""),1.005)</f>
        <v>1.005</v>
      </c>
      <c r="E3934" s="16">
        <f>IFERROR(__xludf.DUMMYFUNCTION("""COMPUTED_VALUE"""),70.0)</f>
        <v>70</v>
      </c>
      <c r="F3934" s="19" t="str">
        <f>IFERROR(__xludf.DUMMYFUNCTION("""COMPUTED_VALUE"""),"BLACK")</f>
        <v>BLACK</v>
      </c>
      <c r="G3934" s="20" t="str">
        <f>IFERROR(__xludf.DUMMYFUNCTION("""COMPUTED_VALUE"""),"Uncle Sams Cider (04/04/2023)")</f>
        <v>Uncle Sams Cider (04/04/2023)</v>
      </c>
      <c r="H3934" s="19"/>
    </row>
    <row r="3935">
      <c r="A3935" s="9"/>
      <c r="B3935" s="15"/>
      <c r="C3935" s="9">
        <f>IFERROR(__xludf.DUMMYFUNCTION("""COMPUTED_VALUE"""),45103.4618811342)</f>
        <v>45103.46188</v>
      </c>
      <c r="D3935" s="15">
        <f>IFERROR(__xludf.DUMMYFUNCTION("""COMPUTED_VALUE"""),1.005)</f>
        <v>1.005</v>
      </c>
      <c r="E3935" s="16">
        <f>IFERROR(__xludf.DUMMYFUNCTION("""COMPUTED_VALUE"""),70.0)</f>
        <v>70</v>
      </c>
      <c r="F3935" s="19" t="str">
        <f>IFERROR(__xludf.DUMMYFUNCTION("""COMPUTED_VALUE"""),"BLACK")</f>
        <v>BLACK</v>
      </c>
      <c r="G3935" s="20" t="str">
        <f>IFERROR(__xludf.DUMMYFUNCTION("""COMPUTED_VALUE"""),"Uncle Sams Cider (04/04/2023)")</f>
        <v>Uncle Sams Cider (04/04/2023)</v>
      </c>
      <c r="H3935" s="19"/>
    </row>
    <row r="3936">
      <c r="A3936" s="9"/>
      <c r="B3936" s="15"/>
      <c r="C3936" s="9">
        <f>IFERROR(__xludf.DUMMYFUNCTION("""COMPUTED_VALUE"""),45103.451425081)</f>
        <v>45103.45143</v>
      </c>
      <c r="D3936" s="15">
        <f>IFERROR(__xludf.DUMMYFUNCTION("""COMPUTED_VALUE"""),1.004)</f>
        <v>1.004</v>
      </c>
      <c r="E3936" s="16">
        <f>IFERROR(__xludf.DUMMYFUNCTION("""COMPUTED_VALUE"""),70.0)</f>
        <v>70</v>
      </c>
      <c r="F3936" s="19" t="str">
        <f>IFERROR(__xludf.DUMMYFUNCTION("""COMPUTED_VALUE"""),"BLACK")</f>
        <v>BLACK</v>
      </c>
      <c r="G3936" s="20" t="str">
        <f>IFERROR(__xludf.DUMMYFUNCTION("""COMPUTED_VALUE"""),"Uncle Sams Cider (04/04/2023)")</f>
        <v>Uncle Sams Cider (04/04/2023)</v>
      </c>
      <c r="H3936" s="19"/>
    </row>
    <row r="3937">
      <c r="A3937" s="9"/>
      <c r="B3937" s="15"/>
      <c r="C3937" s="9">
        <f>IFERROR(__xludf.DUMMYFUNCTION("""COMPUTED_VALUE"""),45103.4410044213)</f>
        <v>45103.441</v>
      </c>
      <c r="D3937" s="15">
        <f>IFERROR(__xludf.DUMMYFUNCTION("""COMPUTED_VALUE"""),1.005)</f>
        <v>1.005</v>
      </c>
      <c r="E3937" s="16">
        <f>IFERROR(__xludf.DUMMYFUNCTION("""COMPUTED_VALUE"""),70.0)</f>
        <v>70</v>
      </c>
      <c r="F3937" s="19" t="str">
        <f>IFERROR(__xludf.DUMMYFUNCTION("""COMPUTED_VALUE"""),"BLACK")</f>
        <v>BLACK</v>
      </c>
      <c r="G3937" s="20" t="str">
        <f>IFERROR(__xludf.DUMMYFUNCTION("""COMPUTED_VALUE"""),"Uncle Sams Cider (04/04/2023)")</f>
        <v>Uncle Sams Cider (04/04/2023)</v>
      </c>
      <c r="H3937" s="19"/>
    </row>
    <row r="3938">
      <c r="A3938" s="9"/>
      <c r="B3938" s="15"/>
      <c r="C3938" s="9">
        <f>IFERROR(__xludf.DUMMYFUNCTION("""COMPUTED_VALUE"""),45103.4305834838)</f>
        <v>45103.43058</v>
      </c>
      <c r="D3938" s="15">
        <f>IFERROR(__xludf.DUMMYFUNCTION("""COMPUTED_VALUE"""),1.004)</f>
        <v>1.004</v>
      </c>
      <c r="E3938" s="16">
        <f>IFERROR(__xludf.DUMMYFUNCTION("""COMPUTED_VALUE"""),70.0)</f>
        <v>70</v>
      </c>
      <c r="F3938" s="19" t="str">
        <f>IFERROR(__xludf.DUMMYFUNCTION("""COMPUTED_VALUE"""),"BLACK")</f>
        <v>BLACK</v>
      </c>
      <c r="G3938" s="20" t="str">
        <f>IFERROR(__xludf.DUMMYFUNCTION("""COMPUTED_VALUE"""),"Uncle Sams Cider (04/04/2023)")</f>
        <v>Uncle Sams Cider (04/04/2023)</v>
      </c>
      <c r="H3938" s="19"/>
    </row>
    <row r="3939">
      <c r="A3939" s="9"/>
      <c r="B3939" s="15"/>
      <c r="C3939" s="9">
        <f>IFERROR(__xludf.DUMMYFUNCTION("""COMPUTED_VALUE"""),45103.420116574)</f>
        <v>45103.42012</v>
      </c>
      <c r="D3939" s="15">
        <f>IFERROR(__xludf.DUMMYFUNCTION("""COMPUTED_VALUE"""),1.005)</f>
        <v>1.005</v>
      </c>
      <c r="E3939" s="16">
        <f>IFERROR(__xludf.DUMMYFUNCTION("""COMPUTED_VALUE"""),70.0)</f>
        <v>70</v>
      </c>
      <c r="F3939" s="19" t="str">
        <f>IFERROR(__xludf.DUMMYFUNCTION("""COMPUTED_VALUE"""),"BLACK")</f>
        <v>BLACK</v>
      </c>
      <c r="G3939" s="20" t="str">
        <f>IFERROR(__xludf.DUMMYFUNCTION("""COMPUTED_VALUE"""),"Uncle Sams Cider (04/04/2023)")</f>
        <v>Uncle Sams Cider (04/04/2023)</v>
      </c>
      <c r="H3939" s="19"/>
    </row>
    <row r="3940">
      <c r="A3940" s="9"/>
      <c r="B3940" s="15"/>
      <c r="C3940" s="9">
        <f>IFERROR(__xludf.DUMMYFUNCTION("""COMPUTED_VALUE"""),45103.4096949189)</f>
        <v>45103.40969</v>
      </c>
      <c r="D3940" s="15">
        <f>IFERROR(__xludf.DUMMYFUNCTION("""COMPUTED_VALUE"""),1.005)</f>
        <v>1.005</v>
      </c>
      <c r="E3940" s="16">
        <f>IFERROR(__xludf.DUMMYFUNCTION("""COMPUTED_VALUE"""),70.0)</f>
        <v>70</v>
      </c>
      <c r="F3940" s="19" t="str">
        <f>IFERROR(__xludf.DUMMYFUNCTION("""COMPUTED_VALUE"""),"BLACK")</f>
        <v>BLACK</v>
      </c>
      <c r="G3940" s="20" t="str">
        <f>IFERROR(__xludf.DUMMYFUNCTION("""COMPUTED_VALUE"""),"Uncle Sams Cider (04/04/2023)")</f>
        <v>Uncle Sams Cider (04/04/2023)</v>
      </c>
      <c r="H3940" s="19"/>
    </row>
    <row r="3941">
      <c r="A3941" s="9"/>
      <c r="B3941" s="15"/>
      <c r="C3941" s="9">
        <f>IFERROR(__xludf.DUMMYFUNCTION("""COMPUTED_VALUE"""),45103.3992753472)</f>
        <v>45103.39928</v>
      </c>
      <c r="D3941" s="15">
        <f>IFERROR(__xludf.DUMMYFUNCTION("""COMPUTED_VALUE"""),1.005)</f>
        <v>1.005</v>
      </c>
      <c r="E3941" s="16">
        <f>IFERROR(__xludf.DUMMYFUNCTION("""COMPUTED_VALUE"""),70.0)</f>
        <v>70</v>
      </c>
      <c r="F3941" s="19" t="str">
        <f>IFERROR(__xludf.DUMMYFUNCTION("""COMPUTED_VALUE"""),"BLACK")</f>
        <v>BLACK</v>
      </c>
      <c r="G3941" s="20" t="str">
        <f>IFERROR(__xludf.DUMMYFUNCTION("""COMPUTED_VALUE"""),"Uncle Sams Cider (04/04/2023)")</f>
        <v>Uncle Sams Cider (04/04/2023)</v>
      </c>
      <c r="H3941" s="19"/>
    </row>
    <row r="3942">
      <c r="A3942" s="9"/>
      <c r="B3942" s="15"/>
      <c r="C3942" s="9">
        <f>IFERROR(__xludf.DUMMYFUNCTION("""COMPUTED_VALUE"""),45103.3888531365)</f>
        <v>45103.38885</v>
      </c>
      <c r="D3942" s="15">
        <f>IFERROR(__xludf.DUMMYFUNCTION("""COMPUTED_VALUE"""),1.005)</f>
        <v>1.005</v>
      </c>
      <c r="E3942" s="16">
        <f>IFERROR(__xludf.DUMMYFUNCTION("""COMPUTED_VALUE"""),70.0)</f>
        <v>70</v>
      </c>
      <c r="F3942" s="19" t="str">
        <f>IFERROR(__xludf.DUMMYFUNCTION("""COMPUTED_VALUE"""),"BLACK")</f>
        <v>BLACK</v>
      </c>
      <c r="G3942" s="20" t="str">
        <f>IFERROR(__xludf.DUMMYFUNCTION("""COMPUTED_VALUE"""),"Uncle Sams Cider (04/04/2023)")</f>
        <v>Uncle Sams Cider (04/04/2023)</v>
      </c>
      <c r="H3942" s="19"/>
    </row>
    <row r="3943">
      <c r="A3943" s="9"/>
      <c r="B3943" s="15"/>
      <c r="C3943" s="9">
        <f>IFERROR(__xludf.DUMMYFUNCTION("""COMPUTED_VALUE"""),45103.3784310995)</f>
        <v>45103.37843</v>
      </c>
      <c r="D3943" s="15">
        <f>IFERROR(__xludf.DUMMYFUNCTION("""COMPUTED_VALUE"""),1.005)</f>
        <v>1.005</v>
      </c>
      <c r="E3943" s="16">
        <f>IFERROR(__xludf.DUMMYFUNCTION("""COMPUTED_VALUE"""),70.0)</f>
        <v>70</v>
      </c>
      <c r="F3943" s="19" t="str">
        <f>IFERROR(__xludf.DUMMYFUNCTION("""COMPUTED_VALUE"""),"BLACK")</f>
        <v>BLACK</v>
      </c>
      <c r="G3943" s="20" t="str">
        <f>IFERROR(__xludf.DUMMYFUNCTION("""COMPUTED_VALUE"""),"Uncle Sams Cider (04/04/2023)")</f>
        <v>Uncle Sams Cider (04/04/2023)</v>
      </c>
      <c r="H3943" s="19"/>
    </row>
    <row r="3944">
      <c r="A3944" s="9"/>
      <c r="B3944" s="15"/>
      <c r="C3944" s="9">
        <f>IFERROR(__xludf.DUMMYFUNCTION("""COMPUTED_VALUE"""),45103.3679997222)</f>
        <v>45103.368</v>
      </c>
      <c r="D3944" s="15">
        <f>IFERROR(__xludf.DUMMYFUNCTION("""COMPUTED_VALUE"""),1.005)</f>
        <v>1.005</v>
      </c>
      <c r="E3944" s="16">
        <f>IFERROR(__xludf.DUMMYFUNCTION("""COMPUTED_VALUE"""),70.0)</f>
        <v>70</v>
      </c>
      <c r="F3944" s="19" t="str">
        <f>IFERROR(__xludf.DUMMYFUNCTION("""COMPUTED_VALUE"""),"BLACK")</f>
        <v>BLACK</v>
      </c>
      <c r="G3944" s="20" t="str">
        <f>IFERROR(__xludf.DUMMYFUNCTION("""COMPUTED_VALUE"""),"Uncle Sams Cider (04/04/2023)")</f>
        <v>Uncle Sams Cider (04/04/2023)</v>
      </c>
      <c r="H3944" s="19"/>
    </row>
    <row r="3945">
      <c r="A3945" s="9"/>
      <c r="B3945" s="15"/>
      <c r="C3945" s="9">
        <f>IFERROR(__xludf.DUMMYFUNCTION("""COMPUTED_VALUE"""),45103.3575657754)</f>
        <v>45103.35757</v>
      </c>
      <c r="D3945" s="15">
        <f>IFERROR(__xludf.DUMMYFUNCTION("""COMPUTED_VALUE"""),1.005)</f>
        <v>1.005</v>
      </c>
      <c r="E3945" s="16">
        <f>IFERROR(__xludf.DUMMYFUNCTION("""COMPUTED_VALUE"""),70.0)</f>
        <v>70</v>
      </c>
      <c r="F3945" s="19" t="str">
        <f>IFERROR(__xludf.DUMMYFUNCTION("""COMPUTED_VALUE"""),"BLACK")</f>
        <v>BLACK</v>
      </c>
      <c r="G3945" s="20" t="str">
        <f>IFERROR(__xludf.DUMMYFUNCTION("""COMPUTED_VALUE"""),"Uncle Sams Cider (04/04/2023)")</f>
        <v>Uncle Sams Cider (04/04/2023)</v>
      </c>
      <c r="H3945" s="19"/>
    </row>
    <row r="3946">
      <c r="A3946" s="9"/>
      <c r="B3946" s="15"/>
      <c r="C3946" s="9">
        <f>IFERROR(__xludf.DUMMYFUNCTION("""COMPUTED_VALUE"""),45103.3471447222)</f>
        <v>45103.34714</v>
      </c>
      <c r="D3946" s="15">
        <f>IFERROR(__xludf.DUMMYFUNCTION("""COMPUTED_VALUE"""),1.005)</f>
        <v>1.005</v>
      </c>
      <c r="E3946" s="16">
        <f>IFERROR(__xludf.DUMMYFUNCTION("""COMPUTED_VALUE"""),70.0)</f>
        <v>70</v>
      </c>
      <c r="F3946" s="19" t="str">
        <f>IFERROR(__xludf.DUMMYFUNCTION("""COMPUTED_VALUE"""),"BLACK")</f>
        <v>BLACK</v>
      </c>
      <c r="G3946" s="20" t="str">
        <f>IFERROR(__xludf.DUMMYFUNCTION("""COMPUTED_VALUE"""),"Uncle Sams Cider (04/04/2023)")</f>
        <v>Uncle Sams Cider (04/04/2023)</v>
      </c>
      <c r="H3946" s="19"/>
    </row>
    <row r="3947">
      <c r="A3947" s="9"/>
      <c r="B3947" s="15"/>
      <c r="C3947" s="9">
        <f>IFERROR(__xludf.DUMMYFUNCTION("""COMPUTED_VALUE"""),45103.3367234143)</f>
        <v>45103.33672</v>
      </c>
      <c r="D3947" s="15">
        <f>IFERROR(__xludf.DUMMYFUNCTION("""COMPUTED_VALUE"""),1.004)</f>
        <v>1.004</v>
      </c>
      <c r="E3947" s="16">
        <f>IFERROR(__xludf.DUMMYFUNCTION("""COMPUTED_VALUE"""),70.0)</f>
        <v>70</v>
      </c>
      <c r="F3947" s="19" t="str">
        <f>IFERROR(__xludf.DUMMYFUNCTION("""COMPUTED_VALUE"""),"BLACK")</f>
        <v>BLACK</v>
      </c>
      <c r="G3947" s="20" t="str">
        <f>IFERROR(__xludf.DUMMYFUNCTION("""COMPUTED_VALUE"""),"Uncle Sams Cider (04/04/2023)")</f>
        <v>Uncle Sams Cider (04/04/2023)</v>
      </c>
      <c r="H3947" s="19"/>
    </row>
    <row r="3948">
      <c r="A3948" s="9"/>
      <c r="B3948" s="15"/>
      <c r="C3948" s="9">
        <f>IFERROR(__xludf.DUMMYFUNCTION("""COMPUTED_VALUE"""),45103.3263019791)</f>
        <v>45103.3263</v>
      </c>
      <c r="D3948" s="15">
        <f>IFERROR(__xludf.DUMMYFUNCTION("""COMPUTED_VALUE"""),1.005)</f>
        <v>1.005</v>
      </c>
      <c r="E3948" s="16">
        <f>IFERROR(__xludf.DUMMYFUNCTION("""COMPUTED_VALUE"""),70.0)</f>
        <v>70</v>
      </c>
      <c r="F3948" s="19" t="str">
        <f>IFERROR(__xludf.DUMMYFUNCTION("""COMPUTED_VALUE"""),"BLACK")</f>
        <v>BLACK</v>
      </c>
      <c r="G3948" s="20" t="str">
        <f>IFERROR(__xludf.DUMMYFUNCTION("""COMPUTED_VALUE"""),"Uncle Sams Cider (04/04/2023)")</f>
        <v>Uncle Sams Cider (04/04/2023)</v>
      </c>
      <c r="H3948" s="19"/>
    </row>
    <row r="3949">
      <c r="A3949" s="9"/>
      <c r="B3949" s="15"/>
      <c r="C3949" s="9">
        <f>IFERROR(__xludf.DUMMYFUNCTION("""COMPUTED_VALUE"""),45103.3158808217)</f>
        <v>45103.31588</v>
      </c>
      <c r="D3949" s="15">
        <f>IFERROR(__xludf.DUMMYFUNCTION("""COMPUTED_VALUE"""),1.005)</f>
        <v>1.005</v>
      </c>
      <c r="E3949" s="16">
        <f>IFERROR(__xludf.DUMMYFUNCTION("""COMPUTED_VALUE"""),70.0)</f>
        <v>70</v>
      </c>
      <c r="F3949" s="19" t="str">
        <f>IFERROR(__xludf.DUMMYFUNCTION("""COMPUTED_VALUE"""),"BLACK")</f>
        <v>BLACK</v>
      </c>
      <c r="G3949" s="20" t="str">
        <f>IFERROR(__xludf.DUMMYFUNCTION("""COMPUTED_VALUE"""),"Uncle Sams Cider (04/04/2023)")</f>
        <v>Uncle Sams Cider (04/04/2023)</v>
      </c>
      <c r="H3949" s="19"/>
    </row>
    <row r="3950">
      <c r="A3950" s="9"/>
      <c r="B3950" s="15"/>
      <c r="C3950" s="9">
        <f>IFERROR(__xludf.DUMMYFUNCTION("""COMPUTED_VALUE"""),45103.3054358912)</f>
        <v>45103.30544</v>
      </c>
      <c r="D3950" s="15">
        <f>IFERROR(__xludf.DUMMYFUNCTION("""COMPUTED_VALUE"""),1.005)</f>
        <v>1.005</v>
      </c>
      <c r="E3950" s="16">
        <f>IFERROR(__xludf.DUMMYFUNCTION("""COMPUTED_VALUE"""),70.0)</f>
        <v>70</v>
      </c>
      <c r="F3950" s="19" t="str">
        <f>IFERROR(__xludf.DUMMYFUNCTION("""COMPUTED_VALUE"""),"BLACK")</f>
        <v>BLACK</v>
      </c>
      <c r="G3950" s="20" t="str">
        <f>IFERROR(__xludf.DUMMYFUNCTION("""COMPUTED_VALUE"""),"Uncle Sams Cider (04/04/2023)")</f>
        <v>Uncle Sams Cider (04/04/2023)</v>
      </c>
      <c r="H3950" s="19"/>
    </row>
    <row r="3951">
      <c r="A3951" s="9"/>
      <c r="B3951" s="15"/>
      <c r="C3951" s="9">
        <f>IFERROR(__xludf.DUMMYFUNCTION("""COMPUTED_VALUE"""),45103.2950147222)</f>
        <v>45103.29501</v>
      </c>
      <c r="D3951" s="15">
        <f>IFERROR(__xludf.DUMMYFUNCTION("""COMPUTED_VALUE"""),1.005)</f>
        <v>1.005</v>
      </c>
      <c r="E3951" s="16">
        <f>IFERROR(__xludf.DUMMYFUNCTION("""COMPUTED_VALUE"""),70.0)</f>
        <v>70</v>
      </c>
      <c r="F3951" s="19" t="str">
        <f>IFERROR(__xludf.DUMMYFUNCTION("""COMPUTED_VALUE"""),"BLACK")</f>
        <v>BLACK</v>
      </c>
      <c r="G3951" s="20" t="str">
        <f>IFERROR(__xludf.DUMMYFUNCTION("""COMPUTED_VALUE"""),"Uncle Sams Cider (04/04/2023)")</f>
        <v>Uncle Sams Cider (04/04/2023)</v>
      </c>
      <c r="H3951" s="19"/>
    </row>
    <row r="3952">
      <c r="A3952" s="9"/>
      <c r="B3952" s="15"/>
      <c r="C3952" s="9">
        <f>IFERROR(__xludf.DUMMYFUNCTION("""COMPUTED_VALUE"""),45103.2845932638)</f>
        <v>45103.28459</v>
      </c>
      <c r="D3952" s="15">
        <f>IFERROR(__xludf.DUMMYFUNCTION("""COMPUTED_VALUE"""),1.005)</f>
        <v>1.005</v>
      </c>
      <c r="E3952" s="16">
        <f>IFERROR(__xludf.DUMMYFUNCTION("""COMPUTED_VALUE"""),70.0)</f>
        <v>70</v>
      </c>
      <c r="F3952" s="19" t="str">
        <f>IFERROR(__xludf.DUMMYFUNCTION("""COMPUTED_VALUE"""),"BLACK")</f>
        <v>BLACK</v>
      </c>
      <c r="G3952" s="20" t="str">
        <f>IFERROR(__xludf.DUMMYFUNCTION("""COMPUTED_VALUE"""),"Uncle Sams Cider (04/04/2023)")</f>
        <v>Uncle Sams Cider (04/04/2023)</v>
      </c>
      <c r="H3952" s="19"/>
    </row>
    <row r="3953">
      <c r="A3953" s="9"/>
      <c r="B3953" s="15"/>
      <c r="C3953" s="9">
        <f>IFERROR(__xludf.DUMMYFUNCTION("""COMPUTED_VALUE"""),45103.2741600694)</f>
        <v>45103.27416</v>
      </c>
      <c r="D3953" s="15">
        <f>IFERROR(__xludf.DUMMYFUNCTION("""COMPUTED_VALUE"""),1.005)</f>
        <v>1.005</v>
      </c>
      <c r="E3953" s="16">
        <f>IFERROR(__xludf.DUMMYFUNCTION("""COMPUTED_VALUE"""),70.0)</f>
        <v>70</v>
      </c>
      <c r="F3953" s="19" t="str">
        <f>IFERROR(__xludf.DUMMYFUNCTION("""COMPUTED_VALUE"""),"BLACK")</f>
        <v>BLACK</v>
      </c>
      <c r="G3953" s="20" t="str">
        <f>IFERROR(__xludf.DUMMYFUNCTION("""COMPUTED_VALUE"""),"Uncle Sams Cider (04/04/2023)")</f>
        <v>Uncle Sams Cider (04/04/2023)</v>
      </c>
      <c r="H3953" s="19"/>
    </row>
    <row r="3954">
      <c r="A3954" s="9"/>
      <c r="B3954" s="15"/>
      <c r="C3954" s="9">
        <f>IFERROR(__xludf.DUMMYFUNCTION("""COMPUTED_VALUE"""),45103.2637392939)</f>
        <v>45103.26374</v>
      </c>
      <c r="D3954" s="15">
        <f>IFERROR(__xludf.DUMMYFUNCTION("""COMPUTED_VALUE"""),1.005)</f>
        <v>1.005</v>
      </c>
      <c r="E3954" s="16">
        <f>IFERROR(__xludf.DUMMYFUNCTION("""COMPUTED_VALUE"""),70.0)</f>
        <v>70</v>
      </c>
      <c r="F3954" s="19" t="str">
        <f>IFERROR(__xludf.DUMMYFUNCTION("""COMPUTED_VALUE"""),"BLACK")</f>
        <v>BLACK</v>
      </c>
      <c r="G3954" s="20" t="str">
        <f>IFERROR(__xludf.DUMMYFUNCTION("""COMPUTED_VALUE"""),"Uncle Sams Cider (04/04/2023)")</f>
        <v>Uncle Sams Cider (04/04/2023)</v>
      </c>
      <c r="H3954" s="19"/>
    </row>
    <row r="3955">
      <c r="A3955" s="9"/>
      <c r="B3955" s="15"/>
      <c r="C3955" s="9">
        <f>IFERROR(__xludf.DUMMYFUNCTION("""COMPUTED_VALUE"""),45103.253305949)</f>
        <v>45103.25331</v>
      </c>
      <c r="D3955" s="15">
        <f>IFERROR(__xludf.DUMMYFUNCTION("""COMPUTED_VALUE"""),1.005)</f>
        <v>1.005</v>
      </c>
      <c r="E3955" s="16">
        <f>IFERROR(__xludf.DUMMYFUNCTION("""COMPUTED_VALUE"""),70.0)</f>
        <v>70</v>
      </c>
      <c r="F3955" s="19" t="str">
        <f>IFERROR(__xludf.DUMMYFUNCTION("""COMPUTED_VALUE"""),"BLACK")</f>
        <v>BLACK</v>
      </c>
      <c r="G3955" s="20" t="str">
        <f>IFERROR(__xludf.DUMMYFUNCTION("""COMPUTED_VALUE"""),"Uncle Sams Cider (04/04/2023)")</f>
        <v>Uncle Sams Cider (04/04/2023)</v>
      </c>
      <c r="H3955" s="19"/>
    </row>
    <row r="3956">
      <c r="A3956" s="9"/>
      <c r="B3956" s="15"/>
      <c r="C3956" s="9">
        <f>IFERROR(__xludf.DUMMYFUNCTION("""COMPUTED_VALUE"""),45103.2428847106)</f>
        <v>45103.24288</v>
      </c>
      <c r="D3956" s="15">
        <f>IFERROR(__xludf.DUMMYFUNCTION("""COMPUTED_VALUE"""),1.005)</f>
        <v>1.005</v>
      </c>
      <c r="E3956" s="16">
        <f>IFERROR(__xludf.DUMMYFUNCTION("""COMPUTED_VALUE"""),70.0)</f>
        <v>70</v>
      </c>
      <c r="F3956" s="19" t="str">
        <f>IFERROR(__xludf.DUMMYFUNCTION("""COMPUTED_VALUE"""),"BLACK")</f>
        <v>BLACK</v>
      </c>
      <c r="G3956" s="20" t="str">
        <f>IFERROR(__xludf.DUMMYFUNCTION("""COMPUTED_VALUE"""),"Uncle Sams Cider (04/04/2023)")</f>
        <v>Uncle Sams Cider (04/04/2023)</v>
      </c>
      <c r="H3956" s="19"/>
    </row>
    <row r="3957">
      <c r="A3957" s="9"/>
      <c r="B3957" s="15"/>
      <c r="C3957" s="9">
        <f>IFERROR(__xludf.DUMMYFUNCTION("""COMPUTED_VALUE"""),45103.2324614236)</f>
        <v>45103.23246</v>
      </c>
      <c r="D3957" s="15">
        <f>IFERROR(__xludf.DUMMYFUNCTION("""COMPUTED_VALUE"""),1.005)</f>
        <v>1.005</v>
      </c>
      <c r="E3957" s="16">
        <f>IFERROR(__xludf.DUMMYFUNCTION("""COMPUTED_VALUE"""),70.0)</f>
        <v>70</v>
      </c>
      <c r="F3957" s="19" t="str">
        <f>IFERROR(__xludf.DUMMYFUNCTION("""COMPUTED_VALUE"""),"BLACK")</f>
        <v>BLACK</v>
      </c>
      <c r="G3957" s="20" t="str">
        <f>IFERROR(__xludf.DUMMYFUNCTION("""COMPUTED_VALUE"""),"Uncle Sams Cider (04/04/2023)")</f>
        <v>Uncle Sams Cider (04/04/2023)</v>
      </c>
      <c r="H3957" s="19"/>
    </row>
    <row r="3958">
      <c r="A3958" s="9"/>
      <c r="B3958" s="15"/>
      <c r="C3958" s="9">
        <f>IFERROR(__xludf.DUMMYFUNCTION("""COMPUTED_VALUE"""),45103.2220400925)</f>
        <v>45103.22204</v>
      </c>
      <c r="D3958" s="15">
        <f>IFERROR(__xludf.DUMMYFUNCTION("""COMPUTED_VALUE"""),1.005)</f>
        <v>1.005</v>
      </c>
      <c r="E3958" s="16">
        <f>IFERROR(__xludf.DUMMYFUNCTION("""COMPUTED_VALUE"""),70.0)</f>
        <v>70</v>
      </c>
      <c r="F3958" s="19" t="str">
        <f>IFERROR(__xludf.DUMMYFUNCTION("""COMPUTED_VALUE"""),"BLACK")</f>
        <v>BLACK</v>
      </c>
      <c r="G3958" s="20" t="str">
        <f>IFERROR(__xludf.DUMMYFUNCTION("""COMPUTED_VALUE"""),"Uncle Sams Cider (04/04/2023)")</f>
        <v>Uncle Sams Cider (04/04/2023)</v>
      </c>
      <c r="H3958" s="19"/>
    </row>
    <row r="3959">
      <c r="A3959" s="9"/>
      <c r="B3959" s="15"/>
      <c r="C3959" s="9">
        <f>IFERROR(__xludf.DUMMYFUNCTION("""COMPUTED_VALUE"""),45103.2116072916)</f>
        <v>45103.21161</v>
      </c>
      <c r="D3959" s="15">
        <f>IFERROR(__xludf.DUMMYFUNCTION("""COMPUTED_VALUE"""),1.005)</f>
        <v>1.005</v>
      </c>
      <c r="E3959" s="16">
        <f>IFERROR(__xludf.DUMMYFUNCTION("""COMPUTED_VALUE"""),70.0)</f>
        <v>70</v>
      </c>
      <c r="F3959" s="19" t="str">
        <f>IFERROR(__xludf.DUMMYFUNCTION("""COMPUTED_VALUE"""),"BLACK")</f>
        <v>BLACK</v>
      </c>
      <c r="G3959" s="20" t="str">
        <f>IFERROR(__xludf.DUMMYFUNCTION("""COMPUTED_VALUE"""),"Uncle Sams Cider (04/04/2023)")</f>
        <v>Uncle Sams Cider (04/04/2023)</v>
      </c>
      <c r="H3959" s="19"/>
    </row>
    <row r="3960">
      <c r="A3960" s="9"/>
      <c r="B3960" s="15"/>
      <c r="C3960" s="9">
        <f>IFERROR(__xludf.DUMMYFUNCTION("""COMPUTED_VALUE"""),45103.2011856481)</f>
        <v>45103.20119</v>
      </c>
      <c r="D3960" s="15">
        <f>IFERROR(__xludf.DUMMYFUNCTION("""COMPUTED_VALUE"""),1.005)</f>
        <v>1.005</v>
      </c>
      <c r="E3960" s="16">
        <f>IFERROR(__xludf.DUMMYFUNCTION("""COMPUTED_VALUE"""),70.0)</f>
        <v>70</v>
      </c>
      <c r="F3960" s="19" t="str">
        <f>IFERROR(__xludf.DUMMYFUNCTION("""COMPUTED_VALUE"""),"BLACK")</f>
        <v>BLACK</v>
      </c>
      <c r="G3960" s="20" t="str">
        <f>IFERROR(__xludf.DUMMYFUNCTION("""COMPUTED_VALUE"""),"Uncle Sams Cider (04/04/2023)")</f>
        <v>Uncle Sams Cider (04/04/2023)</v>
      </c>
      <c r="H3960" s="19"/>
    </row>
    <row r="3961">
      <c r="A3961" s="9"/>
      <c r="B3961" s="15"/>
      <c r="C3961" s="9">
        <f>IFERROR(__xludf.DUMMYFUNCTION("""COMPUTED_VALUE"""),45103.1907634375)</f>
        <v>45103.19076</v>
      </c>
      <c r="D3961" s="15">
        <f>IFERROR(__xludf.DUMMYFUNCTION("""COMPUTED_VALUE"""),1.005)</f>
        <v>1.005</v>
      </c>
      <c r="E3961" s="16">
        <f>IFERROR(__xludf.DUMMYFUNCTION("""COMPUTED_VALUE"""),70.0)</f>
        <v>70</v>
      </c>
      <c r="F3961" s="19" t="str">
        <f>IFERROR(__xludf.DUMMYFUNCTION("""COMPUTED_VALUE"""),"BLACK")</f>
        <v>BLACK</v>
      </c>
      <c r="G3961" s="20" t="str">
        <f>IFERROR(__xludf.DUMMYFUNCTION("""COMPUTED_VALUE"""),"Uncle Sams Cider (04/04/2023)")</f>
        <v>Uncle Sams Cider (04/04/2023)</v>
      </c>
      <c r="H3961" s="19"/>
    </row>
    <row r="3962">
      <c r="A3962" s="9"/>
      <c r="B3962" s="15"/>
      <c r="C3962" s="9">
        <f>IFERROR(__xludf.DUMMYFUNCTION("""COMPUTED_VALUE"""),45103.1803199305)</f>
        <v>45103.18032</v>
      </c>
      <c r="D3962" s="15">
        <f>IFERROR(__xludf.DUMMYFUNCTION("""COMPUTED_VALUE"""),1.005)</f>
        <v>1.005</v>
      </c>
      <c r="E3962" s="16">
        <f>IFERROR(__xludf.DUMMYFUNCTION("""COMPUTED_VALUE"""),70.0)</f>
        <v>70</v>
      </c>
      <c r="F3962" s="19" t="str">
        <f>IFERROR(__xludf.DUMMYFUNCTION("""COMPUTED_VALUE"""),"BLACK")</f>
        <v>BLACK</v>
      </c>
      <c r="G3962" s="20" t="str">
        <f>IFERROR(__xludf.DUMMYFUNCTION("""COMPUTED_VALUE"""),"Uncle Sams Cider (04/04/2023)")</f>
        <v>Uncle Sams Cider (04/04/2023)</v>
      </c>
      <c r="H3962" s="19"/>
    </row>
    <row r="3963">
      <c r="A3963" s="9"/>
      <c r="B3963" s="15"/>
      <c r="C3963" s="9">
        <f>IFERROR(__xludf.DUMMYFUNCTION("""COMPUTED_VALUE"""),45103.1698988194)</f>
        <v>45103.1699</v>
      </c>
      <c r="D3963" s="15">
        <f>IFERROR(__xludf.DUMMYFUNCTION("""COMPUTED_VALUE"""),1.005)</f>
        <v>1.005</v>
      </c>
      <c r="E3963" s="16">
        <f>IFERROR(__xludf.DUMMYFUNCTION("""COMPUTED_VALUE"""),70.0)</f>
        <v>70</v>
      </c>
      <c r="F3963" s="19" t="str">
        <f>IFERROR(__xludf.DUMMYFUNCTION("""COMPUTED_VALUE"""),"BLACK")</f>
        <v>BLACK</v>
      </c>
      <c r="G3963" s="20" t="str">
        <f>IFERROR(__xludf.DUMMYFUNCTION("""COMPUTED_VALUE"""),"Uncle Sams Cider (04/04/2023)")</f>
        <v>Uncle Sams Cider (04/04/2023)</v>
      </c>
      <c r="H3963" s="19"/>
    </row>
    <row r="3964">
      <c r="A3964" s="9"/>
      <c r="B3964" s="15"/>
      <c r="C3964" s="9">
        <f>IFERROR(__xludf.DUMMYFUNCTION("""COMPUTED_VALUE"""),45103.159477118)</f>
        <v>45103.15948</v>
      </c>
      <c r="D3964" s="15">
        <f>IFERROR(__xludf.DUMMYFUNCTION("""COMPUTED_VALUE"""),1.005)</f>
        <v>1.005</v>
      </c>
      <c r="E3964" s="16">
        <f>IFERROR(__xludf.DUMMYFUNCTION("""COMPUTED_VALUE"""),70.0)</f>
        <v>70</v>
      </c>
      <c r="F3964" s="19" t="str">
        <f>IFERROR(__xludf.DUMMYFUNCTION("""COMPUTED_VALUE"""),"BLACK")</f>
        <v>BLACK</v>
      </c>
      <c r="G3964" s="20" t="str">
        <f>IFERROR(__xludf.DUMMYFUNCTION("""COMPUTED_VALUE"""),"Uncle Sams Cider (04/04/2023)")</f>
        <v>Uncle Sams Cider (04/04/2023)</v>
      </c>
      <c r="H3964" s="19"/>
    </row>
    <row r="3965">
      <c r="A3965" s="9"/>
      <c r="B3965" s="15"/>
      <c r="C3965" s="9">
        <f>IFERROR(__xludf.DUMMYFUNCTION("""COMPUTED_VALUE"""),45103.1490435416)</f>
        <v>45103.14904</v>
      </c>
      <c r="D3965" s="15">
        <f>IFERROR(__xludf.DUMMYFUNCTION("""COMPUTED_VALUE"""),1.005)</f>
        <v>1.005</v>
      </c>
      <c r="E3965" s="16">
        <f>IFERROR(__xludf.DUMMYFUNCTION("""COMPUTED_VALUE"""),70.0)</f>
        <v>70</v>
      </c>
      <c r="F3965" s="19" t="str">
        <f>IFERROR(__xludf.DUMMYFUNCTION("""COMPUTED_VALUE"""),"BLACK")</f>
        <v>BLACK</v>
      </c>
      <c r="G3965" s="20" t="str">
        <f>IFERROR(__xludf.DUMMYFUNCTION("""COMPUTED_VALUE"""),"Uncle Sams Cider (04/04/2023)")</f>
        <v>Uncle Sams Cider (04/04/2023)</v>
      </c>
      <c r="H3965" s="19"/>
    </row>
    <row r="3966">
      <c r="A3966" s="9"/>
      <c r="B3966" s="15"/>
      <c r="C3966" s="9">
        <f>IFERROR(__xludf.DUMMYFUNCTION("""COMPUTED_VALUE"""),45103.1386227777)</f>
        <v>45103.13862</v>
      </c>
      <c r="D3966" s="15">
        <f>IFERROR(__xludf.DUMMYFUNCTION("""COMPUTED_VALUE"""),1.004)</f>
        <v>1.004</v>
      </c>
      <c r="E3966" s="16">
        <f>IFERROR(__xludf.DUMMYFUNCTION("""COMPUTED_VALUE"""),70.0)</f>
        <v>70</v>
      </c>
      <c r="F3966" s="19" t="str">
        <f>IFERROR(__xludf.DUMMYFUNCTION("""COMPUTED_VALUE"""),"BLACK")</f>
        <v>BLACK</v>
      </c>
      <c r="G3966" s="20" t="str">
        <f>IFERROR(__xludf.DUMMYFUNCTION("""COMPUTED_VALUE"""),"Uncle Sams Cider (04/04/2023)")</f>
        <v>Uncle Sams Cider (04/04/2023)</v>
      </c>
      <c r="H3966" s="19"/>
    </row>
    <row r="3967">
      <c r="A3967" s="9"/>
      <c r="B3967" s="15"/>
      <c r="C3967" s="9">
        <f>IFERROR(__xludf.DUMMYFUNCTION("""COMPUTED_VALUE"""),45103.1282024305)</f>
        <v>45103.1282</v>
      </c>
      <c r="D3967" s="15">
        <f>IFERROR(__xludf.DUMMYFUNCTION("""COMPUTED_VALUE"""),1.004)</f>
        <v>1.004</v>
      </c>
      <c r="E3967" s="16">
        <f>IFERROR(__xludf.DUMMYFUNCTION("""COMPUTED_VALUE"""),70.0)</f>
        <v>70</v>
      </c>
      <c r="F3967" s="19" t="str">
        <f>IFERROR(__xludf.DUMMYFUNCTION("""COMPUTED_VALUE"""),"BLACK")</f>
        <v>BLACK</v>
      </c>
      <c r="G3967" s="20" t="str">
        <f>IFERROR(__xludf.DUMMYFUNCTION("""COMPUTED_VALUE"""),"Uncle Sams Cider (04/04/2023)")</f>
        <v>Uncle Sams Cider (04/04/2023)</v>
      </c>
      <c r="H3967" s="19"/>
    </row>
    <row r="3968">
      <c r="A3968" s="9"/>
      <c r="B3968" s="15"/>
      <c r="C3968" s="9">
        <f>IFERROR(__xludf.DUMMYFUNCTION("""COMPUTED_VALUE"""),45103.1177814699)</f>
        <v>45103.11778</v>
      </c>
      <c r="D3968" s="15">
        <f>IFERROR(__xludf.DUMMYFUNCTION("""COMPUTED_VALUE"""),1.005)</f>
        <v>1.005</v>
      </c>
      <c r="E3968" s="16">
        <f>IFERROR(__xludf.DUMMYFUNCTION("""COMPUTED_VALUE"""),70.0)</f>
        <v>70</v>
      </c>
      <c r="F3968" s="19" t="str">
        <f>IFERROR(__xludf.DUMMYFUNCTION("""COMPUTED_VALUE"""),"BLACK")</f>
        <v>BLACK</v>
      </c>
      <c r="G3968" s="20" t="str">
        <f>IFERROR(__xludf.DUMMYFUNCTION("""COMPUTED_VALUE"""),"Uncle Sams Cider (04/04/2023)")</f>
        <v>Uncle Sams Cider (04/04/2023)</v>
      </c>
      <c r="H3968" s="19"/>
    </row>
    <row r="3969">
      <c r="A3969" s="9"/>
      <c r="B3969" s="15"/>
      <c r="C3969" s="9">
        <f>IFERROR(__xludf.DUMMYFUNCTION("""COMPUTED_VALUE"""),45103.1073593865)</f>
        <v>45103.10736</v>
      </c>
      <c r="D3969" s="15">
        <f>IFERROR(__xludf.DUMMYFUNCTION("""COMPUTED_VALUE"""),1.005)</f>
        <v>1.005</v>
      </c>
      <c r="E3969" s="16">
        <f>IFERROR(__xludf.DUMMYFUNCTION("""COMPUTED_VALUE"""),70.0)</f>
        <v>70</v>
      </c>
      <c r="F3969" s="19" t="str">
        <f>IFERROR(__xludf.DUMMYFUNCTION("""COMPUTED_VALUE"""),"BLACK")</f>
        <v>BLACK</v>
      </c>
      <c r="G3969" s="20" t="str">
        <f>IFERROR(__xludf.DUMMYFUNCTION("""COMPUTED_VALUE"""),"Uncle Sams Cider (04/04/2023)")</f>
        <v>Uncle Sams Cider (04/04/2023)</v>
      </c>
      <c r="H3969" s="19"/>
    </row>
    <row r="3970">
      <c r="A3970" s="9"/>
      <c r="B3970" s="15"/>
      <c r="C3970" s="9">
        <f>IFERROR(__xludf.DUMMYFUNCTION("""COMPUTED_VALUE"""),45103.0969248032)</f>
        <v>45103.09692</v>
      </c>
      <c r="D3970" s="15">
        <f>IFERROR(__xludf.DUMMYFUNCTION("""COMPUTED_VALUE"""),1.005)</f>
        <v>1.005</v>
      </c>
      <c r="E3970" s="16">
        <f>IFERROR(__xludf.DUMMYFUNCTION("""COMPUTED_VALUE"""),70.0)</f>
        <v>70</v>
      </c>
      <c r="F3970" s="19" t="str">
        <f>IFERROR(__xludf.DUMMYFUNCTION("""COMPUTED_VALUE"""),"BLACK")</f>
        <v>BLACK</v>
      </c>
      <c r="G3970" s="20" t="str">
        <f>IFERROR(__xludf.DUMMYFUNCTION("""COMPUTED_VALUE"""),"Uncle Sams Cider (04/04/2023)")</f>
        <v>Uncle Sams Cider (04/04/2023)</v>
      </c>
      <c r="H3970" s="19"/>
    </row>
    <row r="3971">
      <c r="A3971" s="9"/>
      <c r="B3971" s="15"/>
      <c r="C3971" s="9">
        <f>IFERROR(__xludf.DUMMYFUNCTION("""COMPUTED_VALUE"""),45103.086505162)</f>
        <v>45103.08651</v>
      </c>
      <c r="D3971" s="15">
        <f>IFERROR(__xludf.DUMMYFUNCTION("""COMPUTED_VALUE"""),1.005)</f>
        <v>1.005</v>
      </c>
      <c r="E3971" s="16">
        <f>IFERROR(__xludf.DUMMYFUNCTION("""COMPUTED_VALUE"""),70.0)</f>
        <v>70</v>
      </c>
      <c r="F3971" s="19" t="str">
        <f>IFERROR(__xludf.DUMMYFUNCTION("""COMPUTED_VALUE"""),"BLACK")</f>
        <v>BLACK</v>
      </c>
      <c r="G3971" s="20" t="str">
        <f>IFERROR(__xludf.DUMMYFUNCTION("""COMPUTED_VALUE"""),"Uncle Sams Cider (04/04/2023)")</f>
        <v>Uncle Sams Cider (04/04/2023)</v>
      </c>
      <c r="H3971" s="19"/>
    </row>
    <row r="3972">
      <c r="A3972" s="9"/>
      <c r="B3972" s="15"/>
      <c r="C3972" s="9">
        <f>IFERROR(__xludf.DUMMYFUNCTION("""COMPUTED_VALUE"""),45103.0760855439)</f>
        <v>45103.07609</v>
      </c>
      <c r="D3972" s="15">
        <f>IFERROR(__xludf.DUMMYFUNCTION("""COMPUTED_VALUE"""),1.005)</f>
        <v>1.005</v>
      </c>
      <c r="E3972" s="16">
        <f>IFERROR(__xludf.DUMMYFUNCTION("""COMPUTED_VALUE"""),70.0)</f>
        <v>70</v>
      </c>
      <c r="F3972" s="19" t="str">
        <f>IFERROR(__xludf.DUMMYFUNCTION("""COMPUTED_VALUE"""),"BLACK")</f>
        <v>BLACK</v>
      </c>
      <c r="G3972" s="20" t="str">
        <f>IFERROR(__xludf.DUMMYFUNCTION("""COMPUTED_VALUE"""),"Uncle Sams Cider (04/04/2023)")</f>
        <v>Uncle Sams Cider (04/04/2023)</v>
      </c>
      <c r="H3972" s="19"/>
    </row>
    <row r="3973">
      <c r="A3973" s="9"/>
      <c r="B3973" s="15"/>
      <c r="C3973" s="9">
        <f>IFERROR(__xludf.DUMMYFUNCTION("""COMPUTED_VALUE"""),45103.065664618)</f>
        <v>45103.06566</v>
      </c>
      <c r="D3973" s="15">
        <f>IFERROR(__xludf.DUMMYFUNCTION("""COMPUTED_VALUE"""),1.005)</f>
        <v>1.005</v>
      </c>
      <c r="E3973" s="16">
        <f>IFERROR(__xludf.DUMMYFUNCTION("""COMPUTED_VALUE"""),70.0)</f>
        <v>70</v>
      </c>
      <c r="F3973" s="19" t="str">
        <f>IFERROR(__xludf.DUMMYFUNCTION("""COMPUTED_VALUE"""),"BLACK")</f>
        <v>BLACK</v>
      </c>
      <c r="G3973" s="20" t="str">
        <f>IFERROR(__xludf.DUMMYFUNCTION("""COMPUTED_VALUE"""),"Uncle Sams Cider (04/04/2023)")</f>
        <v>Uncle Sams Cider (04/04/2023)</v>
      </c>
      <c r="H3973" s="19"/>
    </row>
    <row r="3974">
      <c r="A3974" s="9"/>
      <c r="B3974" s="15"/>
      <c r="C3974" s="9">
        <f>IFERROR(__xludf.DUMMYFUNCTION("""COMPUTED_VALUE"""),45103.0552423263)</f>
        <v>45103.05524</v>
      </c>
      <c r="D3974" s="15">
        <f>IFERROR(__xludf.DUMMYFUNCTION("""COMPUTED_VALUE"""),1.005)</f>
        <v>1.005</v>
      </c>
      <c r="E3974" s="16">
        <f>IFERROR(__xludf.DUMMYFUNCTION("""COMPUTED_VALUE"""),70.0)</f>
        <v>70</v>
      </c>
      <c r="F3974" s="19" t="str">
        <f>IFERROR(__xludf.DUMMYFUNCTION("""COMPUTED_VALUE"""),"BLACK")</f>
        <v>BLACK</v>
      </c>
      <c r="G3974" s="20" t="str">
        <f>IFERROR(__xludf.DUMMYFUNCTION("""COMPUTED_VALUE"""),"Uncle Sams Cider (04/04/2023)")</f>
        <v>Uncle Sams Cider (04/04/2023)</v>
      </c>
      <c r="H3974" s="19"/>
    </row>
    <row r="3975">
      <c r="A3975" s="9"/>
      <c r="B3975" s="15"/>
      <c r="C3975" s="9">
        <f>IFERROR(__xludf.DUMMYFUNCTION("""COMPUTED_VALUE"""),45103.0448199652)</f>
        <v>45103.04482</v>
      </c>
      <c r="D3975" s="15">
        <f>IFERROR(__xludf.DUMMYFUNCTION("""COMPUTED_VALUE"""),1.005)</f>
        <v>1.005</v>
      </c>
      <c r="E3975" s="16">
        <f>IFERROR(__xludf.DUMMYFUNCTION("""COMPUTED_VALUE"""),70.0)</f>
        <v>70</v>
      </c>
      <c r="F3975" s="19" t="str">
        <f>IFERROR(__xludf.DUMMYFUNCTION("""COMPUTED_VALUE"""),"BLACK")</f>
        <v>BLACK</v>
      </c>
      <c r="G3975" s="20" t="str">
        <f>IFERROR(__xludf.DUMMYFUNCTION("""COMPUTED_VALUE"""),"Uncle Sams Cider (04/04/2023)")</f>
        <v>Uncle Sams Cider (04/04/2023)</v>
      </c>
      <c r="H3975" s="19"/>
    </row>
    <row r="3976">
      <c r="A3976" s="9"/>
      <c r="B3976" s="15"/>
      <c r="C3976" s="9">
        <f>IFERROR(__xludf.DUMMYFUNCTION("""COMPUTED_VALUE"""),45103.0343870833)</f>
        <v>45103.03439</v>
      </c>
      <c r="D3976" s="15">
        <f>IFERROR(__xludf.DUMMYFUNCTION("""COMPUTED_VALUE"""),1.005)</f>
        <v>1.005</v>
      </c>
      <c r="E3976" s="16">
        <f>IFERROR(__xludf.DUMMYFUNCTION("""COMPUTED_VALUE"""),70.0)</f>
        <v>70</v>
      </c>
      <c r="F3976" s="19" t="str">
        <f>IFERROR(__xludf.DUMMYFUNCTION("""COMPUTED_VALUE"""),"BLACK")</f>
        <v>BLACK</v>
      </c>
      <c r="G3976" s="20" t="str">
        <f>IFERROR(__xludf.DUMMYFUNCTION("""COMPUTED_VALUE"""),"Uncle Sams Cider (04/04/2023)")</f>
        <v>Uncle Sams Cider (04/04/2023)</v>
      </c>
      <c r="H3976" s="19"/>
    </row>
    <row r="3977">
      <c r="A3977" s="9"/>
      <c r="B3977" s="15"/>
      <c r="C3977" s="9">
        <f>IFERROR(__xludf.DUMMYFUNCTION("""COMPUTED_VALUE"""),45103.0239661111)</f>
        <v>45103.02397</v>
      </c>
      <c r="D3977" s="15">
        <f>IFERROR(__xludf.DUMMYFUNCTION("""COMPUTED_VALUE"""),1.005)</f>
        <v>1.005</v>
      </c>
      <c r="E3977" s="16">
        <f>IFERROR(__xludf.DUMMYFUNCTION("""COMPUTED_VALUE"""),70.0)</f>
        <v>70</v>
      </c>
      <c r="F3977" s="19" t="str">
        <f>IFERROR(__xludf.DUMMYFUNCTION("""COMPUTED_VALUE"""),"BLACK")</f>
        <v>BLACK</v>
      </c>
      <c r="G3977" s="20" t="str">
        <f>IFERROR(__xludf.DUMMYFUNCTION("""COMPUTED_VALUE"""),"Uncle Sams Cider (04/04/2023)")</f>
        <v>Uncle Sams Cider (04/04/2023)</v>
      </c>
      <c r="H3977" s="19"/>
    </row>
    <row r="3978">
      <c r="A3978" s="9"/>
      <c r="B3978" s="15"/>
      <c r="C3978" s="9">
        <f>IFERROR(__xludf.DUMMYFUNCTION("""COMPUTED_VALUE"""),45103.0135452083)</f>
        <v>45103.01355</v>
      </c>
      <c r="D3978" s="15">
        <f>IFERROR(__xludf.DUMMYFUNCTION("""COMPUTED_VALUE"""),1.005)</f>
        <v>1.005</v>
      </c>
      <c r="E3978" s="16">
        <f>IFERROR(__xludf.DUMMYFUNCTION("""COMPUTED_VALUE"""),70.0)</f>
        <v>70</v>
      </c>
      <c r="F3978" s="19" t="str">
        <f>IFERROR(__xludf.DUMMYFUNCTION("""COMPUTED_VALUE"""),"BLACK")</f>
        <v>BLACK</v>
      </c>
      <c r="G3978" s="20" t="str">
        <f>IFERROR(__xludf.DUMMYFUNCTION("""COMPUTED_VALUE"""),"Uncle Sams Cider (04/04/2023)")</f>
        <v>Uncle Sams Cider (04/04/2023)</v>
      </c>
      <c r="H3978" s="19"/>
    </row>
    <row r="3979">
      <c r="A3979" s="9"/>
      <c r="B3979" s="15"/>
      <c r="C3979" s="9">
        <f>IFERROR(__xludf.DUMMYFUNCTION("""COMPUTED_VALUE"""),45103.0030989467)</f>
        <v>45103.0031</v>
      </c>
      <c r="D3979" s="15">
        <f>IFERROR(__xludf.DUMMYFUNCTION("""COMPUTED_VALUE"""),1.005)</f>
        <v>1.005</v>
      </c>
      <c r="E3979" s="16">
        <f>IFERROR(__xludf.DUMMYFUNCTION("""COMPUTED_VALUE"""),70.0)</f>
        <v>70</v>
      </c>
      <c r="F3979" s="19" t="str">
        <f>IFERROR(__xludf.DUMMYFUNCTION("""COMPUTED_VALUE"""),"BLACK")</f>
        <v>BLACK</v>
      </c>
      <c r="G3979" s="20" t="str">
        <f>IFERROR(__xludf.DUMMYFUNCTION("""COMPUTED_VALUE"""),"Uncle Sams Cider (04/04/2023)")</f>
        <v>Uncle Sams Cider (04/04/2023)</v>
      </c>
      <c r="H3979" s="19"/>
    </row>
    <row r="3980">
      <c r="A3980" s="9"/>
      <c r="B3980" s="15"/>
      <c r="C3980" s="9">
        <f>IFERROR(__xludf.DUMMYFUNCTION("""COMPUTED_VALUE"""),45102.9926540509)</f>
        <v>45102.99265</v>
      </c>
      <c r="D3980" s="15">
        <f>IFERROR(__xludf.DUMMYFUNCTION("""COMPUTED_VALUE"""),1.005)</f>
        <v>1.005</v>
      </c>
      <c r="E3980" s="16">
        <f>IFERROR(__xludf.DUMMYFUNCTION("""COMPUTED_VALUE"""),70.0)</f>
        <v>70</v>
      </c>
      <c r="F3980" s="19" t="str">
        <f>IFERROR(__xludf.DUMMYFUNCTION("""COMPUTED_VALUE"""),"BLACK")</f>
        <v>BLACK</v>
      </c>
      <c r="G3980" s="20" t="str">
        <f>IFERROR(__xludf.DUMMYFUNCTION("""COMPUTED_VALUE"""),"Uncle Sams Cider (04/04/2023)")</f>
        <v>Uncle Sams Cider (04/04/2023)</v>
      </c>
      <c r="H3980" s="19"/>
    </row>
    <row r="3981">
      <c r="A3981" s="9"/>
      <c r="B3981" s="15"/>
      <c r="C3981" s="9">
        <f>IFERROR(__xludf.DUMMYFUNCTION("""COMPUTED_VALUE"""),45102.9822296875)</f>
        <v>45102.98223</v>
      </c>
      <c r="D3981" s="15">
        <f>IFERROR(__xludf.DUMMYFUNCTION("""COMPUTED_VALUE"""),1.005)</f>
        <v>1.005</v>
      </c>
      <c r="E3981" s="16">
        <f>IFERROR(__xludf.DUMMYFUNCTION("""COMPUTED_VALUE"""),70.0)</f>
        <v>70</v>
      </c>
      <c r="F3981" s="19" t="str">
        <f>IFERROR(__xludf.DUMMYFUNCTION("""COMPUTED_VALUE"""),"BLACK")</f>
        <v>BLACK</v>
      </c>
      <c r="G3981" s="20" t="str">
        <f>IFERROR(__xludf.DUMMYFUNCTION("""COMPUTED_VALUE"""),"Uncle Sams Cider (04/04/2023)")</f>
        <v>Uncle Sams Cider (04/04/2023)</v>
      </c>
      <c r="H3981" s="19"/>
    </row>
    <row r="3982">
      <c r="A3982" s="9"/>
      <c r="B3982" s="15"/>
      <c r="C3982" s="9">
        <f>IFERROR(__xludf.DUMMYFUNCTION("""COMPUTED_VALUE"""),45102.9718103472)</f>
        <v>45102.97181</v>
      </c>
      <c r="D3982" s="15">
        <f>IFERROR(__xludf.DUMMYFUNCTION("""COMPUTED_VALUE"""),1.005)</f>
        <v>1.005</v>
      </c>
      <c r="E3982" s="16">
        <f>IFERROR(__xludf.DUMMYFUNCTION("""COMPUTED_VALUE"""),70.0)</f>
        <v>70</v>
      </c>
      <c r="F3982" s="19" t="str">
        <f>IFERROR(__xludf.DUMMYFUNCTION("""COMPUTED_VALUE"""),"BLACK")</f>
        <v>BLACK</v>
      </c>
      <c r="G3982" s="20" t="str">
        <f>IFERROR(__xludf.DUMMYFUNCTION("""COMPUTED_VALUE"""),"Uncle Sams Cider (04/04/2023)")</f>
        <v>Uncle Sams Cider (04/04/2023)</v>
      </c>
      <c r="H3982" s="19"/>
    </row>
    <row r="3983">
      <c r="A3983" s="9"/>
      <c r="B3983" s="15"/>
      <c r="C3983" s="9">
        <f>IFERROR(__xludf.DUMMYFUNCTION("""COMPUTED_VALUE"""),45102.9613912962)</f>
        <v>45102.96139</v>
      </c>
      <c r="D3983" s="15">
        <f>IFERROR(__xludf.DUMMYFUNCTION("""COMPUTED_VALUE"""),1.005)</f>
        <v>1.005</v>
      </c>
      <c r="E3983" s="16">
        <f>IFERROR(__xludf.DUMMYFUNCTION("""COMPUTED_VALUE"""),70.0)</f>
        <v>70</v>
      </c>
      <c r="F3983" s="19" t="str">
        <f>IFERROR(__xludf.DUMMYFUNCTION("""COMPUTED_VALUE"""),"BLACK")</f>
        <v>BLACK</v>
      </c>
      <c r="G3983" s="20" t="str">
        <f>IFERROR(__xludf.DUMMYFUNCTION("""COMPUTED_VALUE"""),"Uncle Sams Cider (04/04/2023)")</f>
        <v>Uncle Sams Cider (04/04/2023)</v>
      </c>
      <c r="H3983" s="19"/>
    </row>
    <row r="3984">
      <c r="A3984" s="9"/>
      <c r="B3984" s="15"/>
      <c r="C3984" s="9">
        <f>IFERROR(__xludf.DUMMYFUNCTION("""COMPUTED_VALUE"""),45102.95096853)</f>
        <v>45102.95097</v>
      </c>
      <c r="D3984" s="15">
        <f>IFERROR(__xludf.DUMMYFUNCTION("""COMPUTED_VALUE"""),1.005)</f>
        <v>1.005</v>
      </c>
      <c r="E3984" s="16">
        <f>IFERROR(__xludf.DUMMYFUNCTION("""COMPUTED_VALUE"""),70.0)</f>
        <v>70</v>
      </c>
      <c r="F3984" s="19" t="str">
        <f>IFERROR(__xludf.DUMMYFUNCTION("""COMPUTED_VALUE"""),"BLACK")</f>
        <v>BLACK</v>
      </c>
      <c r="G3984" s="20" t="str">
        <f>IFERROR(__xludf.DUMMYFUNCTION("""COMPUTED_VALUE"""),"Uncle Sams Cider (04/04/2023)")</f>
        <v>Uncle Sams Cider (04/04/2023)</v>
      </c>
      <c r="H3984" s="19"/>
    </row>
    <row r="3985">
      <c r="A3985" s="9"/>
      <c r="B3985" s="15"/>
      <c r="C3985" s="9">
        <f>IFERROR(__xludf.DUMMYFUNCTION("""COMPUTED_VALUE"""),45102.9405346759)</f>
        <v>45102.94053</v>
      </c>
      <c r="D3985" s="15">
        <f>IFERROR(__xludf.DUMMYFUNCTION("""COMPUTED_VALUE"""),1.005)</f>
        <v>1.005</v>
      </c>
      <c r="E3985" s="16">
        <f>IFERROR(__xludf.DUMMYFUNCTION("""COMPUTED_VALUE"""),70.0)</f>
        <v>70</v>
      </c>
      <c r="F3985" s="19" t="str">
        <f>IFERROR(__xludf.DUMMYFUNCTION("""COMPUTED_VALUE"""),"BLACK")</f>
        <v>BLACK</v>
      </c>
      <c r="G3985" s="20" t="str">
        <f>IFERROR(__xludf.DUMMYFUNCTION("""COMPUTED_VALUE"""),"Uncle Sams Cider (04/04/2023)")</f>
        <v>Uncle Sams Cider (04/04/2023)</v>
      </c>
      <c r="H3985" s="19"/>
    </row>
    <row r="3986">
      <c r="A3986" s="9"/>
      <c r="B3986" s="15"/>
      <c r="C3986" s="9">
        <f>IFERROR(__xludf.DUMMYFUNCTION("""COMPUTED_VALUE"""),45102.9301130555)</f>
        <v>45102.93011</v>
      </c>
      <c r="D3986" s="15">
        <f>IFERROR(__xludf.DUMMYFUNCTION("""COMPUTED_VALUE"""),1.005)</f>
        <v>1.005</v>
      </c>
      <c r="E3986" s="16">
        <f>IFERROR(__xludf.DUMMYFUNCTION("""COMPUTED_VALUE"""),70.0)</f>
        <v>70</v>
      </c>
      <c r="F3986" s="19" t="str">
        <f>IFERROR(__xludf.DUMMYFUNCTION("""COMPUTED_VALUE"""),"BLACK")</f>
        <v>BLACK</v>
      </c>
      <c r="G3986" s="20" t="str">
        <f>IFERROR(__xludf.DUMMYFUNCTION("""COMPUTED_VALUE"""),"Uncle Sams Cider (04/04/2023)")</f>
        <v>Uncle Sams Cider (04/04/2023)</v>
      </c>
      <c r="H3986" s="19"/>
    </row>
    <row r="3987">
      <c r="A3987" s="9"/>
      <c r="B3987" s="15"/>
      <c r="C3987" s="9">
        <f>IFERROR(__xludf.DUMMYFUNCTION("""COMPUTED_VALUE"""),45102.9196923495)</f>
        <v>45102.91969</v>
      </c>
      <c r="D3987" s="15">
        <f>IFERROR(__xludf.DUMMYFUNCTION("""COMPUTED_VALUE"""),1.005)</f>
        <v>1.005</v>
      </c>
      <c r="E3987" s="16">
        <f>IFERROR(__xludf.DUMMYFUNCTION("""COMPUTED_VALUE"""),70.0)</f>
        <v>70</v>
      </c>
      <c r="F3987" s="19" t="str">
        <f>IFERROR(__xludf.DUMMYFUNCTION("""COMPUTED_VALUE"""),"BLACK")</f>
        <v>BLACK</v>
      </c>
      <c r="G3987" s="20" t="str">
        <f>IFERROR(__xludf.DUMMYFUNCTION("""COMPUTED_VALUE"""),"Uncle Sams Cider (04/04/2023)")</f>
        <v>Uncle Sams Cider (04/04/2023)</v>
      </c>
      <c r="H3987" s="19"/>
    </row>
    <row r="3988">
      <c r="A3988" s="9"/>
      <c r="B3988" s="15"/>
      <c r="C3988" s="9">
        <f>IFERROR(__xludf.DUMMYFUNCTION("""COMPUTED_VALUE"""),45102.9092593287)</f>
        <v>45102.90926</v>
      </c>
      <c r="D3988" s="15">
        <f>IFERROR(__xludf.DUMMYFUNCTION("""COMPUTED_VALUE"""),1.005)</f>
        <v>1.005</v>
      </c>
      <c r="E3988" s="16">
        <f>IFERROR(__xludf.DUMMYFUNCTION("""COMPUTED_VALUE"""),70.0)</f>
        <v>70</v>
      </c>
      <c r="F3988" s="19" t="str">
        <f>IFERROR(__xludf.DUMMYFUNCTION("""COMPUTED_VALUE"""),"BLACK")</f>
        <v>BLACK</v>
      </c>
      <c r="G3988" s="20" t="str">
        <f>IFERROR(__xludf.DUMMYFUNCTION("""COMPUTED_VALUE"""),"Uncle Sams Cider (04/04/2023)")</f>
        <v>Uncle Sams Cider (04/04/2023)</v>
      </c>
      <c r="H3988" s="19"/>
    </row>
    <row r="3989">
      <c r="A3989" s="9"/>
      <c r="B3989" s="15"/>
      <c r="C3989" s="9">
        <f>IFERROR(__xludf.DUMMYFUNCTION("""COMPUTED_VALUE"""),45102.8988163773)</f>
        <v>45102.89882</v>
      </c>
      <c r="D3989" s="15">
        <f>IFERROR(__xludf.DUMMYFUNCTION("""COMPUTED_VALUE"""),1.005)</f>
        <v>1.005</v>
      </c>
      <c r="E3989" s="16">
        <f>IFERROR(__xludf.DUMMYFUNCTION("""COMPUTED_VALUE"""),70.0)</f>
        <v>70</v>
      </c>
      <c r="F3989" s="19" t="str">
        <f>IFERROR(__xludf.DUMMYFUNCTION("""COMPUTED_VALUE"""),"BLACK")</f>
        <v>BLACK</v>
      </c>
      <c r="G3989" s="20" t="str">
        <f>IFERROR(__xludf.DUMMYFUNCTION("""COMPUTED_VALUE"""),"Uncle Sams Cider (04/04/2023)")</f>
        <v>Uncle Sams Cider (04/04/2023)</v>
      </c>
      <c r="H3989" s="19"/>
    </row>
    <row r="3990">
      <c r="A3990" s="9"/>
      <c r="B3990" s="15"/>
      <c r="C3990" s="9">
        <f>IFERROR(__xludf.DUMMYFUNCTION("""COMPUTED_VALUE"""),45102.8883937268)</f>
        <v>45102.88839</v>
      </c>
      <c r="D3990" s="15">
        <f>IFERROR(__xludf.DUMMYFUNCTION("""COMPUTED_VALUE"""),1.005)</f>
        <v>1.005</v>
      </c>
      <c r="E3990" s="16">
        <f>IFERROR(__xludf.DUMMYFUNCTION("""COMPUTED_VALUE"""),70.0)</f>
        <v>70</v>
      </c>
      <c r="F3990" s="19" t="str">
        <f>IFERROR(__xludf.DUMMYFUNCTION("""COMPUTED_VALUE"""),"BLACK")</f>
        <v>BLACK</v>
      </c>
      <c r="G3990" s="20" t="str">
        <f>IFERROR(__xludf.DUMMYFUNCTION("""COMPUTED_VALUE"""),"Uncle Sams Cider (04/04/2023)")</f>
        <v>Uncle Sams Cider (04/04/2023)</v>
      </c>
      <c r="H3990" s="19"/>
    </row>
    <row r="3991">
      <c r="A3991" s="9"/>
      <c r="B3991" s="15"/>
      <c r="C3991" s="9">
        <f>IFERROR(__xludf.DUMMYFUNCTION("""COMPUTED_VALUE"""),45102.8779622569)</f>
        <v>45102.87796</v>
      </c>
      <c r="D3991" s="15">
        <f>IFERROR(__xludf.DUMMYFUNCTION("""COMPUTED_VALUE"""),1.005)</f>
        <v>1.005</v>
      </c>
      <c r="E3991" s="16">
        <f>IFERROR(__xludf.DUMMYFUNCTION("""COMPUTED_VALUE"""),70.0)</f>
        <v>70</v>
      </c>
      <c r="F3991" s="19" t="str">
        <f>IFERROR(__xludf.DUMMYFUNCTION("""COMPUTED_VALUE"""),"BLACK")</f>
        <v>BLACK</v>
      </c>
      <c r="G3991" s="20" t="str">
        <f>IFERROR(__xludf.DUMMYFUNCTION("""COMPUTED_VALUE"""),"Uncle Sams Cider (04/04/2023)")</f>
        <v>Uncle Sams Cider (04/04/2023)</v>
      </c>
      <c r="H3991" s="19"/>
    </row>
    <row r="3992">
      <c r="A3992" s="9"/>
      <c r="B3992" s="15"/>
      <c r="C3992" s="9">
        <f>IFERROR(__xludf.DUMMYFUNCTION("""COMPUTED_VALUE"""),45102.867542581)</f>
        <v>45102.86754</v>
      </c>
      <c r="D3992" s="15">
        <f>IFERROR(__xludf.DUMMYFUNCTION("""COMPUTED_VALUE"""),1.005)</f>
        <v>1.005</v>
      </c>
      <c r="E3992" s="16">
        <f>IFERROR(__xludf.DUMMYFUNCTION("""COMPUTED_VALUE"""),70.0)</f>
        <v>70</v>
      </c>
      <c r="F3992" s="19" t="str">
        <f>IFERROR(__xludf.DUMMYFUNCTION("""COMPUTED_VALUE"""),"BLACK")</f>
        <v>BLACK</v>
      </c>
      <c r="G3992" s="20" t="str">
        <f>IFERROR(__xludf.DUMMYFUNCTION("""COMPUTED_VALUE"""),"Uncle Sams Cider (04/04/2023)")</f>
        <v>Uncle Sams Cider (04/04/2023)</v>
      </c>
      <c r="H3992" s="19"/>
    </row>
    <row r="3993">
      <c r="A3993" s="9"/>
      <c r="B3993" s="15"/>
      <c r="C3993" s="9">
        <f>IFERROR(__xludf.DUMMYFUNCTION("""COMPUTED_VALUE"""),45102.857109699)</f>
        <v>45102.85711</v>
      </c>
      <c r="D3993" s="15">
        <f>IFERROR(__xludf.DUMMYFUNCTION("""COMPUTED_VALUE"""),1.005)</f>
        <v>1.005</v>
      </c>
      <c r="E3993" s="16">
        <f>IFERROR(__xludf.DUMMYFUNCTION("""COMPUTED_VALUE"""),70.0)</f>
        <v>70</v>
      </c>
      <c r="F3993" s="19" t="str">
        <f>IFERROR(__xludf.DUMMYFUNCTION("""COMPUTED_VALUE"""),"BLACK")</f>
        <v>BLACK</v>
      </c>
      <c r="G3993" s="20" t="str">
        <f>IFERROR(__xludf.DUMMYFUNCTION("""COMPUTED_VALUE"""),"Uncle Sams Cider (04/04/2023)")</f>
        <v>Uncle Sams Cider (04/04/2023)</v>
      </c>
      <c r="H3993" s="19"/>
    </row>
    <row r="3994">
      <c r="A3994" s="9"/>
      <c r="B3994" s="15"/>
      <c r="C3994" s="9">
        <f>IFERROR(__xludf.DUMMYFUNCTION("""COMPUTED_VALUE"""),45102.846687824)</f>
        <v>45102.84669</v>
      </c>
      <c r="D3994" s="15">
        <f>IFERROR(__xludf.DUMMYFUNCTION("""COMPUTED_VALUE"""),1.005)</f>
        <v>1.005</v>
      </c>
      <c r="E3994" s="16">
        <f>IFERROR(__xludf.DUMMYFUNCTION("""COMPUTED_VALUE"""),70.0)</f>
        <v>70</v>
      </c>
      <c r="F3994" s="19" t="str">
        <f>IFERROR(__xludf.DUMMYFUNCTION("""COMPUTED_VALUE"""),"BLACK")</f>
        <v>BLACK</v>
      </c>
      <c r="G3994" s="20" t="str">
        <f>IFERROR(__xludf.DUMMYFUNCTION("""COMPUTED_VALUE"""),"Uncle Sams Cider (04/04/2023)")</f>
        <v>Uncle Sams Cider (04/04/2023)</v>
      </c>
      <c r="H3994" s="19"/>
    </row>
    <row r="3995">
      <c r="A3995" s="9"/>
      <c r="B3995" s="15"/>
      <c r="C3995" s="9">
        <f>IFERROR(__xludf.DUMMYFUNCTION("""COMPUTED_VALUE"""),45102.8362675115)</f>
        <v>45102.83627</v>
      </c>
      <c r="D3995" s="15">
        <f>IFERROR(__xludf.DUMMYFUNCTION("""COMPUTED_VALUE"""),1.005)</f>
        <v>1.005</v>
      </c>
      <c r="E3995" s="16">
        <f>IFERROR(__xludf.DUMMYFUNCTION("""COMPUTED_VALUE"""),70.0)</f>
        <v>70</v>
      </c>
      <c r="F3995" s="19" t="str">
        <f>IFERROR(__xludf.DUMMYFUNCTION("""COMPUTED_VALUE"""),"BLACK")</f>
        <v>BLACK</v>
      </c>
      <c r="G3995" s="20" t="str">
        <f>IFERROR(__xludf.DUMMYFUNCTION("""COMPUTED_VALUE"""),"Uncle Sams Cider (04/04/2023)")</f>
        <v>Uncle Sams Cider (04/04/2023)</v>
      </c>
      <c r="H3995" s="19"/>
    </row>
    <row r="3996">
      <c r="A3996" s="9"/>
      <c r="B3996" s="15"/>
      <c r="C3996" s="9">
        <f>IFERROR(__xludf.DUMMYFUNCTION("""COMPUTED_VALUE"""),45102.8258454745)</f>
        <v>45102.82585</v>
      </c>
      <c r="D3996" s="15">
        <f>IFERROR(__xludf.DUMMYFUNCTION("""COMPUTED_VALUE"""),1.005)</f>
        <v>1.005</v>
      </c>
      <c r="E3996" s="16">
        <f>IFERROR(__xludf.DUMMYFUNCTION("""COMPUTED_VALUE"""),70.0)</f>
        <v>70</v>
      </c>
      <c r="F3996" s="19" t="str">
        <f>IFERROR(__xludf.DUMMYFUNCTION("""COMPUTED_VALUE"""),"BLACK")</f>
        <v>BLACK</v>
      </c>
      <c r="G3996" s="20" t="str">
        <f>IFERROR(__xludf.DUMMYFUNCTION("""COMPUTED_VALUE"""),"Uncle Sams Cider (04/04/2023)")</f>
        <v>Uncle Sams Cider (04/04/2023)</v>
      </c>
      <c r="H3996" s="19"/>
    </row>
    <row r="3997">
      <c r="A3997" s="9"/>
      <c r="B3997" s="15"/>
      <c r="C3997" s="9">
        <f>IFERROR(__xludf.DUMMYFUNCTION("""COMPUTED_VALUE"""),45102.8154240625)</f>
        <v>45102.81542</v>
      </c>
      <c r="D3997" s="15">
        <f>IFERROR(__xludf.DUMMYFUNCTION("""COMPUTED_VALUE"""),1.005)</f>
        <v>1.005</v>
      </c>
      <c r="E3997" s="16">
        <f>IFERROR(__xludf.DUMMYFUNCTION("""COMPUTED_VALUE"""),70.0)</f>
        <v>70</v>
      </c>
      <c r="F3997" s="19" t="str">
        <f>IFERROR(__xludf.DUMMYFUNCTION("""COMPUTED_VALUE"""),"BLACK")</f>
        <v>BLACK</v>
      </c>
      <c r="G3997" s="20" t="str">
        <f>IFERROR(__xludf.DUMMYFUNCTION("""COMPUTED_VALUE"""),"Uncle Sams Cider (04/04/2023)")</f>
        <v>Uncle Sams Cider (04/04/2023)</v>
      </c>
      <c r="H3997" s="19"/>
    </row>
    <row r="3998">
      <c r="A3998" s="9"/>
      <c r="B3998" s="15"/>
      <c r="C3998" s="9">
        <f>IFERROR(__xludf.DUMMYFUNCTION("""COMPUTED_VALUE"""),45102.8049901041)</f>
        <v>45102.80499</v>
      </c>
      <c r="D3998" s="15">
        <f>IFERROR(__xludf.DUMMYFUNCTION("""COMPUTED_VALUE"""),1.005)</f>
        <v>1.005</v>
      </c>
      <c r="E3998" s="16">
        <f>IFERROR(__xludf.DUMMYFUNCTION("""COMPUTED_VALUE"""),70.0)</f>
        <v>70</v>
      </c>
      <c r="F3998" s="19" t="str">
        <f>IFERROR(__xludf.DUMMYFUNCTION("""COMPUTED_VALUE"""),"BLACK")</f>
        <v>BLACK</v>
      </c>
      <c r="G3998" s="20" t="str">
        <f>IFERROR(__xludf.DUMMYFUNCTION("""COMPUTED_VALUE"""),"Uncle Sams Cider (04/04/2023)")</f>
        <v>Uncle Sams Cider (04/04/2023)</v>
      </c>
      <c r="H3998" s="19"/>
    </row>
    <row r="3999">
      <c r="A3999" s="9"/>
      <c r="B3999" s="15"/>
      <c r="C3999" s="9">
        <f>IFERROR(__xludf.DUMMYFUNCTION("""COMPUTED_VALUE"""),45102.794568206)</f>
        <v>45102.79457</v>
      </c>
      <c r="D3999" s="15">
        <f>IFERROR(__xludf.DUMMYFUNCTION("""COMPUTED_VALUE"""),1.005)</f>
        <v>1.005</v>
      </c>
      <c r="E3999" s="16">
        <f>IFERROR(__xludf.DUMMYFUNCTION("""COMPUTED_VALUE"""),70.0)</f>
        <v>70</v>
      </c>
      <c r="F3999" s="19" t="str">
        <f>IFERROR(__xludf.DUMMYFUNCTION("""COMPUTED_VALUE"""),"BLACK")</f>
        <v>BLACK</v>
      </c>
      <c r="G3999" s="20" t="str">
        <f>IFERROR(__xludf.DUMMYFUNCTION("""COMPUTED_VALUE"""),"Uncle Sams Cider (04/04/2023)")</f>
        <v>Uncle Sams Cider (04/04/2023)</v>
      </c>
      <c r="H3999" s="19"/>
    </row>
    <row r="4000">
      <c r="A4000" s="9"/>
      <c r="B4000" s="15"/>
      <c r="C4000" s="9">
        <f>IFERROR(__xludf.DUMMYFUNCTION("""COMPUTED_VALUE"""),45102.7841465046)</f>
        <v>45102.78415</v>
      </c>
      <c r="D4000" s="15">
        <f>IFERROR(__xludf.DUMMYFUNCTION("""COMPUTED_VALUE"""),1.005)</f>
        <v>1.005</v>
      </c>
      <c r="E4000" s="16">
        <f>IFERROR(__xludf.DUMMYFUNCTION("""COMPUTED_VALUE"""),70.0)</f>
        <v>70</v>
      </c>
      <c r="F4000" s="19" t="str">
        <f>IFERROR(__xludf.DUMMYFUNCTION("""COMPUTED_VALUE"""),"BLACK")</f>
        <v>BLACK</v>
      </c>
      <c r="G4000" s="20" t="str">
        <f>IFERROR(__xludf.DUMMYFUNCTION("""COMPUTED_VALUE"""),"Uncle Sams Cider (04/04/2023)")</f>
        <v>Uncle Sams Cider (04/04/2023)</v>
      </c>
      <c r="H4000" s="19"/>
    </row>
    <row r="4001">
      <c r="A4001" s="9"/>
      <c r="B4001" s="15"/>
      <c r="C4001" s="9">
        <f>IFERROR(__xludf.DUMMYFUNCTION("""COMPUTED_VALUE"""),45102.7737253935)</f>
        <v>45102.77373</v>
      </c>
      <c r="D4001" s="15">
        <f>IFERROR(__xludf.DUMMYFUNCTION("""COMPUTED_VALUE"""),1.005)</f>
        <v>1.005</v>
      </c>
      <c r="E4001" s="16">
        <f>IFERROR(__xludf.DUMMYFUNCTION("""COMPUTED_VALUE"""),70.0)</f>
        <v>70</v>
      </c>
      <c r="F4001" s="19" t="str">
        <f>IFERROR(__xludf.DUMMYFUNCTION("""COMPUTED_VALUE"""),"BLACK")</f>
        <v>BLACK</v>
      </c>
      <c r="G4001" s="20" t="str">
        <f>IFERROR(__xludf.DUMMYFUNCTION("""COMPUTED_VALUE"""),"Uncle Sams Cider (04/04/2023)")</f>
        <v>Uncle Sams Cider (04/04/2023)</v>
      </c>
      <c r="H4001" s="19"/>
    </row>
    <row r="4002">
      <c r="A4002" s="9"/>
      <c r="B4002" s="15"/>
      <c r="C4002" s="9">
        <f>IFERROR(__xludf.DUMMYFUNCTION("""COMPUTED_VALUE"""),45102.7633046759)</f>
        <v>45102.7633</v>
      </c>
      <c r="D4002" s="15">
        <f>IFERROR(__xludf.DUMMYFUNCTION("""COMPUTED_VALUE"""),1.005)</f>
        <v>1.005</v>
      </c>
      <c r="E4002" s="16">
        <f>IFERROR(__xludf.DUMMYFUNCTION("""COMPUTED_VALUE"""),70.0)</f>
        <v>70</v>
      </c>
      <c r="F4002" s="19" t="str">
        <f>IFERROR(__xludf.DUMMYFUNCTION("""COMPUTED_VALUE"""),"BLACK")</f>
        <v>BLACK</v>
      </c>
      <c r="G4002" s="20" t="str">
        <f>IFERROR(__xludf.DUMMYFUNCTION("""COMPUTED_VALUE"""),"Uncle Sams Cider (04/04/2023)")</f>
        <v>Uncle Sams Cider (04/04/2023)</v>
      </c>
      <c r="H4002" s="19"/>
    </row>
    <row r="4003">
      <c r="A4003" s="9"/>
      <c r="B4003" s="15"/>
      <c r="C4003" s="9">
        <f>IFERROR(__xludf.DUMMYFUNCTION("""COMPUTED_VALUE"""),45102.752885625)</f>
        <v>45102.75289</v>
      </c>
      <c r="D4003" s="15">
        <f>IFERROR(__xludf.DUMMYFUNCTION("""COMPUTED_VALUE"""),1.005)</f>
        <v>1.005</v>
      </c>
      <c r="E4003" s="16">
        <f>IFERROR(__xludf.DUMMYFUNCTION("""COMPUTED_VALUE"""),70.0)</f>
        <v>70</v>
      </c>
      <c r="F4003" s="19" t="str">
        <f>IFERROR(__xludf.DUMMYFUNCTION("""COMPUTED_VALUE"""),"BLACK")</f>
        <v>BLACK</v>
      </c>
      <c r="G4003" s="20" t="str">
        <f>IFERROR(__xludf.DUMMYFUNCTION("""COMPUTED_VALUE"""),"Uncle Sams Cider (04/04/2023)")</f>
        <v>Uncle Sams Cider (04/04/2023)</v>
      </c>
      <c r="H4003" s="19"/>
    </row>
    <row r="4004">
      <c r="A4004" s="9"/>
      <c r="B4004" s="15"/>
      <c r="C4004" s="9">
        <f>IFERROR(__xludf.DUMMYFUNCTION("""COMPUTED_VALUE"""),45102.7424646527)</f>
        <v>45102.74246</v>
      </c>
      <c r="D4004" s="15">
        <f>IFERROR(__xludf.DUMMYFUNCTION("""COMPUTED_VALUE"""),1.005)</f>
        <v>1.005</v>
      </c>
      <c r="E4004" s="16">
        <f>IFERROR(__xludf.DUMMYFUNCTION("""COMPUTED_VALUE"""),70.0)</f>
        <v>70</v>
      </c>
      <c r="F4004" s="19" t="str">
        <f>IFERROR(__xludf.DUMMYFUNCTION("""COMPUTED_VALUE"""),"BLACK")</f>
        <v>BLACK</v>
      </c>
      <c r="G4004" s="20" t="str">
        <f>IFERROR(__xludf.DUMMYFUNCTION("""COMPUTED_VALUE"""),"Uncle Sams Cider (04/04/2023)")</f>
        <v>Uncle Sams Cider (04/04/2023)</v>
      </c>
      <c r="H4004" s="19"/>
    </row>
    <row r="4005">
      <c r="A4005" s="9"/>
      <c r="B4005" s="15"/>
      <c r="C4005" s="9">
        <f>IFERROR(__xludf.DUMMYFUNCTION("""COMPUTED_VALUE"""),45102.7320448495)</f>
        <v>45102.73204</v>
      </c>
      <c r="D4005" s="15">
        <f>IFERROR(__xludf.DUMMYFUNCTION("""COMPUTED_VALUE"""),1.005)</f>
        <v>1.005</v>
      </c>
      <c r="E4005" s="16">
        <f>IFERROR(__xludf.DUMMYFUNCTION("""COMPUTED_VALUE"""),70.0)</f>
        <v>70</v>
      </c>
      <c r="F4005" s="19" t="str">
        <f>IFERROR(__xludf.DUMMYFUNCTION("""COMPUTED_VALUE"""),"BLACK")</f>
        <v>BLACK</v>
      </c>
      <c r="G4005" s="20" t="str">
        <f>IFERROR(__xludf.DUMMYFUNCTION("""COMPUTED_VALUE"""),"Uncle Sams Cider (04/04/2023)")</f>
        <v>Uncle Sams Cider (04/04/2023)</v>
      </c>
      <c r="H4005" s="19"/>
    </row>
    <row r="4006">
      <c r="A4006" s="9"/>
      <c r="B4006" s="15"/>
      <c r="C4006" s="9">
        <f>IFERROR(__xludf.DUMMYFUNCTION("""COMPUTED_VALUE"""),45102.7216099189)</f>
        <v>45102.72161</v>
      </c>
      <c r="D4006" s="15">
        <f>IFERROR(__xludf.DUMMYFUNCTION("""COMPUTED_VALUE"""),1.005)</f>
        <v>1.005</v>
      </c>
      <c r="E4006" s="16">
        <f>IFERROR(__xludf.DUMMYFUNCTION("""COMPUTED_VALUE"""),70.0)</f>
        <v>70</v>
      </c>
      <c r="F4006" s="19" t="str">
        <f>IFERROR(__xludf.DUMMYFUNCTION("""COMPUTED_VALUE"""),"BLACK")</f>
        <v>BLACK</v>
      </c>
      <c r="G4006" s="20" t="str">
        <f>IFERROR(__xludf.DUMMYFUNCTION("""COMPUTED_VALUE"""),"Uncle Sams Cider (04/04/2023)")</f>
        <v>Uncle Sams Cider (04/04/2023)</v>
      </c>
      <c r="H4006" s="19"/>
    </row>
    <row r="4007">
      <c r="A4007" s="9"/>
      <c r="B4007" s="15"/>
      <c r="C4007" s="9">
        <f>IFERROR(__xludf.DUMMYFUNCTION("""COMPUTED_VALUE"""),45102.7111887615)</f>
        <v>45102.71119</v>
      </c>
      <c r="D4007" s="15">
        <f>IFERROR(__xludf.DUMMYFUNCTION("""COMPUTED_VALUE"""),1.005)</f>
        <v>1.005</v>
      </c>
      <c r="E4007" s="16">
        <f>IFERROR(__xludf.DUMMYFUNCTION("""COMPUTED_VALUE"""),70.0)</f>
        <v>70</v>
      </c>
      <c r="F4007" s="19" t="str">
        <f>IFERROR(__xludf.DUMMYFUNCTION("""COMPUTED_VALUE"""),"BLACK")</f>
        <v>BLACK</v>
      </c>
      <c r="G4007" s="20" t="str">
        <f>IFERROR(__xludf.DUMMYFUNCTION("""COMPUTED_VALUE"""),"Uncle Sams Cider (04/04/2023)")</f>
        <v>Uncle Sams Cider (04/04/2023)</v>
      </c>
      <c r="H4007" s="19"/>
    </row>
    <row r="4008">
      <c r="A4008" s="9"/>
      <c r="B4008" s="15"/>
      <c r="C4008" s="9">
        <f>IFERROR(__xludf.DUMMYFUNCTION("""COMPUTED_VALUE"""),45102.7007682638)</f>
        <v>45102.70077</v>
      </c>
      <c r="D4008" s="15">
        <f>IFERROR(__xludf.DUMMYFUNCTION("""COMPUTED_VALUE"""),1.005)</f>
        <v>1.005</v>
      </c>
      <c r="E4008" s="16">
        <f>IFERROR(__xludf.DUMMYFUNCTION("""COMPUTED_VALUE"""),70.0)</f>
        <v>70</v>
      </c>
      <c r="F4008" s="19" t="str">
        <f>IFERROR(__xludf.DUMMYFUNCTION("""COMPUTED_VALUE"""),"BLACK")</f>
        <v>BLACK</v>
      </c>
      <c r="G4008" s="20" t="str">
        <f>IFERROR(__xludf.DUMMYFUNCTION("""COMPUTED_VALUE"""),"Uncle Sams Cider (04/04/2023)")</f>
        <v>Uncle Sams Cider (04/04/2023)</v>
      </c>
      <c r="H4008" s="19"/>
    </row>
    <row r="4009">
      <c r="A4009" s="9"/>
      <c r="B4009" s="15"/>
      <c r="C4009" s="9">
        <f>IFERROR(__xludf.DUMMYFUNCTION("""COMPUTED_VALUE"""),45102.6903469328)</f>
        <v>45102.69035</v>
      </c>
      <c r="D4009" s="15">
        <f>IFERROR(__xludf.DUMMYFUNCTION("""COMPUTED_VALUE"""),1.005)</f>
        <v>1.005</v>
      </c>
      <c r="E4009" s="16">
        <f>IFERROR(__xludf.DUMMYFUNCTION("""COMPUTED_VALUE"""),70.0)</f>
        <v>70</v>
      </c>
      <c r="F4009" s="19" t="str">
        <f>IFERROR(__xludf.DUMMYFUNCTION("""COMPUTED_VALUE"""),"BLACK")</f>
        <v>BLACK</v>
      </c>
      <c r="G4009" s="20" t="str">
        <f>IFERROR(__xludf.DUMMYFUNCTION("""COMPUTED_VALUE"""),"Uncle Sams Cider (04/04/2023)")</f>
        <v>Uncle Sams Cider (04/04/2023)</v>
      </c>
      <c r="H4009" s="19"/>
    </row>
    <row r="4010">
      <c r="A4010" s="9"/>
      <c r="B4010" s="15"/>
      <c r="C4010" s="9">
        <f>IFERROR(__xludf.DUMMYFUNCTION("""COMPUTED_VALUE"""),45102.6799271759)</f>
        <v>45102.67993</v>
      </c>
      <c r="D4010" s="15">
        <f>IFERROR(__xludf.DUMMYFUNCTION("""COMPUTED_VALUE"""),1.005)</f>
        <v>1.005</v>
      </c>
      <c r="E4010" s="16">
        <f>IFERROR(__xludf.DUMMYFUNCTION("""COMPUTED_VALUE"""),70.0)</f>
        <v>70</v>
      </c>
      <c r="F4010" s="19" t="str">
        <f>IFERROR(__xludf.DUMMYFUNCTION("""COMPUTED_VALUE"""),"BLACK")</f>
        <v>BLACK</v>
      </c>
      <c r="G4010" s="20" t="str">
        <f>IFERROR(__xludf.DUMMYFUNCTION("""COMPUTED_VALUE"""),"Uncle Sams Cider (04/04/2023)")</f>
        <v>Uncle Sams Cider (04/04/2023)</v>
      </c>
      <c r="H4010" s="19"/>
    </row>
    <row r="4011">
      <c r="A4011" s="9"/>
      <c r="B4011" s="15"/>
      <c r="C4011" s="9">
        <f>IFERROR(__xludf.DUMMYFUNCTION("""COMPUTED_VALUE"""),45102.6694954051)</f>
        <v>45102.6695</v>
      </c>
      <c r="D4011" s="15">
        <f>IFERROR(__xludf.DUMMYFUNCTION("""COMPUTED_VALUE"""),1.005)</f>
        <v>1.005</v>
      </c>
      <c r="E4011" s="16">
        <f>IFERROR(__xludf.DUMMYFUNCTION("""COMPUTED_VALUE"""),70.0)</f>
        <v>70</v>
      </c>
      <c r="F4011" s="19" t="str">
        <f>IFERROR(__xludf.DUMMYFUNCTION("""COMPUTED_VALUE"""),"BLACK")</f>
        <v>BLACK</v>
      </c>
      <c r="G4011" s="20" t="str">
        <f>IFERROR(__xludf.DUMMYFUNCTION("""COMPUTED_VALUE"""),"Uncle Sams Cider (04/04/2023)")</f>
        <v>Uncle Sams Cider (04/04/2023)</v>
      </c>
      <c r="H4011" s="19"/>
    </row>
    <row r="4012">
      <c r="A4012" s="9"/>
      <c r="B4012" s="15"/>
      <c r="C4012" s="9">
        <f>IFERROR(__xludf.DUMMYFUNCTION("""COMPUTED_VALUE"""),45102.6590281828)</f>
        <v>45102.65903</v>
      </c>
      <c r="D4012" s="15">
        <f>IFERROR(__xludf.DUMMYFUNCTION("""COMPUTED_VALUE"""),1.005)</f>
        <v>1.005</v>
      </c>
      <c r="E4012" s="16">
        <f>IFERROR(__xludf.DUMMYFUNCTION("""COMPUTED_VALUE"""),69.0)</f>
        <v>69</v>
      </c>
      <c r="F4012" s="19" t="str">
        <f>IFERROR(__xludf.DUMMYFUNCTION("""COMPUTED_VALUE"""),"BLACK")</f>
        <v>BLACK</v>
      </c>
      <c r="G4012" s="20" t="str">
        <f>IFERROR(__xludf.DUMMYFUNCTION("""COMPUTED_VALUE"""),"Uncle Sams Cider (04/04/2023)")</f>
        <v>Uncle Sams Cider (04/04/2023)</v>
      </c>
      <c r="H4012" s="19"/>
    </row>
    <row r="4013">
      <c r="A4013" s="9"/>
      <c r="B4013" s="15"/>
      <c r="C4013" s="9">
        <f>IFERROR(__xludf.DUMMYFUNCTION("""COMPUTED_VALUE"""),45102.6486070486)</f>
        <v>45102.64861</v>
      </c>
      <c r="D4013" s="15">
        <f>IFERROR(__xludf.DUMMYFUNCTION("""COMPUTED_VALUE"""),1.005)</f>
        <v>1.005</v>
      </c>
      <c r="E4013" s="16">
        <f>IFERROR(__xludf.DUMMYFUNCTION("""COMPUTED_VALUE"""),70.0)</f>
        <v>70</v>
      </c>
      <c r="F4013" s="19" t="str">
        <f>IFERROR(__xludf.DUMMYFUNCTION("""COMPUTED_VALUE"""),"BLACK")</f>
        <v>BLACK</v>
      </c>
      <c r="G4013" s="20" t="str">
        <f>IFERROR(__xludf.DUMMYFUNCTION("""COMPUTED_VALUE"""),"Uncle Sams Cider (04/04/2023)")</f>
        <v>Uncle Sams Cider (04/04/2023)</v>
      </c>
      <c r="H4013" s="19"/>
    </row>
    <row r="4014">
      <c r="A4014" s="9"/>
      <c r="B4014" s="15"/>
      <c r="C4014" s="9">
        <f>IFERROR(__xludf.DUMMYFUNCTION("""COMPUTED_VALUE"""),45102.6381869675)</f>
        <v>45102.63819</v>
      </c>
      <c r="D4014" s="15">
        <f>IFERROR(__xludf.DUMMYFUNCTION("""COMPUTED_VALUE"""),1.005)</f>
        <v>1.005</v>
      </c>
      <c r="E4014" s="16">
        <f>IFERROR(__xludf.DUMMYFUNCTION("""COMPUTED_VALUE"""),70.0)</f>
        <v>70</v>
      </c>
      <c r="F4014" s="19" t="str">
        <f>IFERROR(__xludf.DUMMYFUNCTION("""COMPUTED_VALUE"""),"BLACK")</f>
        <v>BLACK</v>
      </c>
      <c r="G4014" s="20" t="str">
        <f>IFERROR(__xludf.DUMMYFUNCTION("""COMPUTED_VALUE"""),"Uncle Sams Cider (04/04/2023)")</f>
        <v>Uncle Sams Cider (04/04/2023)</v>
      </c>
      <c r="H4014" s="19"/>
    </row>
    <row r="4015">
      <c r="A4015" s="9"/>
      <c r="B4015" s="15"/>
      <c r="C4015" s="9">
        <f>IFERROR(__xludf.DUMMYFUNCTION("""COMPUTED_VALUE"""),45102.6277656481)</f>
        <v>45102.62777</v>
      </c>
      <c r="D4015" s="15">
        <f>IFERROR(__xludf.DUMMYFUNCTION("""COMPUTED_VALUE"""),1.005)</f>
        <v>1.005</v>
      </c>
      <c r="E4015" s="16">
        <f>IFERROR(__xludf.DUMMYFUNCTION("""COMPUTED_VALUE"""),70.0)</f>
        <v>70</v>
      </c>
      <c r="F4015" s="19" t="str">
        <f>IFERROR(__xludf.DUMMYFUNCTION("""COMPUTED_VALUE"""),"BLACK")</f>
        <v>BLACK</v>
      </c>
      <c r="G4015" s="20" t="str">
        <f>IFERROR(__xludf.DUMMYFUNCTION("""COMPUTED_VALUE"""),"Uncle Sams Cider (04/04/2023)")</f>
        <v>Uncle Sams Cider (04/04/2023)</v>
      </c>
      <c r="H4015" s="19"/>
    </row>
    <row r="4016">
      <c r="A4016" s="9"/>
      <c r="B4016" s="15"/>
      <c r="C4016" s="9">
        <f>IFERROR(__xludf.DUMMYFUNCTION("""COMPUTED_VALUE"""),45102.6173456365)</f>
        <v>45102.61735</v>
      </c>
      <c r="D4016" s="15">
        <f>IFERROR(__xludf.DUMMYFUNCTION("""COMPUTED_VALUE"""),1.005)</f>
        <v>1.005</v>
      </c>
      <c r="E4016" s="16">
        <f>IFERROR(__xludf.DUMMYFUNCTION("""COMPUTED_VALUE"""),70.0)</f>
        <v>70</v>
      </c>
      <c r="F4016" s="19" t="str">
        <f>IFERROR(__xludf.DUMMYFUNCTION("""COMPUTED_VALUE"""),"BLACK")</f>
        <v>BLACK</v>
      </c>
      <c r="G4016" s="20" t="str">
        <f>IFERROR(__xludf.DUMMYFUNCTION("""COMPUTED_VALUE"""),"Uncle Sams Cider (04/04/2023)")</f>
        <v>Uncle Sams Cider (04/04/2023)</v>
      </c>
      <c r="H4016" s="19"/>
    </row>
    <row r="4017">
      <c r="A4017" s="9"/>
      <c r="B4017" s="15"/>
      <c r="C4017" s="9">
        <f>IFERROR(__xludf.DUMMYFUNCTION("""COMPUTED_VALUE"""),45102.6069251967)</f>
        <v>45102.60693</v>
      </c>
      <c r="D4017" s="15">
        <f>IFERROR(__xludf.DUMMYFUNCTION("""COMPUTED_VALUE"""),1.005)</f>
        <v>1.005</v>
      </c>
      <c r="E4017" s="16">
        <f>IFERROR(__xludf.DUMMYFUNCTION("""COMPUTED_VALUE"""),70.0)</f>
        <v>70</v>
      </c>
      <c r="F4017" s="19" t="str">
        <f>IFERROR(__xludf.DUMMYFUNCTION("""COMPUTED_VALUE"""),"BLACK")</f>
        <v>BLACK</v>
      </c>
      <c r="G4017" s="20" t="str">
        <f>IFERROR(__xludf.DUMMYFUNCTION("""COMPUTED_VALUE"""),"Uncle Sams Cider (04/04/2023)")</f>
        <v>Uncle Sams Cider (04/04/2023)</v>
      </c>
      <c r="H4017" s="19"/>
    </row>
    <row r="4018">
      <c r="A4018" s="9"/>
      <c r="B4018" s="15"/>
      <c r="C4018" s="9">
        <f>IFERROR(__xludf.DUMMYFUNCTION("""COMPUTED_VALUE"""),45102.5965036689)</f>
        <v>45102.5965</v>
      </c>
      <c r="D4018" s="15">
        <f>IFERROR(__xludf.DUMMYFUNCTION("""COMPUTED_VALUE"""),1.005)</f>
        <v>1.005</v>
      </c>
      <c r="E4018" s="16">
        <f>IFERROR(__xludf.DUMMYFUNCTION("""COMPUTED_VALUE"""),70.0)</f>
        <v>70</v>
      </c>
      <c r="F4018" s="19" t="str">
        <f>IFERROR(__xludf.DUMMYFUNCTION("""COMPUTED_VALUE"""),"BLACK")</f>
        <v>BLACK</v>
      </c>
      <c r="G4018" s="20" t="str">
        <f>IFERROR(__xludf.DUMMYFUNCTION("""COMPUTED_VALUE"""),"Uncle Sams Cider (04/04/2023)")</f>
        <v>Uncle Sams Cider (04/04/2023)</v>
      </c>
      <c r="H4018" s="19"/>
    </row>
    <row r="4019">
      <c r="A4019" s="9"/>
      <c r="B4019" s="15"/>
      <c r="C4019" s="9">
        <f>IFERROR(__xludf.DUMMYFUNCTION("""COMPUTED_VALUE"""),45102.5860827314)</f>
        <v>45102.58608</v>
      </c>
      <c r="D4019" s="15">
        <f>IFERROR(__xludf.DUMMYFUNCTION("""COMPUTED_VALUE"""),1.005)</f>
        <v>1.005</v>
      </c>
      <c r="E4019" s="16">
        <f>IFERROR(__xludf.DUMMYFUNCTION("""COMPUTED_VALUE"""),70.0)</f>
        <v>70</v>
      </c>
      <c r="F4019" s="19" t="str">
        <f>IFERROR(__xludf.DUMMYFUNCTION("""COMPUTED_VALUE"""),"BLACK")</f>
        <v>BLACK</v>
      </c>
      <c r="G4019" s="20" t="str">
        <f>IFERROR(__xludf.DUMMYFUNCTION("""COMPUTED_VALUE"""),"Uncle Sams Cider (04/04/2023)")</f>
        <v>Uncle Sams Cider (04/04/2023)</v>
      </c>
      <c r="H4019" s="19"/>
    </row>
    <row r="4020">
      <c r="A4020" s="9"/>
      <c r="B4020" s="15"/>
      <c r="C4020" s="9">
        <f>IFERROR(__xludf.DUMMYFUNCTION("""COMPUTED_VALUE"""),45102.5756618981)</f>
        <v>45102.57566</v>
      </c>
      <c r="D4020" s="15">
        <f>IFERROR(__xludf.DUMMYFUNCTION("""COMPUTED_VALUE"""),1.005)</f>
        <v>1.005</v>
      </c>
      <c r="E4020" s="16">
        <f>IFERROR(__xludf.DUMMYFUNCTION("""COMPUTED_VALUE"""),70.0)</f>
        <v>70</v>
      </c>
      <c r="F4020" s="19" t="str">
        <f>IFERROR(__xludf.DUMMYFUNCTION("""COMPUTED_VALUE"""),"BLACK")</f>
        <v>BLACK</v>
      </c>
      <c r="G4020" s="20" t="str">
        <f>IFERROR(__xludf.DUMMYFUNCTION("""COMPUTED_VALUE"""),"Uncle Sams Cider (04/04/2023)")</f>
        <v>Uncle Sams Cider (04/04/2023)</v>
      </c>
      <c r="H4020" s="19"/>
    </row>
    <row r="4021">
      <c r="A4021" s="9"/>
      <c r="B4021" s="15"/>
      <c r="C4021" s="9">
        <f>IFERROR(__xludf.DUMMYFUNCTION("""COMPUTED_VALUE"""),45102.5652177314)</f>
        <v>45102.56522</v>
      </c>
      <c r="D4021" s="15">
        <f>IFERROR(__xludf.DUMMYFUNCTION("""COMPUTED_VALUE"""),1.005)</f>
        <v>1.005</v>
      </c>
      <c r="E4021" s="16">
        <f>IFERROR(__xludf.DUMMYFUNCTION("""COMPUTED_VALUE"""),70.0)</f>
        <v>70</v>
      </c>
      <c r="F4021" s="19" t="str">
        <f>IFERROR(__xludf.DUMMYFUNCTION("""COMPUTED_VALUE"""),"BLACK")</f>
        <v>BLACK</v>
      </c>
      <c r="G4021" s="20" t="str">
        <f>IFERROR(__xludf.DUMMYFUNCTION("""COMPUTED_VALUE"""),"Uncle Sams Cider (04/04/2023)")</f>
        <v>Uncle Sams Cider (04/04/2023)</v>
      </c>
      <c r="H4021" s="19"/>
    </row>
    <row r="4022">
      <c r="A4022" s="9"/>
      <c r="B4022" s="15"/>
      <c r="C4022" s="9">
        <f>IFERROR(__xludf.DUMMYFUNCTION("""COMPUTED_VALUE"""),45102.5547969907)</f>
        <v>45102.5548</v>
      </c>
      <c r="D4022" s="15">
        <f>IFERROR(__xludf.DUMMYFUNCTION("""COMPUTED_VALUE"""),1.005)</f>
        <v>1.005</v>
      </c>
      <c r="E4022" s="16">
        <f>IFERROR(__xludf.DUMMYFUNCTION("""COMPUTED_VALUE"""),70.0)</f>
        <v>70</v>
      </c>
      <c r="F4022" s="19" t="str">
        <f>IFERROR(__xludf.DUMMYFUNCTION("""COMPUTED_VALUE"""),"BLACK")</f>
        <v>BLACK</v>
      </c>
      <c r="G4022" s="20" t="str">
        <f>IFERROR(__xludf.DUMMYFUNCTION("""COMPUTED_VALUE"""),"Uncle Sams Cider (04/04/2023)")</f>
        <v>Uncle Sams Cider (04/04/2023)</v>
      </c>
      <c r="H4022" s="19"/>
    </row>
    <row r="4023">
      <c r="A4023" s="9"/>
      <c r="B4023" s="15"/>
      <c r="C4023" s="9">
        <f>IFERROR(__xludf.DUMMYFUNCTION("""COMPUTED_VALUE"""),45102.5443743055)</f>
        <v>45102.54437</v>
      </c>
      <c r="D4023" s="15">
        <f>IFERROR(__xludf.DUMMYFUNCTION("""COMPUTED_VALUE"""),1.005)</f>
        <v>1.005</v>
      </c>
      <c r="E4023" s="16">
        <f>IFERROR(__xludf.DUMMYFUNCTION("""COMPUTED_VALUE"""),70.0)</f>
        <v>70</v>
      </c>
      <c r="F4023" s="19" t="str">
        <f>IFERROR(__xludf.DUMMYFUNCTION("""COMPUTED_VALUE"""),"BLACK")</f>
        <v>BLACK</v>
      </c>
      <c r="G4023" s="20" t="str">
        <f>IFERROR(__xludf.DUMMYFUNCTION("""COMPUTED_VALUE"""),"Uncle Sams Cider (04/04/2023)")</f>
        <v>Uncle Sams Cider (04/04/2023)</v>
      </c>
      <c r="H4023" s="19"/>
    </row>
    <row r="4024">
      <c r="A4024" s="9"/>
      <c r="B4024" s="15"/>
      <c r="C4024" s="9">
        <f>IFERROR(__xludf.DUMMYFUNCTION("""COMPUTED_VALUE"""),45102.5339537384)</f>
        <v>45102.53395</v>
      </c>
      <c r="D4024" s="15">
        <f>IFERROR(__xludf.DUMMYFUNCTION("""COMPUTED_VALUE"""),1.005)</f>
        <v>1.005</v>
      </c>
      <c r="E4024" s="16">
        <f>IFERROR(__xludf.DUMMYFUNCTION("""COMPUTED_VALUE"""),70.0)</f>
        <v>70</v>
      </c>
      <c r="F4024" s="19" t="str">
        <f>IFERROR(__xludf.DUMMYFUNCTION("""COMPUTED_VALUE"""),"BLACK")</f>
        <v>BLACK</v>
      </c>
      <c r="G4024" s="20" t="str">
        <f>IFERROR(__xludf.DUMMYFUNCTION("""COMPUTED_VALUE"""),"Uncle Sams Cider (04/04/2023)")</f>
        <v>Uncle Sams Cider (04/04/2023)</v>
      </c>
      <c r="H4024" s="19"/>
    </row>
    <row r="4025">
      <c r="A4025" s="9"/>
      <c r="B4025" s="15"/>
      <c r="C4025" s="9">
        <f>IFERROR(__xludf.DUMMYFUNCTION("""COMPUTED_VALUE"""),45102.5235309143)</f>
        <v>45102.52353</v>
      </c>
      <c r="D4025" s="15">
        <f>IFERROR(__xludf.DUMMYFUNCTION("""COMPUTED_VALUE"""),1.005)</f>
        <v>1.005</v>
      </c>
      <c r="E4025" s="16">
        <f>IFERROR(__xludf.DUMMYFUNCTION("""COMPUTED_VALUE"""),70.0)</f>
        <v>70</v>
      </c>
      <c r="F4025" s="19" t="str">
        <f>IFERROR(__xludf.DUMMYFUNCTION("""COMPUTED_VALUE"""),"BLACK")</f>
        <v>BLACK</v>
      </c>
      <c r="G4025" s="20" t="str">
        <f>IFERROR(__xludf.DUMMYFUNCTION("""COMPUTED_VALUE"""),"Uncle Sams Cider (04/04/2023)")</f>
        <v>Uncle Sams Cider (04/04/2023)</v>
      </c>
      <c r="H4025" s="19"/>
    </row>
    <row r="4026">
      <c r="A4026" s="9"/>
      <c r="B4026" s="15"/>
      <c r="C4026" s="9">
        <f>IFERROR(__xludf.DUMMYFUNCTION("""COMPUTED_VALUE"""),45102.5131105439)</f>
        <v>45102.51311</v>
      </c>
      <c r="D4026" s="15">
        <f>IFERROR(__xludf.DUMMYFUNCTION("""COMPUTED_VALUE"""),1.005)</f>
        <v>1.005</v>
      </c>
      <c r="E4026" s="16">
        <f>IFERROR(__xludf.DUMMYFUNCTION("""COMPUTED_VALUE"""),70.0)</f>
        <v>70</v>
      </c>
      <c r="F4026" s="19" t="str">
        <f>IFERROR(__xludf.DUMMYFUNCTION("""COMPUTED_VALUE"""),"BLACK")</f>
        <v>BLACK</v>
      </c>
      <c r="G4026" s="20" t="str">
        <f>IFERROR(__xludf.DUMMYFUNCTION("""COMPUTED_VALUE"""),"Uncle Sams Cider (04/04/2023)")</f>
        <v>Uncle Sams Cider (04/04/2023)</v>
      </c>
      <c r="H4026" s="19"/>
    </row>
    <row r="4027">
      <c r="A4027" s="9"/>
      <c r="B4027" s="15"/>
      <c r="C4027" s="9">
        <f>IFERROR(__xludf.DUMMYFUNCTION("""COMPUTED_VALUE"""),45102.5026893402)</f>
        <v>45102.50269</v>
      </c>
      <c r="D4027" s="15">
        <f>IFERROR(__xludf.DUMMYFUNCTION("""COMPUTED_VALUE"""),1.005)</f>
        <v>1.005</v>
      </c>
      <c r="E4027" s="16">
        <f>IFERROR(__xludf.DUMMYFUNCTION("""COMPUTED_VALUE"""),70.0)</f>
        <v>70</v>
      </c>
      <c r="F4027" s="19" t="str">
        <f>IFERROR(__xludf.DUMMYFUNCTION("""COMPUTED_VALUE"""),"BLACK")</f>
        <v>BLACK</v>
      </c>
      <c r="G4027" s="20" t="str">
        <f>IFERROR(__xludf.DUMMYFUNCTION("""COMPUTED_VALUE"""),"Uncle Sams Cider (04/04/2023)")</f>
        <v>Uncle Sams Cider (04/04/2023)</v>
      </c>
      <c r="H4027" s="19"/>
    </row>
    <row r="4028">
      <c r="A4028" s="9"/>
      <c r="B4028" s="15"/>
      <c r="C4028" s="9">
        <f>IFERROR(__xludf.DUMMYFUNCTION("""COMPUTED_VALUE"""),45102.4922678472)</f>
        <v>45102.49227</v>
      </c>
      <c r="D4028" s="15">
        <f>IFERROR(__xludf.DUMMYFUNCTION("""COMPUTED_VALUE"""),1.005)</f>
        <v>1.005</v>
      </c>
      <c r="E4028" s="16">
        <f>IFERROR(__xludf.DUMMYFUNCTION("""COMPUTED_VALUE"""),70.0)</f>
        <v>70</v>
      </c>
      <c r="F4028" s="19" t="str">
        <f>IFERROR(__xludf.DUMMYFUNCTION("""COMPUTED_VALUE"""),"BLACK")</f>
        <v>BLACK</v>
      </c>
      <c r="G4028" s="20" t="str">
        <f>IFERROR(__xludf.DUMMYFUNCTION("""COMPUTED_VALUE"""),"Uncle Sams Cider (04/04/2023)")</f>
        <v>Uncle Sams Cider (04/04/2023)</v>
      </c>
      <c r="H4028" s="19"/>
    </row>
    <row r="4029">
      <c r="A4029" s="9"/>
      <c r="B4029" s="15"/>
      <c r="C4029" s="9">
        <f>IFERROR(__xludf.DUMMYFUNCTION("""COMPUTED_VALUE"""),45102.4818477662)</f>
        <v>45102.48185</v>
      </c>
      <c r="D4029" s="15">
        <f>IFERROR(__xludf.DUMMYFUNCTION("""COMPUTED_VALUE"""),1.005)</f>
        <v>1.005</v>
      </c>
      <c r="E4029" s="16">
        <f>IFERROR(__xludf.DUMMYFUNCTION("""COMPUTED_VALUE"""),70.0)</f>
        <v>70</v>
      </c>
      <c r="F4029" s="19" t="str">
        <f>IFERROR(__xludf.DUMMYFUNCTION("""COMPUTED_VALUE"""),"BLACK")</f>
        <v>BLACK</v>
      </c>
      <c r="G4029" s="20" t="str">
        <f>IFERROR(__xludf.DUMMYFUNCTION("""COMPUTED_VALUE"""),"Uncle Sams Cider (04/04/2023)")</f>
        <v>Uncle Sams Cider (04/04/2023)</v>
      </c>
      <c r="H4029" s="19"/>
    </row>
    <row r="4030">
      <c r="A4030" s="9"/>
      <c r="B4030" s="15"/>
      <c r="C4030" s="9">
        <f>IFERROR(__xludf.DUMMYFUNCTION("""COMPUTED_VALUE"""),45102.4714264814)</f>
        <v>45102.47143</v>
      </c>
      <c r="D4030" s="15">
        <f>IFERROR(__xludf.DUMMYFUNCTION("""COMPUTED_VALUE"""),1.005)</f>
        <v>1.005</v>
      </c>
      <c r="E4030" s="16">
        <f>IFERROR(__xludf.DUMMYFUNCTION("""COMPUTED_VALUE"""),70.0)</f>
        <v>70</v>
      </c>
      <c r="F4030" s="19" t="str">
        <f>IFERROR(__xludf.DUMMYFUNCTION("""COMPUTED_VALUE"""),"BLACK")</f>
        <v>BLACK</v>
      </c>
      <c r="G4030" s="20" t="str">
        <f>IFERROR(__xludf.DUMMYFUNCTION("""COMPUTED_VALUE"""),"Uncle Sams Cider (04/04/2023)")</f>
        <v>Uncle Sams Cider (04/04/2023)</v>
      </c>
      <c r="H4030" s="19"/>
    </row>
    <row r="4031">
      <c r="A4031" s="9"/>
      <c r="B4031" s="15"/>
      <c r="C4031" s="9">
        <f>IFERROR(__xludf.DUMMYFUNCTION("""COMPUTED_VALUE"""),45102.4610057754)</f>
        <v>45102.46101</v>
      </c>
      <c r="D4031" s="15">
        <f>IFERROR(__xludf.DUMMYFUNCTION("""COMPUTED_VALUE"""),1.005)</f>
        <v>1.005</v>
      </c>
      <c r="E4031" s="16">
        <f>IFERROR(__xludf.DUMMYFUNCTION("""COMPUTED_VALUE"""),70.0)</f>
        <v>70</v>
      </c>
      <c r="F4031" s="19" t="str">
        <f>IFERROR(__xludf.DUMMYFUNCTION("""COMPUTED_VALUE"""),"BLACK")</f>
        <v>BLACK</v>
      </c>
      <c r="G4031" s="20" t="str">
        <f>IFERROR(__xludf.DUMMYFUNCTION("""COMPUTED_VALUE"""),"Uncle Sams Cider (04/04/2023)")</f>
        <v>Uncle Sams Cider (04/04/2023)</v>
      </c>
      <c r="H4031" s="19"/>
    </row>
    <row r="4032">
      <c r="A4032" s="9"/>
      <c r="B4032" s="15"/>
      <c r="C4032" s="9">
        <f>IFERROR(__xludf.DUMMYFUNCTION("""COMPUTED_VALUE"""),45102.4505853009)</f>
        <v>45102.45059</v>
      </c>
      <c r="D4032" s="15">
        <f>IFERROR(__xludf.DUMMYFUNCTION("""COMPUTED_VALUE"""),1.005)</f>
        <v>1.005</v>
      </c>
      <c r="E4032" s="16">
        <f>IFERROR(__xludf.DUMMYFUNCTION("""COMPUTED_VALUE"""),70.0)</f>
        <v>70</v>
      </c>
      <c r="F4032" s="19" t="str">
        <f>IFERROR(__xludf.DUMMYFUNCTION("""COMPUTED_VALUE"""),"BLACK")</f>
        <v>BLACK</v>
      </c>
      <c r="G4032" s="20" t="str">
        <f>IFERROR(__xludf.DUMMYFUNCTION("""COMPUTED_VALUE"""),"Uncle Sams Cider (04/04/2023)")</f>
        <v>Uncle Sams Cider (04/04/2023)</v>
      </c>
      <c r="H4032" s="19"/>
    </row>
    <row r="4033">
      <c r="A4033" s="9"/>
      <c r="B4033" s="15"/>
      <c r="C4033" s="9">
        <f>IFERROR(__xludf.DUMMYFUNCTION("""COMPUTED_VALUE"""),45102.4401647106)</f>
        <v>45102.44016</v>
      </c>
      <c r="D4033" s="15">
        <f>IFERROR(__xludf.DUMMYFUNCTION("""COMPUTED_VALUE"""),1.005)</f>
        <v>1.005</v>
      </c>
      <c r="E4033" s="16">
        <f>IFERROR(__xludf.DUMMYFUNCTION("""COMPUTED_VALUE"""),70.0)</f>
        <v>70</v>
      </c>
      <c r="F4033" s="19" t="str">
        <f>IFERROR(__xludf.DUMMYFUNCTION("""COMPUTED_VALUE"""),"BLACK")</f>
        <v>BLACK</v>
      </c>
      <c r="G4033" s="20" t="str">
        <f>IFERROR(__xludf.DUMMYFUNCTION("""COMPUTED_VALUE"""),"Uncle Sams Cider (04/04/2023)")</f>
        <v>Uncle Sams Cider (04/04/2023)</v>
      </c>
      <c r="H4033" s="19"/>
    </row>
    <row r="4034">
      <c r="A4034" s="9"/>
      <c r="B4034" s="15"/>
      <c r="C4034" s="9">
        <f>IFERROR(__xludf.DUMMYFUNCTION("""COMPUTED_VALUE"""),45102.4297079282)</f>
        <v>45102.42971</v>
      </c>
      <c r="D4034" s="15">
        <f>IFERROR(__xludf.DUMMYFUNCTION("""COMPUTED_VALUE"""),1.005)</f>
        <v>1.005</v>
      </c>
      <c r="E4034" s="16">
        <f>IFERROR(__xludf.DUMMYFUNCTION("""COMPUTED_VALUE"""),70.0)</f>
        <v>70</v>
      </c>
      <c r="F4034" s="19" t="str">
        <f>IFERROR(__xludf.DUMMYFUNCTION("""COMPUTED_VALUE"""),"BLACK")</f>
        <v>BLACK</v>
      </c>
      <c r="G4034" s="20" t="str">
        <f>IFERROR(__xludf.DUMMYFUNCTION("""COMPUTED_VALUE"""),"Uncle Sams Cider (04/04/2023)")</f>
        <v>Uncle Sams Cider (04/04/2023)</v>
      </c>
      <c r="H4034" s="19"/>
    </row>
    <row r="4035">
      <c r="A4035" s="9"/>
      <c r="B4035" s="15"/>
      <c r="C4035" s="9">
        <f>IFERROR(__xludf.DUMMYFUNCTION("""COMPUTED_VALUE"""),45102.4192871412)</f>
        <v>45102.41929</v>
      </c>
      <c r="D4035" s="15">
        <f>IFERROR(__xludf.DUMMYFUNCTION("""COMPUTED_VALUE"""),1.004)</f>
        <v>1.004</v>
      </c>
      <c r="E4035" s="16">
        <f>IFERROR(__xludf.DUMMYFUNCTION("""COMPUTED_VALUE"""),70.0)</f>
        <v>70</v>
      </c>
      <c r="F4035" s="19" t="str">
        <f>IFERROR(__xludf.DUMMYFUNCTION("""COMPUTED_VALUE"""),"BLACK")</f>
        <v>BLACK</v>
      </c>
      <c r="G4035" s="20" t="str">
        <f>IFERROR(__xludf.DUMMYFUNCTION("""COMPUTED_VALUE"""),"Uncle Sams Cider (04/04/2023)")</f>
        <v>Uncle Sams Cider (04/04/2023)</v>
      </c>
      <c r="H4035" s="19"/>
    </row>
    <row r="4036">
      <c r="A4036" s="9"/>
      <c r="B4036" s="15"/>
      <c r="C4036" s="9">
        <f>IFERROR(__xludf.DUMMYFUNCTION("""COMPUTED_VALUE"""),45102.408865243)</f>
        <v>45102.40887</v>
      </c>
      <c r="D4036" s="15">
        <f>IFERROR(__xludf.DUMMYFUNCTION("""COMPUTED_VALUE"""),1.005)</f>
        <v>1.005</v>
      </c>
      <c r="E4036" s="16">
        <f>IFERROR(__xludf.DUMMYFUNCTION("""COMPUTED_VALUE"""),70.0)</f>
        <v>70</v>
      </c>
      <c r="F4036" s="19" t="str">
        <f>IFERROR(__xludf.DUMMYFUNCTION("""COMPUTED_VALUE"""),"BLACK")</f>
        <v>BLACK</v>
      </c>
      <c r="G4036" s="20" t="str">
        <f>IFERROR(__xludf.DUMMYFUNCTION("""COMPUTED_VALUE"""),"Uncle Sams Cider (04/04/2023)")</f>
        <v>Uncle Sams Cider (04/04/2023)</v>
      </c>
      <c r="H4036" s="19"/>
    </row>
    <row r="4037">
      <c r="A4037" s="9"/>
      <c r="B4037" s="15"/>
      <c r="C4037" s="9">
        <f>IFERROR(__xludf.DUMMYFUNCTION("""COMPUTED_VALUE"""),45102.3984450694)</f>
        <v>45102.39845</v>
      </c>
      <c r="D4037" s="15">
        <f>IFERROR(__xludf.DUMMYFUNCTION("""COMPUTED_VALUE"""),1.005)</f>
        <v>1.005</v>
      </c>
      <c r="E4037" s="16">
        <f>IFERROR(__xludf.DUMMYFUNCTION("""COMPUTED_VALUE"""),70.0)</f>
        <v>70</v>
      </c>
      <c r="F4037" s="19" t="str">
        <f>IFERROR(__xludf.DUMMYFUNCTION("""COMPUTED_VALUE"""),"BLACK")</f>
        <v>BLACK</v>
      </c>
      <c r="G4037" s="20" t="str">
        <f>IFERROR(__xludf.DUMMYFUNCTION("""COMPUTED_VALUE"""),"Uncle Sams Cider (04/04/2023)")</f>
        <v>Uncle Sams Cider (04/04/2023)</v>
      </c>
      <c r="H4037" s="19"/>
    </row>
    <row r="4038">
      <c r="A4038" s="9"/>
      <c r="B4038" s="15"/>
      <c r="C4038" s="9">
        <f>IFERROR(__xludf.DUMMYFUNCTION("""COMPUTED_VALUE"""),45102.3880110416)</f>
        <v>45102.38801</v>
      </c>
      <c r="D4038" s="15">
        <f>IFERROR(__xludf.DUMMYFUNCTION("""COMPUTED_VALUE"""),1.005)</f>
        <v>1.005</v>
      </c>
      <c r="E4038" s="16">
        <f>IFERROR(__xludf.DUMMYFUNCTION("""COMPUTED_VALUE"""),70.0)</f>
        <v>70</v>
      </c>
      <c r="F4038" s="19" t="str">
        <f>IFERROR(__xludf.DUMMYFUNCTION("""COMPUTED_VALUE"""),"BLACK")</f>
        <v>BLACK</v>
      </c>
      <c r="G4038" s="20" t="str">
        <f>IFERROR(__xludf.DUMMYFUNCTION("""COMPUTED_VALUE"""),"Uncle Sams Cider (04/04/2023)")</f>
        <v>Uncle Sams Cider (04/04/2023)</v>
      </c>
      <c r="H4038" s="19"/>
    </row>
    <row r="4039">
      <c r="A4039" s="9"/>
      <c r="B4039" s="15"/>
      <c r="C4039" s="9">
        <f>IFERROR(__xludf.DUMMYFUNCTION("""COMPUTED_VALUE"""),45102.3775901041)</f>
        <v>45102.37759</v>
      </c>
      <c r="D4039" s="15">
        <f>IFERROR(__xludf.DUMMYFUNCTION("""COMPUTED_VALUE"""),1.005)</f>
        <v>1.005</v>
      </c>
      <c r="E4039" s="16">
        <f>IFERROR(__xludf.DUMMYFUNCTION("""COMPUTED_VALUE"""),70.0)</f>
        <v>70</v>
      </c>
      <c r="F4039" s="19" t="str">
        <f>IFERROR(__xludf.DUMMYFUNCTION("""COMPUTED_VALUE"""),"BLACK")</f>
        <v>BLACK</v>
      </c>
      <c r="G4039" s="20" t="str">
        <f>IFERROR(__xludf.DUMMYFUNCTION("""COMPUTED_VALUE"""),"Uncle Sams Cider (04/04/2023)")</f>
        <v>Uncle Sams Cider (04/04/2023)</v>
      </c>
      <c r="H4039" s="19"/>
    </row>
    <row r="4040">
      <c r="A4040" s="9"/>
      <c r="B4040" s="15"/>
      <c r="C4040" s="9">
        <f>IFERROR(__xludf.DUMMYFUNCTION("""COMPUTED_VALUE"""),45102.36716728)</f>
        <v>45102.36717</v>
      </c>
      <c r="D4040" s="15">
        <f>IFERROR(__xludf.DUMMYFUNCTION("""COMPUTED_VALUE"""),1.005)</f>
        <v>1.005</v>
      </c>
      <c r="E4040" s="16">
        <f>IFERROR(__xludf.DUMMYFUNCTION("""COMPUTED_VALUE"""),70.0)</f>
        <v>70</v>
      </c>
      <c r="F4040" s="19" t="str">
        <f>IFERROR(__xludf.DUMMYFUNCTION("""COMPUTED_VALUE"""),"BLACK")</f>
        <v>BLACK</v>
      </c>
      <c r="G4040" s="20" t="str">
        <f>IFERROR(__xludf.DUMMYFUNCTION("""COMPUTED_VALUE"""),"Uncle Sams Cider (04/04/2023)")</f>
        <v>Uncle Sams Cider (04/04/2023)</v>
      </c>
      <c r="H4040" s="19"/>
    </row>
    <row r="4041">
      <c r="A4041" s="9"/>
      <c r="B4041" s="15"/>
      <c r="C4041" s="9">
        <f>IFERROR(__xludf.DUMMYFUNCTION("""COMPUTED_VALUE"""),45102.356746331)</f>
        <v>45102.35675</v>
      </c>
      <c r="D4041" s="15">
        <f>IFERROR(__xludf.DUMMYFUNCTION("""COMPUTED_VALUE"""),1.005)</f>
        <v>1.005</v>
      </c>
      <c r="E4041" s="16">
        <f>IFERROR(__xludf.DUMMYFUNCTION("""COMPUTED_VALUE"""),70.0)</f>
        <v>70</v>
      </c>
      <c r="F4041" s="19" t="str">
        <f>IFERROR(__xludf.DUMMYFUNCTION("""COMPUTED_VALUE"""),"BLACK")</f>
        <v>BLACK</v>
      </c>
      <c r="G4041" s="20" t="str">
        <f>IFERROR(__xludf.DUMMYFUNCTION("""COMPUTED_VALUE"""),"Uncle Sams Cider (04/04/2023)")</f>
        <v>Uncle Sams Cider (04/04/2023)</v>
      </c>
      <c r="H4041" s="19"/>
    </row>
    <row r="4042">
      <c r="A4042" s="9"/>
      <c r="B4042" s="15"/>
      <c r="C4042" s="9">
        <f>IFERROR(__xludf.DUMMYFUNCTION("""COMPUTED_VALUE"""),45102.346325625)</f>
        <v>45102.34633</v>
      </c>
      <c r="D4042" s="15">
        <f>IFERROR(__xludf.DUMMYFUNCTION("""COMPUTED_VALUE"""),1.005)</f>
        <v>1.005</v>
      </c>
      <c r="E4042" s="16">
        <f>IFERROR(__xludf.DUMMYFUNCTION("""COMPUTED_VALUE"""),70.0)</f>
        <v>70</v>
      </c>
      <c r="F4042" s="19" t="str">
        <f>IFERROR(__xludf.DUMMYFUNCTION("""COMPUTED_VALUE"""),"BLACK")</f>
        <v>BLACK</v>
      </c>
      <c r="G4042" s="20" t="str">
        <f>IFERROR(__xludf.DUMMYFUNCTION("""COMPUTED_VALUE"""),"Uncle Sams Cider (04/04/2023)")</f>
        <v>Uncle Sams Cider (04/04/2023)</v>
      </c>
      <c r="H4042" s="19"/>
    </row>
    <row r="4043">
      <c r="A4043" s="9"/>
      <c r="B4043" s="15"/>
      <c r="C4043" s="9">
        <f>IFERROR(__xludf.DUMMYFUNCTION("""COMPUTED_VALUE"""),45102.3359048379)</f>
        <v>45102.3359</v>
      </c>
      <c r="D4043" s="15">
        <f>IFERROR(__xludf.DUMMYFUNCTION("""COMPUTED_VALUE"""),1.005)</f>
        <v>1.005</v>
      </c>
      <c r="E4043" s="16">
        <f>IFERROR(__xludf.DUMMYFUNCTION("""COMPUTED_VALUE"""),70.0)</f>
        <v>70</v>
      </c>
      <c r="F4043" s="19" t="str">
        <f>IFERROR(__xludf.DUMMYFUNCTION("""COMPUTED_VALUE"""),"BLACK")</f>
        <v>BLACK</v>
      </c>
      <c r="G4043" s="20" t="str">
        <f>IFERROR(__xludf.DUMMYFUNCTION("""COMPUTED_VALUE"""),"Uncle Sams Cider (04/04/2023)")</f>
        <v>Uncle Sams Cider (04/04/2023)</v>
      </c>
      <c r="H4043" s="19"/>
    </row>
    <row r="4044">
      <c r="A4044" s="9"/>
      <c r="B4044" s="15"/>
      <c r="C4044" s="9">
        <f>IFERROR(__xludf.DUMMYFUNCTION("""COMPUTED_VALUE"""),45102.3254710648)</f>
        <v>45102.32547</v>
      </c>
      <c r="D4044" s="15">
        <f>IFERROR(__xludf.DUMMYFUNCTION("""COMPUTED_VALUE"""),1.005)</f>
        <v>1.005</v>
      </c>
      <c r="E4044" s="16">
        <f>IFERROR(__xludf.DUMMYFUNCTION("""COMPUTED_VALUE"""),70.0)</f>
        <v>70</v>
      </c>
      <c r="F4044" s="19" t="str">
        <f>IFERROR(__xludf.DUMMYFUNCTION("""COMPUTED_VALUE"""),"BLACK")</f>
        <v>BLACK</v>
      </c>
      <c r="G4044" s="20" t="str">
        <f>IFERROR(__xludf.DUMMYFUNCTION("""COMPUTED_VALUE"""),"Uncle Sams Cider (04/04/2023)")</f>
        <v>Uncle Sams Cider (04/04/2023)</v>
      </c>
      <c r="H4044" s="19"/>
    </row>
    <row r="4045">
      <c r="A4045" s="9"/>
      <c r="B4045" s="15"/>
      <c r="C4045" s="9">
        <f>IFERROR(__xludf.DUMMYFUNCTION("""COMPUTED_VALUE"""),45102.3150271064)</f>
        <v>45102.31503</v>
      </c>
      <c r="D4045" s="15">
        <f>IFERROR(__xludf.DUMMYFUNCTION("""COMPUTED_VALUE"""),1.005)</f>
        <v>1.005</v>
      </c>
      <c r="E4045" s="16">
        <f>IFERROR(__xludf.DUMMYFUNCTION("""COMPUTED_VALUE"""),70.0)</f>
        <v>70</v>
      </c>
      <c r="F4045" s="19" t="str">
        <f>IFERROR(__xludf.DUMMYFUNCTION("""COMPUTED_VALUE"""),"BLACK")</f>
        <v>BLACK</v>
      </c>
      <c r="G4045" s="20" t="str">
        <f>IFERROR(__xludf.DUMMYFUNCTION("""COMPUTED_VALUE"""),"Uncle Sams Cider (04/04/2023)")</f>
        <v>Uncle Sams Cider (04/04/2023)</v>
      </c>
      <c r="H4045" s="19"/>
    </row>
    <row r="4046">
      <c r="A4046" s="9"/>
      <c r="B4046" s="15"/>
      <c r="C4046" s="9">
        <f>IFERROR(__xludf.DUMMYFUNCTION("""COMPUTED_VALUE"""),45102.304604537)</f>
        <v>45102.3046</v>
      </c>
      <c r="D4046" s="15">
        <f>IFERROR(__xludf.DUMMYFUNCTION("""COMPUTED_VALUE"""),1.005)</f>
        <v>1.005</v>
      </c>
      <c r="E4046" s="16">
        <f>IFERROR(__xludf.DUMMYFUNCTION("""COMPUTED_VALUE"""),70.0)</f>
        <v>70</v>
      </c>
      <c r="F4046" s="19" t="str">
        <f>IFERROR(__xludf.DUMMYFUNCTION("""COMPUTED_VALUE"""),"BLACK")</f>
        <v>BLACK</v>
      </c>
      <c r="G4046" s="20" t="str">
        <f>IFERROR(__xludf.DUMMYFUNCTION("""COMPUTED_VALUE"""),"Uncle Sams Cider (04/04/2023)")</f>
        <v>Uncle Sams Cider (04/04/2023)</v>
      </c>
      <c r="H4046" s="19"/>
    </row>
    <row r="4047">
      <c r="A4047" s="9"/>
      <c r="B4047" s="15"/>
      <c r="C4047" s="9">
        <f>IFERROR(__xludf.DUMMYFUNCTION("""COMPUTED_VALUE"""),45102.2941841203)</f>
        <v>45102.29418</v>
      </c>
      <c r="D4047" s="15">
        <f>IFERROR(__xludf.DUMMYFUNCTION("""COMPUTED_VALUE"""),1.005)</f>
        <v>1.005</v>
      </c>
      <c r="E4047" s="16">
        <f>IFERROR(__xludf.DUMMYFUNCTION("""COMPUTED_VALUE"""),70.0)</f>
        <v>70</v>
      </c>
      <c r="F4047" s="19" t="str">
        <f>IFERROR(__xludf.DUMMYFUNCTION("""COMPUTED_VALUE"""),"BLACK")</f>
        <v>BLACK</v>
      </c>
      <c r="G4047" s="20" t="str">
        <f>IFERROR(__xludf.DUMMYFUNCTION("""COMPUTED_VALUE"""),"Uncle Sams Cider (04/04/2023)")</f>
        <v>Uncle Sams Cider (04/04/2023)</v>
      </c>
      <c r="H4047" s="19"/>
    </row>
    <row r="4048">
      <c r="A4048" s="9"/>
      <c r="B4048" s="15"/>
      <c r="C4048" s="9">
        <f>IFERROR(__xludf.DUMMYFUNCTION("""COMPUTED_VALUE"""),45102.2837630092)</f>
        <v>45102.28376</v>
      </c>
      <c r="D4048" s="15">
        <f>IFERROR(__xludf.DUMMYFUNCTION("""COMPUTED_VALUE"""),1.005)</f>
        <v>1.005</v>
      </c>
      <c r="E4048" s="16">
        <f>IFERROR(__xludf.DUMMYFUNCTION("""COMPUTED_VALUE"""),70.0)</f>
        <v>70</v>
      </c>
      <c r="F4048" s="19" t="str">
        <f>IFERROR(__xludf.DUMMYFUNCTION("""COMPUTED_VALUE"""),"BLACK")</f>
        <v>BLACK</v>
      </c>
      <c r="G4048" s="20" t="str">
        <f>IFERROR(__xludf.DUMMYFUNCTION("""COMPUTED_VALUE"""),"Uncle Sams Cider (04/04/2023)")</f>
        <v>Uncle Sams Cider (04/04/2023)</v>
      </c>
      <c r="H4048" s="19"/>
    </row>
    <row r="4049">
      <c r="A4049" s="9"/>
      <c r="B4049" s="15"/>
      <c r="C4049" s="9">
        <f>IFERROR(__xludf.DUMMYFUNCTION("""COMPUTED_VALUE"""),45102.2733314699)</f>
        <v>45102.27333</v>
      </c>
      <c r="D4049" s="15">
        <f>IFERROR(__xludf.DUMMYFUNCTION("""COMPUTED_VALUE"""),1.005)</f>
        <v>1.005</v>
      </c>
      <c r="E4049" s="16">
        <f>IFERROR(__xludf.DUMMYFUNCTION("""COMPUTED_VALUE"""),70.0)</f>
        <v>70</v>
      </c>
      <c r="F4049" s="19" t="str">
        <f>IFERROR(__xludf.DUMMYFUNCTION("""COMPUTED_VALUE"""),"BLACK")</f>
        <v>BLACK</v>
      </c>
      <c r="G4049" s="20" t="str">
        <f>IFERROR(__xludf.DUMMYFUNCTION("""COMPUTED_VALUE"""),"Uncle Sams Cider (04/04/2023)")</f>
        <v>Uncle Sams Cider (04/04/2023)</v>
      </c>
      <c r="H4049" s="19"/>
    </row>
    <row r="4050">
      <c r="A4050" s="9"/>
      <c r="B4050" s="15"/>
      <c r="C4050" s="9">
        <f>IFERROR(__xludf.DUMMYFUNCTION("""COMPUTED_VALUE"""),45102.2629110416)</f>
        <v>45102.26291</v>
      </c>
      <c r="D4050" s="15">
        <f>IFERROR(__xludf.DUMMYFUNCTION("""COMPUTED_VALUE"""),1.005)</f>
        <v>1.005</v>
      </c>
      <c r="E4050" s="16">
        <f>IFERROR(__xludf.DUMMYFUNCTION("""COMPUTED_VALUE"""),70.0)</f>
        <v>70</v>
      </c>
      <c r="F4050" s="19" t="str">
        <f>IFERROR(__xludf.DUMMYFUNCTION("""COMPUTED_VALUE"""),"BLACK")</f>
        <v>BLACK</v>
      </c>
      <c r="G4050" s="20" t="str">
        <f>IFERROR(__xludf.DUMMYFUNCTION("""COMPUTED_VALUE"""),"Uncle Sams Cider (04/04/2023)")</f>
        <v>Uncle Sams Cider (04/04/2023)</v>
      </c>
      <c r="H4050" s="19"/>
    </row>
    <row r="4051">
      <c r="A4051" s="9"/>
      <c r="B4051" s="15"/>
      <c r="C4051" s="9">
        <f>IFERROR(__xludf.DUMMYFUNCTION("""COMPUTED_VALUE"""),45102.2524893171)</f>
        <v>45102.25249</v>
      </c>
      <c r="D4051" s="15">
        <f>IFERROR(__xludf.DUMMYFUNCTION("""COMPUTED_VALUE"""),1.005)</f>
        <v>1.005</v>
      </c>
      <c r="E4051" s="16">
        <f>IFERROR(__xludf.DUMMYFUNCTION("""COMPUTED_VALUE"""),70.0)</f>
        <v>70</v>
      </c>
      <c r="F4051" s="19" t="str">
        <f>IFERROR(__xludf.DUMMYFUNCTION("""COMPUTED_VALUE"""),"BLACK")</f>
        <v>BLACK</v>
      </c>
      <c r="G4051" s="20" t="str">
        <f>IFERROR(__xludf.DUMMYFUNCTION("""COMPUTED_VALUE"""),"Uncle Sams Cider (04/04/2023)")</f>
        <v>Uncle Sams Cider (04/04/2023)</v>
      </c>
      <c r="H4051" s="19"/>
    </row>
    <row r="4052">
      <c r="A4052" s="9"/>
      <c r="B4052" s="15"/>
      <c r="C4052" s="9">
        <f>IFERROR(__xludf.DUMMYFUNCTION("""COMPUTED_VALUE"""),45102.2420672453)</f>
        <v>45102.24207</v>
      </c>
      <c r="D4052" s="15">
        <f>IFERROR(__xludf.DUMMYFUNCTION("""COMPUTED_VALUE"""),1.005)</f>
        <v>1.005</v>
      </c>
      <c r="E4052" s="16">
        <f>IFERROR(__xludf.DUMMYFUNCTION("""COMPUTED_VALUE"""),69.0)</f>
        <v>69</v>
      </c>
      <c r="F4052" s="19" t="str">
        <f>IFERROR(__xludf.DUMMYFUNCTION("""COMPUTED_VALUE"""),"BLACK")</f>
        <v>BLACK</v>
      </c>
      <c r="G4052" s="20" t="str">
        <f>IFERROR(__xludf.DUMMYFUNCTION("""COMPUTED_VALUE"""),"Uncle Sams Cider (04/04/2023)")</f>
        <v>Uncle Sams Cider (04/04/2023)</v>
      </c>
      <c r="H4052" s="19"/>
    </row>
    <row r="4053">
      <c r="A4053" s="9"/>
      <c r="B4053" s="15"/>
      <c r="C4053" s="9">
        <f>IFERROR(__xludf.DUMMYFUNCTION("""COMPUTED_VALUE"""),45102.2316457754)</f>
        <v>45102.23165</v>
      </c>
      <c r="D4053" s="15">
        <f>IFERROR(__xludf.DUMMYFUNCTION("""COMPUTED_VALUE"""),1.005)</f>
        <v>1.005</v>
      </c>
      <c r="E4053" s="16">
        <f>IFERROR(__xludf.DUMMYFUNCTION("""COMPUTED_VALUE"""),70.0)</f>
        <v>70</v>
      </c>
      <c r="F4053" s="19" t="str">
        <f>IFERROR(__xludf.DUMMYFUNCTION("""COMPUTED_VALUE"""),"BLACK")</f>
        <v>BLACK</v>
      </c>
      <c r="G4053" s="20" t="str">
        <f>IFERROR(__xludf.DUMMYFUNCTION("""COMPUTED_VALUE"""),"Uncle Sams Cider (04/04/2023)")</f>
        <v>Uncle Sams Cider (04/04/2023)</v>
      </c>
      <c r="H4053" s="19"/>
    </row>
    <row r="4054">
      <c r="A4054" s="9"/>
      <c r="B4054" s="15"/>
      <c r="C4054" s="9">
        <f>IFERROR(__xludf.DUMMYFUNCTION("""COMPUTED_VALUE"""),45102.2212233796)</f>
        <v>45102.22122</v>
      </c>
      <c r="D4054" s="15">
        <f>IFERROR(__xludf.DUMMYFUNCTION("""COMPUTED_VALUE"""),1.005)</f>
        <v>1.005</v>
      </c>
      <c r="E4054" s="16">
        <f>IFERROR(__xludf.DUMMYFUNCTION("""COMPUTED_VALUE"""),70.0)</f>
        <v>70</v>
      </c>
      <c r="F4054" s="19" t="str">
        <f>IFERROR(__xludf.DUMMYFUNCTION("""COMPUTED_VALUE"""),"BLACK")</f>
        <v>BLACK</v>
      </c>
      <c r="G4054" s="20" t="str">
        <f>IFERROR(__xludf.DUMMYFUNCTION("""COMPUTED_VALUE"""),"Uncle Sams Cider (04/04/2023)")</f>
        <v>Uncle Sams Cider (04/04/2023)</v>
      </c>
      <c r="H4054" s="19"/>
    </row>
    <row r="4055">
      <c r="A4055" s="9"/>
      <c r="B4055" s="15"/>
      <c r="C4055" s="9">
        <f>IFERROR(__xludf.DUMMYFUNCTION("""COMPUTED_VALUE"""),45102.2108026041)</f>
        <v>45102.2108</v>
      </c>
      <c r="D4055" s="15">
        <f>IFERROR(__xludf.DUMMYFUNCTION("""COMPUTED_VALUE"""),1.005)</f>
        <v>1.005</v>
      </c>
      <c r="E4055" s="16">
        <f>IFERROR(__xludf.DUMMYFUNCTION("""COMPUTED_VALUE"""),70.0)</f>
        <v>70</v>
      </c>
      <c r="F4055" s="19" t="str">
        <f>IFERROR(__xludf.DUMMYFUNCTION("""COMPUTED_VALUE"""),"BLACK")</f>
        <v>BLACK</v>
      </c>
      <c r="G4055" s="20" t="str">
        <f>IFERROR(__xludf.DUMMYFUNCTION("""COMPUTED_VALUE"""),"Uncle Sams Cider (04/04/2023)")</f>
        <v>Uncle Sams Cider (04/04/2023)</v>
      </c>
      <c r="H4055" s="19"/>
    </row>
    <row r="4056">
      <c r="A4056" s="9"/>
      <c r="B4056" s="15"/>
      <c r="C4056" s="9">
        <f>IFERROR(__xludf.DUMMYFUNCTION("""COMPUTED_VALUE"""),45102.2003825462)</f>
        <v>45102.20038</v>
      </c>
      <c r="D4056" s="15">
        <f>IFERROR(__xludf.DUMMYFUNCTION("""COMPUTED_VALUE"""),1.005)</f>
        <v>1.005</v>
      </c>
      <c r="E4056" s="16">
        <f>IFERROR(__xludf.DUMMYFUNCTION("""COMPUTED_VALUE"""),70.0)</f>
        <v>70</v>
      </c>
      <c r="F4056" s="19" t="str">
        <f>IFERROR(__xludf.DUMMYFUNCTION("""COMPUTED_VALUE"""),"BLACK")</f>
        <v>BLACK</v>
      </c>
      <c r="G4056" s="20" t="str">
        <f>IFERROR(__xludf.DUMMYFUNCTION("""COMPUTED_VALUE"""),"Uncle Sams Cider (04/04/2023)")</f>
        <v>Uncle Sams Cider (04/04/2023)</v>
      </c>
      <c r="H4056" s="19"/>
    </row>
    <row r="4057">
      <c r="A4057" s="9"/>
      <c r="B4057" s="15"/>
      <c r="C4057" s="9">
        <f>IFERROR(__xludf.DUMMYFUNCTION("""COMPUTED_VALUE"""),45102.1899603703)</f>
        <v>45102.18996</v>
      </c>
      <c r="D4057" s="15">
        <f>IFERROR(__xludf.DUMMYFUNCTION("""COMPUTED_VALUE"""),1.005)</f>
        <v>1.005</v>
      </c>
      <c r="E4057" s="16">
        <f>IFERROR(__xludf.DUMMYFUNCTION("""COMPUTED_VALUE"""),69.0)</f>
        <v>69</v>
      </c>
      <c r="F4057" s="19" t="str">
        <f>IFERROR(__xludf.DUMMYFUNCTION("""COMPUTED_VALUE"""),"BLACK")</f>
        <v>BLACK</v>
      </c>
      <c r="G4057" s="20" t="str">
        <f>IFERROR(__xludf.DUMMYFUNCTION("""COMPUTED_VALUE"""),"Uncle Sams Cider (04/04/2023)")</f>
        <v>Uncle Sams Cider (04/04/2023)</v>
      </c>
      <c r="H4057" s="19"/>
    </row>
    <row r="4058">
      <c r="A4058" s="9"/>
      <c r="B4058" s="15"/>
      <c r="C4058" s="9">
        <f>IFERROR(__xludf.DUMMYFUNCTION("""COMPUTED_VALUE"""),45102.1795397569)</f>
        <v>45102.17954</v>
      </c>
      <c r="D4058" s="15">
        <f>IFERROR(__xludf.DUMMYFUNCTION("""COMPUTED_VALUE"""),1.004)</f>
        <v>1.004</v>
      </c>
      <c r="E4058" s="16">
        <f>IFERROR(__xludf.DUMMYFUNCTION("""COMPUTED_VALUE"""),69.0)</f>
        <v>69</v>
      </c>
      <c r="F4058" s="19" t="str">
        <f>IFERROR(__xludf.DUMMYFUNCTION("""COMPUTED_VALUE"""),"BLACK")</f>
        <v>BLACK</v>
      </c>
      <c r="G4058" s="20" t="str">
        <f>IFERROR(__xludf.DUMMYFUNCTION("""COMPUTED_VALUE"""),"Uncle Sams Cider (04/04/2023)")</f>
        <v>Uncle Sams Cider (04/04/2023)</v>
      </c>
      <c r="H4058" s="19"/>
    </row>
    <row r="4059">
      <c r="A4059" s="9"/>
      <c r="B4059" s="15"/>
      <c r="C4059" s="9">
        <f>IFERROR(__xludf.DUMMYFUNCTION("""COMPUTED_VALUE"""),45102.1691088194)</f>
        <v>45102.16911</v>
      </c>
      <c r="D4059" s="15">
        <f>IFERROR(__xludf.DUMMYFUNCTION("""COMPUTED_VALUE"""),1.005)</f>
        <v>1.005</v>
      </c>
      <c r="E4059" s="16">
        <f>IFERROR(__xludf.DUMMYFUNCTION("""COMPUTED_VALUE"""),69.0)</f>
        <v>69</v>
      </c>
      <c r="F4059" s="19" t="str">
        <f>IFERROR(__xludf.DUMMYFUNCTION("""COMPUTED_VALUE"""),"BLACK")</f>
        <v>BLACK</v>
      </c>
      <c r="G4059" s="20" t="str">
        <f>IFERROR(__xludf.DUMMYFUNCTION("""COMPUTED_VALUE"""),"Uncle Sams Cider (04/04/2023)")</f>
        <v>Uncle Sams Cider (04/04/2023)</v>
      </c>
      <c r="H4059" s="19"/>
    </row>
    <row r="4060">
      <c r="A4060" s="9"/>
      <c r="B4060" s="15"/>
      <c r="C4060" s="9">
        <f>IFERROR(__xludf.DUMMYFUNCTION("""COMPUTED_VALUE"""),45102.1586881828)</f>
        <v>45102.15869</v>
      </c>
      <c r="D4060" s="15">
        <f>IFERROR(__xludf.DUMMYFUNCTION("""COMPUTED_VALUE"""),1.005)</f>
        <v>1.005</v>
      </c>
      <c r="E4060" s="16">
        <f>IFERROR(__xludf.DUMMYFUNCTION("""COMPUTED_VALUE"""),70.0)</f>
        <v>70</v>
      </c>
      <c r="F4060" s="19" t="str">
        <f>IFERROR(__xludf.DUMMYFUNCTION("""COMPUTED_VALUE"""),"BLACK")</f>
        <v>BLACK</v>
      </c>
      <c r="G4060" s="20" t="str">
        <f>IFERROR(__xludf.DUMMYFUNCTION("""COMPUTED_VALUE"""),"Uncle Sams Cider (04/04/2023)")</f>
        <v>Uncle Sams Cider (04/04/2023)</v>
      </c>
      <c r="H4060" s="19"/>
    </row>
    <row r="4061">
      <c r="A4061" s="9"/>
      <c r="B4061" s="15"/>
      <c r="C4061" s="9">
        <f>IFERROR(__xludf.DUMMYFUNCTION("""COMPUTED_VALUE"""),45102.1482568865)</f>
        <v>45102.14826</v>
      </c>
      <c r="D4061" s="15">
        <f>IFERROR(__xludf.DUMMYFUNCTION("""COMPUTED_VALUE"""),1.005)</f>
        <v>1.005</v>
      </c>
      <c r="E4061" s="16">
        <f>IFERROR(__xludf.DUMMYFUNCTION("""COMPUTED_VALUE"""),69.0)</f>
        <v>69</v>
      </c>
      <c r="F4061" s="19" t="str">
        <f>IFERROR(__xludf.DUMMYFUNCTION("""COMPUTED_VALUE"""),"BLACK")</f>
        <v>BLACK</v>
      </c>
      <c r="G4061" s="20" t="str">
        <f>IFERROR(__xludf.DUMMYFUNCTION("""COMPUTED_VALUE"""),"Uncle Sams Cider (04/04/2023)")</f>
        <v>Uncle Sams Cider (04/04/2023)</v>
      </c>
      <c r="H4061" s="19"/>
    </row>
    <row r="4062">
      <c r="A4062" s="9"/>
      <c r="B4062" s="15"/>
      <c r="C4062" s="9">
        <f>IFERROR(__xludf.DUMMYFUNCTION("""COMPUTED_VALUE"""),45102.1378344791)</f>
        <v>45102.13783</v>
      </c>
      <c r="D4062" s="15">
        <f>IFERROR(__xludf.DUMMYFUNCTION("""COMPUTED_VALUE"""),1.005)</f>
        <v>1.005</v>
      </c>
      <c r="E4062" s="16">
        <f>IFERROR(__xludf.DUMMYFUNCTION("""COMPUTED_VALUE"""),70.0)</f>
        <v>70</v>
      </c>
      <c r="F4062" s="19" t="str">
        <f>IFERROR(__xludf.DUMMYFUNCTION("""COMPUTED_VALUE"""),"BLACK")</f>
        <v>BLACK</v>
      </c>
      <c r="G4062" s="20" t="str">
        <f>IFERROR(__xludf.DUMMYFUNCTION("""COMPUTED_VALUE"""),"Uncle Sams Cider (04/04/2023)")</f>
        <v>Uncle Sams Cider (04/04/2023)</v>
      </c>
      <c r="H4062" s="19"/>
    </row>
    <row r="4063">
      <c r="A4063" s="9"/>
      <c r="B4063" s="15"/>
      <c r="C4063" s="9">
        <f>IFERROR(__xludf.DUMMYFUNCTION("""COMPUTED_VALUE"""),45102.1274146875)</f>
        <v>45102.12741</v>
      </c>
      <c r="D4063" s="15">
        <f>IFERROR(__xludf.DUMMYFUNCTION("""COMPUTED_VALUE"""),1.005)</f>
        <v>1.005</v>
      </c>
      <c r="E4063" s="16">
        <f>IFERROR(__xludf.DUMMYFUNCTION("""COMPUTED_VALUE"""),69.0)</f>
        <v>69</v>
      </c>
      <c r="F4063" s="19" t="str">
        <f>IFERROR(__xludf.DUMMYFUNCTION("""COMPUTED_VALUE"""),"BLACK")</f>
        <v>BLACK</v>
      </c>
      <c r="G4063" s="20" t="str">
        <f>IFERROR(__xludf.DUMMYFUNCTION("""COMPUTED_VALUE"""),"Uncle Sams Cider (04/04/2023)")</f>
        <v>Uncle Sams Cider (04/04/2023)</v>
      </c>
      <c r="H4063" s="19"/>
    </row>
    <row r="4064">
      <c r="A4064" s="9"/>
      <c r="B4064" s="15"/>
      <c r="C4064" s="9">
        <f>IFERROR(__xludf.DUMMYFUNCTION("""COMPUTED_VALUE"""),45102.1169827314)</f>
        <v>45102.11698</v>
      </c>
      <c r="D4064" s="15">
        <f>IFERROR(__xludf.DUMMYFUNCTION("""COMPUTED_VALUE"""),1.005)</f>
        <v>1.005</v>
      </c>
      <c r="E4064" s="16">
        <f>IFERROR(__xludf.DUMMYFUNCTION("""COMPUTED_VALUE"""),69.0)</f>
        <v>69</v>
      </c>
      <c r="F4064" s="19" t="str">
        <f>IFERROR(__xludf.DUMMYFUNCTION("""COMPUTED_VALUE"""),"BLACK")</f>
        <v>BLACK</v>
      </c>
      <c r="G4064" s="20" t="str">
        <f>IFERROR(__xludf.DUMMYFUNCTION("""COMPUTED_VALUE"""),"Uncle Sams Cider (04/04/2023)")</f>
        <v>Uncle Sams Cider (04/04/2023)</v>
      </c>
      <c r="H4064" s="19"/>
    </row>
    <row r="4065">
      <c r="A4065" s="9"/>
      <c r="B4065" s="15"/>
      <c r="C4065" s="9">
        <f>IFERROR(__xludf.DUMMYFUNCTION("""COMPUTED_VALUE"""),45102.1065510069)</f>
        <v>45102.10655</v>
      </c>
      <c r="D4065" s="15">
        <f>IFERROR(__xludf.DUMMYFUNCTION("""COMPUTED_VALUE"""),1.005)</f>
        <v>1.005</v>
      </c>
      <c r="E4065" s="16">
        <f>IFERROR(__xludf.DUMMYFUNCTION("""COMPUTED_VALUE"""),69.0)</f>
        <v>69</v>
      </c>
      <c r="F4065" s="19" t="str">
        <f>IFERROR(__xludf.DUMMYFUNCTION("""COMPUTED_VALUE"""),"BLACK")</f>
        <v>BLACK</v>
      </c>
      <c r="G4065" s="20" t="str">
        <f>IFERROR(__xludf.DUMMYFUNCTION("""COMPUTED_VALUE"""),"Uncle Sams Cider (04/04/2023)")</f>
        <v>Uncle Sams Cider (04/04/2023)</v>
      </c>
      <c r="H4065" s="19"/>
    </row>
    <row r="4066">
      <c r="A4066" s="9"/>
      <c r="B4066" s="15"/>
      <c r="C4066" s="9">
        <f>IFERROR(__xludf.DUMMYFUNCTION("""COMPUTED_VALUE"""),45102.0961292245)</f>
        <v>45102.09613</v>
      </c>
      <c r="D4066" s="15">
        <f>IFERROR(__xludf.DUMMYFUNCTION("""COMPUTED_VALUE"""),1.005)</f>
        <v>1.005</v>
      </c>
      <c r="E4066" s="16">
        <f>IFERROR(__xludf.DUMMYFUNCTION("""COMPUTED_VALUE"""),70.0)</f>
        <v>70</v>
      </c>
      <c r="F4066" s="19" t="str">
        <f>IFERROR(__xludf.DUMMYFUNCTION("""COMPUTED_VALUE"""),"BLACK")</f>
        <v>BLACK</v>
      </c>
      <c r="G4066" s="20" t="str">
        <f>IFERROR(__xludf.DUMMYFUNCTION("""COMPUTED_VALUE"""),"Uncle Sams Cider (04/04/2023)")</f>
        <v>Uncle Sams Cider (04/04/2023)</v>
      </c>
      <c r="H4066" s="19"/>
    </row>
    <row r="4067">
      <c r="A4067" s="9"/>
      <c r="B4067" s="15"/>
      <c r="C4067" s="9">
        <f>IFERROR(__xludf.DUMMYFUNCTION("""COMPUTED_VALUE"""),45102.0857103356)</f>
        <v>45102.08571</v>
      </c>
      <c r="D4067" s="15">
        <f>IFERROR(__xludf.DUMMYFUNCTION("""COMPUTED_VALUE"""),1.005)</f>
        <v>1.005</v>
      </c>
      <c r="E4067" s="16">
        <f>IFERROR(__xludf.DUMMYFUNCTION("""COMPUTED_VALUE"""),69.0)</f>
        <v>69</v>
      </c>
      <c r="F4067" s="19" t="str">
        <f>IFERROR(__xludf.DUMMYFUNCTION("""COMPUTED_VALUE"""),"BLACK")</f>
        <v>BLACK</v>
      </c>
      <c r="G4067" s="20" t="str">
        <f>IFERROR(__xludf.DUMMYFUNCTION("""COMPUTED_VALUE"""),"Uncle Sams Cider (04/04/2023)")</f>
        <v>Uncle Sams Cider (04/04/2023)</v>
      </c>
      <c r="H4067" s="19"/>
    </row>
    <row r="4068">
      <c r="A4068" s="9"/>
      <c r="B4068" s="15"/>
      <c r="C4068" s="9">
        <f>IFERROR(__xludf.DUMMYFUNCTION("""COMPUTED_VALUE"""),45102.0752880324)</f>
        <v>45102.07529</v>
      </c>
      <c r="D4068" s="15">
        <f>IFERROR(__xludf.DUMMYFUNCTION("""COMPUTED_VALUE"""),1.005)</f>
        <v>1.005</v>
      </c>
      <c r="E4068" s="16">
        <f>IFERROR(__xludf.DUMMYFUNCTION("""COMPUTED_VALUE"""),69.0)</f>
        <v>69</v>
      </c>
      <c r="F4068" s="19" t="str">
        <f>IFERROR(__xludf.DUMMYFUNCTION("""COMPUTED_VALUE"""),"BLACK")</f>
        <v>BLACK</v>
      </c>
      <c r="G4068" s="20" t="str">
        <f>IFERROR(__xludf.DUMMYFUNCTION("""COMPUTED_VALUE"""),"Uncle Sams Cider (04/04/2023)")</f>
        <v>Uncle Sams Cider (04/04/2023)</v>
      </c>
      <c r="H4068" s="19"/>
    </row>
    <row r="4069">
      <c r="A4069" s="9"/>
      <c r="B4069" s="15"/>
      <c r="C4069" s="9">
        <f>IFERROR(__xludf.DUMMYFUNCTION("""COMPUTED_VALUE"""),45102.064856331)</f>
        <v>45102.06486</v>
      </c>
      <c r="D4069" s="15">
        <f>IFERROR(__xludf.DUMMYFUNCTION("""COMPUTED_VALUE"""),1.005)</f>
        <v>1.005</v>
      </c>
      <c r="E4069" s="16">
        <f>IFERROR(__xludf.DUMMYFUNCTION("""COMPUTED_VALUE"""),70.0)</f>
        <v>70</v>
      </c>
      <c r="F4069" s="19" t="str">
        <f>IFERROR(__xludf.DUMMYFUNCTION("""COMPUTED_VALUE"""),"BLACK")</f>
        <v>BLACK</v>
      </c>
      <c r="G4069" s="20" t="str">
        <f>IFERROR(__xludf.DUMMYFUNCTION("""COMPUTED_VALUE"""),"Uncle Sams Cider (04/04/2023)")</f>
        <v>Uncle Sams Cider (04/04/2023)</v>
      </c>
      <c r="H4069" s="19"/>
    </row>
    <row r="4070">
      <c r="A4070" s="9"/>
      <c r="B4070" s="15"/>
      <c r="C4070" s="9">
        <f>IFERROR(__xludf.DUMMYFUNCTION("""COMPUTED_VALUE"""),45102.0544224074)</f>
        <v>45102.05442</v>
      </c>
      <c r="D4070" s="15">
        <f>IFERROR(__xludf.DUMMYFUNCTION("""COMPUTED_VALUE"""),1.005)</f>
        <v>1.005</v>
      </c>
      <c r="E4070" s="16">
        <f>IFERROR(__xludf.DUMMYFUNCTION("""COMPUTED_VALUE"""),70.0)</f>
        <v>70</v>
      </c>
      <c r="F4070" s="19" t="str">
        <f>IFERROR(__xludf.DUMMYFUNCTION("""COMPUTED_VALUE"""),"BLACK")</f>
        <v>BLACK</v>
      </c>
      <c r="G4070" s="20" t="str">
        <f>IFERROR(__xludf.DUMMYFUNCTION("""COMPUTED_VALUE"""),"Uncle Sams Cider (04/04/2023)")</f>
        <v>Uncle Sams Cider (04/04/2023)</v>
      </c>
      <c r="H4070" s="19"/>
    </row>
    <row r="4071">
      <c r="A4071" s="9"/>
      <c r="B4071" s="15"/>
      <c r="C4071" s="9">
        <f>IFERROR(__xludf.DUMMYFUNCTION("""COMPUTED_VALUE"""),45102.0440025)</f>
        <v>45102.044</v>
      </c>
      <c r="D4071" s="15">
        <f>IFERROR(__xludf.DUMMYFUNCTION("""COMPUTED_VALUE"""),1.005)</f>
        <v>1.005</v>
      </c>
      <c r="E4071" s="16">
        <f>IFERROR(__xludf.DUMMYFUNCTION("""COMPUTED_VALUE"""),69.0)</f>
        <v>69</v>
      </c>
      <c r="F4071" s="19" t="str">
        <f>IFERROR(__xludf.DUMMYFUNCTION("""COMPUTED_VALUE"""),"BLACK")</f>
        <v>BLACK</v>
      </c>
      <c r="G4071" s="20" t="str">
        <f>IFERROR(__xludf.DUMMYFUNCTION("""COMPUTED_VALUE"""),"Uncle Sams Cider (04/04/2023)")</f>
        <v>Uncle Sams Cider (04/04/2023)</v>
      </c>
      <c r="H4071" s="19"/>
    </row>
    <row r="4072">
      <c r="A4072" s="9"/>
      <c r="B4072" s="15"/>
      <c r="C4072" s="9">
        <f>IFERROR(__xludf.DUMMYFUNCTION("""COMPUTED_VALUE"""),45102.0335795023)</f>
        <v>45102.03358</v>
      </c>
      <c r="D4072" s="15">
        <f>IFERROR(__xludf.DUMMYFUNCTION("""COMPUTED_VALUE"""),1.005)</f>
        <v>1.005</v>
      </c>
      <c r="E4072" s="16">
        <f>IFERROR(__xludf.DUMMYFUNCTION("""COMPUTED_VALUE"""),69.0)</f>
        <v>69</v>
      </c>
      <c r="F4072" s="19" t="str">
        <f>IFERROR(__xludf.DUMMYFUNCTION("""COMPUTED_VALUE"""),"BLACK")</f>
        <v>BLACK</v>
      </c>
      <c r="G4072" s="20" t="str">
        <f>IFERROR(__xludf.DUMMYFUNCTION("""COMPUTED_VALUE"""),"Uncle Sams Cider (04/04/2023)")</f>
        <v>Uncle Sams Cider (04/04/2023)</v>
      </c>
      <c r="H4072" s="19"/>
    </row>
    <row r="4073">
      <c r="A4073" s="9"/>
      <c r="B4073" s="15"/>
      <c r="C4073" s="9">
        <f>IFERROR(__xludf.DUMMYFUNCTION("""COMPUTED_VALUE"""),45102.023158287)</f>
        <v>45102.02316</v>
      </c>
      <c r="D4073" s="15">
        <f>IFERROR(__xludf.DUMMYFUNCTION("""COMPUTED_VALUE"""),1.005)</f>
        <v>1.005</v>
      </c>
      <c r="E4073" s="16">
        <f>IFERROR(__xludf.DUMMYFUNCTION("""COMPUTED_VALUE"""),69.0)</f>
        <v>69</v>
      </c>
      <c r="F4073" s="19" t="str">
        <f>IFERROR(__xludf.DUMMYFUNCTION("""COMPUTED_VALUE"""),"BLACK")</f>
        <v>BLACK</v>
      </c>
      <c r="G4073" s="20" t="str">
        <f>IFERROR(__xludf.DUMMYFUNCTION("""COMPUTED_VALUE"""),"Uncle Sams Cider (04/04/2023)")</f>
        <v>Uncle Sams Cider (04/04/2023)</v>
      </c>
      <c r="H4073" s="19"/>
    </row>
    <row r="4074">
      <c r="A4074" s="9"/>
      <c r="B4074" s="15"/>
      <c r="C4074" s="9">
        <f>IFERROR(__xludf.DUMMYFUNCTION("""COMPUTED_VALUE"""),45102.0127368981)</f>
        <v>45102.01274</v>
      </c>
      <c r="D4074" s="15">
        <f>IFERROR(__xludf.DUMMYFUNCTION("""COMPUTED_VALUE"""),1.005)</f>
        <v>1.005</v>
      </c>
      <c r="E4074" s="16">
        <f>IFERROR(__xludf.DUMMYFUNCTION("""COMPUTED_VALUE"""),69.0)</f>
        <v>69</v>
      </c>
      <c r="F4074" s="19" t="str">
        <f>IFERROR(__xludf.DUMMYFUNCTION("""COMPUTED_VALUE"""),"BLACK")</f>
        <v>BLACK</v>
      </c>
      <c r="G4074" s="20" t="str">
        <f>IFERROR(__xludf.DUMMYFUNCTION("""COMPUTED_VALUE"""),"Uncle Sams Cider (04/04/2023)")</f>
        <v>Uncle Sams Cider (04/04/2023)</v>
      </c>
      <c r="H4074" s="19"/>
    </row>
    <row r="4075">
      <c r="A4075" s="9"/>
      <c r="B4075" s="15"/>
      <c r="C4075" s="9">
        <f>IFERROR(__xludf.DUMMYFUNCTION("""COMPUTED_VALUE"""),45102.0023160069)</f>
        <v>45102.00232</v>
      </c>
      <c r="D4075" s="15">
        <f>IFERROR(__xludf.DUMMYFUNCTION("""COMPUTED_VALUE"""),1.005)</f>
        <v>1.005</v>
      </c>
      <c r="E4075" s="16">
        <f>IFERROR(__xludf.DUMMYFUNCTION("""COMPUTED_VALUE"""),69.0)</f>
        <v>69</v>
      </c>
      <c r="F4075" s="19" t="str">
        <f>IFERROR(__xludf.DUMMYFUNCTION("""COMPUTED_VALUE"""),"BLACK")</f>
        <v>BLACK</v>
      </c>
      <c r="G4075" s="20" t="str">
        <f>IFERROR(__xludf.DUMMYFUNCTION("""COMPUTED_VALUE"""),"Uncle Sams Cider (04/04/2023)")</f>
        <v>Uncle Sams Cider (04/04/2023)</v>
      </c>
      <c r="H4075" s="19"/>
    </row>
    <row r="4076">
      <c r="A4076" s="9"/>
      <c r="B4076" s="15"/>
      <c r="C4076" s="9">
        <f>IFERROR(__xludf.DUMMYFUNCTION("""COMPUTED_VALUE"""),45101.991882662)</f>
        <v>45101.99188</v>
      </c>
      <c r="D4076" s="15">
        <f>IFERROR(__xludf.DUMMYFUNCTION("""COMPUTED_VALUE"""),1.005)</f>
        <v>1.005</v>
      </c>
      <c r="E4076" s="16">
        <f>IFERROR(__xludf.DUMMYFUNCTION("""COMPUTED_VALUE"""),69.0)</f>
        <v>69</v>
      </c>
      <c r="F4076" s="19" t="str">
        <f>IFERROR(__xludf.DUMMYFUNCTION("""COMPUTED_VALUE"""),"BLACK")</f>
        <v>BLACK</v>
      </c>
      <c r="G4076" s="20" t="str">
        <f>IFERROR(__xludf.DUMMYFUNCTION("""COMPUTED_VALUE"""),"Uncle Sams Cider (04/04/2023)")</f>
        <v>Uncle Sams Cider (04/04/2023)</v>
      </c>
      <c r="H4076" s="19"/>
    </row>
    <row r="4077">
      <c r="A4077" s="9"/>
      <c r="B4077" s="15"/>
      <c r="C4077" s="9">
        <f>IFERROR(__xludf.DUMMYFUNCTION("""COMPUTED_VALUE"""),45101.9814617708)</f>
        <v>45101.98146</v>
      </c>
      <c r="D4077" s="15">
        <f>IFERROR(__xludf.DUMMYFUNCTION("""COMPUTED_VALUE"""),1.005)</f>
        <v>1.005</v>
      </c>
      <c r="E4077" s="16">
        <f>IFERROR(__xludf.DUMMYFUNCTION("""COMPUTED_VALUE"""),69.0)</f>
        <v>69</v>
      </c>
      <c r="F4077" s="19" t="str">
        <f>IFERROR(__xludf.DUMMYFUNCTION("""COMPUTED_VALUE"""),"BLACK")</f>
        <v>BLACK</v>
      </c>
      <c r="G4077" s="20" t="str">
        <f>IFERROR(__xludf.DUMMYFUNCTION("""COMPUTED_VALUE"""),"Uncle Sams Cider (04/04/2023)")</f>
        <v>Uncle Sams Cider (04/04/2023)</v>
      </c>
      <c r="H4077" s="19"/>
    </row>
    <row r="4078">
      <c r="A4078" s="9"/>
      <c r="B4078" s="15"/>
      <c r="C4078" s="9">
        <f>IFERROR(__xludf.DUMMYFUNCTION("""COMPUTED_VALUE"""),45101.9710398726)</f>
        <v>45101.97104</v>
      </c>
      <c r="D4078" s="15">
        <f>IFERROR(__xludf.DUMMYFUNCTION("""COMPUTED_VALUE"""),1.005)</f>
        <v>1.005</v>
      </c>
      <c r="E4078" s="16">
        <f>IFERROR(__xludf.DUMMYFUNCTION("""COMPUTED_VALUE"""),69.0)</f>
        <v>69</v>
      </c>
      <c r="F4078" s="19" t="str">
        <f>IFERROR(__xludf.DUMMYFUNCTION("""COMPUTED_VALUE"""),"BLACK")</f>
        <v>BLACK</v>
      </c>
      <c r="G4078" s="20" t="str">
        <f>IFERROR(__xludf.DUMMYFUNCTION("""COMPUTED_VALUE"""),"Uncle Sams Cider (04/04/2023)")</f>
        <v>Uncle Sams Cider (04/04/2023)</v>
      </c>
      <c r="H4078" s="19"/>
    </row>
    <row r="4079">
      <c r="A4079" s="9"/>
      <c r="B4079" s="15"/>
      <c r="C4079" s="9">
        <f>IFERROR(__xludf.DUMMYFUNCTION("""COMPUTED_VALUE"""),45101.9606183449)</f>
        <v>45101.96062</v>
      </c>
      <c r="D4079" s="15">
        <f>IFERROR(__xludf.DUMMYFUNCTION("""COMPUTED_VALUE"""),1.005)</f>
        <v>1.005</v>
      </c>
      <c r="E4079" s="16">
        <f>IFERROR(__xludf.DUMMYFUNCTION("""COMPUTED_VALUE"""),69.0)</f>
        <v>69</v>
      </c>
      <c r="F4079" s="19" t="str">
        <f>IFERROR(__xludf.DUMMYFUNCTION("""COMPUTED_VALUE"""),"BLACK")</f>
        <v>BLACK</v>
      </c>
      <c r="G4079" s="20" t="str">
        <f>IFERROR(__xludf.DUMMYFUNCTION("""COMPUTED_VALUE"""),"Uncle Sams Cider (04/04/2023)")</f>
        <v>Uncle Sams Cider (04/04/2023)</v>
      </c>
      <c r="H4079" s="19"/>
    </row>
    <row r="4080">
      <c r="A4080" s="9"/>
      <c r="B4080" s="15"/>
      <c r="C4080" s="9">
        <f>IFERROR(__xludf.DUMMYFUNCTION("""COMPUTED_VALUE"""),45101.9501964583)</f>
        <v>45101.9502</v>
      </c>
      <c r="D4080" s="15">
        <f>IFERROR(__xludf.DUMMYFUNCTION("""COMPUTED_VALUE"""),1.005)</f>
        <v>1.005</v>
      </c>
      <c r="E4080" s="16">
        <f>IFERROR(__xludf.DUMMYFUNCTION("""COMPUTED_VALUE"""),69.0)</f>
        <v>69</v>
      </c>
      <c r="F4080" s="19" t="str">
        <f>IFERROR(__xludf.DUMMYFUNCTION("""COMPUTED_VALUE"""),"BLACK")</f>
        <v>BLACK</v>
      </c>
      <c r="G4080" s="20" t="str">
        <f>IFERROR(__xludf.DUMMYFUNCTION("""COMPUTED_VALUE"""),"Uncle Sams Cider (04/04/2023)")</f>
        <v>Uncle Sams Cider (04/04/2023)</v>
      </c>
      <c r="H4080" s="19"/>
    </row>
    <row r="4081">
      <c r="A4081" s="9"/>
      <c r="B4081" s="15"/>
      <c r="C4081" s="9">
        <f>IFERROR(__xludf.DUMMYFUNCTION("""COMPUTED_VALUE"""),45101.9397768402)</f>
        <v>45101.93978</v>
      </c>
      <c r="D4081" s="15">
        <f>IFERROR(__xludf.DUMMYFUNCTION("""COMPUTED_VALUE"""),1.005)</f>
        <v>1.005</v>
      </c>
      <c r="E4081" s="16">
        <f>IFERROR(__xludf.DUMMYFUNCTION("""COMPUTED_VALUE"""),69.0)</f>
        <v>69</v>
      </c>
      <c r="F4081" s="19" t="str">
        <f>IFERROR(__xludf.DUMMYFUNCTION("""COMPUTED_VALUE"""),"BLACK")</f>
        <v>BLACK</v>
      </c>
      <c r="G4081" s="20" t="str">
        <f>IFERROR(__xludf.DUMMYFUNCTION("""COMPUTED_VALUE"""),"Uncle Sams Cider (04/04/2023)")</f>
        <v>Uncle Sams Cider (04/04/2023)</v>
      </c>
      <c r="H4081" s="19"/>
    </row>
    <row r="4082">
      <c r="A4082" s="9"/>
      <c r="B4082" s="15"/>
      <c r="C4082" s="9">
        <f>IFERROR(__xludf.DUMMYFUNCTION("""COMPUTED_VALUE"""),45101.9293570833)</f>
        <v>45101.92936</v>
      </c>
      <c r="D4082" s="15">
        <f>IFERROR(__xludf.DUMMYFUNCTION("""COMPUTED_VALUE"""),1.005)</f>
        <v>1.005</v>
      </c>
      <c r="E4082" s="16">
        <f>IFERROR(__xludf.DUMMYFUNCTION("""COMPUTED_VALUE"""),69.0)</f>
        <v>69</v>
      </c>
      <c r="F4082" s="19" t="str">
        <f>IFERROR(__xludf.DUMMYFUNCTION("""COMPUTED_VALUE"""),"BLACK")</f>
        <v>BLACK</v>
      </c>
      <c r="G4082" s="20" t="str">
        <f>IFERROR(__xludf.DUMMYFUNCTION("""COMPUTED_VALUE"""),"Uncle Sams Cider (04/04/2023)")</f>
        <v>Uncle Sams Cider (04/04/2023)</v>
      </c>
      <c r="H4082" s="19"/>
    </row>
    <row r="4083">
      <c r="A4083" s="9"/>
      <c r="B4083" s="15"/>
      <c r="C4083" s="9">
        <f>IFERROR(__xludf.DUMMYFUNCTION("""COMPUTED_VALUE"""),45101.9189384375)</f>
        <v>45101.91894</v>
      </c>
      <c r="D4083" s="15">
        <f>IFERROR(__xludf.DUMMYFUNCTION("""COMPUTED_VALUE"""),1.005)</f>
        <v>1.005</v>
      </c>
      <c r="E4083" s="16">
        <f>IFERROR(__xludf.DUMMYFUNCTION("""COMPUTED_VALUE"""),69.0)</f>
        <v>69</v>
      </c>
      <c r="F4083" s="19" t="str">
        <f>IFERROR(__xludf.DUMMYFUNCTION("""COMPUTED_VALUE"""),"BLACK")</f>
        <v>BLACK</v>
      </c>
      <c r="G4083" s="20" t="str">
        <f>IFERROR(__xludf.DUMMYFUNCTION("""COMPUTED_VALUE"""),"Uncle Sams Cider (04/04/2023)")</f>
        <v>Uncle Sams Cider (04/04/2023)</v>
      </c>
      <c r="H4083" s="19"/>
    </row>
    <row r="4084">
      <c r="A4084" s="9"/>
      <c r="B4084" s="15"/>
      <c r="C4084" s="9">
        <f>IFERROR(__xludf.DUMMYFUNCTION("""COMPUTED_VALUE"""),45101.9085066551)</f>
        <v>45101.90851</v>
      </c>
      <c r="D4084" s="15">
        <f>IFERROR(__xludf.DUMMYFUNCTION("""COMPUTED_VALUE"""),1.005)</f>
        <v>1.005</v>
      </c>
      <c r="E4084" s="16">
        <f>IFERROR(__xludf.DUMMYFUNCTION("""COMPUTED_VALUE"""),69.0)</f>
        <v>69</v>
      </c>
      <c r="F4084" s="19" t="str">
        <f>IFERROR(__xludf.DUMMYFUNCTION("""COMPUTED_VALUE"""),"BLACK")</f>
        <v>BLACK</v>
      </c>
      <c r="G4084" s="20" t="str">
        <f>IFERROR(__xludf.DUMMYFUNCTION("""COMPUTED_VALUE"""),"Uncle Sams Cider (04/04/2023)")</f>
        <v>Uncle Sams Cider (04/04/2023)</v>
      </c>
      <c r="H4084" s="19"/>
    </row>
    <row r="4085">
      <c r="A4085" s="9"/>
      <c r="B4085" s="15"/>
      <c r="C4085" s="9">
        <f>IFERROR(__xludf.DUMMYFUNCTION("""COMPUTED_VALUE"""),45101.8980852546)</f>
        <v>45101.89809</v>
      </c>
      <c r="D4085" s="15">
        <f>IFERROR(__xludf.DUMMYFUNCTION("""COMPUTED_VALUE"""),1.005)</f>
        <v>1.005</v>
      </c>
      <c r="E4085" s="16">
        <f>IFERROR(__xludf.DUMMYFUNCTION("""COMPUTED_VALUE"""),69.0)</f>
        <v>69</v>
      </c>
      <c r="F4085" s="19" t="str">
        <f>IFERROR(__xludf.DUMMYFUNCTION("""COMPUTED_VALUE"""),"BLACK")</f>
        <v>BLACK</v>
      </c>
      <c r="G4085" s="20" t="str">
        <f>IFERROR(__xludf.DUMMYFUNCTION("""COMPUTED_VALUE"""),"Uncle Sams Cider (04/04/2023)")</f>
        <v>Uncle Sams Cider (04/04/2023)</v>
      </c>
      <c r="H4085" s="19"/>
    </row>
    <row r="4086">
      <c r="A4086" s="9"/>
      <c r="B4086" s="15"/>
      <c r="C4086" s="9">
        <f>IFERROR(__xludf.DUMMYFUNCTION("""COMPUTED_VALUE"""),45101.8876628472)</f>
        <v>45101.88766</v>
      </c>
      <c r="D4086" s="15">
        <f>IFERROR(__xludf.DUMMYFUNCTION("""COMPUTED_VALUE"""),1.005)</f>
        <v>1.005</v>
      </c>
      <c r="E4086" s="16">
        <f>IFERROR(__xludf.DUMMYFUNCTION("""COMPUTED_VALUE"""),69.0)</f>
        <v>69</v>
      </c>
      <c r="F4086" s="19" t="str">
        <f>IFERROR(__xludf.DUMMYFUNCTION("""COMPUTED_VALUE"""),"BLACK")</f>
        <v>BLACK</v>
      </c>
      <c r="G4086" s="20" t="str">
        <f>IFERROR(__xludf.DUMMYFUNCTION("""COMPUTED_VALUE"""),"Uncle Sams Cider (04/04/2023)")</f>
        <v>Uncle Sams Cider (04/04/2023)</v>
      </c>
      <c r="H4086" s="19"/>
    </row>
    <row r="4087">
      <c r="A4087" s="9"/>
      <c r="B4087" s="15"/>
      <c r="C4087" s="9">
        <f>IFERROR(__xludf.DUMMYFUNCTION("""COMPUTED_VALUE"""),45101.877241331)</f>
        <v>45101.87724</v>
      </c>
      <c r="D4087" s="15">
        <f>IFERROR(__xludf.DUMMYFUNCTION("""COMPUTED_VALUE"""),1.005)</f>
        <v>1.005</v>
      </c>
      <c r="E4087" s="16">
        <f>IFERROR(__xludf.DUMMYFUNCTION("""COMPUTED_VALUE"""),69.0)</f>
        <v>69</v>
      </c>
      <c r="F4087" s="19" t="str">
        <f>IFERROR(__xludf.DUMMYFUNCTION("""COMPUTED_VALUE"""),"BLACK")</f>
        <v>BLACK</v>
      </c>
      <c r="G4087" s="20" t="str">
        <f>IFERROR(__xludf.DUMMYFUNCTION("""COMPUTED_VALUE"""),"Uncle Sams Cider (04/04/2023)")</f>
        <v>Uncle Sams Cider (04/04/2023)</v>
      </c>
      <c r="H4087" s="19"/>
    </row>
    <row r="4088">
      <c r="A4088" s="9"/>
      <c r="B4088" s="15"/>
      <c r="C4088" s="9">
        <f>IFERROR(__xludf.DUMMYFUNCTION("""COMPUTED_VALUE"""),45101.8668092129)</f>
        <v>45101.86681</v>
      </c>
      <c r="D4088" s="15">
        <f>IFERROR(__xludf.DUMMYFUNCTION("""COMPUTED_VALUE"""),1.005)</f>
        <v>1.005</v>
      </c>
      <c r="E4088" s="16">
        <f>IFERROR(__xludf.DUMMYFUNCTION("""COMPUTED_VALUE"""),69.0)</f>
        <v>69</v>
      </c>
      <c r="F4088" s="19" t="str">
        <f>IFERROR(__xludf.DUMMYFUNCTION("""COMPUTED_VALUE"""),"BLACK")</f>
        <v>BLACK</v>
      </c>
      <c r="G4088" s="20" t="str">
        <f>IFERROR(__xludf.DUMMYFUNCTION("""COMPUTED_VALUE"""),"Uncle Sams Cider (04/04/2023)")</f>
        <v>Uncle Sams Cider (04/04/2023)</v>
      </c>
      <c r="H4088" s="19"/>
    </row>
    <row r="4089">
      <c r="A4089" s="9"/>
      <c r="B4089" s="15"/>
      <c r="C4089" s="9">
        <f>IFERROR(__xludf.DUMMYFUNCTION("""COMPUTED_VALUE"""),45101.8563770486)</f>
        <v>45101.85638</v>
      </c>
      <c r="D4089" s="15">
        <f>IFERROR(__xludf.DUMMYFUNCTION("""COMPUTED_VALUE"""),1.005)</f>
        <v>1.005</v>
      </c>
      <c r="E4089" s="16">
        <f>IFERROR(__xludf.DUMMYFUNCTION("""COMPUTED_VALUE"""),69.0)</f>
        <v>69</v>
      </c>
      <c r="F4089" s="19" t="str">
        <f>IFERROR(__xludf.DUMMYFUNCTION("""COMPUTED_VALUE"""),"BLACK")</f>
        <v>BLACK</v>
      </c>
      <c r="G4089" s="20" t="str">
        <f>IFERROR(__xludf.DUMMYFUNCTION("""COMPUTED_VALUE"""),"Uncle Sams Cider (04/04/2023)")</f>
        <v>Uncle Sams Cider (04/04/2023)</v>
      </c>
      <c r="H4089" s="19"/>
    </row>
    <row r="4090">
      <c r="A4090" s="9"/>
      <c r="B4090" s="15"/>
      <c r="C4090" s="9">
        <f>IFERROR(__xludf.DUMMYFUNCTION("""COMPUTED_VALUE"""),45101.8459556944)</f>
        <v>45101.84596</v>
      </c>
      <c r="D4090" s="15">
        <f>IFERROR(__xludf.DUMMYFUNCTION("""COMPUTED_VALUE"""),1.005)</f>
        <v>1.005</v>
      </c>
      <c r="E4090" s="16">
        <f>IFERROR(__xludf.DUMMYFUNCTION("""COMPUTED_VALUE"""),69.0)</f>
        <v>69</v>
      </c>
      <c r="F4090" s="19" t="str">
        <f>IFERROR(__xludf.DUMMYFUNCTION("""COMPUTED_VALUE"""),"BLACK")</f>
        <v>BLACK</v>
      </c>
      <c r="G4090" s="20" t="str">
        <f>IFERROR(__xludf.DUMMYFUNCTION("""COMPUTED_VALUE"""),"Uncle Sams Cider (04/04/2023)")</f>
        <v>Uncle Sams Cider (04/04/2023)</v>
      </c>
      <c r="H4090" s="19"/>
    </row>
    <row r="4091">
      <c r="A4091" s="9"/>
      <c r="B4091" s="15"/>
      <c r="C4091" s="9">
        <f>IFERROR(__xludf.DUMMYFUNCTION("""COMPUTED_VALUE"""),45101.8355348958)</f>
        <v>45101.83553</v>
      </c>
      <c r="D4091" s="15">
        <f>IFERROR(__xludf.DUMMYFUNCTION("""COMPUTED_VALUE"""),1.005)</f>
        <v>1.005</v>
      </c>
      <c r="E4091" s="16">
        <f>IFERROR(__xludf.DUMMYFUNCTION("""COMPUTED_VALUE"""),69.0)</f>
        <v>69</v>
      </c>
      <c r="F4091" s="19" t="str">
        <f>IFERROR(__xludf.DUMMYFUNCTION("""COMPUTED_VALUE"""),"BLACK")</f>
        <v>BLACK</v>
      </c>
      <c r="G4091" s="20" t="str">
        <f>IFERROR(__xludf.DUMMYFUNCTION("""COMPUTED_VALUE"""),"Uncle Sams Cider (04/04/2023)")</f>
        <v>Uncle Sams Cider (04/04/2023)</v>
      </c>
      <c r="H4091" s="19"/>
    </row>
    <row r="4092">
      <c r="A4092" s="9"/>
      <c r="B4092" s="15"/>
      <c r="C4092" s="9">
        <f>IFERROR(__xludf.DUMMYFUNCTION("""COMPUTED_VALUE"""),45101.8251116319)</f>
        <v>45101.82511</v>
      </c>
      <c r="D4092" s="15">
        <f>IFERROR(__xludf.DUMMYFUNCTION("""COMPUTED_VALUE"""),1.005)</f>
        <v>1.005</v>
      </c>
      <c r="E4092" s="16">
        <f>IFERROR(__xludf.DUMMYFUNCTION("""COMPUTED_VALUE"""),69.0)</f>
        <v>69</v>
      </c>
      <c r="F4092" s="19" t="str">
        <f>IFERROR(__xludf.DUMMYFUNCTION("""COMPUTED_VALUE"""),"BLACK")</f>
        <v>BLACK</v>
      </c>
      <c r="G4092" s="20" t="str">
        <f>IFERROR(__xludf.DUMMYFUNCTION("""COMPUTED_VALUE"""),"Uncle Sams Cider (04/04/2023)")</f>
        <v>Uncle Sams Cider (04/04/2023)</v>
      </c>
      <c r="H4092" s="19"/>
    </row>
    <row r="4093">
      <c r="A4093" s="9"/>
      <c r="B4093" s="15"/>
      <c r="C4093" s="9">
        <f>IFERROR(__xludf.DUMMYFUNCTION("""COMPUTED_VALUE"""),45101.8146919907)</f>
        <v>45101.81469</v>
      </c>
      <c r="D4093" s="15">
        <f>IFERROR(__xludf.DUMMYFUNCTION("""COMPUTED_VALUE"""),1.005)</f>
        <v>1.005</v>
      </c>
      <c r="E4093" s="16">
        <f>IFERROR(__xludf.DUMMYFUNCTION("""COMPUTED_VALUE"""),69.0)</f>
        <v>69</v>
      </c>
      <c r="F4093" s="19" t="str">
        <f>IFERROR(__xludf.DUMMYFUNCTION("""COMPUTED_VALUE"""),"BLACK")</f>
        <v>BLACK</v>
      </c>
      <c r="G4093" s="20" t="str">
        <f>IFERROR(__xludf.DUMMYFUNCTION("""COMPUTED_VALUE"""),"Uncle Sams Cider (04/04/2023)")</f>
        <v>Uncle Sams Cider (04/04/2023)</v>
      </c>
      <c r="H4093" s="19"/>
    </row>
    <row r="4094">
      <c r="A4094" s="9"/>
      <c r="B4094" s="15"/>
      <c r="C4094" s="9">
        <f>IFERROR(__xludf.DUMMYFUNCTION("""COMPUTED_VALUE"""),45101.804270949)</f>
        <v>45101.80427</v>
      </c>
      <c r="D4094" s="15">
        <f>IFERROR(__xludf.DUMMYFUNCTION("""COMPUTED_VALUE"""),1.005)</f>
        <v>1.005</v>
      </c>
      <c r="E4094" s="16">
        <f>IFERROR(__xludf.DUMMYFUNCTION("""COMPUTED_VALUE"""),69.0)</f>
        <v>69</v>
      </c>
      <c r="F4094" s="19" t="str">
        <f>IFERROR(__xludf.DUMMYFUNCTION("""COMPUTED_VALUE"""),"BLACK")</f>
        <v>BLACK</v>
      </c>
      <c r="G4094" s="20" t="str">
        <f>IFERROR(__xludf.DUMMYFUNCTION("""COMPUTED_VALUE"""),"Uncle Sams Cider (04/04/2023)")</f>
        <v>Uncle Sams Cider (04/04/2023)</v>
      </c>
      <c r="H4094" s="19"/>
    </row>
    <row r="4095">
      <c r="A4095" s="9"/>
      <c r="B4095" s="15"/>
      <c r="C4095" s="9">
        <f>IFERROR(__xludf.DUMMYFUNCTION("""COMPUTED_VALUE"""),45101.793850162)</f>
        <v>45101.79385</v>
      </c>
      <c r="D4095" s="15">
        <f>IFERROR(__xludf.DUMMYFUNCTION("""COMPUTED_VALUE"""),1.005)</f>
        <v>1.005</v>
      </c>
      <c r="E4095" s="16">
        <f>IFERROR(__xludf.DUMMYFUNCTION("""COMPUTED_VALUE"""),69.0)</f>
        <v>69</v>
      </c>
      <c r="F4095" s="19" t="str">
        <f>IFERROR(__xludf.DUMMYFUNCTION("""COMPUTED_VALUE"""),"BLACK")</f>
        <v>BLACK</v>
      </c>
      <c r="G4095" s="20" t="str">
        <f>IFERROR(__xludf.DUMMYFUNCTION("""COMPUTED_VALUE"""),"Uncle Sams Cider (04/04/2023)")</f>
        <v>Uncle Sams Cider (04/04/2023)</v>
      </c>
      <c r="H4095" s="19"/>
    </row>
    <row r="4096">
      <c r="A4096" s="9"/>
      <c r="B4096" s="15"/>
      <c r="C4096" s="9">
        <f>IFERROR(__xludf.DUMMYFUNCTION("""COMPUTED_VALUE"""),45101.783430625)</f>
        <v>45101.78343</v>
      </c>
      <c r="D4096" s="15">
        <f>IFERROR(__xludf.DUMMYFUNCTION("""COMPUTED_VALUE"""),1.005)</f>
        <v>1.005</v>
      </c>
      <c r="E4096" s="16">
        <f>IFERROR(__xludf.DUMMYFUNCTION("""COMPUTED_VALUE"""),69.0)</f>
        <v>69</v>
      </c>
      <c r="F4096" s="19" t="str">
        <f>IFERROR(__xludf.DUMMYFUNCTION("""COMPUTED_VALUE"""),"BLACK")</f>
        <v>BLACK</v>
      </c>
      <c r="G4096" s="20" t="str">
        <f>IFERROR(__xludf.DUMMYFUNCTION("""COMPUTED_VALUE"""),"Uncle Sams Cider (04/04/2023)")</f>
        <v>Uncle Sams Cider (04/04/2023)</v>
      </c>
      <c r="H4096" s="19"/>
    </row>
    <row r="4097">
      <c r="A4097" s="9"/>
      <c r="B4097" s="15"/>
      <c r="C4097" s="9">
        <f>IFERROR(__xludf.DUMMYFUNCTION("""COMPUTED_VALUE"""),45101.7730090277)</f>
        <v>45101.77301</v>
      </c>
      <c r="D4097" s="15">
        <f>IFERROR(__xludf.DUMMYFUNCTION("""COMPUTED_VALUE"""),1.005)</f>
        <v>1.005</v>
      </c>
      <c r="E4097" s="16">
        <f>IFERROR(__xludf.DUMMYFUNCTION("""COMPUTED_VALUE"""),69.0)</f>
        <v>69</v>
      </c>
      <c r="F4097" s="19" t="str">
        <f>IFERROR(__xludf.DUMMYFUNCTION("""COMPUTED_VALUE"""),"BLACK")</f>
        <v>BLACK</v>
      </c>
      <c r="G4097" s="20" t="str">
        <f>IFERROR(__xludf.DUMMYFUNCTION("""COMPUTED_VALUE"""),"Uncle Sams Cider (04/04/2023)")</f>
        <v>Uncle Sams Cider (04/04/2023)</v>
      </c>
      <c r="H4097" s="19"/>
    </row>
    <row r="4098">
      <c r="A4098" s="9"/>
      <c r="B4098" s="15"/>
      <c r="C4098" s="9">
        <f>IFERROR(__xludf.DUMMYFUNCTION("""COMPUTED_VALUE"""),45101.7625873032)</f>
        <v>45101.76259</v>
      </c>
      <c r="D4098" s="15">
        <f>IFERROR(__xludf.DUMMYFUNCTION("""COMPUTED_VALUE"""),1.005)</f>
        <v>1.005</v>
      </c>
      <c r="E4098" s="16">
        <f>IFERROR(__xludf.DUMMYFUNCTION("""COMPUTED_VALUE"""),69.0)</f>
        <v>69</v>
      </c>
      <c r="F4098" s="19" t="str">
        <f>IFERROR(__xludf.DUMMYFUNCTION("""COMPUTED_VALUE"""),"BLACK")</f>
        <v>BLACK</v>
      </c>
      <c r="G4098" s="20" t="str">
        <f>IFERROR(__xludf.DUMMYFUNCTION("""COMPUTED_VALUE"""),"Uncle Sams Cider (04/04/2023)")</f>
        <v>Uncle Sams Cider (04/04/2023)</v>
      </c>
      <c r="H4098" s="19"/>
    </row>
    <row r="4099">
      <c r="A4099" s="9"/>
      <c r="B4099" s="15"/>
      <c r="C4099" s="9">
        <f>IFERROR(__xludf.DUMMYFUNCTION("""COMPUTED_VALUE"""),45101.7521643055)</f>
        <v>45101.75216</v>
      </c>
      <c r="D4099" s="15">
        <f>IFERROR(__xludf.DUMMYFUNCTION("""COMPUTED_VALUE"""),1.005)</f>
        <v>1.005</v>
      </c>
      <c r="E4099" s="16">
        <f>IFERROR(__xludf.DUMMYFUNCTION("""COMPUTED_VALUE"""),69.0)</f>
        <v>69</v>
      </c>
      <c r="F4099" s="19" t="str">
        <f>IFERROR(__xludf.DUMMYFUNCTION("""COMPUTED_VALUE"""),"BLACK")</f>
        <v>BLACK</v>
      </c>
      <c r="G4099" s="20" t="str">
        <f>IFERROR(__xludf.DUMMYFUNCTION("""COMPUTED_VALUE"""),"Uncle Sams Cider (04/04/2023)")</f>
        <v>Uncle Sams Cider (04/04/2023)</v>
      </c>
      <c r="H4099" s="19"/>
    </row>
    <row r="4100">
      <c r="A4100" s="9"/>
      <c r="B4100" s="15"/>
      <c r="C4100" s="9">
        <f>IFERROR(__xludf.DUMMYFUNCTION("""COMPUTED_VALUE"""),45101.7417440625)</f>
        <v>45101.74174</v>
      </c>
      <c r="D4100" s="15">
        <f>IFERROR(__xludf.DUMMYFUNCTION("""COMPUTED_VALUE"""),1.005)</f>
        <v>1.005</v>
      </c>
      <c r="E4100" s="16">
        <f>IFERROR(__xludf.DUMMYFUNCTION("""COMPUTED_VALUE"""),69.0)</f>
        <v>69</v>
      </c>
      <c r="F4100" s="19" t="str">
        <f>IFERROR(__xludf.DUMMYFUNCTION("""COMPUTED_VALUE"""),"BLACK")</f>
        <v>BLACK</v>
      </c>
      <c r="G4100" s="20" t="str">
        <f>IFERROR(__xludf.DUMMYFUNCTION("""COMPUTED_VALUE"""),"Uncle Sams Cider (04/04/2023)")</f>
        <v>Uncle Sams Cider (04/04/2023)</v>
      </c>
      <c r="H4100" s="19"/>
    </row>
    <row r="4101">
      <c r="A4101" s="9"/>
      <c r="B4101" s="15"/>
      <c r="C4101" s="9">
        <f>IFERROR(__xludf.DUMMYFUNCTION("""COMPUTED_VALUE"""),45101.7313116898)</f>
        <v>45101.73131</v>
      </c>
      <c r="D4101" s="15">
        <f>IFERROR(__xludf.DUMMYFUNCTION("""COMPUTED_VALUE"""),1.005)</f>
        <v>1.005</v>
      </c>
      <c r="E4101" s="16">
        <f>IFERROR(__xludf.DUMMYFUNCTION("""COMPUTED_VALUE"""),69.0)</f>
        <v>69</v>
      </c>
      <c r="F4101" s="19" t="str">
        <f>IFERROR(__xludf.DUMMYFUNCTION("""COMPUTED_VALUE"""),"BLACK")</f>
        <v>BLACK</v>
      </c>
      <c r="G4101" s="20" t="str">
        <f>IFERROR(__xludf.DUMMYFUNCTION("""COMPUTED_VALUE"""),"Uncle Sams Cider (04/04/2023)")</f>
        <v>Uncle Sams Cider (04/04/2023)</v>
      </c>
      <c r="H4101" s="19"/>
    </row>
    <row r="4102">
      <c r="A4102" s="9"/>
      <c r="B4102" s="15"/>
      <c r="C4102" s="9">
        <f>IFERROR(__xludf.DUMMYFUNCTION("""COMPUTED_VALUE"""),45101.7208899652)</f>
        <v>45101.72089</v>
      </c>
      <c r="D4102" s="15">
        <f>IFERROR(__xludf.DUMMYFUNCTION("""COMPUTED_VALUE"""),1.005)</f>
        <v>1.005</v>
      </c>
      <c r="E4102" s="16">
        <f>IFERROR(__xludf.DUMMYFUNCTION("""COMPUTED_VALUE"""),69.0)</f>
        <v>69</v>
      </c>
      <c r="F4102" s="19" t="str">
        <f>IFERROR(__xludf.DUMMYFUNCTION("""COMPUTED_VALUE"""),"BLACK")</f>
        <v>BLACK</v>
      </c>
      <c r="G4102" s="20" t="str">
        <f>IFERROR(__xludf.DUMMYFUNCTION("""COMPUTED_VALUE"""),"Uncle Sams Cider (04/04/2023)")</f>
        <v>Uncle Sams Cider (04/04/2023)</v>
      </c>
      <c r="H4102" s="19"/>
    </row>
    <row r="4103">
      <c r="A4103" s="9"/>
      <c r="B4103" s="15"/>
      <c r="C4103" s="9">
        <f>IFERROR(__xludf.DUMMYFUNCTION("""COMPUTED_VALUE"""),45101.7104711458)</f>
        <v>45101.71047</v>
      </c>
      <c r="D4103" s="15">
        <f>IFERROR(__xludf.DUMMYFUNCTION("""COMPUTED_VALUE"""),1.005)</f>
        <v>1.005</v>
      </c>
      <c r="E4103" s="16">
        <f>IFERROR(__xludf.DUMMYFUNCTION("""COMPUTED_VALUE"""),69.0)</f>
        <v>69</v>
      </c>
      <c r="F4103" s="19" t="str">
        <f>IFERROR(__xludf.DUMMYFUNCTION("""COMPUTED_VALUE"""),"BLACK")</f>
        <v>BLACK</v>
      </c>
      <c r="G4103" s="20" t="str">
        <f>IFERROR(__xludf.DUMMYFUNCTION("""COMPUTED_VALUE"""),"Uncle Sams Cider (04/04/2023)")</f>
        <v>Uncle Sams Cider (04/04/2023)</v>
      </c>
      <c r="H4103" s="19"/>
    </row>
    <row r="4104">
      <c r="A4104" s="9"/>
      <c r="B4104" s="15"/>
      <c r="C4104" s="9">
        <f>IFERROR(__xludf.DUMMYFUNCTION("""COMPUTED_VALUE"""),45101.7000507754)</f>
        <v>45101.70005</v>
      </c>
      <c r="D4104" s="15">
        <f>IFERROR(__xludf.DUMMYFUNCTION("""COMPUTED_VALUE"""),1.005)</f>
        <v>1.005</v>
      </c>
      <c r="E4104" s="16">
        <f>IFERROR(__xludf.DUMMYFUNCTION("""COMPUTED_VALUE"""),69.0)</f>
        <v>69</v>
      </c>
      <c r="F4104" s="19" t="str">
        <f>IFERROR(__xludf.DUMMYFUNCTION("""COMPUTED_VALUE"""),"BLACK")</f>
        <v>BLACK</v>
      </c>
      <c r="G4104" s="20" t="str">
        <f>IFERROR(__xludf.DUMMYFUNCTION("""COMPUTED_VALUE"""),"Uncle Sams Cider (04/04/2023)")</f>
        <v>Uncle Sams Cider (04/04/2023)</v>
      </c>
      <c r="H4104" s="19"/>
    </row>
    <row r="4105">
      <c r="A4105" s="9"/>
      <c r="B4105" s="15"/>
      <c r="C4105" s="9">
        <f>IFERROR(__xludf.DUMMYFUNCTION("""COMPUTED_VALUE"""),45101.6896066435)</f>
        <v>45101.68961</v>
      </c>
      <c r="D4105" s="15">
        <f>IFERROR(__xludf.DUMMYFUNCTION("""COMPUTED_VALUE"""),1.005)</f>
        <v>1.005</v>
      </c>
      <c r="E4105" s="16">
        <f>IFERROR(__xludf.DUMMYFUNCTION("""COMPUTED_VALUE"""),69.0)</f>
        <v>69</v>
      </c>
      <c r="F4105" s="19" t="str">
        <f>IFERROR(__xludf.DUMMYFUNCTION("""COMPUTED_VALUE"""),"BLACK")</f>
        <v>BLACK</v>
      </c>
      <c r="G4105" s="20" t="str">
        <f>IFERROR(__xludf.DUMMYFUNCTION("""COMPUTED_VALUE"""),"Uncle Sams Cider (04/04/2023)")</f>
        <v>Uncle Sams Cider (04/04/2023)</v>
      </c>
      <c r="H4105" s="19"/>
    </row>
    <row r="4106">
      <c r="A4106" s="9"/>
      <c r="B4106" s="15"/>
      <c r="C4106" s="9">
        <f>IFERROR(__xludf.DUMMYFUNCTION("""COMPUTED_VALUE"""),45101.6791509259)</f>
        <v>45101.67915</v>
      </c>
      <c r="D4106" s="15">
        <f>IFERROR(__xludf.DUMMYFUNCTION("""COMPUTED_VALUE"""),1.005)</f>
        <v>1.005</v>
      </c>
      <c r="E4106" s="16">
        <f>IFERROR(__xludf.DUMMYFUNCTION("""COMPUTED_VALUE"""),69.0)</f>
        <v>69</v>
      </c>
      <c r="F4106" s="19" t="str">
        <f>IFERROR(__xludf.DUMMYFUNCTION("""COMPUTED_VALUE"""),"BLACK")</f>
        <v>BLACK</v>
      </c>
      <c r="G4106" s="20" t="str">
        <f>IFERROR(__xludf.DUMMYFUNCTION("""COMPUTED_VALUE"""),"Uncle Sams Cider (04/04/2023)")</f>
        <v>Uncle Sams Cider (04/04/2023)</v>
      </c>
      <c r="H4106" s="19"/>
    </row>
    <row r="4107">
      <c r="A4107" s="9"/>
      <c r="B4107" s="15"/>
      <c r="C4107" s="9">
        <f>IFERROR(__xludf.DUMMYFUNCTION("""COMPUTED_VALUE"""),45101.6687282291)</f>
        <v>45101.66873</v>
      </c>
      <c r="D4107" s="15">
        <f>IFERROR(__xludf.DUMMYFUNCTION("""COMPUTED_VALUE"""),1.005)</f>
        <v>1.005</v>
      </c>
      <c r="E4107" s="16">
        <f>IFERROR(__xludf.DUMMYFUNCTION("""COMPUTED_VALUE"""),69.0)</f>
        <v>69</v>
      </c>
      <c r="F4107" s="19" t="str">
        <f>IFERROR(__xludf.DUMMYFUNCTION("""COMPUTED_VALUE"""),"BLACK")</f>
        <v>BLACK</v>
      </c>
      <c r="G4107" s="20" t="str">
        <f>IFERROR(__xludf.DUMMYFUNCTION("""COMPUTED_VALUE"""),"Uncle Sams Cider (04/04/2023)")</f>
        <v>Uncle Sams Cider (04/04/2023)</v>
      </c>
      <c r="H4107" s="19"/>
    </row>
    <row r="4108">
      <c r="A4108" s="9"/>
      <c r="B4108" s="15"/>
      <c r="C4108" s="9">
        <f>IFERROR(__xludf.DUMMYFUNCTION("""COMPUTED_VALUE"""),45101.6583080902)</f>
        <v>45101.65831</v>
      </c>
      <c r="D4108" s="15">
        <f>IFERROR(__xludf.DUMMYFUNCTION("""COMPUTED_VALUE"""),1.005)</f>
        <v>1.005</v>
      </c>
      <c r="E4108" s="16">
        <f>IFERROR(__xludf.DUMMYFUNCTION("""COMPUTED_VALUE"""),69.0)</f>
        <v>69</v>
      </c>
      <c r="F4108" s="19" t="str">
        <f>IFERROR(__xludf.DUMMYFUNCTION("""COMPUTED_VALUE"""),"BLACK")</f>
        <v>BLACK</v>
      </c>
      <c r="G4108" s="20" t="str">
        <f>IFERROR(__xludf.DUMMYFUNCTION("""COMPUTED_VALUE"""),"Uncle Sams Cider (04/04/2023)")</f>
        <v>Uncle Sams Cider (04/04/2023)</v>
      </c>
      <c r="H4108" s="19"/>
    </row>
    <row r="4109">
      <c r="A4109" s="9"/>
      <c r="B4109" s="15"/>
      <c r="C4109" s="9">
        <f>IFERROR(__xludf.DUMMYFUNCTION("""COMPUTED_VALUE"""),45101.6478530324)</f>
        <v>45101.64785</v>
      </c>
      <c r="D4109" s="15">
        <f>IFERROR(__xludf.DUMMYFUNCTION("""COMPUTED_VALUE"""),1.005)</f>
        <v>1.005</v>
      </c>
      <c r="E4109" s="16">
        <f>IFERROR(__xludf.DUMMYFUNCTION("""COMPUTED_VALUE"""),69.0)</f>
        <v>69</v>
      </c>
      <c r="F4109" s="19" t="str">
        <f>IFERROR(__xludf.DUMMYFUNCTION("""COMPUTED_VALUE"""),"BLACK")</f>
        <v>BLACK</v>
      </c>
      <c r="G4109" s="20" t="str">
        <f>IFERROR(__xludf.DUMMYFUNCTION("""COMPUTED_VALUE"""),"Uncle Sams Cider (04/04/2023)")</f>
        <v>Uncle Sams Cider (04/04/2023)</v>
      </c>
      <c r="H4109" s="19"/>
    </row>
    <row r="4110">
      <c r="A4110" s="9"/>
      <c r="B4110" s="15"/>
      <c r="C4110" s="9">
        <f>IFERROR(__xludf.DUMMYFUNCTION("""COMPUTED_VALUE"""),45101.6374308912)</f>
        <v>45101.63743</v>
      </c>
      <c r="D4110" s="15">
        <f>IFERROR(__xludf.DUMMYFUNCTION("""COMPUTED_VALUE"""),1.005)</f>
        <v>1.005</v>
      </c>
      <c r="E4110" s="16">
        <f>IFERROR(__xludf.DUMMYFUNCTION("""COMPUTED_VALUE"""),69.0)</f>
        <v>69</v>
      </c>
      <c r="F4110" s="19" t="str">
        <f>IFERROR(__xludf.DUMMYFUNCTION("""COMPUTED_VALUE"""),"BLACK")</f>
        <v>BLACK</v>
      </c>
      <c r="G4110" s="20" t="str">
        <f>IFERROR(__xludf.DUMMYFUNCTION("""COMPUTED_VALUE"""),"Uncle Sams Cider (04/04/2023)")</f>
        <v>Uncle Sams Cider (04/04/2023)</v>
      </c>
      <c r="H4110" s="19"/>
    </row>
    <row r="4111">
      <c r="A4111" s="9"/>
      <c r="B4111" s="15"/>
      <c r="C4111" s="9">
        <f>IFERROR(__xludf.DUMMYFUNCTION("""COMPUTED_VALUE"""),45101.6270094213)</f>
        <v>45101.62701</v>
      </c>
      <c r="D4111" s="15">
        <f>IFERROR(__xludf.DUMMYFUNCTION("""COMPUTED_VALUE"""),1.005)</f>
        <v>1.005</v>
      </c>
      <c r="E4111" s="16">
        <f>IFERROR(__xludf.DUMMYFUNCTION("""COMPUTED_VALUE"""),69.0)</f>
        <v>69</v>
      </c>
      <c r="F4111" s="19" t="str">
        <f>IFERROR(__xludf.DUMMYFUNCTION("""COMPUTED_VALUE"""),"BLACK")</f>
        <v>BLACK</v>
      </c>
      <c r="G4111" s="20" t="str">
        <f>IFERROR(__xludf.DUMMYFUNCTION("""COMPUTED_VALUE"""),"Uncle Sams Cider (04/04/2023)")</f>
        <v>Uncle Sams Cider (04/04/2023)</v>
      </c>
      <c r="H4111" s="19"/>
    </row>
    <row r="4112">
      <c r="A4112" s="9"/>
      <c r="B4112" s="15"/>
      <c r="C4112" s="9">
        <f>IFERROR(__xludf.DUMMYFUNCTION("""COMPUTED_VALUE"""),45101.6165773495)</f>
        <v>45101.61658</v>
      </c>
      <c r="D4112" s="15">
        <f>IFERROR(__xludf.DUMMYFUNCTION("""COMPUTED_VALUE"""),1.005)</f>
        <v>1.005</v>
      </c>
      <c r="E4112" s="16">
        <f>IFERROR(__xludf.DUMMYFUNCTION("""COMPUTED_VALUE"""),69.0)</f>
        <v>69</v>
      </c>
      <c r="F4112" s="19" t="str">
        <f>IFERROR(__xludf.DUMMYFUNCTION("""COMPUTED_VALUE"""),"BLACK")</f>
        <v>BLACK</v>
      </c>
      <c r="G4112" s="20" t="str">
        <f>IFERROR(__xludf.DUMMYFUNCTION("""COMPUTED_VALUE"""),"Uncle Sams Cider (04/04/2023)")</f>
        <v>Uncle Sams Cider (04/04/2023)</v>
      </c>
      <c r="H4112" s="19"/>
    </row>
    <row r="4113">
      <c r="A4113" s="9"/>
      <c r="B4113" s="15"/>
      <c r="C4113" s="9">
        <f>IFERROR(__xludf.DUMMYFUNCTION("""COMPUTED_VALUE"""),45101.606143993)</f>
        <v>45101.60614</v>
      </c>
      <c r="D4113" s="15">
        <f>IFERROR(__xludf.DUMMYFUNCTION("""COMPUTED_VALUE"""),1.005)</f>
        <v>1.005</v>
      </c>
      <c r="E4113" s="16">
        <f>IFERROR(__xludf.DUMMYFUNCTION("""COMPUTED_VALUE"""),69.0)</f>
        <v>69</v>
      </c>
      <c r="F4113" s="19" t="str">
        <f>IFERROR(__xludf.DUMMYFUNCTION("""COMPUTED_VALUE"""),"BLACK")</f>
        <v>BLACK</v>
      </c>
      <c r="G4113" s="20" t="str">
        <f>IFERROR(__xludf.DUMMYFUNCTION("""COMPUTED_VALUE"""),"Uncle Sams Cider (04/04/2023)")</f>
        <v>Uncle Sams Cider (04/04/2023)</v>
      </c>
      <c r="H4113" s="19"/>
    </row>
    <row r="4114">
      <c r="A4114" s="9"/>
      <c r="B4114" s="15"/>
      <c r="C4114" s="9">
        <f>IFERROR(__xludf.DUMMYFUNCTION("""COMPUTED_VALUE"""),45101.5957228009)</f>
        <v>45101.59572</v>
      </c>
      <c r="D4114" s="15">
        <f>IFERROR(__xludf.DUMMYFUNCTION("""COMPUTED_VALUE"""),1.005)</f>
        <v>1.005</v>
      </c>
      <c r="E4114" s="16">
        <f>IFERROR(__xludf.DUMMYFUNCTION("""COMPUTED_VALUE"""),69.0)</f>
        <v>69</v>
      </c>
      <c r="F4114" s="19" t="str">
        <f>IFERROR(__xludf.DUMMYFUNCTION("""COMPUTED_VALUE"""),"BLACK")</f>
        <v>BLACK</v>
      </c>
      <c r="G4114" s="20" t="str">
        <f>IFERROR(__xludf.DUMMYFUNCTION("""COMPUTED_VALUE"""),"Uncle Sams Cider (04/04/2023)")</f>
        <v>Uncle Sams Cider (04/04/2023)</v>
      </c>
      <c r="H4114" s="19"/>
    </row>
    <row r="4115">
      <c r="A4115" s="9"/>
      <c r="B4115" s="15"/>
      <c r="C4115" s="9">
        <f>IFERROR(__xludf.DUMMYFUNCTION("""COMPUTED_VALUE"""),45101.5852903472)</f>
        <v>45101.58529</v>
      </c>
      <c r="D4115" s="15">
        <f>IFERROR(__xludf.DUMMYFUNCTION("""COMPUTED_VALUE"""),1.005)</f>
        <v>1.005</v>
      </c>
      <c r="E4115" s="16">
        <f>IFERROR(__xludf.DUMMYFUNCTION("""COMPUTED_VALUE"""),69.0)</f>
        <v>69</v>
      </c>
      <c r="F4115" s="19" t="str">
        <f>IFERROR(__xludf.DUMMYFUNCTION("""COMPUTED_VALUE"""),"BLACK")</f>
        <v>BLACK</v>
      </c>
      <c r="G4115" s="20" t="str">
        <f>IFERROR(__xludf.DUMMYFUNCTION("""COMPUTED_VALUE"""),"Uncle Sams Cider (04/04/2023)")</f>
        <v>Uncle Sams Cider (04/04/2023)</v>
      </c>
      <c r="H4115" s="19"/>
    </row>
    <row r="4116">
      <c r="A4116" s="9"/>
      <c r="B4116" s="15"/>
      <c r="C4116" s="9">
        <f>IFERROR(__xludf.DUMMYFUNCTION("""COMPUTED_VALUE"""),45101.5748579513)</f>
        <v>45101.57486</v>
      </c>
      <c r="D4116" s="15">
        <f>IFERROR(__xludf.DUMMYFUNCTION("""COMPUTED_VALUE"""),1.005)</f>
        <v>1.005</v>
      </c>
      <c r="E4116" s="16">
        <f>IFERROR(__xludf.DUMMYFUNCTION("""COMPUTED_VALUE"""),69.0)</f>
        <v>69</v>
      </c>
      <c r="F4116" s="19" t="str">
        <f>IFERROR(__xludf.DUMMYFUNCTION("""COMPUTED_VALUE"""),"BLACK")</f>
        <v>BLACK</v>
      </c>
      <c r="G4116" s="20" t="str">
        <f>IFERROR(__xludf.DUMMYFUNCTION("""COMPUTED_VALUE"""),"Uncle Sams Cider (04/04/2023)")</f>
        <v>Uncle Sams Cider (04/04/2023)</v>
      </c>
      <c r="H4116" s="19"/>
    </row>
    <row r="4117">
      <c r="A4117" s="9"/>
      <c r="B4117" s="15"/>
      <c r="C4117" s="9">
        <f>IFERROR(__xludf.DUMMYFUNCTION("""COMPUTED_VALUE"""),45101.5644363541)</f>
        <v>45101.56444</v>
      </c>
      <c r="D4117" s="15">
        <f>IFERROR(__xludf.DUMMYFUNCTION("""COMPUTED_VALUE"""),1.005)</f>
        <v>1.005</v>
      </c>
      <c r="E4117" s="16">
        <f>IFERROR(__xludf.DUMMYFUNCTION("""COMPUTED_VALUE"""),69.0)</f>
        <v>69</v>
      </c>
      <c r="F4117" s="19" t="str">
        <f>IFERROR(__xludf.DUMMYFUNCTION("""COMPUTED_VALUE"""),"BLACK")</f>
        <v>BLACK</v>
      </c>
      <c r="G4117" s="20" t="str">
        <f>IFERROR(__xludf.DUMMYFUNCTION("""COMPUTED_VALUE"""),"Uncle Sams Cider (04/04/2023)")</f>
        <v>Uncle Sams Cider (04/04/2023)</v>
      </c>
      <c r="H4117" s="19"/>
    </row>
    <row r="4118">
      <c r="A4118" s="9"/>
      <c r="B4118" s="15"/>
      <c r="C4118" s="9">
        <f>IFERROR(__xludf.DUMMYFUNCTION("""COMPUTED_VALUE"""),45101.5540164236)</f>
        <v>45101.55402</v>
      </c>
      <c r="D4118" s="15">
        <f>IFERROR(__xludf.DUMMYFUNCTION("""COMPUTED_VALUE"""),1.005)</f>
        <v>1.005</v>
      </c>
      <c r="E4118" s="16">
        <f>IFERROR(__xludf.DUMMYFUNCTION("""COMPUTED_VALUE"""),69.0)</f>
        <v>69</v>
      </c>
      <c r="F4118" s="19" t="str">
        <f>IFERROR(__xludf.DUMMYFUNCTION("""COMPUTED_VALUE"""),"BLACK")</f>
        <v>BLACK</v>
      </c>
      <c r="G4118" s="20" t="str">
        <f>IFERROR(__xludf.DUMMYFUNCTION("""COMPUTED_VALUE"""),"Uncle Sams Cider (04/04/2023)")</f>
        <v>Uncle Sams Cider (04/04/2023)</v>
      </c>
      <c r="H4118" s="19"/>
    </row>
    <row r="4119">
      <c r="A4119" s="9"/>
      <c r="B4119" s="15"/>
      <c r="C4119" s="9">
        <f>IFERROR(__xludf.DUMMYFUNCTION("""COMPUTED_VALUE"""),45101.5435958912)</f>
        <v>45101.5436</v>
      </c>
      <c r="D4119" s="15">
        <f>IFERROR(__xludf.DUMMYFUNCTION("""COMPUTED_VALUE"""),1.005)</f>
        <v>1.005</v>
      </c>
      <c r="E4119" s="16">
        <f>IFERROR(__xludf.DUMMYFUNCTION("""COMPUTED_VALUE"""),69.0)</f>
        <v>69</v>
      </c>
      <c r="F4119" s="19" t="str">
        <f>IFERROR(__xludf.DUMMYFUNCTION("""COMPUTED_VALUE"""),"BLACK")</f>
        <v>BLACK</v>
      </c>
      <c r="G4119" s="20" t="str">
        <f>IFERROR(__xludf.DUMMYFUNCTION("""COMPUTED_VALUE"""),"Uncle Sams Cider (04/04/2023)")</f>
        <v>Uncle Sams Cider (04/04/2023)</v>
      </c>
      <c r="H4119" s="19"/>
    </row>
    <row r="4120">
      <c r="A4120" s="9"/>
      <c r="B4120" s="15"/>
      <c r="C4120" s="9">
        <f>IFERROR(__xludf.DUMMYFUNCTION("""COMPUTED_VALUE"""),45101.5331745023)</f>
        <v>45101.53317</v>
      </c>
      <c r="D4120" s="15">
        <f>IFERROR(__xludf.DUMMYFUNCTION("""COMPUTED_VALUE"""),1.005)</f>
        <v>1.005</v>
      </c>
      <c r="E4120" s="16">
        <f>IFERROR(__xludf.DUMMYFUNCTION("""COMPUTED_VALUE"""),69.0)</f>
        <v>69</v>
      </c>
      <c r="F4120" s="19" t="str">
        <f>IFERROR(__xludf.DUMMYFUNCTION("""COMPUTED_VALUE"""),"BLACK")</f>
        <v>BLACK</v>
      </c>
      <c r="G4120" s="20" t="str">
        <f>IFERROR(__xludf.DUMMYFUNCTION("""COMPUTED_VALUE"""),"Uncle Sams Cider (04/04/2023)")</f>
        <v>Uncle Sams Cider (04/04/2023)</v>
      </c>
      <c r="H4120" s="19"/>
    </row>
    <row r="4121">
      <c r="A4121" s="9"/>
      <c r="B4121" s="15"/>
      <c r="C4121" s="9">
        <f>IFERROR(__xludf.DUMMYFUNCTION("""COMPUTED_VALUE"""),45101.5227533796)</f>
        <v>45101.52275</v>
      </c>
      <c r="D4121" s="15">
        <f>IFERROR(__xludf.DUMMYFUNCTION("""COMPUTED_VALUE"""),1.005)</f>
        <v>1.005</v>
      </c>
      <c r="E4121" s="16">
        <f>IFERROR(__xludf.DUMMYFUNCTION("""COMPUTED_VALUE"""),69.0)</f>
        <v>69</v>
      </c>
      <c r="F4121" s="19" t="str">
        <f>IFERROR(__xludf.DUMMYFUNCTION("""COMPUTED_VALUE"""),"BLACK")</f>
        <v>BLACK</v>
      </c>
      <c r="G4121" s="20" t="str">
        <f>IFERROR(__xludf.DUMMYFUNCTION("""COMPUTED_VALUE"""),"Uncle Sams Cider (04/04/2023)")</f>
        <v>Uncle Sams Cider (04/04/2023)</v>
      </c>
      <c r="H4121" s="19"/>
    </row>
    <row r="4122">
      <c r="A4122" s="9"/>
      <c r="B4122" s="15"/>
      <c r="C4122" s="9">
        <f>IFERROR(__xludf.DUMMYFUNCTION("""COMPUTED_VALUE"""),45101.5123093055)</f>
        <v>45101.51231</v>
      </c>
      <c r="D4122" s="15">
        <f>IFERROR(__xludf.DUMMYFUNCTION("""COMPUTED_VALUE"""),1.005)</f>
        <v>1.005</v>
      </c>
      <c r="E4122" s="16">
        <f>IFERROR(__xludf.DUMMYFUNCTION("""COMPUTED_VALUE"""),69.0)</f>
        <v>69</v>
      </c>
      <c r="F4122" s="19" t="str">
        <f>IFERROR(__xludf.DUMMYFUNCTION("""COMPUTED_VALUE"""),"BLACK")</f>
        <v>BLACK</v>
      </c>
      <c r="G4122" s="20" t="str">
        <f>IFERROR(__xludf.DUMMYFUNCTION("""COMPUTED_VALUE"""),"Uncle Sams Cider (04/04/2023)")</f>
        <v>Uncle Sams Cider (04/04/2023)</v>
      </c>
      <c r="H4122" s="19"/>
    </row>
    <row r="4123">
      <c r="A4123" s="9"/>
      <c r="B4123" s="15"/>
      <c r="C4123" s="9">
        <f>IFERROR(__xludf.DUMMYFUNCTION("""COMPUTED_VALUE"""),45101.501885)</f>
        <v>45101.50189</v>
      </c>
      <c r="D4123" s="15">
        <f>IFERROR(__xludf.DUMMYFUNCTION("""COMPUTED_VALUE"""),1.005)</f>
        <v>1.005</v>
      </c>
      <c r="E4123" s="16">
        <f>IFERROR(__xludf.DUMMYFUNCTION("""COMPUTED_VALUE"""),69.0)</f>
        <v>69</v>
      </c>
      <c r="F4123" s="19" t="str">
        <f>IFERROR(__xludf.DUMMYFUNCTION("""COMPUTED_VALUE"""),"BLACK")</f>
        <v>BLACK</v>
      </c>
      <c r="G4123" s="20" t="str">
        <f>IFERROR(__xludf.DUMMYFUNCTION("""COMPUTED_VALUE"""),"Uncle Sams Cider (04/04/2023)")</f>
        <v>Uncle Sams Cider (04/04/2023)</v>
      </c>
      <c r="H4123" s="19"/>
    </row>
    <row r="4124">
      <c r="A4124" s="9"/>
      <c r="B4124" s="15"/>
      <c r="C4124" s="9">
        <f>IFERROR(__xludf.DUMMYFUNCTION("""COMPUTED_VALUE"""),45101.4914642245)</f>
        <v>45101.49146</v>
      </c>
      <c r="D4124" s="15">
        <f>IFERROR(__xludf.DUMMYFUNCTION("""COMPUTED_VALUE"""),1.005)</f>
        <v>1.005</v>
      </c>
      <c r="E4124" s="16">
        <f>IFERROR(__xludf.DUMMYFUNCTION("""COMPUTED_VALUE"""),69.0)</f>
        <v>69</v>
      </c>
      <c r="F4124" s="19" t="str">
        <f>IFERROR(__xludf.DUMMYFUNCTION("""COMPUTED_VALUE"""),"BLACK")</f>
        <v>BLACK</v>
      </c>
      <c r="G4124" s="20" t="str">
        <f>IFERROR(__xludf.DUMMYFUNCTION("""COMPUTED_VALUE"""),"Uncle Sams Cider (04/04/2023)")</f>
        <v>Uncle Sams Cider (04/04/2023)</v>
      </c>
      <c r="H4124" s="19"/>
    </row>
    <row r="4125">
      <c r="A4125" s="9"/>
      <c r="B4125" s="15"/>
      <c r="C4125" s="9">
        <f>IFERROR(__xludf.DUMMYFUNCTION("""COMPUTED_VALUE"""),45101.4810437615)</f>
        <v>45101.48104</v>
      </c>
      <c r="D4125" s="15">
        <f>IFERROR(__xludf.DUMMYFUNCTION("""COMPUTED_VALUE"""),1.005)</f>
        <v>1.005</v>
      </c>
      <c r="E4125" s="16">
        <f>IFERROR(__xludf.DUMMYFUNCTION("""COMPUTED_VALUE"""),69.0)</f>
        <v>69</v>
      </c>
      <c r="F4125" s="19" t="str">
        <f>IFERROR(__xludf.DUMMYFUNCTION("""COMPUTED_VALUE"""),"BLACK")</f>
        <v>BLACK</v>
      </c>
      <c r="G4125" s="20" t="str">
        <f>IFERROR(__xludf.DUMMYFUNCTION("""COMPUTED_VALUE"""),"Uncle Sams Cider (04/04/2023)")</f>
        <v>Uncle Sams Cider (04/04/2023)</v>
      </c>
      <c r="H4125" s="19"/>
    </row>
    <row r="4126">
      <c r="A4126" s="9"/>
      <c r="B4126" s="15"/>
      <c r="C4126" s="9">
        <f>IFERROR(__xludf.DUMMYFUNCTION("""COMPUTED_VALUE"""),45101.47062228)</f>
        <v>45101.47062</v>
      </c>
      <c r="D4126" s="15">
        <f>IFERROR(__xludf.DUMMYFUNCTION("""COMPUTED_VALUE"""),1.005)</f>
        <v>1.005</v>
      </c>
      <c r="E4126" s="16">
        <f>IFERROR(__xludf.DUMMYFUNCTION("""COMPUTED_VALUE"""),69.0)</f>
        <v>69</v>
      </c>
      <c r="F4126" s="19" t="str">
        <f>IFERROR(__xludf.DUMMYFUNCTION("""COMPUTED_VALUE"""),"BLACK")</f>
        <v>BLACK</v>
      </c>
      <c r="G4126" s="20" t="str">
        <f>IFERROR(__xludf.DUMMYFUNCTION("""COMPUTED_VALUE"""),"Uncle Sams Cider (04/04/2023)")</f>
        <v>Uncle Sams Cider (04/04/2023)</v>
      </c>
      <c r="H4126" s="19"/>
    </row>
    <row r="4127">
      <c r="A4127" s="9"/>
      <c r="B4127" s="15"/>
      <c r="C4127" s="9">
        <f>IFERROR(__xludf.DUMMYFUNCTION("""COMPUTED_VALUE"""),45101.4602015509)</f>
        <v>45101.4602</v>
      </c>
      <c r="D4127" s="15">
        <f>IFERROR(__xludf.DUMMYFUNCTION("""COMPUTED_VALUE"""),1.005)</f>
        <v>1.005</v>
      </c>
      <c r="E4127" s="16">
        <f>IFERROR(__xludf.DUMMYFUNCTION("""COMPUTED_VALUE"""),69.0)</f>
        <v>69</v>
      </c>
      <c r="F4127" s="19" t="str">
        <f>IFERROR(__xludf.DUMMYFUNCTION("""COMPUTED_VALUE"""),"BLACK")</f>
        <v>BLACK</v>
      </c>
      <c r="G4127" s="20" t="str">
        <f>IFERROR(__xludf.DUMMYFUNCTION("""COMPUTED_VALUE"""),"Uncle Sams Cider (04/04/2023)")</f>
        <v>Uncle Sams Cider (04/04/2023)</v>
      </c>
      <c r="H4127" s="19"/>
    </row>
    <row r="4128">
      <c r="A4128" s="9"/>
      <c r="B4128" s="15"/>
      <c r="C4128" s="9">
        <f>IFERROR(__xludf.DUMMYFUNCTION("""COMPUTED_VALUE"""),45101.449779618)</f>
        <v>45101.44978</v>
      </c>
      <c r="D4128" s="15">
        <f>IFERROR(__xludf.DUMMYFUNCTION("""COMPUTED_VALUE"""),1.005)</f>
        <v>1.005</v>
      </c>
      <c r="E4128" s="16">
        <f>IFERROR(__xludf.DUMMYFUNCTION("""COMPUTED_VALUE"""),69.0)</f>
        <v>69</v>
      </c>
      <c r="F4128" s="19" t="str">
        <f>IFERROR(__xludf.DUMMYFUNCTION("""COMPUTED_VALUE"""),"BLACK")</f>
        <v>BLACK</v>
      </c>
      <c r="G4128" s="20" t="str">
        <f>IFERROR(__xludf.DUMMYFUNCTION("""COMPUTED_VALUE"""),"Uncle Sams Cider (04/04/2023)")</f>
        <v>Uncle Sams Cider (04/04/2023)</v>
      </c>
      <c r="H4128" s="19"/>
    </row>
    <row r="4129">
      <c r="A4129" s="9"/>
      <c r="B4129" s="15"/>
      <c r="C4129" s="9">
        <f>IFERROR(__xludf.DUMMYFUNCTION("""COMPUTED_VALUE"""),45101.4393340277)</f>
        <v>45101.43933</v>
      </c>
      <c r="D4129" s="15">
        <f>IFERROR(__xludf.DUMMYFUNCTION("""COMPUTED_VALUE"""),1.005)</f>
        <v>1.005</v>
      </c>
      <c r="E4129" s="16">
        <f>IFERROR(__xludf.DUMMYFUNCTION("""COMPUTED_VALUE"""),69.0)</f>
        <v>69</v>
      </c>
      <c r="F4129" s="19" t="str">
        <f>IFERROR(__xludf.DUMMYFUNCTION("""COMPUTED_VALUE"""),"BLACK")</f>
        <v>BLACK</v>
      </c>
      <c r="G4129" s="20" t="str">
        <f>IFERROR(__xludf.DUMMYFUNCTION("""COMPUTED_VALUE"""),"Uncle Sams Cider (04/04/2023)")</f>
        <v>Uncle Sams Cider (04/04/2023)</v>
      </c>
      <c r="H4129" s="19"/>
    </row>
    <row r="4130">
      <c r="A4130" s="9"/>
      <c r="B4130" s="15"/>
      <c r="C4130" s="9">
        <f>IFERROR(__xludf.DUMMYFUNCTION("""COMPUTED_VALUE"""),45101.4289121296)</f>
        <v>45101.42891</v>
      </c>
      <c r="D4130" s="15">
        <f>IFERROR(__xludf.DUMMYFUNCTION("""COMPUTED_VALUE"""),1.005)</f>
        <v>1.005</v>
      </c>
      <c r="E4130" s="16">
        <f>IFERROR(__xludf.DUMMYFUNCTION("""COMPUTED_VALUE"""),69.0)</f>
        <v>69</v>
      </c>
      <c r="F4130" s="19" t="str">
        <f>IFERROR(__xludf.DUMMYFUNCTION("""COMPUTED_VALUE"""),"BLACK")</f>
        <v>BLACK</v>
      </c>
      <c r="G4130" s="20" t="str">
        <f>IFERROR(__xludf.DUMMYFUNCTION("""COMPUTED_VALUE"""),"Uncle Sams Cider (04/04/2023)")</f>
        <v>Uncle Sams Cider (04/04/2023)</v>
      </c>
      <c r="H4130" s="19"/>
    </row>
    <row r="4131">
      <c r="A4131" s="9"/>
      <c r="B4131" s="15"/>
      <c r="C4131" s="9">
        <f>IFERROR(__xludf.DUMMYFUNCTION("""COMPUTED_VALUE"""),45101.4184916666)</f>
        <v>45101.41849</v>
      </c>
      <c r="D4131" s="15">
        <f>IFERROR(__xludf.DUMMYFUNCTION("""COMPUTED_VALUE"""),1.005)</f>
        <v>1.005</v>
      </c>
      <c r="E4131" s="16">
        <f>IFERROR(__xludf.DUMMYFUNCTION("""COMPUTED_VALUE"""),69.0)</f>
        <v>69</v>
      </c>
      <c r="F4131" s="19" t="str">
        <f>IFERROR(__xludf.DUMMYFUNCTION("""COMPUTED_VALUE"""),"BLACK")</f>
        <v>BLACK</v>
      </c>
      <c r="G4131" s="20" t="str">
        <f>IFERROR(__xludf.DUMMYFUNCTION("""COMPUTED_VALUE"""),"Uncle Sams Cider (04/04/2023)")</f>
        <v>Uncle Sams Cider (04/04/2023)</v>
      </c>
      <c r="H4131" s="19"/>
    </row>
    <row r="4132">
      <c r="A4132" s="9"/>
      <c r="B4132" s="15"/>
      <c r="C4132" s="9">
        <f>IFERROR(__xludf.DUMMYFUNCTION("""COMPUTED_VALUE"""),45101.4080706597)</f>
        <v>45101.40807</v>
      </c>
      <c r="D4132" s="15">
        <f>IFERROR(__xludf.DUMMYFUNCTION("""COMPUTED_VALUE"""),1.005)</f>
        <v>1.005</v>
      </c>
      <c r="E4132" s="16">
        <f>IFERROR(__xludf.DUMMYFUNCTION("""COMPUTED_VALUE"""),69.0)</f>
        <v>69</v>
      </c>
      <c r="F4132" s="19" t="str">
        <f>IFERROR(__xludf.DUMMYFUNCTION("""COMPUTED_VALUE"""),"BLACK")</f>
        <v>BLACK</v>
      </c>
      <c r="G4132" s="20" t="str">
        <f>IFERROR(__xludf.DUMMYFUNCTION("""COMPUTED_VALUE"""),"Uncle Sams Cider (04/04/2023)")</f>
        <v>Uncle Sams Cider (04/04/2023)</v>
      </c>
      <c r="H4132" s="19"/>
    </row>
    <row r="4133">
      <c r="A4133" s="9"/>
      <c r="B4133" s="15"/>
      <c r="C4133" s="9">
        <f>IFERROR(__xludf.DUMMYFUNCTION("""COMPUTED_VALUE"""),45101.3976497106)</f>
        <v>45101.39765</v>
      </c>
      <c r="D4133" s="15">
        <f>IFERROR(__xludf.DUMMYFUNCTION("""COMPUTED_VALUE"""),1.005)</f>
        <v>1.005</v>
      </c>
      <c r="E4133" s="16">
        <f>IFERROR(__xludf.DUMMYFUNCTION("""COMPUTED_VALUE"""),69.0)</f>
        <v>69</v>
      </c>
      <c r="F4133" s="19" t="str">
        <f>IFERROR(__xludf.DUMMYFUNCTION("""COMPUTED_VALUE"""),"BLACK")</f>
        <v>BLACK</v>
      </c>
      <c r="G4133" s="20" t="str">
        <f>IFERROR(__xludf.DUMMYFUNCTION("""COMPUTED_VALUE"""),"Uncle Sams Cider (04/04/2023)")</f>
        <v>Uncle Sams Cider (04/04/2023)</v>
      </c>
      <c r="H4133" s="19"/>
    </row>
    <row r="4134">
      <c r="A4134" s="9"/>
      <c r="B4134" s="15"/>
      <c r="C4134" s="9">
        <f>IFERROR(__xludf.DUMMYFUNCTION("""COMPUTED_VALUE"""),45101.3872285069)</f>
        <v>45101.38723</v>
      </c>
      <c r="D4134" s="15">
        <f>IFERROR(__xludf.DUMMYFUNCTION("""COMPUTED_VALUE"""),1.005)</f>
        <v>1.005</v>
      </c>
      <c r="E4134" s="16">
        <f>IFERROR(__xludf.DUMMYFUNCTION("""COMPUTED_VALUE"""),69.0)</f>
        <v>69</v>
      </c>
      <c r="F4134" s="19" t="str">
        <f>IFERROR(__xludf.DUMMYFUNCTION("""COMPUTED_VALUE"""),"BLACK")</f>
        <v>BLACK</v>
      </c>
      <c r="G4134" s="20" t="str">
        <f>IFERROR(__xludf.DUMMYFUNCTION("""COMPUTED_VALUE"""),"Uncle Sams Cider (04/04/2023)")</f>
        <v>Uncle Sams Cider (04/04/2023)</v>
      </c>
      <c r="H4134" s="19"/>
    </row>
    <row r="4135">
      <c r="A4135" s="9"/>
      <c r="B4135" s="15"/>
      <c r="C4135" s="9">
        <f>IFERROR(__xludf.DUMMYFUNCTION("""COMPUTED_VALUE"""),45101.3767959606)</f>
        <v>45101.3768</v>
      </c>
      <c r="D4135" s="15">
        <f>IFERROR(__xludf.DUMMYFUNCTION("""COMPUTED_VALUE"""),1.005)</f>
        <v>1.005</v>
      </c>
      <c r="E4135" s="16">
        <f>IFERROR(__xludf.DUMMYFUNCTION("""COMPUTED_VALUE"""),69.0)</f>
        <v>69</v>
      </c>
      <c r="F4135" s="19" t="str">
        <f>IFERROR(__xludf.DUMMYFUNCTION("""COMPUTED_VALUE"""),"BLACK")</f>
        <v>BLACK</v>
      </c>
      <c r="G4135" s="20" t="str">
        <f>IFERROR(__xludf.DUMMYFUNCTION("""COMPUTED_VALUE"""),"Uncle Sams Cider (04/04/2023)")</f>
        <v>Uncle Sams Cider (04/04/2023)</v>
      </c>
      <c r="H4135" s="19"/>
    </row>
    <row r="4136">
      <c r="A4136" s="9"/>
      <c r="B4136" s="15"/>
      <c r="C4136" s="9">
        <f>IFERROR(__xludf.DUMMYFUNCTION("""COMPUTED_VALUE"""),45101.3663633912)</f>
        <v>45101.36636</v>
      </c>
      <c r="D4136" s="15">
        <f>IFERROR(__xludf.DUMMYFUNCTION("""COMPUTED_VALUE"""),1.005)</f>
        <v>1.005</v>
      </c>
      <c r="E4136" s="16">
        <f>IFERROR(__xludf.DUMMYFUNCTION("""COMPUTED_VALUE"""),69.0)</f>
        <v>69</v>
      </c>
      <c r="F4136" s="19" t="str">
        <f>IFERROR(__xludf.DUMMYFUNCTION("""COMPUTED_VALUE"""),"BLACK")</f>
        <v>BLACK</v>
      </c>
      <c r="G4136" s="20" t="str">
        <f>IFERROR(__xludf.DUMMYFUNCTION("""COMPUTED_VALUE"""),"Uncle Sams Cider (04/04/2023)")</f>
        <v>Uncle Sams Cider (04/04/2023)</v>
      </c>
      <c r="H4136" s="19"/>
    </row>
    <row r="4137">
      <c r="A4137" s="9"/>
      <c r="B4137" s="15"/>
      <c r="C4137" s="9">
        <f>IFERROR(__xludf.DUMMYFUNCTION("""COMPUTED_VALUE"""),45101.355942905)</f>
        <v>45101.35594</v>
      </c>
      <c r="D4137" s="15">
        <f>IFERROR(__xludf.DUMMYFUNCTION("""COMPUTED_VALUE"""),1.005)</f>
        <v>1.005</v>
      </c>
      <c r="E4137" s="16">
        <f>IFERROR(__xludf.DUMMYFUNCTION("""COMPUTED_VALUE"""),69.0)</f>
        <v>69</v>
      </c>
      <c r="F4137" s="19" t="str">
        <f>IFERROR(__xludf.DUMMYFUNCTION("""COMPUTED_VALUE"""),"BLACK")</f>
        <v>BLACK</v>
      </c>
      <c r="G4137" s="20" t="str">
        <f>IFERROR(__xludf.DUMMYFUNCTION("""COMPUTED_VALUE"""),"Uncle Sams Cider (04/04/2023)")</f>
        <v>Uncle Sams Cider (04/04/2023)</v>
      </c>
      <c r="H4137" s="19"/>
    </row>
    <row r="4138">
      <c r="A4138" s="9"/>
      <c r="B4138" s="15"/>
      <c r="C4138" s="9">
        <f>IFERROR(__xludf.DUMMYFUNCTION("""COMPUTED_VALUE"""),45101.3455209259)</f>
        <v>45101.34552</v>
      </c>
      <c r="D4138" s="15">
        <f>IFERROR(__xludf.DUMMYFUNCTION("""COMPUTED_VALUE"""),1.005)</f>
        <v>1.005</v>
      </c>
      <c r="E4138" s="16">
        <f>IFERROR(__xludf.DUMMYFUNCTION("""COMPUTED_VALUE"""),69.0)</f>
        <v>69</v>
      </c>
      <c r="F4138" s="19" t="str">
        <f>IFERROR(__xludf.DUMMYFUNCTION("""COMPUTED_VALUE"""),"BLACK")</f>
        <v>BLACK</v>
      </c>
      <c r="G4138" s="20" t="str">
        <f>IFERROR(__xludf.DUMMYFUNCTION("""COMPUTED_VALUE"""),"Uncle Sams Cider (04/04/2023)")</f>
        <v>Uncle Sams Cider (04/04/2023)</v>
      </c>
      <c r="H4138" s="19"/>
    </row>
    <row r="4139">
      <c r="A4139" s="9"/>
      <c r="B4139" s="15"/>
      <c r="C4139" s="9">
        <f>IFERROR(__xludf.DUMMYFUNCTION("""COMPUTED_VALUE"""),45101.3350979976)</f>
        <v>45101.3351</v>
      </c>
      <c r="D4139" s="15">
        <f>IFERROR(__xludf.DUMMYFUNCTION("""COMPUTED_VALUE"""),1.005)</f>
        <v>1.005</v>
      </c>
      <c r="E4139" s="16">
        <f>IFERROR(__xludf.DUMMYFUNCTION("""COMPUTED_VALUE"""),69.0)</f>
        <v>69</v>
      </c>
      <c r="F4139" s="19" t="str">
        <f>IFERROR(__xludf.DUMMYFUNCTION("""COMPUTED_VALUE"""),"BLACK")</f>
        <v>BLACK</v>
      </c>
      <c r="G4139" s="20" t="str">
        <f>IFERROR(__xludf.DUMMYFUNCTION("""COMPUTED_VALUE"""),"Uncle Sams Cider (04/04/2023)")</f>
        <v>Uncle Sams Cider (04/04/2023)</v>
      </c>
      <c r="H4139" s="19"/>
    </row>
    <row r="4140">
      <c r="A4140" s="9"/>
      <c r="B4140" s="15"/>
      <c r="C4140" s="9">
        <f>IFERROR(__xludf.DUMMYFUNCTION("""COMPUTED_VALUE"""),45101.3246782407)</f>
        <v>45101.32468</v>
      </c>
      <c r="D4140" s="15">
        <f>IFERROR(__xludf.DUMMYFUNCTION("""COMPUTED_VALUE"""),1.005)</f>
        <v>1.005</v>
      </c>
      <c r="E4140" s="16">
        <f>IFERROR(__xludf.DUMMYFUNCTION("""COMPUTED_VALUE"""),69.0)</f>
        <v>69</v>
      </c>
      <c r="F4140" s="19" t="str">
        <f>IFERROR(__xludf.DUMMYFUNCTION("""COMPUTED_VALUE"""),"BLACK")</f>
        <v>BLACK</v>
      </c>
      <c r="G4140" s="20" t="str">
        <f>IFERROR(__xludf.DUMMYFUNCTION("""COMPUTED_VALUE"""),"Uncle Sams Cider (04/04/2023)")</f>
        <v>Uncle Sams Cider (04/04/2023)</v>
      </c>
      <c r="H4140" s="19"/>
    </row>
    <row r="4141">
      <c r="A4141" s="9"/>
      <c r="B4141" s="15"/>
      <c r="C4141" s="9">
        <f>IFERROR(__xludf.DUMMYFUNCTION("""COMPUTED_VALUE"""),45101.3142562384)</f>
        <v>45101.31426</v>
      </c>
      <c r="D4141" s="15">
        <f>IFERROR(__xludf.DUMMYFUNCTION("""COMPUTED_VALUE"""),1.005)</f>
        <v>1.005</v>
      </c>
      <c r="E4141" s="16">
        <f>IFERROR(__xludf.DUMMYFUNCTION("""COMPUTED_VALUE"""),69.0)</f>
        <v>69</v>
      </c>
      <c r="F4141" s="19" t="str">
        <f>IFERROR(__xludf.DUMMYFUNCTION("""COMPUTED_VALUE"""),"BLACK")</f>
        <v>BLACK</v>
      </c>
      <c r="G4141" s="20" t="str">
        <f>IFERROR(__xludf.DUMMYFUNCTION("""COMPUTED_VALUE"""),"Uncle Sams Cider (04/04/2023)")</f>
        <v>Uncle Sams Cider (04/04/2023)</v>
      </c>
      <c r="H4141" s="19"/>
    </row>
    <row r="4142">
      <c r="A4142" s="9"/>
      <c r="B4142" s="15"/>
      <c r="C4142" s="9">
        <f>IFERROR(__xludf.DUMMYFUNCTION("""COMPUTED_VALUE"""),45101.3038232638)</f>
        <v>45101.30382</v>
      </c>
      <c r="D4142" s="15">
        <f>IFERROR(__xludf.DUMMYFUNCTION("""COMPUTED_VALUE"""),1.005)</f>
        <v>1.005</v>
      </c>
      <c r="E4142" s="16">
        <f>IFERROR(__xludf.DUMMYFUNCTION("""COMPUTED_VALUE"""),69.0)</f>
        <v>69</v>
      </c>
      <c r="F4142" s="19" t="str">
        <f>IFERROR(__xludf.DUMMYFUNCTION("""COMPUTED_VALUE"""),"BLACK")</f>
        <v>BLACK</v>
      </c>
      <c r="G4142" s="20" t="str">
        <f>IFERROR(__xludf.DUMMYFUNCTION("""COMPUTED_VALUE"""),"Uncle Sams Cider (04/04/2023)")</f>
        <v>Uncle Sams Cider (04/04/2023)</v>
      </c>
      <c r="H4142" s="19"/>
    </row>
    <row r="4143">
      <c r="A4143" s="9"/>
      <c r="B4143" s="15"/>
      <c r="C4143" s="9">
        <f>IFERROR(__xludf.DUMMYFUNCTION("""COMPUTED_VALUE"""),45101.2934023379)</f>
        <v>45101.2934</v>
      </c>
      <c r="D4143" s="15">
        <f>IFERROR(__xludf.DUMMYFUNCTION("""COMPUTED_VALUE"""),1.005)</f>
        <v>1.005</v>
      </c>
      <c r="E4143" s="16">
        <f>IFERROR(__xludf.DUMMYFUNCTION("""COMPUTED_VALUE"""),69.0)</f>
        <v>69</v>
      </c>
      <c r="F4143" s="19" t="str">
        <f>IFERROR(__xludf.DUMMYFUNCTION("""COMPUTED_VALUE"""),"BLACK")</f>
        <v>BLACK</v>
      </c>
      <c r="G4143" s="20" t="str">
        <f>IFERROR(__xludf.DUMMYFUNCTION("""COMPUTED_VALUE"""),"Uncle Sams Cider (04/04/2023)")</f>
        <v>Uncle Sams Cider (04/04/2023)</v>
      </c>
      <c r="H4143" s="19"/>
    </row>
    <row r="4144">
      <c r="A4144" s="9"/>
      <c r="B4144" s="15"/>
      <c r="C4144" s="9">
        <f>IFERROR(__xludf.DUMMYFUNCTION("""COMPUTED_VALUE"""),45101.2829808796)</f>
        <v>45101.28298</v>
      </c>
      <c r="D4144" s="15">
        <f>IFERROR(__xludf.DUMMYFUNCTION("""COMPUTED_VALUE"""),1.005)</f>
        <v>1.005</v>
      </c>
      <c r="E4144" s="16">
        <f>IFERROR(__xludf.DUMMYFUNCTION("""COMPUTED_VALUE"""),69.0)</f>
        <v>69</v>
      </c>
      <c r="F4144" s="19" t="str">
        <f>IFERROR(__xludf.DUMMYFUNCTION("""COMPUTED_VALUE"""),"BLACK")</f>
        <v>BLACK</v>
      </c>
      <c r="G4144" s="20" t="str">
        <f>IFERROR(__xludf.DUMMYFUNCTION("""COMPUTED_VALUE"""),"Uncle Sams Cider (04/04/2023)")</f>
        <v>Uncle Sams Cider (04/04/2023)</v>
      </c>
      <c r="H4144" s="19"/>
    </row>
    <row r="4145">
      <c r="A4145" s="9"/>
      <c r="B4145" s="15"/>
      <c r="C4145" s="9">
        <f>IFERROR(__xludf.DUMMYFUNCTION("""COMPUTED_VALUE"""),45101.2725127199)</f>
        <v>45101.27251</v>
      </c>
      <c r="D4145" s="15">
        <f>IFERROR(__xludf.DUMMYFUNCTION("""COMPUTED_VALUE"""),1.005)</f>
        <v>1.005</v>
      </c>
      <c r="E4145" s="16">
        <f>IFERROR(__xludf.DUMMYFUNCTION("""COMPUTED_VALUE"""),69.0)</f>
        <v>69</v>
      </c>
      <c r="F4145" s="19" t="str">
        <f>IFERROR(__xludf.DUMMYFUNCTION("""COMPUTED_VALUE"""),"BLACK")</f>
        <v>BLACK</v>
      </c>
      <c r="G4145" s="20" t="str">
        <f>IFERROR(__xludf.DUMMYFUNCTION("""COMPUTED_VALUE"""),"Uncle Sams Cider (04/04/2023)")</f>
        <v>Uncle Sams Cider (04/04/2023)</v>
      </c>
      <c r="H4145" s="19"/>
    </row>
    <row r="4146">
      <c r="A4146" s="9"/>
      <c r="B4146" s="15"/>
      <c r="C4146" s="9">
        <f>IFERROR(__xludf.DUMMYFUNCTION("""COMPUTED_VALUE"""),45101.2620924305)</f>
        <v>45101.26209</v>
      </c>
      <c r="D4146" s="15">
        <f>IFERROR(__xludf.DUMMYFUNCTION("""COMPUTED_VALUE"""),1.005)</f>
        <v>1.005</v>
      </c>
      <c r="E4146" s="16">
        <f>IFERROR(__xludf.DUMMYFUNCTION("""COMPUTED_VALUE"""),69.0)</f>
        <v>69</v>
      </c>
      <c r="F4146" s="19" t="str">
        <f>IFERROR(__xludf.DUMMYFUNCTION("""COMPUTED_VALUE"""),"BLACK")</f>
        <v>BLACK</v>
      </c>
      <c r="G4146" s="20" t="str">
        <f>IFERROR(__xludf.DUMMYFUNCTION("""COMPUTED_VALUE"""),"Uncle Sams Cider (04/04/2023)")</f>
        <v>Uncle Sams Cider (04/04/2023)</v>
      </c>
      <c r="H4146" s="19"/>
    </row>
    <row r="4147">
      <c r="A4147" s="9"/>
      <c r="B4147" s="15"/>
      <c r="C4147" s="9">
        <f>IFERROR(__xludf.DUMMYFUNCTION("""COMPUTED_VALUE"""),45101.2516700231)</f>
        <v>45101.25167</v>
      </c>
      <c r="D4147" s="15">
        <f>IFERROR(__xludf.DUMMYFUNCTION("""COMPUTED_VALUE"""),1.005)</f>
        <v>1.005</v>
      </c>
      <c r="E4147" s="16">
        <f>IFERROR(__xludf.DUMMYFUNCTION("""COMPUTED_VALUE"""),69.0)</f>
        <v>69</v>
      </c>
      <c r="F4147" s="19" t="str">
        <f>IFERROR(__xludf.DUMMYFUNCTION("""COMPUTED_VALUE"""),"BLACK")</f>
        <v>BLACK</v>
      </c>
      <c r="G4147" s="20" t="str">
        <f>IFERROR(__xludf.DUMMYFUNCTION("""COMPUTED_VALUE"""),"Uncle Sams Cider (04/04/2023)")</f>
        <v>Uncle Sams Cider (04/04/2023)</v>
      </c>
      <c r="H4147" s="19"/>
    </row>
    <row r="4148">
      <c r="A4148" s="9"/>
      <c r="B4148" s="15"/>
      <c r="C4148" s="9">
        <f>IFERROR(__xludf.DUMMYFUNCTION("""COMPUTED_VALUE"""),45101.2412249074)</f>
        <v>45101.24122</v>
      </c>
      <c r="D4148" s="15">
        <f>IFERROR(__xludf.DUMMYFUNCTION("""COMPUTED_VALUE"""),1.005)</f>
        <v>1.005</v>
      </c>
      <c r="E4148" s="16">
        <f>IFERROR(__xludf.DUMMYFUNCTION("""COMPUTED_VALUE"""),69.0)</f>
        <v>69</v>
      </c>
      <c r="F4148" s="19" t="str">
        <f>IFERROR(__xludf.DUMMYFUNCTION("""COMPUTED_VALUE"""),"BLACK")</f>
        <v>BLACK</v>
      </c>
      <c r="G4148" s="20" t="str">
        <f>IFERROR(__xludf.DUMMYFUNCTION("""COMPUTED_VALUE"""),"Uncle Sams Cider (04/04/2023)")</f>
        <v>Uncle Sams Cider (04/04/2023)</v>
      </c>
      <c r="H4148" s="19"/>
    </row>
    <row r="4149">
      <c r="A4149" s="9"/>
      <c r="B4149" s="15"/>
      <c r="C4149" s="9">
        <f>IFERROR(__xludf.DUMMYFUNCTION("""COMPUTED_VALUE"""),45101.2308036805)</f>
        <v>45101.2308</v>
      </c>
      <c r="D4149" s="15">
        <f>IFERROR(__xludf.DUMMYFUNCTION("""COMPUTED_VALUE"""),1.005)</f>
        <v>1.005</v>
      </c>
      <c r="E4149" s="16">
        <f>IFERROR(__xludf.DUMMYFUNCTION("""COMPUTED_VALUE"""),69.0)</f>
        <v>69</v>
      </c>
      <c r="F4149" s="19" t="str">
        <f>IFERROR(__xludf.DUMMYFUNCTION("""COMPUTED_VALUE"""),"BLACK")</f>
        <v>BLACK</v>
      </c>
      <c r="G4149" s="20" t="str">
        <f>IFERROR(__xludf.DUMMYFUNCTION("""COMPUTED_VALUE"""),"Uncle Sams Cider (04/04/2023)")</f>
        <v>Uncle Sams Cider (04/04/2023)</v>
      </c>
      <c r="H4149" s="19"/>
    </row>
    <row r="4150">
      <c r="A4150" s="9"/>
      <c r="B4150" s="15"/>
      <c r="C4150" s="9">
        <f>IFERROR(__xludf.DUMMYFUNCTION("""COMPUTED_VALUE"""),45101.2232914467)</f>
        <v>45101.22329</v>
      </c>
      <c r="D4150" s="15">
        <f>IFERROR(__xludf.DUMMYFUNCTION("""COMPUTED_VALUE"""),1.005)</f>
        <v>1.005</v>
      </c>
      <c r="E4150" s="16">
        <f>IFERROR(__xludf.DUMMYFUNCTION("""COMPUTED_VALUE"""),69.0)</f>
        <v>69</v>
      </c>
      <c r="F4150" s="19" t="str">
        <f>IFERROR(__xludf.DUMMYFUNCTION("""COMPUTED_VALUE"""),"BLACK")</f>
        <v>BLACK</v>
      </c>
      <c r="G4150" s="20" t="str">
        <f>IFERROR(__xludf.DUMMYFUNCTION("""COMPUTED_VALUE"""),"Uncle Sams Cider (04/04/2023)")</f>
        <v>Uncle Sams Cider (04/04/2023)</v>
      </c>
      <c r="H4150" s="19"/>
    </row>
    <row r="4151">
      <c r="A4151" s="9"/>
      <c r="B4151" s="15"/>
      <c r="C4151" s="9">
        <f>IFERROR(__xludf.DUMMYFUNCTION("""COMPUTED_VALUE"""),45101.2128703472)</f>
        <v>45101.21287</v>
      </c>
      <c r="D4151" s="15">
        <f>IFERROR(__xludf.DUMMYFUNCTION("""COMPUTED_VALUE"""),1.005)</f>
        <v>1.005</v>
      </c>
      <c r="E4151" s="16">
        <f>IFERROR(__xludf.DUMMYFUNCTION("""COMPUTED_VALUE"""),69.0)</f>
        <v>69</v>
      </c>
      <c r="F4151" s="19" t="str">
        <f>IFERROR(__xludf.DUMMYFUNCTION("""COMPUTED_VALUE"""),"BLACK")</f>
        <v>BLACK</v>
      </c>
      <c r="G4151" s="20" t="str">
        <f>IFERROR(__xludf.DUMMYFUNCTION("""COMPUTED_VALUE"""),"Uncle Sams Cider (04/04/2023)")</f>
        <v>Uncle Sams Cider (04/04/2023)</v>
      </c>
      <c r="H4151" s="19"/>
    </row>
    <row r="4152">
      <c r="A4152" s="9"/>
      <c r="B4152" s="15"/>
      <c r="C4152" s="9">
        <f>IFERROR(__xludf.DUMMYFUNCTION("""COMPUTED_VALUE"""),45101.2024495138)</f>
        <v>45101.20245</v>
      </c>
      <c r="D4152" s="15">
        <f>IFERROR(__xludf.DUMMYFUNCTION("""COMPUTED_VALUE"""),1.005)</f>
        <v>1.005</v>
      </c>
      <c r="E4152" s="16">
        <f>IFERROR(__xludf.DUMMYFUNCTION("""COMPUTED_VALUE"""),69.0)</f>
        <v>69</v>
      </c>
      <c r="F4152" s="19" t="str">
        <f>IFERROR(__xludf.DUMMYFUNCTION("""COMPUTED_VALUE"""),"BLACK")</f>
        <v>BLACK</v>
      </c>
      <c r="G4152" s="20" t="str">
        <f>IFERROR(__xludf.DUMMYFUNCTION("""COMPUTED_VALUE"""),"Uncle Sams Cider (04/04/2023)")</f>
        <v>Uncle Sams Cider (04/04/2023)</v>
      </c>
      <c r="H4152" s="19"/>
    </row>
    <row r="4153">
      <c r="A4153" s="9"/>
      <c r="B4153" s="15"/>
      <c r="C4153" s="9">
        <f>IFERROR(__xludf.DUMMYFUNCTION("""COMPUTED_VALUE"""),45101.1920284838)</f>
        <v>45101.19203</v>
      </c>
      <c r="D4153" s="15">
        <f>IFERROR(__xludf.DUMMYFUNCTION("""COMPUTED_VALUE"""),1.005)</f>
        <v>1.005</v>
      </c>
      <c r="E4153" s="16">
        <f>IFERROR(__xludf.DUMMYFUNCTION("""COMPUTED_VALUE"""),69.0)</f>
        <v>69</v>
      </c>
      <c r="F4153" s="19" t="str">
        <f>IFERROR(__xludf.DUMMYFUNCTION("""COMPUTED_VALUE"""),"BLACK")</f>
        <v>BLACK</v>
      </c>
      <c r="G4153" s="20" t="str">
        <f>IFERROR(__xludf.DUMMYFUNCTION("""COMPUTED_VALUE"""),"Uncle Sams Cider (04/04/2023)")</f>
        <v>Uncle Sams Cider (04/04/2023)</v>
      </c>
      <c r="H4153" s="19"/>
    </row>
    <row r="4154">
      <c r="A4154" s="9"/>
      <c r="B4154" s="15"/>
      <c r="C4154" s="9">
        <f>IFERROR(__xludf.DUMMYFUNCTION("""COMPUTED_VALUE"""),45101.1816077314)</f>
        <v>45101.18161</v>
      </c>
      <c r="D4154" s="15">
        <f>IFERROR(__xludf.DUMMYFUNCTION("""COMPUTED_VALUE"""),1.005)</f>
        <v>1.005</v>
      </c>
      <c r="E4154" s="16">
        <f>IFERROR(__xludf.DUMMYFUNCTION("""COMPUTED_VALUE"""),69.0)</f>
        <v>69</v>
      </c>
      <c r="F4154" s="19" t="str">
        <f>IFERROR(__xludf.DUMMYFUNCTION("""COMPUTED_VALUE"""),"BLACK")</f>
        <v>BLACK</v>
      </c>
      <c r="G4154" s="20" t="str">
        <f>IFERROR(__xludf.DUMMYFUNCTION("""COMPUTED_VALUE"""),"Uncle Sams Cider (04/04/2023)")</f>
        <v>Uncle Sams Cider (04/04/2023)</v>
      </c>
      <c r="H4154" s="19"/>
    </row>
    <row r="4155">
      <c r="A4155" s="9"/>
      <c r="B4155" s="15"/>
      <c r="C4155" s="9">
        <f>IFERROR(__xludf.DUMMYFUNCTION("""COMPUTED_VALUE"""),45101.1711869791)</f>
        <v>45101.17119</v>
      </c>
      <c r="D4155" s="15">
        <f>IFERROR(__xludf.DUMMYFUNCTION("""COMPUTED_VALUE"""),1.005)</f>
        <v>1.005</v>
      </c>
      <c r="E4155" s="16">
        <f>IFERROR(__xludf.DUMMYFUNCTION("""COMPUTED_VALUE"""),69.0)</f>
        <v>69</v>
      </c>
      <c r="F4155" s="19" t="str">
        <f>IFERROR(__xludf.DUMMYFUNCTION("""COMPUTED_VALUE"""),"BLACK")</f>
        <v>BLACK</v>
      </c>
      <c r="G4155" s="20" t="str">
        <f>IFERROR(__xludf.DUMMYFUNCTION("""COMPUTED_VALUE"""),"Uncle Sams Cider (04/04/2023)")</f>
        <v>Uncle Sams Cider (04/04/2023)</v>
      </c>
      <c r="H4155" s="19"/>
    </row>
    <row r="4156">
      <c r="A4156" s="9"/>
      <c r="B4156" s="15"/>
      <c r="C4156" s="9">
        <f>IFERROR(__xludf.DUMMYFUNCTION("""COMPUTED_VALUE"""),45101.1607659259)</f>
        <v>45101.16077</v>
      </c>
      <c r="D4156" s="15">
        <f>IFERROR(__xludf.DUMMYFUNCTION("""COMPUTED_VALUE"""),1.005)</f>
        <v>1.005</v>
      </c>
      <c r="E4156" s="16">
        <f>IFERROR(__xludf.DUMMYFUNCTION("""COMPUTED_VALUE"""),69.0)</f>
        <v>69</v>
      </c>
      <c r="F4156" s="19" t="str">
        <f>IFERROR(__xludf.DUMMYFUNCTION("""COMPUTED_VALUE"""),"BLACK")</f>
        <v>BLACK</v>
      </c>
      <c r="G4156" s="20" t="str">
        <f>IFERROR(__xludf.DUMMYFUNCTION("""COMPUTED_VALUE"""),"Uncle Sams Cider (04/04/2023)")</f>
        <v>Uncle Sams Cider (04/04/2023)</v>
      </c>
      <c r="H4156" s="19"/>
    </row>
    <row r="4157">
      <c r="A4157" s="9"/>
      <c r="B4157" s="15"/>
      <c r="C4157" s="9">
        <f>IFERROR(__xludf.DUMMYFUNCTION("""COMPUTED_VALUE"""),45101.1503464236)</f>
        <v>45101.15035</v>
      </c>
      <c r="D4157" s="15">
        <f>IFERROR(__xludf.DUMMYFUNCTION("""COMPUTED_VALUE"""),1.005)</f>
        <v>1.005</v>
      </c>
      <c r="E4157" s="16">
        <f>IFERROR(__xludf.DUMMYFUNCTION("""COMPUTED_VALUE"""),69.0)</f>
        <v>69</v>
      </c>
      <c r="F4157" s="19" t="str">
        <f>IFERROR(__xludf.DUMMYFUNCTION("""COMPUTED_VALUE"""),"BLACK")</f>
        <v>BLACK</v>
      </c>
      <c r="G4157" s="20" t="str">
        <f>IFERROR(__xludf.DUMMYFUNCTION("""COMPUTED_VALUE"""),"Uncle Sams Cider (04/04/2023)")</f>
        <v>Uncle Sams Cider (04/04/2023)</v>
      </c>
      <c r="H4157" s="19"/>
    </row>
    <row r="4158">
      <c r="A4158" s="9"/>
      <c r="B4158" s="15"/>
      <c r="C4158" s="9">
        <f>IFERROR(__xludf.DUMMYFUNCTION("""COMPUTED_VALUE"""),45101.139925787)</f>
        <v>45101.13993</v>
      </c>
      <c r="D4158" s="15">
        <f>IFERROR(__xludf.DUMMYFUNCTION("""COMPUTED_VALUE"""),1.005)</f>
        <v>1.005</v>
      </c>
      <c r="E4158" s="16">
        <f>IFERROR(__xludf.DUMMYFUNCTION("""COMPUTED_VALUE"""),69.0)</f>
        <v>69</v>
      </c>
      <c r="F4158" s="19" t="str">
        <f>IFERROR(__xludf.DUMMYFUNCTION("""COMPUTED_VALUE"""),"BLACK")</f>
        <v>BLACK</v>
      </c>
      <c r="G4158" s="20" t="str">
        <f>IFERROR(__xludf.DUMMYFUNCTION("""COMPUTED_VALUE"""),"Uncle Sams Cider (04/04/2023)")</f>
        <v>Uncle Sams Cider (04/04/2023)</v>
      </c>
      <c r="H4158" s="19"/>
    </row>
    <row r="4159">
      <c r="A4159" s="9"/>
      <c r="B4159" s="15"/>
      <c r="C4159" s="9">
        <f>IFERROR(__xludf.DUMMYFUNCTION("""COMPUTED_VALUE"""),45101.1295041319)</f>
        <v>45101.1295</v>
      </c>
      <c r="D4159" s="15">
        <f>IFERROR(__xludf.DUMMYFUNCTION("""COMPUTED_VALUE"""),1.005)</f>
        <v>1.005</v>
      </c>
      <c r="E4159" s="16">
        <f>IFERROR(__xludf.DUMMYFUNCTION("""COMPUTED_VALUE"""),69.0)</f>
        <v>69</v>
      </c>
      <c r="F4159" s="19" t="str">
        <f>IFERROR(__xludf.DUMMYFUNCTION("""COMPUTED_VALUE"""),"BLACK")</f>
        <v>BLACK</v>
      </c>
      <c r="G4159" s="20" t="str">
        <f>IFERROR(__xludf.DUMMYFUNCTION("""COMPUTED_VALUE"""),"Uncle Sams Cider (04/04/2023)")</f>
        <v>Uncle Sams Cider (04/04/2023)</v>
      </c>
      <c r="H4159" s="19"/>
    </row>
    <row r="4160">
      <c r="A4160" s="9"/>
      <c r="B4160" s="15"/>
      <c r="C4160" s="9">
        <f>IFERROR(__xludf.DUMMYFUNCTION("""COMPUTED_VALUE"""),45101.1190830324)</f>
        <v>45101.11908</v>
      </c>
      <c r="D4160" s="15">
        <f>IFERROR(__xludf.DUMMYFUNCTION("""COMPUTED_VALUE"""),1.005)</f>
        <v>1.005</v>
      </c>
      <c r="E4160" s="16">
        <f>IFERROR(__xludf.DUMMYFUNCTION("""COMPUTED_VALUE"""),69.0)</f>
        <v>69</v>
      </c>
      <c r="F4160" s="19" t="str">
        <f>IFERROR(__xludf.DUMMYFUNCTION("""COMPUTED_VALUE"""),"BLACK")</f>
        <v>BLACK</v>
      </c>
      <c r="G4160" s="20" t="str">
        <f>IFERROR(__xludf.DUMMYFUNCTION("""COMPUTED_VALUE"""),"Uncle Sams Cider (04/04/2023)")</f>
        <v>Uncle Sams Cider (04/04/2023)</v>
      </c>
      <c r="H4160" s="19"/>
    </row>
    <row r="4161">
      <c r="A4161" s="9"/>
      <c r="B4161" s="15"/>
      <c r="C4161" s="9">
        <f>IFERROR(__xludf.DUMMYFUNCTION("""COMPUTED_VALUE"""),45101.1086624537)</f>
        <v>45101.10866</v>
      </c>
      <c r="D4161" s="15">
        <f>IFERROR(__xludf.DUMMYFUNCTION("""COMPUTED_VALUE"""),1.005)</f>
        <v>1.005</v>
      </c>
      <c r="E4161" s="16">
        <f>IFERROR(__xludf.DUMMYFUNCTION("""COMPUTED_VALUE"""),69.0)</f>
        <v>69</v>
      </c>
      <c r="F4161" s="19" t="str">
        <f>IFERROR(__xludf.DUMMYFUNCTION("""COMPUTED_VALUE"""),"BLACK")</f>
        <v>BLACK</v>
      </c>
      <c r="G4161" s="20" t="str">
        <f>IFERROR(__xludf.DUMMYFUNCTION("""COMPUTED_VALUE"""),"Uncle Sams Cider (04/04/2023)")</f>
        <v>Uncle Sams Cider (04/04/2023)</v>
      </c>
      <c r="H4161" s="19"/>
    </row>
    <row r="4162">
      <c r="A4162" s="9"/>
      <c r="B4162" s="15"/>
      <c r="C4162" s="9">
        <f>IFERROR(__xludf.DUMMYFUNCTION("""COMPUTED_VALUE"""),45101.0982301736)</f>
        <v>45101.09823</v>
      </c>
      <c r="D4162" s="15">
        <f>IFERROR(__xludf.DUMMYFUNCTION("""COMPUTED_VALUE"""),1.005)</f>
        <v>1.005</v>
      </c>
      <c r="E4162" s="16">
        <f>IFERROR(__xludf.DUMMYFUNCTION("""COMPUTED_VALUE"""),69.0)</f>
        <v>69</v>
      </c>
      <c r="F4162" s="19" t="str">
        <f>IFERROR(__xludf.DUMMYFUNCTION("""COMPUTED_VALUE"""),"BLACK")</f>
        <v>BLACK</v>
      </c>
      <c r="G4162" s="20" t="str">
        <f>IFERROR(__xludf.DUMMYFUNCTION("""COMPUTED_VALUE"""),"Uncle Sams Cider (04/04/2023)")</f>
        <v>Uncle Sams Cider (04/04/2023)</v>
      </c>
      <c r="H4162" s="19"/>
    </row>
    <row r="4163">
      <c r="A4163" s="9"/>
      <c r="B4163" s="15"/>
      <c r="C4163" s="9">
        <f>IFERROR(__xludf.DUMMYFUNCTION("""COMPUTED_VALUE"""),45101.0878092476)</f>
        <v>45101.08781</v>
      </c>
      <c r="D4163" s="15">
        <f>IFERROR(__xludf.DUMMYFUNCTION("""COMPUTED_VALUE"""),1.005)</f>
        <v>1.005</v>
      </c>
      <c r="E4163" s="16">
        <f>IFERROR(__xludf.DUMMYFUNCTION("""COMPUTED_VALUE"""),69.0)</f>
        <v>69</v>
      </c>
      <c r="F4163" s="19" t="str">
        <f>IFERROR(__xludf.DUMMYFUNCTION("""COMPUTED_VALUE"""),"BLACK")</f>
        <v>BLACK</v>
      </c>
      <c r="G4163" s="20" t="str">
        <f>IFERROR(__xludf.DUMMYFUNCTION("""COMPUTED_VALUE"""),"Uncle Sams Cider (04/04/2023)")</f>
        <v>Uncle Sams Cider (04/04/2023)</v>
      </c>
      <c r="H4163" s="19"/>
    </row>
    <row r="4164">
      <c r="A4164" s="9"/>
      <c r="B4164" s="15"/>
      <c r="C4164" s="9">
        <f>IFERROR(__xludf.DUMMYFUNCTION("""COMPUTED_VALUE"""),45101.0773884953)</f>
        <v>45101.07739</v>
      </c>
      <c r="D4164" s="15">
        <f>IFERROR(__xludf.DUMMYFUNCTION("""COMPUTED_VALUE"""),1.005)</f>
        <v>1.005</v>
      </c>
      <c r="E4164" s="16">
        <f>IFERROR(__xludf.DUMMYFUNCTION("""COMPUTED_VALUE"""),69.0)</f>
        <v>69</v>
      </c>
      <c r="F4164" s="19" t="str">
        <f>IFERROR(__xludf.DUMMYFUNCTION("""COMPUTED_VALUE"""),"BLACK")</f>
        <v>BLACK</v>
      </c>
      <c r="G4164" s="20" t="str">
        <f>IFERROR(__xludf.DUMMYFUNCTION("""COMPUTED_VALUE"""),"Uncle Sams Cider (04/04/2023)")</f>
        <v>Uncle Sams Cider (04/04/2023)</v>
      </c>
      <c r="H4164" s="19"/>
    </row>
    <row r="4165">
      <c r="A4165" s="9"/>
      <c r="B4165" s="15"/>
      <c r="C4165" s="9">
        <f>IFERROR(__xludf.DUMMYFUNCTION("""COMPUTED_VALUE"""),45101.0669674537)</f>
        <v>45101.06697</v>
      </c>
      <c r="D4165" s="15">
        <f>IFERROR(__xludf.DUMMYFUNCTION("""COMPUTED_VALUE"""),1.005)</f>
        <v>1.005</v>
      </c>
      <c r="E4165" s="16">
        <f>IFERROR(__xludf.DUMMYFUNCTION("""COMPUTED_VALUE"""),69.0)</f>
        <v>69</v>
      </c>
      <c r="F4165" s="19" t="str">
        <f>IFERROR(__xludf.DUMMYFUNCTION("""COMPUTED_VALUE"""),"BLACK")</f>
        <v>BLACK</v>
      </c>
      <c r="G4165" s="20" t="str">
        <f>IFERROR(__xludf.DUMMYFUNCTION("""COMPUTED_VALUE"""),"Uncle Sams Cider (04/04/2023)")</f>
        <v>Uncle Sams Cider (04/04/2023)</v>
      </c>
      <c r="H4165" s="19"/>
    </row>
    <row r="4166">
      <c r="A4166" s="9"/>
      <c r="B4166" s="15"/>
      <c r="C4166" s="9">
        <f>IFERROR(__xludf.DUMMYFUNCTION("""COMPUTED_VALUE"""),45101.0565461921)</f>
        <v>45101.05655</v>
      </c>
      <c r="D4166" s="15">
        <f>IFERROR(__xludf.DUMMYFUNCTION("""COMPUTED_VALUE"""),1.005)</f>
        <v>1.005</v>
      </c>
      <c r="E4166" s="16">
        <f>IFERROR(__xludf.DUMMYFUNCTION("""COMPUTED_VALUE"""),69.0)</f>
        <v>69</v>
      </c>
      <c r="F4166" s="19" t="str">
        <f>IFERROR(__xludf.DUMMYFUNCTION("""COMPUTED_VALUE"""),"BLACK")</f>
        <v>BLACK</v>
      </c>
      <c r="G4166" s="20" t="str">
        <f>IFERROR(__xludf.DUMMYFUNCTION("""COMPUTED_VALUE"""),"Uncle Sams Cider (04/04/2023)")</f>
        <v>Uncle Sams Cider (04/04/2023)</v>
      </c>
      <c r="H4166" s="19"/>
    </row>
    <row r="4167">
      <c r="A4167" s="9"/>
      <c r="B4167" s="15"/>
      <c r="C4167" s="9">
        <f>IFERROR(__xludf.DUMMYFUNCTION("""COMPUTED_VALUE"""),45101.0461030555)</f>
        <v>45101.0461</v>
      </c>
      <c r="D4167" s="15">
        <f>IFERROR(__xludf.DUMMYFUNCTION("""COMPUTED_VALUE"""),1.005)</f>
        <v>1.005</v>
      </c>
      <c r="E4167" s="16">
        <f>IFERROR(__xludf.DUMMYFUNCTION("""COMPUTED_VALUE"""),69.0)</f>
        <v>69</v>
      </c>
      <c r="F4167" s="19" t="str">
        <f>IFERROR(__xludf.DUMMYFUNCTION("""COMPUTED_VALUE"""),"BLACK")</f>
        <v>BLACK</v>
      </c>
      <c r="G4167" s="20" t="str">
        <f>IFERROR(__xludf.DUMMYFUNCTION("""COMPUTED_VALUE"""),"Uncle Sams Cider (04/04/2023)")</f>
        <v>Uncle Sams Cider (04/04/2023)</v>
      </c>
      <c r="H4167" s="19"/>
    </row>
    <row r="4168">
      <c r="A4168" s="9"/>
      <c r="B4168" s="15"/>
      <c r="C4168" s="9">
        <f>IFERROR(__xludf.DUMMYFUNCTION("""COMPUTED_VALUE"""),45101.0356818518)</f>
        <v>45101.03568</v>
      </c>
      <c r="D4168" s="15">
        <f>IFERROR(__xludf.DUMMYFUNCTION("""COMPUTED_VALUE"""),1.005)</f>
        <v>1.005</v>
      </c>
      <c r="E4168" s="16">
        <f>IFERROR(__xludf.DUMMYFUNCTION("""COMPUTED_VALUE"""),69.0)</f>
        <v>69</v>
      </c>
      <c r="F4168" s="19" t="str">
        <f>IFERROR(__xludf.DUMMYFUNCTION("""COMPUTED_VALUE"""),"BLACK")</f>
        <v>BLACK</v>
      </c>
      <c r="G4168" s="20" t="str">
        <f>IFERROR(__xludf.DUMMYFUNCTION("""COMPUTED_VALUE"""),"Uncle Sams Cider (04/04/2023)")</f>
        <v>Uncle Sams Cider (04/04/2023)</v>
      </c>
      <c r="H4168" s="19"/>
    </row>
    <row r="4169">
      <c r="A4169" s="9"/>
      <c r="B4169" s="15"/>
      <c r="C4169" s="9">
        <f>IFERROR(__xludf.DUMMYFUNCTION("""COMPUTED_VALUE"""),45101.0252591203)</f>
        <v>45101.02526</v>
      </c>
      <c r="D4169" s="15">
        <f>IFERROR(__xludf.DUMMYFUNCTION("""COMPUTED_VALUE"""),1.005)</f>
        <v>1.005</v>
      </c>
      <c r="E4169" s="16">
        <f>IFERROR(__xludf.DUMMYFUNCTION("""COMPUTED_VALUE"""),69.0)</f>
        <v>69</v>
      </c>
      <c r="F4169" s="19" t="str">
        <f>IFERROR(__xludf.DUMMYFUNCTION("""COMPUTED_VALUE"""),"BLACK")</f>
        <v>BLACK</v>
      </c>
      <c r="G4169" s="20" t="str">
        <f>IFERROR(__xludf.DUMMYFUNCTION("""COMPUTED_VALUE"""),"Uncle Sams Cider (04/04/2023)")</f>
        <v>Uncle Sams Cider (04/04/2023)</v>
      </c>
      <c r="H4169" s="19"/>
    </row>
    <row r="4170">
      <c r="A4170" s="9"/>
      <c r="B4170" s="15"/>
      <c r="C4170" s="9">
        <f>IFERROR(__xludf.DUMMYFUNCTION("""COMPUTED_VALUE"""),45101.0148379166)</f>
        <v>45101.01484</v>
      </c>
      <c r="D4170" s="15">
        <f>IFERROR(__xludf.DUMMYFUNCTION("""COMPUTED_VALUE"""),1.005)</f>
        <v>1.005</v>
      </c>
      <c r="E4170" s="16">
        <f>IFERROR(__xludf.DUMMYFUNCTION("""COMPUTED_VALUE"""),69.0)</f>
        <v>69</v>
      </c>
      <c r="F4170" s="19" t="str">
        <f>IFERROR(__xludf.DUMMYFUNCTION("""COMPUTED_VALUE"""),"BLACK")</f>
        <v>BLACK</v>
      </c>
      <c r="G4170" s="20" t="str">
        <f>IFERROR(__xludf.DUMMYFUNCTION("""COMPUTED_VALUE"""),"Uncle Sams Cider (04/04/2023)")</f>
        <v>Uncle Sams Cider (04/04/2023)</v>
      </c>
      <c r="H4170" s="19"/>
    </row>
    <row r="4171">
      <c r="A4171" s="9"/>
      <c r="B4171" s="15"/>
      <c r="C4171" s="9">
        <f>IFERROR(__xludf.DUMMYFUNCTION("""COMPUTED_VALUE"""),45101.0044156597)</f>
        <v>45101.00442</v>
      </c>
      <c r="D4171" s="15">
        <f>IFERROR(__xludf.DUMMYFUNCTION("""COMPUTED_VALUE"""),1.005)</f>
        <v>1.005</v>
      </c>
      <c r="E4171" s="16">
        <f>IFERROR(__xludf.DUMMYFUNCTION("""COMPUTED_VALUE"""),69.0)</f>
        <v>69</v>
      </c>
      <c r="F4171" s="19" t="str">
        <f>IFERROR(__xludf.DUMMYFUNCTION("""COMPUTED_VALUE"""),"BLACK")</f>
        <v>BLACK</v>
      </c>
      <c r="G4171" s="20" t="str">
        <f>IFERROR(__xludf.DUMMYFUNCTION("""COMPUTED_VALUE"""),"Uncle Sams Cider (04/04/2023)")</f>
        <v>Uncle Sams Cider (04/04/2023)</v>
      </c>
      <c r="H4171" s="19"/>
    </row>
    <row r="4172">
      <c r="A4172" s="9"/>
      <c r="B4172" s="15"/>
      <c r="C4172" s="9">
        <f>IFERROR(__xludf.DUMMYFUNCTION("""COMPUTED_VALUE"""),45100.9939942824)</f>
        <v>45100.99399</v>
      </c>
      <c r="D4172" s="15">
        <f>IFERROR(__xludf.DUMMYFUNCTION("""COMPUTED_VALUE"""),1.005)</f>
        <v>1.005</v>
      </c>
      <c r="E4172" s="16">
        <f>IFERROR(__xludf.DUMMYFUNCTION("""COMPUTED_VALUE"""),69.0)</f>
        <v>69</v>
      </c>
      <c r="F4172" s="19" t="str">
        <f>IFERROR(__xludf.DUMMYFUNCTION("""COMPUTED_VALUE"""),"BLACK")</f>
        <v>BLACK</v>
      </c>
      <c r="G4172" s="20" t="str">
        <f>IFERROR(__xludf.DUMMYFUNCTION("""COMPUTED_VALUE"""),"Uncle Sams Cider (04/04/2023)")</f>
        <v>Uncle Sams Cider (04/04/2023)</v>
      </c>
      <c r="H4172" s="19"/>
    </row>
    <row r="4173">
      <c r="A4173" s="9"/>
      <c r="B4173" s="15"/>
      <c r="C4173" s="9">
        <f>IFERROR(__xludf.DUMMYFUNCTION("""COMPUTED_VALUE"""),45100.9835499189)</f>
        <v>45100.98355</v>
      </c>
      <c r="D4173" s="15">
        <f>IFERROR(__xludf.DUMMYFUNCTION("""COMPUTED_VALUE"""),1.005)</f>
        <v>1.005</v>
      </c>
      <c r="E4173" s="16">
        <f>IFERROR(__xludf.DUMMYFUNCTION("""COMPUTED_VALUE"""),69.0)</f>
        <v>69</v>
      </c>
      <c r="F4173" s="19" t="str">
        <f>IFERROR(__xludf.DUMMYFUNCTION("""COMPUTED_VALUE"""),"BLACK")</f>
        <v>BLACK</v>
      </c>
      <c r="G4173" s="20" t="str">
        <f>IFERROR(__xludf.DUMMYFUNCTION("""COMPUTED_VALUE"""),"Uncle Sams Cider (04/04/2023)")</f>
        <v>Uncle Sams Cider (04/04/2023)</v>
      </c>
      <c r="H4173" s="19"/>
    </row>
    <row r="4174">
      <c r="A4174" s="9"/>
      <c r="B4174" s="15"/>
      <c r="C4174" s="9">
        <f>IFERROR(__xludf.DUMMYFUNCTION("""COMPUTED_VALUE"""),45100.9731287268)</f>
        <v>45100.97313</v>
      </c>
      <c r="D4174" s="15">
        <f>IFERROR(__xludf.DUMMYFUNCTION("""COMPUTED_VALUE"""),1.005)</f>
        <v>1.005</v>
      </c>
      <c r="E4174" s="16">
        <f>IFERROR(__xludf.DUMMYFUNCTION("""COMPUTED_VALUE"""),69.0)</f>
        <v>69</v>
      </c>
      <c r="F4174" s="19" t="str">
        <f>IFERROR(__xludf.DUMMYFUNCTION("""COMPUTED_VALUE"""),"BLACK")</f>
        <v>BLACK</v>
      </c>
      <c r="G4174" s="20" t="str">
        <f>IFERROR(__xludf.DUMMYFUNCTION("""COMPUTED_VALUE"""),"Uncle Sams Cider (04/04/2023)")</f>
        <v>Uncle Sams Cider (04/04/2023)</v>
      </c>
      <c r="H4174" s="19"/>
    </row>
    <row r="4175">
      <c r="A4175" s="9"/>
      <c r="B4175" s="15"/>
      <c r="C4175" s="9">
        <f>IFERROR(__xludf.DUMMYFUNCTION("""COMPUTED_VALUE"""),45100.9627069444)</f>
        <v>45100.96271</v>
      </c>
      <c r="D4175" s="15">
        <f>IFERROR(__xludf.DUMMYFUNCTION("""COMPUTED_VALUE"""),1.005)</f>
        <v>1.005</v>
      </c>
      <c r="E4175" s="16">
        <f>IFERROR(__xludf.DUMMYFUNCTION("""COMPUTED_VALUE"""),69.0)</f>
        <v>69</v>
      </c>
      <c r="F4175" s="19" t="str">
        <f>IFERROR(__xludf.DUMMYFUNCTION("""COMPUTED_VALUE"""),"BLACK")</f>
        <v>BLACK</v>
      </c>
      <c r="G4175" s="20" t="str">
        <f>IFERROR(__xludf.DUMMYFUNCTION("""COMPUTED_VALUE"""),"Uncle Sams Cider (04/04/2023)")</f>
        <v>Uncle Sams Cider (04/04/2023)</v>
      </c>
      <c r="H4175" s="19"/>
    </row>
    <row r="4176">
      <c r="A4176" s="9"/>
      <c r="B4176" s="15"/>
      <c r="C4176" s="9">
        <f>IFERROR(__xludf.DUMMYFUNCTION("""COMPUTED_VALUE"""),45100.9522740625)</f>
        <v>45100.95227</v>
      </c>
      <c r="D4176" s="15">
        <f>IFERROR(__xludf.DUMMYFUNCTION("""COMPUTED_VALUE"""),1.005)</f>
        <v>1.005</v>
      </c>
      <c r="E4176" s="16">
        <f>IFERROR(__xludf.DUMMYFUNCTION("""COMPUTED_VALUE"""),69.0)</f>
        <v>69</v>
      </c>
      <c r="F4176" s="19" t="str">
        <f>IFERROR(__xludf.DUMMYFUNCTION("""COMPUTED_VALUE"""),"BLACK")</f>
        <v>BLACK</v>
      </c>
      <c r="G4176" s="20" t="str">
        <f>IFERROR(__xludf.DUMMYFUNCTION("""COMPUTED_VALUE"""),"Uncle Sams Cider (04/04/2023)")</f>
        <v>Uncle Sams Cider (04/04/2023)</v>
      </c>
      <c r="H4176" s="19"/>
    </row>
    <row r="4177">
      <c r="A4177" s="9"/>
      <c r="B4177" s="15"/>
      <c r="C4177" s="9">
        <f>IFERROR(__xludf.DUMMYFUNCTION("""COMPUTED_VALUE"""),45100.9418384259)</f>
        <v>45100.94184</v>
      </c>
      <c r="D4177" s="15">
        <f>IFERROR(__xludf.DUMMYFUNCTION("""COMPUTED_VALUE"""),1.005)</f>
        <v>1.005</v>
      </c>
      <c r="E4177" s="16">
        <f>IFERROR(__xludf.DUMMYFUNCTION("""COMPUTED_VALUE"""),69.0)</f>
        <v>69</v>
      </c>
      <c r="F4177" s="19" t="str">
        <f>IFERROR(__xludf.DUMMYFUNCTION("""COMPUTED_VALUE"""),"BLACK")</f>
        <v>BLACK</v>
      </c>
      <c r="G4177" s="20" t="str">
        <f>IFERROR(__xludf.DUMMYFUNCTION("""COMPUTED_VALUE"""),"Uncle Sams Cider (04/04/2023)")</f>
        <v>Uncle Sams Cider (04/04/2023)</v>
      </c>
      <c r="H4177" s="19"/>
    </row>
    <row r="4178">
      <c r="A4178" s="9"/>
      <c r="B4178" s="15"/>
      <c r="C4178" s="9">
        <f>IFERROR(__xludf.DUMMYFUNCTION("""COMPUTED_VALUE"""),45100.9314167245)</f>
        <v>45100.93142</v>
      </c>
      <c r="D4178" s="15">
        <f>IFERROR(__xludf.DUMMYFUNCTION("""COMPUTED_VALUE"""),1.005)</f>
        <v>1.005</v>
      </c>
      <c r="E4178" s="16">
        <f>IFERROR(__xludf.DUMMYFUNCTION("""COMPUTED_VALUE"""),69.0)</f>
        <v>69</v>
      </c>
      <c r="F4178" s="19" t="str">
        <f>IFERROR(__xludf.DUMMYFUNCTION("""COMPUTED_VALUE"""),"BLACK")</f>
        <v>BLACK</v>
      </c>
      <c r="G4178" s="20" t="str">
        <f>IFERROR(__xludf.DUMMYFUNCTION("""COMPUTED_VALUE"""),"Uncle Sams Cider (04/04/2023)")</f>
        <v>Uncle Sams Cider (04/04/2023)</v>
      </c>
      <c r="H4178" s="19"/>
    </row>
    <row r="4179">
      <c r="A4179" s="9"/>
      <c r="B4179" s="15"/>
      <c r="C4179" s="9">
        <f>IFERROR(__xludf.DUMMYFUNCTION("""COMPUTED_VALUE"""),45100.9209956134)</f>
        <v>45100.921</v>
      </c>
      <c r="D4179" s="15">
        <f>IFERROR(__xludf.DUMMYFUNCTION("""COMPUTED_VALUE"""),1.005)</f>
        <v>1.005</v>
      </c>
      <c r="E4179" s="16">
        <f>IFERROR(__xludf.DUMMYFUNCTION("""COMPUTED_VALUE"""),69.0)</f>
        <v>69</v>
      </c>
      <c r="F4179" s="19" t="str">
        <f>IFERROR(__xludf.DUMMYFUNCTION("""COMPUTED_VALUE"""),"BLACK")</f>
        <v>BLACK</v>
      </c>
      <c r="G4179" s="20" t="str">
        <f>IFERROR(__xludf.DUMMYFUNCTION("""COMPUTED_VALUE"""),"Uncle Sams Cider (04/04/2023)")</f>
        <v>Uncle Sams Cider (04/04/2023)</v>
      </c>
      <c r="H4179" s="19"/>
    </row>
    <row r="4180">
      <c r="A4180" s="9"/>
      <c r="B4180" s="15"/>
      <c r="C4180" s="9">
        <f>IFERROR(__xludf.DUMMYFUNCTION("""COMPUTED_VALUE"""),45100.9105742361)</f>
        <v>45100.91057</v>
      </c>
      <c r="D4180" s="15">
        <f>IFERROR(__xludf.DUMMYFUNCTION("""COMPUTED_VALUE"""),1.005)</f>
        <v>1.005</v>
      </c>
      <c r="E4180" s="16">
        <f>IFERROR(__xludf.DUMMYFUNCTION("""COMPUTED_VALUE"""),69.0)</f>
        <v>69</v>
      </c>
      <c r="F4180" s="19" t="str">
        <f>IFERROR(__xludf.DUMMYFUNCTION("""COMPUTED_VALUE"""),"BLACK")</f>
        <v>BLACK</v>
      </c>
      <c r="G4180" s="20" t="str">
        <f>IFERROR(__xludf.DUMMYFUNCTION("""COMPUTED_VALUE"""),"Uncle Sams Cider (04/04/2023)")</f>
        <v>Uncle Sams Cider (04/04/2023)</v>
      </c>
      <c r="H4180" s="19"/>
    </row>
    <row r="4181">
      <c r="A4181" s="9"/>
      <c r="B4181" s="15"/>
      <c r="C4181" s="9">
        <f>IFERROR(__xludf.DUMMYFUNCTION("""COMPUTED_VALUE"""),45100.9001523379)</f>
        <v>45100.90015</v>
      </c>
      <c r="D4181" s="15">
        <f>IFERROR(__xludf.DUMMYFUNCTION("""COMPUTED_VALUE"""),1.005)</f>
        <v>1.005</v>
      </c>
      <c r="E4181" s="16">
        <f>IFERROR(__xludf.DUMMYFUNCTION("""COMPUTED_VALUE"""),69.0)</f>
        <v>69</v>
      </c>
      <c r="F4181" s="19" t="str">
        <f>IFERROR(__xludf.DUMMYFUNCTION("""COMPUTED_VALUE"""),"BLACK")</f>
        <v>BLACK</v>
      </c>
      <c r="G4181" s="20" t="str">
        <f>IFERROR(__xludf.DUMMYFUNCTION("""COMPUTED_VALUE"""),"Uncle Sams Cider (04/04/2023)")</f>
        <v>Uncle Sams Cider (04/04/2023)</v>
      </c>
      <c r="H4181" s="19"/>
    </row>
    <row r="4182">
      <c r="A4182" s="9"/>
      <c r="B4182" s="15"/>
      <c r="C4182" s="9">
        <f>IFERROR(__xludf.DUMMYFUNCTION("""COMPUTED_VALUE"""),45100.8897312384)</f>
        <v>45100.88973</v>
      </c>
      <c r="D4182" s="15">
        <f>IFERROR(__xludf.DUMMYFUNCTION("""COMPUTED_VALUE"""),1.005)</f>
        <v>1.005</v>
      </c>
      <c r="E4182" s="16">
        <f>IFERROR(__xludf.DUMMYFUNCTION("""COMPUTED_VALUE"""),69.0)</f>
        <v>69</v>
      </c>
      <c r="F4182" s="19" t="str">
        <f>IFERROR(__xludf.DUMMYFUNCTION("""COMPUTED_VALUE"""),"BLACK")</f>
        <v>BLACK</v>
      </c>
      <c r="G4182" s="20" t="str">
        <f>IFERROR(__xludf.DUMMYFUNCTION("""COMPUTED_VALUE"""),"Uncle Sams Cider (04/04/2023)")</f>
        <v>Uncle Sams Cider (04/04/2023)</v>
      </c>
      <c r="H4182" s="19"/>
    </row>
    <row r="4183">
      <c r="A4183" s="9"/>
      <c r="B4183" s="15"/>
      <c r="C4183" s="9">
        <f>IFERROR(__xludf.DUMMYFUNCTION("""COMPUTED_VALUE"""),45100.8793126157)</f>
        <v>45100.87931</v>
      </c>
      <c r="D4183" s="15">
        <f>IFERROR(__xludf.DUMMYFUNCTION("""COMPUTED_VALUE"""),1.005)</f>
        <v>1.005</v>
      </c>
      <c r="E4183" s="16">
        <f>IFERROR(__xludf.DUMMYFUNCTION("""COMPUTED_VALUE"""),69.0)</f>
        <v>69</v>
      </c>
      <c r="F4183" s="19" t="str">
        <f>IFERROR(__xludf.DUMMYFUNCTION("""COMPUTED_VALUE"""),"BLACK")</f>
        <v>BLACK</v>
      </c>
      <c r="G4183" s="20" t="str">
        <f>IFERROR(__xludf.DUMMYFUNCTION("""COMPUTED_VALUE"""),"Uncle Sams Cider (04/04/2023)")</f>
        <v>Uncle Sams Cider (04/04/2023)</v>
      </c>
      <c r="H4183" s="19"/>
    </row>
    <row r="4184">
      <c r="A4184" s="9"/>
      <c r="B4184" s="15"/>
      <c r="C4184" s="9">
        <f>IFERROR(__xludf.DUMMYFUNCTION("""COMPUTED_VALUE"""),45100.8688912847)</f>
        <v>45100.86889</v>
      </c>
      <c r="D4184" s="15">
        <f>IFERROR(__xludf.DUMMYFUNCTION("""COMPUTED_VALUE"""),1.005)</f>
        <v>1.005</v>
      </c>
      <c r="E4184" s="16">
        <f>IFERROR(__xludf.DUMMYFUNCTION("""COMPUTED_VALUE"""),69.0)</f>
        <v>69</v>
      </c>
      <c r="F4184" s="19" t="str">
        <f>IFERROR(__xludf.DUMMYFUNCTION("""COMPUTED_VALUE"""),"BLACK")</f>
        <v>BLACK</v>
      </c>
      <c r="G4184" s="20" t="str">
        <f>IFERROR(__xludf.DUMMYFUNCTION("""COMPUTED_VALUE"""),"Uncle Sams Cider (04/04/2023)")</f>
        <v>Uncle Sams Cider (04/04/2023)</v>
      </c>
      <c r="H4184" s="19"/>
    </row>
    <row r="4185">
      <c r="A4185" s="9"/>
      <c r="B4185" s="15"/>
      <c r="C4185" s="9">
        <f>IFERROR(__xludf.DUMMYFUNCTION("""COMPUTED_VALUE"""),45100.8584686458)</f>
        <v>45100.85847</v>
      </c>
      <c r="D4185" s="15">
        <f>IFERROR(__xludf.DUMMYFUNCTION("""COMPUTED_VALUE"""),1.005)</f>
        <v>1.005</v>
      </c>
      <c r="E4185" s="16">
        <f>IFERROR(__xludf.DUMMYFUNCTION("""COMPUTED_VALUE"""),69.0)</f>
        <v>69</v>
      </c>
      <c r="F4185" s="19" t="str">
        <f>IFERROR(__xludf.DUMMYFUNCTION("""COMPUTED_VALUE"""),"BLACK")</f>
        <v>BLACK</v>
      </c>
      <c r="G4185" s="20" t="str">
        <f>IFERROR(__xludf.DUMMYFUNCTION("""COMPUTED_VALUE"""),"Uncle Sams Cider (04/04/2023)")</f>
        <v>Uncle Sams Cider (04/04/2023)</v>
      </c>
      <c r="H4185" s="19"/>
    </row>
    <row r="4186">
      <c r="A4186" s="9"/>
      <c r="B4186" s="15"/>
      <c r="C4186" s="9">
        <f>IFERROR(__xludf.DUMMYFUNCTION("""COMPUTED_VALUE"""),45100.8480491435)</f>
        <v>45100.84805</v>
      </c>
      <c r="D4186" s="15">
        <f>IFERROR(__xludf.DUMMYFUNCTION("""COMPUTED_VALUE"""),1.005)</f>
        <v>1.005</v>
      </c>
      <c r="E4186" s="16">
        <f>IFERROR(__xludf.DUMMYFUNCTION("""COMPUTED_VALUE"""),69.0)</f>
        <v>69</v>
      </c>
      <c r="F4186" s="19" t="str">
        <f>IFERROR(__xludf.DUMMYFUNCTION("""COMPUTED_VALUE"""),"BLACK")</f>
        <v>BLACK</v>
      </c>
      <c r="G4186" s="20" t="str">
        <f>IFERROR(__xludf.DUMMYFUNCTION("""COMPUTED_VALUE"""),"Uncle Sams Cider (04/04/2023)")</f>
        <v>Uncle Sams Cider (04/04/2023)</v>
      </c>
      <c r="H4186" s="19"/>
    </row>
    <row r="4187">
      <c r="A4187" s="9"/>
      <c r="B4187" s="15"/>
      <c r="C4187" s="9">
        <f>IFERROR(__xludf.DUMMYFUNCTION("""COMPUTED_VALUE"""),45100.8376046875)</f>
        <v>45100.8376</v>
      </c>
      <c r="D4187" s="15">
        <f>IFERROR(__xludf.DUMMYFUNCTION("""COMPUTED_VALUE"""),1.005)</f>
        <v>1.005</v>
      </c>
      <c r="E4187" s="16">
        <f>IFERROR(__xludf.DUMMYFUNCTION("""COMPUTED_VALUE"""),69.0)</f>
        <v>69</v>
      </c>
      <c r="F4187" s="19" t="str">
        <f>IFERROR(__xludf.DUMMYFUNCTION("""COMPUTED_VALUE"""),"BLACK")</f>
        <v>BLACK</v>
      </c>
      <c r="G4187" s="20" t="str">
        <f>IFERROR(__xludf.DUMMYFUNCTION("""COMPUTED_VALUE"""),"Uncle Sams Cider (04/04/2023)")</f>
        <v>Uncle Sams Cider (04/04/2023)</v>
      </c>
      <c r="H4187" s="19"/>
    </row>
    <row r="4188">
      <c r="A4188" s="9"/>
      <c r="B4188" s="15"/>
      <c r="C4188" s="9">
        <f>IFERROR(__xludf.DUMMYFUNCTION("""COMPUTED_VALUE"""),45100.8271825347)</f>
        <v>45100.82718</v>
      </c>
      <c r="D4188" s="15">
        <f>IFERROR(__xludf.DUMMYFUNCTION("""COMPUTED_VALUE"""),1.005)</f>
        <v>1.005</v>
      </c>
      <c r="E4188" s="16">
        <f>IFERROR(__xludf.DUMMYFUNCTION("""COMPUTED_VALUE"""),69.0)</f>
        <v>69</v>
      </c>
      <c r="F4188" s="19" t="str">
        <f>IFERROR(__xludf.DUMMYFUNCTION("""COMPUTED_VALUE"""),"BLACK")</f>
        <v>BLACK</v>
      </c>
      <c r="G4188" s="20" t="str">
        <f>IFERROR(__xludf.DUMMYFUNCTION("""COMPUTED_VALUE"""),"Uncle Sams Cider (04/04/2023)")</f>
        <v>Uncle Sams Cider (04/04/2023)</v>
      </c>
      <c r="H4188" s="19"/>
    </row>
    <row r="4189">
      <c r="A4189" s="9"/>
      <c r="B4189" s="15"/>
      <c r="C4189" s="9">
        <f>IFERROR(__xludf.DUMMYFUNCTION("""COMPUTED_VALUE"""),45100.8167598263)</f>
        <v>45100.81676</v>
      </c>
      <c r="D4189" s="15">
        <f>IFERROR(__xludf.DUMMYFUNCTION("""COMPUTED_VALUE"""),1.005)</f>
        <v>1.005</v>
      </c>
      <c r="E4189" s="16">
        <f>IFERROR(__xludf.DUMMYFUNCTION("""COMPUTED_VALUE"""),69.0)</f>
        <v>69</v>
      </c>
      <c r="F4189" s="19" t="str">
        <f>IFERROR(__xludf.DUMMYFUNCTION("""COMPUTED_VALUE"""),"BLACK")</f>
        <v>BLACK</v>
      </c>
      <c r="G4189" s="20" t="str">
        <f>IFERROR(__xludf.DUMMYFUNCTION("""COMPUTED_VALUE"""),"Uncle Sams Cider (04/04/2023)")</f>
        <v>Uncle Sams Cider (04/04/2023)</v>
      </c>
      <c r="H4189" s="19"/>
    </row>
    <row r="4190">
      <c r="A4190" s="9"/>
      <c r="B4190" s="15"/>
      <c r="C4190" s="9">
        <f>IFERROR(__xludf.DUMMYFUNCTION("""COMPUTED_VALUE"""),45100.806338993)</f>
        <v>45100.80634</v>
      </c>
      <c r="D4190" s="15">
        <f>IFERROR(__xludf.DUMMYFUNCTION("""COMPUTED_VALUE"""),1.005)</f>
        <v>1.005</v>
      </c>
      <c r="E4190" s="16">
        <f>IFERROR(__xludf.DUMMYFUNCTION("""COMPUTED_VALUE"""),69.0)</f>
        <v>69</v>
      </c>
      <c r="F4190" s="19" t="str">
        <f>IFERROR(__xludf.DUMMYFUNCTION("""COMPUTED_VALUE"""),"BLACK")</f>
        <v>BLACK</v>
      </c>
      <c r="G4190" s="20" t="str">
        <f>IFERROR(__xludf.DUMMYFUNCTION("""COMPUTED_VALUE"""),"Uncle Sams Cider (04/04/2023)")</f>
        <v>Uncle Sams Cider (04/04/2023)</v>
      </c>
      <c r="H4190" s="19"/>
    </row>
    <row r="4191">
      <c r="A4191" s="9"/>
      <c r="B4191" s="15"/>
      <c r="C4191" s="9">
        <f>IFERROR(__xludf.DUMMYFUNCTION("""COMPUTED_VALUE"""),45100.7959054861)</f>
        <v>45100.79591</v>
      </c>
      <c r="D4191" s="15">
        <f>IFERROR(__xludf.DUMMYFUNCTION("""COMPUTED_VALUE"""),1.005)</f>
        <v>1.005</v>
      </c>
      <c r="E4191" s="16">
        <f>IFERROR(__xludf.DUMMYFUNCTION("""COMPUTED_VALUE"""),69.0)</f>
        <v>69</v>
      </c>
      <c r="F4191" s="19" t="str">
        <f>IFERROR(__xludf.DUMMYFUNCTION("""COMPUTED_VALUE"""),"BLACK")</f>
        <v>BLACK</v>
      </c>
      <c r="G4191" s="20" t="str">
        <f>IFERROR(__xludf.DUMMYFUNCTION("""COMPUTED_VALUE"""),"Uncle Sams Cider (04/04/2023)")</f>
        <v>Uncle Sams Cider (04/04/2023)</v>
      </c>
      <c r="H4191" s="19"/>
    </row>
    <row r="4192">
      <c r="A4192" s="9"/>
      <c r="B4192" s="15"/>
      <c r="C4192" s="9">
        <f>IFERROR(__xludf.DUMMYFUNCTION("""COMPUTED_VALUE"""),45100.7854839699)</f>
        <v>45100.78548</v>
      </c>
      <c r="D4192" s="15">
        <f>IFERROR(__xludf.DUMMYFUNCTION("""COMPUTED_VALUE"""),1.005)</f>
        <v>1.005</v>
      </c>
      <c r="E4192" s="16">
        <f>IFERROR(__xludf.DUMMYFUNCTION("""COMPUTED_VALUE"""),69.0)</f>
        <v>69</v>
      </c>
      <c r="F4192" s="19" t="str">
        <f>IFERROR(__xludf.DUMMYFUNCTION("""COMPUTED_VALUE"""),"BLACK")</f>
        <v>BLACK</v>
      </c>
      <c r="G4192" s="20" t="str">
        <f>IFERROR(__xludf.DUMMYFUNCTION("""COMPUTED_VALUE"""),"Uncle Sams Cider (04/04/2023)")</f>
        <v>Uncle Sams Cider (04/04/2023)</v>
      </c>
      <c r="H4192" s="19"/>
    </row>
    <row r="4193">
      <c r="A4193" s="9"/>
      <c r="B4193" s="15"/>
      <c r="C4193" s="9">
        <f>IFERROR(__xludf.DUMMYFUNCTION("""COMPUTED_VALUE"""),45100.7750622916)</f>
        <v>45100.77506</v>
      </c>
      <c r="D4193" s="15">
        <f>IFERROR(__xludf.DUMMYFUNCTION("""COMPUTED_VALUE"""),1.005)</f>
        <v>1.005</v>
      </c>
      <c r="E4193" s="16">
        <f>IFERROR(__xludf.DUMMYFUNCTION("""COMPUTED_VALUE"""),69.0)</f>
        <v>69</v>
      </c>
      <c r="F4193" s="19" t="str">
        <f>IFERROR(__xludf.DUMMYFUNCTION("""COMPUTED_VALUE"""),"BLACK")</f>
        <v>BLACK</v>
      </c>
      <c r="G4193" s="20" t="str">
        <f>IFERROR(__xludf.DUMMYFUNCTION("""COMPUTED_VALUE"""),"Uncle Sams Cider (04/04/2023)")</f>
        <v>Uncle Sams Cider (04/04/2023)</v>
      </c>
      <c r="H4193" s="19"/>
    </row>
    <row r="4194">
      <c r="A4194" s="9"/>
      <c r="B4194" s="15"/>
      <c r="C4194" s="9">
        <f>IFERROR(__xludf.DUMMYFUNCTION("""COMPUTED_VALUE"""),45100.7646413194)</f>
        <v>45100.76464</v>
      </c>
      <c r="D4194" s="15">
        <f>IFERROR(__xludf.DUMMYFUNCTION("""COMPUTED_VALUE"""),1.005)</f>
        <v>1.005</v>
      </c>
      <c r="E4194" s="16">
        <f>IFERROR(__xludf.DUMMYFUNCTION("""COMPUTED_VALUE"""),69.0)</f>
        <v>69</v>
      </c>
      <c r="F4194" s="19" t="str">
        <f>IFERROR(__xludf.DUMMYFUNCTION("""COMPUTED_VALUE"""),"BLACK")</f>
        <v>BLACK</v>
      </c>
      <c r="G4194" s="20" t="str">
        <f>IFERROR(__xludf.DUMMYFUNCTION("""COMPUTED_VALUE"""),"Uncle Sams Cider (04/04/2023)")</f>
        <v>Uncle Sams Cider (04/04/2023)</v>
      </c>
      <c r="H4194" s="19"/>
    </row>
    <row r="4195">
      <c r="A4195" s="9"/>
      <c r="B4195" s="15"/>
      <c r="C4195" s="9">
        <f>IFERROR(__xludf.DUMMYFUNCTION("""COMPUTED_VALUE"""),45100.7541970717)</f>
        <v>45100.7542</v>
      </c>
      <c r="D4195" s="15">
        <f>IFERROR(__xludf.DUMMYFUNCTION("""COMPUTED_VALUE"""),1.005)</f>
        <v>1.005</v>
      </c>
      <c r="E4195" s="16">
        <f>IFERROR(__xludf.DUMMYFUNCTION("""COMPUTED_VALUE"""),69.0)</f>
        <v>69</v>
      </c>
      <c r="F4195" s="19" t="str">
        <f>IFERROR(__xludf.DUMMYFUNCTION("""COMPUTED_VALUE"""),"BLACK")</f>
        <v>BLACK</v>
      </c>
      <c r="G4195" s="20" t="str">
        <f>IFERROR(__xludf.DUMMYFUNCTION("""COMPUTED_VALUE"""),"Uncle Sams Cider (04/04/2023)")</f>
        <v>Uncle Sams Cider (04/04/2023)</v>
      </c>
      <c r="H4195" s="19"/>
    </row>
    <row r="4196">
      <c r="A4196" s="9"/>
      <c r="B4196" s="15"/>
      <c r="C4196" s="9">
        <f>IFERROR(__xludf.DUMMYFUNCTION("""COMPUTED_VALUE"""),45100.7437751388)</f>
        <v>45100.74378</v>
      </c>
      <c r="D4196" s="15">
        <f>IFERROR(__xludf.DUMMYFUNCTION("""COMPUTED_VALUE"""),1.005)</f>
        <v>1.005</v>
      </c>
      <c r="E4196" s="16">
        <f>IFERROR(__xludf.DUMMYFUNCTION("""COMPUTED_VALUE"""),69.0)</f>
        <v>69</v>
      </c>
      <c r="F4196" s="19" t="str">
        <f>IFERROR(__xludf.DUMMYFUNCTION("""COMPUTED_VALUE"""),"BLACK")</f>
        <v>BLACK</v>
      </c>
      <c r="G4196" s="20" t="str">
        <f>IFERROR(__xludf.DUMMYFUNCTION("""COMPUTED_VALUE"""),"Uncle Sams Cider (04/04/2023)")</f>
        <v>Uncle Sams Cider (04/04/2023)</v>
      </c>
      <c r="H4196" s="19"/>
    </row>
    <row r="4197">
      <c r="A4197" s="9"/>
      <c r="B4197" s="15"/>
      <c r="C4197" s="9">
        <f>IFERROR(__xludf.DUMMYFUNCTION("""COMPUTED_VALUE"""),45100.733351412)</f>
        <v>45100.73335</v>
      </c>
      <c r="D4197" s="15">
        <f>IFERROR(__xludf.DUMMYFUNCTION("""COMPUTED_VALUE"""),1.005)</f>
        <v>1.005</v>
      </c>
      <c r="E4197" s="16">
        <f>IFERROR(__xludf.DUMMYFUNCTION("""COMPUTED_VALUE"""),69.0)</f>
        <v>69</v>
      </c>
      <c r="F4197" s="19" t="str">
        <f>IFERROR(__xludf.DUMMYFUNCTION("""COMPUTED_VALUE"""),"BLACK")</f>
        <v>BLACK</v>
      </c>
      <c r="G4197" s="20" t="str">
        <f>IFERROR(__xludf.DUMMYFUNCTION("""COMPUTED_VALUE"""),"Uncle Sams Cider (04/04/2023)")</f>
        <v>Uncle Sams Cider (04/04/2023)</v>
      </c>
      <c r="H4197" s="19"/>
    </row>
    <row r="4198">
      <c r="A4198" s="9"/>
      <c r="B4198" s="15"/>
      <c r="C4198" s="9">
        <f>IFERROR(__xludf.DUMMYFUNCTION("""COMPUTED_VALUE"""),45100.7229291203)</f>
        <v>45100.72293</v>
      </c>
      <c r="D4198" s="15">
        <f>IFERROR(__xludf.DUMMYFUNCTION("""COMPUTED_VALUE"""),1.005)</f>
        <v>1.005</v>
      </c>
      <c r="E4198" s="16">
        <f>IFERROR(__xludf.DUMMYFUNCTION("""COMPUTED_VALUE"""),69.0)</f>
        <v>69</v>
      </c>
      <c r="F4198" s="19" t="str">
        <f>IFERROR(__xludf.DUMMYFUNCTION("""COMPUTED_VALUE"""),"BLACK")</f>
        <v>BLACK</v>
      </c>
      <c r="G4198" s="20" t="str">
        <f>IFERROR(__xludf.DUMMYFUNCTION("""COMPUTED_VALUE"""),"Uncle Sams Cider (04/04/2023)")</f>
        <v>Uncle Sams Cider (04/04/2023)</v>
      </c>
      <c r="H4198" s="19"/>
    </row>
    <row r="4199">
      <c r="A4199" s="9"/>
      <c r="B4199" s="15"/>
      <c r="C4199" s="9">
        <f>IFERROR(__xludf.DUMMYFUNCTION("""COMPUTED_VALUE"""),45100.712507581)</f>
        <v>45100.71251</v>
      </c>
      <c r="D4199" s="15">
        <f>IFERROR(__xludf.DUMMYFUNCTION("""COMPUTED_VALUE"""),1.005)</f>
        <v>1.005</v>
      </c>
      <c r="E4199" s="16">
        <f>IFERROR(__xludf.DUMMYFUNCTION("""COMPUTED_VALUE"""),69.0)</f>
        <v>69</v>
      </c>
      <c r="F4199" s="19" t="str">
        <f>IFERROR(__xludf.DUMMYFUNCTION("""COMPUTED_VALUE"""),"BLACK")</f>
        <v>BLACK</v>
      </c>
      <c r="G4199" s="20" t="str">
        <f>IFERROR(__xludf.DUMMYFUNCTION("""COMPUTED_VALUE"""),"Uncle Sams Cider (04/04/2023)")</f>
        <v>Uncle Sams Cider (04/04/2023)</v>
      </c>
      <c r="H4199" s="19"/>
    </row>
    <row r="4200">
      <c r="A4200" s="9"/>
      <c r="B4200" s="15"/>
      <c r="C4200" s="9">
        <f>IFERROR(__xludf.DUMMYFUNCTION("""COMPUTED_VALUE"""),45100.7020887847)</f>
        <v>45100.70209</v>
      </c>
      <c r="D4200" s="15">
        <f>IFERROR(__xludf.DUMMYFUNCTION("""COMPUTED_VALUE"""),1.005)</f>
        <v>1.005</v>
      </c>
      <c r="E4200" s="16">
        <f>IFERROR(__xludf.DUMMYFUNCTION("""COMPUTED_VALUE"""),69.0)</f>
        <v>69</v>
      </c>
      <c r="F4200" s="19" t="str">
        <f>IFERROR(__xludf.DUMMYFUNCTION("""COMPUTED_VALUE"""),"BLACK")</f>
        <v>BLACK</v>
      </c>
      <c r="G4200" s="20" t="str">
        <f>IFERROR(__xludf.DUMMYFUNCTION("""COMPUTED_VALUE"""),"Uncle Sams Cider (04/04/2023)")</f>
        <v>Uncle Sams Cider (04/04/2023)</v>
      </c>
      <c r="H4200" s="19"/>
    </row>
    <row r="4201">
      <c r="A4201" s="9"/>
      <c r="B4201" s="15"/>
      <c r="C4201" s="9">
        <f>IFERROR(__xludf.DUMMYFUNCTION("""COMPUTED_VALUE"""),45100.6916683912)</f>
        <v>45100.69167</v>
      </c>
      <c r="D4201" s="15">
        <f>IFERROR(__xludf.DUMMYFUNCTION("""COMPUTED_VALUE"""),1.005)</f>
        <v>1.005</v>
      </c>
      <c r="E4201" s="16">
        <f>IFERROR(__xludf.DUMMYFUNCTION("""COMPUTED_VALUE"""),69.0)</f>
        <v>69</v>
      </c>
      <c r="F4201" s="19" t="str">
        <f>IFERROR(__xludf.DUMMYFUNCTION("""COMPUTED_VALUE"""),"BLACK")</f>
        <v>BLACK</v>
      </c>
      <c r="G4201" s="20" t="str">
        <f>IFERROR(__xludf.DUMMYFUNCTION("""COMPUTED_VALUE"""),"Uncle Sams Cider (04/04/2023)")</f>
        <v>Uncle Sams Cider (04/04/2023)</v>
      </c>
      <c r="H4201" s="19"/>
    </row>
    <row r="4202">
      <c r="A4202" s="9"/>
      <c r="B4202" s="15"/>
      <c r="C4202" s="9">
        <f>IFERROR(__xludf.DUMMYFUNCTION("""COMPUTED_VALUE"""),45100.6812462963)</f>
        <v>45100.68125</v>
      </c>
      <c r="D4202" s="15">
        <f>IFERROR(__xludf.DUMMYFUNCTION("""COMPUTED_VALUE"""),1.005)</f>
        <v>1.005</v>
      </c>
      <c r="E4202" s="16">
        <f>IFERROR(__xludf.DUMMYFUNCTION("""COMPUTED_VALUE"""),69.0)</f>
        <v>69</v>
      </c>
      <c r="F4202" s="19" t="str">
        <f>IFERROR(__xludf.DUMMYFUNCTION("""COMPUTED_VALUE"""),"BLACK")</f>
        <v>BLACK</v>
      </c>
      <c r="G4202" s="20" t="str">
        <f>IFERROR(__xludf.DUMMYFUNCTION("""COMPUTED_VALUE"""),"Uncle Sams Cider (04/04/2023)")</f>
        <v>Uncle Sams Cider (04/04/2023)</v>
      </c>
      <c r="H4202" s="19"/>
    </row>
    <row r="4203">
      <c r="A4203" s="9"/>
      <c r="B4203" s="15"/>
      <c r="C4203" s="9">
        <f>IFERROR(__xludf.DUMMYFUNCTION("""COMPUTED_VALUE"""),45100.6708251273)</f>
        <v>45100.67083</v>
      </c>
      <c r="D4203" s="15">
        <f>IFERROR(__xludf.DUMMYFUNCTION("""COMPUTED_VALUE"""),1.005)</f>
        <v>1.005</v>
      </c>
      <c r="E4203" s="16">
        <f>IFERROR(__xludf.DUMMYFUNCTION("""COMPUTED_VALUE"""),69.0)</f>
        <v>69</v>
      </c>
      <c r="F4203" s="19" t="str">
        <f>IFERROR(__xludf.DUMMYFUNCTION("""COMPUTED_VALUE"""),"BLACK")</f>
        <v>BLACK</v>
      </c>
      <c r="G4203" s="20" t="str">
        <f>IFERROR(__xludf.DUMMYFUNCTION("""COMPUTED_VALUE"""),"Uncle Sams Cider (04/04/2023)")</f>
        <v>Uncle Sams Cider (04/04/2023)</v>
      </c>
      <c r="H4203" s="19"/>
    </row>
    <row r="4204">
      <c r="A4204" s="9"/>
      <c r="B4204" s="15"/>
      <c r="C4204" s="9">
        <f>IFERROR(__xludf.DUMMYFUNCTION("""COMPUTED_VALUE"""),45100.6604047338)</f>
        <v>45100.6604</v>
      </c>
      <c r="D4204" s="15">
        <f>IFERROR(__xludf.DUMMYFUNCTION("""COMPUTED_VALUE"""),1.005)</f>
        <v>1.005</v>
      </c>
      <c r="E4204" s="16">
        <f>IFERROR(__xludf.DUMMYFUNCTION("""COMPUTED_VALUE"""),69.0)</f>
        <v>69</v>
      </c>
      <c r="F4204" s="19" t="str">
        <f>IFERROR(__xludf.DUMMYFUNCTION("""COMPUTED_VALUE"""),"BLACK")</f>
        <v>BLACK</v>
      </c>
      <c r="G4204" s="20" t="str">
        <f>IFERROR(__xludf.DUMMYFUNCTION("""COMPUTED_VALUE"""),"Uncle Sams Cider (04/04/2023)")</f>
        <v>Uncle Sams Cider (04/04/2023)</v>
      </c>
      <c r="H4204" s="19"/>
    </row>
    <row r="4205">
      <c r="A4205" s="9"/>
      <c r="B4205" s="15"/>
      <c r="C4205" s="9">
        <f>IFERROR(__xludf.DUMMYFUNCTION("""COMPUTED_VALUE"""),45100.6499847569)</f>
        <v>45100.64998</v>
      </c>
      <c r="D4205" s="15">
        <f>IFERROR(__xludf.DUMMYFUNCTION("""COMPUTED_VALUE"""),1.005)</f>
        <v>1.005</v>
      </c>
      <c r="E4205" s="16">
        <f>IFERROR(__xludf.DUMMYFUNCTION("""COMPUTED_VALUE"""),69.0)</f>
        <v>69</v>
      </c>
      <c r="F4205" s="19" t="str">
        <f>IFERROR(__xludf.DUMMYFUNCTION("""COMPUTED_VALUE"""),"BLACK")</f>
        <v>BLACK</v>
      </c>
      <c r="G4205" s="20" t="str">
        <f>IFERROR(__xludf.DUMMYFUNCTION("""COMPUTED_VALUE"""),"Uncle Sams Cider (04/04/2023)")</f>
        <v>Uncle Sams Cider (04/04/2023)</v>
      </c>
      <c r="H4205" s="19"/>
    </row>
    <row r="4206">
      <c r="A4206" s="9"/>
      <c r="B4206" s="15"/>
      <c r="C4206" s="9">
        <f>IFERROR(__xludf.DUMMYFUNCTION("""COMPUTED_VALUE"""),45100.6395522916)</f>
        <v>45100.63955</v>
      </c>
      <c r="D4206" s="15">
        <f>IFERROR(__xludf.DUMMYFUNCTION("""COMPUTED_VALUE"""),1.005)</f>
        <v>1.005</v>
      </c>
      <c r="E4206" s="16">
        <f>IFERROR(__xludf.DUMMYFUNCTION("""COMPUTED_VALUE"""),69.0)</f>
        <v>69</v>
      </c>
      <c r="F4206" s="19" t="str">
        <f>IFERROR(__xludf.DUMMYFUNCTION("""COMPUTED_VALUE"""),"BLACK")</f>
        <v>BLACK</v>
      </c>
      <c r="G4206" s="20" t="str">
        <f>IFERROR(__xludf.DUMMYFUNCTION("""COMPUTED_VALUE"""),"Uncle Sams Cider (04/04/2023)")</f>
        <v>Uncle Sams Cider (04/04/2023)</v>
      </c>
      <c r="H4206" s="19"/>
    </row>
    <row r="4207">
      <c r="A4207" s="9"/>
      <c r="B4207" s="15"/>
      <c r="C4207" s="9">
        <f>IFERROR(__xludf.DUMMYFUNCTION("""COMPUTED_VALUE"""),45100.6291302546)</f>
        <v>45100.62913</v>
      </c>
      <c r="D4207" s="15">
        <f>IFERROR(__xludf.DUMMYFUNCTION("""COMPUTED_VALUE"""),1.005)</f>
        <v>1.005</v>
      </c>
      <c r="E4207" s="16">
        <f>IFERROR(__xludf.DUMMYFUNCTION("""COMPUTED_VALUE"""),69.0)</f>
        <v>69</v>
      </c>
      <c r="F4207" s="19" t="str">
        <f>IFERROR(__xludf.DUMMYFUNCTION("""COMPUTED_VALUE"""),"BLACK")</f>
        <v>BLACK</v>
      </c>
      <c r="G4207" s="20" t="str">
        <f>IFERROR(__xludf.DUMMYFUNCTION("""COMPUTED_VALUE"""),"Uncle Sams Cider (04/04/2023)")</f>
        <v>Uncle Sams Cider (04/04/2023)</v>
      </c>
      <c r="H4207" s="19"/>
    </row>
    <row r="4208">
      <c r="A4208" s="9"/>
      <c r="B4208" s="15"/>
      <c r="C4208" s="9">
        <f>IFERROR(__xludf.DUMMYFUNCTION("""COMPUTED_VALUE"""),45100.6186864236)</f>
        <v>45100.61869</v>
      </c>
      <c r="D4208" s="15">
        <f>IFERROR(__xludf.DUMMYFUNCTION("""COMPUTED_VALUE"""),1.005)</f>
        <v>1.005</v>
      </c>
      <c r="E4208" s="16">
        <f>IFERROR(__xludf.DUMMYFUNCTION("""COMPUTED_VALUE"""),69.0)</f>
        <v>69</v>
      </c>
      <c r="F4208" s="19" t="str">
        <f>IFERROR(__xludf.DUMMYFUNCTION("""COMPUTED_VALUE"""),"BLACK")</f>
        <v>BLACK</v>
      </c>
      <c r="G4208" s="20" t="str">
        <f>IFERROR(__xludf.DUMMYFUNCTION("""COMPUTED_VALUE"""),"Uncle Sams Cider (04/04/2023)")</f>
        <v>Uncle Sams Cider (04/04/2023)</v>
      </c>
      <c r="H4208" s="19"/>
    </row>
    <row r="4209">
      <c r="A4209" s="9"/>
      <c r="B4209" s="15"/>
      <c r="C4209" s="9">
        <f>IFERROR(__xludf.DUMMYFUNCTION("""COMPUTED_VALUE"""),45100.6082676967)</f>
        <v>45100.60827</v>
      </c>
      <c r="D4209" s="15">
        <f>IFERROR(__xludf.DUMMYFUNCTION("""COMPUTED_VALUE"""),1.005)</f>
        <v>1.005</v>
      </c>
      <c r="E4209" s="16">
        <f>IFERROR(__xludf.DUMMYFUNCTION("""COMPUTED_VALUE"""),69.0)</f>
        <v>69</v>
      </c>
      <c r="F4209" s="19" t="str">
        <f>IFERROR(__xludf.DUMMYFUNCTION("""COMPUTED_VALUE"""),"BLACK")</f>
        <v>BLACK</v>
      </c>
      <c r="G4209" s="20" t="str">
        <f>IFERROR(__xludf.DUMMYFUNCTION("""COMPUTED_VALUE"""),"Uncle Sams Cider (04/04/2023)")</f>
        <v>Uncle Sams Cider (04/04/2023)</v>
      </c>
      <c r="H4209" s="19"/>
    </row>
    <row r="4210">
      <c r="A4210" s="9"/>
      <c r="B4210" s="15"/>
      <c r="C4210" s="9">
        <f>IFERROR(__xludf.DUMMYFUNCTION("""COMPUTED_VALUE"""),45100.5978465162)</f>
        <v>45100.59785</v>
      </c>
      <c r="D4210" s="15">
        <f>IFERROR(__xludf.DUMMYFUNCTION("""COMPUTED_VALUE"""),1.005)</f>
        <v>1.005</v>
      </c>
      <c r="E4210" s="16">
        <f>IFERROR(__xludf.DUMMYFUNCTION("""COMPUTED_VALUE"""),69.0)</f>
        <v>69</v>
      </c>
      <c r="F4210" s="19" t="str">
        <f>IFERROR(__xludf.DUMMYFUNCTION("""COMPUTED_VALUE"""),"BLACK")</f>
        <v>BLACK</v>
      </c>
      <c r="G4210" s="20" t="str">
        <f>IFERROR(__xludf.DUMMYFUNCTION("""COMPUTED_VALUE"""),"Uncle Sams Cider (04/04/2023)")</f>
        <v>Uncle Sams Cider (04/04/2023)</v>
      </c>
      <c r="H4210" s="19"/>
    </row>
    <row r="4211">
      <c r="A4211" s="9"/>
      <c r="B4211" s="15"/>
      <c r="C4211" s="9">
        <f>IFERROR(__xludf.DUMMYFUNCTION("""COMPUTED_VALUE"""),45100.5874102662)</f>
        <v>45100.58741</v>
      </c>
      <c r="D4211" s="15">
        <f>IFERROR(__xludf.DUMMYFUNCTION("""COMPUTED_VALUE"""),1.005)</f>
        <v>1.005</v>
      </c>
      <c r="E4211" s="16">
        <f>IFERROR(__xludf.DUMMYFUNCTION("""COMPUTED_VALUE"""),69.0)</f>
        <v>69</v>
      </c>
      <c r="F4211" s="19" t="str">
        <f>IFERROR(__xludf.DUMMYFUNCTION("""COMPUTED_VALUE"""),"BLACK")</f>
        <v>BLACK</v>
      </c>
      <c r="G4211" s="20" t="str">
        <f>IFERROR(__xludf.DUMMYFUNCTION("""COMPUTED_VALUE"""),"Uncle Sams Cider (04/04/2023)")</f>
        <v>Uncle Sams Cider (04/04/2023)</v>
      </c>
      <c r="H4211" s="19"/>
    </row>
    <row r="4212">
      <c r="A4212" s="9"/>
      <c r="B4212" s="15"/>
      <c r="C4212" s="9">
        <f>IFERROR(__xludf.DUMMYFUNCTION("""COMPUTED_VALUE"""),45100.5769775578)</f>
        <v>45100.57698</v>
      </c>
      <c r="D4212" s="15">
        <f>IFERROR(__xludf.DUMMYFUNCTION("""COMPUTED_VALUE"""),1.005)</f>
        <v>1.005</v>
      </c>
      <c r="E4212" s="16">
        <f>IFERROR(__xludf.DUMMYFUNCTION("""COMPUTED_VALUE"""),69.0)</f>
        <v>69</v>
      </c>
      <c r="F4212" s="19" t="str">
        <f>IFERROR(__xludf.DUMMYFUNCTION("""COMPUTED_VALUE"""),"BLACK")</f>
        <v>BLACK</v>
      </c>
      <c r="G4212" s="20" t="str">
        <f>IFERROR(__xludf.DUMMYFUNCTION("""COMPUTED_VALUE"""),"Uncle Sams Cider (04/04/2023)")</f>
        <v>Uncle Sams Cider (04/04/2023)</v>
      </c>
      <c r="H4212" s="19"/>
    </row>
    <row r="4213">
      <c r="A4213" s="9"/>
      <c r="B4213" s="15"/>
      <c r="C4213" s="9">
        <f>IFERROR(__xludf.DUMMYFUNCTION("""COMPUTED_VALUE"""),45100.5665573032)</f>
        <v>45100.56656</v>
      </c>
      <c r="D4213" s="15">
        <f>IFERROR(__xludf.DUMMYFUNCTION("""COMPUTED_VALUE"""),1.005)</f>
        <v>1.005</v>
      </c>
      <c r="E4213" s="16">
        <f>IFERROR(__xludf.DUMMYFUNCTION("""COMPUTED_VALUE"""),69.0)</f>
        <v>69</v>
      </c>
      <c r="F4213" s="19" t="str">
        <f>IFERROR(__xludf.DUMMYFUNCTION("""COMPUTED_VALUE"""),"BLACK")</f>
        <v>BLACK</v>
      </c>
      <c r="G4213" s="20" t="str">
        <f>IFERROR(__xludf.DUMMYFUNCTION("""COMPUTED_VALUE"""),"Uncle Sams Cider (04/04/2023)")</f>
        <v>Uncle Sams Cider (04/04/2023)</v>
      </c>
      <c r="H4213" s="19"/>
    </row>
    <row r="4214">
      <c r="A4214" s="9"/>
      <c r="B4214" s="15"/>
      <c r="C4214" s="9">
        <f>IFERROR(__xludf.DUMMYFUNCTION("""COMPUTED_VALUE"""),45100.5561365162)</f>
        <v>45100.55614</v>
      </c>
      <c r="D4214" s="15">
        <f>IFERROR(__xludf.DUMMYFUNCTION("""COMPUTED_VALUE"""),1.005)</f>
        <v>1.005</v>
      </c>
      <c r="E4214" s="16">
        <f>IFERROR(__xludf.DUMMYFUNCTION("""COMPUTED_VALUE"""),69.0)</f>
        <v>69</v>
      </c>
      <c r="F4214" s="19" t="str">
        <f>IFERROR(__xludf.DUMMYFUNCTION("""COMPUTED_VALUE"""),"BLACK")</f>
        <v>BLACK</v>
      </c>
      <c r="G4214" s="20" t="str">
        <f>IFERROR(__xludf.DUMMYFUNCTION("""COMPUTED_VALUE"""),"Uncle Sams Cider (04/04/2023)")</f>
        <v>Uncle Sams Cider (04/04/2023)</v>
      </c>
      <c r="H4214" s="19"/>
    </row>
    <row r="4215">
      <c r="A4215" s="9"/>
      <c r="B4215" s="15"/>
      <c r="C4215" s="9">
        <f>IFERROR(__xludf.DUMMYFUNCTION("""COMPUTED_VALUE"""),45100.5457151041)</f>
        <v>45100.54572</v>
      </c>
      <c r="D4215" s="15">
        <f>IFERROR(__xludf.DUMMYFUNCTION("""COMPUTED_VALUE"""),1.005)</f>
        <v>1.005</v>
      </c>
      <c r="E4215" s="16">
        <f>IFERROR(__xludf.DUMMYFUNCTION("""COMPUTED_VALUE"""),69.0)</f>
        <v>69</v>
      </c>
      <c r="F4215" s="19" t="str">
        <f>IFERROR(__xludf.DUMMYFUNCTION("""COMPUTED_VALUE"""),"BLACK")</f>
        <v>BLACK</v>
      </c>
      <c r="G4215" s="20" t="str">
        <f>IFERROR(__xludf.DUMMYFUNCTION("""COMPUTED_VALUE"""),"Uncle Sams Cider (04/04/2023)")</f>
        <v>Uncle Sams Cider (04/04/2023)</v>
      </c>
      <c r="H4215" s="19"/>
    </row>
    <row r="4216">
      <c r="A4216" s="9"/>
      <c r="B4216" s="15"/>
      <c r="C4216" s="9">
        <f>IFERROR(__xludf.DUMMYFUNCTION("""COMPUTED_VALUE"""),45100.5352918287)</f>
        <v>45100.53529</v>
      </c>
      <c r="D4216" s="15">
        <f>IFERROR(__xludf.DUMMYFUNCTION("""COMPUTED_VALUE"""),1.005)</f>
        <v>1.005</v>
      </c>
      <c r="E4216" s="16">
        <f>IFERROR(__xludf.DUMMYFUNCTION("""COMPUTED_VALUE"""),69.0)</f>
        <v>69</v>
      </c>
      <c r="F4216" s="19" t="str">
        <f>IFERROR(__xludf.DUMMYFUNCTION("""COMPUTED_VALUE"""),"BLACK")</f>
        <v>BLACK</v>
      </c>
      <c r="G4216" s="20" t="str">
        <f>IFERROR(__xludf.DUMMYFUNCTION("""COMPUTED_VALUE"""),"Uncle Sams Cider (04/04/2023)")</f>
        <v>Uncle Sams Cider (04/04/2023)</v>
      </c>
      <c r="H4216" s="19"/>
    </row>
    <row r="4217">
      <c r="A4217" s="9"/>
      <c r="B4217" s="15"/>
      <c r="C4217" s="9">
        <f>IFERROR(__xludf.DUMMYFUNCTION("""COMPUTED_VALUE"""),45100.5248698842)</f>
        <v>45100.52487</v>
      </c>
      <c r="D4217" s="15">
        <f>IFERROR(__xludf.DUMMYFUNCTION("""COMPUTED_VALUE"""),1.005)</f>
        <v>1.005</v>
      </c>
      <c r="E4217" s="16">
        <f>IFERROR(__xludf.DUMMYFUNCTION("""COMPUTED_VALUE"""),69.0)</f>
        <v>69</v>
      </c>
      <c r="F4217" s="19" t="str">
        <f>IFERROR(__xludf.DUMMYFUNCTION("""COMPUTED_VALUE"""),"BLACK")</f>
        <v>BLACK</v>
      </c>
      <c r="G4217" s="20" t="str">
        <f>IFERROR(__xludf.DUMMYFUNCTION("""COMPUTED_VALUE"""),"Uncle Sams Cider (04/04/2023)")</f>
        <v>Uncle Sams Cider (04/04/2023)</v>
      </c>
      <c r="H4217" s="19"/>
    </row>
    <row r="4218">
      <c r="A4218" s="9"/>
      <c r="B4218" s="15"/>
      <c r="C4218" s="9">
        <f>IFERROR(__xludf.DUMMYFUNCTION("""COMPUTED_VALUE"""),45100.5144475578)</f>
        <v>45100.51445</v>
      </c>
      <c r="D4218" s="15">
        <f>IFERROR(__xludf.DUMMYFUNCTION("""COMPUTED_VALUE"""),1.005)</f>
        <v>1.005</v>
      </c>
      <c r="E4218" s="16">
        <f>IFERROR(__xludf.DUMMYFUNCTION("""COMPUTED_VALUE"""),69.0)</f>
        <v>69</v>
      </c>
      <c r="F4218" s="19" t="str">
        <f>IFERROR(__xludf.DUMMYFUNCTION("""COMPUTED_VALUE"""),"BLACK")</f>
        <v>BLACK</v>
      </c>
      <c r="G4218" s="20" t="str">
        <f>IFERROR(__xludf.DUMMYFUNCTION("""COMPUTED_VALUE"""),"Uncle Sams Cider (04/04/2023)")</f>
        <v>Uncle Sams Cider (04/04/2023)</v>
      </c>
      <c r="H4218" s="19"/>
    </row>
    <row r="4219">
      <c r="A4219" s="9"/>
      <c r="B4219" s="15"/>
      <c r="C4219" s="9">
        <f>IFERROR(__xludf.DUMMYFUNCTION("""COMPUTED_VALUE"""),45100.5040247569)</f>
        <v>45100.50402</v>
      </c>
      <c r="D4219" s="15">
        <f>IFERROR(__xludf.DUMMYFUNCTION("""COMPUTED_VALUE"""),1.005)</f>
        <v>1.005</v>
      </c>
      <c r="E4219" s="16">
        <f>IFERROR(__xludf.DUMMYFUNCTION("""COMPUTED_VALUE"""),69.0)</f>
        <v>69</v>
      </c>
      <c r="F4219" s="19" t="str">
        <f>IFERROR(__xludf.DUMMYFUNCTION("""COMPUTED_VALUE"""),"BLACK")</f>
        <v>BLACK</v>
      </c>
      <c r="G4219" s="20" t="str">
        <f>IFERROR(__xludf.DUMMYFUNCTION("""COMPUTED_VALUE"""),"Uncle Sams Cider (04/04/2023)")</f>
        <v>Uncle Sams Cider (04/04/2023)</v>
      </c>
      <c r="H4219" s="19"/>
    </row>
    <row r="4220">
      <c r="A4220" s="9"/>
      <c r="B4220" s="15"/>
      <c r="C4220" s="9">
        <f>IFERROR(__xludf.DUMMYFUNCTION("""COMPUTED_VALUE"""),45100.4936029166)</f>
        <v>45100.4936</v>
      </c>
      <c r="D4220" s="15">
        <f>IFERROR(__xludf.DUMMYFUNCTION("""COMPUTED_VALUE"""),1.005)</f>
        <v>1.005</v>
      </c>
      <c r="E4220" s="16">
        <f>IFERROR(__xludf.DUMMYFUNCTION("""COMPUTED_VALUE"""),69.0)</f>
        <v>69</v>
      </c>
      <c r="F4220" s="19" t="str">
        <f>IFERROR(__xludf.DUMMYFUNCTION("""COMPUTED_VALUE"""),"BLACK")</f>
        <v>BLACK</v>
      </c>
      <c r="G4220" s="20" t="str">
        <f>IFERROR(__xludf.DUMMYFUNCTION("""COMPUTED_VALUE"""),"Uncle Sams Cider (04/04/2023)")</f>
        <v>Uncle Sams Cider (04/04/2023)</v>
      </c>
      <c r="H4220" s="19"/>
    </row>
    <row r="4221">
      <c r="A4221" s="9"/>
      <c r="B4221" s="15"/>
      <c r="C4221" s="9">
        <f>IFERROR(__xludf.DUMMYFUNCTION("""COMPUTED_VALUE"""),45100.483182662)</f>
        <v>45100.48318</v>
      </c>
      <c r="D4221" s="15">
        <f>IFERROR(__xludf.DUMMYFUNCTION("""COMPUTED_VALUE"""),1.005)</f>
        <v>1.005</v>
      </c>
      <c r="E4221" s="16">
        <f>IFERROR(__xludf.DUMMYFUNCTION("""COMPUTED_VALUE"""),69.0)</f>
        <v>69</v>
      </c>
      <c r="F4221" s="19" t="str">
        <f>IFERROR(__xludf.DUMMYFUNCTION("""COMPUTED_VALUE"""),"BLACK")</f>
        <v>BLACK</v>
      </c>
      <c r="G4221" s="20" t="str">
        <f>IFERROR(__xludf.DUMMYFUNCTION("""COMPUTED_VALUE"""),"Uncle Sams Cider (04/04/2023)")</f>
        <v>Uncle Sams Cider (04/04/2023)</v>
      </c>
      <c r="H4221" s="19"/>
    </row>
    <row r="4222">
      <c r="A4222" s="9"/>
      <c r="B4222" s="15"/>
      <c r="C4222" s="9">
        <f>IFERROR(__xludf.DUMMYFUNCTION("""COMPUTED_VALUE"""),45100.4727633564)</f>
        <v>45100.47276</v>
      </c>
      <c r="D4222" s="15">
        <f>IFERROR(__xludf.DUMMYFUNCTION("""COMPUTED_VALUE"""),1.005)</f>
        <v>1.005</v>
      </c>
      <c r="E4222" s="16">
        <f>IFERROR(__xludf.DUMMYFUNCTION("""COMPUTED_VALUE"""),69.0)</f>
        <v>69</v>
      </c>
      <c r="F4222" s="19" t="str">
        <f>IFERROR(__xludf.DUMMYFUNCTION("""COMPUTED_VALUE"""),"BLACK")</f>
        <v>BLACK</v>
      </c>
      <c r="G4222" s="20" t="str">
        <f>IFERROR(__xludf.DUMMYFUNCTION("""COMPUTED_VALUE"""),"Uncle Sams Cider (04/04/2023)")</f>
        <v>Uncle Sams Cider (04/04/2023)</v>
      </c>
      <c r="H4222" s="19"/>
    </row>
    <row r="4223">
      <c r="A4223" s="9"/>
      <c r="B4223" s="15"/>
      <c r="C4223" s="9">
        <f>IFERROR(__xludf.DUMMYFUNCTION("""COMPUTED_VALUE"""),45100.4623409143)</f>
        <v>45100.46234</v>
      </c>
      <c r="D4223" s="15">
        <f>IFERROR(__xludf.DUMMYFUNCTION("""COMPUTED_VALUE"""),1.005)</f>
        <v>1.005</v>
      </c>
      <c r="E4223" s="16">
        <f>IFERROR(__xludf.DUMMYFUNCTION("""COMPUTED_VALUE"""),69.0)</f>
        <v>69</v>
      </c>
      <c r="F4223" s="19" t="str">
        <f>IFERROR(__xludf.DUMMYFUNCTION("""COMPUTED_VALUE"""),"BLACK")</f>
        <v>BLACK</v>
      </c>
      <c r="G4223" s="20" t="str">
        <f>IFERROR(__xludf.DUMMYFUNCTION("""COMPUTED_VALUE"""),"Uncle Sams Cider (04/04/2023)")</f>
        <v>Uncle Sams Cider (04/04/2023)</v>
      </c>
      <c r="H4223" s="19"/>
    </row>
    <row r="4224">
      <c r="A4224" s="9"/>
      <c r="B4224" s="15"/>
      <c r="C4224" s="9">
        <f>IFERROR(__xludf.DUMMYFUNCTION("""COMPUTED_VALUE"""),45100.4519201273)</f>
        <v>45100.45192</v>
      </c>
      <c r="D4224" s="15">
        <f>IFERROR(__xludf.DUMMYFUNCTION("""COMPUTED_VALUE"""),1.005)</f>
        <v>1.005</v>
      </c>
      <c r="E4224" s="16">
        <f>IFERROR(__xludf.DUMMYFUNCTION("""COMPUTED_VALUE"""),69.0)</f>
        <v>69</v>
      </c>
      <c r="F4224" s="19" t="str">
        <f>IFERROR(__xludf.DUMMYFUNCTION("""COMPUTED_VALUE"""),"BLACK")</f>
        <v>BLACK</v>
      </c>
      <c r="G4224" s="20" t="str">
        <f>IFERROR(__xludf.DUMMYFUNCTION("""COMPUTED_VALUE"""),"Uncle Sams Cider (04/04/2023)")</f>
        <v>Uncle Sams Cider (04/04/2023)</v>
      </c>
      <c r="H4224" s="19"/>
    </row>
    <row r="4225">
      <c r="A4225" s="9"/>
      <c r="B4225" s="15"/>
      <c r="C4225" s="9">
        <f>IFERROR(__xludf.DUMMYFUNCTION("""COMPUTED_VALUE"""),45100.4414866088)</f>
        <v>45100.44149</v>
      </c>
      <c r="D4225" s="15">
        <f>IFERROR(__xludf.DUMMYFUNCTION("""COMPUTED_VALUE"""),1.005)</f>
        <v>1.005</v>
      </c>
      <c r="E4225" s="16">
        <f>IFERROR(__xludf.DUMMYFUNCTION("""COMPUTED_VALUE"""),69.0)</f>
        <v>69</v>
      </c>
      <c r="F4225" s="19" t="str">
        <f>IFERROR(__xludf.DUMMYFUNCTION("""COMPUTED_VALUE"""),"BLACK")</f>
        <v>BLACK</v>
      </c>
      <c r="G4225" s="20" t="str">
        <f>IFERROR(__xludf.DUMMYFUNCTION("""COMPUTED_VALUE"""),"Uncle Sams Cider (04/04/2023)")</f>
        <v>Uncle Sams Cider (04/04/2023)</v>
      </c>
      <c r="H4225" s="19"/>
    </row>
    <row r="4226">
      <c r="A4226" s="9"/>
      <c r="B4226" s="15"/>
      <c r="C4226" s="9">
        <f>IFERROR(__xludf.DUMMYFUNCTION("""COMPUTED_VALUE"""),45100.431050787)</f>
        <v>45100.43105</v>
      </c>
      <c r="D4226" s="15">
        <f>IFERROR(__xludf.DUMMYFUNCTION("""COMPUTED_VALUE"""),1.005)</f>
        <v>1.005</v>
      </c>
      <c r="E4226" s="16">
        <f>IFERROR(__xludf.DUMMYFUNCTION("""COMPUTED_VALUE"""),69.0)</f>
        <v>69</v>
      </c>
      <c r="F4226" s="19" t="str">
        <f>IFERROR(__xludf.DUMMYFUNCTION("""COMPUTED_VALUE"""),"BLACK")</f>
        <v>BLACK</v>
      </c>
      <c r="G4226" s="20" t="str">
        <f>IFERROR(__xludf.DUMMYFUNCTION("""COMPUTED_VALUE"""),"Uncle Sams Cider (04/04/2023)")</f>
        <v>Uncle Sams Cider (04/04/2023)</v>
      </c>
      <c r="H4226" s="19"/>
    </row>
    <row r="4227">
      <c r="A4227" s="9"/>
      <c r="B4227" s="15"/>
      <c r="C4227" s="9">
        <f>IFERROR(__xludf.DUMMYFUNCTION("""COMPUTED_VALUE"""),45100.4206292824)</f>
        <v>45100.42063</v>
      </c>
      <c r="D4227" s="15">
        <f>IFERROR(__xludf.DUMMYFUNCTION("""COMPUTED_VALUE"""),1.005)</f>
        <v>1.005</v>
      </c>
      <c r="E4227" s="16">
        <f>IFERROR(__xludf.DUMMYFUNCTION("""COMPUTED_VALUE"""),69.0)</f>
        <v>69</v>
      </c>
      <c r="F4227" s="19" t="str">
        <f>IFERROR(__xludf.DUMMYFUNCTION("""COMPUTED_VALUE"""),"BLACK")</f>
        <v>BLACK</v>
      </c>
      <c r="G4227" s="20" t="str">
        <f>IFERROR(__xludf.DUMMYFUNCTION("""COMPUTED_VALUE"""),"Uncle Sams Cider (04/04/2023)")</f>
        <v>Uncle Sams Cider (04/04/2023)</v>
      </c>
      <c r="H4227" s="19"/>
    </row>
    <row r="4228">
      <c r="A4228" s="9"/>
      <c r="B4228" s="15"/>
      <c r="C4228" s="9">
        <f>IFERROR(__xludf.DUMMYFUNCTION("""COMPUTED_VALUE"""),45100.4102081828)</f>
        <v>45100.41021</v>
      </c>
      <c r="D4228" s="15">
        <f>IFERROR(__xludf.DUMMYFUNCTION("""COMPUTED_VALUE"""),1.005)</f>
        <v>1.005</v>
      </c>
      <c r="E4228" s="16">
        <f>IFERROR(__xludf.DUMMYFUNCTION("""COMPUTED_VALUE"""),69.0)</f>
        <v>69</v>
      </c>
      <c r="F4228" s="19" t="str">
        <f>IFERROR(__xludf.DUMMYFUNCTION("""COMPUTED_VALUE"""),"BLACK")</f>
        <v>BLACK</v>
      </c>
      <c r="G4228" s="20" t="str">
        <f>IFERROR(__xludf.DUMMYFUNCTION("""COMPUTED_VALUE"""),"Uncle Sams Cider (04/04/2023)")</f>
        <v>Uncle Sams Cider (04/04/2023)</v>
      </c>
      <c r="H4228" s="19"/>
    </row>
    <row r="4229">
      <c r="A4229" s="9"/>
      <c r="B4229" s="15"/>
      <c r="C4229" s="9">
        <f>IFERROR(__xludf.DUMMYFUNCTION("""COMPUTED_VALUE"""),45100.3997874537)</f>
        <v>45100.39979</v>
      </c>
      <c r="D4229" s="15">
        <f>IFERROR(__xludf.DUMMYFUNCTION("""COMPUTED_VALUE"""),1.005)</f>
        <v>1.005</v>
      </c>
      <c r="E4229" s="16">
        <f>IFERROR(__xludf.DUMMYFUNCTION("""COMPUTED_VALUE"""),69.0)</f>
        <v>69</v>
      </c>
      <c r="F4229" s="19" t="str">
        <f>IFERROR(__xludf.DUMMYFUNCTION("""COMPUTED_VALUE"""),"BLACK")</f>
        <v>BLACK</v>
      </c>
      <c r="G4229" s="20" t="str">
        <f>IFERROR(__xludf.DUMMYFUNCTION("""COMPUTED_VALUE"""),"Uncle Sams Cider (04/04/2023)")</f>
        <v>Uncle Sams Cider (04/04/2023)</v>
      </c>
      <c r="H4229" s="19"/>
    </row>
    <row r="4230">
      <c r="A4230" s="9"/>
      <c r="B4230" s="15"/>
      <c r="C4230" s="9">
        <f>IFERROR(__xludf.DUMMYFUNCTION("""COMPUTED_VALUE"""),45100.3893663078)</f>
        <v>45100.38937</v>
      </c>
      <c r="D4230" s="15">
        <f>IFERROR(__xludf.DUMMYFUNCTION("""COMPUTED_VALUE"""),1.005)</f>
        <v>1.005</v>
      </c>
      <c r="E4230" s="16">
        <f>IFERROR(__xludf.DUMMYFUNCTION("""COMPUTED_VALUE"""),69.0)</f>
        <v>69</v>
      </c>
      <c r="F4230" s="19" t="str">
        <f>IFERROR(__xludf.DUMMYFUNCTION("""COMPUTED_VALUE"""),"BLACK")</f>
        <v>BLACK</v>
      </c>
      <c r="G4230" s="20" t="str">
        <f>IFERROR(__xludf.DUMMYFUNCTION("""COMPUTED_VALUE"""),"Uncle Sams Cider (04/04/2023)")</f>
        <v>Uncle Sams Cider (04/04/2023)</v>
      </c>
      <c r="H4230" s="19"/>
    </row>
    <row r="4231">
      <c r="A4231" s="9"/>
      <c r="B4231" s="15"/>
      <c r="C4231" s="9">
        <f>IFERROR(__xludf.DUMMYFUNCTION("""COMPUTED_VALUE"""),45100.3789230902)</f>
        <v>45100.37892</v>
      </c>
      <c r="D4231" s="15">
        <f>IFERROR(__xludf.DUMMYFUNCTION("""COMPUTED_VALUE"""),1.005)</f>
        <v>1.005</v>
      </c>
      <c r="E4231" s="16">
        <f>IFERROR(__xludf.DUMMYFUNCTION("""COMPUTED_VALUE"""),69.0)</f>
        <v>69</v>
      </c>
      <c r="F4231" s="19" t="str">
        <f>IFERROR(__xludf.DUMMYFUNCTION("""COMPUTED_VALUE"""),"BLACK")</f>
        <v>BLACK</v>
      </c>
      <c r="G4231" s="20" t="str">
        <f>IFERROR(__xludf.DUMMYFUNCTION("""COMPUTED_VALUE"""),"Uncle Sams Cider (04/04/2023)")</f>
        <v>Uncle Sams Cider (04/04/2023)</v>
      </c>
      <c r="H4231" s="19"/>
    </row>
    <row r="4232">
      <c r="A4232" s="9"/>
      <c r="B4232" s="15"/>
      <c r="C4232" s="9">
        <f>IFERROR(__xludf.DUMMYFUNCTION("""COMPUTED_VALUE"""),45100.3685007986)</f>
        <v>45100.3685</v>
      </c>
      <c r="D4232" s="15">
        <f>IFERROR(__xludf.DUMMYFUNCTION("""COMPUTED_VALUE"""),1.005)</f>
        <v>1.005</v>
      </c>
      <c r="E4232" s="16">
        <f>IFERROR(__xludf.DUMMYFUNCTION("""COMPUTED_VALUE"""),69.0)</f>
        <v>69</v>
      </c>
      <c r="F4232" s="19" t="str">
        <f>IFERROR(__xludf.DUMMYFUNCTION("""COMPUTED_VALUE"""),"BLACK")</f>
        <v>BLACK</v>
      </c>
      <c r="G4232" s="20" t="str">
        <f>IFERROR(__xludf.DUMMYFUNCTION("""COMPUTED_VALUE"""),"Uncle Sams Cider (04/04/2023)")</f>
        <v>Uncle Sams Cider (04/04/2023)</v>
      </c>
      <c r="H4232" s="19"/>
    </row>
    <row r="4233">
      <c r="A4233" s="9"/>
      <c r="B4233" s="15"/>
      <c r="C4233" s="9">
        <f>IFERROR(__xludf.DUMMYFUNCTION("""COMPUTED_VALUE"""),45100.3580668518)</f>
        <v>45100.35807</v>
      </c>
      <c r="D4233" s="15">
        <f>IFERROR(__xludf.DUMMYFUNCTION("""COMPUTED_VALUE"""),1.005)</f>
        <v>1.005</v>
      </c>
      <c r="E4233" s="16">
        <f>IFERROR(__xludf.DUMMYFUNCTION("""COMPUTED_VALUE"""),69.0)</f>
        <v>69</v>
      </c>
      <c r="F4233" s="19" t="str">
        <f>IFERROR(__xludf.DUMMYFUNCTION("""COMPUTED_VALUE"""),"BLACK")</f>
        <v>BLACK</v>
      </c>
      <c r="G4233" s="20" t="str">
        <f>IFERROR(__xludf.DUMMYFUNCTION("""COMPUTED_VALUE"""),"Uncle Sams Cider (04/04/2023)")</f>
        <v>Uncle Sams Cider (04/04/2023)</v>
      </c>
      <c r="H4233" s="19"/>
    </row>
    <row r="4234">
      <c r="A4234" s="9"/>
      <c r="B4234" s="15"/>
      <c r="C4234" s="9">
        <f>IFERROR(__xludf.DUMMYFUNCTION("""COMPUTED_VALUE"""),45100.347647199)</f>
        <v>45100.34765</v>
      </c>
      <c r="D4234" s="15">
        <f>IFERROR(__xludf.DUMMYFUNCTION("""COMPUTED_VALUE"""),1.005)</f>
        <v>1.005</v>
      </c>
      <c r="E4234" s="16">
        <f>IFERROR(__xludf.DUMMYFUNCTION("""COMPUTED_VALUE"""),69.0)</f>
        <v>69</v>
      </c>
      <c r="F4234" s="19" t="str">
        <f>IFERROR(__xludf.DUMMYFUNCTION("""COMPUTED_VALUE"""),"BLACK")</f>
        <v>BLACK</v>
      </c>
      <c r="G4234" s="20" t="str">
        <f>IFERROR(__xludf.DUMMYFUNCTION("""COMPUTED_VALUE"""),"Uncle Sams Cider (04/04/2023)")</f>
        <v>Uncle Sams Cider (04/04/2023)</v>
      </c>
      <c r="H4234" s="19"/>
    </row>
    <row r="4235">
      <c r="A4235" s="9"/>
      <c r="B4235" s="15"/>
      <c r="C4235" s="9">
        <f>IFERROR(__xludf.DUMMYFUNCTION("""COMPUTED_VALUE"""),45100.3372264236)</f>
        <v>45100.33723</v>
      </c>
      <c r="D4235" s="15">
        <f>IFERROR(__xludf.DUMMYFUNCTION("""COMPUTED_VALUE"""),1.005)</f>
        <v>1.005</v>
      </c>
      <c r="E4235" s="16">
        <f>IFERROR(__xludf.DUMMYFUNCTION("""COMPUTED_VALUE"""),69.0)</f>
        <v>69</v>
      </c>
      <c r="F4235" s="19" t="str">
        <f>IFERROR(__xludf.DUMMYFUNCTION("""COMPUTED_VALUE"""),"BLACK")</f>
        <v>BLACK</v>
      </c>
      <c r="G4235" s="20" t="str">
        <f>IFERROR(__xludf.DUMMYFUNCTION("""COMPUTED_VALUE"""),"Uncle Sams Cider (04/04/2023)")</f>
        <v>Uncle Sams Cider (04/04/2023)</v>
      </c>
      <c r="H4235" s="19"/>
    </row>
    <row r="4236">
      <c r="A4236" s="9"/>
      <c r="B4236" s="15"/>
      <c r="C4236" s="9">
        <f>IFERROR(__xludf.DUMMYFUNCTION("""COMPUTED_VALUE"""),45100.3267841782)</f>
        <v>45100.32678</v>
      </c>
      <c r="D4236" s="15">
        <f>IFERROR(__xludf.DUMMYFUNCTION("""COMPUTED_VALUE"""),1.005)</f>
        <v>1.005</v>
      </c>
      <c r="E4236" s="16">
        <f>IFERROR(__xludf.DUMMYFUNCTION("""COMPUTED_VALUE"""),69.0)</f>
        <v>69</v>
      </c>
      <c r="F4236" s="19" t="str">
        <f>IFERROR(__xludf.DUMMYFUNCTION("""COMPUTED_VALUE"""),"BLACK")</f>
        <v>BLACK</v>
      </c>
      <c r="G4236" s="20" t="str">
        <f>IFERROR(__xludf.DUMMYFUNCTION("""COMPUTED_VALUE"""),"Uncle Sams Cider (04/04/2023)")</f>
        <v>Uncle Sams Cider (04/04/2023)</v>
      </c>
      <c r="H4236" s="19"/>
    </row>
    <row r="4237">
      <c r="A4237" s="9"/>
      <c r="B4237" s="15"/>
      <c r="C4237" s="9">
        <f>IFERROR(__xludf.DUMMYFUNCTION("""COMPUTED_VALUE"""),45100.3163624189)</f>
        <v>45100.31636</v>
      </c>
      <c r="D4237" s="15">
        <f>IFERROR(__xludf.DUMMYFUNCTION("""COMPUTED_VALUE"""),1.005)</f>
        <v>1.005</v>
      </c>
      <c r="E4237" s="16">
        <f>IFERROR(__xludf.DUMMYFUNCTION("""COMPUTED_VALUE"""),69.0)</f>
        <v>69</v>
      </c>
      <c r="F4237" s="19" t="str">
        <f>IFERROR(__xludf.DUMMYFUNCTION("""COMPUTED_VALUE"""),"BLACK")</f>
        <v>BLACK</v>
      </c>
      <c r="G4237" s="20" t="str">
        <f>IFERROR(__xludf.DUMMYFUNCTION("""COMPUTED_VALUE"""),"Uncle Sams Cider (04/04/2023)")</f>
        <v>Uncle Sams Cider (04/04/2023)</v>
      </c>
      <c r="H4237" s="19"/>
    </row>
    <row r="4238">
      <c r="A4238" s="9"/>
      <c r="B4238" s="15"/>
      <c r="C4238" s="9">
        <f>IFERROR(__xludf.DUMMYFUNCTION("""COMPUTED_VALUE"""),45100.3059409375)</f>
        <v>45100.30594</v>
      </c>
      <c r="D4238" s="15">
        <f>IFERROR(__xludf.DUMMYFUNCTION("""COMPUTED_VALUE"""),1.005)</f>
        <v>1.005</v>
      </c>
      <c r="E4238" s="16">
        <f>IFERROR(__xludf.DUMMYFUNCTION("""COMPUTED_VALUE"""),69.0)</f>
        <v>69</v>
      </c>
      <c r="F4238" s="19" t="str">
        <f>IFERROR(__xludf.DUMMYFUNCTION("""COMPUTED_VALUE"""),"BLACK")</f>
        <v>BLACK</v>
      </c>
      <c r="G4238" s="20" t="str">
        <f>IFERROR(__xludf.DUMMYFUNCTION("""COMPUTED_VALUE"""),"Uncle Sams Cider (04/04/2023)")</f>
        <v>Uncle Sams Cider (04/04/2023)</v>
      </c>
      <c r="H4238" s="19"/>
    </row>
    <row r="4239">
      <c r="A4239" s="9"/>
      <c r="B4239" s="15"/>
      <c r="C4239" s="9">
        <f>IFERROR(__xludf.DUMMYFUNCTION("""COMPUTED_VALUE"""),45100.2955190046)</f>
        <v>45100.29552</v>
      </c>
      <c r="D4239" s="15">
        <f>IFERROR(__xludf.DUMMYFUNCTION("""COMPUTED_VALUE"""),1.005)</f>
        <v>1.005</v>
      </c>
      <c r="E4239" s="16">
        <f>IFERROR(__xludf.DUMMYFUNCTION("""COMPUTED_VALUE"""),69.0)</f>
        <v>69</v>
      </c>
      <c r="F4239" s="19" t="str">
        <f>IFERROR(__xludf.DUMMYFUNCTION("""COMPUTED_VALUE"""),"BLACK")</f>
        <v>BLACK</v>
      </c>
      <c r="G4239" s="20" t="str">
        <f>IFERROR(__xludf.DUMMYFUNCTION("""COMPUTED_VALUE"""),"Uncle Sams Cider (04/04/2023)")</f>
        <v>Uncle Sams Cider (04/04/2023)</v>
      </c>
      <c r="H4239" s="19"/>
    </row>
    <row r="4240">
      <c r="A4240" s="9"/>
      <c r="B4240" s="15"/>
      <c r="C4240" s="9">
        <f>IFERROR(__xludf.DUMMYFUNCTION("""COMPUTED_VALUE"""),45100.2850968865)</f>
        <v>45100.2851</v>
      </c>
      <c r="D4240" s="15">
        <f>IFERROR(__xludf.DUMMYFUNCTION("""COMPUTED_VALUE"""),1.005)</f>
        <v>1.005</v>
      </c>
      <c r="E4240" s="16">
        <f>IFERROR(__xludf.DUMMYFUNCTION("""COMPUTED_VALUE"""),69.0)</f>
        <v>69</v>
      </c>
      <c r="F4240" s="19" t="str">
        <f>IFERROR(__xludf.DUMMYFUNCTION("""COMPUTED_VALUE"""),"BLACK")</f>
        <v>BLACK</v>
      </c>
      <c r="G4240" s="20" t="str">
        <f>IFERROR(__xludf.DUMMYFUNCTION("""COMPUTED_VALUE"""),"Uncle Sams Cider (04/04/2023)")</f>
        <v>Uncle Sams Cider (04/04/2023)</v>
      </c>
      <c r="H4240" s="19"/>
    </row>
    <row r="4241">
      <c r="A4241" s="9"/>
      <c r="B4241" s="15"/>
      <c r="C4241" s="9">
        <f>IFERROR(__xludf.DUMMYFUNCTION("""COMPUTED_VALUE"""),45100.2746758449)</f>
        <v>45100.27468</v>
      </c>
      <c r="D4241" s="15">
        <f>IFERROR(__xludf.DUMMYFUNCTION("""COMPUTED_VALUE"""),1.005)</f>
        <v>1.005</v>
      </c>
      <c r="E4241" s="16">
        <f>IFERROR(__xludf.DUMMYFUNCTION("""COMPUTED_VALUE"""),69.0)</f>
        <v>69</v>
      </c>
      <c r="F4241" s="19" t="str">
        <f>IFERROR(__xludf.DUMMYFUNCTION("""COMPUTED_VALUE"""),"BLACK")</f>
        <v>BLACK</v>
      </c>
      <c r="G4241" s="20" t="str">
        <f>IFERROR(__xludf.DUMMYFUNCTION("""COMPUTED_VALUE"""),"Uncle Sams Cider (04/04/2023)")</f>
        <v>Uncle Sams Cider (04/04/2023)</v>
      </c>
      <c r="H4241" s="19"/>
    </row>
    <row r="4242">
      <c r="A4242" s="9"/>
      <c r="B4242" s="15"/>
      <c r="C4242" s="9">
        <f>IFERROR(__xludf.DUMMYFUNCTION("""COMPUTED_VALUE"""),45100.2642200231)</f>
        <v>45100.26422</v>
      </c>
      <c r="D4242" s="15">
        <f>IFERROR(__xludf.DUMMYFUNCTION("""COMPUTED_VALUE"""),1.005)</f>
        <v>1.005</v>
      </c>
      <c r="E4242" s="16">
        <f>IFERROR(__xludf.DUMMYFUNCTION("""COMPUTED_VALUE"""),69.0)</f>
        <v>69</v>
      </c>
      <c r="F4242" s="19" t="str">
        <f>IFERROR(__xludf.DUMMYFUNCTION("""COMPUTED_VALUE"""),"BLACK")</f>
        <v>BLACK</v>
      </c>
      <c r="G4242" s="20" t="str">
        <f>IFERROR(__xludf.DUMMYFUNCTION("""COMPUTED_VALUE"""),"Uncle Sams Cider (04/04/2023)")</f>
        <v>Uncle Sams Cider (04/04/2023)</v>
      </c>
      <c r="H4242" s="19"/>
    </row>
    <row r="4243">
      <c r="A4243" s="9"/>
      <c r="B4243" s="15"/>
      <c r="C4243" s="9">
        <f>IFERROR(__xludf.DUMMYFUNCTION("""COMPUTED_VALUE"""),45100.2538004513)</f>
        <v>45100.2538</v>
      </c>
      <c r="D4243" s="15">
        <f>IFERROR(__xludf.DUMMYFUNCTION("""COMPUTED_VALUE"""),1.005)</f>
        <v>1.005</v>
      </c>
      <c r="E4243" s="16">
        <f>IFERROR(__xludf.DUMMYFUNCTION("""COMPUTED_VALUE"""),69.0)</f>
        <v>69</v>
      </c>
      <c r="F4243" s="19" t="str">
        <f>IFERROR(__xludf.DUMMYFUNCTION("""COMPUTED_VALUE"""),"BLACK")</f>
        <v>BLACK</v>
      </c>
      <c r="G4243" s="20" t="str">
        <f>IFERROR(__xludf.DUMMYFUNCTION("""COMPUTED_VALUE"""),"Uncle Sams Cider (04/04/2023)")</f>
        <v>Uncle Sams Cider (04/04/2023)</v>
      </c>
      <c r="H4243" s="19"/>
    </row>
    <row r="4244">
      <c r="A4244" s="9"/>
      <c r="B4244" s="15"/>
      <c r="C4244" s="9">
        <f>IFERROR(__xludf.DUMMYFUNCTION("""COMPUTED_VALUE"""),45100.2433783333)</f>
        <v>45100.24338</v>
      </c>
      <c r="D4244" s="15">
        <f>IFERROR(__xludf.DUMMYFUNCTION("""COMPUTED_VALUE"""),1.005)</f>
        <v>1.005</v>
      </c>
      <c r="E4244" s="16">
        <f>IFERROR(__xludf.DUMMYFUNCTION("""COMPUTED_VALUE"""),69.0)</f>
        <v>69</v>
      </c>
      <c r="F4244" s="19" t="str">
        <f>IFERROR(__xludf.DUMMYFUNCTION("""COMPUTED_VALUE"""),"BLACK")</f>
        <v>BLACK</v>
      </c>
      <c r="G4244" s="20" t="str">
        <f>IFERROR(__xludf.DUMMYFUNCTION("""COMPUTED_VALUE"""),"Uncle Sams Cider (04/04/2023)")</f>
        <v>Uncle Sams Cider (04/04/2023)</v>
      </c>
      <c r="H4244" s="19"/>
    </row>
    <row r="4245">
      <c r="A4245" s="9"/>
      <c r="B4245" s="15"/>
      <c r="C4245" s="9">
        <f>IFERROR(__xludf.DUMMYFUNCTION("""COMPUTED_VALUE"""),45100.2329462963)</f>
        <v>45100.23295</v>
      </c>
      <c r="D4245" s="15">
        <f>IFERROR(__xludf.DUMMYFUNCTION("""COMPUTED_VALUE"""),1.005)</f>
        <v>1.005</v>
      </c>
      <c r="E4245" s="16">
        <f>IFERROR(__xludf.DUMMYFUNCTION("""COMPUTED_VALUE"""),69.0)</f>
        <v>69</v>
      </c>
      <c r="F4245" s="19" t="str">
        <f>IFERROR(__xludf.DUMMYFUNCTION("""COMPUTED_VALUE"""),"BLACK")</f>
        <v>BLACK</v>
      </c>
      <c r="G4245" s="20" t="str">
        <f>IFERROR(__xludf.DUMMYFUNCTION("""COMPUTED_VALUE"""),"Uncle Sams Cider (04/04/2023)")</f>
        <v>Uncle Sams Cider (04/04/2023)</v>
      </c>
      <c r="H4245" s="19"/>
    </row>
    <row r="4246">
      <c r="A4246" s="9"/>
      <c r="B4246" s="15"/>
      <c r="C4246" s="9">
        <f>IFERROR(__xludf.DUMMYFUNCTION("""COMPUTED_VALUE"""),45100.2225247338)</f>
        <v>45100.22252</v>
      </c>
      <c r="D4246" s="15">
        <f>IFERROR(__xludf.DUMMYFUNCTION("""COMPUTED_VALUE"""),1.005)</f>
        <v>1.005</v>
      </c>
      <c r="E4246" s="16">
        <f>IFERROR(__xludf.DUMMYFUNCTION("""COMPUTED_VALUE"""),69.0)</f>
        <v>69</v>
      </c>
      <c r="F4246" s="19" t="str">
        <f>IFERROR(__xludf.DUMMYFUNCTION("""COMPUTED_VALUE"""),"BLACK")</f>
        <v>BLACK</v>
      </c>
      <c r="G4246" s="20" t="str">
        <f>IFERROR(__xludf.DUMMYFUNCTION("""COMPUTED_VALUE"""),"Uncle Sams Cider (04/04/2023)")</f>
        <v>Uncle Sams Cider (04/04/2023)</v>
      </c>
      <c r="H4246" s="19"/>
    </row>
    <row r="4247">
      <c r="A4247" s="9"/>
      <c r="B4247" s="15"/>
      <c r="C4247" s="9">
        <f>IFERROR(__xludf.DUMMYFUNCTION("""COMPUTED_VALUE"""),45100.2121031481)</f>
        <v>45100.2121</v>
      </c>
      <c r="D4247" s="15">
        <f>IFERROR(__xludf.DUMMYFUNCTION("""COMPUTED_VALUE"""),1.005)</f>
        <v>1.005</v>
      </c>
      <c r="E4247" s="16">
        <f>IFERROR(__xludf.DUMMYFUNCTION("""COMPUTED_VALUE"""),69.0)</f>
        <v>69</v>
      </c>
      <c r="F4247" s="19" t="str">
        <f>IFERROR(__xludf.DUMMYFUNCTION("""COMPUTED_VALUE"""),"BLACK")</f>
        <v>BLACK</v>
      </c>
      <c r="G4247" s="20" t="str">
        <f>IFERROR(__xludf.DUMMYFUNCTION("""COMPUTED_VALUE"""),"Uncle Sams Cider (04/04/2023)")</f>
        <v>Uncle Sams Cider (04/04/2023)</v>
      </c>
      <c r="H4247" s="19"/>
    </row>
    <row r="4248">
      <c r="A4248" s="9"/>
      <c r="B4248" s="15"/>
      <c r="C4248" s="9">
        <f>IFERROR(__xludf.DUMMYFUNCTION("""COMPUTED_VALUE"""),45100.2016829166)</f>
        <v>45100.20168</v>
      </c>
      <c r="D4248" s="15">
        <f>IFERROR(__xludf.DUMMYFUNCTION("""COMPUTED_VALUE"""),1.005)</f>
        <v>1.005</v>
      </c>
      <c r="E4248" s="16">
        <f>IFERROR(__xludf.DUMMYFUNCTION("""COMPUTED_VALUE"""),69.0)</f>
        <v>69</v>
      </c>
      <c r="F4248" s="19" t="str">
        <f>IFERROR(__xludf.DUMMYFUNCTION("""COMPUTED_VALUE"""),"BLACK")</f>
        <v>BLACK</v>
      </c>
      <c r="G4248" s="20" t="str">
        <f>IFERROR(__xludf.DUMMYFUNCTION("""COMPUTED_VALUE"""),"Uncle Sams Cider (04/04/2023)")</f>
        <v>Uncle Sams Cider (04/04/2023)</v>
      </c>
      <c r="H4248" s="19"/>
    </row>
    <row r="4249">
      <c r="A4249" s="9"/>
      <c r="B4249" s="15"/>
      <c r="C4249" s="9">
        <f>IFERROR(__xludf.DUMMYFUNCTION("""COMPUTED_VALUE"""),45100.1912392361)</f>
        <v>45100.19124</v>
      </c>
      <c r="D4249" s="15">
        <f>IFERROR(__xludf.DUMMYFUNCTION("""COMPUTED_VALUE"""),1.005)</f>
        <v>1.005</v>
      </c>
      <c r="E4249" s="16">
        <f>IFERROR(__xludf.DUMMYFUNCTION("""COMPUTED_VALUE"""),69.0)</f>
        <v>69</v>
      </c>
      <c r="F4249" s="19" t="str">
        <f>IFERROR(__xludf.DUMMYFUNCTION("""COMPUTED_VALUE"""),"BLACK")</f>
        <v>BLACK</v>
      </c>
      <c r="G4249" s="20" t="str">
        <f>IFERROR(__xludf.DUMMYFUNCTION("""COMPUTED_VALUE"""),"Uncle Sams Cider (04/04/2023)")</f>
        <v>Uncle Sams Cider (04/04/2023)</v>
      </c>
      <c r="H4249" s="19"/>
    </row>
    <row r="4250">
      <c r="A4250" s="9"/>
      <c r="B4250" s="15"/>
      <c r="C4250" s="9">
        <f>IFERROR(__xludf.DUMMYFUNCTION("""COMPUTED_VALUE"""),45100.180817905)</f>
        <v>45100.18082</v>
      </c>
      <c r="D4250" s="15">
        <f>IFERROR(__xludf.DUMMYFUNCTION("""COMPUTED_VALUE"""),1.005)</f>
        <v>1.005</v>
      </c>
      <c r="E4250" s="16">
        <f>IFERROR(__xludf.DUMMYFUNCTION("""COMPUTED_VALUE"""),69.0)</f>
        <v>69</v>
      </c>
      <c r="F4250" s="19" t="str">
        <f>IFERROR(__xludf.DUMMYFUNCTION("""COMPUTED_VALUE"""),"BLACK")</f>
        <v>BLACK</v>
      </c>
      <c r="G4250" s="20" t="str">
        <f>IFERROR(__xludf.DUMMYFUNCTION("""COMPUTED_VALUE"""),"Uncle Sams Cider (04/04/2023)")</f>
        <v>Uncle Sams Cider (04/04/2023)</v>
      </c>
      <c r="H4250" s="19"/>
    </row>
    <row r="4251">
      <c r="A4251" s="9"/>
      <c r="B4251" s="15"/>
      <c r="C4251" s="9">
        <f>IFERROR(__xludf.DUMMYFUNCTION("""COMPUTED_VALUE"""),45100.1703957176)</f>
        <v>45100.1704</v>
      </c>
      <c r="D4251" s="15">
        <f>IFERROR(__xludf.DUMMYFUNCTION("""COMPUTED_VALUE"""),1.005)</f>
        <v>1.005</v>
      </c>
      <c r="E4251" s="16">
        <f>IFERROR(__xludf.DUMMYFUNCTION("""COMPUTED_VALUE"""),69.0)</f>
        <v>69</v>
      </c>
      <c r="F4251" s="19" t="str">
        <f>IFERROR(__xludf.DUMMYFUNCTION("""COMPUTED_VALUE"""),"BLACK")</f>
        <v>BLACK</v>
      </c>
      <c r="G4251" s="20" t="str">
        <f>IFERROR(__xludf.DUMMYFUNCTION("""COMPUTED_VALUE"""),"Uncle Sams Cider (04/04/2023)")</f>
        <v>Uncle Sams Cider (04/04/2023)</v>
      </c>
      <c r="H4251" s="19"/>
    </row>
    <row r="4252">
      <c r="A4252" s="9"/>
      <c r="B4252" s="15"/>
      <c r="C4252" s="9">
        <f>IFERROR(__xludf.DUMMYFUNCTION("""COMPUTED_VALUE"""),45100.1599402199)</f>
        <v>45100.15994</v>
      </c>
      <c r="D4252" s="15">
        <f>IFERROR(__xludf.DUMMYFUNCTION("""COMPUTED_VALUE"""),1.005)</f>
        <v>1.005</v>
      </c>
      <c r="E4252" s="16">
        <f>IFERROR(__xludf.DUMMYFUNCTION("""COMPUTED_VALUE"""),69.0)</f>
        <v>69</v>
      </c>
      <c r="F4252" s="19" t="str">
        <f>IFERROR(__xludf.DUMMYFUNCTION("""COMPUTED_VALUE"""),"BLACK")</f>
        <v>BLACK</v>
      </c>
      <c r="G4252" s="20" t="str">
        <f>IFERROR(__xludf.DUMMYFUNCTION("""COMPUTED_VALUE"""),"Uncle Sams Cider (04/04/2023)")</f>
        <v>Uncle Sams Cider (04/04/2023)</v>
      </c>
      <c r="H4252" s="19"/>
    </row>
    <row r="4253">
      <c r="A4253" s="9"/>
      <c r="B4253" s="15"/>
      <c r="C4253" s="9">
        <f>IFERROR(__xludf.DUMMYFUNCTION("""COMPUTED_VALUE"""),45100.1495199189)</f>
        <v>45100.14952</v>
      </c>
      <c r="D4253" s="15">
        <f>IFERROR(__xludf.DUMMYFUNCTION("""COMPUTED_VALUE"""),1.005)</f>
        <v>1.005</v>
      </c>
      <c r="E4253" s="16">
        <f>IFERROR(__xludf.DUMMYFUNCTION("""COMPUTED_VALUE"""),69.0)</f>
        <v>69</v>
      </c>
      <c r="F4253" s="19" t="str">
        <f>IFERROR(__xludf.DUMMYFUNCTION("""COMPUTED_VALUE"""),"BLACK")</f>
        <v>BLACK</v>
      </c>
      <c r="G4253" s="20" t="str">
        <f>IFERROR(__xludf.DUMMYFUNCTION("""COMPUTED_VALUE"""),"Uncle Sams Cider (04/04/2023)")</f>
        <v>Uncle Sams Cider (04/04/2023)</v>
      </c>
      <c r="H4253" s="19"/>
    </row>
    <row r="4254">
      <c r="A4254" s="9"/>
      <c r="B4254" s="15"/>
      <c r="C4254" s="9">
        <f>IFERROR(__xludf.DUMMYFUNCTION("""COMPUTED_VALUE"""),45100.1390873726)</f>
        <v>45100.13909</v>
      </c>
      <c r="D4254" s="15">
        <f>IFERROR(__xludf.DUMMYFUNCTION("""COMPUTED_VALUE"""),1.005)</f>
        <v>1.005</v>
      </c>
      <c r="E4254" s="16">
        <f>IFERROR(__xludf.DUMMYFUNCTION("""COMPUTED_VALUE"""),69.0)</f>
        <v>69</v>
      </c>
      <c r="F4254" s="19" t="str">
        <f>IFERROR(__xludf.DUMMYFUNCTION("""COMPUTED_VALUE"""),"BLACK")</f>
        <v>BLACK</v>
      </c>
      <c r="G4254" s="20" t="str">
        <f>IFERROR(__xludf.DUMMYFUNCTION("""COMPUTED_VALUE"""),"Uncle Sams Cider (04/04/2023)")</f>
        <v>Uncle Sams Cider (04/04/2023)</v>
      </c>
      <c r="H4254" s="19"/>
    </row>
    <row r="4255">
      <c r="A4255" s="9"/>
      <c r="B4255" s="15"/>
      <c r="C4255" s="9">
        <f>IFERROR(__xludf.DUMMYFUNCTION("""COMPUTED_VALUE"""),45100.1286667592)</f>
        <v>45100.12867</v>
      </c>
      <c r="D4255" s="15">
        <f>IFERROR(__xludf.DUMMYFUNCTION("""COMPUTED_VALUE"""),1.005)</f>
        <v>1.005</v>
      </c>
      <c r="E4255" s="16">
        <f>IFERROR(__xludf.DUMMYFUNCTION("""COMPUTED_VALUE"""),69.0)</f>
        <v>69</v>
      </c>
      <c r="F4255" s="19" t="str">
        <f>IFERROR(__xludf.DUMMYFUNCTION("""COMPUTED_VALUE"""),"BLACK")</f>
        <v>BLACK</v>
      </c>
      <c r="G4255" s="20" t="str">
        <f>IFERROR(__xludf.DUMMYFUNCTION("""COMPUTED_VALUE"""),"Uncle Sams Cider (04/04/2023)")</f>
        <v>Uncle Sams Cider (04/04/2023)</v>
      </c>
      <c r="H4255" s="19"/>
    </row>
    <row r="4256">
      <c r="A4256" s="9"/>
      <c r="B4256" s="15"/>
      <c r="C4256" s="9">
        <f>IFERROR(__xludf.DUMMYFUNCTION("""COMPUTED_VALUE"""),45100.1182448495)</f>
        <v>45100.11824</v>
      </c>
      <c r="D4256" s="15">
        <f>IFERROR(__xludf.DUMMYFUNCTION("""COMPUTED_VALUE"""),1.005)</f>
        <v>1.005</v>
      </c>
      <c r="E4256" s="16">
        <f>IFERROR(__xludf.DUMMYFUNCTION("""COMPUTED_VALUE"""),70.0)</f>
        <v>70</v>
      </c>
      <c r="F4256" s="19" t="str">
        <f>IFERROR(__xludf.DUMMYFUNCTION("""COMPUTED_VALUE"""),"BLACK")</f>
        <v>BLACK</v>
      </c>
      <c r="G4256" s="20" t="str">
        <f>IFERROR(__xludf.DUMMYFUNCTION("""COMPUTED_VALUE"""),"Uncle Sams Cider (04/04/2023)")</f>
        <v>Uncle Sams Cider (04/04/2023)</v>
      </c>
      <c r="H4256" s="19"/>
    </row>
    <row r="4257">
      <c r="A4257" s="9"/>
      <c r="B4257" s="15"/>
      <c r="C4257" s="9">
        <f>IFERROR(__xludf.DUMMYFUNCTION("""COMPUTED_VALUE"""),45100.107825243)</f>
        <v>45100.10783</v>
      </c>
      <c r="D4257" s="15">
        <f>IFERROR(__xludf.DUMMYFUNCTION("""COMPUTED_VALUE"""),1.005)</f>
        <v>1.005</v>
      </c>
      <c r="E4257" s="16">
        <f>IFERROR(__xludf.DUMMYFUNCTION("""COMPUTED_VALUE"""),70.0)</f>
        <v>70</v>
      </c>
      <c r="F4257" s="19" t="str">
        <f>IFERROR(__xludf.DUMMYFUNCTION("""COMPUTED_VALUE"""),"BLACK")</f>
        <v>BLACK</v>
      </c>
      <c r="G4257" s="20" t="str">
        <f>IFERROR(__xludf.DUMMYFUNCTION("""COMPUTED_VALUE"""),"Uncle Sams Cider (04/04/2023)")</f>
        <v>Uncle Sams Cider (04/04/2023)</v>
      </c>
      <c r="H4257" s="19"/>
    </row>
    <row r="4258">
      <c r="A4258" s="9"/>
      <c r="B4258" s="15"/>
      <c r="C4258" s="9">
        <f>IFERROR(__xludf.DUMMYFUNCTION("""COMPUTED_VALUE"""),45100.0973924305)</f>
        <v>45100.09739</v>
      </c>
      <c r="D4258" s="15">
        <f>IFERROR(__xludf.DUMMYFUNCTION("""COMPUTED_VALUE"""),1.005)</f>
        <v>1.005</v>
      </c>
      <c r="E4258" s="16">
        <f>IFERROR(__xludf.DUMMYFUNCTION("""COMPUTED_VALUE"""),70.0)</f>
        <v>70</v>
      </c>
      <c r="F4258" s="19" t="str">
        <f>IFERROR(__xludf.DUMMYFUNCTION("""COMPUTED_VALUE"""),"BLACK")</f>
        <v>BLACK</v>
      </c>
      <c r="G4258" s="20" t="str">
        <f>IFERROR(__xludf.DUMMYFUNCTION("""COMPUTED_VALUE"""),"Uncle Sams Cider (04/04/2023)")</f>
        <v>Uncle Sams Cider (04/04/2023)</v>
      </c>
      <c r="H4258" s="19"/>
    </row>
    <row r="4259">
      <c r="A4259" s="9"/>
      <c r="B4259" s="15"/>
      <c r="C4259" s="9">
        <f>IFERROR(__xludf.DUMMYFUNCTION("""COMPUTED_VALUE"""),45100.086970949)</f>
        <v>45100.08697</v>
      </c>
      <c r="D4259" s="15">
        <f>IFERROR(__xludf.DUMMYFUNCTION("""COMPUTED_VALUE"""),1.005)</f>
        <v>1.005</v>
      </c>
      <c r="E4259" s="16">
        <f>IFERROR(__xludf.DUMMYFUNCTION("""COMPUTED_VALUE"""),70.0)</f>
        <v>70</v>
      </c>
      <c r="F4259" s="19" t="str">
        <f>IFERROR(__xludf.DUMMYFUNCTION("""COMPUTED_VALUE"""),"BLACK")</f>
        <v>BLACK</v>
      </c>
      <c r="G4259" s="20" t="str">
        <f>IFERROR(__xludf.DUMMYFUNCTION("""COMPUTED_VALUE"""),"Uncle Sams Cider (04/04/2023)")</f>
        <v>Uncle Sams Cider (04/04/2023)</v>
      </c>
      <c r="H4259" s="19"/>
    </row>
    <row r="4260">
      <c r="A4260" s="9"/>
      <c r="B4260" s="15"/>
      <c r="C4260" s="9">
        <f>IFERROR(__xludf.DUMMYFUNCTION("""COMPUTED_VALUE"""),45100.076550324)</f>
        <v>45100.07655</v>
      </c>
      <c r="D4260" s="15">
        <f>IFERROR(__xludf.DUMMYFUNCTION("""COMPUTED_VALUE"""),1.005)</f>
        <v>1.005</v>
      </c>
      <c r="E4260" s="16">
        <f>IFERROR(__xludf.DUMMYFUNCTION("""COMPUTED_VALUE"""),70.0)</f>
        <v>70</v>
      </c>
      <c r="F4260" s="19" t="str">
        <f>IFERROR(__xludf.DUMMYFUNCTION("""COMPUTED_VALUE"""),"BLACK")</f>
        <v>BLACK</v>
      </c>
      <c r="G4260" s="20" t="str">
        <f>IFERROR(__xludf.DUMMYFUNCTION("""COMPUTED_VALUE"""),"Uncle Sams Cider (04/04/2023)")</f>
        <v>Uncle Sams Cider (04/04/2023)</v>
      </c>
      <c r="H4260" s="19"/>
    </row>
    <row r="4261">
      <c r="A4261" s="9"/>
      <c r="B4261" s="15"/>
      <c r="C4261" s="9">
        <f>IFERROR(__xludf.DUMMYFUNCTION("""COMPUTED_VALUE"""),45100.0661302314)</f>
        <v>45100.06613</v>
      </c>
      <c r="D4261" s="15">
        <f>IFERROR(__xludf.DUMMYFUNCTION("""COMPUTED_VALUE"""),1.005)</f>
        <v>1.005</v>
      </c>
      <c r="E4261" s="16">
        <f>IFERROR(__xludf.DUMMYFUNCTION("""COMPUTED_VALUE"""),70.0)</f>
        <v>70</v>
      </c>
      <c r="F4261" s="19" t="str">
        <f>IFERROR(__xludf.DUMMYFUNCTION("""COMPUTED_VALUE"""),"BLACK")</f>
        <v>BLACK</v>
      </c>
      <c r="G4261" s="20" t="str">
        <f>IFERROR(__xludf.DUMMYFUNCTION("""COMPUTED_VALUE"""),"Uncle Sams Cider (04/04/2023)")</f>
        <v>Uncle Sams Cider (04/04/2023)</v>
      </c>
      <c r="H4261" s="19"/>
    </row>
    <row r="4262">
      <c r="A4262" s="9"/>
      <c r="B4262" s="15"/>
      <c r="C4262" s="9">
        <f>IFERROR(__xludf.DUMMYFUNCTION("""COMPUTED_VALUE"""),45100.0557077893)</f>
        <v>45100.05571</v>
      </c>
      <c r="D4262" s="15">
        <f>IFERROR(__xludf.DUMMYFUNCTION("""COMPUTED_VALUE"""),1.005)</f>
        <v>1.005</v>
      </c>
      <c r="E4262" s="16">
        <f>IFERROR(__xludf.DUMMYFUNCTION("""COMPUTED_VALUE"""),70.0)</f>
        <v>70</v>
      </c>
      <c r="F4262" s="19" t="str">
        <f>IFERROR(__xludf.DUMMYFUNCTION("""COMPUTED_VALUE"""),"BLACK")</f>
        <v>BLACK</v>
      </c>
      <c r="G4262" s="20" t="str">
        <f>IFERROR(__xludf.DUMMYFUNCTION("""COMPUTED_VALUE"""),"Uncle Sams Cider (04/04/2023)")</f>
        <v>Uncle Sams Cider (04/04/2023)</v>
      </c>
      <c r="H4262" s="19"/>
    </row>
    <row r="4263">
      <c r="A4263" s="9"/>
      <c r="B4263" s="15"/>
      <c r="C4263" s="9">
        <f>IFERROR(__xludf.DUMMYFUNCTION("""COMPUTED_VALUE"""),45100.0452866087)</f>
        <v>45100.04529</v>
      </c>
      <c r="D4263" s="15">
        <f>IFERROR(__xludf.DUMMYFUNCTION("""COMPUTED_VALUE"""),1.005)</f>
        <v>1.005</v>
      </c>
      <c r="E4263" s="16">
        <f>IFERROR(__xludf.DUMMYFUNCTION("""COMPUTED_VALUE"""),70.0)</f>
        <v>70</v>
      </c>
      <c r="F4263" s="19" t="str">
        <f>IFERROR(__xludf.DUMMYFUNCTION("""COMPUTED_VALUE"""),"BLACK")</f>
        <v>BLACK</v>
      </c>
      <c r="G4263" s="20" t="str">
        <f>IFERROR(__xludf.DUMMYFUNCTION("""COMPUTED_VALUE"""),"Uncle Sams Cider (04/04/2023)")</f>
        <v>Uncle Sams Cider (04/04/2023)</v>
      </c>
      <c r="H4263" s="19"/>
    </row>
    <row r="4264">
      <c r="A4264" s="9"/>
      <c r="B4264" s="15"/>
      <c r="C4264" s="9">
        <f>IFERROR(__xludf.DUMMYFUNCTION("""COMPUTED_VALUE"""),45100.0348540509)</f>
        <v>45100.03485</v>
      </c>
      <c r="D4264" s="15">
        <f>IFERROR(__xludf.DUMMYFUNCTION("""COMPUTED_VALUE"""),1.005)</f>
        <v>1.005</v>
      </c>
      <c r="E4264" s="16">
        <f>IFERROR(__xludf.DUMMYFUNCTION("""COMPUTED_VALUE"""),70.0)</f>
        <v>70</v>
      </c>
      <c r="F4264" s="19" t="str">
        <f>IFERROR(__xludf.DUMMYFUNCTION("""COMPUTED_VALUE"""),"BLACK")</f>
        <v>BLACK</v>
      </c>
      <c r="G4264" s="20" t="str">
        <f>IFERROR(__xludf.DUMMYFUNCTION("""COMPUTED_VALUE"""),"Uncle Sams Cider (04/04/2023)")</f>
        <v>Uncle Sams Cider (04/04/2023)</v>
      </c>
      <c r="H4264" s="19"/>
    </row>
    <row r="4265">
      <c r="A4265" s="9"/>
      <c r="B4265" s="15"/>
      <c r="C4265" s="9">
        <f>IFERROR(__xludf.DUMMYFUNCTION("""COMPUTED_VALUE"""),45100.0244105092)</f>
        <v>45100.02441</v>
      </c>
      <c r="D4265" s="15">
        <f>IFERROR(__xludf.DUMMYFUNCTION("""COMPUTED_VALUE"""),1.005)</f>
        <v>1.005</v>
      </c>
      <c r="E4265" s="16">
        <f>IFERROR(__xludf.DUMMYFUNCTION("""COMPUTED_VALUE"""),70.0)</f>
        <v>70</v>
      </c>
      <c r="F4265" s="19" t="str">
        <f>IFERROR(__xludf.DUMMYFUNCTION("""COMPUTED_VALUE"""),"BLACK")</f>
        <v>BLACK</v>
      </c>
      <c r="G4265" s="20" t="str">
        <f>IFERROR(__xludf.DUMMYFUNCTION("""COMPUTED_VALUE"""),"Uncle Sams Cider (04/04/2023)")</f>
        <v>Uncle Sams Cider (04/04/2023)</v>
      </c>
      <c r="H4265" s="19"/>
    </row>
    <row r="4266">
      <c r="A4266" s="9"/>
      <c r="B4266" s="15"/>
      <c r="C4266" s="9">
        <f>IFERROR(__xludf.DUMMYFUNCTION("""COMPUTED_VALUE"""),45100.0139898495)</f>
        <v>45100.01399</v>
      </c>
      <c r="D4266" s="15">
        <f>IFERROR(__xludf.DUMMYFUNCTION("""COMPUTED_VALUE"""),1.005)</f>
        <v>1.005</v>
      </c>
      <c r="E4266" s="16">
        <f>IFERROR(__xludf.DUMMYFUNCTION("""COMPUTED_VALUE"""),69.0)</f>
        <v>69</v>
      </c>
      <c r="F4266" s="19" t="str">
        <f>IFERROR(__xludf.DUMMYFUNCTION("""COMPUTED_VALUE"""),"BLACK")</f>
        <v>BLACK</v>
      </c>
      <c r="G4266" s="20" t="str">
        <f>IFERROR(__xludf.DUMMYFUNCTION("""COMPUTED_VALUE"""),"Uncle Sams Cider (04/04/2023)")</f>
        <v>Uncle Sams Cider (04/04/2023)</v>
      </c>
      <c r="H4266" s="19"/>
    </row>
    <row r="4267">
      <c r="A4267" s="9"/>
      <c r="B4267" s="15"/>
      <c r="C4267" s="9">
        <f>IFERROR(__xludf.DUMMYFUNCTION("""COMPUTED_VALUE"""),45100.0035581018)</f>
        <v>45100.00356</v>
      </c>
      <c r="D4267" s="15">
        <f>IFERROR(__xludf.DUMMYFUNCTION("""COMPUTED_VALUE"""),1.005)</f>
        <v>1.005</v>
      </c>
      <c r="E4267" s="16">
        <f>IFERROR(__xludf.DUMMYFUNCTION("""COMPUTED_VALUE"""),70.0)</f>
        <v>70</v>
      </c>
      <c r="F4267" s="19" t="str">
        <f>IFERROR(__xludf.DUMMYFUNCTION("""COMPUTED_VALUE"""),"BLACK")</f>
        <v>BLACK</v>
      </c>
      <c r="G4267" s="20" t="str">
        <f>IFERROR(__xludf.DUMMYFUNCTION("""COMPUTED_VALUE"""),"Uncle Sams Cider (04/04/2023)")</f>
        <v>Uncle Sams Cider (04/04/2023)</v>
      </c>
      <c r="H4267" s="19"/>
    </row>
    <row r="4268">
      <c r="A4268" s="9"/>
      <c r="B4268" s="15"/>
      <c r="C4268" s="9">
        <f>IFERROR(__xludf.DUMMYFUNCTION("""COMPUTED_VALUE"""),45099.9931367708)</f>
        <v>45099.99314</v>
      </c>
      <c r="D4268" s="15">
        <f>IFERROR(__xludf.DUMMYFUNCTION("""COMPUTED_VALUE"""),1.005)</f>
        <v>1.005</v>
      </c>
      <c r="E4268" s="16">
        <f>IFERROR(__xludf.DUMMYFUNCTION("""COMPUTED_VALUE"""),70.0)</f>
        <v>70</v>
      </c>
      <c r="F4268" s="19" t="str">
        <f>IFERROR(__xludf.DUMMYFUNCTION("""COMPUTED_VALUE"""),"BLACK")</f>
        <v>BLACK</v>
      </c>
      <c r="G4268" s="20" t="str">
        <f>IFERROR(__xludf.DUMMYFUNCTION("""COMPUTED_VALUE"""),"Uncle Sams Cider (04/04/2023)")</f>
        <v>Uncle Sams Cider (04/04/2023)</v>
      </c>
      <c r="H4268" s="19"/>
    </row>
    <row r="4269">
      <c r="A4269" s="9"/>
      <c r="B4269" s="15"/>
      <c r="C4269" s="9">
        <f>IFERROR(__xludf.DUMMYFUNCTION("""COMPUTED_VALUE"""),45099.9827142013)</f>
        <v>45099.98271</v>
      </c>
      <c r="D4269" s="15">
        <f>IFERROR(__xludf.DUMMYFUNCTION("""COMPUTED_VALUE"""),1.005)</f>
        <v>1.005</v>
      </c>
      <c r="E4269" s="16">
        <f>IFERROR(__xludf.DUMMYFUNCTION("""COMPUTED_VALUE"""),70.0)</f>
        <v>70</v>
      </c>
      <c r="F4269" s="19" t="str">
        <f>IFERROR(__xludf.DUMMYFUNCTION("""COMPUTED_VALUE"""),"BLACK")</f>
        <v>BLACK</v>
      </c>
      <c r="G4269" s="20" t="str">
        <f>IFERROR(__xludf.DUMMYFUNCTION("""COMPUTED_VALUE"""),"Uncle Sams Cider (04/04/2023)")</f>
        <v>Uncle Sams Cider (04/04/2023)</v>
      </c>
      <c r="H4269" s="19"/>
    </row>
    <row r="4270">
      <c r="A4270" s="9"/>
      <c r="B4270" s="15"/>
      <c r="C4270" s="9">
        <f>IFERROR(__xludf.DUMMYFUNCTION("""COMPUTED_VALUE"""),45099.9722932986)</f>
        <v>45099.97229</v>
      </c>
      <c r="D4270" s="15">
        <f>IFERROR(__xludf.DUMMYFUNCTION("""COMPUTED_VALUE"""),1.005)</f>
        <v>1.005</v>
      </c>
      <c r="E4270" s="16">
        <f>IFERROR(__xludf.DUMMYFUNCTION("""COMPUTED_VALUE"""),70.0)</f>
        <v>70</v>
      </c>
      <c r="F4270" s="19" t="str">
        <f>IFERROR(__xludf.DUMMYFUNCTION("""COMPUTED_VALUE"""),"BLACK")</f>
        <v>BLACK</v>
      </c>
      <c r="G4270" s="20" t="str">
        <f>IFERROR(__xludf.DUMMYFUNCTION("""COMPUTED_VALUE"""),"Uncle Sams Cider (04/04/2023)")</f>
        <v>Uncle Sams Cider (04/04/2023)</v>
      </c>
      <c r="H4270" s="19"/>
    </row>
    <row r="4271">
      <c r="A4271" s="9"/>
      <c r="B4271" s="15"/>
      <c r="C4271" s="9">
        <f>IFERROR(__xludf.DUMMYFUNCTION("""COMPUTED_VALUE"""),45099.9618705555)</f>
        <v>45099.96187</v>
      </c>
      <c r="D4271" s="15">
        <f>IFERROR(__xludf.DUMMYFUNCTION("""COMPUTED_VALUE"""),1.005)</f>
        <v>1.005</v>
      </c>
      <c r="E4271" s="16">
        <f>IFERROR(__xludf.DUMMYFUNCTION("""COMPUTED_VALUE"""),70.0)</f>
        <v>70</v>
      </c>
      <c r="F4271" s="19" t="str">
        <f>IFERROR(__xludf.DUMMYFUNCTION("""COMPUTED_VALUE"""),"BLACK")</f>
        <v>BLACK</v>
      </c>
      <c r="G4271" s="20" t="str">
        <f>IFERROR(__xludf.DUMMYFUNCTION("""COMPUTED_VALUE"""),"Uncle Sams Cider (04/04/2023)")</f>
        <v>Uncle Sams Cider (04/04/2023)</v>
      </c>
      <c r="H4271" s="19"/>
    </row>
    <row r="4272">
      <c r="A4272" s="9"/>
      <c r="B4272" s="15"/>
      <c r="C4272" s="9">
        <f>IFERROR(__xludf.DUMMYFUNCTION("""COMPUTED_VALUE"""),45099.951451655)</f>
        <v>45099.95145</v>
      </c>
      <c r="D4272" s="15">
        <f>IFERROR(__xludf.DUMMYFUNCTION("""COMPUTED_VALUE"""),1.005)</f>
        <v>1.005</v>
      </c>
      <c r="E4272" s="16">
        <f>IFERROR(__xludf.DUMMYFUNCTION("""COMPUTED_VALUE"""),70.0)</f>
        <v>70</v>
      </c>
      <c r="F4272" s="19" t="str">
        <f>IFERROR(__xludf.DUMMYFUNCTION("""COMPUTED_VALUE"""),"BLACK")</f>
        <v>BLACK</v>
      </c>
      <c r="G4272" s="20" t="str">
        <f>IFERROR(__xludf.DUMMYFUNCTION("""COMPUTED_VALUE"""),"Uncle Sams Cider (04/04/2023)")</f>
        <v>Uncle Sams Cider (04/04/2023)</v>
      </c>
      <c r="H4272" s="19"/>
    </row>
    <row r="4273">
      <c r="A4273" s="9"/>
      <c r="B4273" s="15"/>
      <c r="C4273" s="9">
        <f>IFERROR(__xludf.DUMMYFUNCTION("""COMPUTED_VALUE"""),45099.9410318634)</f>
        <v>45099.94103</v>
      </c>
      <c r="D4273" s="15">
        <f>IFERROR(__xludf.DUMMYFUNCTION("""COMPUTED_VALUE"""),1.005)</f>
        <v>1.005</v>
      </c>
      <c r="E4273" s="16">
        <f>IFERROR(__xludf.DUMMYFUNCTION("""COMPUTED_VALUE"""),70.0)</f>
        <v>70</v>
      </c>
      <c r="F4273" s="19" t="str">
        <f>IFERROR(__xludf.DUMMYFUNCTION("""COMPUTED_VALUE"""),"BLACK")</f>
        <v>BLACK</v>
      </c>
      <c r="G4273" s="20" t="str">
        <f>IFERROR(__xludf.DUMMYFUNCTION("""COMPUTED_VALUE"""),"Uncle Sams Cider (04/04/2023)")</f>
        <v>Uncle Sams Cider (04/04/2023)</v>
      </c>
      <c r="H4273" s="19"/>
    </row>
    <row r="4274">
      <c r="A4274" s="9"/>
      <c r="B4274" s="15"/>
      <c r="C4274" s="9">
        <f>IFERROR(__xludf.DUMMYFUNCTION("""COMPUTED_VALUE"""),45099.9306106018)</f>
        <v>45099.93061</v>
      </c>
      <c r="D4274" s="15">
        <f>IFERROR(__xludf.DUMMYFUNCTION("""COMPUTED_VALUE"""),1.005)</f>
        <v>1.005</v>
      </c>
      <c r="E4274" s="16">
        <f>IFERROR(__xludf.DUMMYFUNCTION("""COMPUTED_VALUE"""),70.0)</f>
        <v>70</v>
      </c>
      <c r="F4274" s="19" t="str">
        <f>IFERROR(__xludf.DUMMYFUNCTION("""COMPUTED_VALUE"""),"BLACK")</f>
        <v>BLACK</v>
      </c>
      <c r="G4274" s="20" t="str">
        <f>IFERROR(__xludf.DUMMYFUNCTION("""COMPUTED_VALUE"""),"Uncle Sams Cider (04/04/2023)")</f>
        <v>Uncle Sams Cider (04/04/2023)</v>
      </c>
      <c r="H4274" s="19"/>
    </row>
    <row r="4275">
      <c r="A4275" s="9"/>
      <c r="B4275" s="15"/>
      <c r="C4275" s="9">
        <f>IFERROR(__xludf.DUMMYFUNCTION("""COMPUTED_VALUE"""),45099.9201911805)</f>
        <v>45099.92019</v>
      </c>
      <c r="D4275" s="15">
        <f>IFERROR(__xludf.DUMMYFUNCTION("""COMPUTED_VALUE"""),1.005)</f>
        <v>1.005</v>
      </c>
      <c r="E4275" s="16">
        <f>IFERROR(__xludf.DUMMYFUNCTION("""COMPUTED_VALUE"""),70.0)</f>
        <v>70</v>
      </c>
      <c r="F4275" s="19" t="str">
        <f>IFERROR(__xludf.DUMMYFUNCTION("""COMPUTED_VALUE"""),"BLACK")</f>
        <v>BLACK</v>
      </c>
      <c r="G4275" s="20" t="str">
        <f>IFERROR(__xludf.DUMMYFUNCTION("""COMPUTED_VALUE"""),"Uncle Sams Cider (04/04/2023)")</f>
        <v>Uncle Sams Cider (04/04/2023)</v>
      </c>
      <c r="H4275" s="19"/>
    </row>
    <row r="4276">
      <c r="A4276" s="9"/>
      <c r="B4276" s="15"/>
      <c r="C4276" s="9">
        <f>IFERROR(__xludf.DUMMYFUNCTION("""COMPUTED_VALUE"""),45099.9097693634)</f>
        <v>45099.90977</v>
      </c>
      <c r="D4276" s="15">
        <f>IFERROR(__xludf.DUMMYFUNCTION("""COMPUTED_VALUE"""),1.005)</f>
        <v>1.005</v>
      </c>
      <c r="E4276" s="16">
        <f>IFERROR(__xludf.DUMMYFUNCTION("""COMPUTED_VALUE"""),70.0)</f>
        <v>70</v>
      </c>
      <c r="F4276" s="19" t="str">
        <f>IFERROR(__xludf.DUMMYFUNCTION("""COMPUTED_VALUE"""),"BLACK")</f>
        <v>BLACK</v>
      </c>
      <c r="G4276" s="20" t="str">
        <f>IFERROR(__xludf.DUMMYFUNCTION("""COMPUTED_VALUE"""),"Uncle Sams Cider (04/04/2023)")</f>
        <v>Uncle Sams Cider (04/04/2023)</v>
      </c>
      <c r="H4276" s="19"/>
    </row>
    <row r="4277">
      <c r="A4277" s="9"/>
      <c r="B4277" s="15"/>
      <c r="C4277" s="9">
        <f>IFERROR(__xludf.DUMMYFUNCTION("""COMPUTED_VALUE"""),45099.8993349189)</f>
        <v>45099.89933</v>
      </c>
      <c r="D4277" s="15">
        <f>IFERROR(__xludf.DUMMYFUNCTION("""COMPUTED_VALUE"""),1.005)</f>
        <v>1.005</v>
      </c>
      <c r="E4277" s="16">
        <f>IFERROR(__xludf.DUMMYFUNCTION("""COMPUTED_VALUE"""),70.0)</f>
        <v>70</v>
      </c>
      <c r="F4277" s="19" t="str">
        <f>IFERROR(__xludf.DUMMYFUNCTION("""COMPUTED_VALUE"""),"BLACK")</f>
        <v>BLACK</v>
      </c>
      <c r="G4277" s="20" t="str">
        <f>IFERROR(__xludf.DUMMYFUNCTION("""COMPUTED_VALUE"""),"Uncle Sams Cider (04/04/2023)")</f>
        <v>Uncle Sams Cider (04/04/2023)</v>
      </c>
      <c r="H4277" s="19"/>
    </row>
    <row r="4278">
      <c r="A4278" s="9"/>
      <c r="B4278" s="15"/>
      <c r="C4278" s="9">
        <f>IFERROR(__xludf.DUMMYFUNCTION("""COMPUTED_VALUE"""),45099.8889125694)</f>
        <v>45099.88891</v>
      </c>
      <c r="D4278" s="15">
        <f>IFERROR(__xludf.DUMMYFUNCTION("""COMPUTED_VALUE"""),1.005)</f>
        <v>1.005</v>
      </c>
      <c r="E4278" s="16">
        <f>IFERROR(__xludf.DUMMYFUNCTION("""COMPUTED_VALUE"""),70.0)</f>
        <v>70</v>
      </c>
      <c r="F4278" s="19" t="str">
        <f>IFERROR(__xludf.DUMMYFUNCTION("""COMPUTED_VALUE"""),"BLACK")</f>
        <v>BLACK</v>
      </c>
      <c r="G4278" s="20" t="str">
        <f>IFERROR(__xludf.DUMMYFUNCTION("""COMPUTED_VALUE"""),"Uncle Sams Cider (04/04/2023)")</f>
        <v>Uncle Sams Cider (04/04/2023)</v>
      </c>
      <c r="H4278" s="19"/>
    </row>
    <row r="4279">
      <c r="A4279" s="9"/>
      <c r="B4279" s="15"/>
      <c r="C4279" s="9">
        <f>IFERROR(__xludf.DUMMYFUNCTION("""COMPUTED_VALUE"""),45099.8784567245)</f>
        <v>45099.87846</v>
      </c>
      <c r="D4279" s="15">
        <f>IFERROR(__xludf.DUMMYFUNCTION("""COMPUTED_VALUE"""),1.005)</f>
        <v>1.005</v>
      </c>
      <c r="E4279" s="16">
        <f>IFERROR(__xludf.DUMMYFUNCTION("""COMPUTED_VALUE"""),70.0)</f>
        <v>70</v>
      </c>
      <c r="F4279" s="19" t="str">
        <f>IFERROR(__xludf.DUMMYFUNCTION("""COMPUTED_VALUE"""),"BLACK")</f>
        <v>BLACK</v>
      </c>
      <c r="G4279" s="20" t="str">
        <f>IFERROR(__xludf.DUMMYFUNCTION("""COMPUTED_VALUE"""),"Uncle Sams Cider (04/04/2023)")</f>
        <v>Uncle Sams Cider (04/04/2023)</v>
      </c>
      <c r="H4279" s="19"/>
    </row>
    <row r="4280">
      <c r="A4280" s="9"/>
      <c r="B4280" s="15"/>
      <c r="C4280" s="9">
        <f>IFERROR(__xludf.DUMMYFUNCTION("""COMPUTED_VALUE"""),45099.8680110995)</f>
        <v>45099.86801</v>
      </c>
      <c r="D4280" s="15">
        <f>IFERROR(__xludf.DUMMYFUNCTION("""COMPUTED_VALUE"""),1.005)</f>
        <v>1.005</v>
      </c>
      <c r="E4280" s="16">
        <f>IFERROR(__xludf.DUMMYFUNCTION("""COMPUTED_VALUE"""),70.0)</f>
        <v>70</v>
      </c>
      <c r="F4280" s="19" t="str">
        <f>IFERROR(__xludf.DUMMYFUNCTION("""COMPUTED_VALUE"""),"BLACK")</f>
        <v>BLACK</v>
      </c>
      <c r="G4280" s="20" t="str">
        <f>IFERROR(__xludf.DUMMYFUNCTION("""COMPUTED_VALUE"""),"Uncle Sams Cider (04/04/2023)")</f>
        <v>Uncle Sams Cider (04/04/2023)</v>
      </c>
      <c r="H4280" s="19"/>
    </row>
    <row r="4281">
      <c r="A4281" s="9"/>
      <c r="B4281" s="15"/>
      <c r="C4281" s="9">
        <f>IFERROR(__xludf.DUMMYFUNCTION("""COMPUTED_VALUE"""),45099.8575896296)</f>
        <v>45099.85759</v>
      </c>
      <c r="D4281" s="15">
        <f>IFERROR(__xludf.DUMMYFUNCTION("""COMPUTED_VALUE"""),1.005)</f>
        <v>1.005</v>
      </c>
      <c r="E4281" s="16">
        <f>IFERROR(__xludf.DUMMYFUNCTION("""COMPUTED_VALUE"""),70.0)</f>
        <v>70</v>
      </c>
      <c r="F4281" s="19" t="str">
        <f>IFERROR(__xludf.DUMMYFUNCTION("""COMPUTED_VALUE"""),"BLACK")</f>
        <v>BLACK</v>
      </c>
      <c r="G4281" s="20" t="str">
        <f>IFERROR(__xludf.DUMMYFUNCTION("""COMPUTED_VALUE"""),"Uncle Sams Cider (04/04/2023)")</f>
        <v>Uncle Sams Cider (04/04/2023)</v>
      </c>
      <c r="H4281" s="19"/>
    </row>
    <row r="4282">
      <c r="A4282" s="9"/>
      <c r="B4282" s="15"/>
      <c r="C4282" s="9">
        <f>IFERROR(__xludf.DUMMYFUNCTION("""COMPUTED_VALUE"""),45099.8471676041)</f>
        <v>45099.84717</v>
      </c>
      <c r="D4282" s="15">
        <f>IFERROR(__xludf.DUMMYFUNCTION("""COMPUTED_VALUE"""),1.005)</f>
        <v>1.005</v>
      </c>
      <c r="E4282" s="16">
        <f>IFERROR(__xludf.DUMMYFUNCTION("""COMPUTED_VALUE"""),70.0)</f>
        <v>70</v>
      </c>
      <c r="F4282" s="19" t="str">
        <f>IFERROR(__xludf.DUMMYFUNCTION("""COMPUTED_VALUE"""),"BLACK")</f>
        <v>BLACK</v>
      </c>
      <c r="G4282" s="20" t="str">
        <f>IFERROR(__xludf.DUMMYFUNCTION("""COMPUTED_VALUE"""),"Uncle Sams Cider (04/04/2023)")</f>
        <v>Uncle Sams Cider (04/04/2023)</v>
      </c>
      <c r="H4282" s="19"/>
    </row>
    <row r="4283">
      <c r="A4283" s="9"/>
      <c r="B4283" s="15"/>
      <c r="C4283" s="9">
        <f>IFERROR(__xludf.DUMMYFUNCTION("""COMPUTED_VALUE"""),45099.8367229629)</f>
        <v>45099.83672</v>
      </c>
      <c r="D4283" s="15">
        <f>IFERROR(__xludf.DUMMYFUNCTION("""COMPUTED_VALUE"""),1.005)</f>
        <v>1.005</v>
      </c>
      <c r="E4283" s="16">
        <f>IFERROR(__xludf.DUMMYFUNCTION("""COMPUTED_VALUE"""),70.0)</f>
        <v>70</v>
      </c>
      <c r="F4283" s="19" t="str">
        <f>IFERROR(__xludf.DUMMYFUNCTION("""COMPUTED_VALUE"""),"BLACK")</f>
        <v>BLACK</v>
      </c>
      <c r="G4283" s="20" t="str">
        <f>IFERROR(__xludf.DUMMYFUNCTION("""COMPUTED_VALUE"""),"Uncle Sams Cider (04/04/2023)")</f>
        <v>Uncle Sams Cider (04/04/2023)</v>
      </c>
      <c r="H4283" s="19"/>
    </row>
    <row r="4284">
      <c r="A4284" s="9"/>
      <c r="B4284" s="15"/>
      <c r="C4284" s="9">
        <f>IFERROR(__xludf.DUMMYFUNCTION("""COMPUTED_VALUE"""),45099.8262772222)</f>
        <v>45099.82628</v>
      </c>
      <c r="D4284" s="15">
        <f>IFERROR(__xludf.DUMMYFUNCTION("""COMPUTED_VALUE"""),1.005)</f>
        <v>1.005</v>
      </c>
      <c r="E4284" s="16">
        <f>IFERROR(__xludf.DUMMYFUNCTION("""COMPUTED_VALUE"""),70.0)</f>
        <v>70</v>
      </c>
      <c r="F4284" s="19" t="str">
        <f>IFERROR(__xludf.DUMMYFUNCTION("""COMPUTED_VALUE"""),"BLACK")</f>
        <v>BLACK</v>
      </c>
      <c r="G4284" s="20" t="str">
        <f>IFERROR(__xludf.DUMMYFUNCTION("""COMPUTED_VALUE"""),"Uncle Sams Cider (04/04/2023)")</f>
        <v>Uncle Sams Cider (04/04/2023)</v>
      </c>
      <c r="H4284" s="19"/>
    </row>
    <row r="4285">
      <c r="A4285" s="9"/>
      <c r="B4285" s="15"/>
      <c r="C4285" s="9">
        <f>IFERROR(__xludf.DUMMYFUNCTION("""COMPUTED_VALUE"""),45099.8158572338)</f>
        <v>45099.81586</v>
      </c>
      <c r="D4285" s="15">
        <f>IFERROR(__xludf.DUMMYFUNCTION("""COMPUTED_VALUE"""),1.005)</f>
        <v>1.005</v>
      </c>
      <c r="E4285" s="16">
        <f>IFERROR(__xludf.DUMMYFUNCTION("""COMPUTED_VALUE"""),70.0)</f>
        <v>70</v>
      </c>
      <c r="F4285" s="19" t="str">
        <f>IFERROR(__xludf.DUMMYFUNCTION("""COMPUTED_VALUE"""),"BLACK")</f>
        <v>BLACK</v>
      </c>
      <c r="G4285" s="20" t="str">
        <f>IFERROR(__xludf.DUMMYFUNCTION("""COMPUTED_VALUE"""),"Uncle Sams Cider (04/04/2023)")</f>
        <v>Uncle Sams Cider (04/04/2023)</v>
      </c>
      <c r="H4285" s="19"/>
    </row>
    <row r="4286">
      <c r="A4286" s="9"/>
      <c r="B4286" s="15"/>
      <c r="C4286" s="9">
        <f>IFERROR(__xludf.DUMMYFUNCTION("""COMPUTED_VALUE"""),45099.805425706)</f>
        <v>45099.80543</v>
      </c>
      <c r="D4286" s="15">
        <f>IFERROR(__xludf.DUMMYFUNCTION("""COMPUTED_VALUE"""),1.005)</f>
        <v>1.005</v>
      </c>
      <c r="E4286" s="16">
        <f>IFERROR(__xludf.DUMMYFUNCTION("""COMPUTED_VALUE"""),70.0)</f>
        <v>70</v>
      </c>
      <c r="F4286" s="19" t="str">
        <f>IFERROR(__xludf.DUMMYFUNCTION("""COMPUTED_VALUE"""),"BLACK")</f>
        <v>BLACK</v>
      </c>
      <c r="G4286" s="20" t="str">
        <f>IFERROR(__xludf.DUMMYFUNCTION("""COMPUTED_VALUE"""),"Uncle Sams Cider (04/04/2023)")</f>
        <v>Uncle Sams Cider (04/04/2023)</v>
      </c>
      <c r="H4286" s="19"/>
    </row>
    <row r="4287">
      <c r="A4287" s="9"/>
      <c r="B4287" s="15"/>
      <c r="C4287" s="9">
        <f>IFERROR(__xludf.DUMMYFUNCTION("""COMPUTED_VALUE"""),45099.795003912)</f>
        <v>45099.795</v>
      </c>
      <c r="D4287" s="15">
        <f>IFERROR(__xludf.DUMMYFUNCTION("""COMPUTED_VALUE"""),1.005)</f>
        <v>1.005</v>
      </c>
      <c r="E4287" s="16">
        <f>IFERROR(__xludf.DUMMYFUNCTION("""COMPUTED_VALUE"""),70.0)</f>
        <v>70</v>
      </c>
      <c r="F4287" s="19" t="str">
        <f>IFERROR(__xludf.DUMMYFUNCTION("""COMPUTED_VALUE"""),"BLACK")</f>
        <v>BLACK</v>
      </c>
      <c r="G4287" s="20" t="str">
        <f>IFERROR(__xludf.DUMMYFUNCTION("""COMPUTED_VALUE"""),"Uncle Sams Cider (04/04/2023)")</f>
        <v>Uncle Sams Cider (04/04/2023)</v>
      </c>
      <c r="H4287" s="19"/>
    </row>
    <row r="4288">
      <c r="A4288" s="9"/>
      <c r="B4288" s="15"/>
      <c r="C4288" s="9">
        <f>IFERROR(__xludf.DUMMYFUNCTION("""COMPUTED_VALUE"""),45099.7845342361)</f>
        <v>45099.78453</v>
      </c>
      <c r="D4288" s="15">
        <f>IFERROR(__xludf.DUMMYFUNCTION("""COMPUTED_VALUE"""),1.005)</f>
        <v>1.005</v>
      </c>
      <c r="E4288" s="16">
        <f>IFERROR(__xludf.DUMMYFUNCTION("""COMPUTED_VALUE"""),70.0)</f>
        <v>70</v>
      </c>
      <c r="F4288" s="19" t="str">
        <f>IFERROR(__xludf.DUMMYFUNCTION("""COMPUTED_VALUE"""),"BLACK")</f>
        <v>BLACK</v>
      </c>
      <c r="G4288" s="20" t="str">
        <f>IFERROR(__xludf.DUMMYFUNCTION("""COMPUTED_VALUE"""),"Uncle Sams Cider (04/04/2023)")</f>
        <v>Uncle Sams Cider (04/04/2023)</v>
      </c>
      <c r="H4288" s="19"/>
    </row>
    <row r="4289">
      <c r="A4289" s="9"/>
      <c r="B4289" s="15"/>
      <c r="C4289" s="9">
        <f>IFERROR(__xludf.DUMMYFUNCTION("""COMPUTED_VALUE"""),45099.7741007407)</f>
        <v>45099.7741</v>
      </c>
      <c r="D4289" s="15">
        <f>IFERROR(__xludf.DUMMYFUNCTION("""COMPUTED_VALUE"""),1.005)</f>
        <v>1.005</v>
      </c>
      <c r="E4289" s="16">
        <f>IFERROR(__xludf.DUMMYFUNCTION("""COMPUTED_VALUE"""),70.0)</f>
        <v>70</v>
      </c>
      <c r="F4289" s="19" t="str">
        <f>IFERROR(__xludf.DUMMYFUNCTION("""COMPUTED_VALUE"""),"BLACK")</f>
        <v>BLACK</v>
      </c>
      <c r="G4289" s="20" t="str">
        <f>IFERROR(__xludf.DUMMYFUNCTION("""COMPUTED_VALUE"""),"Uncle Sams Cider (04/04/2023)")</f>
        <v>Uncle Sams Cider (04/04/2023)</v>
      </c>
      <c r="H4289" s="19"/>
    </row>
    <row r="4290">
      <c r="A4290" s="9"/>
      <c r="B4290" s="15"/>
      <c r="C4290" s="9">
        <f>IFERROR(__xludf.DUMMYFUNCTION("""COMPUTED_VALUE"""),45099.7636790046)</f>
        <v>45099.76368</v>
      </c>
      <c r="D4290" s="15">
        <f>IFERROR(__xludf.DUMMYFUNCTION("""COMPUTED_VALUE"""),1.005)</f>
        <v>1.005</v>
      </c>
      <c r="E4290" s="16">
        <f>IFERROR(__xludf.DUMMYFUNCTION("""COMPUTED_VALUE"""),70.0)</f>
        <v>70</v>
      </c>
      <c r="F4290" s="19" t="str">
        <f>IFERROR(__xludf.DUMMYFUNCTION("""COMPUTED_VALUE"""),"BLACK")</f>
        <v>BLACK</v>
      </c>
      <c r="G4290" s="20" t="str">
        <f>IFERROR(__xludf.DUMMYFUNCTION("""COMPUTED_VALUE"""),"Uncle Sams Cider (04/04/2023)")</f>
        <v>Uncle Sams Cider (04/04/2023)</v>
      </c>
      <c r="H4290" s="19"/>
    </row>
    <row r="4291">
      <c r="A4291" s="9"/>
      <c r="B4291" s="15"/>
      <c r="C4291" s="9">
        <f>IFERROR(__xludf.DUMMYFUNCTION("""COMPUTED_VALUE"""),45099.7532577314)</f>
        <v>45099.75326</v>
      </c>
      <c r="D4291" s="15">
        <f>IFERROR(__xludf.DUMMYFUNCTION("""COMPUTED_VALUE"""),1.005)</f>
        <v>1.005</v>
      </c>
      <c r="E4291" s="16">
        <f>IFERROR(__xludf.DUMMYFUNCTION("""COMPUTED_VALUE"""),70.0)</f>
        <v>70</v>
      </c>
      <c r="F4291" s="19" t="str">
        <f>IFERROR(__xludf.DUMMYFUNCTION("""COMPUTED_VALUE"""),"BLACK")</f>
        <v>BLACK</v>
      </c>
      <c r="G4291" s="20" t="str">
        <f>IFERROR(__xludf.DUMMYFUNCTION("""COMPUTED_VALUE"""),"Uncle Sams Cider (04/04/2023)")</f>
        <v>Uncle Sams Cider (04/04/2023)</v>
      </c>
      <c r="H4291" s="19"/>
    </row>
    <row r="4292">
      <c r="A4292" s="9"/>
      <c r="B4292" s="15"/>
      <c r="C4292" s="9">
        <f>IFERROR(__xludf.DUMMYFUNCTION("""COMPUTED_VALUE"""),45099.7428365393)</f>
        <v>45099.74284</v>
      </c>
      <c r="D4292" s="15">
        <f>IFERROR(__xludf.DUMMYFUNCTION("""COMPUTED_VALUE"""),1.005)</f>
        <v>1.005</v>
      </c>
      <c r="E4292" s="16">
        <f>IFERROR(__xludf.DUMMYFUNCTION("""COMPUTED_VALUE"""),70.0)</f>
        <v>70</v>
      </c>
      <c r="F4292" s="19" t="str">
        <f>IFERROR(__xludf.DUMMYFUNCTION("""COMPUTED_VALUE"""),"BLACK")</f>
        <v>BLACK</v>
      </c>
      <c r="G4292" s="20" t="str">
        <f>IFERROR(__xludf.DUMMYFUNCTION("""COMPUTED_VALUE"""),"Uncle Sams Cider (04/04/2023)")</f>
        <v>Uncle Sams Cider (04/04/2023)</v>
      </c>
      <c r="H4292" s="19"/>
    </row>
    <row r="4293">
      <c r="A4293" s="9"/>
      <c r="B4293" s="15"/>
      <c r="C4293" s="9">
        <f>IFERROR(__xludf.DUMMYFUNCTION("""COMPUTED_VALUE"""),45099.7324158796)</f>
        <v>45099.73242</v>
      </c>
      <c r="D4293" s="15">
        <f>IFERROR(__xludf.DUMMYFUNCTION("""COMPUTED_VALUE"""),1.005)</f>
        <v>1.005</v>
      </c>
      <c r="E4293" s="16">
        <f>IFERROR(__xludf.DUMMYFUNCTION("""COMPUTED_VALUE"""),70.0)</f>
        <v>70</v>
      </c>
      <c r="F4293" s="19" t="str">
        <f>IFERROR(__xludf.DUMMYFUNCTION("""COMPUTED_VALUE"""),"BLACK")</f>
        <v>BLACK</v>
      </c>
      <c r="G4293" s="20" t="str">
        <f>IFERROR(__xludf.DUMMYFUNCTION("""COMPUTED_VALUE"""),"Uncle Sams Cider (04/04/2023)")</f>
        <v>Uncle Sams Cider (04/04/2023)</v>
      </c>
      <c r="H4293" s="19"/>
    </row>
    <row r="4294">
      <c r="A4294" s="9"/>
      <c r="B4294" s="15"/>
      <c r="C4294" s="9">
        <f>IFERROR(__xludf.DUMMYFUNCTION("""COMPUTED_VALUE"""),45099.7219834953)</f>
        <v>45099.72198</v>
      </c>
      <c r="D4294" s="15">
        <f>IFERROR(__xludf.DUMMYFUNCTION("""COMPUTED_VALUE"""),1.005)</f>
        <v>1.005</v>
      </c>
      <c r="E4294" s="16">
        <f>IFERROR(__xludf.DUMMYFUNCTION("""COMPUTED_VALUE"""),70.0)</f>
        <v>70</v>
      </c>
      <c r="F4294" s="19" t="str">
        <f>IFERROR(__xludf.DUMMYFUNCTION("""COMPUTED_VALUE"""),"BLACK")</f>
        <v>BLACK</v>
      </c>
      <c r="G4294" s="20" t="str">
        <f>IFERROR(__xludf.DUMMYFUNCTION("""COMPUTED_VALUE"""),"Uncle Sams Cider (04/04/2023)")</f>
        <v>Uncle Sams Cider (04/04/2023)</v>
      </c>
      <c r="H4294" s="19"/>
    </row>
    <row r="4295">
      <c r="A4295" s="9"/>
      <c r="B4295" s="15"/>
      <c r="C4295" s="9">
        <f>IFERROR(__xludf.DUMMYFUNCTION("""COMPUTED_VALUE"""),45099.7115630902)</f>
        <v>45099.71156</v>
      </c>
      <c r="D4295" s="15">
        <f>IFERROR(__xludf.DUMMYFUNCTION("""COMPUTED_VALUE"""),1.005)</f>
        <v>1.005</v>
      </c>
      <c r="E4295" s="16">
        <f>IFERROR(__xludf.DUMMYFUNCTION("""COMPUTED_VALUE"""),70.0)</f>
        <v>70</v>
      </c>
      <c r="F4295" s="19" t="str">
        <f>IFERROR(__xludf.DUMMYFUNCTION("""COMPUTED_VALUE"""),"BLACK")</f>
        <v>BLACK</v>
      </c>
      <c r="G4295" s="20" t="str">
        <f>IFERROR(__xludf.DUMMYFUNCTION("""COMPUTED_VALUE"""),"Uncle Sams Cider (04/04/2023)")</f>
        <v>Uncle Sams Cider (04/04/2023)</v>
      </c>
      <c r="H4295" s="19"/>
    </row>
    <row r="4296">
      <c r="A4296" s="9"/>
      <c r="B4296" s="15"/>
      <c r="C4296" s="9">
        <f>IFERROR(__xludf.DUMMYFUNCTION("""COMPUTED_VALUE"""),45099.7011403588)</f>
        <v>45099.70114</v>
      </c>
      <c r="D4296" s="15">
        <f>IFERROR(__xludf.DUMMYFUNCTION("""COMPUTED_VALUE"""),1.005)</f>
        <v>1.005</v>
      </c>
      <c r="E4296" s="16">
        <f>IFERROR(__xludf.DUMMYFUNCTION("""COMPUTED_VALUE"""),70.0)</f>
        <v>70</v>
      </c>
      <c r="F4296" s="19" t="str">
        <f>IFERROR(__xludf.DUMMYFUNCTION("""COMPUTED_VALUE"""),"BLACK")</f>
        <v>BLACK</v>
      </c>
      <c r="G4296" s="20" t="str">
        <f>IFERROR(__xludf.DUMMYFUNCTION("""COMPUTED_VALUE"""),"Uncle Sams Cider (04/04/2023)")</f>
        <v>Uncle Sams Cider (04/04/2023)</v>
      </c>
      <c r="H4296" s="19"/>
    </row>
    <row r="4297">
      <c r="A4297" s="9"/>
      <c r="B4297" s="15"/>
      <c r="C4297" s="9">
        <f>IFERROR(__xludf.DUMMYFUNCTION("""COMPUTED_VALUE"""),45099.6907189583)</f>
        <v>45099.69072</v>
      </c>
      <c r="D4297" s="15">
        <f>IFERROR(__xludf.DUMMYFUNCTION("""COMPUTED_VALUE"""),1.005)</f>
        <v>1.005</v>
      </c>
      <c r="E4297" s="16">
        <f>IFERROR(__xludf.DUMMYFUNCTION("""COMPUTED_VALUE"""),70.0)</f>
        <v>70</v>
      </c>
      <c r="F4297" s="19" t="str">
        <f>IFERROR(__xludf.DUMMYFUNCTION("""COMPUTED_VALUE"""),"BLACK")</f>
        <v>BLACK</v>
      </c>
      <c r="G4297" s="20" t="str">
        <f>IFERROR(__xludf.DUMMYFUNCTION("""COMPUTED_VALUE"""),"Uncle Sams Cider (04/04/2023)")</f>
        <v>Uncle Sams Cider (04/04/2023)</v>
      </c>
      <c r="H4297" s="19"/>
    </row>
    <row r="4298">
      <c r="A4298" s="9"/>
      <c r="B4298" s="15"/>
      <c r="C4298" s="9">
        <f>IFERROR(__xludf.DUMMYFUNCTION("""COMPUTED_VALUE"""),45099.6802970254)</f>
        <v>45099.6803</v>
      </c>
      <c r="D4298" s="15">
        <f>IFERROR(__xludf.DUMMYFUNCTION("""COMPUTED_VALUE"""),1.005)</f>
        <v>1.005</v>
      </c>
      <c r="E4298" s="16">
        <f>IFERROR(__xludf.DUMMYFUNCTION("""COMPUTED_VALUE"""),70.0)</f>
        <v>70</v>
      </c>
      <c r="F4298" s="19" t="str">
        <f>IFERROR(__xludf.DUMMYFUNCTION("""COMPUTED_VALUE"""),"BLACK")</f>
        <v>BLACK</v>
      </c>
      <c r="G4298" s="20" t="str">
        <f>IFERROR(__xludf.DUMMYFUNCTION("""COMPUTED_VALUE"""),"Uncle Sams Cider (04/04/2023)")</f>
        <v>Uncle Sams Cider (04/04/2023)</v>
      </c>
      <c r="H4298" s="19"/>
    </row>
    <row r="4299">
      <c r="A4299" s="9"/>
      <c r="B4299" s="15"/>
      <c r="C4299" s="9">
        <f>IFERROR(__xludf.DUMMYFUNCTION("""COMPUTED_VALUE"""),45099.6698631944)</f>
        <v>45099.66986</v>
      </c>
      <c r="D4299" s="15">
        <f>IFERROR(__xludf.DUMMYFUNCTION("""COMPUTED_VALUE"""),1.005)</f>
        <v>1.005</v>
      </c>
      <c r="E4299" s="16">
        <f>IFERROR(__xludf.DUMMYFUNCTION("""COMPUTED_VALUE"""),70.0)</f>
        <v>70</v>
      </c>
      <c r="F4299" s="19" t="str">
        <f>IFERROR(__xludf.DUMMYFUNCTION("""COMPUTED_VALUE"""),"BLACK")</f>
        <v>BLACK</v>
      </c>
      <c r="G4299" s="20" t="str">
        <f>IFERROR(__xludf.DUMMYFUNCTION("""COMPUTED_VALUE"""),"Uncle Sams Cider (04/04/2023)")</f>
        <v>Uncle Sams Cider (04/04/2023)</v>
      </c>
      <c r="H4299" s="19"/>
    </row>
    <row r="4300">
      <c r="A4300" s="9"/>
      <c r="B4300" s="15"/>
      <c r="C4300" s="9">
        <f>IFERROR(__xludf.DUMMYFUNCTION("""COMPUTED_VALUE"""),45099.6594408796)</f>
        <v>45099.65944</v>
      </c>
      <c r="D4300" s="15">
        <f>IFERROR(__xludf.DUMMYFUNCTION("""COMPUTED_VALUE"""),1.005)</f>
        <v>1.005</v>
      </c>
      <c r="E4300" s="16">
        <f>IFERROR(__xludf.DUMMYFUNCTION("""COMPUTED_VALUE"""),70.0)</f>
        <v>70</v>
      </c>
      <c r="F4300" s="19" t="str">
        <f>IFERROR(__xludf.DUMMYFUNCTION("""COMPUTED_VALUE"""),"BLACK")</f>
        <v>BLACK</v>
      </c>
      <c r="G4300" s="20" t="str">
        <f>IFERROR(__xludf.DUMMYFUNCTION("""COMPUTED_VALUE"""),"Uncle Sams Cider (04/04/2023)")</f>
        <v>Uncle Sams Cider (04/04/2023)</v>
      </c>
      <c r="H4300" s="19"/>
    </row>
    <row r="4301">
      <c r="A4301" s="9"/>
      <c r="B4301" s="15"/>
      <c r="C4301" s="9">
        <f>IFERROR(__xludf.DUMMYFUNCTION("""COMPUTED_VALUE"""),45099.6490198958)</f>
        <v>45099.64902</v>
      </c>
      <c r="D4301" s="15">
        <f>IFERROR(__xludf.DUMMYFUNCTION("""COMPUTED_VALUE"""),1.005)</f>
        <v>1.005</v>
      </c>
      <c r="E4301" s="16">
        <f>IFERROR(__xludf.DUMMYFUNCTION("""COMPUTED_VALUE"""),70.0)</f>
        <v>70</v>
      </c>
      <c r="F4301" s="19" t="str">
        <f>IFERROR(__xludf.DUMMYFUNCTION("""COMPUTED_VALUE"""),"BLACK")</f>
        <v>BLACK</v>
      </c>
      <c r="G4301" s="20" t="str">
        <f>IFERROR(__xludf.DUMMYFUNCTION("""COMPUTED_VALUE"""),"Uncle Sams Cider (04/04/2023)")</f>
        <v>Uncle Sams Cider (04/04/2023)</v>
      </c>
      <c r="H4301" s="19"/>
    </row>
    <row r="4302">
      <c r="A4302" s="9"/>
      <c r="B4302" s="15"/>
      <c r="C4302" s="9">
        <f>IFERROR(__xludf.DUMMYFUNCTION("""COMPUTED_VALUE"""),45099.6385979282)</f>
        <v>45099.6386</v>
      </c>
      <c r="D4302" s="15">
        <f>IFERROR(__xludf.DUMMYFUNCTION("""COMPUTED_VALUE"""),1.005)</f>
        <v>1.005</v>
      </c>
      <c r="E4302" s="16">
        <f>IFERROR(__xludf.DUMMYFUNCTION("""COMPUTED_VALUE"""),70.0)</f>
        <v>70</v>
      </c>
      <c r="F4302" s="19" t="str">
        <f>IFERROR(__xludf.DUMMYFUNCTION("""COMPUTED_VALUE"""),"BLACK")</f>
        <v>BLACK</v>
      </c>
      <c r="G4302" s="20" t="str">
        <f>IFERROR(__xludf.DUMMYFUNCTION("""COMPUTED_VALUE"""),"Uncle Sams Cider (04/04/2023)")</f>
        <v>Uncle Sams Cider (04/04/2023)</v>
      </c>
      <c r="H4302" s="19"/>
    </row>
    <row r="4303">
      <c r="A4303" s="9"/>
      <c r="B4303" s="15"/>
      <c r="C4303" s="9">
        <f>IFERROR(__xludf.DUMMYFUNCTION("""COMPUTED_VALUE"""),45099.6281780092)</f>
        <v>45099.62818</v>
      </c>
      <c r="D4303" s="15">
        <f>IFERROR(__xludf.DUMMYFUNCTION("""COMPUTED_VALUE"""),1.005)</f>
        <v>1.005</v>
      </c>
      <c r="E4303" s="16">
        <f>IFERROR(__xludf.DUMMYFUNCTION("""COMPUTED_VALUE"""),70.0)</f>
        <v>70</v>
      </c>
      <c r="F4303" s="19" t="str">
        <f>IFERROR(__xludf.DUMMYFUNCTION("""COMPUTED_VALUE"""),"BLACK")</f>
        <v>BLACK</v>
      </c>
      <c r="G4303" s="20" t="str">
        <f>IFERROR(__xludf.DUMMYFUNCTION("""COMPUTED_VALUE"""),"Uncle Sams Cider (04/04/2023)")</f>
        <v>Uncle Sams Cider (04/04/2023)</v>
      </c>
      <c r="H4303" s="19"/>
    </row>
    <row r="4304">
      <c r="A4304" s="9"/>
      <c r="B4304" s="15"/>
      <c r="C4304" s="9">
        <f>IFERROR(__xludf.DUMMYFUNCTION("""COMPUTED_VALUE"""),45099.6177571296)</f>
        <v>45099.61776</v>
      </c>
      <c r="D4304" s="15">
        <f>IFERROR(__xludf.DUMMYFUNCTION("""COMPUTED_VALUE"""),1.005)</f>
        <v>1.005</v>
      </c>
      <c r="E4304" s="16">
        <f>IFERROR(__xludf.DUMMYFUNCTION("""COMPUTED_VALUE"""),70.0)</f>
        <v>70</v>
      </c>
      <c r="F4304" s="19" t="str">
        <f>IFERROR(__xludf.DUMMYFUNCTION("""COMPUTED_VALUE"""),"BLACK")</f>
        <v>BLACK</v>
      </c>
      <c r="G4304" s="20" t="str">
        <f>IFERROR(__xludf.DUMMYFUNCTION("""COMPUTED_VALUE"""),"Uncle Sams Cider (04/04/2023)")</f>
        <v>Uncle Sams Cider (04/04/2023)</v>
      </c>
      <c r="H4304" s="19"/>
    </row>
    <row r="4305">
      <c r="A4305" s="9"/>
      <c r="B4305" s="15"/>
      <c r="C4305" s="9">
        <f>IFERROR(__xludf.DUMMYFUNCTION("""COMPUTED_VALUE"""),45099.6073258333)</f>
        <v>45099.60733</v>
      </c>
      <c r="D4305" s="15">
        <f>IFERROR(__xludf.DUMMYFUNCTION("""COMPUTED_VALUE"""),1.005)</f>
        <v>1.005</v>
      </c>
      <c r="E4305" s="16">
        <f>IFERROR(__xludf.DUMMYFUNCTION("""COMPUTED_VALUE"""),70.0)</f>
        <v>70</v>
      </c>
      <c r="F4305" s="19" t="str">
        <f>IFERROR(__xludf.DUMMYFUNCTION("""COMPUTED_VALUE"""),"BLACK")</f>
        <v>BLACK</v>
      </c>
      <c r="G4305" s="20" t="str">
        <f>IFERROR(__xludf.DUMMYFUNCTION("""COMPUTED_VALUE"""),"Uncle Sams Cider (04/04/2023)")</f>
        <v>Uncle Sams Cider (04/04/2023)</v>
      </c>
      <c r="H4305" s="19"/>
    </row>
    <row r="4306">
      <c r="A4306" s="9"/>
      <c r="B4306" s="15"/>
      <c r="C4306" s="9">
        <f>IFERROR(__xludf.DUMMYFUNCTION("""COMPUTED_VALUE"""),45099.5969044328)</f>
        <v>45099.5969</v>
      </c>
      <c r="D4306" s="15">
        <f>IFERROR(__xludf.DUMMYFUNCTION("""COMPUTED_VALUE"""),1.005)</f>
        <v>1.005</v>
      </c>
      <c r="E4306" s="16">
        <f>IFERROR(__xludf.DUMMYFUNCTION("""COMPUTED_VALUE"""),70.0)</f>
        <v>70</v>
      </c>
      <c r="F4306" s="19" t="str">
        <f>IFERROR(__xludf.DUMMYFUNCTION("""COMPUTED_VALUE"""),"BLACK")</f>
        <v>BLACK</v>
      </c>
      <c r="G4306" s="20" t="str">
        <f>IFERROR(__xludf.DUMMYFUNCTION("""COMPUTED_VALUE"""),"Uncle Sams Cider (04/04/2023)")</f>
        <v>Uncle Sams Cider (04/04/2023)</v>
      </c>
      <c r="H4306" s="19"/>
    </row>
    <row r="4307">
      <c r="A4307" s="9"/>
      <c r="B4307" s="15"/>
      <c r="C4307" s="9">
        <f>IFERROR(__xludf.DUMMYFUNCTION("""COMPUTED_VALUE"""),45099.5864839814)</f>
        <v>45099.58648</v>
      </c>
      <c r="D4307" s="15">
        <f>IFERROR(__xludf.DUMMYFUNCTION("""COMPUTED_VALUE"""),1.005)</f>
        <v>1.005</v>
      </c>
      <c r="E4307" s="16">
        <f>IFERROR(__xludf.DUMMYFUNCTION("""COMPUTED_VALUE"""),70.0)</f>
        <v>70</v>
      </c>
      <c r="F4307" s="19" t="str">
        <f>IFERROR(__xludf.DUMMYFUNCTION("""COMPUTED_VALUE"""),"BLACK")</f>
        <v>BLACK</v>
      </c>
      <c r="G4307" s="20" t="str">
        <f>IFERROR(__xludf.DUMMYFUNCTION("""COMPUTED_VALUE"""),"Uncle Sams Cider (04/04/2023)")</f>
        <v>Uncle Sams Cider (04/04/2023)</v>
      </c>
      <c r="H4307" s="19"/>
    </row>
    <row r="4308">
      <c r="A4308" s="9"/>
      <c r="B4308" s="15"/>
      <c r="C4308" s="9">
        <f>IFERROR(__xludf.DUMMYFUNCTION("""COMPUTED_VALUE"""),45099.5760623495)</f>
        <v>45099.57606</v>
      </c>
      <c r="D4308" s="15">
        <f>IFERROR(__xludf.DUMMYFUNCTION("""COMPUTED_VALUE"""),1.005)</f>
        <v>1.005</v>
      </c>
      <c r="E4308" s="16">
        <f>IFERROR(__xludf.DUMMYFUNCTION("""COMPUTED_VALUE"""),70.0)</f>
        <v>70</v>
      </c>
      <c r="F4308" s="19" t="str">
        <f>IFERROR(__xludf.DUMMYFUNCTION("""COMPUTED_VALUE"""),"BLACK")</f>
        <v>BLACK</v>
      </c>
      <c r="G4308" s="20" t="str">
        <f>IFERROR(__xludf.DUMMYFUNCTION("""COMPUTED_VALUE"""),"Uncle Sams Cider (04/04/2023)")</f>
        <v>Uncle Sams Cider (04/04/2023)</v>
      </c>
      <c r="H4308" s="19"/>
    </row>
    <row r="4309">
      <c r="A4309" s="9"/>
      <c r="B4309" s="15"/>
      <c r="C4309" s="9">
        <f>IFERROR(__xludf.DUMMYFUNCTION("""COMPUTED_VALUE"""),45099.5656418865)</f>
        <v>45099.56564</v>
      </c>
      <c r="D4309" s="15">
        <f>IFERROR(__xludf.DUMMYFUNCTION("""COMPUTED_VALUE"""),1.005)</f>
        <v>1.005</v>
      </c>
      <c r="E4309" s="16">
        <f>IFERROR(__xludf.DUMMYFUNCTION("""COMPUTED_VALUE"""),70.0)</f>
        <v>70</v>
      </c>
      <c r="F4309" s="19" t="str">
        <f>IFERROR(__xludf.DUMMYFUNCTION("""COMPUTED_VALUE"""),"BLACK")</f>
        <v>BLACK</v>
      </c>
      <c r="G4309" s="20" t="str">
        <f>IFERROR(__xludf.DUMMYFUNCTION("""COMPUTED_VALUE"""),"Uncle Sams Cider (04/04/2023)")</f>
        <v>Uncle Sams Cider (04/04/2023)</v>
      </c>
      <c r="H4309" s="19"/>
    </row>
    <row r="4310">
      <c r="A4310" s="9"/>
      <c r="B4310" s="15"/>
      <c r="C4310" s="9">
        <f>IFERROR(__xludf.DUMMYFUNCTION("""COMPUTED_VALUE"""),45099.5552077314)</f>
        <v>45099.55521</v>
      </c>
      <c r="D4310" s="15">
        <f>IFERROR(__xludf.DUMMYFUNCTION("""COMPUTED_VALUE"""),1.005)</f>
        <v>1.005</v>
      </c>
      <c r="E4310" s="16">
        <f>IFERROR(__xludf.DUMMYFUNCTION("""COMPUTED_VALUE"""),70.0)</f>
        <v>70</v>
      </c>
      <c r="F4310" s="19" t="str">
        <f>IFERROR(__xludf.DUMMYFUNCTION("""COMPUTED_VALUE"""),"BLACK")</f>
        <v>BLACK</v>
      </c>
      <c r="G4310" s="20" t="str">
        <f>IFERROR(__xludf.DUMMYFUNCTION("""COMPUTED_VALUE"""),"Uncle Sams Cider (04/04/2023)")</f>
        <v>Uncle Sams Cider (04/04/2023)</v>
      </c>
      <c r="H4310" s="19"/>
    </row>
    <row r="4311">
      <c r="A4311" s="9"/>
      <c r="B4311" s="15"/>
      <c r="C4311" s="9">
        <f>IFERROR(__xludf.DUMMYFUNCTION("""COMPUTED_VALUE"""),45099.5447862731)</f>
        <v>45099.54479</v>
      </c>
      <c r="D4311" s="15">
        <f>IFERROR(__xludf.DUMMYFUNCTION("""COMPUTED_VALUE"""),1.005)</f>
        <v>1.005</v>
      </c>
      <c r="E4311" s="16">
        <f>IFERROR(__xludf.DUMMYFUNCTION("""COMPUTED_VALUE"""),70.0)</f>
        <v>70</v>
      </c>
      <c r="F4311" s="19" t="str">
        <f>IFERROR(__xludf.DUMMYFUNCTION("""COMPUTED_VALUE"""),"BLACK")</f>
        <v>BLACK</v>
      </c>
      <c r="G4311" s="20" t="str">
        <f>IFERROR(__xludf.DUMMYFUNCTION("""COMPUTED_VALUE"""),"Uncle Sams Cider (04/04/2023)")</f>
        <v>Uncle Sams Cider (04/04/2023)</v>
      </c>
      <c r="H4311" s="19"/>
    </row>
    <row r="4312">
      <c r="A4312" s="9"/>
      <c r="B4312" s="15"/>
      <c r="C4312" s="9">
        <f>IFERROR(__xludf.DUMMYFUNCTION("""COMPUTED_VALUE"""),45099.5343499421)</f>
        <v>45099.53435</v>
      </c>
      <c r="D4312" s="15">
        <f>IFERROR(__xludf.DUMMYFUNCTION("""COMPUTED_VALUE"""),1.005)</f>
        <v>1.005</v>
      </c>
      <c r="E4312" s="16">
        <f>IFERROR(__xludf.DUMMYFUNCTION("""COMPUTED_VALUE"""),70.0)</f>
        <v>70</v>
      </c>
      <c r="F4312" s="19" t="str">
        <f>IFERROR(__xludf.DUMMYFUNCTION("""COMPUTED_VALUE"""),"BLACK")</f>
        <v>BLACK</v>
      </c>
      <c r="G4312" s="20" t="str">
        <f>IFERROR(__xludf.DUMMYFUNCTION("""COMPUTED_VALUE"""),"Uncle Sams Cider (04/04/2023)")</f>
        <v>Uncle Sams Cider (04/04/2023)</v>
      </c>
      <c r="H4312" s="19"/>
    </row>
    <row r="4313">
      <c r="A4313" s="9"/>
      <c r="B4313" s="15"/>
      <c r="C4313" s="9">
        <f>IFERROR(__xludf.DUMMYFUNCTION("""COMPUTED_VALUE"""),45099.5239275463)</f>
        <v>45099.52393</v>
      </c>
      <c r="D4313" s="15">
        <f>IFERROR(__xludf.DUMMYFUNCTION("""COMPUTED_VALUE"""),1.005)</f>
        <v>1.005</v>
      </c>
      <c r="E4313" s="16">
        <f>IFERROR(__xludf.DUMMYFUNCTION("""COMPUTED_VALUE"""),70.0)</f>
        <v>70</v>
      </c>
      <c r="F4313" s="19" t="str">
        <f>IFERROR(__xludf.DUMMYFUNCTION("""COMPUTED_VALUE"""),"BLACK")</f>
        <v>BLACK</v>
      </c>
      <c r="G4313" s="20" t="str">
        <f>IFERROR(__xludf.DUMMYFUNCTION("""COMPUTED_VALUE"""),"Uncle Sams Cider (04/04/2023)")</f>
        <v>Uncle Sams Cider (04/04/2023)</v>
      </c>
      <c r="H4313" s="19"/>
    </row>
    <row r="4314">
      <c r="A4314" s="9"/>
      <c r="B4314" s="15"/>
      <c r="C4314" s="9">
        <f>IFERROR(__xludf.DUMMYFUNCTION("""COMPUTED_VALUE"""),45099.5134962847)</f>
        <v>45099.5135</v>
      </c>
      <c r="D4314" s="15">
        <f>IFERROR(__xludf.DUMMYFUNCTION("""COMPUTED_VALUE"""),1.005)</f>
        <v>1.005</v>
      </c>
      <c r="E4314" s="16">
        <f>IFERROR(__xludf.DUMMYFUNCTION("""COMPUTED_VALUE"""),70.0)</f>
        <v>70</v>
      </c>
      <c r="F4314" s="19" t="str">
        <f>IFERROR(__xludf.DUMMYFUNCTION("""COMPUTED_VALUE"""),"BLACK")</f>
        <v>BLACK</v>
      </c>
      <c r="G4314" s="20" t="str">
        <f>IFERROR(__xludf.DUMMYFUNCTION("""COMPUTED_VALUE"""),"Uncle Sams Cider (04/04/2023)")</f>
        <v>Uncle Sams Cider (04/04/2023)</v>
      </c>
      <c r="H4314" s="19"/>
    </row>
    <row r="4315">
      <c r="A4315" s="9"/>
      <c r="B4315" s="15"/>
      <c r="C4315" s="9">
        <f>IFERROR(__xludf.DUMMYFUNCTION("""COMPUTED_VALUE"""),45099.503051412)</f>
        <v>45099.50305</v>
      </c>
      <c r="D4315" s="15">
        <f>IFERROR(__xludf.DUMMYFUNCTION("""COMPUTED_VALUE"""),1.005)</f>
        <v>1.005</v>
      </c>
      <c r="E4315" s="16">
        <f>IFERROR(__xludf.DUMMYFUNCTION("""COMPUTED_VALUE"""),70.0)</f>
        <v>70</v>
      </c>
      <c r="F4315" s="19" t="str">
        <f>IFERROR(__xludf.DUMMYFUNCTION("""COMPUTED_VALUE"""),"BLACK")</f>
        <v>BLACK</v>
      </c>
      <c r="G4315" s="20" t="str">
        <f>IFERROR(__xludf.DUMMYFUNCTION("""COMPUTED_VALUE"""),"Uncle Sams Cider (04/04/2023)")</f>
        <v>Uncle Sams Cider (04/04/2023)</v>
      </c>
      <c r="H4315" s="19"/>
    </row>
    <row r="4316">
      <c r="A4316" s="9"/>
      <c r="B4316" s="15"/>
      <c r="C4316" s="9">
        <f>IFERROR(__xludf.DUMMYFUNCTION("""COMPUTED_VALUE"""),45099.4926319791)</f>
        <v>45099.49263</v>
      </c>
      <c r="D4316" s="15">
        <f>IFERROR(__xludf.DUMMYFUNCTION("""COMPUTED_VALUE"""),1.005)</f>
        <v>1.005</v>
      </c>
      <c r="E4316" s="16">
        <f>IFERROR(__xludf.DUMMYFUNCTION("""COMPUTED_VALUE"""),70.0)</f>
        <v>70</v>
      </c>
      <c r="F4316" s="19" t="str">
        <f>IFERROR(__xludf.DUMMYFUNCTION("""COMPUTED_VALUE"""),"BLACK")</f>
        <v>BLACK</v>
      </c>
      <c r="G4316" s="20" t="str">
        <f>IFERROR(__xludf.DUMMYFUNCTION("""COMPUTED_VALUE"""),"Uncle Sams Cider (04/04/2023)")</f>
        <v>Uncle Sams Cider (04/04/2023)</v>
      </c>
      <c r="H4316" s="19"/>
    </row>
    <row r="4317">
      <c r="A4317" s="9"/>
      <c r="B4317" s="15"/>
      <c r="C4317" s="9">
        <f>IFERROR(__xludf.DUMMYFUNCTION("""COMPUTED_VALUE"""),45099.4822105902)</f>
        <v>45099.48221</v>
      </c>
      <c r="D4317" s="15">
        <f>IFERROR(__xludf.DUMMYFUNCTION("""COMPUTED_VALUE"""),1.005)</f>
        <v>1.005</v>
      </c>
      <c r="E4317" s="16">
        <f>IFERROR(__xludf.DUMMYFUNCTION("""COMPUTED_VALUE"""),70.0)</f>
        <v>70</v>
      </c>
      <c r="F4317" s="19" t="str">
        <f>IFERROR(__xludf.DUMMYFUNCTION("""COMPUTED_VALUE"""),"BLACK")</f>
        <v>BLACK</v>
      </c>
      <c r="G4317" s="20" t="str">
        <f>IFERROR(__xludf.DUMMYFUNCTION("""COMPUTED_VALUE"""),"Uncle Sams Cider (04/04/2023)")</f>
        <v>Uncle Sams Cider (04/04/2023)</v>
      </c>
      <c r="H4317" s="19"/>
    </row>
    <row r="4318">
      <c r="A4318" s="9"/>
      <c r="B4318" s="15"/>
      <c r="C4318" s="9">
        <f>IFERROR(__xludf.DUMMYFUNCTION("""COMPUTED_VALUE"""),45099.4717882291)</f>
        <v>45099.47179</v>
      </c>
      <c r="D4318" s="15">
        <f>IFERROR(__xludf.DUMMYFUNCTION("""COMPUTED_VALUE"""),1.005)</f>
        <v>1.005</v>
      </c>
      <c r="E4318" s="16">
        <f>IFERROR(__xludf.DUMMYFUNCTION("""COMPUTED_VALUE"""),70.0)</f>
        <v>70</v>
      </c>
      <c r="F4318" s="19" t="str">
        <f>IFERROR(__xludf.DUMMYFUNCTION("""COMPUTED_VALUE"""),"BLACK")</f>
        <v>BLACK</v>
      </c>
      <c r="G4318" s="20" t="str">
        <f>IFERROR(__xludf.DUMMYFUNCTION("""COMPUTED_VALUE"""),"Uncle Sams Cider (04/04/2023)")</f>
        <v>Uncle Sams Cider (04/04/2023)</v>
      </c>
      <c r="H4318" s="19"/>
    </row>
    <row r="4319">
      <c r="A4319" s="9"/>
      <c r="B4319" s="15"/>
      <c r="C4319" s="9">
        <f>IFERROR(__xludf.DUMMYFUNCTION("""COMPUTED_VALUE"""),45099.4613647106)</f>
        <v>45099.46136</v>
      </c>
      <c r="D4319" s="15">
        <f>IFERROR(__xludf.DUMMYFUNCTION("""COMPUTED_VALUE"""),1.005)</f>
        <v>1.005</v>
      </c>
      <c r="E4319" s="16">
        <f>IFERROR(__xludf.DUMMYFUNCTION("""COMPUTED_VALUE"""),70.0)</f>
        <v>70</v>
      </c>
      <c r="F4319" s="19" t="str">
        <f>IFERROR(__xludf.DUMMYFUNCTION("""COMPUTED_VALUE"""),"BLACK")</f>
        <v>BLACK</v>
      </c>
      <c r="G4319" s="20" t="str">
        <f>IFERROR(__xludf.DUMMYFUNCTION("""COMPUTED_VALUE"""),"Uncle Sams Cider (04/04/2023)")</f>
        <v>Uncle Sams Cider (04/04/2023)</v>
      </c>
      <c r="H4319" s="19"/>
    </row>
    <row r="4320">
      <c r="A4320" s="9"/>
      <c r="B4320" s="15"/>
      <c r="C4320" s="9">
        <f>IFERROR(__xludf.DUMMYFUNCTION("""COMPUTED_VALUE"""),45099.4509423842)</f>
        <v>45099.45094</v>
      </c>
      <c r="D4320" s="15">
        <f>IFERROR(__xludf.DUMMYFUNCTION("""COMPUTED_VALUE"""),1.005)</f>
        <v>1.005</v>
      </c>
      <c r="E4320" s="16">
        <f>IFERROR(__xludf.DUMMYFUNCTION("""COMPUTED_VALUE"""),70.0)</f>
        <v>70</v>
      </c>
      <c r="F4320" s="19" t="str">
        <f>IFERROR(__xludf.DUMMYFUNCTION("""COMPUTED_VALUE"""),"BLACK")</f>
        <v>BLACK</v>
      </c>
      <c r="G4320" s="20" t="str">
        <f>IFERROR(__xludf.DUMMYFUNCTION("""COMPUTED_VALUE"""),"Uncle Sams Cider (04/04/2023)")</f>
        <v>Uncle Sams Cider (04/04/2023)</v>
      </c>
      <c r="H4320" s="19"/>
    </row>
    <row r="4321">
      <c r="A4321" s="9"/>
      <c r="B4321" s="15"/>
      <c r="C4321" s="9">
        <f>IFERROR(__xludf.DUMMYFUNCTION("""COMPUTED_VALUE"""),45099.4405219791)</f>
        <v>45099.44052</v>
      </c>
      <c r="D4321" s="15">
        <f>IFERROR(__xludf.DUMMYFUNCTION("""COMPUTED_VALUE"""),1.005)</f>
        <v>1.005</v>
      </c>
      <c r="E4321" s="16">
        <f>IFERROR(__xludf.DUMMYFUNCTION("""COMPUTED_VALUE"""),70.0)</f>
        <v>70</v>
      </c>
      <c r="F4321" s="19" t="str">
        <f>IFERROR(__xludf.DUMMYFUNCTION("""COMPUTED_VALUE"""),"BLACK")</f>
        <v>BLACK</v>
      </c>
      <c r="G4321" s="20" t="str">
        <f>IFERROR(__xludf.DUMMYFUNCTION("""COMPUTED_VALUE"""),"Uncle Sams Cider (04/04/2023)")</f>
        <v>Uncle Sams Cider (04/04/2023)</v>
      </c>
      <c r="H4321" s="19"/>
    </row>
    <row r="4322">
      <c r="A4322" s="9"/>
      <c r="B4322" s="15"/>
      <c r="C4322" s="9">
        <f>IFERROR(__xludf.DUMMYFUNCTION("""COMPUTED_VALUE"""),45099.4301006828)</f>
        <v>45099.4301</v>
      </c>
      <c r="D4322" s="15">
        <f>IFERROR(__xludf.DUMMYFUNCTION("""COMPUTED_VALUE"""),1.005)</f>
        <v>1.005</v>
      </c>
      <c r="E4322" s="16">
        <f>IFERROR(__xludf.DUMMYFUNCTION("""COMPUTED_VALUE"""),70.0)</f>
        <v>70</v>
      </c>
      <c r="F4322" s="19" t="str">
        <f>IFERROR(__xludf.DUMMYFUNCTION("""COMPUTED_VALUE"""),"BLACK")</f>
        <v>BLACK</v>
      </c>
      <c r="G4322" s="20" t="str">
        <f>IFERROR(__xludf.DUMMYFUNCTION("""COMPUTED_VALUE"""),"Uncle Sams Cider (04/04/2023)")</f>
        <v>Uncle Sams Cider (04/04/2023)</v>
      </c>
      <c r="H4322" s="19"/>
    </row>
    <row r="4323">
      <c r="A4323" s="9"/>
      <c r="B4323" s="15"/>
      <c r="C4323" s="9">
        <f>IFERROR(__xludf.DUMMYFUNCTION("""COMPUTED_VALUE"""),45099.4196791782)</f>
        <v>45099.41968</v>
      </c>
      <c r="D4323" s="15">
        <f>IFERROR(__xludf.DUMMYFUNCTION("""COMPUTED_VALUE"""),1.005)</f>
        <v>1.005</v>
      </c>
      <c r="E4323" s="16">
        <f>IFERROR(__xludf.DUMMYFUNCTION("""COMPUTED_VALUE"""),70.0)</f>
        <v>70</v>
      </c>
      <c r="F4323" s="19" t="str">
        <f>IFERROR(__xludf.DUMMYFUNCTION("""COMPUTED_VALUE"""),"BLACK")</f>
        <v>BLACK</v>
      </c>
      <c r="G4323" s="20" t="str">
        <f>IFERROR(__xludf.DUMMYFUNCTION("""COMPUTED_VALUE"""),"Uncle Sams Cider (04/04/2023)")</f>
        <v>Uncle Sams Cider (04/04/2023)</v>
      </c>
      <c r="H4323" s="19"/>
    </row>
    <row r="4324">
      <c r="A4324" s="9"/>
      <c r="B4324" s="15"/>
      <c r="C4324" s="9">
        <f>IFERROR(__xludf.DUMMYFUNCTION("""COMPUTED_VALUE"""),45099.4092573611)</f>
        <v>45099.40926</v>
      </c>
      <c r="D4324" s="15">
        <f>IFERROR(__xludf.DUMMYFUNCTION("""COMPUTED_VALUE"""),1.005)</f>
        <v>1.005</v>
      </c>
      <c r="E4324" s="16">
        <f>IFERROR(__xludf.DUMMYFUNCTION("""COMPUTED_VALUE"""),70.0)</f>
        <v>70</v>
      </c>
      <c r="F4324" s="19" t="str">
        <f>IFERROR(__xludf.DUMMYFUNCTION("""COMPUTED_VALUE"""),"BLACK")</f>
        <v>BLACK</v>
      </c>
      <c r="G4324" s="20" t="str">
        <f>IFERROR(__xludf.DUMMYFUNCTION("""COMPUTED_VALUE"""),"Uncle Sams Cider (04/04/2023)")</f>
        <v>Uncle Sams Cider (04/04/2023)</v>
      </c>
      <c r="H4324" s="19"/>
    </row>
    <row r="4325">
      <c r="A4325" s="9"/>
      <c r="B4325" s="15"/>
      <c r="C4325" s="9">
        <f>IFERROR(__xludf.DUMMYFUNCTION("""COMPUTED_VALUE"""),45099.3988119791)</f>
        <v>45099.39881</v>
      </c>
      <c r="D4325" s="15">
        <f>IFERROR(__xludf.DUMMYFUNCTION("""COMPUTED_VALUE"""),1.005)</f>
        <v>1.005</v>
      </c>
      <c r="E4325" s="16">
        <f>IFERROR(__xludf.DUMMYFUNCTION("""COMPUTED_VALUE"""),70.0)</f>
        <v>70</v>
      </c>
      <c r="F4325" s="19" t="str">
        <f>IFERROR(__xludf.DUMMYFUNCTION("""COMPUTED_VALUE"""),"BLACK")</f>
        <v>BLACK</v>
      </c>
      <c r="G4325" s="20" t="str">
        <f>IFERROR(__xludf.DUMMYFUNCTION("""COMPUTED_VALUE"""),"Uncle Sams Cider (04/04/2023)")</f>
        <v>Uncle Sams Cider (04/04/2023)</v>
      </c>
      <c r="H4325" s="19"/>
    </row>
    <row r="4326">
      <c r="A4326" s="9"/>
      <c r="B4326" s="15"/>
      <c r="C4326" s="9">
        <f>IFERROR(__xludf.DUMMYFUNCTION("""COMPUTED_VALUE"""),45099.3883916319)</f>
        <v>45099.38839</v>
      </c>
      <c r="D4326" s="15">
        <f>IFERROR(__xludf.DUMMYFUNCTION("""COMPUTED_VALUE"""),1.005)</f>
        <v>1.005</v>
      </c>
      <c r="E4326" s="16">
        <f>IFERROR(__xludf.DUMMYFUNCTION("""COMPUTED_VALUE"""),70.0)</f>
        <v>70</v>
      </c>
      <c r="F4326" s="19" t="str">
        <f>IFERROR(__xludf.DUMMYFUNCTION("""COMPUTED_VALUE"""),"BLACK")</f>
        <v>BLACK</v>
      </c>
      <c r="G4326" s="20" t="str">
        <f>IFERROR(__xludf.DUMMYFUNCTION("""COMPUTED_VALUE"""),"Uncle Sams Cider (04/04/2023)")</f>
        <v>Uncle Sams Cider (04/04/2023)</v>
      </c>
      <c r="H4326" s="19"/>
    </row>
    <row r="4327">
      <c r="A4327" s="9"/>
      <c r="B4327" s="15"/>
      <c r="C4327" s="9">
        <f>IFERROR(__xludf.DUMMYFUNCTION("""COMPUTED_VALUE"""),45099.3779594444)</f>
        <v>45099.37796</v>
      </c>
      <c r="D4327" s="15">
        <f>IFERROR(__xludf.DUMMYFUNCTION("""COMPUTED_VALUE"""),1.005)</f>
        <v>1.005</v>
      </c>
      <c r="E4327" s="16">
        <f>IFERROR(__xludf.DUMMYFUNCTION("""COMPUTED_VALUE"""),70.0)</f>
        <v>70</v>
      </c>
      <c r="F4327" s="19" t="str">
        <f>IFERROR(__xludf.DUMMYFUNCTION("""COMPUTED_VALUE"""),"BLACK")</f>
        <v>BLACK</v>
      </c>
      <c r="G4327" s="20" t="str">
        <f>IFERROR(__xludf.DUMMYFUNCTION("""COMPUTED_VALUE"""),"Uncle Sams Cider (04/04/2023)")</f>
        <v>Uncle Sams Cider (04/04/2023)</v>
      </c>
      <c r="H4327" s="19"/>
    </row>
    <row r="4328">
      <c r="A4328" s="9"/>
      <c r="B4328" s="15"/>
      <c r="C4328" s="9">
        <f>IFERROR(__xludf.DUMMYFUNCTION("""COMPUTED_VALUE"""),45099.3675378819)</f>
        <v>45099.36754</v>
      </c>
      <c r="D4328" s="15">
        <f>IFERROR(__xludf.DUMMYFUNCTION("""COMPUTED_VALUE"""),1.005)</f>
        <v>1.005</v>
      </c>
      <c r="E4328" s="16">
        <f>IFERROR(__xludf.DUMMYFUNCTION("""COMPUTED_VALUE"""),70.0)</f>
        <v>70</v>
      </c>
      <c r="F4328" s="19" t="str">
        <f>IFERROR(__xludf.DUMMYFUNCTION("""COMPUTED_VALUE"""),"BLACK")</f>
        <v>BLACK</v>
      </c>
      <c r="G4328" s="20" t="str">
        <f>IFERROR(__xludf.DUMMYFUNCTION("""COMPUTED_VALUE"""),"Uncle Sams Cider (04/04/2023)")</f>
        <v>Uncle Sams Cider (04/04/2023)</v>
      </c>
      <c r="H4328" s="19"/>
    </row>
    <row r="4329">
      <c r="A4329" s="9"/>
      <c r="B4329" s="15"/>
      <c r="C4329" s="9">
        <f>IFERROR(__xludf.DUMMYFUNCTION("""COMPUTED_VALUE"""),45099.3571164699)</f>
        <v>45099.35712</v>
      </c>
      <c r="D4329" s="15">
        <f>IFERROR(__xludf.DUMMYFUNCTION("""COMPUTED_VALUE"""),1.005)</f>
        <v>1.005</v>
      </c>
      <c r="E4329" s="16">
        <f>IFERROR(__xludf.DUMMYFUNCTION("""COMPUTED_VALUE"""),70.0)</f>
        <v>70</v>
      </c>
      <c r="F4329" s="19" t="str">
        <f>IFERROR(__xludf.DUMMYFUNCTION("""COMPUTED_VALUE"""),"BLACK")</f>
        <v>BLACK</v>
      </c>
      <c r="G4329" s="20" t="str">
        <f>IFERROR(__xludf.DUMMYFUNCTION("""COMPUTED_VALUE"""),"Uncle Sams Cider (04/04/2023)")</f>
        <v>Uncle Sams Cider (04/04/2023)</v>
      </c>
      <c r="H4329" s="19"/>
    </row>
    <row r="4330">
      <c r="A4330" s="9"/>
      <c r="B4330" s="15"/>
      <c r="C4330" s="9">
        <f>IFERROR(__xludf.DUMMYFUNCTION("""COMPUTED_VALUE"""),45099.3466949884)</f>
        <v>45099.34669</v>
      </c>
      <c r="D4330" s="15">
        <f>IFERROR(__xludf.DUMMYFUNCTION("""COMPUTED_VALUE"""),1.005)</f>
        <v>1.005</v>
      </c>
      <c r="E4330" s="16">
        <f>IFERROR(__xludf.DUMMYFUNCTION("""COMPUTED_VALUE"""),70.0)</f>
        <v>70</v>
      </c>
      <c r="F4330" s="19" t="str">
        <f>IFERROR(__xludf.DUMMYFUNCTION("""COMPUTED_VALUE"""),"BLACK")</f>
        <v>BLACK</v>
      </c>
      <c r="G4330" s="20" t="str">
        <f>IFERROR(__xludf.DUMMYFUNCTION("""COMPUTED_VALUE"""),"Uncle Sams Cider (04/04/2023)")</f>
        <v>Uncle Sams Cider (04/04/2023)</v>
      </c>
      <c r="H4330" s="19"/>
    </row>
    <row r="4331">
      <c r="A4331" s="9"/>
      <c r="B4331" s="15"/>
      <c r="C4331" s="9">
        <f>IFERROR(__xludf.DUMMYFUNCTION("""COMPUTED_VALUE"""),45099.3362749768)</f>
        <v>45099.33627</v>
      </c>
      <c r="D4331" s="15">
        <f>IFERROR(__xludf.DUMMYFUNCTION("""COMPUTED_VALUE"""),1.005)</f>
        <v>1.005</v>
      </c>
      <c r="E4331" s="16">
        <f>IFERROR(__xludf.DUMMYFUNCTION("""COMPUTED_VALUE"""),70.0)</f>
        <v>70</v>
      </c>
      <c r="F4331" s="19" t="str">
        <f>IFERROR(__xludf.DUMMYFUNCTION("""COMPUTED_VALUE"""),"BLACK")</f>
        <v>BLACK</v>
      </c>
      <c r="G4331" s="20" t="str">
        <f>IFERROR(__xludf.DUMMYFUNCTION("""COMPUTED_VALUE"""),"Uncle Sams Cider (04/04/2023)")</f>
        <v>Uncle Sams Cider (04/04/2023)</v>
      </c>
      <c r="H4331" s="19"/>
    </row>
    <row r="4332">
      <c r="A4332" s="9"/>
      <c r="B4332" s="15"/>
      <c r="C4332" s="9">
        <f>IFERROR(__xludf.DUMMYFUNCTION("""COMPUTED_VALUE"""),45099.3258540046)</f>
        <v>45099.32585</v>
      </c>
      <c r="D4332" s="15">
        <f>IFERROR(__xludf.DUMMYFUNCTION("""COMPUTED_VALUE"""),1.005)</f>
        <v>1.005</v>
      </c>
      <c r="E4332" s="16">
        <f>IFERROR(__xludf.DUMMYFUNCTION("""COMPUTED_VALUE"""),70.0)</f>
        <v>70</v>
      </c>
      <c r="F4332" s="19" t="str">
        <f>IFERROR(__xludf.DUMMYFUNCTION("""COMPUTED_VALUE"""),"BLACK")</f>
        <v>BLACK</v>
      </c>
      <c r="G4332" s="20" t="str">
        <f>IFERROR(__xludf.DUMMYFUNCTION("""COMPUTED_VALUE"""),"Uncle Sams Cider (04/04/2023)")</f>
        <v>Uncle Sams Cider (04/04/2023)</v>
      </c>
      <c r="H4332" s="19"/>
    </row>
    <row r="4333">
      <c r="A4333" s="9"/>
      <c r="B4333" s="15"/>
      <c r="C4333" s="9">
        <f>IFERROR(__xludf.DUMMYFUNCTION("""COMPUTED_VALUE"""),45099.3154342939)</f>
        <v>45099.31543</v>
      </c>
      <c r="D4333" s="15">
        <f>IFERROR(__xludf.DUMMYFUNCTION("""COMPUTED_VALUE"""),1.005)</f>
        <v>1.005</v>
      </c>
      <c r="E4333" s="16">
        <f>IFERROR(__xludf.DUMMYFUNCTION("""COMPUTED_VALUE"""),70.0)</f>
        <v>70</v>
      </c>
      <c r="F4333" s="19" t="str">
        <f>IFERROR(__xludf.DUMMYFUNCTION("""COMPUTED_VALUE"""),"BLACK")</f>
        <v>BLACK</v>
      </c>
      <c r="G4333" s="20" t="str">
        <f>IFERROR(__xludf.DUMMYFUNCTION("""COMPUTED_VALUE"""),"Uncle Sams Cider (04/04/2023)")</f>
        <v>Uncle Sams Cider (04/04/2023)</v>
      </c>
      <c r="H4333" s="19"/>
    </row>
    <row r="4334">
      <c r="A4334" s="9"/>
      <c r="B4334" s="15"/>
      <c r="C4334" s="9">
        <f>IFERROR(__xludf.DUMMYFUNCTION("""COMPUTED_VALUE"""),45099.3050112152)</f>
        <v>45099.30501</v>
      </c>
      <c r="D4334" s="15">
        <f>IFERROR(__xludf.DUMMYFUNCTION("""COMPUTED_VALUE"""),1.005)</f>
        <v>1.005</v>
      </c>
      <c r="E4334" s="16">
        <f>IFERROR(__xludf.DUMMYFUNCTION("""COMPUTED_VALUE"""),70.0)</f>
        <v>70</v>
      </c>
      <c r="F4334" s="19" t="str">
        <f>IFERROR(__xludf.DUMMYFUNCTION("""COMPUTED_VALUE"""),"BLACK")</f>
        <v>BLACK</v>
      </c>
      <c r="G4334" s="20" t="str">
        <f>IFERROR(__xludf.DUMMYFUNCTION("""COMPUTED_VALUE"""),"Uncle Sams Cider (04/04/2023)")</f>
        <v>Uncle Sams Cider (04/04/2023)</v>
      </c>
      <c r="H4334" s="19"/>
    </row>
    <row r="4335">
      <c r="A4335" s="9"/>
      <c r="B4335" s="15"/>
      <c r="C4335" s="9">
        <f>IFERROR(__xludf.DUMMYFUNCTION("""COMPUTED_VALUE"""),45099.2945910301)</f>
        <v>45099.29459</v>
      </c>
      <c r="D4335" s="15">
        <f>IFERROR(__xludf.DUMMYFUNCTION("""COMPUTED_VALUE"""),1.005)</f>
        <v>1.005</v>
      </c>
      <c r="E4335" s="16">
        <f>IFERROR(__xludf.DUMMYFUNCTION("""COMPUTED_VALUE"""),70.0)</f>
        <v>70</v>
      </c>
      <c r="F4335" s="19" t="str">
        <f>IFERROR(__xludf.DUMMYFUNCTION("""COMPUTED_VALUE"""),"BLACK")</f>
        <v>BLACK</v>
      </c>
      <c r="G4335" s="20" t="str">
        <f>IFERROR(__xludf.DUMMYFUNCTION("""COMPUTED_VALUE"""),"Uncle Sams Cider (04/04/2023)")</f>
        <v>Uncle Sams Cider (04/04/2023)</v>
      </c>
      <c r="H4335" s="19"/>
    </row>
    <row r="4336">
      <c r="A4336" s="9"/>
      <c r="B4336" s="15"/>
      <c r="C4336" s="9">
        <f>IFERROR(__xludf.DUMMYFUNCTION("""COMPUTED_VALUE"""),45099.2841705902)</f>
        <v>45099.28417</v>
      </c>
      <c r="D4336" s="15">
        <f>IFERROR(__xludf.DUMMYFUNCTION("""COMPUTED_VALUE"""),1.005)</f>
        <v>1.005</v>
      </c>
      <c r="E4336" s="16">
        <f>IFERROR(__xludf.DUMMYFUNCTION("""COMPUTED_VALUE"""),70.0)</f>
        <v>70</v>
      </c>
      <c r="F4336" s="19" t="str">
        <f>IFERROR(__xludf.DUMMYFUNCTION("""COMPUTED_VALUE"""),"BLACK")</f>
        <v>BLACK</v>
      </c>
      <c r="G4336" s="20" t="str">
        <f>IFERROR(__xludf.DUMMYFUNCTION("""COMPUTED_VALUE"""),"Uncle Sams Cider (04/04/2023)")</f>
        <v>Uncle Sams Cider (04/04/2023)</v>
      </c>
      <c r="H4336" s="19"/>
    </row>
    <row r="4337">
      <c r="A4337" s="9"/>
      <c r="B4337" s="15"/>
      <c r="C4337" s="9">
        <f>IFERROR(__xludf.DUMMYFUNCTION("""COMPUTED_VALUE"""),45099.2737488657)</f>
        <v>45099.27375</v>
      </c>
      <c r="D4337" s="15">
        <f>IFERROR(__xludf.DUMMYFUNCTION("""COMPUTED_VALUE"""),1.005)</f>
        <v>1.005</v>
      </c>
      <c r="E4337" s="16">
        <f>IFERROR(__xludf.DUMMYFUNCTION("""COMPUTED_VALUE"""),70.0)</f>
        <v>70</v>
      </c>
      <c r="F4337" s="19" t="str">
        <f>IFERROR(__xludf.DUMMYFUNCTION("""COMPUTED_VALUE"""),"BLACK")</f>
        <v>BLACK</v>
      </c>
      <c r="G4337" s="20" t="str">
        <f>IFERROR(__xludf.DUMMYFUNCTION("""COMPUTED_VALUE"""),"Uncle Sams Cider (04/04/2023)")</f>
        <v>Uncle Sams Cider (04/04/2023)</v>
      </c>
      <c r="H4337" s="19"/>
    </row>
    <row r="4338">
      <c r="A4338" s="9"/>
      <c r="B4338" s="15"/>
      <c r="C4338" s="9">
        <f>IFERROR(__xludf.DUMMYFUNCTION("""COMPUTED_VALUE"""),45099.2633274537)</f>
        <v>45099.26333</v>
      </c>
      <c r="D4338" s="15">
        <f>IFERROR(__xludf.DUMMYFUNCTION("""COMPUTED_VALUE"""),1.005)</f>
        <v>1.005</v>
      </c>
      <c r="E4338" s="16">
        <f>IFERROR(__xludf.DUMMYFUNCTION("""COMPUTED_VALUE"""),70.0)</f>
        <v>70</v>
      </c>
      <c r="F4338" s="19" t="str">
        <f>IFERROR(__xludf.DUMMYFUNCTION("""COMPUTED_VALUE"""),"BLACK")</f>
        <v>BLACK</v>
      </c>
      <c r="G4338" s="20" t="str">
        <f>IFERROR(__xludf.DUMMYFUNCTION("""COMPUTED_VALUE"""),"Uncle Sams Cider (04/04/2023)")</f>
        <v>Uncle Sams Cider (04/04/2023)</v>
      </c>
      <c r="H4338" s="19"/>
    </row>
    <row r="4339">
      <c r="A4339" s="9"/>
      <c r="B4339" s="15"/>
      <c r="C4339" s="9">
        <f>IFERROR(__xludf.DUMMYFUNCTION("""COMPUTED_VALUE"""),45099.2529058564)</f>
        <v>45099.25291</v>
      </c>
      <c r="D4339" s="15">
        <f>IFERROR(__xludf.DUMMYFUNCTION("""COMPUTED_VALUE"""),1.005)</f>
        <v>1.005</v>
      </c>
      <c r="E4339" s="16">
        <f>IFERROR(__xludf.DUMMYFUNCTION("""COMPUTED_VALUE"""),70.0)</f>
        <v>70</v>
      </c>
      <c r="F4339" s="19" t="str">
        <f>IFERROR(__xludf.DUMMYFUNCTION("""COMPUTED_VALUE"""),"BLACK")</f>
        <v>BLACK</v>
      </c>
      <c r="G4339" s="20" t="str">
        <f>IFERROR(__xludf.DUMMYFUNCTION("""COMPUTED_VALUE"""),"Uncle Sams Cider (04/04/2023)")</f>
        <v>Uncle Sams Cider (04/04/2023)</v>
      </c>
      <c r="H4339" s="19"/>
    </row>
    <row r="4340">
      <c r="A4340" s="9"/>
      <c r="B4340" s="15"/>
      <c r="C4340" s="9">
        <f>IFERROR(__xludf.DUMMYFUNCTION("""COMPUTED_VALUE"""),45099.2424851388)</f>
        <v>45099.24249</v>
      </c>
      <c r="D4340" s="15">
        <f>IFERROR(__xludf.DUMMYFUNCTION("""COMPUTED_VALUE"""),1.005)</f>
        <v>1.005</v>
      </c>
      <c r="E4340" s="16">
        <f>IFERROR(__xludf.DUMMYFUNCTION("""COMPUTED_VALUE"""),70.0)</f>
        <v>70</v>
      </c>
      <c r="F4340" s="19" t="str">
        <f>IFERROR(__xludf.DUMMYFUNCTION("""COMPUTED_VALUE"""),"BLACK")</f>
        <v>BLACK</v>
      </c>
      <c r="G4340" s="20" t="str">
        <f>IFERROR(__xludf.DUMMYFUNCTION("""COMPUTED_VALUE"""),"Uncle Sams Cider (04/04/2023)")</f>
        <v>Uncle Sams Cider (04/04/2023)</v>
      </c>
      <c r="H4340" s="19"/>
    </row>
    <row r="4341">
      <c r="A4341" s="9"/>
      <c r="B4341" s="15"/>
      <c r="C4341" s="9">
        <f>IFERROR(__xludf.DUMMYFUNCTION("""COMPUTED_VALUE"""),45099.2320606597)</f>
        <v>45099.23206</v>
      </c>
      <c r="D4341" s="15">
        <f>IFERROR(__xludf.DUMMYFUNCTION("""COMPUTED_VALUE"""),1.005)</f>
        <v>1.005</v>
      </c>
      <c r="E4341" s="16">
        <f>IFERROR(__xludf.DUMMYFUNCTION("""COMPUTED_VALUE"""),70.0)</f>
        <v>70</v>
      </c>
      <c r="F4341" s="19" t="str">
        <f>IFERROR(__xludf.DUMMYFUNCTION("""COMPUTED_VALUE"""),"BLACK")</f>
        <v>BLACK</v>
      </c>
      <c r="G4341" s="20" t="str">
        <f>IFERROR(__xludf.DUMMYFUNCTION("""COMPUTED_VALUE"""),"Uncle Sams Cider (04/04/2023)")</f>
        <v>Uncle Sams Cider (04/04/2023)</v>
      </c>
      <c r="H4341" s="19"/>
    </row>
    <row r="4342">
      <c r="A4342" s="9"/>
      <c r="B4342" s="15"/>
      <c r="C4342" s="9">
        <f>IFERROR(__xludf.DUMMYFUNCTION("""COMPUTED_VALUE"""),45099.2216276504)</f>
        <v>45099.22163</v>
      </c>
      <c r="D4342" s="15">
        <f>IFERROR(__xludf.DUMMYFUNCTION("""COMPUTED_VALUE"""),1.005)</f>
        <v>1.005</v>
      </c>
      <c r="E4342" s="16">
        <f>IFERROR(__xludf.DUMMYFUNCTION("""COMPUTED_VALUE"""),70.0)</f>
        <v>70</v>
      </c>
      <c r="F4342" s="19" t="str">
        <f>IFERROR(__xludf.DUMMYFUNCTION("""COMPUTED_VALUE"""),"BLACK")</f>
        <v>BLACK</v>
      </c>
      <c r="G4342" s="20" t="str">
        <f>IFERROR(__xludf.DUMMYFUNCTION("""COMPUTED_VALUE"""),"Uncle Sams Cider (04/04/2023)")</f>
        <v>Uncle Sams Cider (04/04/2023)</v>
      </c>
      <c r="H4342" s="19"/>
    </row>
    <row r="4343">
      <c r="A4343" s="9"/>
      <c r="B4343" s="15"/>
      <c r="C4343" s="9">
        <f>IFERROR(__xludf.DUMMYFUNCTION("""COMPUTED_VALUE"""),45099.2111837615)</f>
        <v>45099.21118</v>
      </c>
      <c r="D4343" s="15">
        <f>IFERROR(__xludf.DUMMYFUNCTION("""COMPUTED_VALUE"""),1.005)</f>
        <v>1.005</v>
      </c>
      <c r="E4343" s="16">
        <f>IFERROR(__xludf.DUMMYFUNCTION("""COMPUTED_VALUE"""),70.0)</f>
        <v>70</v>
      </c>
      <c r="F4343" s="19" t="str">
        <f>IFERROR(__xludf.DUMMYFUNCTION("""COMPUTED_VALUE"""),"BLACK")</f>
        <v>BLACK</v>
      </c>
      <c r="G4343" s="20" t="str">
        <f>IFERROR(__xludf.DUMMYFUNCTION("""COMPUTED_VALUE"""),"Uncle Sams Cider (04/04/2023)")</f>
        <v>Uncle Sams Cider (04/04/2023)</v>
      </c>
      <c r="H4343" s="19"/>
    </row>
    <row r="4344">
      <c r="A4344" s="9"/>
      <c r="B4344" s="15"/>
      <c r="C4344" s="9">
        <f>IFERROR(__xludf.DUMMYFUNCTION("""COMPUTED_VALUE"""),45099.2007637268)</f>
        <v>45099.20076</v>
      </c>
      <c r="D4344" s="15">
        <f>IFERROR(__xludf.DUMMYFUNCTION("""COMPUTED_VALUE"""),1.005)</f>
        <v>1.005</v>
      </c>
      <c r="E4344" s="16">
        <f>IFERROR(__xludf.DUMMYFUNCTION("""COMPUTED_VALUE"""),70.0)</f>
        <v>70</v>
      </c>
      <c r="F4344" s="19" t="str">
        <f>IFERROR(__xludf.DUMMYFUNCTION("""COMPUTED_VALUE"""),"BLACK")</f>
        <v>BLACK</v>
      </c>
      <c r="G4344" s="20" t="str">
        <f>IFERROR(__xludf.DUMMYFUNCTION("""COMPUTED_VALUE"""),"Uncle Sams Cider (04/04/2023)")</f>
        <v>Uncle Sams Cider (04/04/2023)</v>
      </c>
      <c r="H4344" s="19"/>
    </row>
    <row r="4345">
      <c r="A4345" s="9"/>
      <c r="B4345" s="15"/>
      <c r="C4345" s="9">
        <f>IFERROR(__xludf.DUMMYFUNCTION("""COMPUTED_VALUE"""),45099.190306574)</f>
        <v>45099.19031</v>
      </c>
      <c r="D4345" s="15">
        <f>IFERROR(__xludf.DUMMYFUNCTION("""COMPUTED_VALUE"""),1.005)</f>
        <v>1.005</v>
      </c>
      <c r="E4345" s="16">
        <f>IFERROR(__xludf.DUMMYFUNCTION("""COMPUTED_VALUE"""),70.0)</f>
        <v>70</v>
      </c>
      <c r="F4345" s="19" t="str">
        <f>IFERROR(__xludf.DUMMYFUNCTION("""COMPUTED_VALUE"""),"BLACK")</f>
        <v>BLACK</v>
      </c>
      <c r="G4345" s="20" t="str">
        <f>IFERROR(__xludf.DUMMYFUNCTION("""COMPUTED_VALUE"""),"Uncle Sams Cider (04/04/2023)")</f>
        <v>Uncle Sams Cider (04/04/2023)</v>
      </c>
      <c r="H4345" s="19"/>
    </row>
    <row r="4346">
      <c r="A4346" s="9"/>
      <c r="B4346" s="15"/>
      <c r="C4346" s="9">
        <f>IFERROR(__xludf.DUMMYFUNCTION("""COMPUTED_VALUE"""),45099.1798843634)</f>
        <v>45099.17988</v>
      </c>
      <c r="D4346" s="15">
        <f>IFERROR(__xludf.DUMMYFUNCTION("""COMPUTED_VALUE"""),1.005)</f>
        <v>1.005</v>
      </c>
      <c r="E4346" s="16">
        <f>IFERROR(__xludf.DUMMYFUNCTION("""COMPUTED_VALUE"""),70.0)</f>
        <v>70</v>
      </c>
      <c r="F4346" s="19" t="str">
        <f>IFERROR(__xludf.DUMMYFUNCTION("""COMPUTED_VALUE"""),"BLACK")</f>
        <v>BLACK</v>
      </c>
      <c r="G4346" s="20" t="str">
        <f>IFERROR(__xludf.DUMMYFUNCTION("""COMPUTED_VALUE"""),"Uncle Sams Cider (04/04/2023)")</f>
        <v>Uncle Sams Cider (04/04/2023)</v>
      </c>
      <c r="H4346" s="19"/>
    </row>
    <row r="4347">
      <c r="A4347" s="9"/>
      <c r="B4347" s="15"/>
      <c r="C4347" s="9">
        <f>IFERROR(__xludf.DUMMYFUNCTION("""COMPUTED_VALUE"""),45099.1694636226)</f>
        <v>45099.16946</v>
      </c>
      <c r="D4347" s="15">
        <f>IFERROR(__xludf.DUMMYFUNCTION("""COMPUTED_VALUE"""),1.005)</f>
        <v>1.005</v>
      </c>
      <c r="E4347" s="16">
        <f>IFERROR(__xludf.DUMMYFUNCTION("""COMPUTED_VALUE"""),70.0)</f>
        <v>70</v>
      </c>
      <c r="F4347" s="19" t="str">
        <f>IFERROR(__xludf.DUMMYFUNCTION("""COMPUTED_VALUE"""),"BLACK")</f>
        <v>BLACK</v>
      </c>
      <c r="G4347" s="20" t="str">
        <f>IFERROR(__xludf.DUMMYFUNCTION("""COMPUTED_VALUE"""),"Uncle Sams Cider (04/04/2023)")</f>
        <v>Uncle Sams Cider (04/04/2023)</v>
      </c>
      <c r="H4347" s="19"/>
    </row>
    <row r="4348">
      <c r="A4348" s="9"/>
      <c r="B4348" s="15"/>
      <c r="C4348" s="9">
        <f>IFERROR(__xludf.DUMMYFUNCTION("""COMPUTED_VALUE"""),45099.159042199)</f>
        <v>45099.15904</v>
      </c>
      <c r="D4348" s="15">
        <f>IFERROR(__xludf.DUMMYFUNCTION("""COMPUTED_VALUE"""),1.005)</f>
        <v>1.005</v>
      </c>
      <c r="E4348" s="16">
        <f>IFERROR(__xludf.DUMMYFUNCTION("""COMPUTED_VALUE"""),70.0)</f>
        <v>70</v>
      </c>
      <c r="F4348" s="19" t="str">
        <f>IFERROR(__xludf.DUMMYFUNCTION("""COMPUTED_VALUE"""),"BLACK")</f>
        <v>BLACK</v>
      </c>
      <c r="G4348" s="20" t="str">
        <f>IFERROR(__xludf.DUMMYFUNCTION("""COMPUTED_VALUE"""),"Uncle Sams Cider (04/04/2023)")</f>
        <v>Uncle Sams Cider (04/04/2023)</v>
      </c>
      <c r="H4348" s="19"/>
    </row>
    <row r="4349">
      <c r="A4349" s="9"/>
      <c r="B4349" s="15"/>
      <c r="C4349" s="9">
        <f>IFERROR(__xludf.DUMMYFUNCTION("""COMPUTED_VALUE"""),45099.1486217013)</f>
        <v>45099.14862</v>
      </c>
      <c r="D4349" s="15">
        <f>IFERROR(__xludf.DUMMYFUNCTION("""COMPUTED_VALUE"""),1.005)</f>
        <v>1.005</v>
      </c>
      <c r="E4349" s="16">
        <f>IFERROR(__xludf.DUMMYFUNCTION("""COMPUTED_VALUE"""),70.0)</f>
        <v>70</v>
      </c>
      <c r="F4349" s="19" t="str">
        <f>IFERROR(__xludf.DUMMYFUNCTION("""COMPUTED_VALUE"""),"BLACK")</f>
        <v>BLACK</v>
      </c>
      <c r="G4349" s="20" t="str">
        <f>IFERROR(__xludf.DUMMYFUNCTION("""COMPUTED_VALUE"""),"Uncle Sams Cider (04/04/2023)")</f>
        <v>Uncle Sams Cider (04/04/2023)</v>
      </c>
      <c r="H4349" s="19"/>
    </row>
    <row r="4350">
      <c r="A4350" s="9"/>
      <c r="B4350" s="15"/>
      <c r="C4350" s="9">
        <f>IFERROR(__xludf.DUMMYFUNCTION("""COMPUTED_VALUE"""),45099.1382010532)</f>
        <v>45099.1382</v>
      </c>
      <c r="D4350" s="15">
        <f>IFERROR(__xludf.DUMMYFUNCTION("""COMPUTED_VALUE"""),1.005)</f>
        <v>1.005</v>
      </c>
      <c r="E4350" s="16">
        <f>IFERROR(__xludf.DUMMYFUNCTION("""COMPUTED_VALUE"""),70.0)</f>
        <v>70</v>
      </c>
      <c r="F4350" s="19" t="str">
        <f>IFERROR(__xludf.DUMMYFUNCTION("""COMPUTED_VALUE"""),"BLACK")</f>
        <v>BLACK</v>
      </c>
      <c r="G4350" s="20" t="str">
        <f>IFERROR(__xludf.DUMMYFUNCTION("""COMPUTED_VALUE"""),"Uncle Sams Cider (04/04/2023)")</f>
        <v>Uncle Sams Cider (04/04/2023)</v>
      </c>
      <c r="H4350" s="19"/>
    </row>
    <row r="4351">
      <c r="A4351" s="9"/>
      <c r="B4351" s="15"/>
      <c r="C4351" s="9">
        <f>IFERROR(__xludf.DUMMYFUNCTION("""COMPUTED_VALUE"""),45099.1277807291)</f>
        <v>45099.12778</v>
      </c>
      <c r="D4351" s="15">
        <f>IFERROR(__xludf.DUMMYFUNCTION("""COMPUTED_VALUE"""),1.005)</f>
        <v>1.005</v>
      </c>
      <c r="E4351" s="16">
        <f>IFERROR(__xludf.DUMMYFUNCTION("""COMPUTED_VALUE"""),70.0)</f>
        <v>70</v>
      </c>
      <c r="F4351" s="19" t="str">
        <f>IFERROR(__xludf.DUMMYFUNCTION("""COMPUTED_VALUE"""),"BLACK")</f>
        <v>BLACK</v>
      </c>
      <c r="G4351" s="20" t="str">
        <f>IFERROR(__xludf.DUMMYFUNCTION("""COMPUTED_VALUE"""),"Uncle Sams Cider (04/04/2023)")</f>
        <v>Uncle Sams Cider (04/04/2023)</v>
      </c>
      <c r="H4351" s="19"/>
    </row>
    <row r="4352">
      <c r="A4352" s="9"/>
      <c r="B4352" s="15"/>
      <c r="C4352" s="9">
        <f>IFERROR(__xludf.DUMMYFUNCTION("""COMPUTED_VALUE"""),45099.1173600231)</f>
        <v>45099.11736</v>
      </c>
      <c r="D4352" s="15">
        <f>IFERROR(__xludf.DUMMYFUNCTION("""COMPUTED_VALUE"""),1.005)</f>
        <v>1.005</v>
      </c>
      <c r="E4352" s="16">
        <f>IFERROR(__xludf.DUMMYFUNCTION("""COMPUTED_VALUE"""),70.0)</f>
        <v>70</v>
      </c>
      <c r="F4352" s="19" t="str">
        <f>IFERROR(__xludf.DUMMYFUNCTION("""COMPUTED_VALUE"""),"BLACK")</f>
        <v>BLACK</v>
      </c>
      <c r="G4352" s="20" t="str">
        <f>IFERROR(__xludf.DUMMYFUNCTION("""COMPUTED_VALUE"""),"Uncle Sams Cider (04/04/2023)")</f>
        <v>Uncle Sams Cider (04/04/2023)</v>
      </c>
      <c r="H4352" s="19"/>
    </row>
    <row r="4353">
      <c r="A4353" s="9"/>
      <c r="B4353" s="15"/>
      <c r="C4353" s="9">
        <f>IFERROR(__xludf.DUMMYFUNCTION("""COMPUTED_VALUE"""),45099.1069381944)</f>
        <v>45099.10694</v>
      </c>
      <c r="D4353" s="15">
        <f>IFERROR(__xludf.DUMMYFUNCTION("""COMPUTED_VALUE"""),1.005)</f>
        <v>1.005</v>
      </c>
      <c r="E4353" s="16">
        <f>IFERROR(__xludf.DUMMYFUNCTION("""COMPUTED_VALUE"""),70.0)</f>
        <v>70</v>
      </c>
      <c r="F4353" s="19" t="str">
        <f>IFERROR(__xludf.DUMMYFUNCTION("""COMPUTED_VALUE"""),"BLACK")</f>
        <v>BLACK</v>
      </c>
      <c r="G4353" s="20" t="str">
        <f>IFERROR(__xludf.DUMMYFUNCTION("""COMPUTED_VALUE"""),"Uncle Sams Cider (04/04/2023)")</f>
        <v>Uncle Sams Cider (04/04/2023)</v>
      </c>
      <c r="H4353" s="19"/>
    </row>
    <row r="4354">
      <c r="A4354" s="9"/>
      <c r="B4354" s="15"/>
      <c r="C4354" s="9">
        <f>IFERROR(__xludf.DUMMYFUNCTION("""COMPUTED_VALUE"""),45099.0965178009)</f>
        <v>45099.09652</v>
      </c>
      <c r="D4354" s="15">
        <f>IFERROR(__xludf.DUMMYFUNCTION("""COMPUTED_VALUE"""),1.005)</f>
        <v>1.005</v>
      </c>
      <c r="E4354" s="16">
        <f>IFERROR(__xludf.DUMMYFUNCTION("""COMPUTED_VALUE"""),70.0)</f>
        <v>70</v>
      </c>
      <c r="F4354" s="19" t="str">
        <f>IFERROR(__xludf.DUMMYFUNCTION("""COMPUTED_VALUE"""),"BLACK")</f>
        <v>BLACK</v>
      </c>
      <c r="G4354" s="20" t="str">
        <f>IFERROR(__xludf.DUMMYFUNCTION("""COMPUTED_VALUE"""),"Uncle Sams Cider (04/04/2023)")</f>
        <v>Uncle Sams Cider (04/04/2023)</v>
      </c>
      <c r="H4354" s="19"/>
    </row>
    <row r="4355">
      <c r="A4355" s="9"/>
      <c r="B4355" s="15"/>
      <c r="C4355" s="9">
        <f>IFERROR(__xludf.DUMMYFUNCTION("""COMPUTED_VALUE"""),45099.0860829629)</f>
        <v>45099.08608</v>
      </c>
      <c r="D4355" s="15">
        <f>IFERROR(__xludf.DUMMYFUNCTION("""COMPUTED_VALUE"""),1.005)</f>
        <v>1.005</v>
      </c>
      <c r="E4355" s="16">
        <f>IFERROR(__xludf.DUMMYFUNCTION("""COMPUTED_VALUE"""),70.0)</f>
        <v>70</v>
      </c>
      <c r="F4355" s="19" t="str">
        <f>IFERROR(__xludf.DUMMYFUNCTION("""COMPUTED_VALUE"""),"BLACK")</f>
        <v>BLACK</v>
      </c>
      <c r="G4355" s="20" t="str">
        <f>IFERROR(__xludf.DUMMYFUNCTION("""COMPUTED_VALUE"""),"Uncle Sams Cider (04/04/2023)")</f>
        <v>Uncle Sams Cider (04/04/2023)</v>
      </c>
      <c r="H4355" s="19"/>
    </row>
    <row r="4356">
      <c r="A4356" s="9"/>
      <c r="B4356" s="15"/>
      <c r="C4356" s="9">
        <f>IFERROR(__xludf.DUMMYFUNCTION("""COMPUTED_VALUE"""),45099.0756606944)</f>
        <v>45099.07566</v>
      </c>
      <c r="D4356" s="15">
        <f>IFERROR(__xludf.DUMMYFUNCTION("""COMPUTED_VALUE"""),1.005)</f>
        <v>1.005</v>
      </c>
      <c r="E4356" s="16">
        <f>IFERROR(__xludf.DUMMYFUNCTION("""COMPUTED_VALUE"""),70.0)</f>
        <v>70</v>
      </c>
      <c r="F4356" s="19" t="str">
        <f>IFERROR(__xludf.DUMMYFUNCTION("""COMPUTED_VALUE"""),"BLACK")</f>
        <v>BLACK</v>
      </c>
      <c r="G4356" s="20" t="str">
        <f>IFERROR(__xludf.DUMMYFUNCTION("""COMPUTED_VALUE"""),"Uncle Sams Cider (04/04/2023)")</f>
        <v>Uncle Sams Cider (04/04/2023)</v>
      </c>
      <c r="H4356" s="19"/>
    </row>
    <row r="4357">
      <c r="A4357" s="9"/>
      <c r="B4357" s="15"/>
      <c r="C4357" s="9">
        <f>IFERROR(__xludf.DUMMYFUNCTION("""COMPUTED_VALUE"""),45099.0652387615)</f>
        <v>45099.06524</v>
      </c>
      <c r="D4357" s="15">
        <f>IFERROR(__xludf.DUMMYFUNCTION("""COMPUTED_VALUE"""),1.005)</f>
        <v>1.005</v>
      </c>
      <c r="E4357" s="16">
        <f>IFERROR(__xludf.DUMMYFUNCTION("""COMPUTED_VALUE"""),70.0)</f>
        <v>70</v>
      </c>
      <c r="F4357" s="19" t="str">
        <f>IFERROR(__xludf.DUMMYFUNCTION("""COMPUTED_VALUE"""),"BLACK")</f>
        <v>BLACK</v>
      </c>
      <c r="G4357" s="20" t="str">
        <f>IFERROR(__xludf.DUMMYFUNCTION("""COMPUTED_VALUE"""),"Uncle Sams Cider (04/04/2023)")</f>
        <v>Uncle Sams Cider (04/04/2023)</v>
      </c>
      <c r="H4357" s="19"/>
    </row>
    <row r="4358">
      <c r="A4358" s="9"/>
      <c r="B4358" s="15"/>
      <c r="C4358" s="9">
        <f>IFERROR(__xludf.DUMMYFUNCTION("""COMPUTED_VALUE"""),45099.0548168402)</f>
        <v>45099.05482</v>
      </c>
      <c r="D4358" s="15">
        <f>IFERROR(__xludf.DUMMYFUNCTION("""COMPUTED_VALUE"""),1.005)</f>
        <v>1.005</v>
      </c>
      <c r="E4358" s="16">
        <f>IFERROR(__xludf.DUMMYFUNCTION("""COMPUTED_VALUE"""),70.0)</f>
        <v>70</v>
      </c>
      <c r="F4358" s="19" t="str">
        <f>IFERROR(__xludf.DUMMYFUNCTION("""COMPUTED_VALUE"""),"BLACK")</f>
        <v>BLACK</v>
      </c>
      <c r="G4358" s="20" t="str">
        <f>IFERROR(__xludf.DUMMYFUNCTION("""COMPUTED_VALUE"""),"Uncle Sams Cider (04/04/2023)")</f>
        <v>Uncle Sams Cider (04/04/2023)</v>
      </c>
      <c r="H4358" s="19"/>
    </row>
    <row r="4359">
      <c r="A4359" s="9"/>
      <c r="B4359" s="15"/>
      <c r="C4359" s="9">
        <f>IFERROR(__xludf.DUMMYFUNCTION("""COMPUTED_VALUE"""),45099.0443977083)</f>
        <v>45099.0444</v>
      </c>
      <c r="D4359" s="15">
        <f>IFERROR(__xludf.DUMMYFUNCTION("""COMPUTED_VALUE"""),1.005)</f>
        <v>1.005</v>
      </c>
      <c r="E4359" s="16">
        <f>IFERROR(__xludf.DUMMYFUNCTION("""COMPUTED_VALUE"""),70.0)</f>
        <v>70</v>
      </c>
      <c r="F4359" s="19" t="str">
        <f>IFERROR(__xludf.DUMMYFUNCTION("""COMPUTED_VALUE"""),"BLACK")</f>
        <v>BLACK</v>
      </c>
      <c r="G4359" s="20" t="str">
        <f>IFERROR(__xludf.DUMMYFUNCTION("""COMPUTED_VALUE"""),"Uncle Sams Cider (04/04/2023)")</f>
        <v>Uncle Sams Cider (04/04/2023)</v>
      </c>
      <c r="H4359" s="19"/>
    </row>
    <row r="4360">
      <c r="A4360" s="9"/>
      <c r="B4360" s="15"/>
      <c r="C4360" s="9">
        <f>IFERROR(__xludf.DUMMYFUNCTION("""COMPUTED_VALUE"""),45099.0339765393)</f>
        <v>45099.03398</v>
      </c>
      <c r="D4360" s="15">
        <f>IFERROR(__xludf.DUMMYFUNCTION("""COMPUTED_VALUE"""),1.005)</f>
        <v>1.005</v>
      </c>
      <c r="E4360" s="16">
        <f>IFERROR(__xludf.DUMMYFUNCTION("""COMPUTED_VALUE"""),70.0)</f>
        <v>70</v>
      </c>
      <c r="F4360" s="19" t="str">
        <f>IFERROR(__xludf.DUMMYFUNCTION("""COMPUTED_VALUE"""),"BLACK")</f>
        <v>BLACK</v>
      </c>
      <c r="G4360" s="20" t="str">
        <f>IFERROR(__xludf.DUMMYFUNCTION("""COMPUTED_VALUE"""),"Uncle Sams Cider (04/04/2023)")</f>
        <v>Uncle Sams Cider (04/04/2023)</v>
      </c>
      <c r="H4360" s="19"/>
    </row>
    <row r="4361">
      <c r="A4361" s="9"/>
      <c r="B4361" s="15"/>
      <c r="C4361" s="9">
        <f>IFERROR(__xludf.DUMMYFUNCTION("""COMPUTED_VALUE"""),45099.0235544444)</f>
        <v>45099.02355</v>
      </c>
      <c r="D4361" s="15">
        <f>IFERROR(__xludf.DUMMYFUNCTION("""COMPUTED_VALUE"""),1.005)</f>
        <v>1.005</v>
      </c>
      <c r="E4361" s="16">
        <f>IFERROR(__xludf.DUMMYFUNCTION("""COMPUTED_VALUE"""),70.0)</f>
        <v>70</v>
      </c>
      <c r="F4361" s="19" t="str">
        <f>IFERROR(__xludf.DUMMYFUNCTION("""COMPUTED_VALUE"""),"BLACK")</f>
        <v>BLACK</v>
      </c>
      <c r="G4361" s="20" t="str">
        <f>IFERROR(__xludf.DUMMYFUNCTION("""COMPUTED_VALUE"""),"Uncle Sams Cider (04/04/2023)")</f>
        <v>Uncle Sams Cider (04/04/2023)</v>
      </c>
      <c r="H4361" s="19"/>
    </row>
    <row r="4362">
      <c r="A4362" s="9"/>
      <c r="B4362" s="15"/>
      <c r="C4362" s="9">
        <f>IFERROR(__xludf.DUMMYFUNCTION("""COMPUTED_VALUE"""),45099.0131216898)</f>
        <v>45099.01312</v>
      </c>
      <c r="D4362" s="15">
        <f>IFERROR(__xludf.DUMMYFUNCTION("""COMPUTED_VALUE"""),1.005)</f>
        <v>1.005</v>
      </c>
      <c r="E4362" s="16">
        <f>IFERROR(__xludf.DUMMYFUNCTION("""COMPUTED_VALUE"""),70.0)</f>
        <v>70</v>
      </c>
      <c r="F4362" s="19" t="str">
        <f>IFERROR(__xludf.DUMMYFUNCTION("""COMPUTED_VALUE"""),"BLACK")</f>
        <v>BLACK</v>
      </c>
      <c r="G4362" s="20" t="str">
        <f>IFERROR(__xludf.DUMMYFUNCTION("""COMPUTED_VALUE"""),"Uncle Sams Cider (04/04/2023)")</f>
        <v>Uncle Sams Cider (04/04/2023)</v>
      </c>
      <c r="H4362" s="19"/>
    </row>
    <row r="4363">
      <c r="A4363" s="9"/>
      <c r="B4363" s="15"/>
      <c r="C4363" s="9">
        <f>IFERROR(__xludf.DUMMYFUNCTION("""COMPUTED_VALUE"""),45099.0027017245)</f>
        <v>45099.0027</v>
      </c>
      <c r="D4363" s="15">
        <f>IFERROR(__xludf.DUMMYFUNCTION("""COMPUTED_VALUE"""),1.005)</f>
        <v>1.005</v>
      </c>
      <c r="E4363" s="16">
        <f>IFERROR(__xludf.DUMMYFUNCTION("""COMPUTED_VALUE"""),70.0)</f>
        <v>70</v>
      </c>
      <c r="F4363" s="19" t="str">
        <f>IFERROR(__xludf.DUMMYFUNCTION("""COMPUTED_VALUE"""),"BLACK")</f>
        <v>BLACK</v>
      </c>
      <c r="G4363" s="20" t="str">
        <f>IFERROR(__xludf.DUMMYFUNCTION("""COMPUTED_VALUE"""),"Uncle Sams Cider (04/04/2023)")</f>
        <v>Uncle Sams Cider (04/04/2023)</v>
      </c>
      <c r="H4363" s="19"/>
    </row>
    <row r="4364">
      <c r="A4364" s="9"/>
      <c r="B4364" s="15"/>
      <c r="C4364" s="9">
        <f>IFERROR(__xludf.DUMMYFUNCTION("""COMPUTED_VALUE"""),45098.9922787731)</f>
        <v>45098.99228</v>
      </c>
      <c r="D4364" s="15">
        <f>IFERROR(__xludf.DUMMYFUNCTION("""COMPUTED_VALUE"""),1.005)</f>
        <v>1.005</v>
      </c>
      <c r="E4364" s="16">
        <f>IFERROR(__xludf.DUMMYFUNCTION("""COMPUTED_VALUE"""),70.0)</f>
        <v>70</v>
      </c>
      <c r="F4364" s="19" t="str">
        <f>IFERROR(__xludf.DUMMYFUNCTION("""COMPUTED_VALUE"""),"BLACK")</f>
        <v>BLACK</v>
      </c>
      <c r="G4364" s="20" t="str">
        <f>IFERROR(__xludf.DUMMYFUNCTION("""COMPUTED_VALUE"""),"Uncle Sams Cider (04/04/2023)")</f>
        <v>Uncle Sams Cider (04/04/2023)</v>
      </c>
      <c r="H4364" s="19"/>
    </row>
    <row r="4365">
      <c r="A4365" s="9"/>
      <c r="B4365" s="15"/>
      <c r="C4365" s="9">
        <f>IFERROR(__xludf.DUMMYFUNCTION("""COMPUTED_VALUE"""),45098.981856875)</f>
        <v>45098.98186</v>
      </c>
      <c r="D4365" s="15">
        <f>IFERROR(__xludf.DUMMYFUNCTION("""COMPUTED_VALUE"""),1.005)</f>
        <v>1.005</v>
      </c>
      <c r="E4365" s="16">
        <f>IFERROR(__xludf.DUMMYFUNCTION("""COMPUTED_VALUE"""),70.0)</f>
        <v>70</v>
      </c>
      <c r="F4365" s="19" t="str">
        <f>IFERROR(__xludf.DUMMYFUNCTION("""COMPUTED_VALUE"""),"BLACK")</f>
        <v>BLACK</v>
      </c>
      <c r="G4365" s="20" t="str">
        <f>IFERROR(__xludf.DUMMYFUNCTION("""COMPUTED_VALUE"""),"Uncle Sams Cider (04/04/2023)")</f>
        <v>Uncle Sams Cider (04/04/2023)</v>
      </c>
      <c r="H4365" s="19"/>
    </row>
    <row r="4366">
      <c r="A4366" s="9"/>
      <c r="B4366" s="15"/>
      <c r="C4366" s="9">
        <f>IFERROR(__xludf.DUMMYFUNCTION("""COMPUTED_VALUE"""),45098.9714244213)</f>
        <v>45098.97142</v>
      </c>
      <c r="D4366" s="15">
        <f>IFERROR(__xludf.DUMMYFUNCTION("""COMPUTED_VALUE"""),1.005)</f>
        <v>1.005</v>
      </c>
      <c r="E4366" s="16">
        <f>IFERROR(__xludf.DUMMYFUNCTION("""COMPUTED_VALUE"""),70.0)</f>
        <v>70</v>
      </c>
      <c r="F4366" s="19" t="str">
        <f>IFERROR(__xludf.DUMMYFUNCTION("""COMPUTED_VALUE"""),"BLACK")</f>
        <v>BLACK</v>
      </c>
      <c r="G4366" s="20" t="str">
        <f>IFERROR(__xludf.DUMMYFUNCTION("""COMPUTED_VALUE"""),"Uncle Sams Cider (04/04/2023)")</f>
        <v>Uncle Sams Cider (04/04/2023)</v>
      </c>
      <c r="H4366" s="19"/>
    </row>
    <row r="4367">
      <c r="A4367" s="9"/>
      <c r="B4367" s="15"/>
      <c r="C4367" s="9">
        <f>IFERROR(__xludf.DUMMYFUNCTION("""COMPUTED_VALUE"""),45098.9610046759)</f>
        <v>45098.961</v>
      </c>
      <c r="D4367" s="15">
        <f>IFERROR(__xludf.DUMMYFUNCTION("""COMPUTED_VALUE"""),1.005)</f>
        <v>1.005</v>
      </c>
      <c r="E4367" s="16">
        <f>IFERROR(__xludf.DUMMYFUNCTION("""COMPUTED_VALUE"""),70.0)</f>
        <v>70</v>
      </c>
      <c r="F4367" s="19" t="str">
        <f>IFERROR(__xludf.DUMMYFUNCTION("""COMPUTED_VALUE"""),"BLACK")</f>
        <v>BLACK</v>
      </c>
      <c r="G4367" s="20" t="str">
        <f>IFERROR(__xludf.DUMMYFUNCTION("""COMPUTED_VALUE"""),"Uncle Sams Cider (04/04/2023)")</f>
        <v>Uncle Sams Cider (04/04/2023)</v>
      </c>
      <c r="H4367" s="19"/>
    </row>
    <row r="4368">
      <c r="A4368" s="9"/>
      <c r="B4368" s="15"/>
      <c r="C4368" s="9">
        <f>IFERROR(__xludf.DUMMYFUNCTION("""COMPUTED_VALUE"""),45098.9505819213)</f>
        <v>45098.95058</v>
      </c>
      <c r="D4368" s="15">
        <f>IFERROR(__xludf.DUMMYFUNCTION("""COMPUTED_VALUE"""),1.005)</f>
        <v>1.005</v>
      </c>
      <c r="E4368" s="16">
        <f>IFERROR(__xludf.DUMMYFUNCTION("""COMPUTED_VALUE"""),70.0)</f>
        <v>70</v>
      </c>
      <c r="F4368" s="19" t="str">
        <f>IFERROR(__xludf.DUMMYFUNCTION("""COMPUTED_VALUE"""),"BLACK")</f>
        <v>BLACK</v>
      </c>
      <c r="G4368" s="20" t="str">
        <f>IFERROR(__xludf.DUMMYFUNCTION("""COMPUTED_VALUE"""),"Uncle Sams Cider (04/04/2023)")</f>
        <v>Uncle Sams Cider (04/04/2023)</v>
      </c>
      <c r="H4368" s="19"/>
    </row>
    <row r="4369">
      <c r="A4369" s="9"/>
      <c r="B4369" s="15"/>
      <c r="C4369" s="9">
        <f>IFERROR(__xludf.DUMMYFUNCTION("""COMPUTED_VALUE"""),45098.9401491898)</f>
        <v>45098.94015</v>
      </c>
      <c r="D4369" s="15">
        <f>IFERROR(__xludf.DUMMYFUNCTION("""COMPUTED_VALUE"""),1.005)</f>
        <v>1.005</v>
      </c>
      <c r="E4369" s="16">
        <f>IFERROR(__xludf.DUMMYFUNCTION("""COMPUTED_VALUE"""),70.0)</f>
        <v>70</v>
      </c>
      <c r="F4369" s="19" t="str">
        <f>IFERROR(__xludf.DUMMYFUNCTION("""COMPUTED_VALUE"""),"BLACK")</f>
        <v>BLACK</v>
      </c>
      <c r="G4369" s="20" t="str">
        <f>IFERROR(__xludf.DUMMYFUNCTION("""COMPUTED_VALUE"""),"Uncle Sams Cider (04/04/2023)")</f>
        <v>Uncle Sams Cider (04/04/2023)</v>
      </c>
      <c r="H4369" s="19"/>
    </row>
    <row r="4370">
      <c r="A4370" s="9"/>
      <c r="B4370" s="15"/>
      <c r="C4370" s="9">
        <f>IFERROR(__xludf.DUMMYFUNCTION("""COMPUTED_VALUE"""),45098.9297053819)</f>
        <v>45098.92971</v>
      </c>
      <c r="D4370" s="15">
        <f>IFERROR(__xludf.DUMMYFUNCTION("""COMPUTED_VALUE"""),1.005)</f>
        <v>1.005</v>
      </c>
      <c r="E4370" s="16">
        <f>IFERROR(__xludf.DUMMYFUNCTION("""COMPUTED_VALUE"""),70.0)</f>
        <v>70</v>
      </c>
      <c r="F4370" s="19" t="str">
        <f>IFERROR(__xludf.DUMMYFUNCTION("""COMPUTED_VALUE"""),"BLACK")</f>
        <v>BLACK</v>
      </c>
      <c r="G4370" s="20" t="str">
        <f>IFERROR(__xludf.DUMMYFUNCTION("""COMPUTED_VALUE"""),"Uncle Sams Cider (04/04/2023)")</f>
        <v>Uncle Sams Cider (04/04/2023)</v>
      </c>
      <c r="H4370" s="19"/>
    </row>
    <row r="4371">
      <c r="A4371" s="9"/>
      <c r="B4371" s="15"/>
      <c r="C4371" s="9">
        <f>IFERROR(__xludf.DUMMYFUNCTION("""COMPUTED_VALUE"""),45098.9192845023)</f>
        <v>45098.91928</v>
      </c>
      <c r="D4371" s="15">
        <f>IFERROR(__xludf.DUMMYFUNCTION("""COMPUTED_VALUE"""),1.005)</f>
        <v>1.005</v>
      </c>
      <c r="E4371" s="16">
        <f>IFERROR(__xludf.DUMMYFUNCTION("""COMPUTED_VALUE"""),70.0)</f>
        <v>70</v>
      </c>
      <c r="F4371" s="19" t="str">
        <f>IFERROR(__xludf.DUMMYFUNCTION("""COMPUTED_VALUE"""),"BLACK")</f>
        <v>BLACK</v>
      </c>
      <c r="G4371" s="20" t="str">
        <f>IFERROR(__xludf.DUMMYFUNCTION("""COMPUTED_VALUE"""),"Uncle Sams Cider (04/04/2023)")</f>
        <v>Uncle Sams Cider (04/04/2023)</v>
      </c>
      <c r="H4371" s="19"/>
    </row>
    <row r="4372">
      <c r="A4372" s="9"/>
      <c r="B4372" s="15"/>
      <c r="C4372" s="9">
        <f>IFERROR(__xludf.DUMMYFUNCTION("""COMPUTED_VALUE"""),45098.9088635879)</f>
        <v>45098.90886</v>
      </c>
      <c r="D4372" s="15">
        <f>IFERROR(__xludf.DUMMYFUNCTION("""COMPUTED_VALUE"""),1.005)</f>
        <v>1.005</v>
      </c>
      <c r="E4372" s="16">
        <f>IFERROR(__xludf.DUMMYFUNCTION("""COMPUTED_VALUE"""),70.0)</f>
        <v>70</v>
      </c>
      <c r="F4372" s="19" t="str">
        <f>IFERROR(__xludf.DUMMYFUNCTION("""COMPUTED_VALUE"""),"BLACK")</f>
        <v>BLACK</v>
      </c>
      <c r="G4372" s="20" t="str">
        <f>IFERROR(__xludf.DUMMYFUNCTION("""COMPUTED_VALUE"""),"Uncle Sams Cider (04/04/2023)")</f>
        <v>Uncle Sams Cider (04/04/2023)</v>
      </c>
      <c r="H4372" s="19"/>
    </row>
    <row r="4373">
      <c r="A4373" s="9"/>
      <c r="B4373" s="15"/>
      <c r="C4373" s="9">
        <f>IFERROR(__xludf.DUMMYFUNCTION("""COMPUTED_VALUE"""),45098.8984426504)</f>
        <v>45098.89844</v>
      </c>
      <c r="D4373" s="15">
        <f>IFERROR(__xludf.DUMMYFUNCTION("""COMPUTED_VALUE"""),1.005)</f>
        <v>1.005</v>
      </c>
      <c r="E4373" s="16">
        <f>IFERROR(__xludf.DUMMYFUNCTION("""COMPUTED_VALUE"""),70.0)</f>
        <v>70</v>
      </c>
      <c r="F4373" s="19" t="str">
        <f>IFERROR(__xludf.DUMMYFUNCTION("""COMPUTED_VALUE"""),"BLACK")</f>
        <v>BLACK</v>
      </c>
      <c r="G4373" s="20" t="str">
        <f>IFERROR(__xludf.DUMMYFUNCTION("""COMPUTED_VALUE"""),"Uncle Sams Cider (04/04/2023)")</f>
        <v>Uncle Sams Cider (04/04/2023)</v>
      </c>
      <c r="H4373" s="19"/>
    </row>
    <row r="4374">
      <c r="A4374" s="9"/>
      <c r="B4374" s="15"/>
      <c r="C4374" s="9">
        <f>IFERROR(__xludf.DUMMYFUNCTION("""COMPUTED_VALUE"""),45098.888021493)</f>
        <v>45098.88802</v>
      </c>
      <c r="D4374" s="15">
        <f>IFERROR(__xludf.DUMMYFUNCTION("""COMPUTED_VALUE"""),1.005)</f>
        <v>1.005</v>
      </c>
      <c r="E4374" s="16">
        <f>IFERROR(__xludf.DUMMYFUNCTION("""COMPUTED_VALUE"""),70.0)</f>
        <v>70</v>
      </c>
      <c r="F4374" s="19" t="str">
        <f>IFERROR(__xludf.DUMMYFUNCTION("""COMPUTED_VALUE"""),"BLACK")</f>
        <v>BLACK</v>
      </c>
      <c r="G4374" s="20" t="str">
        <f>IFERROR(__xludf.DUMMYFUNCTION("""COMPUTED_VALUE"""),"Uncle Sams Cider (04/04/2023)")</f>
        <v>Uncle Sams Cider (04/04/2023)</v>
      </c>
      <c r="H4374" s="19"/>
    </row>
    <row r="4375">
      <c r="A4375" s="9"/>
      <c r="B4375" s="15"/>
      <c r="C4375" s="9">
        <f>IFERROR(__xludf.DUMMYFUNCTION("""COMPUTED_VALUE"""),45098.8775992245)</f>
        <v>45098.8776</v>
      </c>
      <c r="D4375" s="15">
        <f>IFERROR(__xludf.DUMMYFUNCTION("""COMPUTED_VALUE"""),1.005)</f>
        <v>1.005</v>
      </c>
      <c r="E4375" s="16">
        <f>IFERROR(__xludf.DUMMYFUNCTION("""COMPUTED_VALUE"""),70.0)</f>
        <v>70</v>
      </c>
      <c r="F4375" s="19" t="str">
        <f>IFERROR(__xludf.DUMMYFUNCTION("""COMPUTED_VALUE"""),"BLACK")</f>
        <v>BLACK</v>
      </c>
      <c r="G4375" s="20" t="str">
        <f>IFERROR(__xludf.DUMMYFUNCTION("""COMPUTED_VALUE"""),"Uncle Sams Cider (04/04/2023)")</f>
        <v>Uncle Sams Cider (04/04/2023)</v>
      </c>
      <c r="H4375" s="19"/>
    </row>
    <row r="4376">
      <c r="A4376" s="9"/>
      <c r="B4376" s="15"/>
      <c r="C4376" s="9">
        <f>IFERROR(__xludf.DUMMYFUNCTION("""COMPUTED_VALUE"""),45098.8671778125)</f>
        <v>45098.86718</v>
      </c>
      <c r="D4376" s="15">
        <f>IFERROR(__xludf.DUMMYFUNCTION("""COMPUTED_VALUE"""),1.005)</f>
        <v>1.005</v>
      </c>
      <c r="E4376" s="16">
        <f>IFERROR(__xludf.DUMMYFUNCTION("""COMPUTED_VALUE"""),70.0)</f>
        <v>70</v>
      </c>
      <c r="F4376" s="19" t="str">
        <f>IFERROR(__xludf.DUMMYFUNCTION("""COMPUTED_VALUE"""),"BLACK")</f>
        <v>BLACK</v>
      </c>
      <c r="G4376" s="20" t="str">
        <f>IFERROR(__xludf.DUMMYFUNCTION("""COMPUTED_VALUE"""),"Uncle Sams Cider (04/04/2023)")</f>
        <v>Uncle Sams Cider (04/04/2023)</v>
      </c>
      <c r="H4376" s="19"/>
    </row>
    <row r="4377">
      <c r="A4377" s="9"/>
      <c r="B4377" s="15"/>
      <c r="C4377" s="9">
        <f>IFERROR(__xludf.DUMMYFUNCTION("""COMPUTED_VALUE"""),45098.8567580208)</f>
        <v>45098.85676</v>
      </c>
      <c r="D4377" s="15">
        <f>IFERROR(__xludf.DUMMYFUNCTION("""COMPUTED_VALUE"""),1.005)</f>
        <v>1.005</v>
      </c>
      <c r="E4377" s="16">
        <f>IFERROR(__xludf.DUMMYFUNCTION("""COMPUTED_VALUE"""),70.0)</f>
        <v>70</v>
      </c>
      <c r="F4377" s="19" t="str">
        <f>IFERROR(__xludf.DUMMYFUNCTION("""COMPUTED_VALUE"""),"BLACK")</f>
        <v>BLACK</v>
      </c>
      <c r="G4377" s="20" t="str">
        <f>IFERROR(__xludf.DUMMYFUNCTION("""COMPUTED_VALUE"""),"Uncle Sams Cider (04/04/2023)")</f>
        <v>Uncle Sams Cider (04/04/2023)</v>
      </c>
      <c r="H4377" s="19"/>
    </row>
    <row r="4378">
      <c r="A4378" s="9"/>
      <c r="B4378" s="15"/>
      <c r="C4378" s="9">
        <f>IFERROR(__xludf.DUMMYFUNCTION("""COMPUTED_VALUE"""),45098.8463364236)</f>
        <v>45098.84634</v>
      </c>
      <c r="D4378" s="15">
        <f>IFERROR(__xludf.DUMMYFUNCTION("""COMPUTED_VALUE"""),1.005)</f>
        <v>1.005</v>
      </c>
      <c r="E4378" s="16">
        <f>IFERROR(__xludf.DUMMYFUNCTION("""COMPUTED_VALUE"""),70.0)</f>
        <v>70</v>
      </c>
      <c r="F4378" s="19" t="str">
        <f>IFERROR(__xludf.DUMMYFUNCTION("""COMPUTED_VALUE"""),"BLACK")</f>
        <v>BLACK</v>
      </c>
      <c r="G4378" s="20" t="str">
        <f>IFERROR(__xludf.DUMMYFUNCTION("""COMPUTED_VALUE"""),"Uncle Sams Cider (04/04/2023)")</f>
        <v>Uncle Sams Cider (04/04/2023)</v>
      </c>
      <c r="H4378" s="19"/>
    </row>
    <row r="4379">
      <c r="A4379" s="9"/>
      <c r="B4379" s="15"/>
      <c r="C4379" s="9">
        <f>IFERROR(__xludf.DUMMYFUNCTION("""COMPUTED_VALUE"""),45098.8359060879)</f>
        <v>45098.83591</v>
      </c>
      <c r="D4379" s="15">
        <f>IFERROR(__xludf.DUMMYFUNCTION("""COMPUTED_VALUE"""),1.005)</f>
        <v>1.005</v>
      </c>
      <c r="E4379" s="16">
        <f>IFERROR(__xludf.DUMMYFUNCTION("""COMPUTED_VALUE"""),70.0)</f>
        <v>70</v>
      </c>
      <c r="F4379" s="19" t="str">
        <f>IFERROR(__xludf.DUMMYFUNCTION("""COMPUTED_VALUE"""),"BLACK")</f>
        <v>BLACK</v>
      </c>
      <c r="G4379" s="20" t="str">
        <f>IFERROR(__xludf.DUMMYFUNCTION("""COMPUTED_VALUE"""),"Uncle Sams Cider (04/04/2023)")</f>
        <v>Uncle Sams Cider (04/04/2023)</v>
      </c>
      <c r="H4379" s="19"/>
    </row>
    <row r="4380">
      <c r="A4380" s="9"/>
      <c r="B4380" s="15"/>
      <c r="C4380" s="9">
        <f>IFERROR(__xludf.DUMMYFUNCTION("""COMPUTED_VALUE"""),45098.8254839814)</f>
        <v>45098.82548</v>
      </c>
      <c r="D4380" s="15">
        <f>IFERROR(__xludf.DUMMYFUNCTION("""COMPUTED_VALUE"""),1.005)</f>
        <v>1.005</v>
      </c>
      <c r="E4380" s="16">
        <f>IFERROR(__xludf.DUMMYFUNCTION("""COMPUTED_VALUE"""),70.0)</f>
        <v>70</v>
      </c>
      <c r="F4380" s="19" t="str">
        <f>IFERROR(__xludf.DUMMYFUNCTION("""COMPUTED_VALUE"""),"BLACK")</f>
        <v>BLACK</v>
      </c>
      <c r="G4380" s="20" t="str">
        <f>IFERROR(__xludf.DUMMYFUNCTION("""COMPUTED_VALUE"""),"Uncle Sams Cider (04/04/2023)")</f>
        <v>Uncle Sams Cider (04/04/2023)</v>
      </c>
      <c r="H4380" s="19"/>
    </row>
    <row r="4381">
      <c r="A4381" s="9"/>
      <c r="B4381" s="15"/>
      <c r="C4381" s="9">
        <f>IFERROR(__xludf.DUMMYFUNCTION("""COMPUTED_VALUE"""),45098.8150496296)</f>
        <v>45098.81505</v>
      </c>
      <c r="D4381" s="15">
        <f>IFERROR(__xludf.DUMMYFUNCTION("""COMPUTED_VALUE"""),1.005)</f>
        <v>1.005</v>
      </c>
      <c r="E4381" s="16">
        <f>IFERROR(__xludf.DUMMYFUNCTION("""COMPUTED_VALUE"""),70.0)</f>
        <v>70</v>
      </c>
      <c r="F4381" s="19" t="str">
        <f>IFERROR(__xludf.DUMMYFUNCTION("""COMPUTED_VALUE"""),"BLACK")</f>
        <v>BLACK</v>
      </c>
      <c r="G4381" s="20" t="str">
        <f>IFERROR(__xludf.DUMMYFUNCTION("""COMPUTED_VALUE"""),"Uncle Sams Cider (04/04/2023)")</f>
        <v>Uncle Sams Cider (04/04/2023)</v>
      </c>
      <c r="H4381" s="19"/>
    </row>
    <row r="4382">
      <c r="A4382" s="9"/>
      <c r="B4382" s="15"/>
      <c r="C4382" s="9">
        <f>IFERROR(__xludf.DUMMYFUNCTION("""COMPUTED_VALUE"""),45098.80462853)</f>
        <v>45098.80463</v>
      </c>
      <c r="D4382" s="15">
        <f>IFERROR(__xludf.DUMMYFUNCTION("""COMPUTED_VALUE"""),1.005)</f>
        <v>1.005</v>
      </c>
      <c r="E4382" s="16">
        <f>IFERROR(__xludf.DUMMYFUNCTION("""COMPUTED_VALUE"""),70.0)</f>
        <v>70</v>
      </c>
      <c r="F4382" s="19" t="str">
        <f>IFERROR(__xludf.DUMMYFUNCTION("""COMPUTED_VALUE"""),"BLACK")</f>
        <v>BLACK</v>
      </c>
      <c r="G4382" s="20" t="str">
        <f>IFERROR(__xludf.DUMMYFUNCTION("""COMPUTED_VALUE"""),"Uncle Sams Cider (04/04/2023)")</f>
        <v>Uncle Sams Cider (04/04/2023)</v>
      </c>
      <c r="H4382" s="19"/>
    </row>
    <row r="4383">
      <c r="A4383" s="9"/>
      <c r="B4383" s="15"/>
      <c r="C4383" s="9">
        <f>IFERROR(__xludf.DUMMYFUNCTION("""COMPUTED_VALUE"""),45098.7942078588)</f>
        <v>45098.79421</v>
      </c>
      <c r="D4383" s="15">
        <f>IFERROR(__xludf.DUMMYFUNCTION("""COMPUTED_VALUE"""),1.005)</f>
        <v>1.005</v>
      </c>
      <c r="E4383" s="16">
        <f>IFERROR(__xludf.DUMMYFUNCTION("""COMPUTED_VALUE"""),70.0)</f>
        <v>70</v>
      </c>
      <c r="F4383" s="19" t="str">
        <f>IFERROR(__xludf.DUMMYFUNCTION("""COMPUTED_VALUE"""),"BLACK")</f>
        <v>BLACK</v>
      </c>
      <c r="G4383" s="20" t="str">
        <f>IFERROR(__xludf.DUMMYFUNCTION("""COMPUTED_VALUE"""),"Uncle Sams Cider (04/04/2023)")</f>
        <v>Uncle Sams Cider (04/04/2023)</v>
      </c>
      <c r="H4383" s="19"/>
    </row>
    <row r="4384">
      <c r="A4384" s="9"/>
      <c r="B4384" s="15"/>
      <c r="C4384" s="9">
        <f>IFERROR(__xludf.DUMMYFUNCTION("""COMPUTED_VALUE"""),45098.7837742013)</f>
        <v>45098.78377</v>
      </c>
      <c r="D4384" s="15">
        <f>IFERROR(__xludf.DUMMYFUNCTION("""COMPUTED_VALUE"""),1.005)</f>
        <v>1.005</v>
      </c>
      <c r="E4384" s="16">
        <f>IFERROR(__xludf.DUMMYFUNCTION("""COMPUTED_VALUE"""),70.0)</f>
        <v>70</v>
      </c>
      <c r="F4384" s="19" t="str">
        <f>IFERROR(__xludf.DUMMYFUNCTION("""COMPUTED_VALUE"""),"BLACK")</f>
        <v>BLACK</v>
      </c>
      <c r="G4384" s="20" t="str">
        <f>IFERROR(__xludf.DUMMYFUNCTION("""COMPUTED_VALUE"""),"Uncle Sams Cider (04/04/2023)")</f>
        <v>Uncle Sams Cider (04/04/2023)</v>
      </c>
      <c r="H4384" s="19"/>
    </row>
    <row r="4385">
      <c r="A4385" s="9"/>
      <c r="B4385" s="15"/>
      <c r="C4385" s="9">
        <f>IFERROR(__xludf.DUMMYFUNCTION("""COMPUTED_VALUE"""),45098.7733407407)</f>
        <v>45098.77334</v>
      </c>
      <c r="D4385" s="15">
        <f>IFERROR(__xludf.DUMMYFUNCTION("""COMPUTED_VALUE"""),1.005)</f>
        <v>1.005</v>
      </c>
      <c r="E4385" s="16">
        <f>IFERROR(__xludf.DUMMYFUNCTION("""COMPUTED_VALUE"""),70.0)</f>
        <v>70</v>
      </c>
      <c r="F4385" s="19" t="str">
        <f>IFERROR(__xludf.DUMMYFUNCTION("""COMPUTED_VALUE"""),"BLACK")</f>
        <v>BLACK</v>
      </c>
      <c r="G4385" s="20" t="str">
        <f>IFERROR(__xludf.DUMMYFUNCTION("""COMPUTED_VALUE"""),"Uncle Sams Cider (04/04/2023)")</f>
        <v>Uncle Sams Cider (04/04/2023)</v>
      </c>
      <c r="H4385" s="19"/>
    </row>
    <row r="4386">
      <c r="A4386" s="9"/>
      <c r="B4386" s="15"/>
      <c r="C4386" s="9">
        <f>IFERROR(__xludf.DUMMYFUNCTION("""COMPUTED_VALUE"""),45098.7629200463)</f>
        <v>45098.76292</v>
      </c>
      <c r="D4386" s="15">
        <f>IFERROR(__xludf.DUMMYFUNCTION("""COMPUTED_VALUE"""),1.005)</f>
        <v>1.005</v>
      </c>
      <c r="E4386" s="16">
        <f>IFERROR(__xludf.DUMMYFUNCTION("""COMPUTED_VALUE"""),70.0)</f>
        <v>70</v>
      </c>
      <c r="F4386" s="19" t="str">
        <f>IFERROR(__xludf.DUMMYFUNCTION("""COMPUTED_VALUE"""),"BLACK")</f>
        <v>BLACK</v>
      </c>
      <c r="G4386" s="20" t="str">
        <f>IFERROR(__xludf.DUMMYFUNCTION("""COMPUTED_VALUE"""),"Uncle Sams Cider (04/04/2023)")</f>
        <v>Uncle Sams Cider (04/04/2023)</v>
      </c>
      <c r="H4386" s="19"/>
    </row>
    <row r="4387">
      <c r="A4387" s="9"/>
      <c r="B4387" s="15"/>
      <c r="C4387" s="9">
        <f>IFERROR(__xludf.DUMMYFUNCTION("""COMPUTED_VALUE"""),45098.7524976157)</f>
        <v>45098.7525</v>
      </c>
      <c r="D4387" s="15">
        <f>IFERROR(__xludf.DUMMYFUNCTION("""COMPUTED_VALUE"""),1.005)</f>
        <v>1.005</v>
      </c>
      <c r="E4387" s="16">
        <f>IFERROR(__xludf.DUMMYFUNCTION("""COMPUTED_VALUE"""),70.0)</f>
        <v>70</v>
      </c>
      <c r="F4387" s="19" t="str">
        <f>IFERROR(__xludf.DUMMYFUNCTION("""COMPUTED_VALUE"""),"BLACK")</f>
        <v>BLACK</v>
      </c>
      <c r="G4387" s="20" t="str">
        <f>IFERROR(__xludf.DUMMYFUNCTION("""COMPUTED_VALUE"""),"Uncle Sams Cider (04/04/2023)")</f>
        <v>Uncle Sams Cider (04/04/2023)</v>
      </c>
      <c r="H4387" s="19"/>
    </row>
    <row r="4388">
      <c r="A4388" s="9"/>
      <c r="B4388" s="15"/>
      <c r="C4388" s="9">
        <f>IFERROR(__xludf.DUMMYFUNCTION("""COMPUTED_VALUE"""),45098.7420759606)</f>
        <v>45098.74208</v>
      </c>
      <c r="D4388" s="15">
        <f>IFERROR(__xludf.DUMMYFUNCTION("""COMPUTED_VALUE"""),1.005)</f>
        <v>1.005</v>
      </c>
      <c r="E4388" s="16">
        <f>IFERROR(__xludf.DUMMYFUNCTION("""COMPUTED_VALUE"""),70.0)</f>
        <v>70</v>
      </c>
      <c r="F4388" s="19" t="str">
        <f>IFERROR(__xludf.DUMMYFUNCTION("""COMPUTED_VALUE"""),"BLACK")</f>
        <v>BLACK</v>
      </c>
      <c r="G4388" s="20" t="str">
        <f>IFERROR(__xludf.DUMMYFUNCTION("""COMPUTED_VALUE"""),"Uncle Sams Cider (04/04/2023)")</f>
        <v>Uncle Sams Cider (04/04/2023)</v>
      </c>
      <c r="H4388" s="19"/>
    </row>
    <row r="4389">
      <c r="A4389" s="9"/>
      <c r="B4389" s="15"/>
      <c r="C4389" s="9">
        <f>IFERROR(__xludf.DUMMYFUNCTION("""COMPUTED_VALUE"""),45098.7316306481)</f>
        <v>45098.73163</v>
      </c>
      <c r="D4389" s="15">
        <f>IFERROR(__xludf.DUMMYFUNCTION("""COMPUTED_VALUE"""),1.005)</f>
        <v>1.005</v>
      </c>
      <c r="E4389" s="16">
        <f>IFERROR(__xludf.DUMMYFUNCTION("""COMPUTED_VALUE"""),70.0)</f>
        <v>70</v>
      </c>
      <c r="F4389" s="19" t="str">
        <f>IFERROR(__xludf.DUMMYFUNCTION("""COMPUTED_VALUE"""),"BLACK")</f>
        <v>BLACK</v>
      </c>
      <c r="G4389" s="20" t="str">
        <f>IFERROR(__xludf.DUMMYFUNCTION("""COMPUTED_VALUE"""),"Uncle Sams Cider (04/04/2023)")</f>
        <v>Uncle Sams Cider (04/04/2023)</v>
      </c>
      <c r="H4389" s="19"/>
    </row>
    <row r="4390">
      <c r="A4390" s="9"/>
      <c r="B4390" s="15"/>
      <c r="C4390" s="9">
        <f>IFERROR(__xludf.DUMMYFUNCTION("""COMPUTED_VALUE"""),45098.7212096412)</f>
        <v>45098.72121</v>
      </c>
      <c r="D4390" s="15">
        <f>IFERROR(__xludf.DUMMYFUNCTION("""COMPUTED_VALUE"""),1.005)</f>
        <v>1.005</v>
      </c>
      <c r="E4390" s="16">
        <f>IFERROR(__xludf.DUMMYFUNCTION("""COMPUTED_VALUE"""),70.0)</f>
        <v>70</v>
      </c>
      <c r="F4390" s="19" t="str">
        <f>IFERROR(__xludf.DUMMYFUNCTION("""COMPUTED_VALUE"""),"BLACK")</f>
        <v>BLACK</v>
      </c>
      <c r="G4390" s="20" t="str">
        <f>IFERROR(__xludf.DUMMYFUNCTION("""COMPUTED_VALUE"""),"Uncle Sams Cider (04/04/2023)")</f>
        <v>Uncle Sams Cider (04/04/2023)</v>
      </c>
      <c r="H4390" s="19"/>
    </row>
    <row r="4391">
      <c r="A4391" s="9"/>
      <c r="B4391" s="15"/>
      <c r="C4391" s="9">
        <f>IFERROR(__xludf.DUMMYFUNCTION("""COMPUTED_VALUE"""),45098.7107884375)</f>
        <v>45098.71079</v>
      </c>
      <c r="D4391" s="15">
        <f>IFERROR(__xludf.DUMMYFUNCTION("""COMPUTED_VALUE"""),1.005)</f>
        <v>1.005</v>
      </c>
      <c r="E4391" s="16">
        <f>IFERROR(__xludf.DUMMYFUNCTION("""COMPUTED_VALUE"""),70.0)</f>
        <v>70</v>
      </c>
      <c r="F4391" s="19" t="str">
        <f>IFERROR(__xludf.DUMMYFUNCTION("""COMPUTED_VALUE"""),"BLACK")</f>
        <v>BLACK</v>
      </c>
      <c r="G4391" s="20" t="str">
        <f>IFERROR(__xludf.DUMMYFUNCTION("""COMPUTED_VALUE"""),"Uncle Sams Cider (04/04/2023)")</f>
        <v>Uncle Sams Cider (04/04/2023)</v>
      </c>
      <c r="H4391" s="19"/>
    </row>
    <row r="4392">
      <c r="A4392" s="9"/>
      <c r="B4392" s="15"/>
      <c r="C4392" s="9">
        <f>IFERROR(__xludf.DUMMYFUNCTION("""COMPUTED_VALUE"""),45098.7003547916)</f>
        <v>45098.70035</v>
      </c>
      <c r="D4392" s="15">
        <f>IFERROR(__xludf.DUMMYFUNCTION("""COMPUTED_VALUE"""),1.005)</f>
        <v>1.005</v>
      </c>
      <c r="E4392" s="16">
        <f>IFERROR(__xludf.DUMMYFUNCTION("""COMPUTED_VALUE"""),70.0)</f>
        <v>70</v>
      </c>
      <c r="F4392" s="19" t="str">
        <f>IFERROR(__xludf.DUMMYFUNCTION("""COMPUTED_VALUE"""),"BLACK")</f>
        <v>BLACK</v>
      </c>
      <c r="G4392" s="20" t="str">
        <f>IFERROR(__xludf.DUMMYFUNCTION("""COMPUTED_VALUE"""),"Uncle Sams Cider (04/04/2023)")</f>
        <v>Uncle Sams Cider (04/04/2023)</v>
      </c>
      <c r="H4392" s="19"/>
    </row>
    <row r="4393">
      <c r="A4393" s="9"/>
      <c r="B4393" s="15"/>
      <c r="C4393" s="9">
        <f>IFERROR(__xludf.DUMMYFUNCTION("""COMPUTED_VALUE"""),45098.68993478)</f>
        <v>45098.68993</v>
      </c>
      <c r="D4393" s="15">
        <f>IFERROR(__xludf.DUMMYFUNCTION("""COMPUTED_VALUE"""),1.005)</f>
        <v>1.005</v>
      </c>
      <c r="E4393" s="16">
        <f>IFERROR(__xludf.DUMMYFUNCTION("""COMPUTED_VALUE"""),70.0)</f>
        <v>70</v>
      </c>
      <c r="F4393" s="19" t="str">
        <f>IFERROR(__xludf.DUMMYFUNCTION("""COMPUTED_VALUE"""),"BLACK")</f>
        <v>BLACK</v>
      </c>
      <c r="G4393" s="20" t="str">
        <f>IFERROR(__xludf.DUMMYFUNCTION("""COMPUTED_VALUE"""),"Uncle Sams Cider (04/04/2023)")</f>
        <v>Uncle Sams Cider (04/04/2023)</v>
      </c>
      <c r="H4393" s="19"/>
    </row>
    <row r="4394">
      <c r="A4394" s="9"/>
      <c r="B4394" s="15"/>
      <c r="C4394" s="9">
        <f>IFERROR(__xludf.DUMMYFUNCTION("""COMPUTED_VALUE"""),45098.6795120717)</f>
        <v>45098.67951</v>
      </c>
      <c r="D4394" s="15">
        <f>IFERROR(__xludf.DUMMYFUNCTION("""COMPUTED_VALUE"""),1.005)</f>
        <v>1.005</v>
      </c>
      <c r="E4394" s="16">
        <f>IFERROR(__xludf.DUMMYFUNCTION("""COMPUTED_VALUE"""),70.0)</f>
        <v>70</v>
      </c>
      <c r="F4394" s="19" t="str">
        <f>IFERROR(__xludf.DUMMYFUNCTION("""COMPUTED_VALUE"""),"BLACK")</f>
        <v>BLACK</v>
      </c>
      <c r="G4394" s="20" t="str">
        <f>IFERROR(__xludf.DUMMYFUNCTION("""COMPUTED_VALUE"""),"Uncle Sams Cider (04/04/2023)")</f>
        <v>Uncle Sams Cider (04/04/2023)</v>
      </c>
      <c r="H4394" s="19"/>
    </row>
    <row r="4395">
      <c r="A4395" s="9"/>
      <c r="B4395" s="15"/>
      <c r="C4395" s="9">
        <f>IFERROR(__xludf.DUMMYFUNCTION("""COMPUTED_VALUE"""),45098.6690908912)</f>
        <v>45098.66909</v>
      </c>
      <c r="D4395" s="15">
        <f>IFERROR(__xludf.DUMMYFUNCTION("""COMPUTED_VALUE"""),1.005)</f>
        <v>1.005</v>
      </c>
      <c r="E4395" s="16">
        <f>IFERROR(__xludf.DUMMYFUNCTION("""COMPUTED_VALUE"""),70.0)</f>
        <v>70</v>
      </c>
      <c r="F4395" s="19" t="str">
        <f>IFERROR(__xludf.DUMMYFUNCTION("""COMPUTED_VALUE"""),"BLACK")</f>
        <v>BLACK</v>
      </c>
      <c r="G4395" s="20" t="str">
        <f>IFERROR(__xludf.DUMMYFUNCTION("""COMPUTED_VALUE"""),"Uncle Sams Cider (04/04/2023)")</f>
        <v>Uncle Sams Cider (04/04/2023)</v>
      </c>
      <c r="H4395" s="19"/>
    </row>
    <row r="4396">
      <c r="A4396" s="9"/>
      <c r="B4396" s="15"/>
      <c r="C4396" s="9">
        <f>IFERROR(__xludf.DUMMYFUNCTION("""COMPUTED_VALUE"""),45098.6586591666)</f>
        <v>45098.65866</v>
      </c>
      <c r="D4396" s="15">
        <f>IFERROR(__xludf.DUMMYFUNCTION("""COMPUTED_VALUE"""),1.005)</f>
        <v>1.005</v>
      </c>
      <c r="E4396" s="16">
        <f>IFERROR(__xludf.DUMMYFUNCTION("""COMPUTED_VALUE"""),70.0)</f>
        <v>70</v>
      </c>
      <c r="F4396" s="19" t="str">
        <f>IFERROR(__xludf.DUMMYFUNCTION("""COMPUTED_VALUE"""),"BLACK")</f>
        <v>BLACK</v>
      </c>
      <c r="G4396" s="20" t="str">
        <f>IFERROR(__xludf.DUMMYFUNCTION("""COMPUTED_VALUE"""),"Uncle Sams Cider (04/04/2023)")</f>
        <v>Uncle Sams Cider (04/04/2023)</v>
      </c>
      <c r="H4396" s="19"/>
    </row>
    <row r="4397">
      <c r="A4397" s="9"/>
      <c r="B4397" s="15"/>
      <c r="C4397" s="9">
        <f>IFERROR(__xludf.DUMMYFUNCTION("""COMPUTED_VALUE"""),45098.6482369097)</f>
        <v>45098.64824</v>
      </c>
      <c r="D4397" s="15">
        <f>IFERROR(__xludf.DUMMYFUNCTION("""COMPUTED_VALUE"""),1.005)</f>
        <v>1.005</v>
      </c>
      <c r="E4397" s="16">
        <f>IFERROR(__xludf.DUMMYFUNCTION("""COMPUTED_VALUE"""),70.0)</f>
        <v>70</v>
      </c>
      <c r="F4397" s="19" t="str">
        <f>IFERROR(__xludf.DUMMYFUNCTION("""COMPUTED_VALUE"""),"BLACK")</f>
        <v>BLACK</v>
      </c>
      <c r="G4397" s="20" t="str">
        <f>IFERROR(__xludf.DUMMYFUNCTION("""COMPUTED_VALUE"""),"Uncle Sams Cider (04/04/2023)")</f>
        <v>Uncle Sams Cider (04/04/2023)</v>
      </c>
      <c r="H4397" s="19"/>
    </row>
    <row r="4398">
      <c r="A4398" s="9"/>
      <c r="B4398" s="15"/>
      <c r="C4398" s="9">
        <f>IFERROR(__xludf.DUMMYFUNCTION("""COMPUTED_VALUE"""),45098.6378037037)</f>
        <v>45098.6378</v>
      </c>
      <c r="D4398" s="15">
        <f>IFERROR(__xludf.DUMMYFUNCTION("""COMPUTED_VALUE"""),1.005)</f>
        <v>1.005</v>
      </c>
      <c r="E4398" s="16">
        <f>IFERROR(__xludf.DUMMYFUNCTION("""COMPUTED_VALUE"""),70.0)</f>
        <v>70</v>
      </c>
      <c r="F4398" s="19" t="str">
        <f>IFERROR(__xludf.DUMMYFUNCTION("""COMPUTED_VALUE"""),"BLACK")</f>
        <v>BLACK</v>
      </c>
      <c r="G4398" s="20" t="str">
        <f>IFERROR(__xludf.DUMMYFUNCTION("""COMPUTED_VALUE"""),"Uncle Sams Cider (04/04/2023)")</f>
        <v>Uncle Sams Cider (04/04/2023)</v>
      </c>
      <c r="H4398" s="19"/>
    </row>
    <row r="4399">
      <c r="A4399" s="9"/>
      <c r="B4399" s="15"/>
      <c r="C4399" s="9">
        <f>IFERROR(__xludf.DUMMYFUNCTION("""COMPUTED_VALUE"""),45098.627359155)</f>
        <v>45098.62736</v>
      </c>
      <c r="D4399" s="15">
        <f>IFERROR(__xludf.DUMMYFUNCTION("""COMPUTED_VALUE"""),1.005)</f>
        <v>1.005</v>
      </c>
      <c r="E4399" s="16">
        <f>IFERROR(__xludf.DUMMYFUNCTION("""COMPUTED_VALUE"""),70.0)</f>
        <v>70</v>
      </c>
      <c r="F4399" s="19" t="str">
        <f>IFERROR(__xludf.DUMMYFUNCTION("""COMPUTED_VALUE"""),"BLACK")</f>
        <v>BLACK</v>
      </c>
      <c r="G4399" s="20" t="str">
        <f>IFERROR(__xludf.DUMMYFUNCTION("""COMPUTED_VALUE"""),"Uncle Sams Cider (04/04/2023)")</f>
        <v>Uncle Sams Cider (04/04/2023)</v>
      </c>
      <c r="H4399" s="19"/>
    </row>
    <row r="4400">
      <c r="A4400" s="9"/>
      <c r="B4400" s="15"/>
      <c r="C4400" s="9">
        <f>IFERROR(__xludf.DUMMYFUNCTION("""COMPUTED_VALUE"""),45098.6169380671)</f>
        <v>45098.61694</v>
      </c>
      <c r="D4400" s="15">
        <f>IFERROR(__xludf.DUMMYFUNCTION("""COMPUTED_VALUE"""),1.005)</f>
        <v>1.005</v>
      </c>
      <c r="E4400" s="16">
        <f>IFERROR(__xludf.DUMMYFUNCTION("""COMPUTED_VALUE"""),70.0)</f>
        <v>70</v>
      </c>
      <c r="F4400" s="19" t="str">
        <f>IFERROR(__xludf.DUMMYFUNCTION("""COMPUTED_VALUE"""),"BLACK")</f>
        <v>BLACK</v>
      </c>
      <c r="G4400" s="20" t="str">
        <f>IFERROR(__xludf.DUMMYFUNCTION("""COMPUTED_VALUE"""),"Uncle Sams Cider (04/04/2023)")</f>
        <v>Uncle Sams Cider (04/04/2023)</v>
      </c>
      <c r="H4400" s="19"/>
    </row>
    <row r="4401">
      <c r="A4401" s="9"/>
      <c r="B4401" s="15"/>
      <c r="C4401" s="9">
        <f>IFERROR(__xludf.DUMMYFUNCTION("""COMPUTED_VALUE"""),45098.6065142361)</f>
        <v>45098.60651</v>
      </c>
      <c r="D4401" s="15">
        <f>IFERROR(__xludf.DUMMYFUNCTION("""COMPUTED_VALUE"""),1.005)</f>
        <v>1.005</v>
      </c>
      <c r="E4401" s="16">
        <f>IFERROR(__xludf.DUMMYFUNCTION("""COMPUTED_VALUE"""),70.0)</f>
        <v>70</v>
      </c>
      <c r="F4401" s="19" t="str">
        <f>IFERROR(__xludf.DUMMYFUNCTION("""COMPUTED_VALUE"""),"BLACK")</f>
        <v>BLACK</v>
      </c>
      <c r="G4401" s="20" t="str">
        <f>IFERROR(__xludf.DUMMYFUNCTION("""COMPUTED_VALUE"""),"Uncle Sams Cider (04/04/2023)")</f>
        <v>Uncle Sams Cider (04/04/2023)</v>
      </c>
      <c r="H4401" s="19"/>
    </row>
    <row r="4402">
      <c r="A4402" s="9"/>
      <c r="B4402" s="15"/>
      <c r="C4402" s="9">
        <f>IFERROR(__xludf.DUMMYFUNCTION("""COMPUTED_VALUE"""),45098.5960810416)</f>
        <v>45098.59608</v>
      </c>
      <c r="D4402" s="15">
        <f>IFERROR(__xludf.DUMMYFUNCTION("""COMPUTED_VALUE"""),1.005)</f>
        <v>1.005</v>
      </c>
      <c r="E4402" s="16">
        <f>IFERROR(__xludf.DUMMYFUNCTION("""COMPUTED_VALUE"""),70.0)</f>
        <v>70</v>
      </c>
      <c r="F4402" s="19" t="str">
        <f>IFERROR(__xludf.DUMMYFUNCTION("""COMPUTED_VALUE"""),"BLACK")</f>
        <v>BLACK</v>
      </c>
      <c r="G4402" s="20" t="str">
        <f>IFERROR(__xludf.DUMMYFUNCTION("""COMPUTED_VALUE"""),"Uncle Sams Cider (04/04/2023)")</f>
        <v>Uncle Sams Cider (04/04/2023)</v>
      </c>
      <c r="H4402" s="19"/>
    </row>
    <row r="4403">
      <c r="A4403" s="9"/>
      <c r="B4403" s="15"/>
      <c r="C4403" s="9">
        <f>IFERROR(__xludf.DUMMYFUNCTION("""COMPUTED_VALUE"""),45098.5856594907)</f>
        <v>45098.58566</v>
      </c>
      <c r="D4403" s="15">
        <f>IFERROR(__xludf.DUMMYFUNCTION("""COMPUTED_VALUE"""),1.005)</f>
        <v>1.005</v>
      </c>
      <c r="E4403" s="16">
        <f>IFERROR(__xludf.DUMMYFUNCTION("""COMPUTED_VALUE"""),70.0)</f>
        <v>70</v>
      </c>
      <c r="F4403" s="19" t="str">
        <f>IFERROR(__xludf.DUMMYFUNCTION("""COMPUTED_VALUE"""),"BLACK")</f>
        <v>BLACK</v>
      </c>
      <c r="G4403" s="20" t="str">
        <f>IFERROR(__xludf.DUMMYFUNCTION("""COMPUTED_VALUE"""),"Uncle Sams Cider (04/04/2023)")</f>
        <v>Uncle Sams Cider (04/04/2023)</v>
      </c>
      <c r="H4403" s="19"/>
    </row>
    <row r="4404">
      <c r="A4404" s="9"/>
      <c r="B4404" s="15"/>
      <c r="C4404" s="9">
        <f>IFERROR(__xludf.DUMMYFUNCTION("""COMPUTED_VALUE"""),45098.5752390625)</f>
        <v>45098.57524</v>
      </c>
      <c r="D4404" s="15">
        <f>IFERROR(__xludf.DUMMYFUNCTION("""COMPUTED_VALUE"""),1.005)</f>
        <v>1.005</v>
      </c>
      <c r="E4404" s="16">
        <f>IFERROR(__xludf.DUMMYFUNCTION("""COMPUTED_VALUE"""),70.0)</f>
        <v>70</v>
      </c>
      <c r="F4404" s="19" t="str">
        <f>IFERROR(__xludf.DUMMYFUNCTION("""COMPUTED_VALUE"""),"BLACK")</f>
        <v>BLACK</v>
      </c>
      <c r="G4404" s="20" t="str">
        <f>IFERROR(__xludf.DUMMYFUNCTION("""COMPUTED_VALUE"""),"Uncle Sams Cider (04/04/2023)")</f>
        <v>Uncle Sams Cider (04/04/2023)</v>
      </c>
      <c r="H4404" s="19"/>
    </row>
    <row r="4405">
      <c r="A4405" s="9"/>
      <c r="B4405" s="15"/>
      <c r="C4405" s="9">
        <f>IFERROR(__xludf.DUMMYFUNCTION("""COMPUTED_VALUE"""),45098.5648172453)</f>
        <v>45098.56482</v>
      </c>
      <c r="D4405" s="15">
        <f>IFERROR(__xludf.DUMMYFUNCTION("""COMPUTED_VALUE"""),1.005)</f>
        <v>1.005</v>
      </c>
      <c r="E4405" s="16">
        <f>IFERROR(__xludf.DUMMYFUNCTION("""COMPUTED_VALUE"""),70.0)</f>
        <v>70</v>
      </c>
      <c r="F4405" s="19" t="str">
        <f>IFERROR(__xludf.DUMMYFUNCTION("""COMPUTED_VALUE"""),"BLACK")</f>
        <v>BLACK</v>
      </c>
      <c r="G4405" s="20" t="str">
        <f>IFERROR(__xludf.DUMMYFUNCTION("""COMPUTED_VALUE"""),"Uncle Sams Cider (04/04/2023)")</f>
        <v>Uncle Sams Cider (04/04/2023)</v>
      </c>
      <c r="H4405" s="19"/>
    </row>
    <row r="4406">
      <c r="A4406" s="9"/>
      <c r="B4406" s="15"/>
      <c r="C4406" s="9">
        <f>IFERROR(__xludf.DUMMYFUNCTION("""COMPUTED_VALUE"""),45098.5543951504)</f>
        <v>45098.5544</v>
      </c>
      <c r="D4406" s="15">
        <f>IFERROR(__xludf.DUMMYFUNCTION("""COMPUTED_VALUE"""),1.005)</f>
        <v>1.005</v>
      </c>
      <c r="E4406" s="16">
        <f>IFERROR(__xludf.DUMMYFUNCTION("""COMPUTED_VALUE"""),70.0)</f>
        <v>70</v>
      </c>
      <c r="F4406" s="19" t="str">
        <f>IFERROR(__xludf.DUMMYFUNCTION("""COMPUTED_VALUE"""),"BLACK")</f>
        <v>BLACK</v>
      </c>
      <c r="G4406" s="20" t="str">
        <f>IFERROR(__xludf.DUMMYFUNCTION("""COMPUTED_VALUE"""),"Uncle Sams Cider (04/04/2023)")</f>
        <v>Uncle Sams Cider (04/04/2023)</v>
      </c>
      <c r="H4406" s="19"/>
    </row>
    <row r="4407">
      <c r="A4407" s="9"/>
      <c r="B4407" s="15"/>
      <c r="C4407" s="9">
        <f>IFERROR(__xludf.DUMMYFUNCTION("""COMPUTED_VALUE"""),45098.54397478)</f>
        <v>45098.54397</v>
      </c>
      <c r="D4407" s="15">
        <f>IFERROR(__xludf.DUMMYFUNCTION("""COMPUTED_VALUE"""),1.005)</f>
        <v>1.005</v>
      </c>
      <c r="E4407" s="16">
        <f>IFERROR(__xludf.DUMMYFUNCTION("""COMPUTED_VALUE"""),70.0)</f>
        <v>70</v>
      </c>
      <c r="F4407" s="19" t="str">
        <f>IFERROR(__xludf.DUMMYFUNCTION("""COMPUTED_VALUE"""),"BLACK")</f>
        <v>BLACK</v>
      </c>
      <c r="G4407" s="20" t="str">
        <f>IFERROR(__xludf.DUMMYFUNCTION("""COMPUTED_VALUE"""),"Uncle Sams Cider (04/04/2023)")</f>
        <v>Uncle Sams Cider (04/04/2023)</v>
      </c>
      <c r="H4407" s="19"/>
    </row>
    <row r="4408">
      <c r="A4408" s="9"/>
      <c r="B4408" s="15"/>
      <c r="C4408" s="9">
        <f>IFERROR(__xludf.DUMMYFUNCTION("""COMPUTED_VALUE"""),45098.5335426967)</f>
        <v>45098.53354</v>
      </c>
      <c r="D4408" s="15">
        <f>IFERROR(__xludf.DUMMYFUNCTION("""COMPUTED_VALUE"""),1.005)</f>
        <v>1.005</v>
      </c>
      <c r="E4408" s="16">
        <f>IFERROR(__xludf.DUMMYFUNCTION("""COMPUTED_VALUE"""),70.0)</f>
        <v>70</v>
      </c>
      <c r="F4408" s="19" t="str">
        <f>IFERROR(__xludf.DUMMYFUNCTION("""COMPUTED_VALUE"""),"BLACK")</f>
        <v>BLACK</v>
      </c>
      <c r="G4408" s="20" t="str">
        <f>IFERROR(__xludf.DUMMYFUNCTION("""COMPUTED_VALUE"""),"Uncle Sams Cider (04/04/2023)")</f>
        <v>Uncle Sams Cider (04/04/2023)</v>
      </c>
      <c r="H4408" s="19"/>
    </row>
    <row r="4409">
      <c r="A4409" s="9"/>
      <c r="B4409" s="15"/>
      <c r="C4409" s="9">
        <f>IFERROR(__xludf.DUMMYFUNCTION("""COMPUTED_VALUE"""),45098.5231214583)</f>
        <v>45098.52312</v>
      </c>
      <c r="D4409" s="15">
        <f>IFERROR(__xludf.DUMMYFUNCTION("""COMPUTED_VALUE"""),1.005)</f>
        <v>1.005</v>
      </c>
      <c r="E4409" s="16">
        <f>IFERROR(__xludf.DUMMYFUNCTION("""COMPUTED_VALUE"""),70.0)</f>
        <v>70</v>
      </c>
      <c r="F4409" s="19" t="str">
        <f>IFERROR(__xludf.DUMMYFUNCTION("""COMPUTED_VALUE"""),"BLACK")</f>
        <v>BLACK</v>
      </c>
      <c r="G4409" s="20" t="str">
        <f>IFERROR(__xludf.DUMMYFUNCTION("""COMPUTED_VALUE"""),"Uncle Sams Cider (04/04/2023)")</f>
        <v>Uncle Sams Cider (04/04/2023)</v>
      </c>
      <c r="H4409" s="19"/>
    </row>
    <row r="4410">
      <c r="A4410" s="9"/>
      <c r="B4410" s="15"/>
      <c r="C4410" s="9">
        <f>IFERROR(__xludf.DUMMYFUNCTION("""COMPUTED_VALUE"""),45098.5126781134)</f>
        <v>45098.51268</v>
      </c>
      <c r="D4410" s="15">
        <f>IFERROR(__xludf.DUMMYFUNCTION("""COMPUTED_VALUE"""),1.005)</f>
        <v>1.005</v>
      </c>
      <c r="E4410" s="16">
        <f>IFERROR(__xludf.DUMMYFUNCTION("""COMPUTED_VALUE"""),70.0)</f>
        <v>70</v>
      </c>
      <c r="F4410" s="19" t="str">
        <f>IFERROR(__xludf.DUMMYFUNCTION("""COMPUTED_VALUE"""),"BLACK")</f>
        <v>BLACK</v>
      </c>
      <c r="G4410" s="20" t="str">
        <f>IFERROR(__xludf.DUMMYFUNCTION("""COMPUTED_VALUE"""),"Uncle Sams Cider (04/04/2023)")</f>
        <v>Uncle Sams Cider (04/04/2023)</v>
      </c>
      <c r="H4410" s="19"/>
    </row>
    <row r="4411">
      <c r="A4411" s="9"/>
      <c r="B4411" s="15"/>
      <c r="C4411" s="9">
        <f>IFERROR(__xludf.DUMMYFUNCTION("""COMPUTED_VALUE"""),45098.5022450115)</f>
        <v>45098.50225</v>
      </c>
      <c r="D4411" s="15">
        <f>IFERROR(__xludf.DUMMYFUNCTION("""COMPUTED_VALUE"""),1.005)</f>
        <v>1.005</v>
      </c>
      <c r="E4411" s="16">
        <f>IFERROR(__xludf.DUMMYFUNCTION("""COMPUTED_VALUE"""),70.0)</f>
        <v>70</v>
      </c>
      <c r="F4411" s="19" t="str">
        <f>IFERROR(__xludf.DUMMYFUNCTION("""COMPUTED_VALUE"""),"BLACK")</f>
        <v>BLACK</v>
      </c>
      <c r="G4411" s="20" t="str">
        <f>IFERROR(__xludf.DUMMYFUNCTION("""COMPUTED_VALUE"""),"Uncle Sams Cider (04/04/2023)")</f>
        <v>Uncle Sams Cider (04/04/2023)</v>
      </c>
      <c r="H4411" s="19"/>
    </row>
    <row r="4412">
      <c r="A4412" s="9"/>
      <c r="B4412" s="15"/>
      <c r="C4412" s="9">
        <f>IFERROR(__xludf.DUMMYFUNCTION("""COMPUTED_VALUE"""),45098.4918239351)</f>
        <v>45098.49182</v>
      </c>
      <c r="D4412" s="15">
        <f>IFERROR(__xludf.DUMMYFUNCTION("""COMPUTED_VALUE"""),1.005)</f>
        <v>1.005</v>
      </c>
      <c r="E4412" s="16">
        <f>IFERROR(__xludf.DUMMYFUNCTION("""COMPUTED_VALUE"""),70.0)</f>
        <v>70</v>
      </c>
      <c r="F4412" s="19" t="str">
        <f>IFERROR(__xludf.DUMMYFUNCTION("""COMPUTED_VALUE"""),"BLACK")</f>
        <v>BLACK</v>
      </c>
      <c r="G4412" s="20" t="str">
        <f>IFERROR(__xludf.DUMMYFUNCTION("""COMPUTED_VALUE"""),"Uncle Sams Cider (04/04/2023)")</f>
        <v>Uncle Sams Cider (04/04/2023)</v>
      </c>
      <c r="H4412" s="19"/>
    </row>
    <row r="4413">
      <c r="A4413" s="9"/>
      <c r="B4413" s="15"/>
      <c r="C4413" s="9">
        <f>IFERROR(__xludf.DUMMYFUNCTION("""COMPUTED_VALUE"""),45098.4814033912)</f>
        <v>45098.4814</v>
      </c>
      <c r="D4413" s="15">
        <f>IFERROR(__xludf.DUMMYFUNCTION("""COMPUTED_VALUE"""),1.005)</f>
        <v>1.005</v>
      </c>
      <c r="E4413" s="16">
        <f>IFERROR(__xludf.DUMMYFUNCTION("""COMPUTED_VALUE"""),70.0)</f>
        <v>70</v>
      </c>
      <c r="F4413" s="19" t="str">
        <f>IFERROR(__xludf.DUMMYFUNCTION("""COMPUTED_VALUE"""),"BLACK")</f>
        <v>BLACK</v>
      </c>
      <c r="G4413" s="20" t="str">
        <f>IFERROR(__xludf.DUMMYFUNCTION("""COMPUTED_VALUE"""),"Uncle Sams Cider (04/04/2023)")</f>
        <v>Uncle Sams Cider (04/04/2023)</v>
      </c>
      <c r="H4413" s="19"/>
    </row>
    <row r="4414">
      <c r="A4414" s="9"/>
      <c r="B4414" s="15"/>
      <c r="C4414" s="9">
        <f>IFERROR(__xludf.DUMMYFUNCTION("""COMPUTED_VALUE"""),45098.4709815162)</f>
        <v>45098.47098</v>
      </c>
      <c r="D4414" s="15">
        <f>IFERROR(__xludf.DUMMYFUNCTION("""COMPUTED_VALUE"""),1.005)</f>
        <v>1.005</v>
      </c>
      <c r="E4414" s="16">
        <f>IFERROR(__xludf.DUMMYFUNCTION("""COMPUTED_VALUE"""),70.0)</f>
        <v>70</v>
      </c>
      <c r="F4414" s="19" t="str">
        <f>IFERROR(__xludf.DUMMYFUNCTION("""COMPUTED_VALUE"""),"BLACK")</f>
        <v>BLACK</v>
      </c>
      <c r="G4414" s="20" t="str">
        <f>IFERROR(__xludf.DUMMYFUNCTION("""COMPUTED_VALUE"""),"Uncle Sams Cider (04/04/2023)")</f>
        <v>Uncle Sams Cider (04/04/2023)</v>
      </c>
      <c r="H4414" s="19"/>
    </row>
    <row r="4415">
      <c r="A4415" s="9"/>
      <c r="B4415" s="15"/>
      <c r="C4415" s="9">
        <f>IFERROR(__xludf.DUMMYFUNCTION("""COMPUTED_VALUE"""),45098.4605608796)</f>
        <v>45098.46056</v>
      </c>
      <c r="D4415" s="15">
        <f>IFERROR(__xludf.DUMMYFUNCTION("""COMPUTED_VALUE"""),1.005)</f>
        <v>1.005</v>
      </c>
      <c r="E4415" s="16">
        <f>IFERROR(__xludf.DUMMYFUNCTION("""COMPUTED_VALUE"""),70.0)</f>
        <v>70</v>
      </c>
      <c r="F4415" s="19" t="str">
        <f>IFERROR(__xludf.DUMMYFUNCTION("""COMPUTED_VALUE"""),"BLACK")</f>
        <v>BLACK</v>
      </c>
      <c r="G4415" s="20" t="str">
        <f>IFERROR(__xludf.DUMMYFUNCTION("""COMPUTED_VALUE"""),"Uncle Sams Cider (04/04/2023)")</f>
        <v>Uncle Sams Cider (04/04/2023)</v>
      </c>
      <c r="H4415" s="19"/>
    </row>
    <row r="4416">
      <c r="A4416" s="9"/>
      <c r="B4416" s="15"/>
      <c r="C4416" s="9">
        <f>IFERROR(__xludf.DUMMYFUNCTION("""COMPUTED_VALUE"""),45098.450138831)</f>
        <v>45098.45014</v>
      </c>
      <c r="D4416" s="15">
        <f>IFERROR(__xludf.DUMMYFUNCTION("""COMPUTED_VALUE"""),1.005)</f>
        <v>1.005</v>
      </c>
      <c r="E4416" s="16">
        <f>IFERROR(__xludf.DUMMYFUNCTION("""COMPUTED_VALUE"""),70.0)</f>
        <v>70</v>
      </c>
      <c r="F4416" s="19" t="str">
        <f>IFERROR(__xludf.DUMMYFUNCTION("""COMPUTED_VALUE"""),"BLACK")</f>
        <v>BLACK</v>
      </c>
      <c r="G4416" s="20" t="str">
        <f>IFERROR(__xludf.DUMMYFUNCTION("""COMPUTED_VALUE"""),"Uncle Sams Cider (04/04/2023)")</f>
        <v>Uncle Sams Cider (04/04/2023)</v>
      </c>
      <c r="H4416" s="19"/>
    </row>
    <row r="4417">
      <c r="A4417" s="9"/>
      <c r="B4417" s="15"/>
      <c r="C4417" s="9">
        <f>IFERROR(__xludf.DUMMYFUNCTION("""COMPUTED_VALUE"""),45098.4397169328)</f>
        <v>45098.43972</v>
      </c>
      <c r="D4417" s="15">
        <f>IFERROR(__xludf.DUMMYFUNCTION("""COMPUTED_VALUE"""),1.005)</f>
        <v>1.005</v>
      </c>
      <c r="E4417" s="16">
        <f>IFERROR(__xludf.DUMMYFUNCTION("""COMPUTED_VALUE"""),70.0)</f>
        <v>70</v>
      </c>
      <c r="F4417" s="19" t="str">
        <f>IFERROR(__xludf.DUMMYFUNCTION("""COMPUTED_VALUE"""),"BLACK")</f>
        <v>BLACK</v>
      </c>
      <c r="G4417" s="20" t="str">
        <f>IFERROR(__xludf.DUMMYFUNCTION("""COMPUTED_VALUE"""),"Uncle Sams Cider (04/04/2023)")</f>
        <v>Uncle Sams Cider (04/04/2023)</v>
      </c>
      <c r="H4417" s="19"/>
    </row>
    <row r="4418">
      <c r="A4418" s="9"/>
      <c r="B4418" s="15"/>
      <c r="C4418" s="9">
        <f>IFERROR(__xludf.DUMMYFUNCTION("""COMPUTED_VALUE"""),45098.4292954629)</f>
        <v>45098.4293</v>
      </c>
      <c r="D4418" s="15">
        <f>IFERROR(__xludf.DUMMYFUNCTION("""COMPUTED_VALUE"""),1.005)</f>
        <v>1.005</v>
      </c>
      <c r="E4418" s="16">
        <f>IFERROR(__xludf.DUMMYFUNCTION("""COMPUTED_VALUE"""),70.0)</f>
        <v>70</v>
      </c>
      <c r="F4418" s="19" t="str">
        <f>IFERROR(__xludf.DUMMYFUNCTION("""COMPUTED_VALUE"""),"BLACK")</f>
        <v>BLACK</v>
      </c>
      <c r="G4418" s="20" t="str">
        <f>IFERROR(__xludf.DUMMYFUNCTION("""COMPUTED_VALUE"""),"Uncle Sams Cider (04/04/2023)")</f>
        <v>Uncle Sams Cider (04/04/2023)</v>
      </c>
      <c r="H4418" s="19"/>
    </row>
    <row r="4419">
      <c r="A4419" s="9"/>
      <c r="B4419" s="15"/>
      <c r="C4419" s="9">
        <f>IFERROR(__xludf.DUMMYFUNCTION("""COMPUTED_VALUE"""),45098.4188626273)</f>
        <v>45098.41886</v>
      </c>
      <c r="D4419" s="15">
        <f>IFERROR(__xludf.DUMMYFUNCTION("""COMPUTED_VALUE"""),1.005)</f>
        <v>1.005</v>
      </c>
      <c r="E4419" s="16">
        <f>IFERROR(__xludf.DUMMYFUNCTION("""COMPUTED_VALUE"""),70.0)</f>
        <v>70</v>
      </c>
      <c r="F4419" s="19" t="str">
        <f>IFERROR(__xludf.DUMMYFUNCTION("""COMPUTED_VALUE"""),"BLACK")</f>
        <v>BLACK</v>
      </c>
      <c r="G4419" s="20" t="str">
        <f>IFERROR(__xludf.DUMMYFUNCTION("""COMPUTED_VALUE"""),"Uncle Sams Cider (04/04/2023)")</f>
        <v>Uncle Sams Cider (04/04/2023)</v>
      </c>
      <c r="H4419" s="19"/>
    </row>
    <row r="4420">
      <c r="A4420" s="9"/>
      <c r="B4420" s="15"/>
      <c r="C4420" s="9">
        <f>IFERROR(__xludf.DUMMYFUNCTION("""COMPUTED_VALUE"""),45098.4084426273)</f>
        <v>45098.40844</v>
      </c>
      <c r="D4420" s="15">
        <f>IFERROR(__xludf.DUMMYFUNCTION("""COMPUTED_VALUE"""),1.005)</f>
        <v>1.005</v>
      </c>
      <c r="E4420" s="16">
        <f>IFERROR(__xludf.DUMMYFUNCTION("""COMPUTED_VALUE"""),70.0)</f>
        <v>70</v>
      </c>
      <c r="F4420" s="19" t="str">
        <f>IFERROR(__xludf.DUMMYFUNCTION("""COMPUTED_VALUE"""),"BLACK")</f>
        <v>BLACK</v>
      </c>
      <c r="G4420" s="20" t="str">
        <f>IFERROR(__xludf.DUMMYFUNCTION("""COMPUTED_VALUE"""),"Uncle Sams Cider (04/04/2023)")</f>
        <v>Uncle Sams Cider (04/04/2023)</v>
      </c>
      <c r="H4420" s="19"/>
    </row>
    <row r="4421">
      <c r="A4421" s="9"/>
      <c r="B4421" s="15"/>
      <c r="C4421" s="9">
        <f>IFERROR(__xludf.DUMMYFUNCTION("""COMPUTED_VALUE"""),45098.3980221875)</f>
        <v>45098.39802</v>
      </c>
      <c r="D4421" s="15">
        <f>IFERROR(__xludf.DUMMYFUNCTION("""COMPUTED_VALUE"""),1.005)</f>
        <v>1.005</v>
      </c>
      <c r="E4421" s="16">
        <f>IFERROR(__xludf.DUMMYFUNCTION("""COMPUTED_VALUE"""),70.0)</f>
        <v>70</v>
      </c>
      <c r="F4421" s="19" t="str">
        <f>IFERROR(__xludf.DUMMYFUNCTION("""COMPUTED_VALUE"""),"BLACK")</f>
        <v>BLACK</v>
      </c>
      <c r="G4421" s="20" t="str">
        <f>IFERROR(__xludf.DUMMYFUNCTION("""COMPUTED_VALUE"""),"Uncle Sams Cider (04/04/2023)")</f>
        <v>Uncle Sams Cider (04/04/2023)</v>
      </c>
      <c r="H4421" s="19"/>
    </row>
    <row r="4422">
      <c r="A4422" s="9"/>
      <c r="B4422" s="15"/>
      <c r="C4422" s="9">
        <f>IFERROR(__xludf.DUMMYFUNCTION("""COMPUTED_VALUE"""),45098.3875540277)</f>
        <v>45098.38755</v>
      </c>
      <c r="D4422" s="15">
        <f>IFERROR(__xludf.DUMMYFUNCTION("""COMPUTED_VALUE"""),1.005)</f>
        <v>1.005</v>
      </c>
      <c r="E4422" s="16">
        <f>IFERROR(__xludf.DUMMYFUNCTION("""COMPUTED_VALUE"""),70.0)</f>
        <v>70</v>
      </c>
      <c r="F4422" s="19" t="str">
        <f>IFERROR(__xludf.DUMMYFUNCTION("""COMPUTED_VALUE"""),"BLACK")</f>
        <v>BLACK</v>
      </c>
      <c r="G4422" s="20" t="str">
        <f>IFERROR(__xludf.DUMMYFUNCTION("""COMPUTED_VALUE"""),"Uncle Sams Cider (04/04/2023)")</f>
        <v>Uncle Sams Cider (04/04/2023)</v>
      </c>
      <c r="H4422" s="19"/>
    </row>
    <row r="4423">
      <c r="A4423" s="9"/>
      <c r="B4423" s="15"/>
      <c r="C4423" s="9">
        <f>IFERROR(__xludf.DUMMYFUNCTION("""COMPUTED_VALUE"""),45098.3771328009)</f>
        <v>45098.37713</v>
      </c>
      <c r="D4423" s="15">
        <f>IFERROR(__xludf.DUMMYFUNCTION("""COMPUTED_VALUE"""),1.005)</f>
        <v>1.005</v>
      </c>
      <c r="E4423" s="16">
        <f>IFERROR(__xludf.DUMMYFUNCTION("""COMPUTED_VALUE"""),70.0)</f>
        <v>70</v>
      </c>
      <c r="F4423" s="19" t="str">
        <f>IFERROR(__xludf.DUMMYFUNCTION("""COMPUTED_VALUE"""),"BLACK")</f>
        <v>BLACK</v>
      </c>
      <c r="G4423" s="20" t="str">
        <f>IFERROR(__xludf.DUMMYFUNCTION("""COMPUTED_VALUE"""),"Uncle Sams Cider (04/04/2023)")</f>
        <v>Uncle Sams Cider (04/04/2023)</v>
      </c>
      <c r="H4423" s="19"/>
    </row>
    <row r="4424">
      <c r="A4424" s="9"/>
      <c r="B4424" s="15"/>
      <c r="C4424" s="9">
        <f>IFERROR(__xludf.DUMMYFUNCTION("""COMPUTED_VALUE"""),45098.3667102546)</f>
        <v>45098.36671</v>
      </c>
      <c r="D4424" s="15">
        <f>IFERROR(__xludf.DUMMYFUNCTION("""COMPUTED_VALUE"""),1.005)</f>
        <v>1.005</v>
      </c>
      <c r="E4424" s="16">
        <f>IFERROR(__xludf.DUMMYFUNCTION("""COMPUTED_VALUE"""),70.0)</f>
        <v>70</v>
      </c>
      <c r="F4424" s="19" t="str">
        <f>IFERROR(__xludf.DUMMYFUNCTION("""COMPUTED_VALUE"""),"BLACK")</f>
        <v>BLACK</v>
      </c>
      <c r="G4424" s="20" t="str">
        <f>IFERROR(__xludf.DUMMYFUNCTION("""COMPUTED_VALUE"""),"Uncle Sams Cider (04/04/2023)")</f>
        <v>Uncle Sams Cider (04/04/2023)</v>
      </c>
      <c r="H4424" s="19"/>
    </row>
    <row r="4425">
      <c r="A4425" s="9"/>
      <c r="B4425" s="15"/>
      <c r="C4425" s="9">
        <f>IFERROR(__xludf.DUMMYFUNCTION("""COMPUTED_VALUE"""),45098.3562776967)</f>
        <v>45098.35628</v>
      </c>
      <c r="D4425" s="15">
        <f>IFERROR(__xludf.DUMMYFUNCTION("""COMPUTED_VALUE"""),1.005)</f>
        <v>1.005</v>
      </c>
      <c r="E4425" s="16">
        <f>IFERROR(__xludf.DUMMYFUNCTION("""COMPUTED_VALUE"""),70.0)</f>
        <v>70</v>
      </c>
      <c r="F4425" s="19" t="str">
        <f>IFERROR(__xludf.DUMMYFUNCTION("""COMPUTED_VALUE"""),"BLACK")</f>
        <v>BLACK</v>
      </c>
      <c r="G4425" s="20" t="str">
        <f>IFERROR(__xludf.DUMMYFUNCTION("""COMPUTED_VALUE"""),"Uncle Sams Cider (04/04/2023)")</f>
        <v>Uncle Sams Cider (04/04/2023)</v>
      </c>
      <c r="H4425" s="19"/>
    </row>
    <row r="4426">
      <c r="A4426" s="9"/>
      <c r="B4426" s="15"/>
      <c r="C4426" s="9">
        <f>IFERROR(__xludf.DUMMYFUNCTION("""COMPUTED_VALUE"""),45098.3458550578)</f>
        <v>45098.34586</v>
      </c>
      <c r="D4426" s="15">
        <f>IFERROR(__xludf.DUMMYFUNCTION("""COMPUTED_VALUE"""),1.005)</f>
        <v>1.005</v>
      </c>
      <c r="E4426" s="16">
        <f>IFERROR(__xludf.DUMMYFUNCTION("""COMPUTED_VALUE"""),70.0)</f>
        <v>70</v>
      </c>
      <c r="F4426" s="19" t="str">
        <f>IFERROR(__xludf.DUMMYFUNCTION("""COMPUTED_VALUE"""),"BLACK")</f>
        <v>BLACK</v>
      </c>
      <c r="G4426" s="20" t="str">
        <f>IFERROR(__xludf.DUMMYFUNCTION("""COMPUTED_VALUE"""),"Uncle Sams Cider (04/04/2023)")</f>
        <v>Uncle Sams Cider (04/04/2023)</v>
      </c>
      <c r="H4426" s="19"/>
    </row>
    <row r="4427">
      <c r="A4427" s="9"/>
      <c r="B4427" s="15"/>
      <c r="C4427" s="9">
        <f>IFERROR(__xludf.DUMMYFUNCTION("""COMPUTED_VALUE"""),45098.3354323263)</f>
        <v>45098.33543</v>
      </c>
      <c r="D4427" s="15">
        <f>IFERROR(__xludf.DUMMYFUNCTION("""COMPUTED_VALUE"""),1.005)</f>
        <v>1.005</v>
      </c>
      <c r="E4427" s="16">
        <f>IFERROR(__xludf.DUMMYFUNCTION("""COMPUTED_VALUE"""),70.0)</f>
        <v>70</v>
      </c>
      <c r="F4427" s="19" t="str">
        <f>IFERROR(__xludf.DUMMYFUNCTION("""COMPUTED_VALUE"""),"BLACK")</f>
        <v>BLACK</v>
      </c>
      <c r="G4427" s="20" t="str">
        <f>IFERROR(__xludf.DUMMYFUNCTION("""COMPUTED_VALUE"""),"Uncle Sams Cider (04/04/2023)")</f>
        <v>Uncle Sams Cider (04/04/2023)</v>
      </c>
      <c r="H4427" s="19"/>
    </row>
    <row r="4428">
      <c r="A4428" s="9"/>
      <c r="B4428" s="15"/>
      <c r="C4428" s="9">
        <f>IFERROR(__xludf.DUMMYFUNCTION("""COMPUTED_VALUE"""),45098.3250121643)</f>
        <v>45098.32501</v>
      </c>
      <c r="D4428" s="15">
        <f>IFERROR(__xludf.DUMMYFUNCTION("""COMPUTED_VALUE"""),1.005)</f>
        <v>1.005</v>
      </c>
      <c r="E4428" s="16">
        <f>IFERROR(__xludf.DUMMYFUNCTION("""COMPUTED_VALUE"""),70.0)</f>
        <v>70</v>
      </c>
      <c r="F4428" s="19" t="str">
        <f>IFERROR(__xludf.DUMMYFUNCTION("""COMPUTED_VALUE"""),"BLACK")</f>
        <v>BLACK</v>
      </c>
      <c r="G4428" s="20" t="str">
        <f>IFERROR(__xludf.DUMMYFUNCTION("""COMPUTED_VALUE"""),"Uncle Sams Cider (04/04/2023)")</f>
        <v>Uncle Sams Cider (04/04/2023)</v>
      </c>
      <c r="H4428" s="19"/>
    </row>
    <row r="4429">
      <c r="A4429" s="9"/>
      <c r="B4429" s="15"/>
      <c r="C4429" s="9">
        <f>IFERROR(__xludf.DUMMYFUNCTION("""COMPUTED_VALUE"""),45098.3145918055)</f>
        <v>45098.31459</v>
      </c>
      <c r="D4429" s="15">
        <f>IFERROR(__xludf.DUMMYFUNCTION("""COMPUTED_VALUE"""),1.005)</f>
        <v>1.005</v>
      </c>
      <c r="E4429" s="16">
        <f>IFERROR(__xludf.DUMMYFUNCTION("""COMPUTED_VALUE"""),70.0)</f>
        <v>70</v>
      </c>
      <c r="F4429" s="19" t="str">
        <f>IFERROR(__xludf.DUMMYFUNCTION("""COMPUTED_VALUE"""),"BLACK")</f>
        <v>BLACK</v>
      </c>
      <c r="G4429" s="20" t="str">
        <f>IFERROR(__xludf.DUMMYFUNCTION("""COMPUTED_VALUE"""),"Uncle Sams Cider (04/04/2023)")</f>
        <v>Uncle Sams Cider (04/04/2023)</v>
      </c>
      <c r="H4429" s="19"/>
    </row>
    <row r="4430">
      <c r="A4430" s="9"/>
      <c r="B4430" s="15"/>
      <c r="C4430" s="9">
        <f>IFERROR(__xludf.DUMMYFUNCTION("""COMPUTED_VALUE"""),45098.3041699421)</f>
        <v>45098.30417</v>
      </c>
      <c r="D4430" s="15">
        <f>IFERROR(__xludf.DUMMYFUNCTION("""COMPUTED_VALUE"""),1.005)</f>
        <v>1.005</v>
      </c>
      <c r="E4430" s="16">
        <f>IFERROR(__xludf.DUMMYFUNCTION("""COMPUTED_VALUE"""),70.0)</f>
        <v>70</v>
      </c>
      <c r="F4430" s="19" t="str">
        <f>IFERROR(__xludf.DUMMYFUNCTION("""COMPUTED_VALUE"""),"BLACK")</f>
        <v>BLACK</v>
      </c>
      <c r="G4430" s="20" t="str">
        <f>IFERROR(__xludf.DUMMYFUNCTION("""COMPUTED_VALUE"""),"Uncle Sams Cider (04/04/2023)")</f>
        <v>Uncle Sams Cider (04/04/2023)</v>
      </c>
      <c r="H4430" s="19"/>
    </row>
    <row r="4431">
      <c r="A4431" s="9"/>
      <c r="B4431" s="15"/>
      <c r="C4431" s="9">
        <f>IFERROR(__xludf.DUMMYFUNCTION("""COMPUTED_VALUE"""),45098.2937480324)</f>
        <v>45098.29375</v>
      </c>
      <c r="D4431" s="15">
        <f>IFERROR(__xludf.DUMMYFUNCTION("""COMPUTED_VALUE"""),1.005)</f>
        <v>1.005</v>
      </c>
      <c r="E4431" s="16">
        <f>IFERROR(__xludf.DUMMYFUNCTION("""COMPUTED_VALUE"""),70.0)</f>
        <v>70</v>
      </c>
      <c r="F4431" s="19" t="str">
        <f>IFERROR(__xludf.DUMMYFUNCTION("""COMPUTED_VALUE"""),"BLACK")</f>
        <v>BLACK</v>
      </c>
      <c r="G4431" s="20" t="str">
        <f>IFERROR(__xludf.DUMMYFUNCTION("""COMPUTED_VALUE"""),"Uncle Sams Cider (04/04/2023)")</f>
        <v>Uncle Sams Cider (04/04/2023)</v>
      </c>
      <c r="H4431" s="19"/>
    </row>
    <row r="4432">
      <c r="A4432" s="9"/>
      <c r="B4432" s="15"/>
      <c r="C4432" s="9">
        <f>IFERROR(__xludf.DUMMYFUNCTION("""COMPUTED_VALUE"""),45098.2833265509)</f>
        <v>45098.28333</v>
      </c>
      <c r="D4432" s="15">
        <f>IFERROR(__xludf.DUMMYFUNCTION("""COMPUTED_VALUE"""),1.005)</f>
        <v>1.005</v>
      </c>
      <c r="E4432" s="16">
        <f>IFERROR(__xludf.DUMMYFUNCTION("""COMPUTED_VALUE"""),70.0)</f>
        <v>70</v>
      </c>
      <c r="F4432" s="19" t="str">
        <f>IFERROR(__xludf.DUMMYFUNCTION("""COMPUTED_VALUE"""),"BLACK")</f>
        <v>BLACK</v>
      </c>
      <c r="G4432" s="20" t="str">
        <f>IFERROR(__xludf.DUMMYFUNCTION("""COMPUTED_VALUE"""),"Uncle Sams Cider (04/04/2023)")</f>
        <v>Uncle Sams Cider (04/04/2023)</v>
      </c>
      <c r="H4432" s="19"/>
    </row>
    <row r="4433">
      <c r="A4433" s="9"/>
      <c r="B4433" s="15"/>
      <c r="C4433" s="9">
        <f>IFERROR(__xludf.DUMMYFUNCTION("""COMPUTED_VALUE"""),45098.2729048263)</f>
        <v>45098.2729</v>
      </c>
      <c r="D4433" s="15">
        <f>IFERROR(__xludf.DUMMYFUNCTION("""COMPUTED_VALUE"""),1.005)</f>
        <v>1.005</v>
      </c>
      <c r="E4433" s="16">
        <f>IFERROR(__xludf.DUMMYFUNCTION("""COMPUTED_VALUE"""),70.0)</f>
        <v>70</v>
      </c>
      <c r="F4433" s="19" t="str">
        <f>IFERROR(__xludf.DUMMYFUNCTION("""COMPUTED_VALUE"""),"BLACK")</f>
        <v>BLACK</v>
      </c>
      <c r="G4433" s="20" t="str">
        <f>IFERROR(__xludf.DUMMYFUNCTION("""COMPUTED_VALUE"""),"Uncle Sams Cider (04/04/2023)")</f>
        <v>Uncle Sams Cider (04/04/2023)</v>
      </c>
      <c r="H4433" s="19"/>
    </row>
    <row r="4434">
      <c r="A4434" s="9"/>
      <c r="B4434" s="15"/>
      <c r="C4434" s="9">
        <f>IFERROR(__xludf.DUMMYFUNCTION("""COMPUTED_VALUE"""),45098.2624850925)</f>
        <v>45098.26249</v>
      </c>
      <c r="D4434" s="15">
        <f>IFERROR(__xludf.DUMMYFUNCTION("""COMPUTED_VALUE"""),1.005)</f>
        <v>1.005</v>
      </c>
      <c r="E4434" s="16">
        <f>IFERROR(__xludf.DUMMYFUNCTION("""COMPUTED_VALUE"""),70.0)</f>
        <v>70</v>
      </c>
      <c r="F4434" s="19" t="str">
        <f>IFERROR(__xludf.DUMMYFUNCTION("""COMPUTED_VALUE"""),"BLACK")</f>
        <v>BLACK</v>
      </c>
      <c r="G4434" s="20" t="str">
        <f>IFERROR(__xludf.DUMMYFUNCTION("""COMPUTED_VALUE"""),"Uncle Sams Cider (04/04/2023)")</f>
        <v>Uncle Sams Cider (04/04/2023)</v>
      </c>
      <c r="H4434" s="19"/>
    </row>
    <row r="4435">
      <c r="A4435" s="9"/>
      <c r="B4435" s="15"/>
      <c r="C4435" s="9">
        <f>IFERROR(__xludf.DUMMYFUNCTION("""COMPUTED_VALUE"""),45098.2520621296)</f>
        <v>45098.25206</v>
      </c>
      <c r="D4435" s="15">
        <f>IFERROR(__xludf.DUMMYFUNCTION("""COMPUTED_VALUE"""),1.005)</f>
        <v>1.005</v>
      </c>
      <c r="E4435" s="16">
        <f>IFERROR(__xludf.DUMMYFUNCTION("""COMPUTED_VALUE"""),70.0)</f>
        <v>70</v>
      </c>
      <c r="F4435" s="19" t="str">
        <f>IFERROR(__xludf.DUMMYFUNCTION("""COMPUTED_VALUE"""),"BLACK")</f>
        <v>BLACK</v>
      </c>
      <c r="G4435" s="20" t="str">
        <f>IFERROR(__xludf.DUMMYFUNCTION("""COMPUTED_VALUE"""),"Uncle Sams Cider (04/04/2023)")</f>
        <v>Uncle Sams Cider (04/04/2023)</v>
      </c>
      <c r="H4435" s="19"/>
    </row>
    <row r="4436">
      <c r="A4436" s="9"/>
      <c r="B4436" s="15"/>
      <c r="C4436" s="9">
        <f>IFERROR(__xludf.DUMMYFUNCTION("""COMPUTED_VALUE"""),45098.2416282175)</f>
        <v>45098.24163</v>
      </c>
      <c r="D4436" s="15">
        <f>IFERROR(__xludf.DUMMYFUNCTION("""COMPUTED_VALUE"""),1.005)</f>
        <v>1.005</v>
      </c>
      <c r="E4436" s="16">
        <f>IFERROR(__xludf.DUMMYFUNCTION("""COMPUTED_VALUE"""),70.0)</f>
        <v>70</v>
      </c>
      <c r="F4436" s="19" t="str">
        <f>IFERROR(__xludf.DUMMYFUNCTION("""COMPUTED_VALUE"""),"BLACK")</f>
        <v>BLACK</v>
      </c>
      <c r="G4436" s="20" t="str">
        <f>IFERROR(__xludf.DUMMYFUNCTION("""COMPUTED_VALUE"""),"Uncle Sams Cider (04/04/2023)")</f>
        <v>Uncle Sams Cider (04/04/2023)</v>
      </c>
      <c r="H4436" s="19"/>
    </row>
    <row r="4437">
      <c r="A4437" s="9"/>
      <c r="B4437" s="15"/>
      <c r="C4437" s="9">
        <f>IFERROR(__xludf.DUMMYFUNCTION("""COMPUTED_VALUE"""),45098.2312056944)</f>
        <v>45098.23121</v>
      </c>
      <c r="D4437" s="15">
        <f>IFERROR(__xludf.DUMMYFUNCTION("""COMPUTED_VALUE"""),1.005)</f>
        <v>1.005</v>
      </c>
      <c r="E4437" s="16">
        <f>IFERROR(__xludf.DUMMYFUNCTION("""COMPUTED_VALUE"""),70.0)</f>
        <v>70</v>
      </c>
      <c r="F4437" s="19" t="str">
        <f>IFERROR(__xludf.DUMMYFUNCTION("""COMPUTED_VALUE"""),"BLACK")</f>
        <v>BLACK</v>
      </c>
      <c r="G4437" s="20" t="str">
        <f>IFERROR(__xludf.DUMMYFUNCTION("""COMPUTED_VALUE"""),"Uncle Sams Cider (04/04/2023)")</f>
        <v>Uncle Sams Cider (04/04/2023)</v>
      </c>
      <c r="H4437" s="19"/>
    </row>
    <row r="4438">
      <c r="A4438" s="9"/>
      <c r="B4438" s="15"/>
      <c r="C4438" s="9">
        <f>IFERROR(__xludf.DUMMYFUNCTION("""COMPUTED_VALUE"""),45098.2207839814)</f>
        <v>45098.22078</v>
      </c>
      <c r="D4438" s="15">
        <f>IFERROR(__xludf.DUMMYFUNCTION("""COMPUTED_VALUE"""),1.005)</f>
        <v>1.005</v>
      </c>
      <c r="E4438" s="16">
        <f>IFERROR(__xludf.DUMMYFUNCTION("""COMPUTED_VALUE"""),70.0)</f>
        <v>70</v>
      </c>
      <c r="F4438" s="19" t="str">
        <f>IFERROR(__xludf.DUMMYFUNCTION("""COMPUTED_VALUE"""),"BLACK")</f>
        <v>BLACK</v>
      </c>
      <c r="G4438" s="20" t="str">
        <f>IFERROR(__xludf.DUMMYFUNCTION("""COMPUTED_VALUE"""),"Uncle Sams Cider (04/04/2023)")</f>
        <v>Uncle Sams Cider (04/04/2023)</v>
      </c>
      <c r="H4438" s="19"/>
    </row>
    <row r="4439">
      <c r="A4439" s="9"/>
      <c r="B4439" s="15"/>
      <c r="C4439" s="9">
        <f>IFERROR(__xludf.DUMMYFUNCTION("""COMPUTED_VALUE"""),45098.2103613078)</f>
        <v>45098.21036</v>
      </c>
      <c r="D4439" s="15">
        <f>IFERROR(__xludf.DUMMYFUNCTION("""COMPUTED_VALUE"""),1.005)</f>
        <v>1.005</v>
      </c>
      <c r="E4439" s="16">
        <f>IFERROR(__xludf.DUMMYFUNCTION("""COMPUTED_VALUE"""),70.0)</f>
        <v>70</v>
      </c>
      <c r="F4439" s="19" t="str">
        <f>IFERROR(__xludf.DUMMYFUNCTION("""COMPUTED_VALUE"""),"BLACK")</f>
        <v>BLACK</v>
      </c>
      <c r="G4439" s="20" t="str">
        <f>IFERROR(__xludf.DUMMYFUNCTION("""COMPUTED_VALUE"""),"Uncle Sams Cider (04/04/2023)")</f>
        <v>Uncle Sams Cider (04/04/2023)</v>
      </c>
      <c r="H4439" s="19"/>
    </row>
    <row r="4440">
      <c r="A4440" s="9"/>
      <c r="B4440" s="15"/>
      <c r="C4440" s="9">
        <f>IFERROR(__xludf.DUMMYFUNCTION("""COMPUTED_VALUE"""),45098.1999409143)</f>
        <v>45098.19994</v>
      </c>
      <c r="D4440" s="15">
        <f>IFERROR(__xludf.DUMMYFUNCTION("""COMPUTED_VALUE"""),1.005)</f>
        <v>1.005</v>
      </c>
      <c r="E4440" s="16">
        <f>IFERROR(__xludf.DUMMYFUNCTION("""COMPUTED_VALUE"""),70.0)</f>
        <v>70</v>
      </c>
      <c r="F4440" s="19" t="str">
        <f>IFERROR(__xludf.DUMMYFUNCTION("""COMPUTED_VALUE"""),"BLACK")</f>
        <v>BLACK</v>
      </c>
      <c r="G4440" s="20" t="str">
        <f>IFERROR(__xludf.DUMMYFUNCTION("""COMPUTED_VALUE"""),"Uncle Sams Cider (04/04/2023)")</f>
        <v>Uncle Sams Cider (04/04/2023)</v>
      </c>
      <c r="H4440" s="19"/>
    </row>
    <row r="4441">
      <c r="A4441" s="9"/>
      <c r="B4441" s="15"/>
      <c r="C4441" s="9">
        <f>IFERROR(__xludf.DUMMYFUNCTION("""COMPUTED_VALUE"""),45098.189519155)</f>
        <v>45098.18952</v>
      </c>
      <c r="D4441" s="15">
        <f>IFERROR(__xludf.DUMMYFUNCTION("""COMPUTED_VALUE"""),1.005)</f>
        <v>1.005</v>
      </c>
      <c r="E4441" s="16">
        <f>IFERROR(__xludf.DUMMYFUNCTION("""COMPUTED_VALUE"""),70.0)</f>
        <v>70</v>
      </c>
      <c r="F4441" s="19" t="str">
        <f>IFERROR(__xludf.DUMMYFUNCTION("""COMPUTED_VALUE"""),"BLACK")</f>
        <v>BLACK</v>
      </c>
      <c r="G4441" s="20" t="str">
        <f>IFERROR(__xludf.DUMMYFUNCTION("""COMPUTED_VALUE"""),"Uncle Sams Cider (04/04/2023)")</f>
        <v>Uncle Sams Cider (04/04/2023)</v>
      </c>
      <c r="H4441" s="19"/>
    </row>
    <row r="4442">
      <c r="A4442" s="9"/>
      <c r="B4442" s="15"/>
      <c r="C4442" s="9">
        <f>IFERROR(__xludf.DUMMYFUNCTION("""COMPUTED_VALUE"""),45098.1790983796)</f>
        <v>45098.1791</v>
      </c>
      <c r="D4442" s="15">
        <f>IFERROR(__xludf.DUMMYFUNCTION("""COMPUTED_VALUE"""),1.005)</f>
        <v>1.005</v>
      </c>
      <c r="E4442" s="16">
        <f>IFERROR(__xludf.DUMMYFUNCTION("""COMPUTED_VALUE"""),70.0)</f>
        <v>70</v>
      </c>
      <c r="F4442" s="19" t="str">
        <f>IFERROR(__xludf.DUMMYFUNCTION("""COMPUTED_VALUE"""),"BLACK")</f>
        <v>BLACK</v>
      </c>
      <c r="G4442" s="20" t="str">
        <f>IFERROR(__xludf.DUMMYFUNCTION("""COMPUTED_VALUE"""),"Uncle Sams Cider (04/04/2023)")</f>
        <v>Uncle Sams Cider (04/04/2023)</v>
      </c>
      <c r="H4442" s="19"/>
    </row>
    <row r="4443">
      <c r="A4443" s="9"/>
      <c r="B4443" s="15"/>
      <c r="C4443" s="9">
        <f>IFERROR(__xludf.DUMMYFUNCTION("""COMPUTED_VALUE"""),45098.1686770949)</f>
        <v>45098.16868</v>
      </c>
      <c r="D4443" s="15">
        <f>IFERROR(__xludf.DUMMYFUNCTION("""COMPUTED_VALUE"""),1.005)</f>
        <v>1.005</v>
      </c>
      <c r="E4443" s="16">
        <f>IFERROR(__xludf.DUMMYFUNCTION("""COMPUTED_VALUE"""),70.0)</f>
        <v>70</v>
      </c>
      <c r="F4443" s="19" t="str">
        <f>IFERROR(__xludf.DUMMYFUNCTION("""COMPUTED_VALUE"""),"BLACK")</f>
        <v>BLACK</v>
      </c>
      <c r="G4443" s="20" t="str">
        <f>IFERROR(__xludf.DUMMYFUNCTION("""COMPUTED_VALUE"""),"Uncle Sams Cider (04/04/2023)")</f>
        <v>Uncle Sams Cider (04/04/2023)</v>
      </c>
      <c r="H4443" s="19"/>
    </row>
    <row r="4444">
      <c r="A4444" s="9"/>
      <c r="B4444" s="15"/>
      <c r="C4444" s="9">
        <f>IFERROR(__xludf.DUMMYFUNCTION("""COMPUTED_VALUE"""),45098.158256875)</f>
        <v>45098.15826</v>
      </c>
      <c r="D4444" s="15">
        <f>IFERROR(__xludf.DUMMYFUNCTION("""COMPUTED_VALUE"""),1.005)</f>
        <v>1.005</v>
      </c>
      <c r="E4444" s="16">
        <f>IFERROR(__xludf.DUMMYFUNCTION("""COMPUTED_VALUE"""),70.0)</f>
        <v>70</v>
      </c>
      <c r="F4444" s="19" t="str">
        <f>IFERROR(__xludf.DUMMYFUNCTION("""COMPUTED_VALUE"""),"BLACK")</f>
        <v>BLACK</v>
      </c>
      <c r="G4444" s="20" t="str">
        <f>IFERROR(__xludf.DUMMYFUNCTION("""COMPUTED_VALUE"""),"Uncle Sams Cider (04/04/2023)")</f>
        <v>Uncle Sams Cider (04/04/2023)</v>
      </c>
      <c r="H4444" s="19"/>
    </row>
    <row r="4445">
      <c r="A4445" s="9"/>
      <c r="B4445" s="15"/>
      <c r="C4445" s="9">
        <f>IFERROR(__xludf.DUMMYFUNCTION("""COMPUTED_VALUE"""),45098.1478230787)</f>
        <v>45098.14782</v>
      </c>
      <c r="D4445" s="15">
        <f>IFERROR(__xludf.DUMMYFUNCTION("""COMPUTED_VALUE"""),1.005)</f>
        <v>1.005</v>
      </c>
      <c r="E4445" s="16">
        <f>IFERROR(__xludf.DUMMYFUNCTION("""COMPUTED_VALUE"""),70.0)</f>
        <v>70</v>
      </c>
      <c r="F4445" s="19" t="str">
        <f>IFERROR(__xludf.DUMMYFUNCTION("""COMPUTED_VALUE"""),"BLACK")</f>
        <v>BLACK</v>
      </c>
      <c r="G4445" s="20" t="str">
        <f>IFERROR(__xludf.DUMMYFUNCTION("""COMPUTED_VALUE"""),"Uncle Sams Cider (04/04/2023)")</f>
        <v>Uncle Sams Cider (04/04/2023)</v>
      </c>
      <c r="H4445" s="19"/>
    </row>
    <row r="4446">
      <c r="A4446" s="9"/>
      <c r="B4446" s="15"/>
      <c r="C4446" s="9">
        <f>IFERROR(__xludf.DUMMYFUNCTION("""COMPUTED_VALUE"""),45098.1374000231)</f>
        <v>45098.1374</v>
      </c>
      <c r="D4446" s="15">
        <f>IFERROR(__xludf.DUMMYFUNCTION("""COMPUTED_VALUE"""),1.005)</f>
        <v>1.005</v>
      </c>
      <c r="E4446" s="16">
        <f>IFERROR(__xludf.DUMMYFUNCTION("""COMPUTED_VALUE"""),70.0)</f>
        <v>70</v>
      </c>
      <c r="F4446" s="19" t="str">
        <f>IFERROR(__xludf.DUMMYFUNCTION("""COMPUTED_VALUE"""),"BLACK")</f>
        <v>BLACK</v>
      </c>
      <c r="G4446" s="20" t="str">
        <f>IFERROR(__xludf.DUMMYFUNCTION("""COMPUTED_VALUE"""),"Uncle Sams Cider (04/04/2023)")</f>
        <v>Uncle Sams Cider (04/04/2023)</v>
      </c>
      <c r="H4446" s="19"/>
    </row>
    <row r="4447">
      <c r="A4447" s="9"/>
      <c r="B4447" s="15"/>
      <c r="C4447" s="9">
        <f>IFERROR(__xludf.DUMMYFUNCTION("""COMPUTED_VALUE"""),45098.1269801851)</f>
        <v>45098.12698</v>
      </c>
      <c r="D4447" s="15">
        <f>IFERROR(__xludf.DUMMYFUNCTION("""COMPUTED_VALUE"""),1.005)</f>
        <v>1.005</v>
      </c>
      <c r="E4447" s="16">
        <f>IFERROR(__xludf.DUMMYFUNCTION("""COMPUTED_VALUE"""),70.0)</f>
        <v>70</v>
      </c>
      <c r="F4447" s="19" t="str">
        <f>IFERROR(__xludf.DUMMYFUNCTION("""COMPUTED_VALUE"""),"BLACK")</f>
        <v>BLACK</v>
      </c>
      <c r="G4447" s="20" t="str">
        <f>IFERROR(__xludf.DUMMYFUNCTION("""COMPUTED_VALUE"""),"Uncle Sams Cider (04/04/2023)")</f>
        <v>Uncle Sams Cider (04/04/2023)</v>
      </c>
      <c r="H4447" s="19"/>
    </row>
    <row r="4448">
      <c r="A4448" s="9"/>
      <c r="B4448" s="15"/>
      <c r="C4448" s="9">
        <f>IFERROR(__xludf.DUMMYFUNCTION("""COMPUTED_VALUE"""),45098.1165588657)</f>
        <v>45098.11656</v>
      </c>
      <c r="D4448" s="15">
        <f>IFERROR(__xludf.DUMMYFUNCTION("""COMPUTED_VALUE"""),1.005)</f>
        <v>1.005</v>
      </c>
      <c r="E4448" s="16">
        <f>IFERROR(__xludf.DUMMYFUNCTION("""COMPUTED_VALUE"""),70.0)</f>
        <v>70</v>
      </c>
      <c r="F4448" s="19" t="str">
        <f>IFERROR(__xludf.DUMMYFUNCTION("""COMPUTED_VALUE"""),"BLACK")</f>
        <v>BLACK</v>
      </c>
      <c r="G4448" s="20" t="str">
        <f>IFERROR(__xludf.DUMMYFUNCTION("""COMPUTED_VALUE"""),"Uncle Sams Cider (04/04/2023)")</f>
        <v>Uncle Sams Cider (04/04/2023)</v>
      </c>
      <c r="H4448" s="19"/>
    </row>
    <row r="4449">
      <c r="A4449" s="9"/>
      <c r="B4449" s="15"/>
      <c r="C4449" s="9">
        <f>IFERROR(__xludf.DUMMYFUNCTION("""COMPUTED_VALUE"""),45098.1061395486)</f>
        <v>45098.10614</v>
      </c>
      <c r="D4449" s="15">
        <f>IFERROR(__xludf.DUMMYFUNCTION("""COMPUTED_VALUE"""),1.005)</f>
        <v>1.005</v>
      </c>
      <c r="E4449" s="16">
        <f>IFERROR(__xludf.DUMMYFUNCTION("""COMPUTED_VALUE"""),70.0)</f>
        <v>70</v>
      </c>
      <c r="F4449" s="19" t="str">
        <f>IFERROR(__xludf.DUMMYFUNCTION("""COMPUTED_VALUE"""),"BLACK")</f>
        <v>BLACK</v>
      </c>
      <c r="G4449" s="20" t="str">
        <f>IFERROR(__xludf.DUMMYFUNCTION("""COMPUTED_VALUE"""),"Uncle Sams Cider (04/04/2023)")</f>
        <v>Uncle Sams Cider (04/04/2023)</v>
      </c>
      <c r="H4449" s="19"/>
    </row>
    <row r="4450">
      <c r="A4450" s="9"/>
      <c r="B4450" s="15"/>
      <c r="C4450" s="9">
        <f>IFERROR(__xludf.DUMMYFUNCTION("""COMPUTED_VALUE"""),45098.0957179398)</f>
        <v>45098.09572</v>
      </c>
      <c r="D4450" s="15">
        <f>IFERROR(__xludf.DUMMYFUNCTION("""COMPUTED_VALUE"""),1.005)</f>
        <v>1.005</v>
      </c>
      <c r="E4450" s="16">
        <f>IFERROR(__xludf.DUMMYFUNCTION("""COMPUTED_VALUE"""),70.0)</f>
        <v>70</v>
      </c>
      <c r="F4450" s="19" t="str">
        <f>IFERROR(__xludf.DUMMYFUNCTION("""COMPUTED_VALUE"""),"BLACK")</f>
        <v>BLACK</v>
      </c>
      <c r="G4450" s="20" t="str">
        <f>IFERROR(__xludf.DUMMYFUNCTION("""COMPUTED_VALUE"""),"Uncle Sams Cider (04/04/2023)")</f>
        <v>Uncle Sams Cider (04/04/2023)</v>
      </c>
      <c r="H4450" s="19"/>
    </row>
    <row r="4451">
      <c r="A4451" s="9"/>
      <c r="B4451" s="15"/>
      <c r="C4451" s="9">
        <f>IFERROR(__xludf.DUMMYFUNCTION("""COMPUTED_VALUE"""),45098.0852973611)</f>
        <v>45098.0853</v>
      </c>
      <c r="D4451" s="15">
        <f>IFERROR(__xludf.DUMMYFUNCTION("""COMPUTED_VALUE"""),1.005)</f>
        <v>1.005</v>
      </c>
      <c r="E4451" s="16">
        <f>IFERROR(__xludf.DUMMYFUNCTION("""COMPUTED_VALUE"""),70.0)</f>
        <v>70</v>
      </c>
      <c r="F4451" s="19" t="str">
        <f>IFERROR(__xludf.DUMMYFUNCTION("""COMPUTED_VALUE"""),"BLACK")</f>
        <v>BLACK</v>
      </c>
      <c r="G4451" s="20" t="str">
        <f>IFERROR(__xludf.DUMMYFUNCTION("""COMPUTED_VALUE"""),"Uncle Sams Cider (04/04/2023)")</f>
        <v>Uncle Sams Cider (04/04/2023)</v>
      </c>
      <c r="H4451" s="19"/>
    </row>
    <row r="4452">
      <c r="A4452" s="9"/>
      <c r="B4452" s="15"/>
      <c r="C4452" s="9">
        <f>IFERROR(__xludf.DUMMYFUNCTION("""COMPUTED_VALUE"""),45098.0748625694)</f>
        <v>45098.07486</v>
      </c>
      <c r="D4452" s="15">
        <f>IFERROR(__xludf.DUMMYFUNCTION("""COMPUTED_VALUE"""),1.005)</f>
        <v>1.005</v>
      </c>
      <c r="E4452" s="16">
        <f>IFERROR(__xludf.DUMMYFUNCTION("""COMPUTED_VALUE"""),70.0)</f>
        <v>70</v>
      </c>
      <c r="F4452" s="19" t="str">
        <f>IFERROR(__xludf.DUMMYFUNCTION("""COMPUTED_VALUE"""),"BLACK")</f>
        <v>BLACK</v>
      </c>
      <c r="G4452" s="20" t="str">
        <f>IFERROR(__xludf.DUMMYFUNCTION("""COMPUTED_VALUE"""),"Uncle Sams Cider (04/04/2023)")</f>
        <v>Uncle Sams Cider (04/04/2023)</v>
      </c>
      <c r="H4452" s="19"/>
    </row>
    <row r="4453">
      <c r="A4453" s="9"/>
      <c r="B4453" s="15"/>
      <c r="C4453" s="9">
        <f>IFERROR(__xludf.DUMMYFUNCTION("""COMPUTED_VALUE"""),45098.0644415509)</f>
        <v>45098.06444</v>
      </c>
      <c r="D4453" s="15">
        <f>IFERROR(__xludf.DUMMYFUNCTION("""COMPUTED_VALUE"""),1.005)</f>
        <v>1.005</v>
      </c>
      <c r="E4453" s="16">
        <f>IFERROR(__xludf.DUMMYFUNCTION("""COMPUTED_VALUE"""),70.0)</f>
        <v>70</v>
      </c>
      <c r="F4453" s="19" t="str">
        <f>IFERROR(__xludf.DUMMYFUNCTION("""COMPUTED_VALUE"""),"BLACK")</f>
        <v>BLACK</v>
      </c>
      <c r="G4453" s="20" t="str">
        <f>IFERROR(__xludf.DUMMYFUNCTION("""COMPUTED_VALUE"""),"Uncle Sams Cider (04/04/2023)")</f>
        <v>Uncle Sams Cider (04/04/2023)</v>
      </c>
      <c r="H4453" s="19"/>
    </row>
    <row r="4454">
      <c r="A4454" s="9"/>
      <c r="B4454" s="15"/>
      <c r="C4454" s="9">
        <f>IFERROR(__xludf.DUMMYFUNCTION("""COMPUTED_VALUE"""),45098.0540086458)</f>
        <v>45098.05401</v>
      </c>
      <c r="D4454" s="15">
        <f>IFERROR(__xludf.DUMMYFUNCTION("""COMPUTED_VALUE"""),1.005)</f>
        <v>1.005</v>
      </c>
      <c r="E4454" s="16">
        <f>IFERROR(__xludf.DUMMYFUNCTION("""COMPUTED_VALUE"""),70.0)</f>
        <v>70</v>
      </c>
      <c r="F4454" s="19" t="str">
        <f>IFERROR(__xludf.DUMMYFUNCTION("""COMPUTED_VALUE"""),"BLACK")</f>
        <v>BLACK</v>
      </c>
      <c r="G4454" s="20" t="str">
        <f>IFERROR(__xludf.DUMMYFUNCTION("""COMPUTED_VALUE"""),"Uncle Sams Cider (04/04/2023)")</f>
        <v>Uncle Sams Cider (04/04/2023)</v>
      </c>
      <c r="H4454" s="19"/>
    </row>
    <row r="4455">
      <c r="A4455" s="9"/>
      <c r="B4455" s="15"/>
      <c r="C4455" s="9">
        <f>IFERROR(__xludf.DUMMYFUNCTION("""COMPUTED_VALUE"""),45098.0435766782)</f>
        <v>45098.04358</v>
      </c>
      <c r="D4455" s="15">
        <f>IFERROR(__xludf.DUMMYFUNCTION("""COMPUTED_VALUE"""),1.005)</f>
        <v>1.005</v>
      </c>
      <c r="E4455" s="16">
        <f>IFERROR(__xludf.DUMMYFUNCTION("""COMPUTED_VALUE"""),70.0)</f>
        <v>70</v>
      </c>
      <c r="F4455" s="19" t="str">
        <f>IFERROR(__xludf.DUMMYFUNCTION("""COMPUTED_VALUE"""),"BLACK")</f>
        <v>BLACK</v>
      </c>
      <c r="G4455" s="20" t="str">
        <f>IFERROR(__xludf.DUMMYFUNCTION("""COMPUTED_VALUE"""),"Uncle Sams Cider (04/04/2023)")</f>
        <v>Uncle Sams Cider (04/04/2023)</v>
      </c>
      <c r="H4455" s="19"/>
    </row>
    <row r="4456">
      <c r="A4456" s="9"/>
      <c r="B4456" s="15"/>
      <c r="C4456" s="9">
        <f>IFERROR(__xludf.DUMMYFUNCTION("""COMPUTED_VALUE"""),45098.0331573032)</f>
        <v>45098.03316</v>
      </c>
      <c r="D4456" s="15">
        <f>IFERROR(__xludf.DUMMYFUNCTION("""COMPUTED_VALUE"""),1.005)</f>
        <v>1.005</v>
      </c>
      <c r="E4456" s="16">
        <f>IFERROR(__xludf.DUMMYFUNCTION("""COMPUTED_VALUE"""),70.0)</f>
        <v>70</v>
      </c>
      <c r="F4456" s="19" t="str">
        <f>IFERROR(__xludf.DUMMYFUNCTION("""COMPUTED_VALUE"""),"BLACK")</f>
        <v>BLACK</v>
      </c>
      <c r="G4456" s="20" t="str">
        <f>IFERROR(__xludf.DUMMYFUNCTION("""COMPUTED_VALUE"""),"Uncle Sams Cider (04/04/2023)")</f>
        <v>Uncle Sams Cider (04/04/2023)</v>
      </c>
      <c r="H4456" s="19"/>
    </row>
    <row r="4457">
      <c r="A4457" s="9"/>
      <c r="B4457" s="15"/>
      <c r="C4457" s="9">
        <f>IFERROR(__xludf.DUMMYFUNCTION("""COMPUTED_VALUE"""),45098.0227347685)</f>
        <v>45098.02273</v>
      </c>
      <c r="D4457" s="15">
        <f>IFERROR(__xludf.DUMMYFUNCTION("""COMPUTED_VALUE"""),1.005)</f>
        <v>1.005</v>
      </c>
      <c r="E4457" s="16">
        <f>IFERROR(__xludf.DUMMYFUNCTION("""COMPUTED_VALUE"""),70.0)</f>
        <v>70</v>
      </c>
      <c r="F4457" s="19" t="str">
        <f>IFERROR(__xludf.DUMMYFUNCTION("""COMPUTED_VALUE"""),"BLACK")</f>
        <v>BLACK</v>
      </c>
      <c r="G4457" s="20" t="str">
        <f>IFERROR(__xludf.DUMMYFUNCTION("""COMPUTED_VALUE"""),"Uncle Sams Cider (04/04/2023)")</f>
        <v>Uncle Sams Cider (04/04/2023)</v>
      </c>
      <c r="H4457" s="19"/>
    </row>
    <row r="4458">
      <c r="A4458" s="9"/>
      <c r="B4458" s="15"/>
      <c r="C4458" s="9">
        <f>IFERROR(__xludf.DUMMYFUNCTION("""COMPUTED_VALUE"""),45098.0123141319)</f>
        <v>45098.01231</v>
      </c>
      <c r="D4458" s="15">
        <f>IFERROR(__xludf.DUMMYFUNCTION("""COMPUTED_VALUE"""),1.005)</f>
        <v>1.005</v>
      </c>
      <c r="E4458" s="16">
        <f>IFERROR(__xludf.DUMMYFUNCTION("""COMPUTED_VALUE"""),70.0)</f>
        <v>70</v>
      </c>
      <c r="F4458" s="19" t="str">
        <f>IFERROR(__xludf.DUMMYFUNCTION("""COMPUTED_VALUE"""),"BLACK")</f>
        <v>BLACK</v>
      </c>
      <c r="G4458" s="20" t="str">
        <f>IFERROR(__xludf.DUMMYFUNCTION("""COMPUTED_VALUE"""),"Uncle Sams Cider (04/04/2023)")</f>
        <v>Uncle Sams Cider (04/04/2023)</v>
      </c>
      <c r="H4458" s="19"/>
    </row>
    <row r="4459">
      <c r="A4459" s="9"/>
      <c r="B4459" s="15"/>
      <c r="C4459" s="9">
        <f>IFERROR(__xludf.DUMMYFUNCTION("""COMPUTED_VALUE"""),45098.0018930092)</f>
        <v>45098.00189</v>
      </c>
      <c r="D4459" s="15">
        <f>IFERROR(__xludf.DUMMYFUNCTION("""COMPUTED_VALUE"""),1.005)</f>
        <v>1.005</v>
      </c>
      <c r="E4459" s="16">
        <f>IFERROR(__xludf.DUMMYFUNCTION("""COMPUTED_VALUE"""),70.0)</f>
        <v>70</v>
      </c>
      <c r="F4459" s="19" t="str">
        <f>IFERROR(__xludf.DUMMYFUNCTION("""COMPUTED_VALUE"""),"BLACK")</f>
        <v>BLACK</v>
      </c>
      <c r="G4459" s="20" t="str">
        <f>IFERROR(__xludf.DUMMYFUNCTION("""COMPUTED_VALUE"""),"Uncle Sams Cider (04/04/2023)")</f>
        <v>Uncle Sams Cider (04/04/2023)</v>
      </c>
      <c r="H4459" s="19"/>
    </row>
    <row r="4460">
      <c r="A4460" s="9"/>
      <c r="B4460" s="15"/>
      <c r="C4460" s="9">
        <f>IFERROR(__xludf.DUMMYFUNCTION("""COMPUTED_VALUE"""),45097.9914731713)</f>
        <v>45097.99147</v>
      </c>
      <c r="D4460" s="15">
        <f>IFERROR(__xludf.DUMMYFUNCTION("""COMPUTED_VALUE"""),1.005)</f>
        <v>1.005</v>
      </c>
      <c r="E4460" s="16">
        <f>IFERROR(__xludf.DUMMYFUNCTION("""COMPUTED_VALUE"""),70.0)</f>
        <v>70</v>
      </c>
      <c r="F4460" s="19" t="str">
        <f>IFERROR(__xludf.DUMMYFUNCTION("""COMPUTED_VALUE"""),"BLACK")</f>
        <v>BLACK</v>
      </c>
      <c r="G4460" s="20" t="str">
        <f>IFERROR(__xludf.DUMMYFUNCTION("""COMPUTED_VALUE"""),"Uncle Sams Cider (04/04/2023)")</f>
        <v>Uncle Sams Cider (04/04/2023)</v>
      </c>
      <c r="H4460" s="19"/>
    </row>
    <row r="4461">
      <c r="A4461" s="9"/>
      <c r="B4461" s="15"/>
      <c r="C4461" s="9">
        <f>IFERROR(__xludf.DUMMYFUNCTION("""COMPUTED_VALUE"""),45097.9810523148)</f>
        <v>45097.98105</v>
      </c>
      <c r="D4461" s="15">
        <f>IFERROR(__xludf.DUMMYFUNCTION("""COMPUTED_VALUE"""),1.005)</f>
        <v>1.005</v>
      </c>
      <c r="E4461" s="16">
        <f>IFERROR(__xludf.DUMMYFUNCTION("""COMPUTED_VALUE"""),70.0)</f>
        <v>70</v>
      </c>
      <c r="F4461" s="19" t="str">
        <f>IFERROR(__xludf.DUMMYFUNCTION("""COMPUTED_VALUE"""),"BLACK")</f>
        <v>BLACK</v>
      </c>
      <c r="G4461" s="20" t="str">
        <f>IFERROR(__xludf.DUMMYFUNCTION("""COMPUTED_VALUE"""),"Uncle Sams Cider (04/04/2023)")</f>
        <v>Uncle Sams Cider (04/04/2023)</v>
      </c>
      <c r="H4461" s="19"/>
    </row>
    <row r="4462">
      <c r="A4462" s="9"/>
      <c r="B4462" s="15"/>
      <c r="C4462" s="9">
        <f>IFERROR(__xludf.DUMMYFUNCTION("""COMPUTED_VALUE"""),45097.9706314583)</f>
        <v>45097.97063</v>
      </c>
      <c r="D4462" s="15">
        <f>IFERROR(__xludf.DUMMYFUNCTION("""COMPUTED_VALUE"""),1.005)</f>
        <v>1.005</v>
      </c>
      <c r="E4462" s="16">
        <f>IFERROR(__xludf.DUMMYFUNCTION("""COMPUTED_VALUE"""),70.0)</f>
        <v>70</v>
      </c>
      <c r="F4462" s="19" t="str">
        <f>IFERROR(__xludf.DUMMYFUNCTION("""COMPUTED_VALUE"""),"BLACK")</f>
        <v>BLACK</v>
      </c>
      <c r="G4462" s="20" t="str">
        <f>IFERROR(__xludf.DUMMYFUNCTION("""COMPUTED_VALUE"""),"Uncle Sams Cider (04/04/2023)")</f>
        <v>Uncle Sams Cider (04/04/2023)</v>
      </c>
      <c r="H4462" s="19"/>
    </row>
    <row r="4463">
      <c r="A4463" s="9"/>
      <c r="B4463" s="15"/>
      <c r="C4463" s="9">
        <f>IFERROR(__xludf.DUMMYFUNCTION("""COMPUTED_VALUE"""),45097.9601991088)</f>
        <v>45097.9602</v>
      </c>
      <c r="D4463" s="15">
        <f>IFERROR(__xludf.DUMMYFUNCTION("""COMPUTED_VALUE"""),1.005)</f>
        <v>1.005</v>
      </c>
      <c r="E4463" s="16">
        <f>IFERROR(__xludf.DUMMYFUNCTION("""COMPUTED_VALUE"""),70.0)</f>
        <v>70</v>
      </c>
      <c r="F4463" s="19" t="str">
        <f>IFERROR(__xludf.DUMMYFUNCTION("""COMPUTED_VALUE"""),"BLACK")</f>
        <v>BLACK</v>
      </c>
      <c r="G4463" s="20" t="str">
        <f>IFERROR(__xludf.DUMMYFUNCTION("""COMPUTED_VALUE"""),"Uncle Sams Cider (04/04/2023)")</f>
        <v>Uncle Sams Cider (04/04/2023)</v>
      </c>
      <c r="H4463" s="19"/>
    </row>
    <row r="4464">
      <c r="A4464" s="9"/>
      <c r="B4464" s="15"/>
      <c r="C4464" s="9">
        <f>IFERROR(__xludf.DUMMYFUNCTION("""COMPUTED_VALUE"""),45097.9497793634)</f>
        <v>45097.94978</v>
      </c>
      <c r="D4464" s="15">
        <f>IFERROR(__xludf.DUMMYFUNCTION("""COMPUTED_VALUE"""),1.005)</f>
        <v>1.005</v>
      </c>
      <c r="E4464" s="16">
        <f>IFERROR(__xludf.DUMMYFUNCTION("""COMPUTED_VALUE"""),70.0)</f>
        <v>70</v>
      </c>
      <c r="F4464" s="19" t="str">
        <f>IFERROR(__xludf.DUMMYFUNCTION("""COMPUTED_VALUE"""),"BLACK")</f>
        <v>BLACK</v>
      </c>
      <c r="G4464" s="20" t="str">
        <f>IFERROR(__xludf.DUMMYFUNCTION("""COMPUTED_VALUE"""),"Uncle Sams Cider (04/04/2023)")</f>
        <v>Uncle Sams Cider (04/04/2023)</v>
      </c>
      <c r="H4464" s="19"/>
    </row>
    <row r="4465">
      <c r="A4465" s="9"/>
      <c r="B4465" s="15"/>
      <c r="C4465" s="9">
        <f>IFERROR(__xludf.DUMMYFUNCTION("""COMPUTED_VALUE"""),45097.9393595023)</f>
        <v>45097.93936</v>
      </c>
      <c r="D4465" s="15">
        <f>IFERROR(__xludf.DUMMYFUNCTION("""COMPUTED_VALUE"""),1.005)</f>
        <v>1.005</v>
      </c>
      <c r="E4465" s="16">
        <f>IFERROR(__xludf.DUMMYFUNCTION("""COMPUTED_VALUE"""),70.0)</f>
        <v>70</v>
      </c>
      <c r="F4465" s="19" t="str">
        <f>IFERROR(__xludf.DUMMYFUNCTION("""COMPUTED_VALUE"""),"BLACK")</f>
        <v>BLACK</v>
      </c>
      <c r="G4465" s="20" t="str">
        <f>IFERROR(__xludf.DUMMYFUNCTION("""COMPUTED_VALUE"""),"Uncle Sams Cider (04/04/2023)")</f>
        <v>Uncle Sams Cider (04/04/2023)</v>
      </c>
      <c r="H4465" s="19"/>
    </row>
    <row r="4466">
      <c r="A4466" s="9"/>
      <c r="B4466" s="15"/>
      <c r="C4466" s="9">
        <f>IFERROR(__xludf.DUMMYFUNCTION("""COMPUTED_VALUE"""),45097.9289385185)</f>
        <v>45097.92894</v>
      </c>
      <c r="D4466" s="15">
        <f>IFERROR(__xludf.DUMMYFUNCTION("""COMPUTED_VALUE"""),1.005)</f>
        <v>1.005</v>
      </c>
      <c r="E4466" s="16">
        <f>IFERROR(__xludf.DUMMYFUNCTION("""COMPUTED_VALUE"""),70.0)</f>
        <v>70</v>
      </c>
      <c r="F4466" s="19" t="str">
        <f>IFERROR(__xludf.DUMMYFUNCTION("""COMPUTED_VALUE"""),"BLACK")</f>
        <v>BLACK</v>
      </c>
      <c r="G4466" s="20" t="str">
        <f>IFERROR(__xludf.DUMMYFUNCTION("""COMPUTED_VALUE"""),"Uncle Sams Cider (04/04/2023)")</f>
        <v>Uncle Sams Cider (04/04/2023)</v>
      </c>
      <c r="H4466" s="19"/>
    </row>
    <row r="4467">
      <c r="A4467" s="9"/>
      <c r="B4467" s="15"/>
      <c r="C4467" s="9">
        <f>IFERROR(__xludf.DUMMYFUNCTION("""COMPUTED_VALUE"""),45097.9185156944)</f>
        <v>45097.91852</v>
      </c>
      <c r="D4467" s="15">
        <f>IFERROR(__xludf.DUMMYFUNCTION("""COMPUTED_VALUE"""),1.005)</f>
        <v>1.005</v>
      </c>
      <c r="E4467" s="16">
        <f>IFERROR(__xludf.DUMMYFUNCTION("""COMPUTED_VALUE"""),70.0)</f>
        <v>70</v>
      </c>
      <c r="F4467" s="19" t="str">
        <f>IFERROR(__xludf.DUMMYFUNCTION("""COMPUTED_VALUE"""),"BLACK")</f>
        <v>BLACK</v>
      </c>
      <c r="G4467" s="20" t="str">
        <f>IFERROR(__xludf.DUMMYFUNCTION("""COMPUTED_VALUE"""),"Uncle Sams Cider (04/04/2023)")</f>
        <v>Uncle Sams Cider (04/04/2023)</v>
      </c>
      <c r="H4467" s="19"/>
    </row>
    <row r="4468">
      <c r="A4468" s="9"/>
      <c r="B4468" s="15"/>
      <c r="C4468" s="9">
        <f>IFERROR(__xludf.DUMMYFUNCTION("""COMPUTED_VALUE"""),45097.9080834838)</f>
        <v>45097.90808</v>
      </c>
      <c r="D4468" s="15">
        <f>IFERROR(__xludf.DUMMYFUNCTION("""COMPUTED_VALUE"""),1.005)</f>
        <v>1.005</v>
      </c>
      <c r="E4468" s="16">
        <f>IFERROR(__xludf.DUMMYFUNCTION("""COMPUTED_VALUE"""),70.0)</f>
        <v>70</v>
      </c>
      <c r="F4468" s="19" t="str">
        <f>IFERROR(__xludf.DUMMYFUNCTION("""COMPUTED_VALUE"""),"BLACK")</f>
        <v>BLACK</v>
      </c>
      <c r="G4468" s="20" t="str">
        <f>IFERROR(__xludf.DUMMYFUNCTION("""COMPUTED_VALUE"""),"Uncle Sams Cider (04/04/2023)")</f>
        <v>Uncle Sams Cider (04/04/2023)</v>
      </c>
      <c r="H4468" s="19"/>
    </row>
    <row r="4469">
      <c r="A4469" s="9"/>
      <c r="B4469" s="15"/>
      <c r="C4469" s="9">
        <f>IFERROR(__xludf.DUMMYFUNCTION("""COMPUTED_VALUE"""),45097.8976625115)</f>
        <v>45097.89766</v>
      </c>
      <c r="D4469" s="15">
        <f>IFERROR(__xludf.DUMMYFUNCTION("""COMPUTED_VALUE"""),1.005)</f>
        <v>1.005</v>
      </c>
      <c r="E4469" s="16">
        <f>IFERROR(__xludf.DUMMYFUNCTION("""COMPUTED_VALUE"""),70.0)</f>
        <v>70</v>
      </c>
      <c r="F4469" s="19" t="str">
        <f>IFERROR(__xludf.DUMMYFUNCTION("""COMPUTED_VALUE"""),"BLACK")</f>
        <v>BLACK</v>
      </c>
      <c r="G4469" s="20" t="str">
        <f>IFERROR(__xludf.DUMMYFUNCTION("""COMPUTED_VALUE"""),"Uncle Sams Cider (04/04/2023)")</f>
        <v>Uncle Sams Cider (04/04/2023)</v>
      </c>
      <c r="H4469" s="19"/>
    </row>
    <row r="4470">
      <c r="A4470" s="9"/>
      <c r="B4470" s="15"/>
      <c r="C4470" s="9">
        <f>IFERROR(__xludf.DUMMYFUNCTION("""COMPUTED_VALUE"""),45097.8872427546)</f>
        <v>45097.88724</v>
      </c>
      <c r="D4470" s="15">
        <f>IFERROR(__xludf.DUMMYFUNCTION("""COMPUTED_VALUE"""),1.005)</f>
        <v>1.005</v>
      </c>
      <c r="E4470" s="16">
        <f>IFERROR(__xludf.DUMMYFUNCTION("""COMPUTED_VALUE"""),70.0)</f>
        <v>70</v>
      </c>
      <c r="F4470" s="19" t="str">
        <f>IFERROR(__xludf.DUMMYFUNCTION("""COMPUTED_VALUE"""),"BLACK")</f>
        <v>BLACK</v>
      </c>
      <c r="G4470" s="20" t="str">
        <f>IFERROR(__xludf.DUMMYFUNCTION("""COMPUTED_VALUE"""),"Uncle Sams Cider (04/04/2023)")</f>
        <v>Uncle Sams Cider (04/04/2023)</v>
      </c>
      <c r="H4470" s="19"/>
    </row>
    <row r="4471">
      <c r="A4471" s="9"/>
      <c r="B4471" s="15"/>
      <c r="C4471" s="9">
        <f>IFERROR(__xludf.DUMMYFUNCTION("""COMPUTED_VALUE"""),45097.8768208564)</f>
        <v>45097.87682</v>
      </c>
      <c r="D4471" s="15">
        <f>IFERROR(__xludf.DUMMYFUNCTION("""COMPUTED_VALUE"""),1.005)</f>
        <v>1.005</v>
      </c>
      <c r="E4471" s="16">
        <f>IFERROR(__xludf.DUMMYFUNCTION("""COMPUTED_VALUE"""),70.0)</f>
        <v>70</v>
      </c>
      <c r="F4471" s="19" t="str">
        <f>IFERROR(__xludf.DUMMYFUNCTION("""COMPUTED_VALUE"""),"BLACK")</f>
        <v>BLACK</v>
      </c>
      <c r="G4471" s="20" t="str">
        <f>IFERROR(__xludf.DUMMYFUNCTION("""COMPUTED_VALUE"""),"Uncle Sams Cider (04/04/2023)")</f>
        <v>Uncle Sams Cider (04/04/2023)</v>
      </c>
      <c r="H4471" s="19"/>
    </row>
    <row r="4472">
      <c r="A4472" s="9"/>
      <c r="B4472" s="15"/>
      <c r="C4472" s="9">
        <f>IFERROR(__xludf.DUMMYFUNCTION("""COMPUTED_VALUE"""),45097.8664011921)</f>
        <v>45097.8664</v>
      </c>
      <c r="D4472" s="15">
        <f>IFERROR(__xludf.DUMMYFUNCTION("""COMPUTED_VALUE"""),1.005)</f>
        <v>1.005</v>
      </c>
      <c r="E4472" s="16">
        <f>IFERROR(__xludf.DUMMYFUNCTION("""COMPUTED_VALUE"""),70.0)</f>
        <v>70</v>
      </c>
      <c r="F4472" s="19" t="str">
        <f>IFERROR(__xludf.DUMMYFUNCTION("""COMPUTED_VALUE"""),"BLACK")</f>
        <v>BLACK</v>
      </c>
      <c r="G4472" s="20" t="str">
        <f>IFERROR(__xludf.DUMMYFUNCTION("""COMPUTED_VALUE"""),"Uncle Sams Cider (04/04/2023)")</f>
        <v>Uncle Sams Cider (04/04/2023)</v>
      </c>
      <c r="H4472" s="19"/>
    </row>
    <row r="4473">
      <c r="A4473" s="9"/>
      <c r="B4473" s="15"/>
      <c r="C4473" s="9">
        <f>IFERROR(__xludf.DUMMYFUNCTION("""COMPUTED_VALUE"""),45097.8559686342)</f>
        <v>45097.85597</v>
      </c>
      <c r="D4473" s="15">
        <f>IFERROR(__xludf.DUMMYFUNCTION("""COMPUTED_VALUE"""),1.005)</f>
        <v>1.005</v>
      </c>
      <c r="E4473" s="16">
        <f>IFERROR(__xludf.DUMMYFUNCTION("""COMPUTED_VALUE"""),70.0)</f>
        <v>70</v>
      </c>
      <c r="F4473" s="19" t="str">
        <f>IFERROR(__xludf.DUMMYFUNCTION("""COMPUTED_VALUE"""),"BLACK")</f>
        <v>BLACK</v>
      </c>
      <c r="G4473" s="20" t="str">
        <f>IFERROR(__xludf.DUMMYFUNCTION("""COMPUTED_VALUE"""),"Uncle Sams Cider (04/04/2023)")</f>
        <v>Uncle Sams Cider (04/04/2023)</v>
      </c>
      <c r="H4473" s="19"/>
    </row>
    <row r="4474">
      <c r="A4474" s="9"/>
      <c r="B4474" s="15"/>
      <c r="C4474" s="9">
        <f>IFERROR(__xludf.DUMMYFUNCTION("""COMPUTED_VALUE"""),45097.8455477546)</f>
        <v>45097.84555</v>
      </c>
      <c r="D4474" s="15">
        <f>IFERROR(__xludf.DUMMYFUNCTION("""COMPUTED_VALUE"""),1.005)</f>
        <v>1.005</v>
      </c>
      <c r="E4474" s="16">
        <f>IFERROR(__xludf.DUMMYFUNCTION("""COMPUTED_VALUE"""),70.0)</f>
        <v>70</v>
      </c>
      <c r="F4474" s="19" t="str">
        <f>IFERROR(__xludf.DUMMYFUNCTION("""COMPUTED_VALUE"""),"BLACK")</f>
        <v>BLACK</v>
      </c>
      <c r="G4474" s="20" t="str">
        <f>IFERROR(__xludf.DUMMYFUNCTION("""COMPUTED_VALUE"""),"Uncle Sams Cider (04/04/2023)")</f>
        <v>Uncle Sams Cider (04/04/2023)</v>
      </c>
      <c r="H4474" s="19"/>
    </row>
    <row r="4475">
      <c r="A4475" s="9"/>
      <c r="B4475" s="15"/>
      <c r="C4475" s="9">
        <f>IFERROR(__xludf.DUMMYFUNCTION("""COMPUTED_VALUE"""),45097.8351283796)</f>
        <v>45097.83513</v>
      </c>
      <c r="D4475" s="15">
        <f>IFERROR(__xludf.DUMMYFUNCTION("""COMPUTED_VALUE"""),1.005)</f>
        <v>1.005</v>
      </c>
      <c r="E4475" s="16">
        <f>IFERROR(__xludf.DUMMYFUNCTION("""COMPUTED_VALUE"""),70.0)</f>
        <v>70</v>
      </c>
      <c r="F4475" s="19" t="str">
        <f>IFERROR(__xludf.DUMMYFUNCTION("""COMPUTED_VALUE"""),"BLACK")</f>
        <v>BLACK</v>
      </c>
      <c r="G4475" s="20" t="str">
        <f>IFERROR(__xludf.DUMMYFUNCTION("""COMPUTED_VALUE"""),"Uncle Sams Cider (04/04/2023)")</f>
        <v>Uncle Sams Cider (04/04/2023)</v>
      </c>
      <c r="H4475" s="19"/>
    </row>
    <row r="4476">
      <c r="A4476" s="9"/>
      <c r="B4476" s="15"/>
      <c r="C4476" s="9">
        <f>IFERROR(__xludf.DUMMYFUNCTION("""COMPUTED_VALUE"""),45097.824706655)</f>
        <v>45097.82471</v>
      </c>
      <c r="D4476" s="15">
        <f>IFERROR(__xludf.DUMMYFUNCTION("""COMPUTED_VALUE"""),1.005)</f>
        <v>1.005</v>
      </c>
      <c r="E4476" s="16">
        <f>IFERROR(__xludf.DUMMYFUNCTION("""COMPUTED_VALUE"""),70.0)</f>
        <v>70</v>
      </c>
      <c r="F4476" s="19" t="str">
        <f>IFERROR(__xludf.DUMMYFUNCTION("""COMPUTED_VALUE"""),"BLACK")</f>
        <v>BLACK</v>
      </c>
      <c r="G4476" s="20" t="str">
        <f>IFERROR(__xludf.DUMMYFUNCTION("""COMPUTED_VALUE"""),"Uncle Sams Cider (04/04/2023)")</f>
        <v>Uncle Sams Cider (04/04/2023)</v>
      </c>
      <c r="H4476" s="19"/>
    </row>
    <row r="4477">
      <c r="A4477" s="9"/>
      <c r="B4477" s="15"/>
      <c r="C4477" s="9">
        <f>IFERROR(__xludf.DUMMYFUNCTION("""COMPUTED_VALUE"""),45097.8142602546)</f>
        <v>45097.81426</v>
      </c>
      <c r="D4477" s="15">
        <f>IFERROR(__xludf.DUMMYFUNCTION("""COMPUTED_VALUE"""),1.005)</f>
        <v>1.005</v>
      </c>
      <c r="E4477" s="16">
        <f>IFERROR(__xludf.DUMMYFUNCTION("""COMPUTED_VALUE"""),70.0)</f>
        <v>70</v>
      </c>
      <c r="F4477" s="19" t="str">
        <f>IFERROR(__xludf.DUMMYFUNCTION("""COMPUTED_VALUE"""),"BLACK")</f>
        <v>BLACK</v>
      </c>
      <c r="G4477" s="20" t="str">
        <f>IFERROR(__xludf.DUMMYFUNCTION("""COMPUTED_VALUE"""),"Uncle Sams Cider (04/04/2023)")</f>
        <v>Uncle Sams Cider (04/04/2023)</v>
      </c>
      <c r="H4477" s="19"/>
    </row>
    <row r="4478">
      <c r="A4478" s="9"/>
      <c r="B4478" s="15"/>
      <c r="C4478" s="9">
        <f>IFERROR(__xludf.DUMMYFUNCTION("""COMPUTED_VALUE"""),45097.8038272222)</f>
        <v>45097.80383</v>
      </c>
      <c r="D4478" s="15">
        <f>IFERROR(__xludf.DUMMYFUNCTION("""COMPUTED_VALUE"""),1.005)</f>
        <v>1.005</v>
      </c>
      <c r="E4478" s="16">
        <f>IFERROR(__xludf.DUMMYFUNCTION("""COMPUTED_VALUE"""),70.0)</f>
        <v>70</v>
      </c>
      <c r="F4478" s="19" t="str">
        <f>IFERROR(__xludf.DUMMYFUNCTION("""COMPUTED_VALUE"""),"BLACK")</f>
        <v>BLACK</v>
      </c>
      <c r="G4478" s="20" t="str">
        <f>IFERROR(__xludf.DUMMYFUNCTION("""COMPUTED_VALUE"""),"Uncle Sams Cider (04/04/2023)")</f>
        <v>Uncle Sams Cider (04/04/2023)</v>
      </c>
      <c r="H4478" s="19"/>
    </row>
    <row r="4479">
      <c r="A4479" s="9"/>
      <c r="B4479" s="15"/>
      <c r="C4479" s="9">
        <f>IFERROR(__xludf.DUMMYFUNCTION("""COMPUTED_VALUE"""),45097.793405949)</f>
        <v>45097.79341</v>
      </c>
      <c r="D4479" s="15">
        <f>IFERROR(__xludf.DUMMYFUNCTION("""COMPUTED_VALUE"""),1.005)</f>
        <v>1.005</v>
      </c>
      <c r="E4479" s="16">
        <f>IFERROR(__xludf.DUMMYFUNCTION("""COMPUTED_VALUE"""),70.0)</f>
        <v>70</v>
      </c>
      <c r="F4479" s="19" t="str">
        <f>IFERROR(__xludf.DUMMYFUNCTION("""COMPUTED_VALUE"""),"BLACK")</f>
        <v>BLACK</v>
      </c>
      <c r="G4479" s="20" t="str">
        <f>IFERROR(__xludf.DUMMYFUNCTION("""COMPUTED_VALUE"""),"Uncle Sams Cider (04/04/2023)")</f>
        <v>Uncle Sams Cider (04/04/2023)</v>
      </c>
      <c r="H4479" s="19"/>
    </row>
    <row r="4480">
      <c r="A4480" s="9"/>
      <c r="B4480" s="15"/>
      <c r="C4480" s="9">
        <f>IFERROR(__xludf.DUMMYFUNCTION("""COMPUTED_VALUE"""),45097.7829724768)</f>
        <v>45097.78297</v>
      </c>
      <c r="D4480" s="15">
        <f>IFERROR(__xludf.DUMMYFUNCTION("""COMPUTED_VALUE"""),1.005)</f>
        <v>1.005</v>
      </c>
      <c r="E4480" s="16">
        <f>IFERROR(__xludf.DUMMYFUNCTION("""COMPUTED_VALUE"""),70.0)</f>
        <v>70</v>
      </c>
      <c r="F4480" s="19" t="str">
        <f>IFERROR(__xludf.DUMMYFUNCTION("""COMPUTED_VALUE"""),"BLACK")</f>
        <v>BLACK</v>
      </c>
      <c r="G4480" s="20" t="str">
        <f>IFERROR(__xludf.DUMMYFUNCTION("""COMPUTED_VALUE"""),"Uncle Sams Cider (04/04/2023)")</f>
        <v>Uncle Sams Cider (04/04/2023)</v>
      </c>
      <c r="H4480" s="19"/>
    </row>
    <row r="4481">
      <c r="A4481" s="9"/>
      <c r="B4481" s="15"/>
      <c r="C4481" s="9">
        <f>IFERROR(__xludf.DUMMYFUNCTION("""COMPUTED_VALUE"""),45097.7725527314)</f>
        <v>45097.77255</v>
      </c>
      <c r="D4481" s="15">
        <f>IFERROR(__xludf.DUMMYFUNCTION("""COMPUTED_VALUE"""),1.005)</f>
        <v>1.005</v>
      </c>
      <c r="E4481" s="16">
        <f>IFERROR(__xludf.DUMMYFUNCTION("""COMPUTED_VALUE"""),70.0)</f>
        <v>70</v>
      </c>
      <c r="F4481" s="19" t="str">
        <f>IFERROR(__xludf.DUMMYFUNCTION("""COMPUTED_VALUE"""),"BLACK")</f>
        <v>BLACK</v>
      </c>
      <c r="G4481" s="20" t="str">
        <f>IFERROR(__xludf.DUMMYFUNCTION("""COMPUTED_VALUE"""),"Uncle Sams Cider (04/04/2023)")</f>
        <v>Uncle Sams Cider (04/04/2023)</v>
      </c>
      <c r="H4481" s="19"/>
    </row>
    <row r="4482">
      <c r="A4482" s="9"/>
      <c r="B4482" s="15"/>
      <c r="C4482" s="9">
        <f>IFERROR(__xludf.DUMMYFUNCTION("""COMPUTED_VALUE"""),45097.7621216666)</f>
        <v>45097.76212</v>
      </c>
      <c r="D4482" s="15">
        <f>IFERROR(__xludf.DUMMYFUNCTION("""COMPUTED_VALUE"""),1.005)</f>
        <v>1.005</v>
      </c>
      <c r="E4482" s="16">
        <f>IFERROR(__xludf.DUMMYFUNCTION("""COMPUTED_VALUE"""),70.0)</f>
        <v>70</v>
      </c>
      <c r="F4482" s="19" t="str">
        <f>IFERROR(__xludf.DUMMYFUNCTION("""COMPUTED_VALUE"""),"BLACK")</f>
        <v>BLACK</v>
      </c>
      <c r="G4482" s="20" t="str">
        <f>IFERROR(__xludf.DUMMYFUNCTION("""COMPUTED_VALUE"""),"Uncle Sams Cider (04/04/2023)")</f>
        <v>Uncle Sams Cider (04/04/2023)</v>
      </c>
      <c r="H4482" s="19"/>
    </row>
    <row r="4483">
      <c r="A4483" s="9"/>
      <c r="B4483" s="15"/>
      <c r="C4483" s="9">
        <f>IFERROR(__xludf.DUMMYFUNCTION("""COMPUTED_VALUE"""),45097.7517017361)</f>
        <v>45097.7517</v>
      </c>
      <c r="D4483" s="15">
        <f>IFERROR(__xludf.DUMMYFUNCTION("""COMPUTED_VALUE"""),1.005)</f>
        <v>1.005</v>
      </c>
      <c r="E4483" s="16">
        <f>IFERROR(__xludf.DUMMYFUNCTION("""COMPUTED_VALUE"""),70.0)</f>
        <v>70</v>
      </c>
      <c r="F4483" s="19" t="str">
        <f>IFERROR(__xludf.DUMMYFUNCTION("""COMPUTED_VALUE"""),"BLACK")</f>
        <v>BLACK</v>
      </c>
      <c r="G4483" s="20" t="str">
        <f>IFERROR(__xludf.DUMMYFUNCTION("""COMPUTED_VALUE"""),"Uncle Sams Cider (04/04/2023)")</f>
        <v>Uncle Sams Cider (04/04/2023)</v>
      </c>
      <c r="H4483" s="19"/>
    </row>
    <row r="4484">
      <c r="A4484" s="9"/>
      <c r="B4484" s="15"/>
      <c r="C4484" s="9">
        <f>IFERROR(__xludf.DUMMYFUNCTION("""COMPUTED_VALUE"""),45097.7412815972)</f>
        <v>45097.74128</v>
      </c>
      <c r="D4484" s="15">
        <f>IFERROR(__xludf.DUMMYFUNCTION("""COMPUTED_VALUE"""),1.005)</f>
        <v>1.005</v>
      </c>
      <c r="E4484" s="16">
        <f>IFERROR(__xludf.DUMMYFUNCTION("""COMPUTED_VALUE"""),70.0)</f>
        <v>70</v>
      </c>
      <c r="F4484" s="19" t="str">
        <f>IFERROR(__xludf.DUMMYFUNCTION("""COMPUTED_VALUE"""),"BLACK")</f>
        <v>BLACK</v>
      </c>
      <c r="G4484" s="20" t="str">
        <f>IFERROR(__xludf.DUMMYFUNCTION("""COMPUTED_VALUE"""),"Uncle Sams Cider (04/04/2023)")</f>
        <v>Uncle Sams Cider (04/04/2023)</v>
      </c>
      <c r="H4484" s="19"/>
    </row>
    <row r="4485">
      <c r="A4485" s="9"/>
      <c r="B4485" s="15"/>
      <c r="C4485" s="9">
        <f>IFERROR(__xludf.DUMMYFUNCTION("""COMPUTED_VALUE"""),45097.7308607407)</f>
        <v>45097.73086</v>
      </c>
      <c r="D4485" s="15">
        <f>IFERROR(__xludf.DUMMYFUNCTION("""COMPUTED_VALUE"""),1.005)</f>
        <v>1.005</v>
      </c>
      <c r="E4485" s="16">
        <f>IFERROR(__xludf.DUMMYFUNCTION("""COMPUTED_VALUE"""),70.0)</f>
        <v>70</v>
      </c>
      <c r="F4485" s="19" t="str">
        <f>IFERROR(__xludf.DUMMYFUNCTION("""COMPUTED_VALUE"""),"BLACK")</f>
        <v>BLACK</v>
      </c>
      <c r="G4485" s="20" t="str">
        <f>IFERROR(__xludf.DUMMYFUNCTION("""COMPUTED_VALUE"""),"Uncle Sams Cider (04/04/2023)")</f>
        <v>Uncle Sams Cider (04/04/2023)</v>
      </c>
      <c r="H4485" s="19"/>
    </row>
    <row r="4486">
      <c r="A4486" s="9"/>
      <c r="B4486" s="15"/>
      <c r="C4486" s="9">
        <f>IFERROR(__xludf.DUMMYFUNCTION("""COMPUTED_VALUE"""),45097.7204395833)</f>
        <v>45097.72044</v>
      </c>
      <c r="D4486" s="15">
        <f>IFERROR(__xludf.DUMMYFUNCTION("""COMPUTED_VALUE"""),1.005)</f>
        <v>1.005</v>
      </c>
      <c r="E4486" s="16">
        <f>IFERROR(__xludf.DUMMYFUNCTION("""COMPUTED_VALUE"""),70.0)</f>
        <v>70</v>
      </c>
      <c r="F4486" s="19" t="str">
        <f>IFERROR(__xludf.DUMMYFUNCTION("""COMPUTED_VALUE"""),"BLACK")</f>
        <v>BLACK</v>
      </c>
      <c r="G4486" s="20" t="str">
        <f>IFERROR(__xludf.DUMMYFUNCTION("""COMPUTED_VALUE"""),"Uncle Sams Cider (04/04/2023)")</f>
        <v>Uncle Sams Cider (04/04/2023)</v>
      </c>
      <c r="H4486" s="19"/>
    </row>
    <row r="4487">
      <c r="A4487" s="9"/>
      <c r="B4487" s="15"/>
      <c r="C4487" s="9">
        <f>IFERROR(__xludf.DUMMYFUNCTION("""COMPUTED_VALUE"""),45097.7100060532)</f>
        <v>45097.71001</v>
      </c>
      <c r="D4487" s="15">
        <f>IFERROR(__xludf.DUMMYFUNCTION("""COMPUTED_VALUE"""),1.005)</f>
        <v>1.005</v>
      </c>
      <c r="E4487" s="16">
        <f>IFERROR(__xludf.DUMMYFUNCTION("""COMPUTED_VALUE"""),70.0)</f>
        <v>70</v>
      </c>
      <c r="F4487" s="19" t="str">
        <f>IFERROR(__xludf.DUMMYFUNCTION("""COMPUTED_VALUE"""),"BLACK")</f>
        <v>BLACK</v>
      </c>
      <c r="G4487" s="20" t="str">
        <f>IFERROR(__xludf.DUMMYFUNCTION("""COMPUTED_VALUE"""),"Uncle Sams Cider (04/04/2023)")</f>
        <v>Uncle Sams Cider (04/04/2023)</v>
      </c>
      <c r="H4487" s="19"/>
    </row>
    <row r="4488">
      <c r="A4488" s="9"/>
      <c r="B4488" s="15"/>
      <c r="C4488" s="9">
        <f>IFERROR(__xludf.DUMMYFUNCTION("""COMPUTED_VALUE"""),45097.6995848263)</f>
        <v>45097.69958</v>
      </c>
      <c r="D4488" s="15">
        <f>IFERROR(__xludf.DUMMYFUNCTION("""COMPUTED_VALUE"""),1.005)</f>
        <v>1.005</v>
      </c>
      <c r="E4488" s="16">
        <f>IFERROR(__xludf.DUMMYFUNCTION("""COMPUTED_VALUE"""),70.0)</f>
        <v>70</v>
      </c>
      <c r="F4488" s="19" t="str">
        <f>IFERROR(__xludf.DUMMYFUNCTION("""COMPUTED_VALUE"""),"BLACK")</f>
        <v>BLACK</v>
      </c>
      <c r="G4488" s="20" t="str">
        <f>IFERROR(__xludf.DUMMYFUNCTION("""COMPUTED_VALUE"""),"Uncle Sams Cider (04/04/2023)")</f>
        <v>Uncle Sams Cider (04/04/2023)</v>
      </c>
      <c r="H4488" s="19"/>
    </row>
    <row r="4489">
      <c r="A4489" s="9"/>
      <c r="B4489" s="15"/>
      <c r="C4489" s="9">
        <f>IFERROR(__xludf.DUMMYFUNCTION("""COMPUTED_VALUE"""),45097.6891289236)</f>
        <v>45097.68913</v>
      </c>
      <c r="D4489" s="15">
        <f>IFERROR(__xludf.DUMMYFUNCTION("""COMPUTED_VALUE"""),1.005)</f>
        <v>1.005</v>
      </c>
      <c r="E4489" s="16">
        <f>IFERROR(__xludf.DUMMYFUNCTION("""COMPUTED_VALUE"""),70.0)</f>
        <v>70</v>
      </c>
      <c r="F4489" s="19" t="str">
        <f>IFERROR(__xludf.DUMMYFUNCTION("""COMPUTED_VALUE"""),"BLACK")</f>
        <v>BLACK</v>
      </c>
      <c r="G4489" s="20" t="str">
        <f>IFERROR(__xludf.DUMMYFUNCTION("""COMPUTED_VALUE"""),"Uncle Sams Cider (04/04/2023)")</f>
        <v>Uncle Sams Cider (04/04/2023)</v>
      </c>
      <c r="H4489" s="19"/>
    </row>
    <row r="4490">
      <c r="A4490" s="9"/>
      <c r="B4490" s="15"/>
      <c r="C4490" s="9">
        <f>IFERROR(__xludf.DUMMYFUNCTION("""COMPUTED_VALUE"""),45097.6786960995)</f>
        <v>45097.6787</v>
      </c>
      <c r="D4490" s="15">
        <f>IFERROR(__xludf.DUMMYFUNCTION("""COMPUTED_VALUE"""),1.005)</f>
        <v>1.005</v>
      </c>
      <c r="E4490" s="16">
        <f>IFERROR(__xludf.DUMMYFUNCTION("""COMPUTED_VALUE"""),70.0)</f>
        <v>70</v>
      </c>
      <c r="F4490" s="19" t="str">
        <f>IFERROR(__xludf.DUMMYFUNCTION("""COMPUTED_VALUE"""),"BLACK")</f>
        <v>BLACK</v>
      </c>
      <c r="G4490" s="20" t="str">
        <f>IFERROR(__xludf.DUMMYFUNCTION("""COMPUTED_VALUE"""),"Uncle Sams Cider (04/04/2023)")</f>
        <v>Uncle Sams Cider (04/04/2023)</v>
      </c>
      <c r="H4490" s="19"/>
    </row>
    <row r="4491">
      <c r="A4491" s="9"/>
      <c r="B4491" s="15"/>
      <c r="C4491" s="9">
        <f>IFERROR(__xludf.DUMMYFUNCTION("""COMPUTED_VALUE"""),45097.668272824)</f>
        <v>45097.66827</v>
      </c>
      <c r="D4491" s="15">
        <f>IFERROR(__xludf.DUMMYFUNCTION("""COMPUTED_VALUE"""),1.005)</f>
        <v>1.005</v>
      </c>
      <c r="E4491" s="16">
        <f>IFERROR(__xludf.DUMMYFUNCTION("""COMPUTED_VALUE"""),70.0)</f>
        <v>70</v>
      </c>
      <c r="F4491" s="19" t="str">
        <f>IFERROR(__xludf.DUMMYFUNCTION("""COMPUTED_VALUE"""),"BLACK")</f>
        <v>BLACK</v>
      </c>
      <c r="G4491" s="20" t="str">
        <f>IFERROR(__xludf.DUMMYFUNCTION("""COMPUTED_VALUE"""),"Uncle Sams Cider (04/04/2023)")</f>
        <v>Uncle Sams Cider (04/04/2023)</v>
      </c>
      <c r="H4491" s="19"/>
    </row>
    <row r="4492">
      <c r="A4492" s="9"/>
      <c r="B4492" s="15"/>
      <c r="C4492" s="9">
        <f>IFERROR(__xludf.DUMMYFUNCTION("""COMPUTED_VALUE"""),45097.6578533449)</f>
        <v>45097.65785</v>
      </c>
      <c r="D4492" s="15">
        <f>IFERROR(__xludf.DUMMYFUNCTION("""COMPUTED_VALUE"""),1.005)</f>
        <v>1.005</v>
      </c>
      <c r="E4492" s="16">
        <f>IFERROR(__xludf.DUMMYFUNCTION("""COMPUTED_VALUE"""),70.0)</f>
        <v>70</v>
      </c>
      <c r="F4492" s="19" t="str">
        <f>IFERROR(__xludf.DUMMYFUNCTION("""COMPUTED_VALUE"""),"BLACK")</f>
        <v>BLACK</v>
      </c>
      <c r="G4492" s="20" t="str">
        <f>IFERROR(__xludf.DUMMYFUNCTION("""COMPUTED_VALUE"""),"Uncle Sams Cider (04/04/2023)")</f>
        <v>Uncle Sams Cider (04/04/2023)</v>
      </c>
      <c r="H4492" s="19"/>
    </row>
    <row r="4493">
      <c r="A4493" s="9"/>
      <c r="B4493" s="15"/>
      <c r="C4493" s="9">
        <f>IFERROR(__xludf.DUMMYFUNCTION("""COMPUTED_VALUE"""),45097.647420787)</f>
        <v>45097.64742</v>
      </c>
      <c r="D4493" s="15">
        <f>IFERROR(__xludf.DUMMYFUNCTION("""COMPUTED_VALUE"""),1.005)</f>
        <v>1.005</v>
      </c>
      <c r="E4493" s="16">
        <f>IFERROR(__xludf.DUMMYFUNCTION("""COMPUTED_VALUE"""),70.0)</f>
        <v>70</v>
      </c>
      <c r="F4493" s="19" t="str">
        <f>IFERROR(__xludf.DUMMYFUNCTION("""COMPUTED_VALUE"""),"BLACK")</f>
        <v>BLACK</v>
      </c>
      <c r="G4493" s="20" t="str">
        <f>IFERROR(__xludf.DUMMYFUNCTION("""COMPUTED_VALUE"""),"Uncle Sams Cider (04/04/2023)")</f>
        <v>Uncle Sams Cider (04/04/2023)</v>
      </c>
      <c r="H4493" s="19"/>
    </row>
    <row r="4494">
      <c r="A4494" s="9"/>
      <c r="B4494" s="15"/>
      <c r="C4494" s="9">
        <f>IFERROR(__xludf.DUMMYFUNCTION("""COMPUTED_VALUE"""),45097.6369992824)</f>
        <v>45097.637</v>
      </c>
      <c r="D4494" s="15">
        <f>IFERROR(__xludf.DUMMYFUNCTION("""COMPUTED_VALUE"""),1.005)</f>
        <v>1.005</v>
      </c>
      <c r="E4494" s="16">
        <f>IFERROR(__xludf.DUMMYFUNCTION("""COMPUTED_VALUE"""),70.0)</f>
        <v>70</v>
      </c>
      <c r="F4494" s="19" t="str">
        <f>IFERROR(__xludf.DUMMYFUNCTION("""COMPUTED_VALUE"""),"BLACK")</f>
        <v>BLACK</v>
      </c>
      <c r="G4494" s="20" t="str">
        <f>IFERROR(__xludf.DUMMYFUNCTION("""COMPUTED_VALUE"""),"Uncle Sams Cider (04/04/2023)")</f>
        <v>Uncle Sams Cider (04/04/2023)</v>
      </c>
      <c r="H4494" s="19"/>
    </row>
    <row r="4495">
      <c r="A4495" s="9"/>
      <c r="B4495" s="15"/>
      <c r="C4495" s="9">
        <f>IFERROR(__xludf.DUMMYFUNCTION("""COMPUTED_VALUE"""),45097.6265787268)</f>
        <v>45097.62658</v>
      </c>
      <c r="D4495" s="15">
        <f>IFERROR(__xludf.DUMMYFUNCTION("""COMPUTED_VALUE"""),1.005)</f>
        <v>1.005</v>
      </c>
      <c r="E4495" s="16">
        <f>IFERROR(__xludf.DUMMYFUNCTION("""COMPUTED_VALUE"""),70.0)</f>
        <v>70</v>
      </c>
      <c r="F4495" s="19" t="str">
        <f>IFERROR(__xludf.DUMMYFUNCTION("""COMPUTED_VALUE"""),"BLACK")</f>
        <v>BLACK</v>
      </c>
      <c r="G4495" s="20" t="str">
        <f>IFERROR(__xludf.DUMMYFUNCTION("""COMPUTED_VALUE"""),"Uncle Sams Cider (04/04/2023)")</f>
        <v>Uncle Sams Cider (04/04/2023)</v>
      </c>
      <c r="H4495" s="19"/>
    </row>
    <row r="4496">
      <c r="A4496" s="9"/>
      <c r="B4496" s="15"/>
      <c r="C4496" s="9">
        <f>IFERROR(__xludf.DUMMYFUNCTION("""COMPUTED_VALUE"""),45097.6161576273)</f>
        <v>45097.61616</v>
      </c>
      <c r="D4496" s="15">
        <f>IFERROR(__xludf.DUMMYFUNCTION("""COMPUTED_VALUE"""),1.005)</f>
        <v>1.005</v>
      </c>
      <c r="E4496" s="16">
        <f>IFERROR(__xludf.DUMMYFUNCTION("""COMPUTED_VALUE"""),70.0)</f>
        <v>70</v>
      </c>
      <c r="F4496" s="19" t="str">
        <f>IFERROR(__xludf.DUMMYFUNCTION("""COMPUTED_VALUE"""),"BLACK")</f>
        <v>BLACK</v>
      </c>
      <c r="G4496" s="20" t="str">
        <f>IFERROR(__xludf.DUMMYFUNCTION("""COMPUTED_VALUE"""),"Uncle Sams Cider (04/04/2023)")</f>
        <v>Uncle Sams Cider (04/04/2023)</v>
      </c>
      <c r="H4496" s="19"/>
    </row>
    <row r="4497">
      <c r="A4497" s="9"/>
      <c r="B4497" s="15"/>
      <c r="C4497" s="9">
        <f>IFERROR(__xludf.DUMMYFUNCTION("""COMPUTED_VALUE"""),45097.6057254282)</f>
        <v>45097.60573</v>
      </c>
      <c r="D4497" s="15">
        <f>IFERROR(__xludf.DUMMYFUNCTION("""COMPUTED_VALUE"""),1.005)</f>
        <v>1.005</v>
      </c>
      <c r="E4497" s="16">
        <f>IFERROR(__xludf.DUMMYFUNCTION("""COMPUTED_VALUE"""),70.0)</f>
        <v>70</v>
      </c>
      <c r="F4497" s="19" t="str">
        <f>IFERROR(__xludf.DUMMYFUNCTION("""COMPUTED_VALUE"""),"BLACK")</f>
        <v>BLACK</v>
      </c>
      <c r="G4497" s="20" t="str">
        <f>IFERROR(__xludf.DUMMYFUNCTION("""COMPUTED_VALUE"""),"Uncle Sams Cider (04/04/2023)")</f>
        <v>Uncle Sams Cider (04/04/2023)</v>
      </c>
      <c r="H4497" s="19"/>
    </row>
    <row r="4498">
      <c r="A4498" s="9"/>
      <c r="B4498" s="15"/>
      <c r="C4498" s="9">
        <f>IFERROR(__xludf.DUMMYFUNCTION("""COMPUTED_VALUE"""),45097.59530478)</f>
        <v>45097.5953</v>
      </c>
      <c r="D4498" s="15">
        <f>IFERROR(__xludf.DUMMYFUNCTION("""COMPUTED_VALUE"""),1.005)</f>
        <v>1.005</v>
      </c>
      <c r="E4498" s="16">
        <f>IFERROR(__xludf.DUMMYFUNCTION("""COMPUTED_VALUE"""),70.0)</f>
        <v>70</v>
      </c>
      <c r="F4498" s="19" t="str">
        <f>IFERROR(__xludf.DUMMYFUNCTION("""COMPUTED_VALUE"""),"BLACK")</f>
        <v>BLACK</v>
      </c>
      <c r="G4498" s="20" t="str">
        <f>IFERROR(__xludf.DUMMYFUNCTION("""COMPUTED_VALUE"""),"Uncle Sams Cider (04/04/2023)")</f>
        <v>Uncle Sams Cider (04/04/2023)</v>
      </c>
      <c r="H4498" s="19"/>
    </row>
    <row r="4499">
      <c r="A4499" s="9"/>
      <c r="B4499" s="15"/>
      <c r="C4499" s="9">
        <f>IFERROR(__xludf.DUMMYFUNCTION("""COMPUTED_VALUE"""),45097.5848837268)</f>
        <v>45097.58488</v>
      </c>
      <c r="D4499" s="15">
        <f>IFERROR(__xludf.DUMMYFUNCTION("""COMPUTED_VALUE"""),1.005)</f>
        <v>1.005</v>
      </c>
      <c r="E4499" s="16">
        <f>IFERROR(__xludf.DUMMYFUNCTION("""COMPUTED_VALUE"""),70.0)</f>
        <v>70</v>
      </c>
      <c r="F4499" s="19" t="str">
        <f>IFERROR(__xludf.DUMMYFUNCTION("""COMPUTED_VALUE"""),"BLACK")</f>
        <v>BLACK</v>
      </c>
      <c r="G4499" s="20" t="str">
        <f>IFERROR(__xludf.DUMMYFUNCTION("""COMPUTED_VALUE"""),"Uncle Sams Cider (04/04/2023)")</f>
        <v>Uncle Sams Cider (04/04/2023)</v>
      </c>
      <c r="H4499" s="19"/>
    </row>
    <row r="4500">
      <c r="A4500" s="9"/>
      <c r="B4500" s="15"/>
      <c r="C4500" s="9">
        <f>IFERROR(__xludf.DUMMYFUNCTION("""COMPUTED_VALUE"""),45097.5744638888)</f>
        <v>45097.57446</v>
      </c>
      <c r="D4500" s="15">
        <f>IFERROR(__xludf.DUMMYFUNCTION("""COMPUTED_VALUE"""),1.005)</f>
        <v>1.005</v>
      </c>
      <c r="E4500" s="16">
        <f>IFERROR(__xludf.DUMMYFUNCTION("""COMPUTED_VALUE"""),70.0)</f>
        <v>70</v>
      </c>
      <c r="F4500" s="19" t="str">
        <f>IFERROR(__xludf.DUMMYFUNCTION("""COMPUTED_VALUE"""),"BLACK")</f>
        <v>BLACK</v>
      </c>
      <c r="G4500" s="20" t="str">
        <f>IFERROR(__xludf.DUMMYFUNCTION("""COMPUTED_VALUE"""),"Uncle Sams Cider (04/04/2023)")</f>
        <v>Uncle Sams Cider (04/04/2023)</v>
      </c>
      <c r="H4500" s="19"/>
    </row>
    <row r="4501">
      <c r="A4501" s="9"/>
      <c r="B4501" s="15"/>
      <c r="C4501" s="9">
        <f>IFERROR(__xludf.DUMMYFUNCTION("""COMPUTED_VALUE"""),45097.5640424074)</f>
        <v>45097.56404</v>
      </c>
      <c r="D4501" s="15">
        <f>IFERROR(__xludf.DUMMYFUNCTION("""COMPUTED_VALUE"""),1.005)</f>
        <v>1.005</v>
      </c>
      <c r="E4501" s="16">
        <f>IFERROR(__xludf.DUMMYFUNCTION("""COMPUTED_VALUE"""),70.0)</f>
        <v>70</v>
      </c>
      <c r="F4501" s="19" t="str">
        <f>IFERROR(__xludf.DUMMYFUNCTION("""COMPUTED_VALUE"""),"BLACK")</f>
        <v>BLACK</v>
      </c>
      <c r="G4501" s="20" t="str">
        <f>IFERROR(__xludf.DUMMYFUNCTION("""COMPUTED_VALUE"""),"Uncle Sams Cider (04/04/2023)")</f>
        <v>Uncle Sams Cider (04/04/2023)</v>
      </c>
      <c r="H4501" s="19"/>
    </row>
    <row r="4502">
      <c r="A4502" s="9"/>
      <c r="B4502" s="15"/>
      <c r="C4502" s="9">
        <f>IFERROR(__xludf.DUMMYFUNCTION("""COMPUTED_VALUE"""),45097.5536087152)</f>
        <v>45097.55361</v>
      </c>
      <c r="D4502" s="15">
        <f>IFERROR(__xludf.DUMMYFUNCTION("""COMPUTED_VALUE"""),1.005)</f>
        <v>1.005</v>
      </c>
      <c r="E4502" s="16">
        <f>IFERROR(__xludf.DUMMYFUNCTION("""COMPUTED_VALUE"""),70.0)</f>
        <v>70</v>
      </c>
      <c r="F4502" s="19" t="str">
        <f>IFERROR(__xludf.DUMMYFUNCTION("""COMPUTED_VALUE"""),"BLACK")</f>
        <v>BLACK</v>
      </c>
      <c r="G4502" s="20" t="str">
        <f>IFERROR(__xludf.DUMMYFUNCTION("""COMPUTED_VALUE"""),"Uncle Sams Cider (04/04/2023)")</f>
        <v>Uncle Sams Cider (04/04/2023)</v>
      </c>
      <c r="H4502" s="19"/>
    </row>
    <row r="4503">
      <c r="A4503" s="9"/>
      <c r="B4503" s="15"/>
      <c r="C4503" s="9">
        <f>IFERROR(__xludf.DUMMYFUNCTION("""COMPUTED_VALUE"""),45097.543186574)</f>
        <v>45097.54319</v>
      </c>
      <c r="D4503" s="15">
        <f>IFERROR(__xludf.DUMMYFUNCTION("""COMPUTED_VALUE"""),1.005)</f>
        <v>1.005</v>
      </c>
      <c r="E4503" s="16">
        <f>IFERROR(__xludf.DUMMYFUNCTION("""COMPUTED_VALUE"""),70.0)</f>
        <v>70</v>
      </c>
      <c r="F4503" s="19" t="str">
        <f>IFERROR(__xludf.DUMMYFUNCTION("""COMPUTED_VALUE"""),"BLACK")</f>
        <v>BLACK</v>
      </c>
      <c r="G4503" s="20" t="str">
        <f>IFERROR(__xludf.DUMMYFUNCTION("""COMPUTED_VALUE"""),"Uncle Sams Cider (04/04/2023)")</f>
        <v>Uncle Sams Cider (04/04/2023)</v>
      </c>
      <c r="H4503" s="19"/>
    </row>
    <row r="4504">
      <c r="A4504" s="9"/>
      <c r="B4504" s="15"/>
      <c r="C4504" s="9">
        <f>IFERROR(__xludf.DUMMYFUNCTION("""COMPUTED_VALUE"""),45097.5327555324)</f>
        <v>45097.53276</v>
      </c>
      <c r="D4504" s="15">
        <f>IFERROR(__xludf.DUMMYFUNCTION("""COMPUTED_VALUE"""),1.005)</f>
        <v>1.005</v>
      </c>
      <c r="E4504" s="16">
        <f>IFERROR(__xludf.DUMMYFUNCTION("""COMPUTED_VALUE"""),70.0)</f>
        <v>70</v>
      </c>
      <c r="F4504" s="19" t="str">
        <f>IFERROR(__xludf.DUMMYFUNCTION("""COMPUTED_VALUE"""),"BLACK")</f>
        <v>BLACK</v>
      </c>
      <c r="G4504" s="20" t="str">
        <f>IFERROR(__xludf.DUMMYFUNCTION("""COMPUTED_VALUE"""),"Uncle Sams Cider (04/04/2023)")</f>
        <v>Uncle Sams Cider (04/04/2023)</v>
      </c>
      <c r="H4504" s="19"/>
    </row>
    <row r="4505">
      <c r="A4505" s="9"/>
      <c r="B4505" s="15"/>
      <c r="C4505" s="9">
        <f>IFERROR(__xludf.DUMMYFUNCTION("""COMPUTED_VALUE"""),45097.5223345138)</f>
        <v>45097.52233</v>
      </c>
      <c r="D4505" s="15">
        <f>IFERROR(__xludf.DUMMYFUNCTION("""COMPUTED_VALUE"""),1.005)</f>
        <v>1.005</v>
      </c>
      <c r="E4505" s="16">
        <f>IFERROR(__xludf.DUMMYFUNCTION("""COMPUTED_VALUE"""),70.0)</f>
        <v>70</v>
      </c>
      <c r="F4505" s="19" t="str">
        <f>IFERROR(__xludf.DUMMYFUNCTION("""COMPUTED_VALUE"""),"BLACK")</f>
        <v>BLACK</v>
      </c>
      <c r="G4505" s="20" t="str">
        <f>IFERROR(__xludf.DUMMYFUNCTION("""COMPUTED_VALUE"""),"Uncle Sams Cider (04/04/2023)")</f>
        <v>Uncle Sams Cider (04/04/2023)</v>
      </c>
      <c r="H4505" s="19"/>
    </row>
    <row r="4506">
      <c r="A4506" s="9"/>
      <c r="B4506" s="15"/>
      <c r="C4506" s="9">
        <f>IFERROR(__xludf.DUMMYFUNCTION("""COMPUTED_VALUE"""),45097.5119132523)</f>
        <v>45097.51191</v>
      </c>
      <c r="D4506" s="15">
        <f>IFERROR(__xludf.DUMMYFUNCTION("""COMPUTED_VALUE"""),1.005)</f>
        <v>1.005</v>
      </c>
      <c r="E4506" s="16">
        <f>IFERROR(__xludf.DUMMYFUNCTION("""COMPUTED_VALUE"""),70.0)</f>
        <v>70</v>
      </c>
      <c r="F4506" s="19" t="str">
        <f>IFERROR(__xludf.DUMMYFUNCTION("""COMPUTED_VALUE"""),"BLACK")</f>
        <v>BLACK</v>
      </c>
      <c r="G4506" s="20" t="str">
        <f>IFERROR(__xludf.DUMMYFUNCTION("""COMPUTED_VALUE"""),"Uncle Sams Cider (04/04/2023)")</f>
        <v>Uncle Sams Cider (04/04/2023)</v>
      </c>
      <c r="H4506" s="19"/>
    </row>
    <row r="4507">
      <c r="A4507" s="9"/>
      <c r="B4507" s="15"/>
      <c r="C4507" s="9">
        <f>IFERROR(__xludf.DUMMYFUNCTION("""COMPUTED_VALUE"""),45097.5014922916)</f>
        <v>45097.50149</v>
      </c>
      <c r="D4507" s="15">
        <f>IFERROR(__xludf.DUMMYFUNCTION("""COMPUTED_VALUE"""),1.005)</f>
        <v>1.005</v>
      </c>
      <c r="E4507" s="16">
        <f>IFERROR(__xludf.DUMMYFUNCTION("""COMPUTED_VALUE"""),70.0)</f>
        <v>70</v>
      </c>
      <c r="F4507" s="19" t="str">
        <f>IFERROR(__xludf.DUMMYFUNCTION("""COMPUTED_VALUE"""),"BLACK")</f>
        <v>BLACK</v>
      </c>
      <c r="G4507" s="20" t="str">
        <f>IFERROR(__xludf.DUMMYFUNCTION("""COMPUTED_VALUE"""),"Uncle Sams Cider (04/04/2023)")</f>
        <v>Uncle Sams Cider (04/04/2023)</v>
      </c>
      <c r="H4507" s="19"/>
    </row>
    <row r="4508">
      <c r="A4508" s="9"/>
      <c r="B4508" s="15"/>
      <c r="C4508" s="9">
        <f>IFERROR(__xludf.DUMMYFUNCTION("""COMPUTED_VALUE"""),45097.4910611458)</f>
        <v>45097.49106</v>
      </c>
      <c r="D4508" s="15">
        <f>IFERROR(__xludf.DUMMYFUNCTION("""COMPUTED_VALUE"""),1.005)</f>
        <v>1.005</v>
      </c>
      <c r="E4508" s="16">
        <f>IFERROR(__xludf.DUMMYFUNCTION("""COMPUTED_VALUE"""),70.0)</f>
        <v>70</v>
      </c>
      <c r="F4508" s="19" t="str">
        <f>IFERROR(__xludf.DUMMYFUNCTION("""COMPUTED_VALUE"""),"BLACK")</f>
        <v>BLACK</v>
      </c>
      <c r="G4508" s="20" t="str">
        <f>IFERROR(__xludf.DUMMYFUNCTION("""COMPUTED_VALUE"""),"Uncle Sams Cider (04/04/2023)")</f>
        <v>Uncle Sams Cider (04/04/2023)</v>
      </c>
      <c r="H4508" s="19"/>
    </row>
    <row r="4509">
      <c r="A4509" s="9"/>
      <c r="B4509" s="15"/>
      <c r="C4509" s="9">
        <f>IFERROR(__xludf.DUMMYFUNCTION("""COMPUTED_VALUE"""),45097.4806407523)</f>
        <v>45097.48064</v>
      </c>
      <c r="D4509" s="15">
        <f>IFERROR(__xludf.DUMMYFUNCTION("""COMPUTED_VALUE"""),1.005)</f>
        <v>1.005</v>
      </c>
      <c r="E4509" s="16">
        <f>IFERROR(__xludf.DUMMYFUNCTION("""COMPUTED_VALUE"""),70.0)</f>
        <v>70</v>
      </c>
      <c r="F4509" s="19" t="str">
        <f>IFERROR(__xludf.DUMMYFUNCTION("""COMPUTED_VALUE"""),"BLACK")</f>
        <v>BLACK</v>
      </c>
      <c r="G4509" s="20" t="str">
        <f>IFERROR(__xludf.DUMMYFUNCTION("""COMPUTED_VALUE"""),"Uncle Sams Cider (04/04/2023)")</f>
        <v>Uncle Sams Cider (04/04/2023)</v>
      </c>
      <c r="H4509" s="19"/>
    </row>
    <row r="4510">
      <c r="A4510" s="9"/>
      <c r="B4510" s="15"/>
      <c r="C4510" s="9">
        <f>IFERROR(__xludf.DUMMYFUNCTION("""COMPUTED_VALUE"""),45097.4702188657)</f>
        <v>45097.47022</v>
      </c>
      <c r="D4510" s="15">
        <f>IFERROR(__xludf.DUMMYFUNCTION("""COMPUTED_VALUE"""),1.005)</f>
        <v>1.005</v>
      </c>
      <c r="E4510" s="16">
        <f>IFERROR(__xludf.DUMMYFUNCTION("""COMPUTED_VALUE"""),70.0)</f>
        <v>70</v>
      </c>
      <c r="F4510" s="19" t="str">
        <f>IFERROR(__xludf.DUMMYFUNCTION("""COMPUTED_VALUE"""),"BLACK")</f>
        <v>BLACK</v>
      </c>
      <c r="G4510" s="20" t="str">
        <f>IFERROR(__xludf.DUMMYFUNCTION("""COMPUTED_VALUE"""),"Uncle Sams Cider (04/04/2023)")</f>
        <v>Uncle Sams Cider (04/04/2023)</v>
      </c>
      <c r="H4510" s="19"/>
    </row>
    <row r="4511">
      <c r="A4511" s="9"/>
      <c r="B4511" s="15"/>
      <c r="C4511" s="9">
        <f>IFERROR(__xludf.DUMMYFUNCTION("""COMPUTED_VALUE"""),45097.4597860185)</f>
        <v>45097.45979</v>
      </c>
      <c r="D4511" s="15">
        <f>IFERROR(__xludf.DUMMYFUNCTION("""COMPUTED_VALUE"""),1.005)</f>
        <v>1.005</v>
      </c>
      <c r="E4511" s="16">
        <f>IFERROR(__xludf.DUMMYFUNCTION("""COMPUTED_VALUE"""),70.0)</f>
        <v>70</v>
      </c>
      <c r="F4511" s="19" t="str">
        <f>IFERROR(__xludf.DUMMYFUNCTION("""COMPUTED_VALUE"""),"BLACK")</f>
        <v>BLACK</v>
      </c>
      <c r="G4511" s="20" t="str">
        <f>IFERROR(__xludf.DUMMYFUNCTION("""COMPUTED_VALUE"""),"Uncle Sams Cider (04/04/2023)")</f>
        <v>Uncle Sams Cider (04/04/2023)</v>
      </c>
      <c r="H4511" s="19"/>
    </row>
    <row r="4512">
      <c r="A4512" s="9"/>
      <c r="B4512" s="15"/>
      <c r="C4512" s="9">
        <f>IFERROR(__xludf.DUMMYFUNCTION("""COMPUTED_VALUE"""),45097.4493542245)</f>
        <v>45097.44935</v>
      </c>
      <c r="D4512" s="15">
        <f>IFERROR(__xludf.DUMMYFUNCTION("""COMPUTED_VALUE"""),1.005)</f>
        <v>1.005</v>
      </c>
      <c r="E4512" s="16">
        <f>IFERROR(__xludf.DUMMYFUNCTION("""COMPUTED_VALUE"""),70.0)</f>
        <v>70</v>
      </c>
      <c r="F4512" s="19" t="str">
        <f>IFERROR(__xludf.DUMMYFUNCTION("""COMPUTED_VALUE"""),"BLACK")</f>
        <v>BLACK</v>
      </c>
      <c r="G4512" s="20" t="str">
        <f>IFERROR(__xludf.DUMMYFUNCTION("""COMPUTED_VALUE"""),"Uncle Sams Cider (04/04/2023)")</f>
        <v>Uncle Sams Cider (04/04/2023)</v>
      </c>
      <c r="H4512" s="19"/>
    </row>
    <row r="4513">
      <c r="A4513" s="9"/>
      <c r="B4513" s="15"/>
      <c r="C4513" s="9">
        <f>IFERROR(__xludf.DUMMYFUNCTION("""COMPUTED_VALUE"""),45097.438920625)</f>
        <v>45097.43892</v>
      </c>
      <c r="D4513" s="15">
        <f>IFERROR(__xludf.DUMMYFUNCTION("""COMPUTED_VALUE"""),1.005)</f>
        <v>1.005</v>
      </c>
      <c r="E4513" s="16">
        <f>IFERROR(__xludf.DUMMYFUNCTION("""COMPUTED_VALUE"""),70.0)</f>
        <v>70</v>
      </c>
      <c r="F4513" s="19" t="str">
        <f>IFERROR(__xludf.DUMMYFUNCTION("""COMPUTED_VALUE"""),"BLACK")</f>
        <v>BLACK</v>
      </c>
      <c r="G4513" s="20" t="str">
        <f>IFERROR(__xludf.DUMMYFUNCTION("""COMPUTED_VALUE"""),"Uncle Sams Cider (04/04/2023)")</f>
        <v>Uncle Sams Cider (04/04/2023)</v>
      </c>
      <c r="H4513" s="19"/>
    </row>
    <row r="4514">
      <c r="A4514" s="9"/>
      <c r="B4514" s="15"/>
      <c r="C4514" s="9">
        <f>IFERROR(__xludf.DUMMYFUNCTION("""COMPUTED_VALUE"""),45097.4284994907)</f>
        <v>45097.4285</v>
      </c>
      <c r="D4514" s="15">
        <f>IFERROR(__xludf.DUMMYFUNCTION("""COMPUTED_VALUE"""),1.005)</f>
        <v>1.005</v>
      </c>
      <c r="E4514" s="16">
        <f>IFERROR(__xludf.DUMMYFUNCTION("""COMPUTED_VALUE"""),70.0)</f>
        <v>70</v>
      </c>
      <c r="F4514" s="19" t="str">
        <f>IFERROR(__xludf.DUMMYFUNCTION("""COMPUTED_VALUE"""),"BLACK")</f>
        <v>BLACK</v>
      </c>
      <c r="G4514" s="20" t="str">
        <f>IFERROR(__xludf.DUMMYFUNCTION("""COMPUTED_VALUE"""),"Uncle Sams Cider (04/04/2023)")</f>
        <v>Uncle Sams Cider (04/04/2023)</v>
      </c>
      <c r="H4514" s="19"/>
    </row>
    <row r="4515">
      <c r="A4515" s="9"/>
      <c r="B4515" s="15"/>
      <c r="C4515" s="9">
        <f>IFERROR(__xludf.DUMMYFUNCTION("""COMPUTED_VALUE"""),45097.4180661458)</f>
        <v>45097.41807</v>
      </c>
      <c r="D4515" s="15">
        <f>IFERROR(__xludf.DUMMYFUNCTION("""COMPUTED_VALUE"""),1.005)</f>
        <v>1.005</v>
      </c>
      <c r="E4515" s="16">
        <f>IFERROR(__xludf.DUMMYFUNCTION("""COMPUTED_VALUE"""),70.0)</f>
        <v>70</v>
      </c>
      <c r="F4515" s="19" t="str">
        <f>IFERROR(__xludf.DUMMYFUNCTION("""COMPUTED_VALUE"""),"BLACK")</f>
        <v>BLACK</v>
      </c>
      <c r="G4515" s="20" t="str">
        <f>IFERROR(__xludf.DUMMYFUNCTION("""COMPUTED_VALUE"""),"Uncle Sams Cider (04/04/2023)")</f>
        <v>Uncle Sams Cider (04/04/2023)</v>
      </c>
      <c r="H4515" s="19"/>
    </row>
    <row r="4516">
      <c r="A4516" s="9"/>
      <c r="B4516" s="15"/>
      <c r="C4516" s="9">
        <f>IFERROR(__xludf.DUMMYFUNCTION("""COMPUTED_VALUE"""),45097.4076462152)</f>
        <v>45097.40765</v>
      </c>
      <c r="D4516" s="15">
        <f>IFERROR(__xludf.DUMMYFUNCTION("""COMPUTED_VALUE"""),1.005)</f>
        <v>1.005</v>
      </c>
      <c r="E4516" s="16">
        <f>IFERROR(__xludf.DUMMYFUNCTION("""COMPUTED_VALUE"""),70.0)</f>
        <v>70</v>
      </c>
      <c r="F4516" s="19" t="str">
        <f>IFERROR(__xludf.DUMMYFUNCTION("""COMPUTED_VALUE"""),"BLACK")</f>
        <v>BLACK</v>
      </c>
      <c r="G4516" s="20" t="str">
        <f>IFERROR(__xludf.DUMMYFUNCTION("""COMPUTED_VALUE"""),"Uncle Sams Cider (04/04/2023)")</f>
        <v>Uncle Sams Cider (04/04/2023)</v>
      </c>
      <c r="H4516" s="19"/>
    </row>
    <row r="4517">
      <c r="A4517" s="9"/>
      <c r="B4517" s="15"/>
      <c r="C4517" s="9">
        <f>IFERROR(__xludf.DUMMYFUNCTION("""COMPUTED_VALUE"""),45097.3972252083)</f>
        <v>45097.39723</v>
      </c>
      <c r="D4517" s="15">
        <f>IFERROR(__xludf.DUMMYFUNCTION("""COMPUTED_VALUE"""),1.005)</f>
        <v>1.005</v>
      </c>
      <c r="E4517" s="16">
        <f>IFERROR(__xludf.DUMMYFUNCTION("""COMPUTED_VALUE"""),70.0)</f>
        <v>70</v>
      </c>
      <c r="F4517" s="19" t="str">
        <f>IFERROR(__xludf.DUMMYFUNCTION("""COMPUTED_VALUE"""),"BLACK")</f>
        <v>BLACK</v>
      </c>
      <c r="G4517" s="20" t="str">
        <f>IFERROR(__xludf.DUMMYFUNCTION("""COMPUTED_VALUE"""),"Uncle Sams Cider (04/04/2023)")</f>
        <v>Uncle Sams Cider (04/04/2023)</v>
      </c>
      <c r="H4517" s="19"/>
    </row>
    <row r="4518">
      <c r="A4518" s="9"/>
      <c r="B4518" s="15"/>
      <c r="C4518" s="9">
        <f>IFERROR(__xludf.DUMMYFUNCTION("""COMPUTED_VALUE"""),45097.3868045949)</f>
        <v>45097.3868</v>
      </c>
      <c r="D4518" s="15">
        <f>IFERROR(__xludf.DUMMYFUNCTION("""COMPUTED_VALUE"""),1.005)</f>
        <v>1.005</v>
      </c>
      <c r="E4518" s="16">
        <f>IFERROR(__xludf.DUMMYFUNCTION("""COMPUTED_VALUE"""),70.0)</f>
        <v>70</v>
      </c>
      <c r="F4518" s="19" t="str">
        <f>IFERROR(__xludf.DUMMYFUNCTION("""COMPUTED_VALUE"""),"BLACK")</f>
        <v>BLACK</v>
      </c>
      <c r="G4518" s="20" t="str">
        <f>IFERROR(__xludf.DUMMYFUNCTION("""COMPUTED_VALUE"""),"Uncle Sams Cider (04/04/2023)")</f>
        <v>Uncle Sams Cider (04/04/2023)</v>
      </c>
      <c r="H4518" s="19"/>
    </row>
    <row r="4519">
      <c r="A4519" s="9"/>
      <c r="B4519" s="15"/>
      <c r="C4519" s="9">
        <f>IFERROR(__xludf.DUMMYFUNCTION("""COMPUTED_VALUE"""),45097.3763831828)</f>
        <v>45097.37638</v>
      </c>
      <c r="D4519" s="15">
        <f>IFERROR(__xludf.DUMMYFUNCTION("""COMPUTED_VALUE"""),1.005)</f>
        <v>1.005</v>
      </c>
      <c r="E4519" s="16">
        <f>IFERROR(__xludf.DUMMYFUNCTION("""COMPUTED_VALUE"""),70.0)</f>
        <v>70</v>
      </c>
      <c r="F4519" s="19" t="str">
        <f>IFERROR(__xludf.DUMMYFUNCTION("""COMPUTED_VALUE"""),"BLACK")</f>
        <v>BLACK</v>
      </c>
      <c r="G4519" s="20" t="str">
        <f>IFERROR(__xludf.DUMMYFUNCTION("""COMPUTED_VALUE"""),"Uncle Sams Cider (04/04/2023)")</f>
        <v>Uncle Sams Cider (04/04/2023)</v>
      </c>
      <c r="H4519" s="19"/>
    </row>
    <row r="4520">
      <c r="A4520" s="9"/>
      <c r="B4520" s="15"/>
      <c r="C4520" s="9">
        <f>IFERROR(__xludf.DUMMYFUNCTION("""COMPUTED_VALUE"""),45097.3659279861)</f>
        <v>45097.36593</v>
      </c>
      <c r="D4520" s="15">
        <f>IFERROR(__xludf.DUMMYFUNCTION("""COMPUTED_VALUE"""),1.005)</f>
        <v>1.005</v>
      </c>
      <c r="E4520" s="16">
        <f>IFERROR(__xludf.DUMMYFUNCTION("""COMPUTED_VALUE"""),70.0)</f>
        <v>70</v>
      </c>
      <c r="F4520" s="19" t="str">
        <f>IFERROR(__xludf.DUMMYFUNCTION("""COMPUTED_VALUE"""),"BLACK")</f>
        <v>BLACK</v>
      </c>
      <c r="G4520" s="20" t="str">
        <f>IFERROR(__xludf.DUMMYFUNCTION("""COMPUTED_VALUE"""),"Uncle Sams Cider (04/04/2023)")</f>
        <v>Uncle Sams Cider (04/04/2023)</v>
      </c>
      <c r="H4520" s="19"/>
    </row>
    <row r="4521">
      <c r="A4521" s="9"/>
      <c r="B4521" s="15"/>
      <c r="C4521" s="9">
        <f>IFERROR(__xludf.DUMMYFUNCTION("""COMPUTED_VALUE"""),45097.3554847685)</f>
        <v>45097.35548</v>
      </c>
      <c r="D4521" s="15">
        <f>IFERROR(__xludf.DUMMYFUNCTION("""COMPUTED_VALUE"""),1.005)</f>
        <v>1.005</v>
      </c>
      <c r="E4521" s="16">
        <f>IFERROR(__xludf.DUMMYFUNCTION("""COMPUTED_VALUE"""),70.0)</f>
        <v>70</v>
      </c>
      <c r="F4521" s="19" t="str">
        <f>IFERROR(__xludf.DUMMYFUNCTION("""COMPUTED_VALUE"""),"BLACK")</f>
        <v>BLACK</v>
      </c>
      <c r="G4521" s="20" t="str">
        <f>IFERROR(__xludf.DUMMYFUNCTION("""COMPUTED_VALUE"""),"Uncle Sams Cider (04/04/2023)")</f>
        <v>Uncle Sams Cider (04/04/2023)</v>
      </c>
      <c r="H4521" s="19"/>
    </row>
    <row r="4522">
      <c r="A4522" s="9"/>
      <c r="B4522" s="15"/>
      <c r="C4522" s="9">
        <f>IFERROR(__xludf.DUMMYFUNCTION("""COMPUTED_VALUE"""),45097.3450632523)</f>
        <v>45097.34506</v>
      </c>
      <c r="D4522" s="15">
        <f>IFERROR(__xludf.DUMMYFUNCTION("""COMPUTED_VALUE"""),1.005)</f>
        <v>1.005</v>
      </c>
      <c r="E4522" s="16">
        <f>IFERROR(__xludf.DUMMYFUNCTION("""COMPUTED_VALUE"""),70.0)</f>
        <v>70</v>
      </c>
      <c r="F4522" s="19" t="str">
        <f>IFERROR(__xludf.DUMMYFUNCTION("""COMPUTED_VALUE"""),"BLACK")</f>
        <v>BLACK</v>
      </c>
      <c r="G4522" s="20" t="str">
        <f>IFERROR(__xludf.DUMMYFUNCTION("""COMPUTED_VALUE"""),"Uncle Sams Cider (04/04/2023)")</f>
        <v>Uncle Sams Cider (04/04/2023)</v>
      </c>
      <c r="H4522" s="19"/>
    </row>
    <row r="4523">
      <c r="A4523" s="9"/>
      <c r="B4523" s="15"/>
      <c r="C4523" s="9">
        <f>IFERROR(__xludf.DUMMYFUNCTION("""COMPUTED_VALUE"""),45097.3346287384)</f>
        <v>45097.33463</v>
      </c>
      <c r="D4523" s="15">
        <f>IFERROR(__xludf.DUMMYFUNCTION("""COMPUTED_VALUE"""),1.005)</f>
        <v>1.005</v>
      </c>
      <c r="E4523" s="16">
        <f>IFERROR(__xludf.DUMMYFUNCTION("""COMPUTED_VALUE"""),70.0)</f>
        <v>70</v>
      </c>
      <c r="F4523" s="19" t="str">
        <f>IFERROR(__xludf.DUMMYFUNCTION("""COMPUTED_VALUE"""),"BLACK")</f>
        <v>BLACK</v>
      </c>
      <c r="G4523" s="20" t="str">
        <f>IFERROR(__xludf.DUMMYFUNCTION("""COMPUTED_VALUE"""),"Uncle Sams Cider (04/04/2023)")</f>
        <v>Uncle Sams Cider (04/04/2023)</v>
      </c>
      <c r="H4523" s="19"/>
    </row>
    <row r="4524">
      <c r="A4524" s="9"/>
      <c r="B4524" s="15"/>
      <c r="C4524" s="9">
        <f>IFERROR(__xludf.DUMMYFUNCTION("""COMPUTED_VALUE"""),45097.3242096296)</f>
        <v>45097.32421</v>
      </c>
      <c r="D4524" s="15">
        <f>IFERROR(__xludf.DUMMYFUNCTION("""COMPUTED_VALUE"""),1.005)</f>
        <v>1.005</v>
      </c>
      <c r="E4524" s="16">
        <f>IFERROR(__xludf.DUMMYFUNCTION("""COMPUTED_VALUE"""),70.0)</f>
        <v>70</v>
      </c>
      <c r="F4524" s="19" t="str">
        <f>IFERROR(__xludf.DUMMYFUNCTION("""COMPUTED_VALUE"""),"BLACK")</f>
        <v>BLACK</v>
      </c>
      <c r="G4524" s="20" t="str">
        <f>IFERROR(__xludf.DUMMYFUNCTION("""COMPUTED_VALUE"""),"Uncle Sams Cider (04/04/2023)")</f>
        <v>Uncle Sams Cider (04/04/2023)</v>
      </c>
      <c r="H4524" s="19"/>
    </row>
    <row r="4525">
      <c r="A4525" s="9"/>
      <c r="B4525" s="15"/>
      <c r="C4525" s="9">
        <f>IFERROR(__xludf.DUMMYFUNCTION("""COMPUTED_VALUE"""),45097.3137766088)</f>
        <v>45097.31378</v>
      </c>
      <c r="D4525" s="15">
        <f>IFERROR(__xludf.DUMMYFUNCTION("""COMPUTED_VALUE"""),1.005)</f>
        <v>1.005</v>
      </c>
      <c r="E4525" s="16">
        <f>IFERROR(__xludf.DUMMYFUNCTION("""COMPUTED_VALUE"""),70.0)</f>
        <v>70</v>
      </c>
      <c r="F4525" s="19" t="str">
        <f>IFERROR(__xludf.DUMMYFUNCTION("""COMPUTED_VALUE"""),"BLACK")</f>
        <v>BLACK</v>
      </c>
      <c r="G4525" s="20" t="str">
        <f>IFERROR(__xludf.DUMMYFUNCTION("""COMPUTED_VALUE"""),"Uncle Sams Cider (04/04/2023)")</f>
        <v>Uncle Sams Cider (04/04/2023)</v>
      </c>
      <c r="H4525" s="19"/>
    </row>
    <row r="4526">
      <c r="A4526" s="9"/>
      <c r="B4526" s="15"/>
      <c r="C4526" s="9">
        <f>IFERROR(__xludf.DUMMYFUNCTION("""COMPUTED_VALUE"""),45097.3033440972)</f>
        <v>45097.30334</v>
      </c>
      <c r="D4526" s="15">
        <f>IFERROR(__xludf.DUMMYFUNCTION("""COMPUTED_VALUE"""),1.005)</f>
        <v>1.005</v>
      </c>
      <c r="E4526" s="16">
        <f>IFERROR(__xludf.DUMMYFUNCTION("""COMPUTED_VALUE"""),70.0)</f>
        <v>70</v>
      </c>
      <c r="F4526" s="19" t="str">
        <f>IFERROR(__xludf.DUMMYFUNCTION("""COMPUTED_VALUE"""),"BLACK")</f>
        <v>BLACK</v>
      </c>
      <c r="G4526" s="20" t="str">
        <f>IFERROR(__xludf.DUMMYFUNCTION("""COMPUTED_VALUE"""),"Uncle Sams Cider (04/04/2023)")</f>
        <v>Uncle Sams Cider (04/04/2023)</v>
      </c>
      <c r="H4526" s="19"/>
    </row>
    <row r="4527">
      <c r="A4527" s="9"/>
      <c r="B4527" s="15"/>
      <c r="C4527" s="9">
        <f>IFERROR(__xludf.DUMMYFUNCTION("""COMPUTED_VALUE"""),45097.2929230555)</f>
        <v>45097.29292</v>
      </c>
      <c r="D4527" s="15">
        <f>IFERROR(__xludf.DUMMYFUNCTION("""COMPUTED_VALUE"""),1.005)</f>
        <v>1.005</v>
      </c>
      <c r="E4527" s="16">
        <f>IFERROR(__xludf.DUMMYFUNCTION("""COMPUTED_VALUE"""),70.0)</f>
        <v>70</v>
      </c>
      <c r="F4527" s="19" t="str">
        <f>IFERROR(__xludf.DUMMYFUNCTION("""COMPUTED_VALUE"""),"BLACK")</f>
        <v>BLACK</v>
      </c>
      <c r="G4527" s="20" t="str">
        <f>IFERROR(__xludf.DUMMYFUNCTION("""COMPUTED_VALUE"""),"Uncle Sams Cider (04/04/2023)")</f>
        <v>Uncle Sams Cider (04/04/2023)</v>
      </c>
      <c r="H4527" s="19"/>
    </row>
    <row r="4528">
      <c r="A4528" s="9"/>
      <c r="B4528" s="15"/>
      <c r="C4528" s="9">
        <f>IFERROR(__xludf.DUMMYFUNCTION("""COMPUTED_VALUE"""),45097.2825027083)</f>
        <v>45097.2825</v>
      </c>
      <c r="D4528" s="15">
        <f>IFERROR(__xludf.DUMMYFUNCTION("""COMPUTED_VALUE"""),1.005)</f>
        <v>1.005</v>
      </c>
      <c r="E4528" s="16">
        <f>IFERROR(__xludf.DUMMYFUNCTION("""COMPUTED_VALUE"""),70.0)</f>
        <v>70</v>
      </c>
      <c r="F4528" s="19" t="str">
        <f>IFERROR(__xludf.DUMMYFUNCTION("""COMPUTED_VALUE"""),"BLACK")</f>
        <v>BLACK</v>
      </c>
      <c r="G4528" s="20" t="str">
        <f>IFERROR(__xludf.DUMMYFUNCTION("""COMPUTED_VALUE"""),"Uncle Sams Cider (04/04/2023)")</f>
        <v>Uncle Sams Cider (04/04/2023)</v>
      </c>
      <c r="H4528" s="19"/>
    </row>
    <row r="4529">
      <c r="A4529" s="9"/>
      <c r="B4529" s="15"/>
      <c r="C4529" s="9">
        <f>IFERROR(__xludf.DUMMYFUNCTION("""COMPUTED_VALUE"""),45097.2720710416)</f>
        <v>45097.27207</v>
      </c>
      <c r="D4529" s="15">
        <f>IFERROR(__xludf.DUMMYFUNCTION("""COMPUTED_VALUE"""),1.005)</f>
        <v>1.005</v>
      </c>
      <c r="E4529" s="16">
        <f>IFERROR(__xludf.DUMMYFUNCTION("""COMPUTED_VALUE"""),70.0)</f>
        <v>70</v>
      </c>
      <c r="F4529" s="19" t="str">
        <f>IFERROR(__xludf.DUMMYFUNCTION("""COMPUTED_VALUE"""),"BLACK")</f>
        <v>BLACK</v>
      </c>
      <c r="G4529" s="20" t="str">
        <f>IFERROR(__xludf.DUMMYFUNCTION("""COMPUTED_VALUE"""),"Uncle Sams Cider (04/04/2023)")</f>
        <v>Uncle Sams Cider (04/04/2023)</v>
      </c>
      <c r="H4529" s="19"/>
    </row>
    <row r="4530">
      <c r="A4530" s="9"/>
      <c r="B4530" s="15"/>
      <c r="C4530" s="9">
        <f>IFERROR(__xludf.DUMMYFUNCTION("""COMPUTED_VALUE"""),45097.2616503009)</f>
        <v>45097.26165</v>
      </c>
      <c r="D4530" s="15">
        <f>IFERROR(__xludf.DUMMYFUNCTION("""COMPUTED_VALUE"""),1.005)</f>
        <v>1.005</v>
      </c>
      <c r="E4530" s="16">
        <f>IFERROR(__xludf.DUMMYFUNCTION("""COMPUTED_VALUE"""),70.0)</f>
        <v>70</v>
      </c>
      <c r="F4530" s="19" t="str">
        <f>IFERROR(__xludf.DUMMYFUNCTION("""COMPUTED_VALUE"""),"BLACK")</f>
        <v>BLACK</v>
      </c>
      <c r="G4530" s="20" t="str">
        <f>IFERROR(__xludf.DUMMYFUNCTION("""COMPUTED_VALUE"""),"Uncle Sams Cider (04/04/2023)")</f>
        <v>Uncle Sams Cider (04/04/2023)</v>
      </c>
      <c r="H4530" s="19"/>
    </row>
    <row r="4531">
      <c r="A4531" s="9"/>
      <c r="B4531" s="15"/>
      <c r="C4531" s="9">
        <f>IFERROR(__xludf.DUMMYFUNCTION("""COMPUTED_VALUE"""),45097.2512290509)</f>
        <v>45097.25123</v>
      </c>
      <c r="D4531" s="15">
        <f>IFERROR(__xludf.DUMMYFUNCTION("""COMPUTED_VALUE"""),1.005)</f>
        <v>1.005</v>
      </c>
      <c r="E4531" s="16">
        <f>IFERROR(__xludf.DUMMYFUNCTION("""COMPUTED_VALUE"""),70.0)</f>
        <v>70</v>
      </c>
      <c r="F4531" s="19" t="str">
        <f>IFERROR(__xludf.DUMMYFUNCTION("""COMPUTED_VALUE"""),"BLACK")</f>
        <v>BLACK</v>
      </c>
      <c r="G4531" s="20" t="str">
        <f>IFERROR(__xludf.DUMMYFUNCTION("""COMPUTED_VALUE"""),"Uncle Sams Cider (04/04/2023)")</f>
        <v>Uncle Sams Cider (04/04/2023)</v>
      </c>
      <c r="H4531" s="19"/>
    </row>
    <row r="4532">
      <c r="A4532" s="9"/>
      <c r="B4532" s="15"/>
      <c r="C4532" s="9">
        <f>IFERROR(__xludf.DUMMYFUNCTION("""COMPUTED_VALUE"""),45097.2407968055)</f>
        <v>45097.2408</v>
      </c>
      <c r="D4532" s="15">
        <f>IFERROR(__xludf.DUMMYFUNCTION("""COMPUTED_VALUE"""),1.005)</f>
        <v>1.005</v>
      </c>
      <c r="E4532" s="16">
        <f>IFERROR(__xludf.DUMMYFUNCTION("""COMPUTED_VALUE"""),70.0)</f>
        <v>70</v>
      </c>
      <c r="F4532" s="19" t="str">
        <f>IFERROR(__xludf.DUMMYFUNCTION("""COMPUTED_VALUE"""),"BLACK")</f>
        <v>BLACK</v>
      </c>
      <c r="G4532" s="20" t="str">
        <f>IFERROR(__xludf.DUMMYFUNCTION("""COMPUTED_VALUE"""),"Uncle Sams Cider (04/04/2023)")</f>
        <v>Uncle Sams Cider (04/04/2023)</v>
      </c>
      <c r="H4532" s="19"/>
    </row>
    <row r="4533">
      <c r="A4533" s="9"/>
      <c r="B4533" s="15"/>
      <c r="C4533" s="9">
        <f>IFERROR(__xludf.DUMMYFUNCTION("""COMPUTED_VALUE"""),45097.2303507176)</f>
        <v>45097.23035</v>
      </c>
      <c r="D4533" s="15">
        <f>IFERROR(__xludf.DUMMYFUNCTION("""COMPUTED_VALUE"""),1.005)</f>
        <v>1.005</v>
      </c>
      <c r="E4533" s="16">
        <f>IFERROR(__xludf.DUMMYFUNCTION("""COMPUTED_VALUE"""),70.0)</f>
        <v>70</v>
      </c>
      <c r="F4533" s="19" t="str">
        <f>IFERROR(__xludf.DUMMYFUNCTION("""COMPUTED_VALUE"""),"BLACK")</f>
        <v>BLACK</v>
      </c>
      <c r="G4533" s="20" t="str">
        <f>IFERROR(__xludf.DUMMYFUNCTION("""COMPUTED_VALUE"""),"Uncle Sams Cider (04/04/2023)")</f>
        <v>Uncle Sams Cider (04/04/2023)</v>
      </c>
      <c r="H4533" s="19"/>
    </row>
    <row r="4534">
      <c r="A4534" s="9"/>
      <c r="B4534" s="15"/>
      <c r="C4534" s="9">
        <f>IFERROR(__xludf.DUMMYFUNCTION("""COMPUTED_VALUE"""),45097.2199174884)</f>
        <v>45097.21992</v>
      </c>
      <c r="D4534" s="15">
        <f>IFERROR(__xludf.DUMMYFUNCTION("""COMPUTED_VALUE"""),1.005)</f>
        <v>1.005</v>
      </c>
      <c r="E4534" s="16">
        <f>IFERROR(__xludf.DUMMYFUNCTION("""COMPUTED_VALUE"""),70.0)</f>
        <v>70</v>
      </c>
      <c r="F4534" s="19" t="str">
        <f>IFERROR(__xludf.DUMMYFUNCTION("""COMPUTED_VALUE"""),"BLACK")</f>
        <v>BLACK</v>
      </c>
      <c r="G4534" s="20" t="str">
        <f>IFERROR(__xludf.DUMMYFUNCTION("""COMPUTED_VALUE"""),"Uncle Sams Cider (04/04/2023)")</f>
        <v>Uncle Sams Cider (04/04/2023)</v>
      </c>
      <c r="H4534" s="19"/>
    </row>
    <row r="4535">
      <c r="A4535" s="9"/>
      <c r="B4535" s="15"/>
      <c r="C4535" s="9">
        <f>IFERROR(__xludf.DUMMYFUNCTION("""COMPUTED_VALUE"""),45097.2094973263)</f>
        <v>45097.2095</v>
      </c>
      <c r="D4535" s="15">
        <f>IFERROR(__xludf.DUMMYFUNCTION("""COMPUTED_VALUE"""),1.005)</f>
        <v>1.005</v>
      </c>
      <c r="E4535" s="16">
        <f>IFERROR(__xludf.DUMMYFUNCTION("""COMPUTED_VALUE"""),70.0)</f>
        <v>70</v>
      </c>
      <c r="F4535" s="19" t="str">
        <f>IFERROR(__xludf.DUMMYFUNCTION("""COMPUTED_VALUE"""),"BLACK")</f>
        <v>BLACK</v>
      </c>
      <c r="G4535" s="20" t="str">
        <f>IFERROR(__xludf.DUMMYFUNCTION("""COMPUTED_VALUE"""),"Uncle Sams Cider (04/04/2023)")</f>
        <v>Uncle Sams Cider (04/04/2023)</v>
      </c>
      <c r="H4535" s="19"/>
    </row>
    <row r="4536">
      <c r="A4536" s="9"/>
      <c r="B4536" s="15"/>
      <c r="C4536" s="9">
        <f>IFERROR(__xludf.DUMMYFUNCTION("""COMPUTED_VALUE"""),45097.1990762963)</f>
        <v>45097.19908</v>
      </c>
      <c r="D4536" s="15">
        <f>IFERROR(__xludf.DUMMYFUNCTION("""COMPUTED_VALUE"""),1.005)</f>
        <v>1.005</v>
      </c>
      <c r="E4536" s="16">
        <f>IFERROR(__xludf.DUMMYFUNCTION("""COMPUTED_VALUE"""),70.0)</f>
        <v>70</v>
      </c>
      <c r="F4536" s="19" t="str">
        <f>IFERROR(__xludf.DUMMYFUNCTION("""COMPUTED_VALUE"""),"BLACK")</f>
        <v>BLACK</v>
      </c>
      <c r="G4536" s="20" t="str">
        <f>IFERROR(__xludf.DUMMYFUNCTION("""COMPUTED_VALUE"""),"Uncle Sams Cider (04/04/2023)")</f>
        <v>Uncle Sams Cider (04/04/2023)</v>
      </c>
      <c r="H4536" s="19"/>
    </row>
    <row r="4537">
      <c r="A4537" s="9"/>
      <c r="B4537" s="15"/>
      <c r="C4537" s="9">
        <f>IFERROR(__xludf.DUMMYFUNCTION("""COMPUTED_VALUE"""),45097.1886556134)</f>
        <v>45097.18866</v>
      </c>
      <c r="D4537" s="15">
        <f>IFERROR(__xludf.DUMMYFUNCTION("""COMPUTED_VALUE"""),1.005)</f>
        <v>1.005</v>
      </c>
      <c r="E4537" s="16">
        <f>IFERROR(__xludf.DUMMYFUNCTION("""COMPUTED_VALUE"""),70.0)</f>
        <v>70</v>
      </c>
      <c r="F4537" s="19" t="str">
        <f>IFERROR(__xludf.DUMMYFUNCTION("""COMPUTED_VALUE"""),"BLACK")</f>
        <v>BLACK</v>
      </c>
      <c r="G4537" s="20" t="str">
        <f>IFERROR(__xludf.DUMMYFUNCTION("""COMPUTED_VALUE"""),"Uncle Sams Cider (04/04/2023)")</f>
        <v>Uncle Sams Cider (04/04/2023)</v>
      </c>
      <c r="H4537" s="19"/>
    </row>
    <row r="4538">
      <c r="A4538" s="9"/>
      <c r="B4538" s="15"/>
      <c r="C4538" s="9">
        <f>IFERROR(__xludf.DUMMYFUNCTION("""COMPUTED_VALUE"""),45097.1782329051)</f>
        <v>45097.17823</v>
      </c>
      <c r="D4538" s="15">
        <f>IFERROR(__xludf.DUMMYFUNCTION("""COMPUTED_VALUE"""),1.005)</f>
        <v>1.005</v>
      </c>
      <c r="E4538" s="16">
        <f>IFERROR(__xludf.DUMMYFUNCTION("""COMPUTED_VALUE"""),70.0)</f>
        <v>70</v>
      </c>
      <c r="F4538" s="19" t="str">
        <f>IFERROR(__xludf.DUMMYFUNCTION("""COMPUTED_VALUE"""),"BLACK")</f>
        <v>BLACK</v>
      </c>
      <c r="G4538" s="20" t="str">
        <f>IFERROR(__xludf.DUMMYFUNCTION("""COMPUTED_VALUE"""),"Uncle Sams Cider (04/04/2023)")</f>
        <v>Uncle Sams Cider (04/04/2023)</v>
      </c>
      <c r="H4538" s="19"/>
    </row>
    <row r="4539">
      <c r="A4539" s="9"/>
      <c r="B4539" s="15"/>
      <c r="C4539" s="9">
        <f>IFERROR(__xludf.DUMMYFUNCTION("""COMPUTED_VALUE"""),45097.1678115162)</f>
        <v>45097.16781</v>
      </c>
      <c r="D4539" s="15">
        <f>IFERROR(__xludf.DUMMYFUNCTION("""COMPUTED_VALUE"""),1.005)</f>
        <v>1.005</v>
      </c>
      <c r="E4539" s="16">
        <f>IFERROR(__xludf.DUMMYFUNCTION("""COMPUTED_VALUE"""),70.0)</f>
        <v>70</v>
      </c>
      <c r="F4539" s="19" t="str">
        <f>IFERROR(__xludf.DUMMYFUNCTION("""COMPUTED_VALUE"""),"BLACK")</f>
        <v>BLACK</v>
      </c>
      <c r="G4539" s="20" t="str">
        <f>IFERROR(__xludf.DUMMYFUNCTION("""COMPUTED_VALUE"""),"Uncle Sams Cider (04/04/2023)")</f>
        <v>Uncle Sams Cider (04/04/2023)</v>
      </c>
      <c r="H4539" s="19"/>
    </row>
    <row r="4540">
      <c r="A4540" s="9"/>
      <c r="B4540" s="15"/>
      <c r="C4540" s="9">
        <f>IFERROR(__xludf.DUMMYFUNCTION("""COMPUTED_VALUE"""),45097.1573906828)</f>
        <v>45097.15739</v>
      </c>
      <c r="D4540" s="15">
        <f>IFERROR(__xludf.DUMMYFUNCTION("""COMPUTED_VALUE"""),1.005)</f>
        <v>1.005</v>
      </c>
      <c r="E4540" s="16">
        <f>IFERROR(__xludf.DUMMYFUNCTION("""COMPUTED_VALUE"""),70.0)</f>
        <v>70</v>
      </c>
      <c r="F4540" s="19" t="str">
        <f>IFERROR(__xludf.DUMMYFUNCTION("""COMPUTED_VALUE"""),"BLACK")</f>
        <v>BLACK</v>
      </c>
      <c r="G4540" s="20" t="str">
        <f>IFERROR(__xludf.DUMMYFUNCTION("""COMPUTED_VALUE"""),"Uncle Sams Cider (04/04/2023)")</f>
        <v>Uncle Sams Cider (04/04/2023)</v>
      </c>
      <c r="H4540" s="19"/>
    </row>
    <row r="4541">
      <c r="A4541" s="9"/>
      <c r="B4541" s="15"/>
      <c r="C4541" s="9">
        <f>IFERROR(__xludf.DUMMYFUNCTION("""COMPUTED_VALUE"""),45097.1469708333)</f>
        <v>45097.14697</v>
      </c>
      <c r="D4541" s="15">
        <f>IFERROR(__xludf.DUMMYFUNCTION("""COMPUTED_VALUE"""),1.005)</f>
        <v>1.005</v>
      </c>
      <c r="E4541" s="16">
        <f>IFERROR(__xludf.DUMMYFUNCTION("""COMPUTED_VALUE"""),70.0)</f>
        <v>70</v>
      </c>
      <c r="F4541" s="19" t="str">
        <f>IFERROR(__xludf.DUMMYFUNCTION("""COMPUTED_VALUE"""),"BLACK")</f>
        <v>BLACK</v>
      </c>
      <c r="G4541" s="20" t="str">
        <f>IFERROR(__xludf.DUMMYFUNCTION("""COMPUTED_VALUE"""),"Uncle Sams Cider (04/04/2023)")</f>
        <v>Uncle Sams Cider (04/04/2023)</v>
      </c>
      <c r="H4541" s="19"/>
    </row>
    <row r="4542">
      <c r="A4542" s="9"/>
      <c r="B4542" s="15"/>
      <c r="C4542" s="9">
        <f>IFERROR(__xludf.DUMMYFUNCTION("""COMPUTED_VALUE"""),45097.1365502893)</f>
        <v>45097.13655</v>
      </c>
      <c r="D4542" s="15">
        <f>IFERROR(__xludf.DUMMYFUNCTION("""COMPUTED_VALUE"""),1.005)</f>
        <v>1.005</v>
      </c>
      <c r="E4542" s="16">
        <f>IFERROR(__xludf.DUMMYFUNCTION("""COMPUTED_VALUE"""),69.0)</f>
        <v>69</v>
      </c>
      <c r="F4542" s="19" t="str">
        <f>IFERROR(__xludf.DUMMYFUNCTION("""COMPUTED_VALUE"""),"BLACK")</f>
        <v>BLACK</v>
      </c>
      <c r="G4542" s="20" t="str">
        <f>IFERROR(__xludf.DUMMYFUNCTION("""COMPUTED_VALUE"""),"Uncle Sams Cider (04/04/2023)")</f>
        <v>Uncle Sams Cider (04/04/2023)</v>
      </c>
      <c r="H4542" s="19"/>
    </row>
    <row r="4543">
      <c r="A4543" s="9"/>
      <c r="B4543" s="15"/>
      <c r="C4543" s="9">
        <f>IFERROR(__xludf.DUMMYFUNCTION("""COMPUTED_VALUE"""),45097.126117743)</f>
        <v>45097.12612</v>
      </c>
      <c r="D4543" s="15">
        <f>IFERROR(__xludf.DUMMYFUNCTION("""COMPUTED_VALUE"""),1.005)</f>
        <v>1.005</v>
      </c>
      <c r="E4543" s="16">
        <f>IFERROR(__xludf.DUMMYFUNCTION("""COMPUTED_VALUE"""),70.0)</f>
        <v>70</v>
      </c>
      <c r="F4543" s="19" t="str">
        <f>IFERROR(__xludf.DUMMYFUNCTION("""COMPUTED_VALUE"""),"BLACK")</f>
        <v>BLACK</v>
      </c>
      <c r="G4543" s="20" t="str">
        <f>IFERROR(__xludf.DUMMYFUNCTION("""COMPUTED_VALUE"""),"Uncle Sams Cider (04/04/2023)")</f>
        <v>Uncle Sams Cider (04/04/2023)</v>
      </c>
      <c r="H4543" s="19"/>
    </row>
    <row r="4544">
      <c r="A4544" s="9"/>
      <c r="B4544" s="15"/>
      <c r="C4544" s="9">
        <f>IFERROR(__xludf.DUMMYFUNCTION("""COMPUTED_VALUE"""),45097.1156973379)</f>
        <v>45097.1157</v>
      </c>
      <c r="D4544" s="15">
        <f>IFERROR(__xludf.DUMMYFUNCTION("""COMPUTED_VALUE"""),1.006)</f>
        <v>1.006</v>
      </c>
      <c r="E4544" s="16">
        <f>IFERROR(__xludf.DUMMYFUNCTION("""COMPUTED_VALUE"""),70.0)</f>
        <v>70</v>
      </c>
      <c r="F4544" s="19" t="str">
        <f>IFERROR(__xludf.DUMMYFUNCTION("""COMPUTED_VALUE"""),"BLACK")</f>
        <v>BLACK</v>
      </c>
      <c r="G4544" s="20" t="str">
        <f>IFERROR(__xludf.DUMMYFUNCTION("""COMPUTED_VALUE"""),"Uncle Sams Cider (04/04/2023)")</f>
        <v>Uncle Sams Cider (04/04/2023)</v>
      </c>
      <c r="H4544" s="19"/>
    </row>
    <row r="4545">
      <c r="A4545" s="9"/>
      <c r="B4545" s="15"/>
      <c r="C4545" s="9">
        <f>IFERROR(__xludf.DUMMYFUNCTION("""COMPUTED_VALUE"""),45097.1052529398)</f>
        <v>45097.10525</v>
      </c>
      <c r="D4545" s="15">
        <f>IFERROR(__xludf.DUMMYFUNCTION("""COMPUTED_VALUE"""),1.005)</f>
        <v>1.005</v>
      </c>
      <c r="E4545" s="16">
        <f>IFERROR(__xludf.DUMMYFUNCTION("""COMPUTED_VALUE"""),70.0)</f>
        <v>70</v>
      </c>
      <c r="F4545" s="19" t="str">
        <f>IFERROR(__xludf.DUMMYFUNCTION("""COMPUTED_VALUE"""),"BLACK")</f>
        <v>BLACK</v>
      </c>
      <c r="G4545" s="20" t="str">
        <f>IFERROR(__xludf.DUMMYFUNCTION("""COMPUTED_VALUE"""),"Uncle Sams Cider (04/04/2023)")</f>
        <v>Uncle Sams Cider (04/04/2023)</v>
      </c>
      <c r="H4545" s="19"/>
    </row>
    <row r="4546">
      <c r="A4546" s="9"/>
      <c r="B4546" s="15"/>
      <c r="C4546" s="9">
        <f>IFERROR(__xludf.DUMMYFUNCTION("""COMPUTED_VALUE"""),45097.0948194675)</f>
        <v>45097.09482</v>
      </c>
      <c r="D4546" s="15">
        <f>IFERROR(__xludf.DUMMYFUNCTION("""COMPUTED_VALUE"""),1.005)</f>
        <v>1.005</v>
      </c>
      <c r="E4546" s="16">
        <f>IFERROR(__xludf.DUMMYFUNCTION("""COMPUTED_VALUE"""),70.0)</f>
        <v>70</v>
      </c>
      <c r="F4546" s="19" t="str">
        <f>IFERROR(__xludf.DUMMYFUNCTION("""COMPUTED_VALUE"""),"BLACK")</f>
        <v>BLACK</v>
      </c>
      <c r="G4546" s="20" t="str">
        <f>IFERROR(__xludf.DUMMYFUNCTION("""COMPUTED_VALUE"""),"Uncle Sams Cider (04/04/2023)")</f>
        <v>Uncle Sams Cider (04/04/2023)</v>
      </c>
      <c r="H4546" s="19"/>
    </row>
    <row r="4547">
      <c r="A4547" s="9"/>
      <c r="B4547" s="15"/>
      <c r="C4547" s="9">
        <f>IFERROR(__xludf.DUMMYFUNCTION("""COMPUTED_VALUE"""),45097.0843962615)</f>
        <v>45097.0844</v>
      </c>
      <c r="D4547" s="15">
        <f>IFERROR(__xludf.DUMMYFUNCTION("""COMPUTED_VALUE"""),1.005)</f>
        <v>1.005</v>
      </c>
      <c r="E4547" s="16">
        <f>IFERROR(__xludf.DUMMYFUNCTION("""COMPUTED_VALUE"""),70.0)</f>
        <v>70</v>
      </c>
      <c r="F4547" s="19" t="str">
        <f>IFERROR(__xludf.DUMMYFUNCTION("""COMPUTED_VALUE"""),"BLACK")</f>
        <v>BLACK</v>
      </c>
      <c r="G4547" s="20" t="str">
        <f>IFERROR(__xludf.DUMMYFUNCTION("""COMPUTED_VALUE"""),"Uncle Sams Cider (04/04/2023)")</f>
        <v>Uncle Sams Cider (04/04/2023)</v>
      </c>
      <c r="H4547" s="19"/>
    </row>
    <row r="4548">
      <c r="A4548" s="9"/>
      <c r="B4548" s="15"/>
      <c r="C4548" s="9">
        <f>IFERROR(__xludf.DUMMYFUNCTION("""COMPUTED_VALUE"""),45097.0739739467)</f>
        <v>45097.07397</v>
      </c>
      <c r="D4548" s="15">
        <f>IFERROR(__xludf.DUMMYFUNCTION("""COMPUTED_VALUE"""),1.005)</f>
        <v>1.005</v>
      </c>
      <c r="E4548" s="16">
        <f>IFERROR(__xludf.DUMMYFUNCTION("""COMPUTED_VALUE"""),70.0)</f>
        <v>70</v>
      </c>
      <c r="F4548" s="19" t="str">
        <f>IFERROR(__xludf.DUMMYFUNCTION("""COMPUTED_VALUE"""),"BLACK")</f>
        <v>BLACK</v>
      </c>
      <c r="G4548" s="20" t="str">
        <f>IFERROR(__xludf.DUMMYFUNCTION("""COMPUTED_VALUE"""),"Uncle Sams Cider (04/04/2023)")</f>
        <v>Uncle Sams Cider (04/04/2023)</v>
      </c>
      <c r="H4548" s="19"/>
    </row>
    <row r="4549">
      <c r="A4549" s="9"/>
      <c r="B4549" s="15"/>
      <c r="C4549" s="9">
        <f>IFERROR(__xludf.DUMMYFUNCTION("""COMPUTED_VALUE"""),45097.063551331)</f>
        <v>45097.06355</v>
      </c>
      <c r="D4549" s="15">
        <f>IFERROR(__xludf.DUMMYFUNCTION("""COMPUTED_VALUE"""),1.005)</f>
        <v>1.005</v>
      </c>
      <c r="E4549" s="16">
        <f>IFERROR(__xludf.DUMMYFUNCTION("""COMPUTED_VALUE"""),69.0)</f>
        <v>69</v>
      </c>
      <c r="F4549" s="19" t="str">
        <f>IFERROR(__xludf.DUMMYFUNCTION("""COMPUTED_VALUE"""),"BLACK")</f>
        <v>BLACK</v>
      </c>
      <c r="G4549" s="20" t="str">
        <f>IFERROR(__xludf.DUMMYFUNCTION("""COMPUTED_VALUE"""),"Uncle Sams Cider (04/04/2023)")</f>
        <v>Uncle Sams Cider (04/04/2023)</v>
      </c>
      <c r="H4549" s="19"/>
    </row>
    <row r="4550">
      <c r="A4550" s="9"/>
      <c r="B4550" s="15"/>
      <c r="C4550" s="9">
        <f>IFERROR(__xludf.DUMMYFUNCTION("""COMPUTED_VALUE"""),45097.0531295023)</f>
        <v>45097.05313</v>
      </c>
      <c r="D4550" s="15">
        <f>IFERROR(__xludf.DUMMYFUNCTION("""COMPUTED_VALUE"""),1.005)</f>
        <v>1.005</v>
      </c>
      <c r="E4550" s="16">
        <f>IFERROR(__xludf.DUMMYFUNCTION("""COMPUTED_VALUE"""),70.0)</f>
        <v>70</v>
      </c>
      <c r="F4550" s="19" t="str">
        <f>IFERROR(__xludf.DUMMYFUNCTION("""COMPUTED_VALUE"""),"BLACK")</f>
        <v>BLACK</v>
      </c>
      <c r="G4550" s="20" t="str">
        <f>IFERROR(__xludf.DUMMYFUNCTION("""COMPUTED_VALUE"""),"Uncle Sams Cider (04/04/2023)")</f>
        <v>Uncle Sams Cider (04/04/2023)</v>
      </c>
      <c r="H4550" s="19"/>
    </row>
    <row r="4551">
      <c r="A4551" s="9"/>
      <c r="B4551" s="15"/>
      <c r="C4551" s="9">
        <f>IFERROR(__xludf.DUMMYFUNCTION("""COMPUTED_VALUE"""),45097.0427079514)</f>
        <v>45097.04271</v>
      </c>
      <c r="D4551" s="15">
        <f>IFERROR(__xludf.DUMMYFUNCTION("""COMPUTED_VALUE"""),1.005)</f>
        <v>1.005</v>
      </c>
      <c r="E4551" s="16">
        <f>IFERROR(__xludf.DUMMYFUNCTION("""COMPUTED_VALUE"""),69.0)</f>
        <v>69</v>
      </c>
      <c r="F4551" s="19" t="str">
        <f>IFERROR(__xludf.DUMMYFUNCTION("""COMPUTED_VALUE"""),"BLACK")</f>
        <v>BLACK</v>
      </c>
      <c r="G4551" s="20" t="str">
        <f>IFERROR(__xludf.DUMMYFUNCTION("""COMPUTED_VALUE"""),"Uncle Sams Cider (04/04/2023)")</f>
        <v>Uncle Sams Cider (04/04/2023)</v>
      </c>
      <c r="H4551" s="19"/>
    </row>
    <row r="4552">
      <c r="A4552" s="9"/>
      <c r="B4552" s="15"/>
      <c r="C4552" s="9">
        <f>IFERROR(__xludf.DUMMYFUNCTION("""COMPUTED_VALUE"""),45097.0322863078)</f>
        <v>45097.03229</v>
      </c>
      <c r="D4552" s="15">
        <f>IFERROR(__xludf.DUMMYFUNCTION("""COMPUTED_VALUE"""),1.005)</f>
        <v>1.005</v>
      </c>
      <c r="E4552" s="16">
        <f>IFERROR(__xludf.DUMMYFUNCTION("""COMPUTED_VALUE"""),69.0)</f>
        <v>69</v>
      </c>
      <c r="F4552" s="19" t="str">
        <f>IFERROR(__xludf.DUMMYFUNCTION("""COMPUTED_VALUE"""),"BLACK")</f>
        <v>BLACK</v>
      </c>
      <c r="G4552" s="20" t="str">
        <f>IFERROR(__xludf.DUMMYFUNCTION("""COMPUTED_VALUE"""),"Uncle Sams Cider (04/04/2023)")</f>
        <v>Uncle Sams Cider (04/04/2023)</v>
      </c>
      <c r="H4552" s="19"/>
    </row>
    <row r="4553">
      <c r="A4553" s="9"/>
      <c r="B4553" s="15"/>
      <c r="C4553" s="9">
        <f>IFERROR(__xludf.DUMMYFUNCTION("""COMPUTED_VALUE"""),45097.0218660185)</f>
        <v>45097.02187</v>
      </c>
      <c r="D4553" s="15">
        <f>IFERROR(__xludf.DUMMYFUNCTION("""COMPUTED_VALUE"""),1.005)</f>
        <v>1.005</v>
      </c>
      <c r="E4553" s="16">
        <f>IFERROR(__xludf.DUMMYFUNCTION("""COMPUTED_VALUE"""),69.0)</f>
        <v>69</v>
      </c>
      <c r="F4553" s="19" t="str">
        <f>IFERROR(__xludf.DUMMYFUNCTION("""COMPUTED_VALUE"""),"BLACK")</f>
        <v>BLACK</v>
      </c>
      <c r="G4553" s="20" t="str">
        <f>IFERROR(__xludf.DUMMYFUNCTION("""COMPUTED_VALUE"""),"Uncle Sams Cider (04/04/2023)")</f>
        <v>Uncle Sams Cider (04/04/2023)</v>
      </c>
      <c r="H4553" s="19"/>
    </row>
    <row r="4554">
      <c r="A4554" s="9"/>
      <c r="B4554" s="15"/>
      <c r="C4554" s="9">
        <f>IFERROR(__xludf.DUMMYFUNCTION("""COMPUTED_VALUE"""),45097.0114433449)</f>
        <v>45097.01144</v>
      </c>
      <c r="D4554" s="15">
        <f>IFERROR(__xludf.DUMMYFUNCTION("""COMPUTED_VALUE"""),1.005)</f>
        <v>1.005</v>
      </c>
      <c r="E4554" s="16">
        <f>IFERROR(__xludf.DUMMYFUNCTION("""COMPUTED_VALUE"""),69.0)</f>
        <v>69</v>
      </c>
      <c r="F4554" s="19" t="str">
        <f>IFERROR(__xludf.DUMMYFUNCTION("""COMPUTED_VALUE"""),"BLACK")</f>
        <v>BLACK</v>
      </c>
      <c r="G4554" s="20" t="str">
        <f>IFERROR(__xludf.DUMMYFUNCTION("""COMPUTED_VALUE"""),"Uncle Sams Cider (04/04/2023)")</f>
        <v>Uncle Sams Cider (04/04/2023)</v>
      </c>
      <c r="H4554" s="19"/>
    </row>
    <row r="4555">
      <c r="A4555" s="9"/>
      <c r="B4555" s="15"/>
      <c r="C4555" s="9">
        <f>IFERROR(__xludf.DUMMYFUNCTION("""COMPUTED_VALUE"""),45097.0009967476)</f>
        <v>45097.001</v>
      </c>
      <c r="D4555" s="15">
        <f>IFERROR(__xludf.DUMMYFUNCTION("""COMPUTED_VALUE"""),1.005)</f>
        <v>1.005</v>
      </c>
      <c r="E4555" s="16">
        <f>IFERROR(__xludf.DUMMYFUNCTION("""COMPUTED_VALUE"""),69.0)</f>
        <v>69</v>
      </c>
      <c r="F4555" s="19" t="str">
        <f>IFERROR(__xludf.DUMMYFUNCTION("""COMPUTED_VALUE"""),"BLACK")</f>
        <v>BLACK</v>
      </c>
      <c r="G4555" s="20" t="str">
        <f>IFERROR(__xludf.DUMMYFUNCTION("""COMPUTED_VALUE"""),"Uncle Sams Cider (04/04/2023)")</f>
        <v>Uncle Sams Cider (04/04/2023)</v>
      </c>
      <c r="H4555" s="19"/>
    </row>
    <row r="4556">
      <c r="A4556" s="9"/>
      <c r="B4556" s="15"/>
      <c r="C4556" s="9">
        <f>IFERROR(__xludf.DUMMYFUNCTION("""COMPUTED_VALUE"""),45096.9905645138)</f>
        <v>45096.99056</v>
      </c>
      <c r="D4556" s="15">
        <f>IFERROR(__xludf.DUMMYFUNCTION("""COMPUTED_VALUE"""),1.005)</f>
        <v>1.005</v>
      </c>
      <c r="E4556" s="16">
        <f>IFERROR(__xludf.DUMMYFUNCTION("""COMPUTED_VALUE"""),69.0)</f>
        <v>69</v>
      </c>
      <c r="F4556" s="19" t="str">
        <f>IFERROR(__xludf.DUMMYFUNCTION("""COMPUTED_VALUE"""),"BLACK")</f>
        <v>BLACK</v>
      </c>
      <c r="G4556" s="20" t="str">
        <f>IFERROR(__xludf.DUMMYFUNCTION("""COMPUTED_VALUE"""),"Uncle Sams Cider (04/04/2023)")</f>
        <v>Uncle Sams Cider (04/04/2023)</v>
      </c>
      <c r="H4556" s="19"/>
    </row>
    <row r="4557">
      <c r="A4557" s="9"/>
      <c r="B4557" s="15"/>
      <c r="C4557" s="9">
        <f>IFERROR(__xludf.DUMMYFUNCTION("""COMPUTED_VALUE"""),45096.9801451851)</f>
        <v>45096.98015</v>
      </c>
      <c r="D4557" s="15">
        <f>IFERROR(__xludf.DUMMYFUNCTION("""COMPUTED_VALUE"""),1.005)</f>
        <v>1.005</v>
      </c>
      <c r="E4557" s="16">
        <f>IFERROR(__xludf.DUMMYFUNCTION("""COMPUTED_VALUE"""),69.0)</f>
        <v>69</v>
      </c>
      <c r="F4557" s="19" t="str">
        <f>IFERROR(__xludf.DUMMYFUNCTION("""COMPUTED_VALUE"""),"BLACK")</f>
        <v>BLACK</v>
      </c>
      <c r="G4557" s="20" t="str">
        <f>IFERROR(__xludf.DUMMYFUNCTION("""COMPUTED_VALUE"""),"Uncle Sams Cider (04/04/2023)")</f>
        <v>Uncle Sams Cider (04/04/2023)</v>
      </c>
      <c r="H4557" s="19"/>
    </row>
    <row r="4558">
      <c r="A4558" s="9"/>
      <c r="B4558" s="15"/>
      <c r="C4558" s="9">
        <f>IFERROR(__xludf.DUMMYFUNCTION("""COMPUTED_VALUE"""),45096.9697263426)</f>
        <v>45096.96973</v>
      </c>
      <c r="D4558" s="15">
        <f>IFERROR(__xludf.DUMMYFUNCTION("""COMPUTED_VALUE"""),1.005)</f>
        <v>1.005</v>
      </c>
      <c r="E4558" s="16">
        <f>IFERROR(__xludf.DUMMYFUNCTION("""COMPUTED_VALUE"""),69.0)</f>
        <v>69</v>
      </c>
      <c r="F4558" s="19" t="str">
        <f>IFERROR(__xludf.DUMMYFUNCTION("""COMPUTED_VALUE"""),"BLACK")</f>
        <v>BLACK</v>
      </c>
      <c r="G4558" s="20" t="str">
        <f>IFERROR(__xludf.DUMMYFUNCTION("""COMPUTED_VALUE"""),"Uncle Sams Cider (04/04/2023)")</f>
        <v>Uncle Sams Cider (04/04/2023)</v>
      </c>
      <c r="H4558" s="19"/>
    </row>
    <row r="4559">
      <c r="A4559" s="9"/>
      <c r="B4559" s="15"/>
      <c r="C4559" s="9">
        <f>IFERROR(__xludf.DUMMYFUNCTION("""COMPUTED_VALUE"""),45096.9593055555)</f>
        <v>45096.95931</v>
      </c>
      <c r="D4559" s="15">
        <f>IFERROR(__xludf.DUMMYFUNCTION("""COMPUTED_VALUE"""),1.005)</f>
        <v>1.005</v>
      </c>
      <c r="E4559" s="16">
        <f>IFERROR(__xludf.DUMMYFUNCTION("""COMPUTED_VALUE"""),69.0)</f>
        <v>69</v>
      </c>
      <c r="F4559" s="19" t="str">
        <f>IFERROR(__xludf.DUMMYFUNCTION("""COMPUTED_VALUE"""),"BLACK")</f>
        <v>BLACK</v>
      </c>
      <c r="G4559" s="20" t="str">
        <f>IFERROR(__xludf.DUMMYFUNCTION("""COMPUTED_VALUE"""),"Uncle Sams Cider (04/04/2023)")</f>
        <v>Uncle Sams Cider (04/04/2023)</v>
      </c>
      <c r="H4559" s="19"/>
    </row>
    <row r="4560">
      <c r="A4560" s="9"/>
      <c r="B4560" s="15"/>
      <c r="C4560" s="9">
        <f>IFERROR(__xludf.DUMMYFUNCTION("""COMPUTED_VALUE"""),45096.9488615509)</f>
        <v>45096.94886</v>
      </c>
      <c r="D4560" s="15">
        <f>IFERROR(__xludf.DUMMYFUNCTION("""COMPUTED_VALUE"""),1.005)</f>
        <v>1.005</v>
      </c>
      <c r="E4560" s="16">
        <f>IFERROR(__xludf.DUMMYFUNCTION("""COMPUTED_VALUE"""),69.0)</f>
        <v>69</v>
      </c>
      <c r="F4560" s="19" t="str">
        <f>IFERROR(__xludf.DUMMYFUNCTION("""COMPUTED_VALUE"""),"BLACK")</f>
        <v>BLACK</v>
      </c>
      <c r="G4560" s="20" t="str">
        <f>IFERROR(__xludf.DUMMYFUNCTION("""COMPUTED_VALUE"""),"Uncle Sams Cider (04/04/2023)")</f>
        <v>Uncle Sams Cider (04/04/2023)</v>
      </c>
      <c r="H4560" s="19"/>
    </row>
    <row r="4561">
      <c r="A4561" s="9"/>
      <c r="B4561" s="15"/>
      <c r="C4561" s="9">
        <f>IFERROR(__xludf.DUMMYFUNCTION("""COMPUTED_VALUE"""),45096.9384402777)</f>
        <v>45096.93844</v>
      </c>
      <c r="D4561" s="15">
        <f>IFERROR(__xludf.DUMMYFUNCTION("""COMPUTED_VALUE"""),1.005)</f>
        <v>1.005</v>
      </c>
      <c r="E4561" s="16">
        <f>IFERROR(__xludf.DUMMYFUNCTION("""COMPUTED_VALUE"""),69.0)</f>
        <v>69</v>
      </c>
      <c r="F4561" s="19" t="str">
        <f>IFERROR(__xludf.DUMMYFUNCTION("""COMPUTED_VALUE"""),"BLACK")</f>
        <v>BLACK</v>
      </c>
      <c r="G4561" s="20" t="str">
        <f>IFERROR(__xludf.DUMMYFUNCTION("""COMPUTED_VALUE"""),"Uncle Sams Cider (04/04/2023)")</f>
        <v>Uncle Sams Cider (04/04/2023)</v>
      </c>
      <c r="H4561" s="19"/>
    </row>
    <row r="4562">
      <c r="A4562" s="9"/>
      <c r="B4562" s="15"/>
      <c r="C4562" s="9">
        <f>IFERROR(__xludf.DUMMYFUNCTION("""COMPUTED_VALUE"""),45096.9280196527)</f>
        <v>45096.92802</v>
      </c>
      <c r="D4562" s="15">
        <f>IFERROR(__xludf.DUMMYFUNCTION("""COMPUTED_VALUE"""),1.005)</f>
        <v>1.005</v>
      </c>
      <c r="E4562" s="16">
        <f>IFERROR(__xludf.DUMMYFUNCTION("""COMPUTED_VALUE"""),69.0)</f>
        <v>69</v>
      </c>
      <c r="F4562" s="19" t="str">
        <f>IFERROR(__xludf.DUMMYFUNCTION("""COMPUTED_VALUE"""),"BLACK")</f>
        <v>BLACK</v>
      </c>
      <c r="G4562" s="20" t="str">
        <f>IFERROR(__xludf.DUMMYFUNCTION("""COMPUTED_VALUE"""),"Uncle Sams Cider (04/04/2023)")</f>
        <v>Uncle Sams Cider (04/04/2023)</v>
      </c>
      <c r="H4562" s="19"/>
    </row>
    <row r="4563">
      <c r="A4563" s="9"/>
      <c r="B4563" s="15"/>
      <c r="C4563" s="9">
        <f>IFERROR(__xludf.DUMMYFUNCTION("""COMPUTED_VALUE"""),45096.9175753125)</f>
        <v>45096.91758</v>
      </c>
      <c r="D4563" s="15">
        <f>IFERROR(__xludf.DUMMYFUNCTION("""COMPUTED_VALUE"""),1.005)</f>
        <v>1.005</v>
      </c>
      <c r="E4563" s="16">
        <f>IFERROR(__xludf.DUMMYFUNCTION("""COMPUTED_VALUE"""),69.0)</f>
        <v>69</v>
      </c>
      <c r="F4563" s="19" t="str">
        <f>IFERROR(__xludf.DUMMYFUNCTION("""COMPUTED_VALUE"""),"BLACK")</f>
        <v>BLACK</v>
      </c>
      <c r="G4563" s="20" t="str">
        <f>IFERROR(__xludf.DUMMYFUNCTION("""COMPUTED_VALUE"""),"Uncle Sams Cider (04/04/2023)")</f>
        <v>Uncle Sams Cider (04/04/2023)</v>
      </c>
      <c r="H4563" s="19"/>
    </row>
    <row r="4564">
      <c r="A4564" s="9"/>
      <c r="B4564" s="15"/>
      <c r="C4564" s="9">
        <f>IFERROR(__xludf.DUMMYFUNCTION("""COMPUTED_VALUE"""),45096.8967228356)</f>
        <v>45096.89672</v>
      </c>
      <c r="D4564" s="15">
        <f>IFERROR(__xludf.DUMMYFUNCTION("""COMPUTED_VALUE"""),1.005)</f>
        <v>1.005</v>
      </c>
      <c r="E4564" s="16">
        <f>IFERROR(__xludf.DUMMYFUNCTION("""COMPUTED_VALUE"""),69.0)</f>
        <v>69</v>
      </c>
      <c r="F4564" s="19" t="str">
        <f>IFERROR(__xludf.DUMMYFUNCTION("""COMPUTED_VALUE"""),"BLACK")</f>
        <v>BLACK</v>
      </c>
      <c r="G4564" s="20" t="str">
        <f>IFERROR(__xludf.DUMMYFUNCTION("""COMPUTED_VALUE"""),"Uncle Sams Cider (04/04/2023)")</f>
        <v>Uncle Sams Cider (04/04/2023)</v>
      </c>
      <c r="H4564" s="19"/>
    </row>
    <row r="4565">
      <c r="A4565" s="9"/>
      <c r="B4565" s="15"/>
      <c r="C4565" s="9">
        <f>IFERROR(__xludf.DUMMYFUNCTION("""COMPUTED_VALUE"""),45096.8863017708)</f>
        <v>45096.8863</v>
      </c>
      <c r="D4565" s="15">
        <f>IFERROR(__xludf.DUMMYFUNCTION("""COMPUTED_VALUE"""),1.005)</f>
        <v>1.005</v>
      </c>
      <c r="E4565" s="16">
        <f>IFERROR(__xludf.DUMMYFUNCTION("""COMPUTED_VALUE"""),69.0)</f>
        <v>69</v>
      </c>
      <c r="F4565" s="19" t="str">
        <f>IFERROR(__xludf.DUMMYFUNCTION("""COMPUTED_VALUE"""),"BLACK")</f>
        <v>BLACK</v>
      </c>
      <c r="G4565" s="20" t="str">
        <f>IFERROR(__xludf.DUMMYFUNCTION("""COMPUTED_VALUE"""),"Uncle Sams Cider (04/04/2023)")</f>
        <v>Uncle Sams Cider (04/04/2023)</v>
      </c>
      <c r="H4565" s="19"/>
    </row>
    <row r="4566">
      <c r="A4566" s="9"/>
      <c r="B4566" s="15"/>
      <c r="C4566" s="9">
        <f>IFERROR(__xludf.DUMMYFUNCTION("""COMPUTED_VALUE"""),45096.8758799537)</f>
        <v>45096.87588</v>
      </c>
      <c r="D4566" s="15">
        <f>IFERROR(__xludf.DUMMYFUNCTION("""COMPUTED_VALUE"""),1.005)</f>
        <v>1.005</v>
      </c>
      <c r="E4566" s="16">
        <f>IFERROR(__xludf.DUMMYFUNCTION("""COMPUTED_VALUE"""),69.0)</f>
        <v>69</v>
      </c>
      <c r="F4566" s="19" t="str">
        <f>IFERROR(__xludf.DUMMYFUNCTION("""COMPUTED_VALUE"""),"BLACK")</f>
        <v>BLACK</v>
      </c>
      <c r="G4566" s="20" t="str">
        <f>IFERROR(__xludf.DUMMYFUNCTION("""COMPUTED_VALUE"""),"Uncle Sams Cider (04/04/2023)")</f>
        <v>Uncle Sams Cider (04/04/2023)</v>
      </c>
      <c r="H4566" s="19"/>
    </row>
    <row r="4567">
      <c r="A4567" s="9"/>
      <c r="B4567" s="15"/>
      <c r="C4567" s="9">
        <f>IFERROR(__xludf.DUMMYFUNCTION("""COMPUTED_VALUE"""),45096.8654488773)</f>
        <v>45096.86545</v>
      </c>
      <c r="D4567" s="15">
        <f>IFERROR(__xludf.DUMMYFUNCTION("""COMPUTED_VALUE"""),1.005)</f>
        <v>1.005</v>
      </c>
      <c r="E4567" s="16">
        <f>IFERROR(__xludf.DUMMYFUNCTION("""COMPUTED_VALUE"""),69.0)</f>
        <v>69</v>
      </c>
      <c r="F4567" s="19" t="str">
        <f>IFERROR(__xludf.DUMMYFUNCTION("""COMPUTED_VALUE"""),"BLACK")</f>
        <v>BLACK</v>
      </c>
      <c r="G4567" s="20" t="str">
        <f>IFERROR(__xludf.DUMMYFUNCTION("""COMPUTED_VALUE"""),"Uncle Sams Cider (04/04/2023)")</f>
        <v>Uncle Sams Cider (04/04/2023)</v>
      </c>
      <c r="H4567" s="19"/>
    </row>
    <row r="4568">
      <c r="A4568" s="9"/>
      <c r="B4568" s="15"/>
      <c r="C4568" s="9">
        <f>IFERROR(__xludf.DUMMYFUNCTION("""COMPUTED_VALUE"""),45096.8550172685)</f>
        <v>45096.85502</v>
      </c>
      <c r="D4568" s="15">
        <f>IFERROR(__xludf.DUMMYFUNCTION("""COMPUTED_VALUE"""),1.005)</f>
        <v>1.005</v>
      </c>
      <c r="E4568" s="16">
        <f>IFERROR(__xludf.DUMMYFUNCTION("""COMPUTED_VALUE"""),69.0)</f>
        <v>69</v>
      </c>
      <c r="F4568" s="19" t="str">
        <f>IFERROR(__xludf.DUMMYFUNCTION("""COMPUTED_VALUE"""),"BLACK")</f>
        <v>BLACK</v>
      </c>
      <c r="G4568" s="20" t="str">
        <f>IFERROR(__xludf.DUMMYFUNCTION("""COMPUTED_VALUE"""),"Uncle Sams Cider (04/04/2023)")</f>
        <v>Uncle Sams Cider (04/04/2023)</v>
      </c>
      <c r="H4568" s="19"/>
    </row>
    <row r="4569">
      <c r="A4569" s="9"/>
      <c r="B4569" s="15"/>
      <c r="C4569" s="9">
        <f>IFERROR(__xludf.DUMMYFUNCTION("""COMPUTED_VALUE"""),45096.8445842245)</f>
        <v>45096.84458</v>
      </c>
      <c r="D4569" s="15">
        <f>IFERROR(__xludf.DUMMYFUNCTION("""COMPUTED_VALUE"""),1.005)</f>
        <v>1.005</v>
      </c>
      <c r="E4569" s="16">
        <f>IFERROR(__xludf.DUMMYFUNCTION("""COMPUTED_VALUE"""),69.0)</f>
        <v>69</v>
      </c>
      <c r="F4569" s="19" t="str">
        <f>IFERROR(__xludf.DUMMYFUNCTION("""COMPUTED_VALUE"""),"BLACK")</f>
        <v>BLACK</v>
      </c>
      <c r="G4569" s="20" t="str">
        <f>IFERROR(__xludf.DUMMYFUNCTION("""COMPUTED_VALUE"""),"Uncle Sams Cider (04/04/2023)")</f>
        <v>Uncle Sams Cider (04/04/2023)</v>
      </c>
      <c r="H4569" s="19"/>
    </row>
    <row r="4570">
      <c r="A4570" s="9"/>
      <c r="B4570" s="15"/>
      <c r="C4570" s="9">
        <f>IFERROR(__xludf.DUMMYFUNCTION("""COMPUTED_VALUE"""),45096.8341627546)</f>
        <v>45096.83416</v>
      </c>
      <c r="D4570" s="15">
        <f>IFERROR(__xludf.DUMMYFUNCTION("""COMPUTED_VALUE"""),1.005)</f>
        <v>1.005</v>
      </c>
      <c r="E4570" s="16">
        <f>IFERROR(__xludf.DUMMYFUNCTION("""COMPUTED_VALUE"""),69.0)</f>
        <v>69</v>
      </c>
      <c r="F4570" s="19" t="str">
        <f>IFERROR(__xludf.DUMMYFUNCTION("""COMPUTED_VALUE"""),"BLACK")</f>
        <v>BLACK</v>
      </c>
      <c r="G4570" s="20" t="str">
        <f>IFERROR(__xludf.DUMMYFUNCTION("""COMPUTED_VALUE"""),"Uncle Sams Cider (04/04/2023)")</f>
        <v>Uncle Sams Cider (04/04/2023)</v>
      </c>
      <c r="H4570" s="19"/>
    </row>
    <row r="4571">
      <c r="A4571" s="9"/>
      <c r="B4571" s="15"/>
      <c r="C4571" s="9">
        <f>IFERROR(__xludf.DUMMYFUNCTION("""COMPUTED_VALUE"""),45096.8237416435)</f>
        <v>45096.82374</v>
      </c>
      <c r="D4571" s="15">
        <f>IFERROR(__xludf.DUMMYFUNCTION("""COMPUTED_VALUE"""),1.005)</f>
        <v>1.005</v>
      </c>
      <c r="E4571" s="16">
        <f>IFERROR(__xludf.DUMMYFUNCTION("""COMPUTED_VALUE"""),69.0)</f>
        <v>69</v>
      </c>
      <c r="F4571" s="19" t="str">
        <f>IFERROR(__xludf.DUMMYFUNCTION("""COMPUTED_VALUE"""),"BLACK")</f>
        <v>BLACK</v>
      </c>
      <c r="G4571" s="20" t="str">
        <f>IFERROR(__xludf.DUMMYFUNCTION("""COMPUTED_VALUE"""),"Uncle Sams Cider (04/04/2023)")</f>
        <v>Uncle Sams Cider (04/04/2023)</v>
      </c>
      <c r="H4571" s="19"/>
    </row>
    <row r="4572">
      <c r="A4572" s="9"/>
      <c r="B4572" s="15"/>
      <c r="C4572" s="9">
        <f>IFERROR(__xludf.DUMMYFUNCTION("""COMPUTED_VALUE"""),45096.8133195949)</f>
        <v>45096.81332</v>
      </c>
      <c r="D4572" s="15">
        <f>IFERROR(__xludf.DUMMYFUNCTION("""COMPUTED_VALUE"""),1.005)</f>
        <v>1.005</v>
      </c>
      <c r="E4572" s="16">
        <f>IFERROR(__xludf.DUMMYFUNCTION("""COMPUTED_VALUE"""),69.0)</f>
        <v>69</v>
      </c>
      <c r="F4572" s="19" t="str">
        <f>IFERROR(__xludf.DUMMYFUNCTION("""COMPUTED_VALUE"""),"BLACK")</f>
        <v>BLACK</v>
      </c>
      <c r="G4572" s="20" t="str">
        <f>IFERROR(__xludf.DUMMYFUNCTION("""COMPUTED_VALUE"""),"Uncle Sams Cider (04/04/2023)")</f>
        <v>Uncle Sams Cider (04/04/2023)</v>
      </c>
      <c r="H4572" s="19"/>
    </row>
    <row r="4573">
      <c r="A4573" s="9"/>
      <c r="B4573" s="15"/>
      <c r="C4573" s="9">
        <f>IFERROR(__xludf.DUMMYFUNCTION("""COMPUTED_VALUE"""),45096.8028993287)</f>
        <v>45096.8029</v>
      </c>
      <c r="D4573" s="15">
        <f>IFERROR(__xludf.DUMMYFUNCTION("""COMPUTED_VALUE"""),1.005)</f>
        <v>1.005</v>
      </c>
      <c r="E4573" s="16">
        <f>IFERROR(__xludf.DUMMYFUNCTION("""COMPUTED_VALUE"""),69.0)</f>
        <v>69</v>
      </c>
      <c r="F4573" s="19" t="str">
        <f>IFERROR(__xludf.DUMMYFUNCTION("""COMPUTED_VALUE"""),"BLACK")</f>
        <v>BLACK</v>
      </c>
      <c r="G4573" s="20" t="str">
        <f>IFERROR(__xludf.DUMMYFUNCTION("""COMPUTED_VALUE"""),"Uncle Sams Cider (04/04/2023)")</f>
        <v>Uncle Sams Cider (04/04/2023)</v>
      </c>
      <c r="H4573" s="19"/>
    </row>
    <row r="4574">
      <c r="A4574" s="9"/>
      <c r="B4574" s="15"/>
      <c r="C4574" s="9">
        <f>IFERROR(__xludf.DUMMYFUNCTION("""COMPUTED_VALUE"""),45096.7924780208)</f>
        <v>45096.79248</v>
      </c>
      <c r="D4574" s="15">
        <f>IFERROR(__xludf.DUMMYFUNCTION("""COMPUTED_VALUE"""),1.005)</f>
        <v>1.005</v>
      </c>
      <c r="E4574" s="16">
        <f>IFERROR(__xludf.DUMMYFUNCTION("""COMPUTED_VALUE"""),69.0)</f>
        <v>69</v>
      </c>
      <c r="F4574" s="19" t="str">
        <f>IFERROR(__xludf.DUMMYFUNCTION("""COMPUTED_VALUE"""),"BLACK")</f>
        <v>BLACK</v>
      </c>
      <c r="G4574" s="20" t="str">
        <f>IFERROR(__xludf.DUMMYFUNCTION("""COMPUTED_VALUE"""),"Uncle Sams Cider (04/04/2023)")</f>
        <v>Uncle Sams Cider (04/04/2023)</v>
      </c>
      <c r="H4574" s="19"/>
    </row>
    <row r="4575">
      <c r="A4575" s="9"/>
      <c r="B4575" s="15"/>
      <c r="C4575" s="9">
        <f>IFERROR(__xludf.DUMMYFUNCTION("""COMPUTED_VALUE"""),45096.7820570138)</f>
        <v>45096.78206</v>
      </c>
      <c r="D4575" s="15">
        <f>IFERROR(__xludf.DUMMYFUNCTION("""COMPUTED_VALUE"""),1.005)</f>
        <v>1.005</v>
      </c>
      <c r="E4575" s="16">
        <f>IFERROR(__xludf.DUMMYFUNCTION("""COMPUTED_VALUE"""),69.0)</f>
        <v>69</v>
      </c>
      <c r="F4575" s="19" t="str">
        <f>IFERROR(__xludf.DUMMYFUNCTION("""COMPUTED_VALUE"""),"BLACK")</f>
        <v>BLACK</v>
      </c>
      <c r="G4575" s="20" t="str">
        <f>IFERROR(__xludf.DUMMYFUNCTION("""COMPUTED_VALUE"""),"Uncle Sams Cider (04/04/2023)")</f>
        <v>Uncle Sams Cider (04/04/2023)</v>
      </c>
      <c r="H4575" s="19"/>
    </row>
    <row r="4576">
      <c r="A4576" s="9"/>
      <c r="B4576" s="15"/>
      <c r="C4576" s="9">
        <f>IFERROR(__xludf.DUMMYFUNCTION("""COMPUTED_VALUE"""),45096.7716254976)</f>
        <v>45096.77163</v>
      </c>
      <c r="D4576" s="15">
        <f>IFERROR(__xludf.DUMMYFUNCTION("""COMPUTED_VALUE"""),1.005)</f>
        <v>1.005</v>
      </c>
      <c r="E4576" s="16">
        <f>IFERROR(__xludf.DUMMYFUNCTION("""COMPUTED_VALUE"""),69.0)</f>
        <v>69</v>
      </c>
      <c r="F4576" s="19" t="str">
        <f>IFERROR(__xludf.DUMMYFUNCTION("""COMPUTED_VALUE"""),"BLACK")</f>
        <v>BLACK</v>
      </c>
      <c r="G4576" s="20" t="str">
        <f>IFERROR(__xludf.DUMMYFUNCTION("""COMPUTED_VALUE"""),"Uncle Sams Cider (04/04/2023)")</f>
        <v>Uncle Sams Cider (04/04/2023)</v>
      </c>
      <c r="H4576" s="19"/>
    </row>
    <row r="4577">
      <c r="A4577" s="9"/>
      <c r="B4577" s="15"/>
      <c r="C4577" s="9">
        <f>IFERROR(__xludf.DUMMYFUNCTION("""COMPUTED_VALUE"""),45096.7612032754)</f>
        <v>45096.7612</v>
      </c>
      <c r="D4577" s="15">
        <f>IFERROR(__xludf.DUMMYFUNCTION("""COMPUTED_VALUE"""),1.005)</f>
        <v>1.005</v>
      </c>
      <c r="E4577" s="16">
        <f>IFERROR(__xludf.DUMMYFUNCTION("""COMPUTED_VALUE"""),69.0)</f>
        <v>69</v>
      </c>
      <c r="F4577" s="19" t="str">
        <f>IFERROR(__xludf.DUMMYFUNCTION("""COMPUTED_VALUE"""),"BLACK")</f>
        <v>BLACK</v>
      </c>
      <c r="G4577" s="20" t="str">
        <f>IFERROR(__xludf.DUMMYFUNCTION("""COMPUTED_VALUE"""),"Uncle Sams Cider (04/04/2023)")</f>
        <v>Uncle Sams Cider (04/04/2023)</v>
      </c>
      <c r="H4577" s="19"/>
    </row>
    <row r="4578">
      <c r="A4578" s="9"/>
      <c r="B4578" s="15"/>
      <c r="C4578" s="9">
        <f>IFERROR(__xludf.DUMMYFUNCTION("""COMPUTED_VALUE"""),45096.7507823032)</f>
        <v>45096.75078</v>
      </c>
      <c r="D4578" s="15">
        <f>IFERROR(__xludf.DUMMYFUNCTION("""COMPUTED_VALUE"""),1.005)</f>
        <v>1.005</v>
      </c>
      <c r="E4578" s="16">
        <f>IFERROR(__xludf.DUMMYFUNCTION("""COMPUTED_VALUE"""),69.0)</f>
        <v>69</v>
      </c>
      <c r="F4578" s="19" t="str">
        <f>IFERROR(__xludf.DUMMYFUNCTION("""COMPUTED_VALUE"""),"BLACK")</f>
        <v>BLACK</v>
      </c>
      <c r="G4578" s="20" t="str">
        <f>IFERROR(__xludf.DUMMYFUNCTION("""COMPUTED_VALUE"""),"Uncle Sams Cider (04/04/2023)")</f>
        <v>Uncle Sams Cider (04/04/2023)</v>
      </c>
      <c r="H4578" s="19"/>
    </row>
    <row r="4579">
      <c r="A4579" s="9"/>
      <c r="B4579" s="15"/>
      <c r="C4579" s="9">
        <f>IFERROR(__xludf.DUMMYFUNCTION("""COMPUTED_VALUE"""),45096.7403596527)</f>
        <v>45096.74036</v>
      </c>
      <c r="D4579" s="15">
        <f>IFERROR(__xludf.DUMMYFUNCTION("""COMPUTED_VALUE"""),1.005)</f>
        <v>1.005</v>
      </c>
      <c r="E4579" s="16">
        <f>IFERROR(__xludf.DUMMYFUNCTION("""COMPUTED_VALUE"""),69.0)</f>
        <v>69</v>
      </c>
      <c r="F4579" s="19" t="str">
        <f>IFERROR(__xludf.DUMMYFUNCTION("""COMPUTED_VALUE"""),"BLACK")</f>
        <v>BLACK</v>
      </c>
      <c r="G4579" s="20" t="str">
        <f>IFERROR(__xludf.DUMMYFUNCTION("""COMPUTED_VALUE"""),"Uncle Sams Cider (04/04/2023)")</f>
        <v>Uncle Sams Cider (04/04/2023)</v>
      </c>
      <c r="H4579" s="19"/>
    </row>
    <row r="4580">
      <c r="A4580" s="9"/>
      <c r="B4580" s="15"/>
      <c r="C4580" s="9">
        <f>IFERROR(__xludf.DUMMYFUNCTION("""COMPUTED_VALUE"""),45096.7299270486)</f>
        <v>45096.72993</v>
      </c>
      <c r="D4580" s="15">
        <f>IFERROR(__xludf.DUMMYFUNCTION("""COMPUTED_VALUE"""),1.005)</f>
        <v>1.005</v>
      </c>
      <c r="E4580" s="16">
        <f>IFERROR(__xludf.DUMMYFUNCTION("""COMPUTED_VALUE"""),69.0)</f>
        <v>69</v>
      </c>
      <c r="F4580" s="19" t="str">
        <f>IFERROR(__xludf.DUMMYFUNCTION("""COMPUTED_VALUE"""),"BLACK")</f>
        <v>BLACK</v>
      </c>
      <c r="G4580" s="20" t="str">
        <f>IFERROR(__xludf.DUMMYFUNCTION("""COMPUTED_VALUE"""),"Uncle Sams Cider (04/04/2023)")</f>
        <v>Uncle Sams Cider (04/04/2023)</v>
      </c>
      <c r="H4580" s="19"/>
    </row>
    <row r="4581">
      <c r="A4581" s="9"/>
      <c r="B4581" s="15"/>
      <c r="C4581" s="9">
        <f>IFERROR(__xludf.DUMMYFUNCTION("""COMPUTED_VALUE"""),45096.7195054398)</f>
        <v>45096.71951</v>
      </c>
      <c r="D4581" s="15">
        <f>IFERROR(__xludf.DUMMYFUNCTION("""COMPUTED_VALUE"""),1.006)</f>
        <v>1.006</v>
      </c>
      <c r="E4581" s="16">
        <f>IFERROR(__xludf.DUMMYFUNCTION("""COMPUTED_VALUE"""),69.0)</f>
        <v>69</v>
      </c>
      <c r="F4581" s="19" t="str">
        <f>IFERROR(__xludf.DUMMYFUNCTION("""COMPUTED_VALUE"""),"BLACK")</f>
        <v>BLACK</v>
      </c>
      <c r="G4581" s="20" t="str">
        <f>IFERROR(__xludf.DUMMYFUNCTION("""COMPUTED_VALUE"""),"Uncle Sams Cider (04/04/2023)")</f>
        <v>Uncle Sams Cider (04/04/2023)</v>
      </c>
      <c r="H4581" s="19"/>
    </row>
    <row r="4582">
      <c r="A4582" s="9"/>
      <c r="B4582" s="15"/>
      <c r="C4582" s="9">
        <f>IFERROR(__xludf.DUMMYFUNCTION("""COMPUTED_VALUE"""),45096.7090486111)</f>
        <v>45096.70905</v>
      </c>
      <c r="D4582" s="15">
        <f>IFERROR(__xludf.DUMMYFUNCTION("""COMPUTED_VALUE"""),1.005)</f>
        <v>1.005</v>
      </c>
      <c r="E4582" s="16">
        <f>IFERROR(__xludf.DUMMYFUNCTION("""COMPUTED_VALUE"""),69.0)</f>
        <v>69</v>
      </c>
      <c r="F4582" s="19" t="str">
        <f>IFERROR(__xludf.DUMMYFUNCTION("""COMPUTED_VALUE"""),"BLACK")</f>
        <v>BLACK</v>
      </c>
      <c r="G4582" s="20" t="str">
        <f>IFERROR(__xludf.DUMMYFUNCTION("""COMPUTED_VALUE"""),"Uncle Sams Cider (04/04/2023)")</f>
        <v>Uncle Sams Cider (04/04/2023)</v>
      </c>
      <c r="H4582" s="19"/>
    </row>
    <row r="4583">
      <c r="A4583" s="9"/>
      <c r="B4583" s="15"/>
      <c r="C4583" s="9">
        <f>IFERROR(__xludf.DUMMYFUNCTION("""COMPUTED_VALUE"""),45096.6986160069)</f>
        <v>45096.69862</v>
      </c>
      <c r="D4583" s="15">
        <f>IFERROR(__xludf.DUMMYFUNCTION("""COMPUTED_VALUE"""),1.005)</f>
        <v>1.005</v>
      </c>
      <c r="E4583" s="16">
        <f>IFERROR(__xludf.DUMMYFUNCTION("""COMPUTED_VALUE"""),69.0)</f>
        <v>69</v>
      </c>
      <c r="F4583" s="19" t="str">
        <f>IFERROR(__xludf.DUMMYFUNCTION("""COMPUTED_VALUE"""),"BLACK")</f>
        <v>BLACK</v>
      </c>
      <c r="G4583" s="20" t="str">
        <f>IFERROR(__xludf.DUMMYFUNCTION("""COMPUTED_VALUE"""),"Uncle Sams Cider (04/04/2023)")</f>
        <v>Uncle Sams Cider (04/04/2023)</v>
      </c>
      <c r="H4583" s="19"/>
    </row>
    <row r="4584">
      <c r="A4584" s="9"/>
      <c r="B4584" s="15"/>
      <c r="C4584" s="9">
        <f>IFERROR(__xludf.DUMMYFUNCTION("""COMPUTED_VALUE"""),45096.6881937384)</f>
        <v>45096.68819</v>
      </c>
      <c r="D4584" s="15">
        <f>IFERROR(__xludf.DUMMYFUNCTION("""COMPUTED_VALUE"""),1.005)</f>
        <v>1.005</v>
      </c>
      <c r="E4584" s="16">
        <f>IFERROR(__xludf.DUMMYFUNCTION("""COMPUTED_VALUE"""),69.0)</f>
        <v>69</v>
      </c>
      <c r="F4584" s="19" t="str">
        <f>IFERROR(__xludf.DUMMYFUNCTION("""COMPUTED_VALUE"""),"BLACK")</f>
        <v>BLACK</v>
      </c>
      <c r="G4584" s="20" t="str">
        <f>IFERROR(__xludf.DUMMYFUNCTION("""COMPUTED_VALUE"""),"Uncle Sams Cider (04/04/2023)")</f>
        <v>Uncle Sams Cider (04/04/2023)</v>
      </c>
      <c r="H4584" s="19"/>
    </row>
    <row r="4585">
      <c r="A4585" s="9"/>
      <c r="B4585" s="15"/>
      <c r="C4585" s="9">
        <f>IFERROR(__xludf.DUMMYFUNCTION("""COMPUTED_VALUE"""),45096.6777726157)</f>
        <v>45096.67777</v>
      </c>
      <c r="D4585" s="15">
        <f>IFERROR(__xludf.DUMMYFUNCTION("""COMPUTED_VALUE"""),1.005)</f>
        <v>1.005</v>
      </c>
      <c r="E4585" s="16">
        <f>IFERROR(__xludf.DUMMYFUNCTION("""COMPUTED_VALUE"""),69.0)</f>
        <v>69</v>
      </c>
      <c r="F4585" s="19" t="str">
        <f>IFERROR(__xludf.DUMMYFUNCTION("""COMPUTED_VALUE"""),"BLACK")</f>
        <v>BLACK</v>
      </c>
      <c r="G4585" s="20" t="str">
        <f>IFERROR(__xludf.DUMMYFUNCTION("""COMPUTED_VALUE"""),"Uncle Sams Cider (04/04/2023)")</f>
        <v>Uncle Sams Cider (04/04/2023)</v>
      </c>
      <c r="H4585" s="19"/>
    </row>
    <row r="4586">
      <c r="A4586" s="9"/>
      <c r="B4586" s="15"/>
      <c r="C4586" s="9">
        <f>IFERROR(__xludf.DUMMYFUNCTION("""COMPUTED_VALUE"""),45096.6673400578)</f>
        <v>45096.66734</v>
      </c>
      <c r="D4586" s="15">
        <f>IFERROR(__xludf.DUMMYFUNCTION("""COMPUTED_VALUE"""),1.005)</f>
        <v>1.005</v>
      </c>
      <c r="E4586" s="16">
        <f>IFERROR(__xludf.DUMMYFUNCTION("""COMPUTED_VALUE"""),69.0)</f>
        <v>69</v>
      </c>
      <c r="F4586" s="19" t="str">
        <f>IFERROR(__xludf.DUMMYFUNCTION("""COMPUTED_VALUE"""),"BLACK")</f>
        <v>BLACK</v>
      </c>
      <c r="G4586" s="20" t="str">
        <f>IFERROR(__xludf.DUMMYFUNCTION("""COMPUTED_VALUE"""),"Uncle Sams Cider (04/04/2023)")</f>
        <v>Uncle Sams Cider (04/04/2023)</v>
      </c>
      <c r="H4586" s="19"/>
    </row>
    <row r="4587">
      <c r="A4587" s="9"/>
      <c r="B4587" s="15"/>
      <c r="C4587" s="9">
        <f>IFERROR(__xludf.DUMMYFUNCTION("""COMPUTED_VALUE"""),45096.6569181481)</f>
        <v>45096.65692</v>
      </c>
      <c r="D4587" s="15">
        <f>IFERROR(__xludf.DUMMYFUNCTION("""COMPUTED_VALUE"""),1.005)</f>
        <v>1.005</v>
      </c>
      <c r="E4587" s="16">
        <f>IFERROR(__xludf.DUMMYFUNCTION("""COMPUTED_VALUE"""),69.0)</f>
        <v>69</v>
      </c>
      <c r="F4587" s="19" t="str">
        <f>IFERROR(__xludf.DUMMYFUNCTION("""COMPUTED_VALUE"""),"BLACK")</f>
        <v>BLACK</v>
      </c>
      <c r="G4587" s="20" t="str">
        <f>IFERROR(__xludf.DUMMYFUNCTION("""COMPUTED_VALUE"""),"Uncle Sams Cider (04/04/2023)")</f>
        <v>Uncle Sams Cider (04/04/2023)</v>
      </c>
      <c r="H4587" s="19"/>
    </row>
    <row r="4588">
      <c r="A4588" s="9"/>
      <c r="B4588" s="15"/>
      <c r="C4588" s="9">
        <f>IFERROR(__xludf.DUMMYFUNCTION("""COMPUTED_VALUE"""),45096.6464959606)</f>
        <v>45096.6465</v>
      </c>
      <c r="D4588" s="15">
        <f>IFERROR(__xludf.DUMMYFUNCTION("""COMPUTED_VALUE"""),1.005)</f>
        <v>1.005</v>
      </c>
      <c r="E4588" s="16">
        <f>IFERROR(__xludf.DUMMYFUNCTION("""COMPUTED_VALUE"""),69.0)</f>
        <v>69</v>
      </c>
      <c r="F4588" s="19" t="str">
        <f>IFERROR(__xludf.DUMMYFUNCTION("""COMPUTED_VALUE"""),"BLACK")</f>
        <v>BLACK</v>
      </c>
      <c r="G4588" s="20" t="str">
        <f>IFERROR(__xludf.DUMMYFUNCTION("""COMPUTED_VALUE"""),"Uncle Sams Cider (04/04/2023)")</f>
        <v>Uncle Sams Cider (04/04/2023)</v>
      </c>
      <c r="H4588" s="19"/>
    </row>
    <row r="4589">
      <c r="A4589" s="9"/>
      <c r="B4589" s="15"/>
      <c r="C4589" s="9">
        <f>IFERROR(__xludf.DUMMYFUNCTION("""COMPUTED_VALUE"""),45096.6360747338)</f>
        <v>45096.63607</v>
      </c>
      <c r="D4589" s="15">
        <f>IFERROR(__xludf.DUMMYFUNCTION("""COMPUTED_VALUE"""),1.005)</f>
        <v>1.005</v>
      </c>
      <c r="E4589" s="16">
        <f>IFERROR(__xludf.DUMMYFUNCTION("""COMPUTED_VALUE"""),69.0)</f>
        <v>69</v>
      </c>
      <c r="F4589" s="19" t="str">
        <f>IFERROR(__xludf.DUMMYFUNCTION("""COMPUTED_VALUE"""),"BLACK")</f>
        <v>BLACK</v>
      </c>
      <c r="G4589" s="20" t="str">
        <f>IFERROR(__xludf.DUMMYFUNCTION("""COMPUTED_VALUE"""),"Uncle Sams Cider (04/04/2023)")</f>
        <v>Uncle Sams Cider (04/04/2023)</v>
      </c>
      <c r="H4589" s="19"/>
    </row>
    <row r="4590">
      <c r="A4590" s="9"/>
      <c r="B4590" s="15"/>
      <c r="C4590" s="9">
        <f>IFERROR(__xludf.DUMMYFUNCTION("""COMPUTED_VALUE"""),45096.6256522453)</f>
        <v>45096.62565</v>
      </c>
      <c r="D4590" s="15">
        <f>IFERROR(__xludf.DUMMYFUNCTION("""COMPUTED_VALUE"""),1.005)</f>
        <v>1.005</v>
      </c>
      <c r="E4590" s="16">
        <f>IFERROR(__xludf.DUMMYFUNCTION("""COMPUTED_VALUE"""),69.0)</f>
        <v>69</v>
      </c>
      <c r="F4590" s="19" t="str">
        <f>IFERROR(__xludf.DUMMYFUNCTION("""COMPUTED_VALUE"""),"BLACK")</f>
        <v>BLACK</v>
      </c>
      <c r="G4590" s="20" t="str">
        <f>IFERROR(__xludf.DUMMYFUNCTION("""COMPUTED_VALUE"""),"Uncle Sams Cider (04/04/2023)")</f>
        <v>Uncle Sams Cider (04/04/2023)</v>
      </c>
      <c r="H4590" s="19"/>
    </row>
    <row r="4591">
      <c r="A4591" s="9"/>
      <c r="B4591" s="15"/>
      <c r="C4591" s="9">
        <f>IFERROR(__xludf.DUMMYFUNCTION("""COMPUTED_VALUE"""),45096.5839305671)</f>
        <v>45096.58393</v>
      </c>
      <c r="D4591" s="15">
        <f>IFERROR(__xludf.DUMMYFUNCTION("""COMPUTED_VALUE"""),1.005)</f>
        <v>1.005</v>
      </c>
      <c r="E4591" s="16">
        <f>IFERROR(__xludf.DUMMYFUNCTION("""COMPUTED_VALUE"""),69.0)</f>
        <v>69</v>
      </c>
      <c r="F4591" s="19" t="str">
        <f>IFERROR(__xludf.DUMMYFUNCTION("""COMPUTED_VALUE"""),"BLACK")</f>
        <v>BLACK</v>
      </c>
      <c r="G4591" s="20" t="str">
        <f>IFERROR(__xludf.DUMMYFUNCTION("""COMPUTED_VALUE"""),"Uncle Sams Cider (04/04/2023)")</f>
        <v>Uncle Sams Cider (04/04/2023)</v>
      </c>
      <c r="H4591" s="19"/>
    </row>
    <row r="4592">
      <c r="A4592" s="9"/>
      <c r="B4592" s="15"/>
      <c r="C4592" s="9">
        <f>IFERROR(__xludf.DUMMYFUNCTION("""COMPUTED_VALUE"""),45096.5734975)</f>
        <v>45096.5735</v>
      </c>
      <c r="D4592" s="15">
        <f>IFERROR(__xludf.DUMMYFUNCTION("""COMPUTED_VALUE"""),1.005)</f>
        <v>1.005</v>
      </c>
      <c r="E4592" s="16">
        <f>IFERROR(__xludf.DUMMYFUNCTION("""COMPUTED_VALUE"""),69.0)</f>
        <v>69</v>
      </c>
      <c r="F4592" s="19" t="str">
        <f>IFERROR(__xludf.DUMMYFUNCTION("""COMPUTED_VALUE"""),"BLACK")</f>
        <v>BLACK</v>
      </c>
      <c r="G4592" s="20" t="str">
        <f>IFERROR(__xludf.DUMMYFUNCTION("""COMPUTED_VALUE"""),"Uncle Sams Cider (04/04/2023)")</f>
        <v>Uncle Sams Cider (04/04/2023)</v>
      </c>
      <c r="H4592" s="19"/>
    </row>
    <row r="4593">
      <c r="A4593" s="9"/>
      <c r="B4593" s="15"/>
      <c r="C4593" s="9">
        <f>IFERROR(__xludf.DUMMYFUNCTION("""COMPUTED_VALUE"""),45096.5630760648)</f>
        <v>45096.56308</v>
      </c>
      <c r="D4593" s="15">
        <f>IFERROR(__xludf.DUMMYFUNCTION("""COMPUTED_VALUE"""),1.005)</f>
        <v>1.005</v>
      </c>
      <c r="E4593" s="16">
        <f>IFERROR(__xludf.DUMMYFUNCTION("""COMPUTED_VALUE"""),69.0)</f>
        <v>69</v>
      </c>
      <c r="F4593" s="19" t="str">
        <f>IFERROR(__xludf.DUMMYFUNCTION("""COMPUTED_VALUE"""),"BLACK")</f>
        <v>BLACK</v>
      </c>
      <c r="G4593" s="20" t="str">
        <f>IFERROR(__xludf.DUMMYFUNCTION("""COMPUTED_VALUE"""),"Uncle Sams Cider (04/04/2023)")</f>
        <v>Uncle Sams Cider (04/04/2023)</v>
      </c>
      <c r="H4593" s="19"/>
    </row>
    <row r="4594">
      <c r="A4594" s="9"/>
      <c r="B4594" s="15"/>
      <c r="C4594" s="9">
        <f>IFERROR(__xludf.DUMMYFUNCTION("""COMPUTED_VALUE"""),45096.552652905)</f>
        <v>45096.55265</v>
      </c>
      <c r="D4594" s="15">
        <f>IFERROR(__xludf.DUMMYFUNCTION("""COMPUTED_VALUE"""),1.005)</f>
        <v>1.005</v>
      </c>
      <c r="E4594" s="16">
        <f>IFERROR(__xludf.DUMMYFUNCTION("""COMPUTED_VALUE"""),69.0)</f>
        <v>69</v>
      </c>
      <c r="F4594" s="19" t="str">
        <f>IFERROR(__xludf.DUMMYFUNCTION("""COMPUTED_VALUE"""),"BLACK")</f>
        <v>BLACK</v>
      </c>
      <c r="G4594" s="20" t="str">
        <f>IFERROR(__xludf.DUMMYFUNCTION("""COMPUTED_VALUE"""),"Uncle Sams Cider (04/04/2023)")</f>
        <v>Uncle Sams Cider (04/04/2023)</v>
      </c>
      <c r="H4594" s="19"/>
    </row>
    <row r="4595">
      <c r="A4595" s="9"/>
      <c r="B4595" s="15"/>
      <c r="C4595" s="9">
        <f>IFERROR(__xludf.DUMMYFUNCTION("""COMPUTED_VALUE"""),45096.5422194791)</f>
        <v>45096.54222</v>
      </c>
      <c r="D4595" s="15">
        <f>IFERROR(__xludf.DUMMYFUNCTION("""COMPUTED_VALUE"""),1.005)</f>
        <v>1.005</v>
      </c>
      <c r="E4595" s="16">
        <f>IFERROR(__xludf.DUMMYFUNCTION("""COMPUTED_VALUE"""),69.0)</f>
        <v>69</v>
      </c>
      <c r="F4595" s="19" t="str">
        <f>IFERROR(__xludf.DUMMYFUNCTION("""COMPUTED_VALUE"""),"BLACK")</f>
        <v>BLACK</v>
      </c>
      <c r="G4595" s="20" t="str">
        <f>IFERROR(__xludf.DUMMYFUNCTION("""COMPUTED_VALUE"""),"Uncle Sams Cider (04/04/2023)")</f>
        <v>Uncle Sams Cider (04/04/2023)</v>
      </c>
      <c r="H4595" s="19"/>
    </row>
    <row r="4596">
      <c r="A4596" s="9"/>
      <c r="B4596" s="15"/>
      <c r="C4596" s="9">
        <f>IFERROR(__xludf.DUMMYFUNCTION("""COMPUTED_VALUE"""),45096.5317977199)</f>
        <v>45096.5318</v>
      </c>
      <c r="D4596" s="15">
        <f>IFERROR(__xludf.DUMMYFUNCTION("""COMPUTED_VALUE"""),1.005)</f>
        <v>1.005</v>
      </c>
      <c r="E4596" s="16">
        <f>IFERROR(__xludf.DUMMYFUNCTION("""COMPUTED_VALUE"""),69.0)</f>
        <v>69</v>
      </c>
      <c r="F4596" s="19" t="str">
        <f>IFERROR(__xludf.DUMMYFUNCTION("""COMPUTED_VALUE"""),"BLACK")</f>
        <v>BLACK</v>
      </c>
      <c r="G4596" s="20" t="str">
        <f>IFERROR(__xludf.DUMMYFUNCTION("""COMPUTED_VALUE"""),"Uncle Sams Cider (04/04/2023)")</f>
        <v>Uncle Sams Cider (04/04/2023)</v>
      </c>
      <c r="H4596" s="19"/>
    </row>
    <row r="4597">
      <c r="A4597" s="9"/>
      <c r="B4597" s="15"/>
      <c r="C4597" s="9">
        <f>IFERROR(__xludf.DUMMYFUNCTION("""COMPUTED_VALUE"""),45096.5213756365)</f>
        <v>45096.52138</v>
      </c>
      <c r="D4597" s="15">
        <f>IFERROR(__xludf.DUMMYFUNCTION("""COMPUTED_VALUE"""),1.005)</f>
        <v>1.005</v>
      </c>
      <c r="E4597" s="16">
        <f>IFERROR(__xludf.DUMMYFUNCTION("""COMPUTED_VALUE"""),69.0)</f>
        <v>69</v>
      </c>
      <c r="F4597" s="19" t="str">
        <f>IFERROR(__xludf.DUMMYFUNCTION("""COMPUTED_VALUE"""),"BLACK")</f>
        <v>BLACK</v>
      </c>
      <c r="G4597" s="20" t="str">
        <f>IFERROR(__xludf.DUMMYFUNCTION("""COMPUTED_VALUE"""),"Uncle Sams Cider (04/04/2023)")</f>
        <v>Uncle Sams Cider (04/04/2023)</v>
      </c>
      <c r="H4597" s="19"/>
    </row>
    <row r="4598">
      <c r="A4598" s="9"/>
      <c r="B4598" s="15"/>
      <c r="C4598" s="9">
        <f>IFERROR(__xludf.DUMMYFUNCTION("""COMPUTED_VALUE"""),45096.5109554745)</f>
        <v>45096.51096</v>
      </c>
      <c r="D4598" s="15">
        <f>IFERROR(__xludf.DUMMYFUNCTION("""COMPUTED_VALUE"""),1.005)</f>
        <v>1.005</v>
      </c>
      <c r="E4598" s="16">
        <f>IFERROR(__xludf.DUMMYFUNCTION("""COMPUTED_VALUE"""),69.0)</f>
        <v>69</v>
      </c>
      <c r="F4598" s="19" t="str">
        <f>IFERROR(__xludf.DUMMYFUNCTION("""COMPUTED_VALUE"""),"BLACK")</f>
        <v>BLACK</v>
      </c>
      <c r="G4598" s="20" t="str">
        <f>IFERROR(__xludf.DUMMYFUNCTION("""COMPUTED_VALUE"""),"Uncle Sams Cider (04/04/2023)")</f>
        <v>Uncle Sams Cider (04/04/2023)</v>
      </c>
      <c r="H4598" s="19"/>
    </row>
    <row r="4599">
      <c r="A4599" s="9"/>
      <c r="B4599" s="15"/>
      <c r="C4599" s="9">
        <f>IFERROR(__xludf.DUMMYFUNCTION("""COMPUTED_VALUE"""),45096.5005348495)</f>
        <v>45096.50053</v>
      </c>
      <c r="D4599" s="15">
        <f>IFERROR(__xludf.DUMMYFUNCTION("""COMPUTED_VALUE"""),1.005)</f>
        <v>1.005</v>
      </c>
      <c r="E4599" s="16">
        <f>IFERROR(__xludf.DUMMYFUNCTION("""COMPUTED_VALUE"""),69.0)</f>
        <v>69</v>
      </c>
      <c r="F4599" s="19" t="str">
        <f>IFERROR(__xludf.DUMMYFUNCTION("""COMPUTED_VALUE"""),"BLACK")</f>
        <v>BLACK</v>
      </c>
      <c r="G4599" s="20" t="str">
        <f>IFERROR(__xludf.DUMMYFUNCTION("""COMPUTED_VALUE"""),"Uncle Sams Cider (04/04/2023)")</f>
        <v>Uncle Sams Cider (04/04/2023)</v>
      </c>
      <c r="H4599" s="19"/>
    </row>
    <row r="4600">
      <c r="A4600" s="9"/>
      <c r="B4600" s="15"/>
      <c r="C4600" s="9">
        <f>IFERROR(__xludf.DUMMYFUNCTION("""COMPUTED_VALUE"""),45096.4901033217)</f>
        <v>45096.4901</v>
      </c>
      <c r="D4600" s="15">
        <f>IFERROR(__xludf.DUMMYFUNCTION("""COMPUTED_VALUE"""),1.005)</f>
        <v>1.005</v>
      </c>
      <c r="E4600" s="16">
        <f>IFERROR(__xludf.DUMMYFUNCTION("""COMPUTED_VALUE"""),69.0)</f>
        <v>69</v>
      </c>
      <c r="F4600" s="19" t="str">
        <f>IFERROR(__xludf.DUMMYFUNCTION("""COMPUTED_VALUE"""),"BLACK")</f>
        <v>BLACK</v>
      </c>
      <c r="G4600" s="20" t="str">
        <f>IFERROR(__xludf.DUMMYFUNCTION("""COMPUTED_VALUE"""),"Uncle Sams Cider (04/04/2023)")</f>
        <v>Uncle Sams Cider (04/04/2023)</v>
      </c>
      <c r="H4600" s="19"/>
    </row>
    <row r="4601">
      <c r="A4601" s="9"/>
      <c r="B4601" s="15"/>
      <c r="C4601" s="9">
        <f>IFERROR(__xludf.DUMMYFUNCTION("""COMPUTED_VALUE"""),45096.4796816088)</f>
        <v>45096.47968</v>
      </c>
      <c r="D4601" s="15">
        <f>IFERROR(__xludf.DUMMYFUNCTION("""COMPUTED_VALUE"""),1.005)</f>
        <v>1.005</v>
      </c>
      <c r="E4601" s="16">
        <f>IFERROR(__xludf.DUMMYFUNCTION("""COMPUTED_VALUE"""),69.0)</f>
        <v>69</v>
      </c>
      <c r="F4601" s="19" t="str">
        <f>IFERROR(__xludf.DUMMYFUNCTION("""COMPUTED_VALUE"""),"BLACK")</f>
        <v>BLACK</v>
      </c>
      <c r="G4601" s="20" t="str">
        <f>IFERROR(__xludf.DUMMYFUNCTION("""COMPUTED_VALUE"""),"Uncle Sams Cider (04/04/2023)")</f>
        <v>Uncle Sams Cider (04/04/2023)</v>
      </c>
      <c r="H4601" s="19"/>
    </row>
    <row r="4602">
      <c r="A4602" s="9"/>
      <c r="B4602" s="15"/>
      <c r="C4602" s="9">
        <f>IFERROR(__xludf.DUMMYFUNCTION("""COMPUTED_VALUE"""),45096.4692595486)</f>
        <v>45096.46926</v>
      </c>
      <c r="D4602" s="15">
        <f>IFERROR(__xludf.DUMMYFUNCTION("""COMPUTED_VALUE"""),1.005)</f>
        <v>1.005</v>
      </c>
      <c r="E4602" s="16">
        <f>IFERROR(__xludf.DUMMYFUNCTION("""COMPUTED_VALUE"""),69.0)</f>
        <v>69</v>
      </c>
      <c r="F4602" s="19" t="str">
        <f>IFERROR(__xludf.DUMMYFUNCTION("""COMPUTED_VALUE"""),"BLACK")</f>
        <v>BLACK</v>
      </c>
      <c r="G4602" s="20" t="str">
        <f>IFERROR(__xludf.DUMMYFUNCTION("""COMPUTED_VALUE"""),"Uncle Sams Cider (04/04/2023)")</f>
        <v>Uncle Sams Cider (04/04/2023)</v>
      </c>
      <c r="H4602" s="19"/>
    </row>
    <row r="4603">
      <c r="A4603" s="9"/>
      <c r="B4603" s="15"/>
      <c r="C4603" s="9">
        <f>IFERROR(__xludf.DUMMYFUNCTION("""COMPUTED_VALUE"""),45096.4588385763)</f>
        <v>45096.45884</v>
      </c>
      <c r="D4603" s="15">
        <f>IFERROR(__xludf.DUMMYFUNCTION("""COMPUTED_VALUE"""),1.005)</f>
        <v>1.005</v>
      </c>
      <c r="E4603" s="16">
        <f>IFERROR(__xludf.DUMMYFUNCTION("""COMPUTED_VALUE"""),69.0)</f>
        <v>69</v>
      </c>
      <c r="F4603" s="19" t="str">
        <f>IFERROR(__xludf.DUMMYFUNCTION("""COMPUTED_VALUE"""),"BLACK")</f>
        <v>BLACK</v>
      </c>
      <c r="G4603" s="20" t="str">
        <f>IFERROR(__xludf.DUMMYFUNCTION("""COMPUTED_VALUE"""),"Uncle Sams Cider (04/04/2023)")</f>
        <v>Uncle Sams Cider (04/04/2023)</v>
      </c>
      <c r="H4603" s="19"/>
    </row>
    <row r="4604">
      <c r="A4604" s="9"/>
      <c r="B4604" s="15"/>
      <c r="C4604" s="9">
        <f>IFERROR(__xludf.DUMMYFUNCTION("""COMPUTED_VALUE"""),45096.4483573726)</f>
        <v>45096.44836</v>
      </c>
      <c r="D4604" s="15">
        <f>IFERROR(__xludf.DUMMYFUNCTION("""COMPUTED_VALUE"""),1.005)</f>
        <v>1.005</v>
      </c>
      <c r="E4604" s="16">
        <f>IFERROR(__xludf.DUMMYFUNCTION("""COMPUTED_VALUE"""),69.0)</f>
        <v>69</v>
      </c>
      <c r="F4604" s="19" t="str">
        <f>IFERROR(__xludf.DUMMYFUNCTION("""COMPUTED_VALUE"""),"BLACK")</f>
        <v>BLACK</v>
      </c>
      <c r="G4604" s="20" t="str">
        <f>IFERROR(__xludf.DUMMYFUNCTION("""COMPUTED_VALUE"""),"Uncle Sams Cider (04/04/2023)")</f>
        <v>Uncle Sams Cider (04/04/2023)</v>
      </c>
      <c r="H4604" s="19"/>
    </row>
    <row r="4605">
      <c r="A4605" s="9"/>
      <c r="B4605" s="15"/>
      <c r="C4605" s="9">
        <f>IFERROR(__xludf.DUMMYFUNCTION("""COMPUTED_VALUE"""),45096.4379373842)</f>
        <v>45096.43794</v>
      </c>
      <c r="D4605" s="15">
        <f>IFERROR(__xludf.DUMMYFUNCTION("""COMPUTED_VALUE"""),1.005)</f>
        <v>1.005</v>
      </c>
      <c r="E4605" s="16">
        <f>IFERROR(__xludf.DUMMYFUNCTION("""COMPUTED_VALUE"""),69.0)</f>
        <v>69</v>
      </c>
      <c r="F4605" s="19" t="str">
        <f>IFERROR(__xludf.DUMMYFUNCTION("""COMPUTED_VALUE"""),"BLACK")</f>
        <v>BLACK</v>
      </c>
      <c r="G4605" s="20" t="str">
        <f>IFERROR(__xludf.DUMMYFUNCTION("""COMPUTED_VALUE"""),"Uncle Sams Cider (04/04/2023)")</f>
        <v>Uncle Sams Cider (04/04/2023)</v>
      </c>
      <c r="H4605" s="19"/>
    </row>
    <row r="4606">
      <c r="A4606" s="9"/>
      <c r="B4606" s="15"/>
      <c r="C4606" s="9">
        <f>IFERROR(__xludf.DUMMYFUNCTION("""COMPUTED_VALUE"""),45096.4275147569)</f>
        <v>45096.42751</v>
      </c>
      <c r="D4606" s="15">
        <f>IFERROR(__xludf.DUMMYFUNCTION("""COMPUTED_VALUE"""),1.005)</f>
        <v>1.005</v>
      </c>
      <c r="E4606" s="16">
        <f>IFERROR(__xludf.DUMMYFUNCTION("""COMPUTED_VALUE"""),69.0)</f>
        <v>69</v>
      </c>
      <c r="F4606" s="19" t="str">
        <f>IFERROR(__xludf.DUMMYFUNCTION("""COMPUTED_VALUE"""),"BLACK")</f>
        <v>BLACK</v>
      </c>
      <c r="G4606" s="20" t="str">
        <f>IFERROR(__xludf.DUMMYFUNCTION("""COMPUTED_VALUE"""),"Uncle Sams Cider (04/04/2023)")</f>
        <v>Uncle Sams Cider (04/04/2023)</v>
      </c>
      <c r="H4606" s="19"/>
    </row>
    <row r="4607">
      <c r="A4607" s="9"/>
      <c r="B4607" s="15"/>
      <c r="C4607" s="9">
        <f>IFERROR(__xludf.DUMMYFUNCTION("""COMPUTED_VALUE"""),45096.4170831597)</f>
        <v>45096.41708</v>
      </c>
      <c r="D4607" s="15">
        <f>IFERROR(__xludf.DUMMYFUNCTION("""COMPUTED_VALUE"""),1.005)</f>
        <v>1.005</v>
      </c>
      <c r="E4607" s="16">
        <f>IFERROR(__xludf.DUMMYFUNCTION("""COMPUTED_VALUE"""),69.0)</f>
        <v>69</v>
      </c>
      <c r="F4607" s="19" t="str">
        <f>IFERROR(__xludf.DUMMYFUNCTION("""COMPUTED_VALUE"""),"BLACK")</f>
        <v>BLACK</v>
      </c>
      <c r="G4607" s="20" t="str">
        <f>IFERROR(__xludf.DUMMYFUNCTION("""COMPUTED_VALUE"""),"Uncle Sams Cider (04/04/2023)")</f>
        <v>Uncle Sams Cider (04/04/2023)</v>
      </c>
      <c r="H4607" s="19"/>
    </row>
    <row r="4608">
      <c r="A4608" s="9"/>
      <c r="B4608" s="15"/>
      <c r="C4608" s="9">
        <f>IFERROR(__xludf.DUMMYFUNCTION("""COMPUTED_VALUE"""),45096.4066623958)</f>
        <v>45096.40666</v>
      </c>
      <c r="D4608" s="15">
        <f>IFERROR(__xludf.DUMMYFUNCTION("""COMPUTED_VALUE"""),1.005)</f>
        <v>1.005</v>
      </c>
      <c r="E4608" s="16">
        <f>IFERROR(__xludf.DUMMYFUNCTION("""COMPUTED_VALUE"""),69.0)</f>
        <v>69</v>
      </c>
      <c r="F4608" s="19" t="str">
        <f>IFERROR(__xludf.DUMMYFUNCTION("""COMPUTED_VALUE"""),"BLACK")</f>
        <v>BLACK</v>
      </c>
      <c r="G4608" s="20" t="str">
        <f>IFERROR(__xludf.DUMMYFUNCTION("""COMPUTED_VALUE"""),"Uncle Sams Cider (04/04/2023)")</f>
        <v>Uncle Sams Cider (04/04/2023)</v>
      </c>
      <c r="H4608" s="19"/>
    </row>
    <row r="4609">
      <c r="A4609" s="9"/>
      <c r="B4609" s="15"/>
      <c r="C4609" s="9">
        <f>IFERROR(__xludf.DUMMYFUNCTION("""COMPUTED_VALUE"""),45096.3962302199)</f>
        <v>45096.39623</v>
      </c>
      <c r="D4609" s="15">
        <f>IFERROR(__xludf.DUMMYFUNCTION("""COMPUTED_VALUE"""),1.005)</f>
        <v>1.005</v>
      </c>
      <c r="E4609" s="16">
        <f>IFERROR(__xludf.DUMMYFUNCTION("""COMPUTED_VALUE"""),69.0)</f>
        <v>69</v>
      </c>
      <c r="F4609" s="19" t="str">
        <f>IFERROR(__xludf.DUMMYFUNCTION("""COMPUTED_VALUE"""),"BLACK")</f>
        <v>BLACK</v>
      </c>
      <c r="G4609" s="20" t="str">
        <f>IFERROR(__xludf.DUMMYFUNCTION("""COMPUTED_VALUE"""),"Uncle Sams Cider (04/04/2023)")</f>
        <v>Uncle Sams Cider (04/04/2023)</v>
      </c>
      <c r="H4609" s="19"/>
    </row>
    <row r="4610">
      <c r="A4610" s="9"/>
      <c r="B4610" s="15"/>
      <c r="C4610" s="9">
        <f>IFERROR(__xludf.DUMMYFUNCTION("""COMPUTED_VALUE"""),45096.3858118171)</f>
        <v>45096.38581</v>
      </c>
      <c r="D4610" s="15">
        <f>IFERROR(__xludf.DUMMYFUNCTION("""COMPUTED_VALUE"""),1.005)</f>
        <v>1.005</v>
      </c>
      <c r="E4610" s="16">
        <f>IFERROR(__xludf.DUMMYFUNCTION("""COMPUTED_VALUE"""),69.0)</f>
        <v>69</v>
      </c>
      <c r="F4610" s="19" t="str">
        <f>IFERROR(__xludf.DUMMYFUNCTION("""COMPUTED_VALUE"""),"BLACK")</f>
        <v>BLACK</v>
      </c>
      <c r="G4610" s="20" t="str">
        <f>IFERROR(__xludf.DUMMYFUNCTION("""COMPUTED_VALUE"""),"Uncle Sams Cider (04/04/2023)")</f>
        <v>Uncle Sams Cider (04/04/2023)</v>
      </c>
      <c r="H4610" s="19"/>
    </row>
    <row r="4611">
      <c r="A4611" s="9"/>
      <c r="B4611" s="15"/>
      <c r="C4611" s="9">
        <f>IFERROR(__xludf.DUMMYFUNCTION("""COMPUTED_VALUE"""),45096.3753902662)</f>
        <v>45096.37539</v>
      </c>
      <c r="D4611" s="15">
        <f>IFERROR(__xludf.DUMMYFUNCTION("""COMPUTED_VALUE"""),1.005)</f>
        <v>1.005</v>
      </c>
      <c r="E4611" s="16">
        <f>IFERROR(__xludf.DUMMYFUNCTION("""COMPUTED_VALUE"""),69.0)</f>
        <v>69</v>
      </c>
      <c r="F4611" s="19" t="str">
        <f>IFERROR(__xludf.DUMMYFUNCTION("""COMPUTED_VALUE"""),"BLACK")</f>
        <v>BLACK</v>
      </c>
      <c r="G4611" s="20" t="str">
        <f>IFERROR(__xludf.DUMMYFUNCTION("""COMPUTED_VALUE"""),"Uncle Sams Cider (04/04/2023)")</f>
        <v>Uncle Sams Cider (04/04/2023)</v>
      </c>
      <c r="H4611" s="19"/>
    </row>
    <row r="4612">
      <c r="A4612" s="9"/>
      <c r="B4612" s="15"/>
      <c r="C4612" s="9">
        <f>IFERROR(__xludf.DUMMYFUNCTION("""COMPUTED_VALUE"""),45096.3649695486)</f>
        <v>45096.36497</v>
      </c>
      <c r="D4612" s="15">
        <f>IFERROR(__xludf.DUMMYFUNCTION("""COMPUTED_VALUE"""),1.005)</f>
        <v>1.005</v>
      </c>
      <c r="E4612" s="16">
        <f>IFERROR(__xludf.DUMMYFUNCTION("""COMPUTED_VALUE"""),69.0)</f>
        <v>69</v>
      </c>
      <c r="F4612" s="19" t="str">
        <f>IFERROR(__xludf.DUMMYFUNCTION("""COMPUTED_VALUE"""),"BLACK")</f>
        <v>BLACK</v>
      </c>
      <c r="G4612" s="20" t="str">
        <f>IFERROR(__xludf.DUMMYFUNCTION("""COMPUTED_VALUE"""),"Uncle Sams Cider (04/04/2023)")</f>
        <v>Uncle Sams Cider (04/04/2023)</v>
      </c>
      <c r="H4612" s="19"/>
    </row>
    <row r="4613">
      <c r="A4613" s="9"/>
      <c r="B4613" s="15"/>
      <c r="C4613" s="9">
        <f>IFERROR(__xludf.DUMMYFUNCTION("""COMPUTED_VALUE"""),45096.3545247453)</f>
        <v>45096.35452</v>
      </c>
      <c r="D4613" s="15">
        <f>IFERROR(__xludf.DUMMYFUNCTION("""COMPUTED_VALUE"""),1.005)</f>
        <v>1.005</v>
      </c>
      <c r="E4613" s="16">
        <f>IFERROR(__xludf.DUMMYFUNCTION("""COMPUTED_VALUE"""),69.0)</f>
        <v>69</v>
      </c>
      <c r="F4613" s="19" t="str">
        <f>IFERROR(__xludf.DUMMYFUNCTION("""COMPUTED_VALUE"""),"BLACK")</f>
        <v>BLACK</v>
      </c>
      <c r="G4613" s="20" t="str">
        <f>IFERROR(__xludf.DUMMYFUNCTION("""COMPUTED_VALUE"""),"Uncle Sams Cider (04/04/2023)")</f>
        <v>Uncle Sams Cider (04/04/2023)</v>
      </c>
      <c r="H4613" s="19"/>
    </row>
    <row r="4614">
      <c r="A4614" s="9"/>
      <c r="B4614" s="15"/>
      <c r="C4614" s="9">
        <f>IFERROR(__xludf.DUMMYFUNCTION("""COMPUTED_VALUE"""),45096.3441041898)</f>
        <v>45096.3441</v>
      </c>
      <c r="D4614" s="15">
        <f>IFERROR(__xludf.DUMMYFUNCTION("""COMPUTED_VALUE"""),1.005)</f>
        <v>1.005</v>
      </c>
      <c r="E4614" s="16">
        <f>IFERROR(__xludf.DUMMYFUNCTION("""COMPUTED_VALUE"""),69.0)</f>
        <v>69</v>
      </c>
      <c r="F4614" s="19" t="str">
        <f>IFERROR(__xludf.DUMMYFUNCTION("""COMPUTED_VALUE"""),"BLACK")</f>
        <v>BLACK</v>
      </c>
      <c r="G4614" s="20" t="str">
        <f>IFERROR(__xludf.DUMMYFUNCTION("""COMPUTED_VALUE"""),"Uncle Sams Cider (04/04/2023)")</f>
        <v>Uncle Sams Cider (04/04/2023)</v>
      </c>
      <c r="H4614" s="19"/>
    </row>
    <row r="4615">
      <c r="A4615" s="9"/>
      <c r="B4615" s="15"/>
      <c r="C4615" s="9">
        <f>IFERROR(__xludf.DUMMYFUNCTION("""COMPUTED_VALUE"""),45096.3336712384)</f>
        <v>45096.33367</v>
      </c>
      <c r="D4615" s="15">
        <f>IFERROR(__xludf.DUMMYFUNCTION("""COMPUTED_VALUE"""),1.005)</f>
        <v>1.005</v>
      </c>
      <c r="E4615" s="16">
        <f>IFERROR(__xludf.DUMMYFUNCTION("""COMPUTED_VALUE"""),69.0)</f>
        <v>69</v>
      </c>
      <c r="F4615" s="19" t="str">
        <f>IFERROR(__xludf.DUMMYFUNCTION("""COMPUTED_VALUE"""),"BLACK")</f>
        <v>BLACK</v>
      </c>
      <c r="G4615" s="20" t="str">
        <f>IFERROR(__xludf.DUMMYFUNCTION("""COMPUTED_VALUE"""),"Uncle Sams Cider (04/04/2023)")</f>
        <v>Uncle Sams Cider (04/04/2023)</v>
      </c>
      <c r="H4615" s="19"/>
    </row>
    <row r="4616">
      <c r="A4616" s="9"/>
      <c r="B4616" s="15"/>
      <c r="C4616" s="9">
        <f>IFERROR(__xludf.DUMMYFUNCTION("""COMPUTED_VALUE"""),45096.3232505439)</f>
        <v>45096.32325</v>
      </c>
      <c r="D4616" s="15">
        <f>IFERROR(__xludf.DUMMYFUNCTION("""COMPUTED_VALUE"""),1.005)</f>
        <v>1.005</v>
      </c>
      <c r="E4616" s="16">
        <f>IFERROR(__xludf.DUMMYFUNCTION("""COMPUTED_VALUE"""),69.0)</f>
        <v>69</v>
      </c>
      <c r="F4616" s="19" t="str">
        <f>IFERROR(__xludf.DUMMYFUNCTION("""COMPUTED_VALUE"""),"BLACK")</f>
        <v>BLACK</v>
      </c>
      <c r="G4616" s="20" t="str">
        <f>IFERROR(__xludf.DUMMYFUNCTION("""COMPUTED_VALUE"""),"Uncle Sams Cider (04/04/2023)")</f>
        <v>Uncle Sams Cider (04/04/2023)</v>
      </c>
      <c r="H4616" s="19"/>
    </row>
    <row r="4617">
      <c r="A4617" s="9"/>
      <c r="B4617" s="15"/>
      <c r="C4617" s="9">
        <f>IFERROR(__xludf.DUMMYFUNCTION("""COMPUTED_VALUE"""),45096.3128050694)</f>
        <v>45096.31281</v>
      </c>
      <c r="D4617" s="15">
        <f>IFERROR(__xludf.DUMMYFUNCTION("""COMPUTED_VALUE"""),1.005)</f>
        <v>1.005</v>
      </c>
      <c r="E4617" s="16">
        <f>IFERROR(__xludf.DUMMYFUNCTION("""COMPUTED_VALUE"""),69.0)</f>
        <v>69</v>
      </c>
      <c r="F4617" s="19" t="str">
        <f>IFERROR(__xludf.DUMMYFUNCTION("""COMPUTED_VALUE"""),"BLACK")</f>
        <v>BLACK</v>
      </c>
      <c r="G4617" s="20" t="str">
        <f>IFERROR(__xludf.DUMMYFUNCTION("""COMPUTED_VALUE"""),"Uncle Sams Cider (04/04/2023)")</f>
        <v>Uncle Sams Cider (04/04/2023)</v>
      </c>
      <c r="H4617" s="19"/>
    </row>
    <row r="4618">
      <c r="A4618" s="9"/>
      <c r="B4618" s="15"/>
      <c r="C4618" s="9">
        <f>IFERROR(__xludf.DUMMYFUNCTION("""COMPUTED_VALUE"""),45096.3023492708)</f>
        <v>45096.30235</v>
      </c>
      <c r="D4618" s="15">
        <f>IFERROR(__xludf.DUMMYFUNCTION("""COMPUTED_VALUE"""),1.005)</f>
        <v>1.005</v>
      </c>
      <c r="E4618" s="16">
        <f>IFERROR(__xludf.DUMMYFUNCTION("""COMPUTED_VALUE"""),69.0)</f>
        <v>69</v>
      </c>
      <c r="F4618" s="19" t="str">
        <f>IFERROR(__xludf.DUMMYFUNCTION("""COMPUTED_VALUE"""),"BLACK")</f>
        <v>BLACK</v>
      </c>
      <c r="G4618" s="20" t="str">
        <f>IFERROR(__xludf.DUMMYFUNCTION("""COMPUTED_VALUE"""),"Uncle Sams Cider (04/04/2023)")</f>
        <v>Uncle Sams Cider (04/04/2023)</v>
      </c>
      <c r="H4618" s="19"/>
    </row>
    <row r="4619">
      <c r="A4619" s="9"/>
      <c r="B4619" s="15"/>
      <c r="C4619" s="9">
        <f>IFERROR(__xludf.DUMMYFUNCTION("""COMPUTED_VALUE"""),45096.2919277083)</f>
        <v>45096.29193</v>
      </c>
      <c r="D4619" s="15">
        <f>IFERROR(__xludf.DUMMYFUNCTION("""COMPUTED_VALUE"""),1.006)</f>
        <v>1.006</v>
      </c>
      <c r="E4619" s="16">
        <f>IFERROR(__xludf.DUMMYFUNCTION("""COMPUTED_VALUE"""),69.0)</f>
        <v>69</v>
      </c>
      <c r="F4619" s="19" t="str">
        <f>IFERROR(__xludf.DUMMYFUNCTION("""COMPUTED_VALUE"""),"BLACK")</f>
        <v>BLACK</v>
      </c>
      <c r="G4619" s="20" t="str">
        <f>IFERROR(__xludf.DUMMYFUNCTION("""COMPUTED_VALUE"""),"Uncle Sams Cider (04/04/2023)")</f>
        <v>Uncle Sams Cider (04/04/2023)</v>
      </c>
      <c r="H4619" s="19"/>
    </row>
    <row r="4620">
      <c r="A4620" s="9"/>
      <c r="B4620" s="15"/>
      <c r="C4620" s="9">
        <f>IFERROR(__xludf.DUMMYFUNCTION("""COMPUTED_VALUE"""),45096.2815063194)</f>
        <v>45096.28151</v>
      </c>
      <c r="D4620" s="15">
        <f>IFERROR(__xludf.DUMMYFUNCTION("""COMPUTED_VALUE"""),1.006)</f>
        <v>1.006</v>
      </c>
      <c r="E4620" s="16">
        <f>IFERROR(__xludf.DUMMYFUNCTION("""COMPUTED_VALUE"""),69.0)</f>
        <v>69</v>
      </c>
      <c r="F4620" s="19" t="str">
        <f>IFERROR(__xludf.DUMMYFUNCTION("""COMPUTED_VALUE"""),"BLACK")</f>
        <v>BLACK</v>
      </c>
      <c r="G4620" s="20" t="str">
        <f>IFERROR(__xludf.DUMMYFUNCTION("""COMPUTED_VALUE"""),"Uncle Sams Cider (04/04/2023)")</f>
        <v>Uncle Sams Cider (04/04/2023)</v>
      </c>
      <c r="H4620" s="19"/>
    </row>
    <row r="4621">
      <c r="A4621" s="9"/>
      <c r="B4621" s="15"/>
      <c r="C4621" s="9">
        <f>IFERROR(__xludf.DUMMYFUNCTION("""COMPUTED_VALUE"""),45096.271083831)</f>
        <v>45096.27108</v>
      </c>
      <c r="D4621" s="15">
        <f>IFERROR(__xludf.DUMMYFUNCTION("""COMPUTED_VALUE"""),1.005)</f>
        <v>1.005</v>
      </c>
      <c r="E4621" s="16">
        <f>IFERROR(__xludf.DUMMYFUNCTION("""COMPUTED_VALUE"""),69.0)</f>
        <v>69</v>
      </c>
      <c r="F4621" s="19" t="str">
        <f>IFERROR(__xludf.DUMMYFUNCTION("""COMPUTED_VALUE"""),"BLACK")</f>
        <v>BLACK</v>
      </c>
      <c r="G4621" s="20" t="str">
        <f>IFERROR(__xludf.DUMMYFUNCTION("""COMPUTED_VALUE"""),"Uncle Sams Cider (04/04/2023)")</f>
        <v>Uncle Sams Cider (04/04/2023)</v>
      </c>
      <c r="H4621" s="19"/>
    </row>
    <row r="4622">
      <c r="A4622" s="9"/>
      <c r="B4622" s="15"/>
      <c r="C4622" s="9">
        <f>IFERROR(__xludf.DUMMYFUNCTION("""COMPUTED_VALUE"""),45096.2606517361)</f>
        <v>45096.26065</v>
      </c>
      <c r="D4622" s="15">
        <f>IFERROR(__xludf.DUMMYFUNCTION("""COMPUTED_VALUE"""),1.005)</f>
        <v>1.005</v>
      </c>
      <c r="E4622" s="16">
        <f>IFERROR(__xludf.DUMMYFUNCTION("""COMPUTED_VALUE"""),69.0)</f>
        <v>69</v>
      </c>
      <c r="F4622" s="19" t="str">
        <f>IFERROR(__xludf.DUMMYFUNCTION("""COMPUTED_VALUE"""),"BLACK")</f>
        <v>BLACK</v>
      </c>
      <c r="G4622" s="20" t="str">
        <f>IFERROR(__xludf.DUMMYFUNCTION("""COMPUTED_VALUE"""),"Uncle Sams Cider (04/04/2023)")</f>
        <v>Uncle Sams Cider (04/04/2023)</v>
      </c>
      <c r="H4622" s="19"/>
    </row>
    <row r="4623">
      <c r="A4623" s="9"/>
      <c r="B4623" s="15"/>
      <c r="C4623" s="9">
        <f>IFERROR(__xludf.DUMMYFUNCTION("""COMPUTED_VALUE"""),45096.250230625)</f>
        <v>45096.25023</v>
      </c>
      <c r="D4623" s="15">
        <f>IFERROR(__xludf.DUMMYFUNCTION("""COMPUTED_VALUE"""),1.005)</f>
        <v>1.005</v>
      </c>
      <c r="E4623" s="16">
        <f>IFERROR(__xludf.DUMMYFUNCTION("""COMPUTED_VALUE"""),69.0)</f>
        <v>69</v>
      </c>
      <c r="F4623" s="19" t="str">
        <f>IFERROR(__xludf.DUMMYFUNCTION("""COMPUTED_VALUE"""),"BLACK")</f>
        <v>BLACK</v>
      </c>
      <c r="G4623" s="20" t="str">
        <f>IFERROR(__xludf.DUMMYFUNCTION("""COMPUTED_VALUE"""),"Uncle Sams Cider (04/04/2023)")</f>
        <v>Uncle Sams Cider (04/04/2023)</v>
      </c>
      <c r="H4623" s="19"/>
    </row>
    <row r="4624">
      <c r="A4624" s="9"/>
      <c r="B4624" s="15"/>
      <c r="C4624" s="9">
        <f>IFERROR(__xludf.DUMMYFUNCTION("""COMPUTED_VALUE"""),45096.2398099884)</f>
        <v>45096.23981</v>
      </c>
      <c r="D4624" s="15">
        <f>IFERROR(__xludf.DUMMYFUNCTION("""COMPUTED_VALUE"""),1.005)</f>
        <v>1.005</v>
      </c>
      <c r="E4624" s="16">
        <f>IFERROR(__xludf.DUMMYFUNCTION("""COMPUTED_VALUE"""),69.0)</f>
        <v>69</v>
      </c>
      <c r="F4624" s="19" t="str">
        <f>IFERROR(__xludf.DUMMYFUNCTION("""COMPUTED_VALUE"""),"BLACK")</f>
        <v>BLACK</v>
      </c>
      <c r="G4624" s="20" t="str">
        <f>IFERROR(__xludf.DUMMYFUNCTION("""COMPUTED_VALUE"""),"Uncle Sams Cider (04/04/2023)")</f>
        <v>Uncle Sams Cider (04/04/2023)</v>
      </c>
      <c r="H4624" s="19"/>
    </row>
    <row r="4625">
      <c r="A4625" s="9"/>
      <c r="B4625" s="15"/>
      <c r="C4625" s="9">
        <f>IFERROR(__xludf.DUMMYFUNCTION("""COMPUTED_VALUE"""),45096.2293875926)</f>
        <v>45096.22939</v>
      </c>
      <c r="D4625" s="15">
        <f>IFERROR(__xludf.DUMMYFUNCTION("""COMPUTED_VALUE"""),1.005)</f>
        <v>1.005</v>
      </c>
      <c r="E4625" s="16">
        <f>IFERROR(__xludf.DUMMYFUNCTION("""COMPUTED_VALUE"""),69.0)</f>
        <v>69</v>
      </c>
      <c r="F4625" s="19" t="str">
        <f>IFERROR(__xludf.DUMMYFUNCTION("""COMPUTED_VALUE"""),"BLACK")</f>
        <v>BLACK</v>
      </c>
      <c r="G4625" s="20" t="str">
        <f>IFERROR(__xludf.DUMMYFUNCTION("""COMPUTED_VALUE"""),"Uncle Sams Cider (04/04/2023)")</f>
        <v>Uncle Sams Cider (04/04/2023)</v>
      </c>
      <c r="H4625" s="19"/>
    </row>
    <row r="4626">
      <c r="A4626" s="9"/>
      <c r="B4626" s="15"/>
      <c r="C4626" s="9">
        <f>IFERROR(__xludf.DUMMYFUNCTION("""COMPUTED_VALUE"""),45096.218965405)</f>
        <v>45096.21897</v>
      </c>
      <c r="D4626" s="15">
        <f>IFERROR(__xludf.DUMMYFUNCTION("""COMPUTED_VALUE"""),1.005)</f>
        <v>1.005</v>
      </c>
      <c r="E4626" s="16">
        <f>IFERROR(__xludf.DUMMYFUNCTION("""COMPUTED_VALUE"""),69.0)</f>
        <v>69</v>
      </c>
      <c r="F4626" s="19" t="str">
        <f>IFERROR(__xludf.DUMMYFUNCTION("""COMPUTED_VALUE"""),"BLACK")</f>
        <v>BLACK</v>
      </c>
      <c r="G4626" s="20" t="str">
        <f>IFERROR(__xludf.DUMMYFUNCTION("""COMPUTED_VALUE"""),"Uncle Sams Cider (04/04/2023)")</f>
        <v>Uncle Sams Cider (04/04/2023)</v>
      </c>
      <c r="H4626" s="19"/>
    </row>
    <row r="4627">
      <c r="A4627" s="9"/>
      <c r="B4627" s="15"/>
      <c r="C4627" s="9">
        <f>IFERROR(__xludf.DUMMYFUNCTION("""COMPUTED_VALUE"""),45096.2085434027)</f>
        <v>45096.20854</v>
      </c>
      <c r="D4627" s="15">
        <f>IFERROR(__xludf.DUMMYFUNCTION("""COMPUTED_VALUE"""),1.005)</f>
        <v>1.005</v>
      </c>
      <c r="E4627" s="16">
        <f>IFERROR(__xludf.DUMMYFUNCTION("""COMPUTED_VALUE"""),69.0)</f>
        <v>69</v>
      </c>
      <c r="F4627" s="19" t="str">
        <f>IFERROR(__xludf.DUMMYFUNCTION("""COMPUTED_VALUE"""),"BLACK")</f>
        <v>BLACK</v>
      </c>
      <c r="G4627" s="20" t="str">
        <f>IFERROR(__xludf.DUMMYFUNCTION("""COMPUTED_VALUE"""),"Uncle Sams Cider (04/04/2023)")</f>
        <v>Uncle Sams Cider (04/04/2023)</v>
      </c>
      <c r="H4627" s="19"/>
    </row>
    <row r="4628">
      <c r="A4628" s="9"/>
      <c r="B4628" s="15"/>
      <c r="C4628" s="9">
        <f>IFERROR(__xludf.DUMMYFUNCTION("""COMPUTED_VALUE"""),45096.1981214814)</f>
        <v>45096.19812</v>
      </c>
      <c r="D4628" s="15">
        <f>IFERROR(__xludf.DUMMYFUNCTION("""COMPUTED_VALUE"""),1.005)</f>
        <v>1.005</v>
      </c>
      <c r="E4628" s="16">
        <f>IFERROR(__xludf.DUMMYFUNCTION("""COMPUTED_VALUE"""),69.0)</f>
        <v>69</v>
      </c>
      <c r="F4628" s="19" t="str">
        <f>IFERROR(__xludf.DUMMYFUNCTION("""COMPUTED_VALUE"""),"BLACK")</f>
        <v>BLACK</v>
      </c>
      <c r="G4628" s="20" t="str">
        <f>IFERROR(__xludf.DUMMYFUNCTION("""COMPUTED_VALUE"""),"Uncle Sams Cider (04/04/2023)")</f>
        <v>Uncle Sams Cider (04/04/2023)</v>
      </c>
      <c r="H4628" s="19"/>
    </row>
    <row r="4629">
      <c r="A4629" s="9"/>
      <c r="B4629" s="15"/>
      <c r="C4629" s="9">
        <f>IFERROR(__xludf.DUMMYFUNCTION("""COMPUTED_VALUE"""),45096.1877010879)</f>
        <v>45096.1877</v>
      </c>
      <c r="D4629" s="15">
        <f>IFERROR(__xludf.DUMMYFUNCTION("""COMPUTED_VALUE"""),1.006)</f>
        <v>1.006</v>
      </c>
      <c r="E4629" s="16">
        <f>IFERROR(__xludf.DUMMYFUNCTION("""COMPUTED_VALUE"""),69.0)</f>
        <v>69</v>
      </c>
      <c r="F4629" s="19" t="str">
        <f>IFERROR(__xludf.DUMMYFUNCTION("""COMPUTED_VALUE"""),"BLACK")</f>
        <v>BLACK</v>
      </c>
      <c r="G4629" s="20" t="str">
        <f>IFERROR(__xludf.DUMMYFUNCTION("""COMPUTED_VALUE"""),"Uncle Sams Cider (04/04/2023)")</f>
        <v>Uncle Sams Cider (04/04/2023)</v>
      </c>
      <c r="H4629" s="19"/>
    </row>
    <row r="4630">
      <c r="A4630" s="9"/>
      <c r="B4630" s="15"/>
      <c r="C4630" s="9">
        <f>IFERROR(__xludf.DUMMYFUNCTION("""COMPUTED_VALUE"""),45096.1772683217)</f>
        <v>45096.17727</v>
      </c>
      <c r="D4630" s="15">
        <f>IFERROR(__xludf.DUMMYFUNCTION("""COMPUTED_VALUE"""),1.005)</f>
        <v>1.005</v>
      </c>
      <c r="E4630" s="16">
        <f>IFERROR(__xludf.DUMMYFUNCTION("""COMPUTED_VALUE"""),69.0)</f>
        <v>69</v>
      </c>
      <c r="F4630" s="19" t="str">
        <f>IFERROR(__xludf.DUMMYFUNCTION("""COMPUTED_VALUE"""),"BLACK")</f>
        <v>BLACK</v>
      </c>
      <c r="G4630" s="20" t="str">
        <f>IFERROR(__xludf.DUMMYFUNCTION("""COMPUTED_VALUE"""),"Uncle Sams Cider (04/04/2023)")</f>
        <v>Uncle Sams Cider (04/04/2023)</v>
      </c>
      <c r="H4630" s="19"/>
    </row>
    <row r="4631">
      <c r="A4631" s="9"/>
      <c r="B4631" s="15"/>
      <c r="C4631" s="9">
        <f>IFERROR(__xludf.DUMMYFUNCTION("""COMPUTED_VALUE"""),45096.1668477314)</f>
        <v>45096.16685</v>
      </c>
      <c r="D4631" s="15">
        <f>IFERROR(__xludf.DUMMYFUNCTION("""COMPUTED_VALUE"""),1.005)</f>
        <v>1.005</v>
      </c>
      <c r="E4631" s="16">
        <f>IFERROR(__xludf.DUMMYFUNCTION("""COMPUTED_VALUE"""),69.0)</f>
        <v>69</v>
      </c>
      <c r="F4631" s="19" t="str">
        <f>IFERROR(__xludf.DUMMYFUNCTION("""COMPUTED_VALUE"""),"BLACK")</f>
        <v>BLACK</v>
      </c>
      <c r="G4631" s="20" t="str">
        <f>IFERROR(__xludf.DUMMYFUNCTION("""COMPUTED_VALUE"""),"Uncle Sams Cider (04/04/2023)")</f>
        <v>Uncle Sams Cider (04/04/2023)</v>
      </c>
      <c r="H4631" s="19"/>
    </row>
    <row r="4632">
      <c r="A4632" s="9"/>
      <c r="B4632" s="15"/>
      <c r="C4632" s="9">
        <f>IFERROR(__xludf.DUMMYFUNCTION("""COMPUTED_VALUE"""),45096.1564263888)</f>
        <v>45096.15643</v>
      </c>
      <c r="D4632" s="15">
        <f>IFERROR(__xludf.DUMMYFUNCTION("""COMPUTED_VALUE"""),1.005)</f>
        <v>1.005</v>
      </c>
      <c r="E4632" s="16">
        <f>IFERROR(__xludf.DUMMYFUNCTION("""COMPUTED_VALUE"""),69.0)</f>
        <v>69</v>
      </c>
      <c r="F4632" s="19" t="str">
        <f>IFERROR(__xludf.DUMMYFUNCTION("""COMPUTED_VALUE"""),"BLACK")</f>
        <v>BLACK</v>
      </c>
      <c r="G4632" s="20" t="str">
        <f>IFERROR(__xludf.DUMMYFUNCTION("""COMPUTED_VALUE"""),"Uncle Sams Cider (04/04/2023)")</f>
        <v>Uncle Sams Cider (04/04/2023)</v>
      </c>
      <c r="H4632" s="19"/>
    </row>
    <row r="4633">
      <c r="A4633" s="9"/>
      <c r="B4633" s="15"/>
      <c r="C4633" s="9">
        <f>IFERROR(__xludf.DUMMYFUNCTION("""COMPUTED_VALUE"""),45096.1460055902)</f>
        <v>45096.14601</v>
      </c>
      <c r="D4633" s="15">
        <f>IFERROR(__xludf.DUMMYFUNCTION("""COMPUTED_VALUE"""),1.005)</f>
        <v>1.005</v>
      </c>
      <c r="E4633" s="16">
        <f>IFERROR(__xludf.DUMMYFUNCTION("""COMPUTED_VALUE"""),69.0)</f>
        <v>69</v>
      </c>
      <c r="F4633" s="19" t="str">
        <f>IFERROR(__xludf.DUMMYFUNCTION("""COMPUTED_VALUE"""),"BLACK")</f>
        <v>BLACK</v>
      </c>
      <c r="G4633" s="20" t="str">
        <f>IFERROR(__xludf.DUMMYFUNCTION("""COMPUTED_VALUE"""),"Uncle Sams Cider (04/04/2023)")</f>
        <v>Uncle Sams Cider (04/04/2023)</v>
      </c>
      <c r="H4633" s="19"/>
    </row>
    <row r="4634">
      <c r="A4634" s="9"/>
      <c r="B4634" s="15"/>
      <c r="C4634" s="9">
        <f>IFERROR(__xludf.DUMMYFUNCTION("""COMPUTED_VALUE"""),45096.1355844675)</f>
        <v>45096.13558</v>
      </c>
      <c r="D4634" s="15">
        <f>IFERROR(__xludf.DUMMYFUNCTION("""COMPUTED_VALUE"""),1.005)</f>
        <v>1.005</v>
      </c>
      <c r="E4634" s="16">
        <f>IFERROR(__xludf.DUMMYFUNCTION("""COMPUTED_VALUE"""),69.0)</f>
        <v>69</v>
      </c>
      <c r="F4634" s="19" t="str">
        <f>IFERROR(__xludf.DUMMYFUNCTION("""COMPUTED_VALUE"""),"BLACK")</f>
        <v>BLACK</v>
      </c>
      <c r="G4634" s="20" t="str">
        <f>IFERROR(__xludf.DUMMYFUNCTION("""COMPUTED_VALUE"""),"Uncle Sams Cider (04/04/2023)")</f>
        <v>Uncle Sams Cider (04/04/2023)</v>
      </c>
      <c r="H4634" s="19"/>
    </row>
    <row r="4635">
      <c r="A4635" s="9"/>
      <c r="B4635" s="15"/>
      <c r="C4635" s="9">
        <f>IFERROR(__xludf.DUMMYFUNCTION("""COMPUTED_VALUE"""),45096.1251403125)</f>
        <v>45096.12514</v>
      </c>
      <c r="D4635" s="15">
        <f>IFERROR(__xludf.DUMMYFUNCTION("""COMPUTED_VALUE"""),1.006)</f>
        <v>1.006</v>
      </c>
      <c r="E4635" s="16">
        <f>IFERROR(__xludf.DUMMYFUNCTION("""COMPUTED_VALUE"""),69.0)</f>
        <v>69</v>
      </c>
      <c r="F4635" s="19" t="str">
        <f>IFERROR(__xludf.DUMMYFUNCTION("""COMPUTED_VALUE"""),"BLACK")</f>
        <v>BLACK</v>
      </c>
      <c r="G4635" s="20" t="str">
        <f>IFERROR(__xludf.DUMMYFUNCTION("""COMPUTED_VALUE"""),"Uncle Sams Cider (04/04/2023)")</f>
        <v>Uncle Sams Cider (04/04/2023)</v>
      </c>
      <c r="H4635" s="19"/>
    </row>
    <row r="4636">
      <c r="A4636" s="9"/>
      <c r="B4636" s="15"/>
      <c r="C4636" s="9">
        <f>IFERROR(__xludf.DUMMYFUNCTION("""COMPUTED_VALUE"""),45096.1147186111)</f>
        <v>45096.11472</v>
      </c>
      <c r="D4636" s="15">
        <f>IFERROR(__xludf.DUMMYFUNCTION("""COMPUTED_VALUE"""),1.005)</f>
        <v>1.005</v>
      </c>
      <c r="E4636" s="16">
        <f>IFERROR(__xludf.DUMMYFUNCTION("""COMPUTED_VALUE"""),69.0)</f>
        <v>69</v>
      </c>
      <c r="F4636" s="19" t="str">
        <f>IFERROR(__xludf.DUMMYFUNCTION("""COMPUTED_VALUE"""),"BLACK")</f>
        <v>BLACK</v>
      </c>
      <c r="G4636" s="20" t="str">
        <f>IFERROR(__xludf.DUMMYFUNCTION("""COMPUTED_VALUE"""),"Uncle Sams Cider (04/04/2023)")</f>
        <v>Uncle Sams Cider (04/04/2023)</v>
      </c>
      <c r="H4636" s="19"/>
    </row>
    <row r="4637">
      <c r="A4637" s="9"/>
      <c r="B4637" s="15"/>
      <c r="C4637" s="9">
        <f>IFERROR(__xludf.DUMMYFUNCTION("""COMPUTED_VALUE"""),45096.1042968287)</f>
        <v>45096.1043</v>
      </c>
      <c r="D4637" s="15">
        <f>IFERROR(__xludf.DUMMYFUNCTION("""COMPUTED_VALUE"""),1.005)</f>
        <v>1.005</v>
      </c>
      <c r="E4637" s="16">
        <f>IFERROR(__xludf.DUMMYFUNCTION("""COMPUTED_VALUE"""),69.0)</f>
        <v>69</v>
      </c>
      <c r="F4637" s="19" t="str">
        <f>IFERROR(__xludf.DUMMYFUNCTION("""COMPUTED_VALUE"""),"BLACK")</f>
        <v>BLACK</v>
      </c>
      <c r="G4637" s="20" t="str">
        <f>IFERROR(__xludf.DUMMYFUNCTION("""COMPUTED_VALUE"""),"Uncle Sams Cider (04/04/2023)")</f>
        <v>Uncle Sams Cider (04/04/2023)</v>
      </c>
      <c r="H4637" s="19"/>
    </row>
    <row r="4638">
      <c r="A4638" s="9"/>
      <c r="B4638" s="15"/>
      <c r="C4638" s="9">
        <f>IFERROR(__xludf.DUMMYFUNCTION("""COMPUTED_VALUE"""),45096.0938734027)</f>
        <v>45096.09387</v>
      </c>
      <c r="D4638" s="15">
        <f>IFERROR(__xludf.DUMMYFUNCTION("""COMPUTED_VALUE"""),1.005)</f>
        <v>1.005</v>
      </c>
      <c r="E4638" s="16">
        <f>IFERROR(__xludf.DUMMYFUNCTION("""COMPUTED_VALUE"""),69.0)</f>
        <v>69</v>
      </c>
      <c r="F4638" s="19" t="str">
        <f>IFERROR(__xludf.DUMMYFUNCTION("""COMPUTED_VALUE"""),"BLACK")</f>
        <v>BLACK</v>
      </c>
      <c r="G4638" s="20" t="str">
        <f>IFERROR(__xludf.DUMMYFUNCTION("""COMPUTED_VALUE"""),"Uncle Sams Cider (04/04/2023)")</f>
        <v>Uncle Sams Cider (04/04/2023)</v>
      </c>
      <c r="H4638" s="19"/>
    </row>
    <row r="4639">
      <c r="A4639" s="9"/>
      <c r="B4639" s="15"/>
      <c r="C4639" s="9">
        <f>IFERROR(__xludf.DUMMYFUNCTION("""COMPUTED_VALUE"""),45096.0834537037)</f>
        <v>45096.08345</v>
      </c>
      <c r="D4639" s="15">
        <f>IFERROR(__xludf.DUMMYFUNCTION("""COMPUTED_VALUE"""),1.005)</f>
        <v>1.005</v>
      </c>
      <c r="E4639" s="16">
        <f>IFERROR(__xludf.DUMMYFUNCTION("""COMPUTED_VALUE"""),69.0)</f>
        <v>69</v>
      </c>
      <c r="F4639" s="19" t="str">
        <f>IFERROR(__xludf.DUMMYFUNCTION("""COMPUTED_VALUE"""),"BLACK")</f>
        <v>BLACK</v>
      </c>
      <c r="G4639" s="20" t="str">
        <f>IFERROR(__xludf.DUMMYFUNCTION("""COMPUTED_VALUE"""),"Uncle Sams Cider (04/04/2023)")</f>
        <v>Uncle Sams Cider (04/04/2023)</v>
      </c>
      <c r="H4639" s="19"/>
    </row>
    <row r="4640">
      <c r="A4640" s="9"/>
      <c r="B4640" s="15"/>
      <c r="C4640" s="9">
        <f>IFERROR(__xludf.DUMMYFUNCTION("""COMPUTED_VALUE"""),45096.0730083217)</f>
        <v>45096.07301</v>
      </c>
      <c r="D4640" s="15">
        <f>IFERROR(__xludf.DUMMYFUNCTION("""COMPUTED_VALUE"""),1.005)</f>
        <v>1.005</v>
      </c>
      <c r="E4640" s="16">
        <f>IFERROR(__xludf.DUMMYFUNCTION("""COMPUTED_VALUE"""),69.0)</f>
        <v>69</v>
      </c>
      <c r="F4640" s="19" t="str">
        <f>IFERROR(__xludf.DUMMYFUNCTION("""COMPUTED_VALUE"""),"BLACK")</f>
        <v>BLACK</v>
      </c>
      <c r="G4640" s="20" t="str">
        <f>IFERROR(__xludf.DUMMYFUNCTION("""COMPUTED_VALUE"""),"Uncle Sams Cider (04/04/2023)")</f>
        <v>Uncle Sams Cider (04/04/2023)</v>
      </c>
      <c r="H4640" s="19"/>
    </row>
    <row r="4641">
      <c r="A4641" s="9"/>
      <c r="B4641" s="15"/>
      <c r="C4641" s="9">
        <f>IFERROR(__xludf.DUMMYFUNCTION("""COMPUTED_VALUE"""),45096.0625875)</f>
        <v>45096.06259</v>
      </c>
      <c r="D4641" s="15">
        <f>IFERROR(__xludf.DUMMYFUNCTION("""COMPUTED_VALUE"""),1.005)</f>
        <v>1.005</v>
      </c>
      <c r="E4641" s="16">
        <f>IFERROR(__xludf.DUMMYFUNCTION("""COMPUTED_VALUE"""),69.0)</f>
        <v>69</v>
      </c>
      <c r="F4641" s="19" t="str">
        <f>IFERROR(__xludf.DUMMYFUNCTION("""COMPUTED_VALUE"""),"BLACK")</f>
        <v>BLACK</v>
      </c>
      <c r="G4641" s="20" t="str">
        <f>IFERROR(__xludf.DUMMYFUNCTION("""COMPUTED_VALUE"""),"Uncle Sams Cider (04/04/2023)")</f>
        <v>Uncle Sams Cider (04/04/2023)</v>
      </c>
      <c r="H4641" s="19"/>
    </row>
    <row r="4642">
      <c r="A4642" s="9"/>
      <c r="B4642" s="15"/>
      <c r="C4642" s="9">
        <f>IFERROR(__xludf.DUMMYFUNCTION("""COMPUTED_VALUE"""),45096.0521549652)</f>
        <v>45096.05215</v>
      </c>
      <c r="D4642" s="15">
        <f>IFERROR(__xludf.DUMMYFUNCTION("""COMPUTED_VALUE"""),1.005)</f>
        <v>1.005</v>
      </c>
      <c r="E4642" s="16">
        <f>IFERROR(__xludf.DUMMYFUNCTION("""COMPUTED_VALUE"""),69.0)</f>
        <v>69</v>
      </c>
      <c r="F4642" s="19" t="str">
        <f>IFERROR(__xludf.DUMMYFUNCTION("""COMPUTED_VALUE"""),"BLACK")</f>
        <v>BLACK</v>
      </c>
      <c r="G4642" s="20" t="str">
        <f>IFERROR(__xludf.DUMMYFUNCTION("""COMPUTED_VALUE"""),"Uncle Sams Cider (04/04/2023)")</f>
        <v>Uncle Sams Cider (04/04/2023)</v>
      </c>
      <c r="H4642" s="19"/>
    </row>
    <row r="4643">
      <c r="A4643" s="9"/>
      <c r="B4643" s="15"/>
      <c r="C4643" s="9">
        <f>IFERROR(__xludf.DUMMYFUNCTION("""COMPUTED_VALUE"""),45096.0417223032)</f>
        <v>45096.04172</v>
      </c>
      <c r="D4643" s="15">
        <f>IFERROR(__xludf.DUMMYFUNCTION("""COMPUTED_VALUE"""),1.006)</f>
        <v>1.006</v>
      </c>
      <c r="E4643" s="16">
        <f>IFERROR(__xludf.DUMMYFUNCTION("""COMPUTED_VALUE"""),69.0)</f>
        <v>69</v>
      </c>
      <c r="F4643" s="19" t="str">
        <f>IFERROR(__xludf.DUMMYFUNCTION("""COMPUTED_VALUE"""),"BLACK")</f>
        <v>BLACK</v>
      </c>
      <c r="G4643" s="20" t="str">
        <f>IFERROR(__xludf.DUMMYFUNCTION("""COMPUTED_VALUE"""),"Uncle Sams Cider (04/04/2023)")</f>
        <v>Uncle Sams Cider (04/04/2023)</v>
      </c>
      <c r="H4643" s="19"/>
    </row>
    <row r="4644">
      <c r="A4644" s="9"/>
      <c r="B4644" s="15"/>
      <c r="C4644" s="9">
        <f>IFERROR(__xludf.DUMMYFUNCTION("""COMPUTED_VALUE"""),45096.0312780208)</f>
        <v>45096.03128</v>
      </c>
      <c r="D4644" s="15">
        <f>IFERROR(__xludf.DUMMYFUNCTION("""COMPUTED_VALUE"""),1.006)</f>
        <v>1.006</v>
      </c>
      <c r="E4644" s="16">
        <f>IFERROR(__xludf.DUMMYFUNCTION("""COMPUTED_VALUE"""),69.0)</f>
        <v>69</v>
      </c>
      <c r="F4644" s="19" t="str">
        <f>IFERROR(__xludf.DUMMYFUNCTION("""COMPUTED_VALUE"""),"BLACK")</f>
        <v>BLACK</v>
      </c>
      <c r="G4644" s="20" t="str">
        <f>IFERROR(__xludf.DUMMYFUNCTION("""COMPUTED_VALUE"""),"Uncle Sams Cider (04/04/2023)")</f>
        <v>Uncle Sams Cider (04/04/2023)</v>
      </c>
      <c r="H4644" s="19"/>
    </row>
    <row r="4645">
      <c r="A4645" s="9"/>
      <c r="B4645" s="15"/>
      <c r="C4645" s="9">
        <f>IFERROR(__xludf.DUMMYFUNCTION("""COMPUTED_VALUE"""),45096.0208566088)</f>
        <v>45096.02086</v>
      </c>
      <c r="D4645" s="15">
        <f>IFERROR(__xludf.DUMMYFUNCTION("""COMPUTED_VALUE"""),1.005)</f>
        <v>1.005</v>
      </c>
      <c r="E4645" s="16">
        <f>IFERROR(__xludf.DUMMYFUNCTION("""COMPUTED_VALUE"""),69.0)</f>
        <v>69</v>
      </c>
      <c r="F4645" s="19" t="str">
        <f>IFERROR(__xludf.DUMMYFUNCTION("""COMPUTED_VALUE"""),"BLACK")</f>
        <v>BLACK</v>
      </c>
      <c r="G4645" s="20" t="str">
        <f>IFERROR(__xludf.DUMMYFUNCTION("""COMPUTED_VALUE"""),"Uncle Sams Cider (04/04/2023)")</f>
        <v>Uncle Sams Cider (04/04/2023)</v>
      </c>
      <c r="H4645" s="19"/>
    </row>
    <row r="4646">
      <c r="A4646" s="9"/>
      <c r="B4646" s="15"/>
      <c r="C4646" s="9">
        <f>IFERROR(__xludf.DUMMYFUNCTION("""COMPUTED_VALUE"""),45096.0104342013)</f>
        <v>45096.01043</v>
      </c>
      <c r="D4646" s="15">
        <f>IFERROR(__xludf.DUMMYFUNCTION("""COMPUTED_VALUE"""),1.005)</f>
        <v>1.005</v>
      </c>
      <c r="E4646" s="16">
        <f>IFERROR(__xludf.DUMMYFUNCTION("""COMPUTED_VALUE"""),69.0)</f>
        <v>69</v>
      </c>
      <c r="F4646" s="19" t="str">
        <f>IFERROR(__xludf.DUMMYFUNCTION("""COMPUTED_VALUE"""),"BLACK")</f>
        <v>BLACK</v>
      </c>
      <c r="G4646" s="20" t="str">
        <f>IFERROR(__xludf.DUMMYFUNCTION("""COMPUTED_VALUE"""),"Uncle Sams Cider (04/04/2023)")</f>
        <v>Uncle Sams Cider (04/04/2023)</v>
      </c>
      <c r="H4646" s="19"/>
    </row>
    <row r="4647">
      <c r="A4647" s="9"/>
      <c r="B4647" s="15"/>
      <c r="C4647" s="9">
        <f>IFERROR(__xludf.DUMMYFUNCTION("""COMPUTED_VALUE"""),45096.0000123611)</f>
        <v>45096.00001</v>
      </c>
      <c r="D4647" s="15">
        <f>IFERROR(__xludf.DUMMYFUNCTION("""COMPUTED_VALUE"""),1.005)</f>
        <v>1.005</v>
      </c>
      <c r="E4647" s="16">
        <f>IFERROR(__xludf.DUMMYFUNCTION("""COMPUTED_VALUE"""),69.0)</f>
        <v>69</v>
      </c>
      <c r="F4647" s="19" t="str">
        <f>IFERROR(__xludf.DUMMYFUNCTION("""COMPUTED_VALUE"""),"BLACK")</f>
        <v>BLACK</v>
      </c>
      <c r="G4647" s="20" t="str">
        <f>IFERROR(__xludf.DUMMYFUNCTION("""COMPUTED_VALUE"""),"Uncle Sams Cider (04/04/2023)")</f>
        <v>Uncle Sams Cider (04/04/2023)</v>
      </c>
      <c r="H4647" s="19"/>
    </row>
    <row r="4648">
      <c r="A4648" s="9"/>
      <c r="B4648" s="15"/>
      <c r="C4648" s="9">
        <f>IFERROR(__xludf.DUMMYFUNCTION("""COMPUTED_VALUE"""),45095.9895909722)</f>
        <v>45095.98959</v>
      </c>
      <c r="D4648" s="15">
        <f>IFERROR(__xludf.DUMMYFUNCTION("""COMPUTED_VALUE"""),1.006)</f>
        <v>1.006</v>
      </c>
      <c r="E4648" s="16">
        <f>IFERROR(__xludf.DUMMYFUNCTION("""COMPUTED_VALUE"""),69.0)</f>
        <v>69</v>
      </c>
      <c r="F4648" s="19" t="str">
        <f>IFERROR(__xludf.DUMMYFUNCTION("""COMPUTED_VALUE"""),"BLACK")</f>
        <v>BLACK</v>
      </c>
      <c r="G4648" s="20" t="str">
        <f>IFERROR(__xludf.DUMMYFUNCTION("""COMPUTED_VALUE"""),"Uncle Sams Cider (04/04/2023)")</f>
        <v>Uncle Sams Cider (04/04/2023)</v>
      </c>
      <c r="H4648" s="19"/>
    </row>
    <row r="4649">
      <c r="A4649" s="9"/>
      <c r="B4649" s="15"/>
      <c r="C4649" s="9">
        <f>IFERROR(__xludf.DUMMYFUNCTION("""COMPUTED_VALUE"""),45095.9791468981)</f>
        <v>45095.97915</v>
      </c>
      <c r="D4649" s="15">
        <f>IFERROR(__xludf.DUMMYFUNCTION("""COMPUTED_VALUE"""),1.005)</f>
        <v>1.005</v>
      </c>
      <c r="E4649" s="16">
        <f>IFERROR(__xludf.DUMMYFUNCTION("""COMPUTED_VALUE"""),69.0)</f>
        <v>69</v>
      </c>
      <c r="F4649" s="19" t="str">
        <f>IFERROR(__xludf.DUMMYFUNCTION("""COMPUTED_VALUE"""),"BLACK")</f>
        <v>BLACK</v>
      </c>
      <c r="G4649" s="20" t="str">
        <f>IFERROR(__xludf.DUMMYFUNCTION("""COMPUTED_VALUE"""),"Uncle Sams Cider (04/04/2023)")</f>
        <v>Uncle Sams Cider (04/04/2023)</v>
      </c>
      <c r="H4649" s="19"/>
    </row>
    <row r="4650">
      <c r="A4650" s="9"/>
      <c r="B4650" s="15"/>
      <c r="C4650" s="9">
        <f>IFERROR(__xludf.DUMMYFUNCTION("""COMPUTED_VALUE"""),45095.968726493)</f>
        <v>45095.96873</v>
      </c>
      <c r="D4650" s="15">
        <f>IFERROR(__xludf.DUMMYFUNCTION("""COMPUTED_VALUE"""),1.005)</f>
        <v>1.005</v>
      </c>
      <c r="E4650" s="16">
        <f>IFERROR(__xludf.DUMMYFUNCTION("""COMPUTED_VALUE"""),69.0)</f>
        <v>69</v>
      </c>
      <c r="F4650" s="19" t="str">
        <f>IFERROR(__xludf.DUMMYFUNCTION("""COMPUTED_VALUE"""),"BLACK")</f>
        <v>BLACK</v>
      </c>
      <c r="G4650" s="20" t="str">
        <f>IFERROR(__xludf.DUMMYFUNCTION("""COMPUTED_VALUE"""),"Uncle Sams Cider (04/04/2023)")</f>
        <v>Uncle Sams Cider (04/04/2023)</v>
      </c>
      <c r="H4650" s="19"/>
    </row>
    <row r="4651">
      <c r="A4651" s="9"/>
      <c r="B4651" s="15"/>
      <c r="C4651" s="9">
        <f>IFERROR(__xludf.DUMMYFUNCTION("""COMPUTED_VALUE"""),45095.9582939467)</f>
        <v>45095.95829</v>
      </c>
      <c r="D4651" s="15">
        <f>IFERROR(__xludf.DUMMYFUNCTION("""COMPUTED_VALUE"""),1.006)</f>
        <v>1.006</v>
      </c>
      <c r="E4651" s="16">
        <f>IFERROR(__xludf.DUMMYFUNCTION("""COMPUTED_VALUE"""),69.0)</f>
        <v>69</v>
      </c>
      <c r="F4651" s="19" t="str">
        <f>IFERROR(__xludf.DUMMYFUNCTION("""COMPUTED_VALUE"""),"BLACK")</f>
        <v>BLACK</v>
      </c>
      <c r="G4651" s="20" t="str">
        <f>IFERROR(__xludf.DUMMYFUNCTION("""COMPUTED_VALUE"""),"Uncle Sams Cider (04/04/2023)")</f>
        <v>Uncle Sams Cider (04/04/2023)</v>
      </c>
      <c r="H4651" s="19"/>
    </row>
    <row r="4652">
      <c r="A4652" s="9"/>
      <c r="B4652" s="15"/>
      <c r="C4652" s="9">
        <f>IFERROR(__xludf.DUMMYFUNCTION("""COMPUTED_VALUE"""),45095.9478746527)</f>
        <v>45095.94787</v>
      </c>
      <c r="D4652" s="15">
        <f>IFERROR(__xludf.DUMMYFUNCTION("""COMPUTED_VALUE"""),1.006)</f>
        <v>1.006</v>
      </c>
      <c r="E4652" s="16">
        <f>IFERROR(__xludf.DUMMYFUNCTION("""COMPUTED_VALUE"""),69.0)</f>
        <v>69</v>
      </c>
      <c r="F4652" s="19" t="str">
        <f>IFERROR(__xludf.DUMMYFUNCTION("""COMPUTED_VALUE"""),"BLACK")</f>
        <v>BLACK</v>
      </c>
      <c r="G4652" s="20" t="str">
        <f>IFERROR(__xludf.DUMMYFUNCTION("""COMPUTED_VALUE"""),"Uncle Sams Cider (04/04/2023)")</f>
        <v>Uncle Sams Cider (04/04/2023)</v>
      </c>
      <c r="H4652" s="19"/>
    </row>
    <row r="4653">
      <c r="A4653" s="9"/>
      <c r="B4653" s="15"/>
      <c r="C4653" s="9">
        <f>IFERROR(__xludf.DUMMYFUNCTION("""COMPUTED_VALUE"""),45095.9374521412)</f>
        <v>45095.93745</v>
      </c>
      <c r="D4653" s="15">
        <f>IFERROR(__xludf.DUMMYFUNCTION("""COMPUTED_VALUE"""),1.005)</f>
        <v>1.005</v>
      </c>
      <c r="E4653" s="16">
        <f>IFERROR(__xludf.DUMMYFUNCTION("""COMPUTED_VALUE"""),69.0)</f>
        <v>69</v>
      </c>
      <c r="F4653" s="19" t="str">
        <f>IFERROR(__xludf.DUMMYFUNCTION("""COMPUTED_VALUE"""),"BLACK")</f>
        <v>BLACK</v>
      </c>
      <c r="G4653" s="20" t="str">
        <f>IFERROR(__xludf.DUMMYFUNCTION("""COMPUTED_VALUE"""),"Uncle Sams Cider (04/04/2023)")</f>
        <v>Uncle Sams Cider (04/04/2023)</v>
      </c>
      <c r="H4653" s="19"/>
    </row>
    <row r="4654">
      <c r="A4654" s="9"/>
      <c r="B4654" s="15"/>
      <c r="C4654" s="9">
        <f>IFERROR(__xludf.DUMMYFUNCTION("""COMPUTED_VALUE"""),45095.9270309375)</f>
        <v>45095.92703</v>
      </c>
      <c r="D4654" s="15">
        <f>IFERROR(__xludf.DUMMYFUNCTION("""COMPUTED_VALUE"""),1.005)</f>
        <v>1.005</v>
      </c>
      <c r="E4654" s="16">
        <f>IFERROR(__xludf.DUMMYFUNCTION("""COMPUTED_VALUE"""),69.0)</f>
        <v>69</v>
      </c>
      <c r="F4654" s="19" t="str">
        <f>IFERROR(__xludf.DUMMYFUNCTION("""COMPUTED_VALUE"""),"BLACK")</f>
        <v>BLACK</v>
      </c>
      <c r="G4654" s="20" t="str">
        <f>IFERROR(__xludf.DUMMYFUNCTION("""COMPUTED_VALUE"""),"Uncle Sams Cider (04/04/2023)")</f>
        <v>Uncle Sams Cider (04/04/2023)</v>
      </c>
      <c r="H4654" s="19"/>
    </row>
    <row r="4655">
      <c r="A4655" s="9"/>
      <c r="B4655" s="15"/>
      <c r="C4655" s="9">
        <f>IFERROR(__xludf.DUMMYFUNCTION("""COMPUTED_VALUE"""),45095.9166095023)</f>
        <v>45095.91661</v>
      </c>
      <c r="D4655" s="15">
        <f>IFERROR(__xludf.DUMMYFUNCTION("""COMPUTED_VALUE"""),1.006)</f>
        <v>1.006</v>
      </c>
      <c r="E4655" s="16">
        <f>IFERROR(__xludf.DUMMYFUNCTION("""COMPUTED_VALUE"""),69.0)</f>
        <v>69</v>
      </c>
      <c r="F4655" s="19" t="str">
        <f>IFERROR(__xludf.DUMMYFUNCTION("""COMPUTED_VALUE"""),"BLACK")</f>
        <v>BLACK</v>
      </c>
      <c r="G4655" s="20" t="str">
        <f>IFERROR(__xludf.DUMMYFUNCTION("""COMPUTED_VALUE"""),"Uncle Sams Cider (04/04/2023)")</f>
        <v>Uncle Sams Cider (04/04/2023)</v>
      </c>
      <c r="H4655" s="19"/>
    </row>
    <row r="4656">
      <c r="A4656" s="9"/>
      <c r="B4656" s="15"/>
      <c r="C4656" s="9">
        <f>IFERROR(__xludf.DUMMYFUNCTION("""COMPUTED_VALUE"""),45095.9061895717)</f>
        <v>45095.90619</v>
      </c>
      <c r="D4656" s="15">
        <f>IFERROR(__xludf.DUMMYFUNCTION("""COMPUTED_VALUE"""),1.005)</f>
        <v>1.005</v>
      </c>
      <c r="E4656" s="16">
        <f>IFERROR(__xludf.DUMMYFUNCTION("""COMPUTED_VALUE"""),69.0)</f>
        <v>69</v>
      </c>
      <c r="F4656" s="19" t="str">
        <f>IFERROR(__xludf.DUMMYFUNCTION("""COMPUTED_VALUE"""),"BLACK")</f>
        <v>BLACK</v>
      </c>
      <c r="G4656" s="20" t="str">
        <f>IFERROR(__xludf.DUMMYFUNCTION("""COMPUTED_VALUE"""),"Uncle Sams Cider (04/04/2023)")</f>
        <v>Uncle Sams Cider (04/04/2023)</v>
      </c>
      <c r="H4656" s="19"/>
    </row>
    <row r="4657">
      <c r="A4657" s="9"/>
      <c r="B4657" s="15"/>
      <c r="C4657" s="9">
        <f>IFERROR(__xludf.DUMMYFUNCTION("""COMPUTED_VALUE"""),45095.8957685995)</f>
        <v>45095.89577</v>
      </c>
      <c r="D4657" s="15">
        <f>IFERROR(__xludf.DUMMYFUNCTION("""COMPUTED_VALUE"""),1.005)</f>
        <v>1.005</v>
      </c>
      <c r="E4657" s="16">
        <f>IFERROR(__xludf.DUMMYFUNCTION("""COMPUTED_VALUE"""),69.0)</f>
        <v>69</v>
      </c>
      <c r="F4657" s="19" t="str">
        <f>IFERROR(__xludf.DUMMYFUNCTION("""COMPUTED_VALUE"""),"BLACK")</f>
        <v>BLACK</v>
      </c>
      <c r="G4657" s="20" t="str">
        <f>IFERROR(__xludf.DUMMYFUNCTION("""COMPUTED_VALUE"""),"Uncle Sams Cider (04/04/2023)")</f>
        <v>Uncle Sams Cider (04/04/2023)</v>
      </c>
      <c r="H4657" s="19"/>
    </row>
    <row r="4658">
      <c r="A4658" s="9"/>
      <c r="B4658" s="15"/>
      <c r="C4658" s="9">
        <f>IFERROR(__xludf.DUMMYFUNCTION("""COMPUTED_VALUE"""),45095.8853467476)</f>
        <v>45095.88535</v>
      </c>
      <c r="D4658" s="15">
        <f>IFERROR(__xludf.DUMMYFUNCTION("""COMPUTED_VALUE"""),1.005)</f>
        <v>1.005</v>
      </c>
      <c r="E4658" s="16">
        <f>IFERROR(__xludf.DUMMYFUNCTION("""COMPUTED_VALUE"""),69.0)</f>
        <v>69</v>
      </c>
      <c r="F4658" s="19" t="str">
        <f>IFERROR(__xludf.DUMMYFUNCTION("""COMPUTED_VALUE"""),"BLACK")</f>
        <v>BLACK</v>
      </c>
      <c r="G4658" s="20" t="str">
        <f>IFERROR(__xludf.DUMMYFUNCTION("""COMPUTED_VALUE"""),"Uncle Sams Cider (04/04/2023)")</f>
        <v>Uncle Sams Cider (04/04/2023)</v>
      </c>
      <c r="H4658" s="19"/>
    </row>
    <row r="4659">
      <c r="A4659" s="9"/>
      <c r="B4659" s="15"/>
      <c r="C4659" s="9">
        <f>IFERROR(__xludf.DUMMYFUNCTION("""COMPUTED_VALUE"""),45095.8749256828)</f>
        <v>45095.87493</v>
      </c>
      <c r="D4659" s="15">
        <f>IFERROR(__xludf.DUMMYFUNCTION("""COMPUTED_VALUE"""),1.005)</f>
        <v>1.005</v>
      </c>
      <c r="E4659" s="16">
        <f>IFERROR(__xludf.DUMMYFUNCTION("""COMPUTED_VALUE"""),69.0)</f>
        <v>69</v>
      </c>
      <c r="F4659" s="19" t="str">
        <f>IFERROR(__xludf.DUMMYFUNCTION("""COMPUTED_VALUE"""),"BLACK")</f>
        <v>BLACK</v>
      </c>
      <c r="G4659" s="20" t="str">
        <f>IFERROR(__xludf.DUMMYFUNCTION("""COMPUTED_VALUE"""),"Uncle Sams Cider (04/04/2023)")</f>
        <v>Uncle Sams Cider (04/04/2023)</v>
      </c>
      <c r="H4659" s="19"/>
    </row>
    <row r="4660">
      <c r="A4660" s="9"/>
      <c r="B4660" s="15"/>
      <c r="C4660" s="9">
        <f>IFERROR(__xludf.DUMMYFUNCTION("""COMPUTED_VALUE"""),45095.8644928588)</f>
        <v>45095.86449</v>
      </c>
      <c r="D4660" s="15">
        <f>IFERROR(__xludf.DUMMYFUNCTION("""COMPUTED_VALUE"""),1.005)</f>
        <v>1.005</v>
      </c>
      <c r="E4660" s="16">
        <f>IFERROR(__xludf.DUMMYFUNCTION("""COMPUTED_VALUE"""),69.0)</f>
        <v>69</v>
      </c>
      <c r="F4660" s="19" t="str">
        <f>IFERROR(__xludf.DUMMYFUNCTION("""COMPUTED_VALUE"""),"BLACK")</f>
        <v>BLACK</v>
      </c>
      <c r="G4660" s="20" t="str">
        <f>IFERROR(__xludf.DUMMYFUNCTION("""COMPUTED_VALUE"""),"Uncle Sams Cider (04/04/2023)")</f>
        <v>Uncle Sams Cider (04/04/2023)</v>
      </c>
      <c r="H4660" s="19"/>
    </row>
    <row r="4661">
      <c r="A4661" s="9"/>
      <c r="B4661" s="15"/>
      <c r="C4661" s="9">
        <f>IFERROR(__xludf.DUMMYFUNCTION("""COMPUTED_VALUE"""),45095.854070405)</f>
        <v>45095.85407</v>
      </c>
      <c r="D4661" s="15">
        <f>IFERROR(__xludf.DUMMYFUNCTION("""COMPUTED_VALUE"""),1.005)</f>
        <v>1.005</v>
      </c>
      <c r="E4661" s="16">
        <f>IFERROR(__xludf.DUMMYFUNCTION("""COMPUTED_VALUE"""),69.0)</f>
        <v>69</v>
      </c>
      <c r="F4661" s="19" t="str">
        <f>IFERROR(__xludf.DUMMYFUNCTION("""COMPUTED_VALUE"""),"BLACK")</f>
        <v>BLACK</v>
      </c>
      <c r="G4661" s="20" t="str">
        <f>IFERROR(__xludf.DUMMYFUNCTION("""COMPUTED_VALUE"""),"Uncle Sams Cider (04/04/2023)")</f>
        <v>Uncle Sams Cider (04/04/2023)</v>
      </c>
      <c r="H4661" s="19"/>
    </row>
    <row r="4662">
      <c r="A4662" s="9"/>
      <c r="B4662" s="15"/>
      <c r="C4662" s="9">
        <f>IFERROR(__xludf.DUMMYFUNCTION("""COMPUTED_VALUE"""),45095.8436501157)</f>
        <v>45095.84365</v>
      </c>
      <c r="D4662" s="15">
        <f>IFERROR(__xludf.DUMMYFUNCTION("""COMPUTED_VALUE"""),1.006)</f>
        <v>1.006</v>
      </c>
      <c r="E4662" s="16">
        <f>IFERROR(__xludf.DUMMYFUNCTION("""COMPUTED_VALUE"""),69.0)</f>
        <v>69</v>
      </c>
      <c r="F4662" s="19" t="str">
        <f>IFERROR(__xludf.DUMMYFUNCTION("""COMPUTED_VALUE"""),"BLACK")</f>
        <v>BLACK</v>
      </c>
      <c r="G4662" s="20" t="str">
        <f>IFERROR(__xludf.DUMMYFUNCTION("""COMPUTED_VALUE"""),"Uncle Sams Cider (04/04/2023)")</f>
        <v>Uncle Sams Cider (04/04/2023)</v>
      </c>
      <c r="H4662" s="19"/>
    </row>
    <row r="4663">
      <c r="A4663" s="9"/>
      <c r="B4663" s="15"/>
      <c r="C4663" s="9">
        <f>IFERROR(__xludf.DUMMYFUNCTION("""COMPUTED_VALUE"""),45095.8332291319)</f>
        <v>45095.83323</v>
      </c>
      <c r="D4663" s="15">
        <f>IFERROR(__xludf.DUMMYFUNCTION("""COMPUTED_VALUE"""),1.006)</f>
        <v>1.006</v>
      </c>
      <c r="E4663" s="16">
        <f>IFERROR(__xludf.DUMMYFUNCTION("""COMPUTED_VALUE"""),69.0)</f>
        <v>69</v>
      </c>
      <c r="F4663" s="19" t="str">
        <f>IFERROR(__xludf.DUMMYFUNCTION("""COMPUTED_VALUE"""),"BLACK")</f>
        <v>BLACK</v>
      </c>
      <c r="G4663" s="20" t="str">
        <f>IFERROR(__xludf.DUMMYFUNCTION("""COMPUTED_VALUE"""),"Uncle Sams Cider (04/04/2023)")</f>
        <v>Uncle Sams Cider (04/04/2023)</v>
      </c>
      <c r="H4663" s="19"/>
    </row>
    <row r="4664">
      <c r="A4664" s="9"/>
      <c r="B4664" s="15"/>
      <c r="C4664" s="9">
        <f>IFERROR(__xludf.DUMMYFUNCTION("""COMPUTED_VALUE"""),45095.8227975578)</f>
        <v>45095.8228</v>
      </c>
      <c r="D4664" s="15">
        <f>IFERROR(__xludf.DUMMYFUNCTION("""COMPUTED_VALUE"""),1.005)</f>
        <v>1.005</v>
      </c>
      <c r="E4664" s="16">
        <f>IFERROR(__xludf.DUMMYFUNCTION("""COMPUTED_VALUE"""),69.0)</f>
        <v>69</v>
      </c>
      <c r="F4664" s="19" t="str">
        <f>IFERROR(__xludf.DUMMYFUNCTION("""COMPUTED_VALUE"""),"BLACK")</f>
        <v>BLACK</v>
      </c>
      <c r="G4664" s="20" t="str">
        <f>IFERROR(__xludf.DUMMYFUNCTION("""COMPUTED_VALUE"""),"Uncle Sams Cider (04/04/2023)")</f>
        <v>Uncle Sams Cider (04/04/2023)</v>
      </c>
      <c r="H4664" s="19"/>
    </row>
    <row r="4665">
      <c r="A4665" s="9"/>
      <c r="B4665" s="15"/>
      <c r="C4665" s="9">
        <f>IFERROR(__xludf.DUMMYFUNCTION("""COMPUTED_VALUE"""),45095.8123745023)</f>
        <v>45095.81237</v>
      </c>
      <c r="D4665" s="15">
        <f>IFERROR(__xludf.DUMMYFUNCTION("""COMPUTED_VALUE"""),1.005)</f>
        <v>1.005</v>
      </c>
      <c r="E4665" s="16">
        <f>IFERROR(__xludf.DUMMYFUNCTION("""COMPUTED_VALUE"""),69.0)</f>
        <v>69</v>
      </c>
      <c r="F4665" s="19" t="str">
        <f>IFERROR(__xludf.DUMMYFUNCTION("""COMPUTED_VALUE"""),"BLACK")</f>
        <v>BLACK</v>
      </c>
      <c r="G4665" s="20" t="str">
        <f>IFERROR(__xludf.DUMMYFUNCTION("""COMPUTED_VALUE"""),"Uncle Sams Cider (04/04/2023)")</f>
        <v>Uncle Sams Cider (04/04/2023)</v>
      </c>
      <c r="H4665" s="19"/>
    </row>
    <row r="4666">
      <c r="A4666" s="9"/>
      <c r="B4666" s="15"/>
      <c r="C4666" s="9">
        <f>IFERROR(__xludf.DUMMYFUNCTION("""COMPUTED_VALUE"""),45095.8019535763)</f>
        <v>45095.80195</v>
      </c>
      <c r="D4666" s="15">
        <f>IFERROR(__xludf.DUMMYFUNCTION("""COMPUTED_VALUE"""),1.006)</f>
        <v>1.006</v>
      </c>
      <c r="E4666" s="16">
        <f>IFERROR(__xludf.DUMMYFUNCTION("""COMPUTED_VALUE"""),69.0)</f>
        <v>69</v>
      </c>
      <c r="F4666" s="19" t="str">
        <f>IFERROR(__xludf.DUMMYFUNCTION("""COMPUTED_VALUE"""),"BLACK")</f>
        <v>BLACK</v>
      </c>
      <c r="G4666" s="20" t="str">
        <f>IFERROR(__xludf.DUMMYFUNCTION("""COMPUTED_VALUE"""),"Uncle Sams Cider (04/04/2023)")</f>
        <v>Uncle Sams Cider (04/04/2023)</v>
      </c>
      <c r="H4666" s="19"/>
    </row>
    <row r="4667">
      <c r="A4667" s="9"/>
      <c r="B4667" s="15"/>
      <c r="C4667" s="9">
        <f>IFERROR(__xludf.DUMMYFUNCTION("""COMPUTED_VALUE"""),45095.7915204976)</f>
        <v>45095.79152</v>
      </c>
      <c r="D4667" s="15">
        <f>IFERROR(__xludf.DUMMYFUNCTION("""COMPUTED_VALUE"""),1.005)</f>
        <v>1.005</v>
      </c>
      <c r="E4667" s="16">
        <f>IFERROR(__xludf.DUMMYFUNCTION("""COMPUTED_VALUE"""),69.0)</f>
        <v>69</v>
      </c>
      <c r="F4667" s="19" t="str">
        <f>IFERROR(__xludf.DUMMYFUNCTION("""COMPUTED_VALUE"""),"BLACK")</f>
        <v>BLACK</v>
      </c>
      <c r="G4667" s="20" t="str">
        <f>IFERROR(__xludf.DUMMYFUNCTION("""COMPUTED_VALUE"""),"Uncle Sams Cider (04/04/2023)")</f>
        <v>Uncle Sams Cider (04/04/2023)</v>
      </c>
      <c r="H4667" s="19"/>
    </row>
    <row r="4668">
      <c r="A4668" s="9"/>
      <c r="B4668" s="15"/>
      <c r="C4668" s="9">
        <f>IFERROR(__xludf.DUMMYFUNCTION("""COMPUTED_VALUE"""),45095.7811014467)</f>
        <v>45095.7811</v>
      </c>
      <c r="D4668" s="15">
        <f>IFERROR(__xludf.DUMMYFUNCTION("""COMPUTED_VALUE"""),1.005)</f>
        <v>1.005</v>
      </c>
      <c r="E4668" s="16">
        <f>IFERROR(__xludf.DUMMYFUNCTION("""COMPUTED_VALUE"""),69.0)</f>
        <v>69</v>
      </c>
      <c r="F4668" s="19" t="str">
        <f>IFERROR(__xludf.DUMMYFUNCTION("""COMPUTED_VALUE"""),"BLACK")</f>
        <v>BLACK</v>
      </c>
      <c r="G4668" s="20" t="str">
        <f>IFERROR(__xludf.DUMMYFUNCTION("""COMPUTED_VALUE"""),"Uncle Sams Cider (04/04/2023)")</f>
        <v>Uncle Sams Cider (04/04/2023)</v>
      </c>
      <c r="H4668" s="19"/>
    </row>
    <row r="4669">
      <c r="A4669" s="9"/>
      <c r="B4669" s="15"/>
      <c r="C4669" s="9">
        <f>IFERROR(__xludf.DUMMYFUNCTION("""COMPUTED_VALUE"""),45095.7706803125)</f>
        <v>45095.77068</v>
      </c>
      <c r="D4669" s="15">
        <f>IFERROR(__xludf.DUMMYFUNCTION("""COMPUTED_VALUE"""),1.005)</f>
        <v>1.005</v>
      </c>
      <c r="E4669" s="16">
        <f>IFERROR(__xludf.DUMMYFUNCTION("""COMPUTED_VALUE"""),69.0)</f>
        <v>69</v>
      </c>
      <c r="F4669" s="19" t="str">
        <f>IFERROR(__xludf.DUMMYFUNCTION("""COMPUTED_VALUE"""),"BLACK")</f>
        <v>BLACK</v>
      </c>
      <c r="G4669" s="20" t="str">
        <f>IFERROR(__xludf.DUMMYFUNCTION("""COMPUTED_VALUE"""),"Uncle Sams Cider (04/04/2023)")</f>
        <v>Uncle Sams Cider (04/04/2023)</v>
      </c>
      <c r="H4669" s="19"/>
    </row>
    <row r="4670">
      <c r="A4670" s="9"/>
      <c r="B4670" s="15"/>
      <c r="C4670" s="9">
        <f>IFERROR(__xludf.DUMMYFUNCTION("""COMPUTED_VALUE"""),45095.7602585648)</f>
        <v>45095.76026</v>
      </c>
      <c r="D4670" s="15">
        <f>IFERROR(__xludf.DUMMYFUNCTION("""COMPUTED_VALUE"""),1.005)</f>
        <v>1.005</v>
      </c>
      <c r="E4670" s="16">
        <f>IFERROR(__xludf.DUMMYFUNCTION("""COMPUTED_VALUE"""),69.0)</f>
        <v>69</v>
      </c>
      <c r="F4670" s="19" t="str">
        <f>IFERROR(__xludf.DUMMYFUNCTION("""COMPUTED_VALUE"""),"BLACK")</f>
        <v>BLACK</v>
      </c>
      <c r="G4670" s="20" t="str">
        <f>IFERROR(__xludf.DUMMYFUNCTION("""COMPUTED_VALUE"""),"Uncle Sams Cider (04/04/2023)")</f>
        <v>Uncle Sams Cider (04/04/2023)</v>
      </c>
      <c r="H4670" s="19"/>
    </row>
    <row r="4671">
      <c r="A4671" s="9"/>
      <c r="B4671" s="15"/>
      <c r="C4671" s="9">
        <f>IFERROR(__xludf.DUMMYFUNCTION("""COMPUTED_VALUE"""),45095.7498372916)</f>
        <v>45095.74984</v>
      </c>
      <c r="D4671" s="15">
        <f>IFERROR(__xludf.DUMMYFUNCTION("""COMPUTED_VALUE"""),1.006)</f>
        <v>1.006</v>
      </c>
      <c r="E4671" s="16">
        <f>IFERROR(__xludf.DUMMYFUNCTION("""COMPUTED_VALUE"""),69.0)</f>
        <v>69</v>
      </c>
      <c r="F4671" s="19" t="str">
        <f>IFERROR(__xludf.DUMMYFUNCTION("""COMPUTED_VALUE"""),"BLACK")</f>
        <v>BLACK</v>
      </c>
      <c r="G4671" s="20" t="str">
        <f>IFERROR(__xludf.DUMMYFUNCTION("""COMPUTED_VALUE"""),"Uncle Sams Cider (04/04/2023)")</f>
        <v>Uncle Sams Cider (04/04/2023)</v>
      </c>
      <c r="H4671" s="19"/>
    </row>
    <row r="4672">
      <c r="A4672" s="9"/>
      <c r="B4672" s="15"/>
      <c r="C4672" s="9">
        <f>IFERROR(__xludf.DUMMYFUNCTION("""COMPUTED_VALUE"""),45095.7393931134)</f>
        <v>45095.73939</v>
      </c>
      <c r="D4672" s="15">
        <f>IFERROR(__xludf.DUMMYFUNCTION("""COMPUTED_VALUE"""),1.005)</f>
        <v>1.005</v>
      </c>
      <c r="E4672" s="16">
        <f>IFERROR(__xludf.DUMMYFUNCTION("""COMPUTED_VALUE"""),69.0)</f>
        <v>69</v>
      </c>
      <c r="F4672" s="19" t="str">
        <f>IFERROR(__xludf.DUMMYFUNCTION("""COMPUTED_VALUE"""),"BLACK")</f>
        <v>BLACK</v>
      </c>
      <c r="G4672" s="20" t="str">
        <f>IFERROR(__xludf.DUMMYFUNCTION("""COMPUTED_VALUE"""),"Uncle Sams Cider (04/04/2023)")</f>
        <v>Uncle Sams Cider (04/04/2023)</v>
      </c>
      <c r="H4672" s="19"/>
    </row>
    <row r="4673">
      <c r="A4673" s="9"/>
      <c r="B4673" s="15"/>
      <c r="C4673" s="9">
        <f>IFERROR(__xludf.DUMMYFUNCTION("""COMPUTED_VALUE"""),45095.7289501967)</f>
        <v>45095.72895</v>
      </c>
      <c r="D4673" s="15">
        <f>IFERROR(__xludf.DUMMYFUNCTION("""COMPUTED_VALUE"""),1.006)</f>
        <v>1.006</v>
      </c>
      <c r="E4673" s="16">
        <f>IFERROR(__xludf.DUMMYFUNCTION("""COMPUTED_VALUE"""),69.0)</f>
        <v>69</v>
      </c>
      <c r="F4673" s="19" t="str">
        <f>IFERROR(__xludf.DUMMYFUNCTION("""COMPUTED_VALUE"""),"BLACK")</f>
        <v>BLACK</v>
      </c>
      <c r="G4673" s="20" t="str">
        <f>IFERROR(__xludf.DUMMYFUNCTION("""COMPUTED_VALUE"""),"Uncle Sams Cider (04/04/2023)")</f>
        <v>Uncle Sams Cider (04/04/2023)</v>
      </c>
      <c r="H4673" s="19"/>
    </row>
    <row r="4674">
      <c r="A4674" s="9"/>
      <c r="B4674" s="15"/>
      <c r="C4674" s="9">
        <f>IFERROR(__xludf.DUMMYFUNCTION("""COMPUTED_VALUE"""),45095.7185177662)</f>
        <v>45095.71852</v>
      </c>
      <c r="D4674" s="15">
        <f>IFERROR(__xludf.DUMMYFUNCTION("""COMPUTED_VALUE"""),1.005)</f>
        <v>1.005</v>
      </c>
      <c r="E4674" s="16">
        <f>IFERROR(__xludf.DUMMYFUNCTION("""COMPUTED_VALUE"""),69.0)</f>
        <v>69</v>
      </c>
      <c r="F4674" s="19" t="str">
        <f>IFERROR(__xludf.DUMMYFUNCTION("""COMPUTED_VALUE"""),"BLACK")</f>
        <v>BLACK</v>
      </c>
      <c r="G4674" s="20" t="str">
        <f>IFERROR(__xludf.DUMMYFUNCTION("""COMPUTED_VALUE"""),"Uncle Sams Cider (04/04/2023)")</f>
        <v>Uncle Sams Cider (04/04/2023)</v>
      </c>
      <c r="H4674" s="19"/>
    </row>
    <row r="4675">
      <c r="A4675" s="9"/>
      <c r="B4675" s="15"/>
      <c r="C4675" s="9">
        <f>IFERROR(__xludf.DUMMYFUNCTION("""COMPUTED_VALUE"""),45095.7080956712)</f>
        <v>45095.7081</v>
      </c>
      <c r="D4675" s="15">
        <f>IFERROR(__xludf.DUMMYFUNCTION("""COMPUTED_VALUE"""),1.006)</f>
        <v>1.006</v>
      </c>
      <c r="E4675" s="16">
        <f>IFERROR(__xludf.DUMMYFUNCTION("""COMPUTED_VALUE"""),69.0)</f>
        <v>69</v>
      </c>
      <c r="F4675" s="19" t="str">
        <f>IFERROR(__xludf.DUMMYFUNCTION("""COMPUTED_VALUE"""),"BLACK")</f>
        <v>BLACK</v>
      </c>
      <c r="G4675" s="20" t="str">
        <f>IFERROR(__xludf.DUMMYFUNCTION("""COMPUTED_VALUE"""),"Uncle Sams Cider (04/04/2023)")</f>
        <v>Uncle Sams Cider (04/04/2023)</v>
      </c>
      <c r="H4675" s="19"/>
    </row>
    <row r="4676">
      <c r="A4676" s="9"/>
      <c r="B4676" s="15"/>
      <c r="C4676" s="9">
        <f>IFERROR(__xludf.DUMMYFUNCTION("""COMPUTED_VALUE"""),45095.6976749189)</f>
        <v>45095.69767</v>
      </c>
      <c r="D4676" s="15">
        <f>IFERROR(__xludf.DUMMYFUNCTION("""COMPUTED_VALUE"""),1.005)</f>
        <v>1.005</v>
      </c>
      <c r="E4676" s="16">
        <f>IFERROR(__xludf.DUMMYFUNCTION("""COMPUTED_VALUE"""),69.0)</f>
        <v>69</v>
      </c>
      <c r="F4676" s="19" t="str">
        <f>IFERROR(__xludf.DUMMYFUNCTION("""COMPUTED_VALUE"""),"BLACK")</f>
        <v>BLACK</v>
      </c>
      <c r="G4676" s="20" t="str">
        <f>IFERROR(__xludf.DUMMYFUNCTION("""COMPUTED_VALUE"""),"Uncle Sams Cider (04/04/2023)")</f>
        <v>Uncle Sams Cider (04/04/2023)</v>
      </c>
      <c r="H4676" s="19"/>
    </row>
    <row r="4677">
      <c r="A4677" s="9"/>
      <c r="B4677" s="15"/>
      <c r="C4677" s="9">
        <f>IFERROR(__xludf.DUMMYFUNCTION("""COMPUTED_VALUE"""),45095.6872540972)</f>
        <v>45095.68725</v>
      </c>
      <c r="D4677" s="15">
        <f>IFERROR(__xludf.DUMMYFUNCTION("""COMPUTED_VALUE"""),1.006)</f>
        <v>1.006</v>
      </c>
      <c r="E4677" s="16">
        <f>IFERROR(__xludf.DUMMYFUNCTION("""COMPUTED_VALUE"""),69.0)</f>
        <v>69</v>
      </c>
      <c r="F4677" s="19" t="str">
        <f>IFERROR(__xludf.DUMMYFUNCTION("""COMPUTED_VALUE"""),"BLACK")</f>
        <v>BLACK</v>
      </c>
      <c r="G4677" s="20" t="str">
        <f>IFERROR(__xludf.DUMMYFUNCTION("""COMPUTED_VALUE"""),"Uncle Sams Cider (04/04/2023)")</f>
        <v>Uncle Sams Cider (04/04/2023)</v>
      </c>
      <c r="H4677" s="19"/>
    </row>
    <row r="4678">
      <c r="A4678" s="9"/>
      <c r="B4678" s="15"/>
      <c r="C4678" s="9">
        <f>IFERROR(__xludf.DUMMYFUNCTION("""COMPUTED_VALUE"""),45095.6768344328)</f>
        <v>45095.67683</v>
      </c>
      <c r="D4678" s="15">
        <f>IFERROR(__xludf.DUMMYFUNCTION("""COMPUTED_VALUE"""),1.006)</f>
        <v>1.006</v>
      </c>
      <c r="E4678" s="16">
        <f>IFERROR(__xludf.DUMMYFUNCTION("""COMPUTED_VALUE"""),69.0)</f>
        <v>69</v>
      </c>
      <c r="F4678" s="19" t="str">
        <f>IFERROR(__xludf.DUMMYFUNCTION("""COMPUTED_VALUE"""),"BLACK")</f>
        <v>BLACK</v>
      </c>
      <c r="G4678" s="20" t="str">
        <f>IFERROR(__xludf.DUMMYFUNCTION("""COMPUTED_VALUE"""),"Uncle Sams Cider (04/04/2023)")</f>
        <v>Uncle Sams Cider (04/04/2023)</v>
      </c>
      <c r="H4678" s="19"/>
    </row>
    <row r="4679">
      <c r="A4679" s="9"/>
      <c r="B4679" s="15"/>
      <c r="C4679" s="9">
        <f>IFERROR(__xludf.DUMMYFUNCTION("""COMPUTED_VALUE"""),45095.6664154166)</f>
        <v>45095.66642</v>
      </c>
      <c r="D4679" s="15">
        <f>IFERROR(__xludf.DUMMYFUNCTION("""COMPUTED_VALUE"""),1.005)</f>
        <v>1.005</v>
      </c>
      <c r="E4679" s="16">
        <f>IFERROR(__xludf.DUMMYFUNCTION("""COMPUTED_VALUE"""),69.0)</f>
        <v>69</v>
      </c>
      <c r="F4679" s="19" t="str">
        <f>IFERROR(__xludf.DUMMYFUNCTION("""COMPUTED_VALUE"""),"BLACK")</f>
        <v>BLACK</v>
      </c>
      <c r="G4679" s="20" t="str">
        <f>IFERROR(__xludf.DUMMYFUNCTION("""COMPUTED_VALUE"""),"Uncle Sams Cider (04/04/2023)")</f>
        <v>Uncle Sams Cider (04/04/2023)</v>
      </c>
      <c r="H4679" s="19"/>
    </row>
    <row r="4680">
      <c r="A4680" s="9"/>
      <c r="B4680" s="15"/>
      <c r="C4680" s="9">
        <f>IFERROR(__xludf.DUMMYFUNCTION("""COMPUTED_VALUE"""),45095.6559962152)</f>
        <v>45095.656</v>
      </c>
      <c r="D4680" s="15">
        <f>IFERROR(__xludf.DUMMYFUNCTION("""COMPUTED_VALUE"""),1.005)</f>
        <v>1.005</v>
      </c>
      <c r="E4680" s="16">
        <f>IFERROR(__xludf.DUMMYFUNCTION("""COMPUTED_VALUE"""),69.0)</f>
        <v>69</v>
      </c>
      <c r="F4680" s="19" t="str">
        <f>IFERROR(__xludf.DUMMYFUNCTION("""COMPUTED_VALUE"""),"BLACK")</f>
        <v>BLACK</v>
      </c>
      <c r="G4680" s="20" t="str">
        <f>IFERROR(__xludf.DUMMYFUNCTION("""COMPUTED_VALUE"""),"Uncle Sams Cider (04/04/2023)")</f>
        <v>Uncle Sams Cider (04/04/2023)</v>
      </c>
      <c r="H4680" s="19"/>
    </row>
    <row r="4681">
      <c r="A4681" s="9"/>
      <c r="B4681" s="15"/>
      <c r="C4681" s="9">
        <f>IFERROR(__xludf.DUMMYFUNCTION("""COMPUTED_VALUE"""),45095.6455761458)</f>
        <v>45095.64558</v>
      </c>
      <c r="D4681" s="15">
        <f>IFERROR(__xludf.DUMMYFUNCTION("""COMPUTED_VALUE"""),1.005)</f>
        <v>1.005</v>
      </c>
      <c r="E4681" s="16">
        <f>IFERROR(__xludf.DUMMYFUNCTION("""COMPUTED_VALUE"""),69.0)</f>
        <v>69</v>
      </c>
      <c r="F4681" s="19" t="str">
        <f>IFERROR(__xludf.DUMMYFUNCTION("""COMPUTED_VALUE"""),"BLACK")</f>
        <v>BLACK</v>
      </c>
      <c r="G4681" s="20" t="str">
        <f>IFERROR(__xludf.DUMMYFUNCTION("""COMPUTED_VALUE"""),"Uncle Sams Cider (04/04/2023)")</f>
        <v>Uncle Sams Cider (04/04/2023)</v>
      </c>
      <c r="H4681" s="19"/>
    </row>
    <row r="4682">
      <c r="A4682" s="9"/>
      <c r="B4682" s="15"/>
      <c r="C4682" s="9">
        <f>IFERROR(__xludf.DUMMYFUNCTION("""COMPUTED_VALUE"""),45095.6351553935)</f>
        <v>45095.63516</v>
      </c>
      <c r="D4682" s="15">
        <f>IFERROR(__xludf.DUMMYFUNCTION("""COMPUTED_VALUE"""),1.005)</f>
        <v>1.005</v>
      </c>
      <c r="E4682" s="16">
        <f>IFERROR(__xludf.DUMMYFUNCTION("""COMPUTED_VALUE"""),69.0)</f>
        <v>69</v>
      </c>
      <c r="F4682" s="19" t="str">
        <f>IFERROR(__xludf.DUMMYFUNCTION("""COMPUTED_VALUE"""),"BLACK")</f>
        <v>BLACK</v>
      </c>
      <c r="G4682" s="20" t="str">
        <f>IFERROR(__xludf.DUMMYFUNCTION("""COMPUTED_VALUE"""),"Uncle Sams Cider (04/04/2023)")</f>
        <v>Uncle Sams Cider (04/04/2023)</v>
      </c>
      <c r="H4682" s="19"/>
    </row>
    <row r="4683">
      <c r="A4683" s="9"/>
      <c r="B4683" s="15"/>
      <c r="C4683" s="9">
        <f>IFERROR(__xludf.DUMMYFUNCTION("""COMPUTED_VALUE"""),45095.6247346412)</f>
        <v>45095.62473</v>
      </c>
      <c r="D4683" s="15">
        <f>IFERROR(__xludf.DUMMYFUNCTION("""COMPUTED_VALUE"""),1.005)</f>
        <v>1.005</v>
      </c>
      <c r="E4683" s="16">
        <f>IFERROR(__xludf.DUMMYFUNCTION("""COMPUTED_VALUE"""),69.0)</f>
        <v>69</v>
      </c>
      <c r="F4683" s="19" t="str">
        <f>IFERROR(__xludf.DUMMYFUNCTION("""COMPUTED_VALUE"""),"BLACK")</f>
        <v>BLACK</v>
      </c>
      <c r="G4683" s="20" t="str">
        <f>IFERROR(__xludf.DUMMYFUNCTION("""COMPUTED_VALUE"""),"Uncle Sams Cider (04/04/2023)")</f>
        <v>Uncle Sams Cider (04/04/2023)</v>
      </c>
      <c r="H4683" s="19"/>
    </row>
    <row r="4684">
      <c r="A4684" s="9"/>
      <c r="B4684" s="15"/>
      <c r="C4684" s="9">
        <f>IFERROR(__xludf.DUMMYFUNCTION("""COMPUTED_VALUE"""),45095.6143124768)</f>
        <v>45095.61431</v>
      </c>
      <c r="D4684" s="15">
        <f>IFERROR(__xludf.DUMMYFUNCTION("""COMPUTED_VALUE"""),1.005)</f>
        <v>1.005</v>
      </c>
      <c r="E4684" s="16">
        <f>IFERROR(__xludf.DUMMYFUNCTION("""COMPUTED_VALUE"""),69.0)</f>
        <v>69</v>
      </c>
      <c r="F4684" s="19" t="str">
        <f>IFERROR(__xludf.DUMMYFUNCTION("""COMPUTED_VALUE"""),"BLACK")</f>
        <v>BLACK</v>
      </c>
      <c r="G4684" s="20" t="str">
        <f>IFERROR(__xludf.DUMMYFUNCTION("""COMPUTED_VALUE"""),"Uncle Sams Cider (04/04/2023)")</f>
        <v>Uncle Sams Cider (04/04/2023)</v>
      </c>
      <c r="H4684" s="19"/>
    </row>
    <row r="4685">
      <c r="A4685" s="9"/>
      <c r="B4685" s="15"/>
      <c r="C4685" s="9">
        <f>IFERROR(__xludf.DUMMYFUNCTION("""COMPUTED_VALUE"""),45095.6038918634)</f>
        <v>45095.60389</v>
      </c>
      <c r="D4685" s="15">
        <f>IFERROR(__xludf.DUMMYFUNCTION("""COMPUTED_VALUE"""),1.005)</f>
        <v>1.005</v>
      </c>
      <c r="E4685" s="16">
        <f>IFERROR(__xludf.DUMMYFUNCTION("""COMPUTED_VALUE"""),69.0)</f>
        <v>69</v>
      </c>
      <c r="F4685" s="19" t="str">
        <f>IFERROR(__xludf.DUMMYFUNCTION("""COMPUTED_VALUE"""),"BLACK")</f>
        <v>BLACK</v>
      </c>
      <c r="G4685" s="20" t="str">
        <f>IFERROR(__xludf.DUMMYFUNCTION("""COMPUTED_VALUE"""),"Uncle Sams Cider (04/04/2023)")</f>
        <v>Uncle Sams Cider (04/04/2023)</v>
      </c>
      <c r="H4685" s="19"/>
    </row>
    <row r="4686">
      <c r="A4686" s="9"/>
      <c r="B4686" s="15"/>
      <c r="C4686" s="9">
        <f>IFERROR(__xludf.DUMMYFUNCTION("""COMPUTED_VALUE"""),45095.593469456)</f>
        <v>45095.59347</v>
      </c>
      <c r="D4686" s="15">
        <f>IFERROR(__xludf.DUMMYFUNCTION("""COMPUTED_VALUE"""),1.005)</f>
        <v>1.005</v>
      </c>
      <c r="E4686" s="16">
        <f>IFERROR(__xludf.DUMMYFUNCTION("""COMPUTED_VALUE"""),69.0)</f>
        <v>69</v>
      </c>
      <c r="F4686" s="19" t="str">
        <f>IFERROR(__xludf.DUMMYFUNCTION("""COMPUTED_VALUE"""),"BLACK")</f>
        <v>BLACK</v>
      </c>
      <c r="G4686" s="20" t="str">
        <f>IFERROR(__xludf.DUMMYFUNCTION("""COMPUTED_VALUE"""),"Uncle Sams Cider (04/04/2023)")</f>
        <v>Uncle Sams Cider (04/04/2023)</v>
      </c>
      <c r="H4686" s="19"/>
    </row>
    <row r="4687">
      <c r="A4687" s="9"/>
      <c r="B4687" s="15"/>
      <c r="C4687" s="9">
        <f>IFERROR(__xludf.DUMMYFUNCTION("""COMPUTED_VALUE"""),45095.5830480208)</f>
        <v>45095.58305</v>
      </c>
      <c r="D4687" s="15">
        <f>IFERROR(__xludf.DUMMYFUNCTION("""COMPUTED_VALUE"""),1.006)</f>
        <v>1.006</v>
      </c>
      <c r="E4687" s="16">
        <f>IFERROR(__xludf.DUMMYFUNCTION("""COMPUTED_VALUE"""),69.0)</f>
        <v>69</v>
      </c>
      <c r="F4687" s="19" t="str">
        <f>IFERROR(__xludf.DUMMYFUNCTION("""COMPUTED_VALUE"""),"BLACK")</f>
        <v>BLACK</v>
      </c>
      <c r="G4687" s="20" t="str">
        <f>IFERROR(__xludf.DUMMYFUNCTION("""COMPUTED_VALUE"""),"Uncle Sams Cider (04/04/2023)")</f>
        <v>Uncle Sams Cider (04/04/2023)</v>
      </c>
      <c r="H4687" s="19"/>
    </row>
    <row r="4688">
      <c r="A4688" s="9"/>
      <c r="B4688" s="15"/>
      <c r="C4688" s="9">
        <f>IFERROR(__xludf.DUMMYFUNCTION("""COMPUTED_VALUE"""),45095.5726250231)</f>
        <v>45095.57263</v>
      </c>
      <c r="D4688" s="15">
        <f>IFERROR(__xludf.DUMMYFUNCTION("""COMPUTED_VALUE"""),1.005)</f>
        <v>1.005</v>
      </c>
      <c r="E4688" s="16">
        <f>IFERROR(__xludf.DUMMYFUNCTION("""COMPUTED_VALUE"""),69.0)</f>
        <v>69</v>
      </c>
      <c r="F4688" s="19" t="str">
        <f>IFERROR(__xludf.DUMMYFUNCTION("""COMPUTED_VALUE"""),"BLACK")</f>
        <v>BLACK</v>
      </c>
      <c r="G4688" s="20" t="str">
        <f>IFERROR(__xludf.DUMMYFUNCTION("""COMPUTED_VALUE"""),"Uncle Sams Cider (04/04/2023)")</f>
        <v>Uncle Sams Cider (04/04/2023)</v>
      </c>
      <c r="H4688" s="19"/>
    </row>
    <row r="4689">
      <c r="A4689" s="9"/>
      <c r="B4689" s="15"/>
      <c r="C4689" s="9">
        <f>IFERROR(__xludf.DUMMYFUNCTION("""COMPUTED_VALUE"""),45095.5622041782)</f>
        <v>45095.5622</v>
      </c>
      <c r="D4689" s="15">
        <f>IFERROR(__xludf.DUMMYFUNCTION("""COMPUTED_VALUE"""),1.005)</f>
        <v>1.005</v>
      </c>
      <c r="E4689" s="16">
        <f>IFERROR(__xludf.DUMMYFUNCTION("""COMPUTED_VALUE"""),69.0)</f>
        <v>69</v>
      </c>
      <c r="F4689" s="19" t="str">
        <f>IFERROR(__xludf.DUMMYFUNCTION("""COMPUTED_VALUE"""),"BLACK")</f>
        <v>BLACK</v>
      </c>
      <c r="G4689" s="20" t="str">
        <f>IFERROR(__xludf.DUMMYFUNCTION("""COMPUTED_VALUE"""),"Uncle Sams Cider (04/04/2023)")</f>
        <v>Uncle Sams Cider (04/04/2023)</v>
      </c>
      <c r="H4689" s="19"/>
    </row>
    <row r="4690">
      <c r="A4690" s="9"/>
      <c r="B4690" s="15"/>
      <c r="C4690" s="9">
        <f>IFERROR(__xludf.DUMMYFUNCTION("""COMPUTED_VALUE"""),45095.5517822337)</f>
        <v>45095.55178</v>
      </c>
      <c r="D4690" s="15">
        <f>IFERROR(__xludf.DUMMYFUNCTION("""COMPUTED_VALUE"""),1.006)</f>
        <v>1.006</v>
      </c>
      <c r="E4690" s="16">
        <f>IFERROR(__xludf.DUMMYFUNCTION("""COMPUTED_VALUE"""),69.0)</f>
        <v>69</v>
      </c>
      <c r="F4690" s="19" t="str">
        <f>IFERROR(__xludf.DUMMYFUNCTION("""COMPUTED_VALUE"""),"BLACK")</f>
        <v>BLACK</v>
      </c>
      <c r="G4690" s="20" t="str">
        <f>IFERROR(__xludf.DUMMYFUNCTION("""COMPUTED_VALUE"""),"Uncle Sams Cider (04/04/2023)")</f>
        <v>Uncle Sams Cider (04/04/2023)</v>
      </c>
      <c r="H4690" s="19"/>
    </row>
    <row r="4691">
      <c r="A4691" s="9"/>
      <c r="B4691" s="15"/>
      <c r="C4691" s="9">
        <f>IFERROR(__xludf.DUMMYFUNCTION("""COMPUTED_VALUE"""),45095.5413626273)</f>
        <v>45095.54136</v>
      </c>
      <c r="D4691" s="15">
        <f>IFERROR(__xludf.DUMMYFUNCTION("""COMPUTED_VALUE"""),1.006)</f>
        <v>1.006</v>
      </c>
      <c r="E4691" s="16">
        <f>IFERROR(__xludf.DUMMYFUNCTION("""COMPUTED_VALUE"""),69.0)</f>
        <v>69</v>
      </c>
      <c r="F4691" s="19" t="str">
        <f>IFERROR(__xludf.DUMMYFUNCTION("""COMPUTED_VALUE"""),"BLACK")</f>
        <v>BLACK</v>
      </c>
      <c r="G4691" s="20" t="str">
        <f>IFERROR(__xludf.DUMMYFUNCTION("""COMPUTED_VALUE"""),"Uncle Sams Cider (04/04/2023)")</f>
        <v>Uncle Sams Cider (04/04/2023)</v>
      </c>
      <c r="H4691" s="19"/>
    </row>
    <row r="4692">
      <c r="A4692" s="9"/>
      <c r="B4692" s="15"/>
      <c r="C4692" s="9">
        <f>IFERROR(__xludf.DUMMYFUNCTION("""COMPUTED_VALUE"""),45095.5309406134)</f>
        <v>45095.53094</v>
      </c>
      <c r="D4692" s="15">
        <f>IFERROR(__xludf.DUMMYFUNCTION("""COMPUTED_VALUE"""),1.005)</f>
        <v>1.005</v>
      </c>
      <c r="E4692" s="16">
        <f>IFERROR(__xludf.DUMMYFUNCTION("""COMPUTED_VALUE"""),69.0)</f>
        <v>69</v>
      </c>
      <c r="F4692" s="19" t="str">
        <f>IFERROR(__xludf.DUMMYFUNCTION("""COMPUTED_VALUE"""),"BLACK")</f>
        <v>BLACK</v>
      </c>
      <c r="G4692" s="20" t="str">
        <f>IFERROR(__xludf.DUMMYFUNCTION("""COMPUTED_VALUE"""),"Uncle Sams Cider (04/04/2023)")</f>
        <v>Uncle Sams Cider (04/04/2023)</v>
      </c>
      <c r="H4692" s="19"/>
    </row>
    <row r="4693">
      <c r="A4693" s="9"/>
      <c r="B4693" s="15"/>
      <c r="C4693" s="9">
        <f>IFERROR(__xludf.DUMMYFUNCTION("""COMPUTED_VALUE"""),45095.5205190046)</f>
        <v>45095.52052</v>
      </c>
      <c r="D4693" s="15">
        <f>IFERROR(__xludf.DUMMYFUNCTION("""COMPUTED_VALUE"""),1.005)</f>
        <v>1.005</v>
      </c>
      <c r="E4693" s="16">
        <f>IFERROR(__xludf.DUMMYFUNCTION("""COMPUTED_VALUE"""),69.0)</f>
        <v>69</v>
      </c>
      <c r="F4693" s="19" t="str">
        <f>IFERROR(__xludf.DUMMYFUNCTION("""COMPUTED_VALUE"""),"BLACK")</f>
        <v>BLACK</v>
      </c>
      <c r="G4693" s="20" t="str">
        <f>IFERROR(__xludf.DUMMYFUNCTION("""COMPUTED_VALUE"""),"Uncle Sams Cider (04/04/2023)")</f>
        <v>Uncle Sams Cider (04/04/2023)</v>
      </c>
      <c r="H4693" s="19"/>
    </row>
    <row r="4694">
      <c r="A4694" s="9"/>
      <c r="B4694" s="15"/>
      <c r="C4694" s="9">
        <f>IFERROR(__xludf.DUMMYFUNCTION("""COMPUTED_VALUE"""),45095.5100967476)</f>
        <v>45095.5101</v>
      </c>
      <c r="D4694" s="15">
        <f>IFERROR(__xludf.DUMMYFUNCTION("""COMPUTED_VALUE"""),1.005)</f>
        <v>1.005</v>
      </c>
      <c r="E4694" s="16">
        <f>IFERROR(__xludf.DUMMYFUNCTION("""COMPUTED_VALUE"""),69.0)</f>
        <v>69</v>
      </c>
      <c r="F4694" s="19" t="str">
        <f>IFERROR(__xludf.DUMMYFUNCTION("""COMPUTED_VALUE"""),"BLACK")</f>
        <v>BLACK</v>
      </c>
      <c r="G4694" s="20" t="str">
        <f>IFERROR(__xludf.DUMMYFUNCTION("""COMPUTED_VALUE"""),"Uncle Sams Cider (04/04/2023)")</f>
        <v>Uncle Sams Cider (04/04/2023)</v>
      </c>
      <c r="H4694" s="19"/>
    </row>
    <row r="4695">
      <c r="A4695" s="9"/>
      <c r="B4695" s="15"/>
      <c r="C4695" s="9">
        <f>IFERROR(__xludf.DUMMYFUNCTION("""COMPUTED_VALUE"""),45095.4996758912)</f>
        <v>45095.49968</v>
      </c>
      <c r="D4695" s="15">
        <f>IFERROR(__xludf.DUMMYFUNCTION("""COMPUTED_VALUE"""),1.006)</f>
        <v>1.006</v>
      </c>
      <c r="E4695" s="16">
        <f>IFERROR(__xludf.DUMMYFUNCTION("""COMPUTED_VALUE"""),69.0)</f>
        <v>69</v>
      </c>
      <c r="F4695" s="19" t="str">
        <f>IFERROR(__xludf.DUMMYFUNCTION("""COMPUTED_VALUE"""),"BLACK")</f>
        <v>BLACK</v>
      </c>
      <c r="G4695" s="20" t="str">
        <f>IFERROR(__xludf.DUMMYFUNCTION("""COMPUTED_VALUE"""),"Uncle Sams Cider (04/04/2023)")</f>
        <v>Uncle Sams Cider (04/04/2023)</v>
      </c>
      <c r="H4695" s="19"/>
    </row>
    <row r="4696">
      <c r="A4696" s="9"/>
      <c r="B4696" s="15"/>
      <c r="C4696" s="9">
        <f>IFERROR(__xludf.DUMMYFUNCTION("""COMPUTED_VALUE"""),45095.4892557407)</f>
        <v>45095.48926</v>
      </c>
      <c r="D4696" s="15">
        <f>IFERROR(__xludf.DUMMYFUNCTION("""COMPUTED_VALUE"""),1.006)</f>
        <v>1.006</v>
      </c>
      <c r="E4696" s="16">
        <f>IFERROR(__xludf.DUMMYFUNCTION("""COMPUTED_VALUE"""),69.0)</f>
        <v>69</v>
      </c>
      <c r="F4696" s="19" t="str">
        <f>IFERROR(__xludf.DUMMYFUNCTION("""COMPUTED_VALUE"""),"BLACK")</f>
        <v>BLACK</v>
      </c>
      <c r="G4696" s="20" t="str">
        <f>IFERROR(__xludf.DUMMYFUNCTION("""COMPUTED_VALUE"""),"Uncle Sams Cider (04/04/2023)")</f>
        <v>Uncle Sams Cider (04/04/2023)</v>
      </c>
      <c r="H4696" s="19"/>
    </row>
    <row r="4697">
      <c r="A4697" s="9"/>
      <c r="B4697" s="15"/>
      <c r="C4697" s="9">
        <f>IFERROR(__xludf.DUMMYFUNCTION("""COMPUTED_VALUE"""),45095.4788356365)</f>
        <v>45095.47884</v>
      </c>
      <c r="D4697" s="15">
        <f>IFERROR(__xludf.DUMMYFUNCTION("""COMPUTED_VALUE"""),1.005)</f>
        <v>1.005</v>
      </c>
      <c r="E4697" s="16">
        <f>IFERROR(__xludf.DUMMYFUNCTION("""COMPUTED_VALUE"""),69.0)</f>
        <v>69</v>
      </c>
      <c r="F4697" s="19" t="str">
        <f>IFERROR(__xludf.DUMMYFUNCTION("""COMPUTED_VALUE"""),"BLACK")</f>
        <v>BLACK</v>
      </c>
      <c r="G4697" s="20" t="str">
        <f>IFERROR(__xludf.DUMMYFUNCTION("""COMPUTED_VALUE"""),"Uncle Sams Cider (04/04/2023)")</f>
        <v>Uncle Sams Cider (04/04/2023)</v>
      </c>
      <c r="H4697" s="19"/>
    </row>
    <row r="4698">
      <c r="A4698" s="9"/>
      <c r="B4698" s="15"/>
      <c r="C4698" s="9">
        <f>IFERROR(__xludf.DUMMYFUNCTION("""COMPUTED_VALUE"""),45095.4684143518)</f>
        <v>45095.46841</v>
      </c>
      <c r="D4698" s="15">
        <f>IFERROR(__xludf.DUMMYFUNCTION("""COMPUTED_VALUE"""),1.005)</f>
        <v>1.005</v>
      </c>
      <c r="E4698" s="16">
        <f>IFERROR(__xludf.DUMMYFUNCTION("""COMPUTED_VALUE"""),69.0)</f>
        <v>69</v>
      </c>
      <c r="F4698" s="19" t="str">
        <f>IFERROR(__xludf.DUMMYFUNCTION("""COMPUTED_VALUE"""),"BLACK")</f>
        <v>BLACK</v>
      </c>
      <c r="G4698" s="20" t="str">
        <f>IFERROR(__xludf.DUMMYFUNCTION("""COMPUTED_VALUE"""),"Uncle Sams Cider (04/04/2023)")</f>
        <v>Uncle Sams Cider (04/04/2023)</v>
      </c>
      <c r="H4698" s="19"/>
    </row>
    <row r="4699">
      <c r="A4699" s="9"/>
      <c r="B4699" s="15"/>
      <c r="C4699" s="9">
        <f>IFERROR(__xludf.DUMMYFUNCTION("""COMPUTED_VALUE"""),45095.4579817592)</f>
        <v>45095.45798</v>
      </c>
      <c r="D4699" s="15">
        <f>IFERROR(__xludf.DUMMYFUNCTION("""COMPUTED_VALUE"""),1.005)</f>
        <v>1.005</v>
      </c>
      <c r="E4699" s="16">
        <f>IFERROR(__xludf.DUMMYFUNCTION("""COMPUTED_VALUE"""),69.0)</f>
        <v>69</v>
      </c>
      <c r="F4699" s="19" t="str">
        <f>IFERROR(__xludf.DUMMYFUNCTION("""COMPUTED_VALUE"""),"BLACK")</f>
        <v>BLACK</v>
      </c>
      <c r="G4699" s="20" t="str">
        <f>IFERROR(__xludf.DUMMYFUNCTION("""COMPUTED_VALUE"""),"Uncle Sams Cider (04/04/2023)")</f>
        <v>Uncle Sams Cider (04/04/2023)</v>
      </c>
      <c r="H4699" s="19"/>
    </row>
    <row r="4700">
      <c r="A4700" s="9"/>
      <c r="B4700" s="15"/>
      <c r="C4700" s="9">
        <f>IFERROR(__xludf.DUMMYFUNCTION("""COMPUTED_VALUE"""),45095.4475483217)</f>
        <v>45095.44755</v>
      </c>
      <c r="D4700" s="15">
        <f>IFERROR(__xludf.DUMMYFUNCTION("""COMPUTED_VALUE"""),1.006)</f>
        <v>1.006</v>
      </c>
      <c r="E4700" s="16">
        <f>IFERROR(__xludf.DUMMYFUNCTION("""COMPUTED_VALUE"""),69.0)</f>
        <v>69</v>
      </c>
      <c r="F4700" s="19" t="str">
        <f>IFERROR(__xludf.DUMMYFUNCTION("""COMPUTED_VALUE"""),"BLACK")</f>
        <v>BLACK</v>
      </c>
      <c r="G4700" s="20" t="str">
        <f>IFERROR(__xludf.DUMMYFUNCTION("""COMPUTED_VALUE"""),"Uncle Sams Cider (04/04/2023)")</f>
        <v>Uncle Sams Cider (04/04/2023)</v>
      </c>
      <c r="H4700" s="19"/>
    </row>
    <row r="4701">
      <c r="A4701" s="9"/>
      <c r="B4701" s="15"/>
      <c r="C4701" s="9">
        <f>IFERROR(__xludf.DUMMYFUNCTION("""COMPUTED_VALUE"""),45095.4371266898)</f>
        <v>45095.43713</v>
      </c>
      <c r="D4701" s="15">
        <f>IFERROR(__xludf.DUMMYFUNCTION("""COMPUTED_VALUE"""),1.005)</f>
        <v>1.005</v>
      </c>
      <c r="E4701" s="16">
        <f>IFERROR(__xludf.DUMMYFUNCTION("""COMPUTED_VALUE"""),69.0)</f>
        <v>69</v>
      </c>
      <c r="F4701" s="19" t="str">
        <f>IFERROR(__xludf.DUMMYFUNCTION("""COMPUTED_VALUE"""),"BLACK")</f>
        <v>BLACK</v>
      </c>
      <c r="G4701" s="20" t="str">
        <f>IFERROR(__xludf.DUMMYFUNCTION("""COMPUTED_VALUE"""),"Uncle Sams Cider (04/04/2023)")</f>
        <v>Uncle Sams Cider (04/04/2023)</v>
      </c>
      <c r="H4701" s="19"/>
    </row>
    <row r="4702">
      <c r="A4702" s="9"/>
      <c r="B4702" s="15"/>
      <c r="C4702" s="9">
        <f>IFERROR(__xludf.DUMMYFUNCTION("""COMPUTED_VALUE"""),45095.4267069675)</f>
        <v>45095.42671</v>
      </c>
      <c r="D4702" s="15">
        <f>IFERROR(__xludf.DUMMYFUNCTION("""COMPUTED_VALUE"""),1.006)</f>
        <v>1.006</v>
      </c>
      <c r="E4702" s="16">
        <f>IFERROR(__xludf.DUMMYFUNCTION("""COMPUTED_VALUE"""),69.0)</f>
        <v>69</v>
      </c>
      <c r="F4702" s="19" t="str">
        <f>IFERROR(__xludf.DUMMYFUNCTION("""COMPUTED_VALUE"""),"BLACK")</f>
        <v>BLACK</v>
      </c>
      <c r="G4702" s="20" t="str">
        <f>IFERROR(__xludf.DUMMYFUNCTION("""COMPUTED_VALUE"""),"Uncle Sams Cider (04/04/2023)")</f>
        <v>Uncle Sams Cider (04/04/2023)</v>
      </c>
      <c r="H4702" s="19"/>
    </row>
    <row r="4703">
      <c r="A4703" s="9"/>
      <c r="B4703" s="15"/>
      <c r="C4703" s="9">
        <f>IFERROR(__xludf.DUMMYFUNCTION("""COMPUTED_VALUE"""),45095.4162855208)</f>
        <v>45095.41629</v>
      </c>
      <c r="D4703" s="15">
        <f>IFERROR(__xludf.DUMMYFUNCTION("""COMPUTED_VALUE"""),1.005)</f>
        <v>1.005</v>
      </c>
      <c r="E4703" s="16">
        <f>IFERROR(__xludf.DUMMYFUNCTION("""COMPUTED_VALUE"""),69.0)</f>
        <v>69</v>
      </c>
      <c r="F4703" s="19" t="str">
        <f>IFERROR(__xludf.DUMMYFUNCTION("""COMPUTED_VALUE"""),"BLACK")</f>
        <v>BLACK</v>
      </c>
      <c r="G4703" s="20" t="str">
        <f>IFERROR(__xludf.DUMMYFUNCTION("""COMPUTED_VALUE"""),"Uncle Sams Cider (04/04/2023)")</f>
        <v>Uncle Sams Cider (04/04/2023)</v>
      </c>
      <c r="H4703" s="19"/>
    </row>
    <row r="4704">
      <c r="A4704" s="9"/>
      <c r="B4704" s="15"/>
      <c r="C4704" s="9">
        <f>IFERROR(__xludf.DUMMYFUNCTION("""COMPUTED_VALUE"""),45095.4058291087)</f>
        <v>45095.40583</v>
      </c>
      <c r="D4704" s="15">
        <f>IFERROR(__xludf.DUMMYFUNCTION("""COMPUTED_VALUE"""),1.005)</f>
        <v>1.005</v>
      </c>
      <c r="E4704" s="16">
        <f>IFERROR(__xludf.DUMMYFUNCTION("""COMPUTED_VALUE"""),69.0)</f>
        <v>69</v>
      </c>
      <c r="F4704" s="19" t="str">
        <f>IFERROR(__xludf.DUMMYFUNCTION("""COMPUTED_VALUE"""),"BLACK")</f>
        <v>BLACK</v>
      </c>
      <c r="G4704" s="20" t="str">
        <f>IFERROR(__xludf.DUMMYFUNCTION("""COMPUTED_VALUE"""),"Uncle Sams Cider (04/04/2023)")</f>
        <v>Uncle Sams Cider (04/04/2023)</v>
      </c>
      <c r="H4704" s="19"/>
    </row>
    <row r="4705">
      <c r="A4705" s="9"/>
      <c r="B4705" s="15"/>
      <c r="C4705" s="9">
        <f>IFERROR(__xludf.DUMMYFUNCTION("""COMPUTED_VALUE"""),45095.3954079282)</f>
        <v>45095.39541</v>
      </c>
      <c r="D4705" s="15">
        <f>IFERROR(__xludf.DUMMYFUNCTION("""COMPUTED_VALUE"""),1.006)</f>
        <v>1.006</v>
      </c>
      <c r="E4705" s="16">
        <f>IFERROR(__xludf.DUMMYFUNCTION("""COMPUTED_VALUE"""),69.0)</f>
        <v>69</v>
      </c>
      <c r="F4705" s="19" t="str">
        <f>IFERROR(__xludf.DUMMYFUNCTION("""COMPUTED_VALUE"""),"BLACK")</f>
        <v>BLACK</v>
      </c>
      <c r="G4705" s="20" t="str">
        <f>IFERROR(__xludf.DUMMYFUNCTION("""COMPUTED_VALUE"""),"Uncle Sams Cider (04/04/2023)")</f>
        <v>Uncle Sams Cider (04/04/2023)</v>
      </c>
      <c r="H4705" s="19"/>
    </row>
    <row r="4706">
      <c r="A4706" s="9"/>
      <c r="B4706" s="15"/>
      <c r="C4706" s="9">
        <f>IFERROR(__xludf.DUMMYFUNCTION("""COMPUTED_VALUE"""),45095.3849743518)</f>
        <v>45095.38497</v>
      </c>
      <c r="D4706" s="15">
        <f>IFERROR(__xludf.DUMMYFUNCTION("""COMPUTED_VALUE"""),1.006)</f>
        <v>1.006</v>
      </c>
      <c r="E4706" s="16">
        <f>IFERROR(__xludf.DUMMYFUNCTION("""COMPUTED_VALUE"""),69.0)</f>
        <v>69</v>
      </c>
      <c r="F4706" s="19" t="str">
        <f>IFERROR(__xludf.DUMMYFUNCTION("""COMPUTED_VALUE"""),"BLACK")</f>
        <v>BLACK</v>
      </c>
      <c r="G4706" s="20" t="str">
        <f>IFERROR(__xludf.DUMMYFUNCTION("""COMPUTED_VALUE"""),"Uncle Sams Cider (04/04/2023)")</f>
        <v>Uncle Sams Cider (04/04/2023)</v>
      </c>
      <c r="H4706" s="19"/>
    </row>
    <row r="4707">
      <c r="A4707" s="9"/>
      <c r="B4707" s="15"/>
      <c r="C4707" s="9">
        <f>IFERROR(__xludf.DUMMYFUNCTION("""COMPUTED_VALUE"""),45095.3745536574)</f>
        <v>45095.37455</v>
      </c>
      <c r="D4707" s="15">
        <f>IFERROR(__xludf.DUMMYFUNCTION("""COMPUTED_VALUE"""),1.006)</f>
        <v>1.006</v>
      </c>
      <c r="E4707" s="16">
        <f>IFERROR(__xludf.DUMMYFUNCTION("""COMPUTED_VALUE"""),69.0)</f>
        <v>69</v>
      </c>
      <c r="F4707" s="19" t="str">
        <f>IFERROR(__xludf.DUMMYFUNCTION("""COMPUTED_VALUE"""),"BLACK")</f>
        <v>BLACK</v>
      </c>
      <c r="G4707" s="20" t="str">
        <f>IFERROR(__xludf.DUMMYFUNCTION("""COMPUTED_VALUE"""),"Uncle Sams Cider (04/04/2023)")</f>
        <v>Uncle Sams Cider (04/04/2023)</v>
      </c>
      <c r="H4707" s="19"/>
    </row>
    <row r="4708">
      <c r="A4708" s="9"/>
      <c r="B4708" s="15"/>
      <c r="C4708" s="9">
        <f>IFERROR(__xludf.DUMMYFUNCTION("""COMPUTED_VALUE"""),45095.3641316666)</f>
        <v>45095.36413</v>
      </c>
      <c r="D4708" s="15">
        <f>IFERROR(__xludf.DUMMYFUNCTION("""COMPUTED_VALUE"""),1.005)</f>
        <v>1.005</v>
      </c>
      <c r="E4708" s="16">
        <f>IFERROR(__xludf.DUMMYFUNCTION("""COMPUTED_VALUE"""),69.0)</f>
        <v>69</v>
      </c>
      <c r="F4708" s="19" t="str">
        <f>IFERROR(__xludf.DUMMYFUNCTION("""COMPUTED_VALUE"""),"BLACK")</f>
        <v>BLACK</v>
      </c>
      <c r="G4708" s="20" t="str">
        <f>IFERROR(__xludf.DUMMYFUNCTION("""COMPUTED_VALUE"""),"Uncle Sams Cider (04/04/2023)")</f>
        <v>Uncle Sams Cider (04/04/2023)</v>
      </c>
      <c r="H4708" s="19"/>
    </row>
    <row r="4709">
      <c r="A4709" s="9"/>
      <c r="B4709" s="15"/>
      <c r="C4709" s="9">
        <f>IFERROR(__xludf.DUMMYFUNCTION("""COMPUTED_VALUE"""),45095.3536991666)</f>
        <v>45095.3537</v>
      </c>
      <c r="D4709" s="15">
        <f>IFERROR(__xludf.DUMMYFUNCTION("""COMPUTED_VALUE"""),1.006)</f>
        <v>1.006</v>
      </c>
      <c r="E4709" s="16">
        <f>IFERROR(__xludf.DUMMYFUNCTION("""COMPUTED_VALUE"""),69.0)</f>
        <v>69</v>
      </c>
      <c r="F4709" s="19" t="str">
        <f>IFERROR(__xludf.DUMMYFUNCTION("""COMPUTED_VALUE"""),"BLACK")</f>
        <v>BLACK</v>
      </c>
      <c r="G4709" s="20" t="str">
        <f>IFERROR(__xludf.DUMMYFUNCTION("""COMPUTED_VALUE"""),"Uncle Sams Cider (04/04/2023)")</f>
        <v>Uncle Sams Cider (04/04/2023)</v>
      </c>
      <c r="H4709" s="19"/>
    </row>
    <row r="4710">
      <c r="A4710" s="9"/>
      <c r="B4710" s="15"/>
      <c r="C4710" s="9">
        <f>IFERROR(__xludf.DUMMYFUNCTION("""COMPUTED_VALUE"""),45095.3432773495)</f>
        <v>45095.34328</v>
      </c>
      <c r="D4710" s="15">
        <f>IFERROR(__xludf.DUMMYFUNCTION("""COMPUTED_VALUE"""),1.005)</f>
        <v>1.005</v>
      </c>
      <c r="E4710" s="16">
        <f>IFERROR(__xludf.DUMMYFUNCTION("""COMPUTED_VALUE"""),69.0)</f>
        <v>69</v>
      </c>
      <c r="F4710" s="19" t="str">
        <f>IFERROR(__xludf.DUMMYFUNCTION("""COMPUTED_VALUE"""),"BLACK")</f>
        <v>BLACK</v>
      </c>
      <c r="G4710" s="20" t="str">
        <f>IFERROR(__xludf.DUMMYFUNCTION("""COMPUTED_VALUE"""),"Uncle Sams Cider (04/04/2023)")</f>
        <v>Uncle Sams Cider (04/04/2023)</v>
      </c>
      <c r="H4710" s="19"/>
    </row>
    <row r="4711">
      <c r="A4711" s="9"/>
      <c r="B4711" s="15"/>
      <c r="C4711" s="9">
        <f>IFERROR(__xludf.DUMMYFUNCTION("""COMPUTED_VALUE"""),45095.332855787)</f>
        <v>45095.33286</v>
      </c>
      <c r="D4711" s="15">
        <f>IFERROR(__xludf.DUMMYFUNCTION("""COMPUTED_VALUE"""),1.005)</f>
        <v>1.005</v>
      </c>
      <c r="E4711" s="16">
        <f>IFERROR(__xludf.DUMMYFUNCTION("""COMPUTED_VALUE"""),69.0)</f>
        <v>69</v>
      </c>
      <c r="F4711" s="19" t="str">
        <f>IFERROR(__xludf.DUMMYFUNCTION("""COMPUTED_VALUE"""),"BLACK")</f>
        <v>BLACK</v>
      </c>
      <c r="G4711" s="20" t="str">
        <f>IFERROR(__xludf.DUMMYFUNCTION("""COMPUTED_VALUE"""),"Uncle Sams Cider (04/04/2023)")</f>
        <v>Uncle Sams Cider (04/04/2023)</v>
      </c>
      <c r="H4711" s="19"/>
    </row>
    <row r="4712">
      <c r="A4712" s="9"/>
      <c r="B4712" s="15"/>
      <c r="C4712" s="9">
        <f>IFERROR(__xludf.DUMMYFUNCTION("""COMPUTED_VALUE"""),45095.3224232638)</f>
        <v>45095.32242</v>
      </c>
      <c r="D4712" s="15">
        <f>IFERROR(__xludf.DUMMYFUNCTION("""COMPUTED_VALUE"""),1.005)</f>
        <v>1.005</v>
      </c>
      <c r="E4712" s="16">
        <f>IFERROR(__xludf.DUMMYFUNCTION("""COMPUTED_VALUE"""),69.0)</f>
        <v>69</v>
      </c>
      <c r="F4712" s="19" t="str">
        <f>IFERROR(__xludf.DUMMYFUNCTION("""COMPUTED_VALUE"""),"BLACK")</f>
        <v>BLACK</v>
      </c>
      <c r="G4712" s="20" t="str">
        <f>IFERROR(__xludf.DUMMYFUNCTION("""COMPUTED_VALUE"""),"Uncle Sams Cider (04/04/2023)")</f>
        <v>Uncle Sams Cider (04/04/2023)</v>
      </c>
      <c r="H4712" s="19"/>
    </row>
    <row r="4713">
      <c r="A4713" s="9"/>
      <c r="B4713" s="15"/>
      <c r="C4713" s="9">
        <f>IFERROR(__xludf.DUMMYFUNCTION("""COMPUTED_VALUE"""),45095.3119794097)</f>
        <v>45095.31198</v>
      </c>
      <c r="D4713" s="15">
        <f>IFERROR(__xludf.DUMMYFUNCTION("""COMPUTED_VALUE"""),1.006)</f>
        <v>1.006</v>
      </c>
      <c r="E4713" s="16">
        <f>IFERROR(__xludf.DUMMYFUNCTION("""COMPUTED_VALUE"""),69.0)</f>
        <v>69</v>
      </c>
      <c r="F4713" s="19" t="str">
        <f>IFERROR(__xludf.DUMMYFUNCTION("""COMPUTED_VALUE"""),"BLACK")</f>
        <v>BLACK</v>
      </c>
      <c r="G4713" s="20" t="str">
        <f>IFERROR(__xludf.DUMMYFUNCTION("""COMPUTED_VALUE"""),"Uncle Sams Cider (04/04/2023)")</f>
        <v>Uncle Sams Cider (04/04/2023)</v>
      </c>
      <c r="H4713" s="19"/>
    </row>
    <row r="4714">
      <c r="A4714" s="9"/>
      <c r="B4714" s="15"/>
      <c r="C4714" s="9">
        <f>IFERROR(__xludf.DUMMYFUNCTION("""COMPUTED_VALUE"""),45095.3015613078)</f>
        <v>45095.30156</v>
      </c>
      <c r="D4714" s="15">
        <f>IFERROR(__xludf.DUMMYFUNCTION("""COMPUTED_VALUE"""),1.005)</f>
        <v>1.005</v>
      </c>
      <c r="E4714" s="16">
        <f>IFERROR(__xludf.DUMMYFUNCTION("""COMPUTED_VALUE"""),69.0)</f>
        <v>69</v>
      </c>
      <c r="F4714" s="19" t="str">
        <f>IFERROR(__xludf.DUMMYFUNCTION("""COMPUTED_VALUE"""),"BLACK")</f>
        <v>BLACK</v>
      </c>
      <c r="G4714" s="20" t="str">
        <f>IFERROR(__xludf.DUMMYFUNCTION("""COMPUTED_VALUE"""),"Uncle Sams Cider (04/04/2023)")</f>
        <v>Uncle Sams Cider (04/04/2023)</v>
      </c>
      <c r="H4714" s="19"/>
    </row>
    <row r="4715">
      <c r="A4715" s="9"/>
      <c r="B4715" s="15"/>
      <c r="C4715" s="9">
        <f>IFERROR(__xludf.DUMMYFUNCTION("""COMPUTED_VALUE"""),45095.2807178588)</f>
        <v>45095.28072</v>
      </c>
      <c r="D4715" s="15">
        <f>IFERROR(__xludf.DUMMYFUNCTION("""COMPUTED_VALUE"""),1.006)</f>
        <v>1.006</v>
      </c>
      <c r="E4715" s="16">
        <f>IFERROR(__xludf.DUMMYFUNCTION("""COMPUTED_VALUE"""),69.0)</f>
        <v>69</v>
      </c>
      <c r="F4715" s="19" t="str">
        <f>IFERROR(__xludf.DUMMYFUNCTION("""COMPUTED_VALUE"""),"BLACK")</f>
        <v>BLACK</v>
      </c>
      <c r="G4715" s="20" t="str">
        <f>IFERROR(__xludf.DUMMYFUNCTION("""COMPUTED_VALUE"""),"Uncle Sams Cider (04/04/2023)")</f>
        <v>Uncle Sams Cider (04/04/2023)</v>
      </c>
      <c r="H4715" s="19"/>
    </row>
    <row r="4716">
      <c r="A4716" s="9"/>
      <c r="B4716" s="15"/>
      <c r="C4716" s="9">
        <f>IFERROR(__xludf.DUMMYFUNCTION("""COMPUTED_VALUE"""),45095.2702860648)</f>
        <v>45095.27029</v>
      </c>
      <c r="D4716" s="15">
        <f>IFERROR(__xludf.DUMMYFUNCTION("""COMPUTED_VALUE"""),1.006)</f>
        <v>1.006</v>
      </c>
      <c r="E4716" s="16">
        <f>IFERROR(__xludf.DUMMYFUNCTION("""COMPUTED_VALUE"""),69.0)</f>
        <v>69</v>
      </c>
      <c r="F4716" s="19" t="str">
        <f>IFERROR(__xludf.DUMMYFUNCTION("""COMPUTED_VALUE"""),"BLACK")</f>
        <v>BLACK</v>
      </c>
      <c r="G4716" s="20" t="str">
        <f>IFERROR(__xludf.DUMMYFUNCTION("""COMPUTED_VALUE"""),"Uncle Sams Cider (04/04/2023)")</f>
        <v>Uncle Sams Cider (04/04/2023)</v>
      </c>
      <c r="H4716" s="19"/>
    </row>
    <row r="4717">
      <c r="A4717" s="9"/>
      <c r="B4717" s="15"/>
      <c r="C4717" s="9">
        <f>IFERROR(__xludf.DUMMYFUNCTION("""COMPUTED_VALUE"""),45095.2598658449)</f>
        <v>45095.25987</v>
      </c>
      <c r="D4717" s="15">
        <f>IFERROR(__xludf.DUMMYFUNCTION("""COMPUTED_VALUE"""),1.006)</f>
        <v>1.006</v>
      </c>
      <c r="E4717" s="16">
        <f>IFERROR(__xludf.DUMMYFUNCTION("""COMPUTED_VALUE"""),69.0)</f>
        <v>69</v>
      </c>
      <c r="F4717" s="19" t="str">
        <f>IFERROR(__xludf.DUMMYFUNCTION("""COMPUTED_VALUE"""),"BLACK")</f>
        <v>BLACK</v>
      </c>
      <c r="G4717" s="20" t="str">
        <f>IFERROR(__xludf.DUMMYFUNCTION("""COMPUTED_VALUE"""),"Uncle Sams Cider (04/04/2023)")</f>
        <v>Uncle Sams Cider (04/04/2023)</v>
      </c>
      <c r="H4717" s="19"/>
    </row>
    <row r="4718">
      <c r="A4718" s="9"/>
      <c r="B4718" s="15"/>
      <c r="C4718" s="9">
        <f>IFERROR(__xludf.DUMMYFUNCTION("""COMPUTED_VALUE"""),45095.2494456134)</f>
        <v>45095.24945</v>
      </c>
      <c r="D4718" s="15">
        <f>IFERROR(__xludf.DUMMYFUNCTION("""COMPUTED_VALUE"""),1.006)</f>
        <v>1.006</v>
      </c>
      <c r="E4718" s="16">
        <f>IFERROR(__xludf.DUMMYFUNCTION("""COMPUTED_VALUE"""),69.0)</f>
        <v>69</v>
      </c>
      <c r="F4718" s="19" t="str">
        <f>IFERROR(__xludf.DUMMYFUNCTION("""COMPUTED_VALUE"""),"BLACK")</f>
        <v>BLACK</v>
      </c>
      <c r="G4718" s="20" t="str">
        <f>IFERROR(__xludf.DUMMYFUNCTION("""COMPUTED_VALUE"""),"Uncle Sams Cider (04/04/2023)")</f>
        <v>Uncle Sams Cider (04/04/2023)</v>
      </c>
      <c r="H4718" s="19"/>
    </row>
    <row r="4719">
      <c r="A4719" s="9"/>
      <c r="B4719" s="15"/>
      <c r="C4719" s="9">
        <f>IFERROR(__xludf.DUMMYFUNCTION("""COMPUTED_VALUE"""),45095.2390023958)</f>
        <v>45095.239</v>
      </c>
      <c r="D4719" s="15">
        <f>IFERROR(__xludf.DUMMYFUNCTION("""COMPUTED_VALUE"""),1.006)</f>
        <v>1.006</v>
      </c>
      <c r="E4719" s="16">
        <f>IFERROR(__xludf.DUMMYFUNCTION("""COMPUTED_VALUE"""),69.0)</f>
        <v>69</v>
      </c>
      <c r="F4719" s="19" t="str">
        <f>IFERROR(__xludf.DUMMYFUNCTION("""COMPUTED_VALUE"""),"BLACK")</f>
        <v>BLACK</v>
      </c>
      <c r="G4719" s="20" t="str">
        <f>IFERROR(__xludf.DUMMYFUNCTION("""COMPUTED_VALUE"""),"Uncle Sams Cider (04/04/2023)")</f>
        <v>Uncle Sams Cider (04/04/2023)</v>
      </c>
      <c r="H4719" s="19"/>
    </row>
    <row r="4720">
      <c r="A4720" s="9"/>
      <c r="B4720" s="15"/>
      <c r="C4720" s="9">
        <f>IFERROR(__xludf.DUMMYFUNCTION("""COMPUTED_VALUE"""),45095.2285811342)</f>
        <v>45095.22858</v>
      </c>
      <c r="D4720" s="15">
        <f>IFERROR(__xludf.DUMMYFUNCTION("""COMPUTED_VALUE"""),1.006)</f>
        <v>1.006</v>
      </c>
      <c r="E4720" s="16">
        <f>IFERROR(__xludf.DUMMYFUNCTION("""COMPUTED_VALUE"""),69.0)</f>
        <v>69</v>
      </c>
      <c r="F4720" s="19" t="str">
        <f>IFERROR(__xludf.DUMMYFUNCTION("""COMPUTED_VALUE"""),"BLACK")</f>
        <v>BLACK</v>
      </c>
      <c r="G4720" s="20" t="str">
        <f>IFERROR(__xludf.DUMMYFUNCTION("""COMPUTED_VALUE"""),"Uncle Sams Cider (04/04/2023)")</f>
        <v>Uncle Sams Cider (04/04/2023)</v>
      </c>
      <c r="H4720" s="19"/>
    </row>
    <row r="4721">
      <c r="A4721" s="9"/>
      <c r="B4721" s="15"/>
      <c r="C4721" s="9">
        <f>IFERROR(__xludf.DUMMYFUNCTION("""COMPUTED_VALUE"""),45095.2181473495)</f>
        <v>45095.21815</v>
      </c>
      <c r="D4721" s="15">
        <f>IFERROR(__xludf.DUMMYFUNCTION("""COMPUTED_VALUE"""),1.005)</f>
        <v>1.005</v>
      </c>
      <c r="E4721" s="16">
        <f>IFERROR(__xludf.DUMMYFUNCTION("""COMPUTED_VALUE"""),69.0)</f>
        <v>69</v>
      </c>
      <c r="F4721" s="19" t="str">
        <f>IFERROR(__xludf.DUMMYFUNCTION("""COMPUTED_VALUE"""),"BLACK")</f>
        <v>BLACK</v>
      </c>
      <c r="G4721" s="20" t="str">
        <f>IFERROR(__xludf.DUMMYFUNCTION("""COMPUTED_VALUE"""),"Uncle Sams Cider (04/04/2023)")</f>
        <v>Uncle Sams Cider (04/04/2023)</v>
      </c>
      <c r="H4721" s="19"/>
    </row>
    <row r="4722">
      <c r="A4722" s="9"/>
      <c r="B4722" s="15"/>
      <c r="C4722" s="9">
        <f>IFERROR(__xludf.DUMMYFUNCTION("""COMPUTED_VALUE"""),45095.1973053819)</f>
        <v>45095.19731</v>
      </c>
      <c r="D4722" s="15">
        <f>IFERROR(__xludf.DUMMYFUNCTION("""COMPUTED_VALUE"""),1.005)</f>
        <v>1.005</v>
      </c>
      <c r="E4722" s="16">
        <f>IFERROR(__xludf.DUMMYFUNCTION("""COMPUTED_VALUE"""),69.0)</f>
        <v>69</v>
      </c>
      <c r="F4722" s="19" t="str">
        <f>IFERROR(__xludf.DUMMYFUNCTION("""COMPUTED_VALUE"""),"BLACK")</f>
        <v>BLACK</v>
      </c>
      <c r="G4722" s="20" t="str">
        <f>IFERROR(__xludf.DUMMYFUNCTION("""COMPUTED_VALUE"""),"Uncle Sams Cider (04/04/2023)")</f>
        <v>Uncle Sams Cider (04/04/2023)</v>
      </c>
      <c r="H4722" s="19"/>
    </row>
    <row r="4723">
      <c r="A4723" s="9"/>
      <c r="B4723" s="15"/>
      <c r="C4723" s="9">
        <f>IFERROR(__xludf.DUMMYFUNCTION("""COMPUTED_VALUE"""),45095.186885949)</f>
        <v>45095.18689</v>
      </c>
      <c r="D4723" s="15">
        <f>IFERROR(__xludf.DUMMYFUNCTION("""COMPUTED_VALUE"""),1.005)</f>
        <v>1.005</v>
      </c>
      <c r="E4723" s="16">
        <f>IFERROR(__xludf.DUMMYFUNCTION("""COMPUTED_VALUE"""),69.0)</f>
        <v>69</v>
      </c>
      <c r="F4723" s="19" t="str">
        <f>IFERROR(__xludf.DUMMYFUNCTION("""COMPUTED_VALUE"""),"BLACK")</f>
        <v>BLACK</v>
      </c>
      <c r="G4723" s="20" t="str">
        <f>IFERROR(__xludf.DUMMYFUNCTION("""COMPUTED_VALUE"""),"Uncle Sams Cider (04/04/2023)")</f>
        <v>Uncle Sams Cider (04/04/2023)</v>
      </c>
      <c r="H4723" s="19"/>
    </row>
    <row r="4724">
      <c r="A4724" s="9"/>
      <c r="B4724" s="15"/>
      <c r="C4724" s="9">
        <f>IFERROR(__xludf.DUMMYFUNCTION("""COMPUTED_VALUE"""),45095.1764643518)</f>
        <v>45095.17646</v>
      </c>
      <c r="D4724" s="15">
        <f>IFERROR(__xludf.DUMMYFUNCTION("""COMPUTED_VALUE"""),1.006)</f>
        <v>1.006</v>
      </c>
      <c r="E4724" s="16">
        <f>IFERROR(__xludf.DUMMYFUNCTION("""COMPUTED_VALUE"""),69.0)</f>
        <v>69</v>
      </c>
      <c r="F4724" s="19" t="str">
        <f>IFERROR(__xludf.DUMMYFUNCTION("""COMPUTED_VALUE"""),"BLACK")</f>
        <v>BLACK</v>
      </c>
      <c r="G4724" s="20" t="str">
        <f>IFERROR(__xludf.DUMMYFUNCTION("""COMPUTED_VALUE"""),"Uncle Sams Cider (04/04/2023)")</f>
        <v>Uncle Sams Cider (04/04/2023)</v>
      </c>
      <c r="H4724" s="19"/>
    </row>
    <row r="4725">
      <c r="A4725" s="9"/>
      <c r="B4725" s="15"/>
      <c r="C4725" s="9">
        <f>IFERROR(__xludf.DUMMYFUNCTION("""COMPUTED_VALUE"""),45095.1660331481)</f>
        <v>45095.16603</v>
      </c>
      <c r="D4725" s="15">
        <f>IFERROR(__xludf.DUMMYFUNCTION("""COMPUTED_VALUE"""),1.005)</f>
        <v>1.005</v>
      </c>
      <c r="E4725" s="16">
        <f>IFERROR(__xludf.DUMMYFUNCTION("""COMPUTED_VALUE"""),69.0)</f>
        <v>69</v>
      </c>
      <c r="F4725" s="19" t="str">
        <f>IFERROR(__xludf.DUMMYFUNCTION("""COMPUTED_VALUE"""),"BLACK")</f>
        <v>BLACK</v>
      </c>
      <c r="G4725" s="20" t="str">
        <f>IFERROR(__xludf.DUMMYFUNCTION("""COMPUTED_VALUE"""),"Uncle Sams Cider (04/04/2023)")</f>
        <v>Uncle Sams Cider (04/04/2023)</v>
      </c>
      <c r="H4725" s="19"/>
    </row>
    <row r="4726">
      <c r="A4726" s="9"/>
      <c r="B4726" s="15"/>
      <c r="C4726" s="9">
        <f>IFERROR(__xludf.DUMMYFUNCTION("""COMPUTED_VALUE"""),45095.1556016666)</f>
        <v>45095.1556</v>
      </c>
      <c r="D4726" s="15">
        <f>IFERROR(__xludf.DUMMYFUNCTION("""COMPUTED_VALUE"""),1.005)</f>
        <v>1.005</v>
      </c>
      <c r="E4726" s="16">
        <f>IFERROR(__xludf.DUMMYFUNCTION("""COMPUTED_VALUE"""),69.0)</f>
        <v>69</v>
      </c>
      <c r="F4726" s="19" t="str">
        <f>IFERROR(__xludf.DUMMYFUNCTION("""COMPUTED_VALUE"""),"BLACK")</f>
        <v>BLACK</v>
      </c>
      <c r="G4726" s="20" t="str">
        <f>IFERROR(__xludf.DUMMYFUNCTION("""COMPUTED_VALUE"""),"Uncle Sams Cider (04/04/2023)")</f>
        <v>Uncle Sams Cider (04/04/2023)</v>
      </c>
      <c r="H4726" s="19"/>
    </row>
    <row r="4727">
      <c r="A4727" s="9"/>
      <c r="B4727" s="15"/>
      <c r="C4727" s="9">
        <f>IFERROR(__xludf.DUMMYFUNCTION("""COMPUTED_VALUE"""),45095.1451829745)</f>
        <v>45095.14518</v>
      </c>
      <c r="D4727" s="15">
        <f>IFERROR(__xludf.DUMMYFUNCTION("""COMPUTED_VALUE"""),1.005)</f>
        <v>1.005</v>
      </c>
      <c r="E4727" s="16">
        <f>IFERROR(__xludf.DUMMYFUNCTION("""COMPUTED_VALUE"""),69.0)</f>
        <v>69</v>
      </c>
      <c r="F4727" s="19" t="str">
        <f>IFERROR(__xludf.DUMMYFUNCTION("""COMPUTED_VALUE"""),"BLACK")</f>
        <v>BLACK</v>
      </c>
      <c r="G4727" s="20" t="str">
        <f>IFERROR(__xludf.DUMMYFUNCTION("""COMPUTED_VALUE"""),"Uncle Sams Cider (04/04/2023)")</f>
        <v>Uncle Sams Cider (04/04/2023)</v>
      </c>
      <c r="H4727" s="19"/>
    </row>
    <row r="4728">
      <c r="A4728" s="9"/>
      <c r="B4728" s="15"/>
      <c r="C4728" s="9">
        <f>IFERROR(__xludf.DUMMYFUNCTION("""COMPUTED_VALUE"""),45095.1347626388)</f>
        <v>45095.13476</v>
      </c>
      <c r="D4728" s="15">
        <f>IFERROR(__xludf.DUMMYFUNCTION("""COMPUTED_VALUE"""),1.006)</f>
        <v>1.006</v>
      </c>
      <c r="E4728" s="16">
        <f>IFERROR(__xludf.DUMMYFUNCTION("""COMPUTED_VALUE"""),69.0)</f>
        <v>69</v>
      </c>
      <c r="F4728" s="19" t="str">
        <f>IFERROR(__xludf.DUMMYFUNCTION("""COMPUTED_VALUE"""),"BLACK")</f>
        <v>BLACK</v>
      </c>
      <c r="G4728" s="20" t="str">
        <f>IFERROR(__xludf.DUMMYFUNCTION("""COMPUTED_VALUE"""),"Uncle Sams Cider (04/04/2023)")</f>
        <v>Uncle Sams Cider (04/04/2023)</v>
      </c>
      <c r="H4728" s="19"/>
    </row>
    <row r="4729">
      <c r="A4729" s="9"/>
      <c r="B4729" s="15"/>
      <c r="C4729" s="9">
        <f>IFERROR(__xludf.DUMMYFUNCTION("""COMPUTED_VALUE"""),45095.1243423148)</f>
        <v>45095.12434</v>
      </c>
      <c r="D4729" s="15">
        <f>IFERROR(__xludf.DUMMYFUNCTION("""COMPUTED_VALUE"""),1.006)</f>
        <v>1.006</v>
      </c>
      <c r="E4729" s="16">
        <f>IFERROR(__xludf.DUMMYFUNCTION("""COMPUTED_VALUE"""),69.0)</f>
        <v>69</v>
      </c>
      <c r="F4729" s="19" t="str">
        <f>IFERROR(__xludf.DUMMYFUNCTION("""COMPUTED_VALUE"""),"BLACK")</f>
        <v>BLACK</v>
      </c>
      <c r="G4729" s="20" t="str">
        <f>IFERROR(__xludf.DUMMYFUNCTION("""COMPUTED_VALUE"""),"Uncle Sams Cider (04/04/2023)")</f>
        <v>Uncle Sams Cider (04/04/2023)</v>
      </c>
      <c r="H4729" s="19"/>
    </row>
    <row r="4730">
      <c r="A4730" s="9"/>
      <c r="B4730" s="15"/>
      <c r="C4730" s="9">
        <f>IFERROR(__xludf.DUMMYFUNCTION("""COMPUTED_VALUE"""),45095.1139196064)</f>
        <v>45095.11392</v>
      </c>
      <c r="D4730" s="15">
        <f>IFERROR(__xludf.DUMMYFUNCTION("""COMPUTED_VALUE"""),1.005)</f>
        <v>1.005</v>
      </c>
      <c r="E4730" s="16">
        <f>IFERROR(__xludf.DUMMYFUNCTION("""COMPUTED_VALUE"""),69.0)</f>
        <v>69</v>
      </c>
      <c r="F4730" s="19" t="str">
        <f>IFERROR(__xludf.DUMMYFUNCTION("""COMPUTED_VALUE"""),"BLACK")</f>
        <v>BLACK</v>
      </c>
      <c r="G4730" s="20" t="str">
        <f>IFERROR(__xludf.DUMMYFUNCTION("""COMPUTED_VALUE"""),"Uncle Sams Cider (04/04/2023)")</f>
        <v>Uncle Sams Cider (04/04/2023)</v>
      </c>
      <c r="H4730" s="19"/>
    </row>
    <row r="4731">
      <c r="A4731" s="9"/>
      <c r="B4731" s="15"/>
      <c r="C4731" s="9">
        <f>IFERROR(__xludf.DUMMYFUNCTION("""COMPUTED_VALUE"""),45095.0930650463)</f>
        <v>45095.09307</v>
      </c>
      <c r="D4731" s="15">
        <f>IFERROR(__xludf.DUMMYFUNCTION("""COMPUTED_VALUE"""),1.006)</f>
        <v>1.006</v>
      </c>
      <c r="E4731" s="16">
        <f>IFERROR(__xludf.DUMMYFUNCTION("""COMPUTED_VALUE"""),69.0)</f>
        <v>69</v>
      </c>
      <c r="F4731" s="19" t="str">
        <f>IFERROR(__xludf.DUMMYFUNCTION("""COMPUTED_VALUE"""),"BLACK")</f>
        <v>BLACK</v>
      </c>
      <c r="G4731" s="20" t="str">
        <f>IFERROR(__xludf.DUMMYFUNCTION("""COMPUTED_VALUE"""),"Uncle Sams Cider (04/04/2023)")</f>
        <v>Uncle Sams Cider (04/04/2023)</v>
      </c>
      <c r="H4731" s="19"/>
    </row>
    <row r="4732">
      <c r="A4732" s="9"/>
      <c r="B4732" s="15"/>
      <c r="C4732" s="9">
        <f>IFERROR(__xludf.DUMMYFUNCTION("""COMPUTED_VALUE"""),45095.0826445949)</f>
        <v>45095.08264</v>
      </c>
      <c r="D4732" s="15">
        <f>IFERROR(__xludf.DUMMYFUNCTION("""COMPUTED_VALUE"""),1.006)</f>
        <v>1.006</v>
      </c>
      <c r="E4732" s="16">
        <f>IFERROR(__xludf.DUMMYFUNCTION("""COMPUTED_VALUE"""),69.0)</f>
        <v>69</v>
      </c>
      <c r="F4732" s="19" t="str">
        <f>IFERROR(__xludf.DUMMYFUNCTION("""COMPUTED_VALUE"""),"BLACK")</f>
        <v>BLACK</v>
      </c>
      <c r="G4732" s="20" t="str">
        <f>IFERROR(__xludf.DUMMYFUNCTION("""COMPUTED_VALUE"""),"Uncle Sams Cider (04/04/2023)")</f>
        <v>Uncle Sams Cider (04/04/2023)</v>
      </c>
      <c r="H4732" s="19"/>
    </row>
    <row r="4733">
      <c r="A4733" s="9"/>
      <c r="B4733" s="15"/>
      <c r="C4733" s="9">
        <f>IFERROR(__xludf.DUMMYFUNCTION("""COMPUTED_VALUE"""),45095.0722120601)</f>
        <v>45095.07221</v>
      </c>
      <c r="D4733" s="15">
        <f>IFERROR(__xludf.DUMMYFUNCTION("""COMPUTED_VALUE"""),1.006)</f>
        <v>1.006</v>
      </c>
      <c r="E4733" s="16">
        <f>IFERROR(__xludf.DUMMYFUNCTION("""COMPUTED_VALUE"""),69.0)</f>
        <v>69</v>
      </c>
      <c r="F4733" s="19" t="str">
        <f>IFERROR(__xludf.DUMMYFUNCTION("""COMPUTED_VALUE"""),"BLACK")</f>
        <v>BLACK</v>
      </c>
      <c r="G4733" s="20" t="str">
        <f>IFERROR(__xludf.DUMMYFUNCTION("""COMPUTED_VALUE"""),"Uncle Sams Cider (04/04/2023)")</f>
        <v>Uncle Sams Cider (04/04/2023)</v>
      </c>
      <c r="H4733" s="19"/>
    </row>
    <row r="4734">
      <c r="A4734" s="9"/>
      <c r="B4734" s="15"/>
      <c r="C4734" s="9">
        <f>IFERROR(__xludf.DUMMYFUNCTION("""COMPUTED_VALUE"""),45095.0617804861)</f>
        <v>45095.06178</v>
      </c>
      <c r="D4734" s="15">
        <f>IFERROR(__xludf.DUMMYFUNCTION("""COMPUTED_VALUE"""),1.006)</f>
        <v>1.006</v>
      </c>
      <c r="E4734" s="16">
        <f>IFERROR(__xludf.DUMMYFUNCTION("""COMPUTED_VALUE"""),69.0)</f>
        <v>69</v>
      </c>
      <c r="F4734" s="19" t="str">
        <f>IFERROR(__xludf.DUMMYFUNCTION("""COMPUTED_VALUE"""),"BLACK")</f>
        <v>BLACK</v>
      </c>
      <c r="G4734" s="20" t="str">
        <f>IFERROR(__xludf.DUMMYFUNCTION("""COMPUTED_VALUE"""),"Uncle Sams Cider (04/04/2023)")</f>
        <v>Uncle Sams Cider (04/04/2023)</v>
      </c>
      <c r="H4734" s="19"/>
    </row>
    <row r="4735">
      <c r="A4735" s="9"/>
      <c r="B4735" s="15"/>
      <c r="C4735" s="9">
        <f>IFERROR(__xludf.DUMMYFUNCTION("""COMPUTED_VALUE"""),45095.0513585069)</f>
        <v>45095.05136</v>
      </c>
      <c r="D4735" s="15">
        <f>IFERROR(__xludf.DUMMYFUNCTION("""COMPUTED_VALUE"""),1.005)</f>
        <v>1.005</v>
      </c>
      <c r="E4735" s="16">
        <f>IFERROR(__xludf.DUMMYFUNCTION("""COMPUTED_VALUE"""),69.0)</f>
        <v>69</v>
      </c>
      <c r="F4735" s="19" t="str">
        <f>IFERROR(__xludf.DUMMYFUNCTION("""COMPUTED_VALUE"""),"BLACK")</f>
        <v>BLACK</v>
      </c>
      <c r="G4735" s="20" t="str">
        <f>IFERROR(__xludf.DUMMYFUNCTION("""COMPUTED_VALUE"""),"Uncle Sams Cider (04/04/2023)")</f>
        <v>Uncle Sams Cider (04/04/2023)</v>
      </c>
      <c r="H4735" s="19"/>
    </row>
    <row r="4736">
      <c r="A4736" s="9"/>
      <c r="B4736" s="15"/>
      <c r="C4736" s="9">
        <f>IFERROR(__xludf.DUMMYFUNCTION("""COMPUTED_VALUE"""),45095.0409382175)</f>
        <v>45095.04094</v>
      </c>
      <c r="D4736" s="15">
        <f>IFERROR(__xludf.DUMMYFUNCTION("""COMPUTED_VALUE"""),1.005)</f>
        <v>1.005</v>
      </c>
      <c r="E4736" s="16">
        <f>IFERROR(__xludf.DUMMYFUNCTION("""COMPUTED_VALUE"""),69.0)</f>
        <v>69</v>
      </c>
      <c r="F4736" s="19" t="str">
        <f>IFERROR(__xludf.DUMMYFUNCTION("""COMPUTED_VALUE"""),"BLACK")</f>
        <v>BLACK</v>
      </c>
      <c r="G4736" s="20" t="str">
        <f>IFERROR(__xludf.DUMMYFUNCTION("""COMPUTED_VALUE"""),"Uncle Sams Cider (04/04/2023)")</f>
        <v>Uncle Sams Cider (04/04/2023)</v>
      </c>
      <c r="H4736" s="19"/>
    </row>
    <row r="4737">
      <c r="A4737" s="9"/>
      <c r="B4737" s="15"/>
      <c r="C4737" s="9">
        <f>IFERROR(__xludf.DUMMYFUNCTION("""COMPUTED_VALUE"""),45095.0305073958)</f>
        <v>45095.03051</v>
      </c>
      <c r="D4737" s="15">
        <f>IFERROR(__xludf.DUMMYFUNCTION("""COMPUTED_VALUE"""),1.006)</f>
        <v>1.006</v>
      </c>
      <c r="E4737" s="16">
        <f>IFERROR(__xludf.DUMMYFUNCTION("""COMPUTED_VALUE"""),69.0)</f>
        <v>69</v>
      </c>
      <c r="F4737" s="19" t="str">
        <f>IFERROR(__xludf.DUMMYFUNCTION("""COMPUTED_VALUE"""),"BLACK")</f>
        <v>BLACK</v>
      </c>
      <c r="G4737" s="20" t="str">
        <f>IFERROR(__xludf.DUMMYFUNCTION("""COMPUTED_VALUE"""),"Uncle Sams Cider (04/04/2023)")</f>
        <v>Uncle Sams Cider (04/04/2023)</v>
      </c>
      <c r="H4737" s="19"/>
    </row>
    <row r="4738">
      <c r="A4738" s="9"/>
      <c r="B4738" s="15"/>
      <c r="C4738" s="9">
        <f>IFERROR(__xludf.DUMMYFUNCTION("""COMPUTED_VALUE"""),45095.0200847453)</f>
        <v>45095.02008</v>
      </c>
      <c r="D4738" s="15">
        <f>IFERROR(__xludf.DUMMYFUNCTION("""COMPUTED_VALUE"""),1.006)</f>
        <v>1.006</v>
      </c>
      <c r="E4738" s="16">
        <f>IFERROR(__xludf.DUMMYFUNCTION("""COMPUTED_VALUE"""),69.0)</f>
        <v>69</v>
      </c>
      <c r="F4738" s="19" t="str">
        <f>IFERROR(__xludf.DUMMYFUNCTION("""COMPUTED_VALUE"""),"BLACK")</f>
        <v>BLACK</v>
      </c>
      <c r="G4738" s="20" t="str">
        <f>IFERROR(__xludf.DUMMYFUNCTION("""COMPUTED_VALUE"""),"Uncle Sams Cider (04/04/2023)")</f>
        <v>Uncle Sams Cider (04/04/2023)</v>
      </c>
      <c r="H4738" s="19"/>
    </row>
    <row r="4739">
      <c r="A4739" s="9"/>
      <c r="B4739" s="15"/>
      <c r="C4739" s="9">
        <f>IFERROR(__xludf.DUMMYFUNCTION("""COMPUTED_VALUE"""),45095.0096517361)</f>
        <v>45095.00965</v>
      </c>
      <c r="D4739" s="15">
        <f>IFERROR(__xludf.DUMMYFUNCTION("""COMPUTED_VALUE"""),1.006)</f>
        <v>1.006</v>
      </c>
      <c r="E4739" s="16">
        <f>IFERROR(__xludf.DUMMYFUNCTION("""COMPUTED_VALUE"""),69.0)</f>
        <v>69</v>
      </c>
      <c r="F4739" s="19" t="str">
        <f>IFERROR(__xludf.DUMMYFUNCTION("""COMPUTED_VALUE"""),"BLACK")</f>
        <v>BLACK</v>
      </c>
      <c r="G4739" s="20" t="str">
        <f>IFERROR(__xludf.DUMMYFUNCTION("""COMPUTED_VALUE"""),"Uncle Sams Cider (04/04/2023)")</f>
        <v>Uncle Sams Cider (04/04/2023)</v>
      </c>
      <c r="H4739" s="19"/>
    </row>
    <row r="4740">
      <c r="A4740" s="9"/>
      <c r="B4740" s="15"/>
      <c r="C4740" s="9">
        <f>IFERROR(__xludf.DUMMYFUNCTION("""COMPUTED_VALUE"""),45094.9992168981)</f>
        <v>45094.99922</v>
      </c>
      <c r="D4740" s="15">
        <f>IFERROR(__xludf.DUMMYFUNCTION("""COMPUTED_VALUE"""),1.006)</f>
        <v>1.006</v>
      </c>
      <c r="E4740" s="16">
        <f>IFERROR(__xludf.DUMMYFUNCTION("""COMPUTED_VALUE"""),69.0)</f>
        <v>69</v>
      </c>
      <c r="F4740" s="19" t="str">
        <f>IFERROR(__xludf.DUMMYFUNCTION("""COMPUTED_VALUE"""),"BLACK")</f>
        <v>BLACK</v>
      </c>
      <c r="G4740" s="20" t="str">
        <f>IFERROR(__xludf.DUMMYFUNCTION("""COMPUTED_VALUE"""),"Uncle Sams Cider (04/04/2023)")</f>
        <v>Uncle Sams Cider (04/04/2023)</v>
      </c>
      <c r="H4740" s="19"/>
    </row>
    <row r="4741">
      <c r="A4741" s="9"/>
      <c r="B4741" s="15"/>
      <c r="C4741" s="9">
        <f>IFERROR(__xludf.DUMMYFUNCTION("""COMPUTED_VALUE"""),45094.9887838078)</f>
        <v>45094.98878</v>
      </c>
      <c r="D4741" s="15">
        <f>IFERROR(__xludf.DUMMYFUNCTION("""COMPUTED_VALUE"""),1.005)</f>
        <v>1.005</v>
      </c>
      <c r="E4741" s="16">
        <f>IFERROR(__xludf.DUMMYFUNCTION("""COMPUTED_VALUE"""),69.0)</f>
        <v>69</v>
      </c>
      <c r="F4741" s="19" t="str">
        <f>IFERROR(__xludf.DUMMYFUNCTION("""COMPUTED_VALUE"""),"BLACK")</f>
        <v>BLACK</v>
      </c>
      <c r="G4741" s="20" t="str">
        <f>IFERROR(__xludf.DUMMYFUNCTION("""COMPUTED_VALUE"""),"Uncle Sams Cider (04/04/2023)")</f>
        <v>Uncle Sams Cider (04/04/2023)</v>
      </c>
      <c r="H4741" s="19"/>
    </row>
    <row r="4742">
      <c r="A4742" s="9"/>
      <c r="B4742" s="15"/>
      <c r="C4742" s="9">
        <f>IFERROR(__xludf.DUMMYFUNCTION("""COMPUTED_VALUE"""),45094.9783617824)</f>
        <v>45094.97836</v>
      </c>
      <c r="D4742" s="15">
        <f>IFERROR(__xludf.DUMMYFUNCTION("""COMPUTED_VALUE"""),1.006)</f>
        <v>1.006</v>
      </c>
      <c r="E4742" s="16">
        <f>IFERROR(__xludf.DUMMYFUNCTION("""COMPUTED_VALUE"""),69.0)</f>
        <v>69</v>
      </c>
      <c r="F4742" s="19" t="str">
        <f>IFERROR(__xludf.DUMMYFUNCTION("""COMPUTED_VALUE"""),"BLACK")</f>
        <v>BLACK</v>
      </c>
      <c r="G4742" s="20" t="str">
        <f>IFERROR(__xludf.DUMMYFUNCTION("""COMPUTED_VALUE"""),"Uncle Sams Cider (04/04/2023)")</f>
        <v>Uncle Sams Cider (04/04/2023)</v>
      </c>
      <c r="H4742" s="19"/>
    </row>
    <row r="4743">
      <c r="A4743" s="9"/>
      <c r="B4743" s="15"/>
      <c r="C4743" s="9">
        <f>IFERROR(__xludf.DUMMYFUNCTION("""COMPUTED_VALUE"""),45094.9679408101)</f>
        <v>45094.96794</v>
      </c>
      <c r="D4743" s="15">
        <f>IFERROR(__xludf.DUMMYFUNCTION("""COMPUTED_VALUE"""),1.006)</f>
        <v>1.006</v>
      </c>
      <c r="E4743" s="16">
        <f>IFERROR(__xludf.DUMMYFUNCTION("""COMPUTED_VALUE"""),69.0)</f>
        <v>69</v>
      </c>
      <c r="F4743" s="19" t="str">
        <f>IFERROR(__xludf.DUMMYFUNCTION("""COMPUTED_VALUE"""),"BLACK")</f>
        <v>BLACK</v>
      </c>
      <c r="G4743" s="20" t="str">
        <f>IFERROR(__xludf.DUMMYFUNCTION("""COMPUTED_VALUE"""),"Uncle Sams Cider (04/04/2023)")</f>
        <v>Uncle Sams Cider (04/04/2023)</v>
      </c>
      <c r="H4743" s="19"/>
    </row>
    <row r="4744">
      <c r="A4744" s="9"/>
      <c r="B4744" s="15"/>
      <c r="C4744" s="9">
        <f>IFERROR(__xludf.DUMMYFUNCTION("""COMPUTED_VALUE"""),45094.9575198263)</f>
        <v>45094.95752</v>
      </c>
      <c r="D4744" s="15">
        <f>IFERROR(__xludf.DUMMYFUNCTION("""COMPUTED_VALUE"""),1.006)</f>
        <v>1.006</v>
      </c>
      <c r="E4744" s="16">
        <f>IFERROR(__xludf.DUMMYFUNCTION("""COMPUTED_VALUE"""),69.0)</f>
        <v>69</v>
      </c>
      <c r="F4744" s="19" t="str">
        <f>IFERROR(__xludf.DUMMYFUNCTION("""COMPUTED_VALUE"""),"BLACK")</f>
        <v>BLACK</v>
      </c>
      <c r="G4744" s="20" t="str">
        <f>IFERROR(__xludf.DUMMYFUNCTION("""COMPUTED_VALUE"""),"Uncle Sams Cider (04/04/2023)")</f>
        <v>Uncle Sams Cider (04/04/2023)</v>
      </c>
      <c r="H4744" s="19"/>
    </row>
    <row r="4745">
      <c r="A4745" s="9"/>
      <c r="B4745" s="15"/>
      <c r="C4745" s="9">
        <f>IFERROR(__xludf.DUMMYFUNCTION("""COMPUTED_VALUE"""),45094.9470993518)</f>
        <v>45094.9471</v>
      </c>
      <c r="D4745" s="15">
        <f>IFERROR(__xludf.DUMMYFUNCTION("""COMPUTED_VALUE"""),1.006)</f>
        <v>1.006</v>
      </c>
      <c r="E4745" s="16">
        <f>IFERROR(__xludf.DUMMYFUNCTION("""COMPUTED_VALUE"""),69.0)</f>
        <v>69</v>
      </c>
      <c r="F4745" s="19" t="str">
        <f>IFERROR(__xludf.DUMMYFUNCTION("""COMPUTED_VALUE"""),"BLACK")</f>
        <v>BLACK</v>
      </c>
      <c r="G4745" s="20" t="str">
        <f>IFERROR(__xludf.DUMMYFUNCTION("""COMPUTED_VALUE"""),"Uncle Sams Cider (04/04/2023)")</f>
        <v>Uncle Sams Cider (04/04/2023)</v>
      </c>
      <c r="H4745" s="19"/>
    </row>
    <row r="4746">
      <c r="A4746" s="9"/>
      <c r="B4746" s="15"/>
      <c r="C4746" s="9">
        <f>IFERROR(__xludf.DUMMYFUNCTION("""COMPUTED_VALUE"""),45094.9366659143)</f>
        <v>45094.93667</v>
      </c>
      <c r="D4746" s="15">
        <f>IFERROR(__xludf.DUMMYFUNCTION("""COMPUTED_VALUE"""),1.006)</f>
        <v>1.006</v>
      </c>
      <c r="E4746" s="16">
        <f>IFERROR(__xludf.DUMMYFUNCTION("""COMPUTED_VALUE"""),69.0)</f>
        <v>69</v>
      </c>
      <c r="F4746" s="19" t="str">
        <f>IFERROR(__xludf.DUMMYFUNCTION("""COMPUTED_VALUE"""),"BLACK")</f>
        <v>BLACK</v>
      </c>
      <c r="G4746" s="20" t="str">
        <f>IFERROR(__xludf.DUMMYFUNCTION("""COMPUTED_VALUE"""),"Uncle Sams Cider (04/04/2023)")</f>
        <v>Uncle Sams Cider (04/04/2023)</v>
      </c>
      <c r="H4746" s="19"/>
    </row>
    <row r="4747">
      <c r="A4747" s="9"/>
      <c r="B4747" s="15"/>
      <c r="C4747" s="9">
        <f>IFERROR(__xludf.DUMMYFUNCTION("""COMPUTED_VALUE"""),45094.9262448264)</f>
        <v>45094.92624</v>
      </c>
      <c r="D4747" s="15">
        <f>IFERROR(__xludf.DUMMYFUNCTION("""COMPUTED_VALUE"""),1.006)</f>
        <v>1.006</v>
      </c>
      <c r="E4747" s="16">
        <f>IFERROR(__xludf.DUMMYFUNCTION("""COMPUTED_VALUE"""),69.0)</f>
        <v>69</v>
      </c>
      <c r="F4747" s="19" t="str">
        <f>IFERROR(__xludf.DUMMYFUNCTION("""COMPUTED_VALUE"""),"BLACK")</f>
        <v>BLACK</v>
      </c>
      <c r="G4747" s="20" t="str">
        <f>IFERROR(__xludf.DUMMYFUNCTION("""COMPUTED_VALUE"""),"Uncle Sams Cider (04/04/2023)")</f>
        <v>Uncle Sams Cider (04/04/2023)</v>
      </c>
      <c r="H4747" s="19"/>
    </row>
    <row r="4748">
      <c r="A4748" s="9"/>
      <c r="B4748" s="15"/>
      <c r="C4748" s="9">
        <f>IFERROR(__xludf.DUMMYFUNCTION("""COMPUTED_VALUE"""),45094.9158235879)</f>
        <v>45094.91582</v>
      </c>
      <c r="D4748" s="15">
        <f>IFERROR(__xludf.DUMMYFUNCTION("""COMPUTED_VALUE"""),1.006)</f>
        <v>1.006</v>
      </c>
      <c r="E4748" s="16">
        <f>IFERROR(__xludf.DUMMYFUNCTION("""COMPUTED_VALUE"""),69.0)</f>
        <v>69</v>
      </c>
      <c r="F4748" s="19" t="str">
        <f>IFERROR(__xludf.DUMMYFUNCTION("""COMPUTED_VALUE"""),"BLACK")</f>
        <v>BLACK</v>
      </c>
      <c r="G4748" s="20" t="str">
        <f>IFERROR(__xludf.DUMMYFUNCTION("""COMPUTED_VALUE"""),"Uncle Sams Cider (04/04/2023)")</f>
        <v>Uncle Sams Cider (04/04/2023)</v>
      </c>
      <c r="H4748" s="19"/>
    </row>
    <row r="4749">
      <c r="A4749" s="9"/>
      <c r="B4749" s="15"/>
      <c r="C4749" s="9">
        <f>IFERROR(__xludf.DUMMYFUNCTION("""COMPUTED_VALUE"""),45094.905390324)</f>
        <v>45094.90539</v>
      </c>
      <c r="D4749" s="15">
        <f>IFERROR(__xludf.DUMMYFUNCTION("""COMPUTED_VALUE"""),1.006)</f>
        <v>1.006</v>
      </c>
      <c r="E4749" s="16">
        <f>IFERROR(__xludf.DUMMYFUNCTION("""COMPUTED_VALUE"""),69.0)</f>
        <v>69</v>
      </c>
      <c r="F4749" s="19" t="str">
        <f>IFERROR(__xludf.DUMMYFUNCTION("""COMPUTED_VALUE"""),"BLACK")</f>
        <v>BLACK</v>
      </c>
      <c r="G4749" s="20" t="str">
        <f>IFERROR(__xludf.DUMMYFUNCTION("""COMPUTED_VALUE"""),"Uncle Sams Cider (04/04/2023)")</f>
        <v>Uncle Sams Cider (04/04/2023)</v>
      </c>
      <c r="H4749" s="19"/>
    </row>
    <row r="4750">
      <c r="A4750" s="9"/>
      <c r="B4750" s="15"/>
      <c r="C4750" s="9">
        <f>IFERROR(__xludf.DUMMYFUNCTION("""COMPUTED_VALUE"""),45094.8949346064)</f>
        <v>45094.89493</v>
      </c>
      <c r="D4750" s="15">
        <f>IFERROR(__xludf.DUMMYFUNCTION("""COMPUTED_VALUE"""),1.006)</f>
        <v>1.006</v>
      </c>
      <c r="E4750" s="16">
        <f>IFERROR(__xludf.DUMMYFUNCTION("""COMPUTED_VALUE"""),69.0)</f>
        <v>69</v>
      </c>
      <c r="F4750" s="19" t="str">
        <f>IFERROR(__xludf.DUMMYFUNCTION("""COMPUTED_VALUE"""),"BLACK")</f>
        <v>BLACK</v>
      </c>
      <c r="G4750" s="20" t="str">
        <f>IFERROR(__xludf.DUMMYFUNCTION("""COMPUTED_VALUE"""),"Uncle Sams Cider (04/04/2023)")</f>
        <v>Uncle Sams Cider (04/04/2023)</v>
      </c>
      <c r="H4750" s="19"/>
    </row>
    <row r="4751">
      <c r="A4751" s="9"/>
      <c r="B4751" s="15"/>
      <c r="C4751" s="9">
        <f>IFERROR(__xludf.DUMMYFUNCTION("""COMPUTED_VALUE"""),45094.8845012037)</f>
        <v>45094.8845</v>
      </c>
      <c r="D4751" s="15">
        <f>IFERROR(__xludf.DUMMYFUNCTION("""COMPUTED_VALUE"""),1.006)</f>
        <v>1.006</v>
      </c>
      <c r="E4751" s="16">
        <f>IFERROR(__xludf.DUMMYFUNCTION("""COMPUTED_VALUE"""),69.0)</f>
        <v>69</v>
      </c>
      <c r="F4751" s="19" t="str">
        <f>IFERROR(__xludf.DUMMYFUNCTION("""COMPUTED_VALUE"""),"BLACK")</f>
        <v>BLACK</v>
      </c>
      <c r="G4751" s="20" t="str">
        <f>IFERROR(__xludf.DUMMYFUNCTION("""COMPUTED_VALUE"""),"Uncle Sams Cider (04/04/2023)")</f>
        <v>Uncle Sams Cider (04/04/2023)</v>
      </c>
      <c r="H4751" s="19"/>
    </row>
    <row r="4752">
      <c r="A4752" s="9"/>
      <c r="B4752" s="15"/>
      <c r="C4752" s="9">
        <f>IFERROR(__xludf.DUMMYFUNCTION("""COMPUTED_VALUE"""),45094.8740692129)</f>
        <v>45094.87407</v>
      </c>
      <c r="D4752" s="15">
        <f>IFERROR(__xludf.DUMMYFUNCTION("""COMPUTED_VALUE"""),1.005)</f>
        <v>1.005</v>
      </c>
      <c r="E4752" s="16">
        <f>IFERROR(__xludf.DUMMYFUNCTION("""COMPUTED_VALUE"""),69.0)</f>
        <v>69</v>
      </c>
      <c r="F4752" s="19" t="str">
        <f>IFERROR(__xludf.DUMMYFUNCTION("""COMPUTED_VALUE"""),"BLACK")</f>
        <v>BLACK</v>
      </c>
      <c r="G4752" s="20" t="str">
        <f>IFERROR(__xludf.DUMMYFUNCTION("""COMPUTED_VALUE"""),"Uncle Sams Cider (04/04/2023)")</f>
        <v>Uncle Sams Cider (04/04/2023)</v>
      </c>
      <c r="H4752" s="19"/>
    </row>
    <row r="4753">
      <c r="A4753" s="9"/>
      <c r="B4753" s="15"/>
      <c r="C4753" s="9">
        <f>IFERROR(__xludf.DUMMYFUNCTION("""COMPUTED_VALUE"""),45094.8636489467)</f>
        <v>45094.86365</v>
      </c>
      <c r="D4753" s="15">
        <f>IFERROR(__xludf.DUMMYFUNCTION("""COMPUTED_VALUE"""),1.006)</f>
        <v>1.006</v>
      </c>
      <c r="E4753" s="16">
        <f>IFERROR(__xludf.DUMMYFUNCTION("""COMPUTED_VALUE"""),69.0)</f>
        <v>69</v>
      </c>
      <c r="F4753" s="19" t="str">
        <f>IFERROR(__xludf.DUMMYFUNCTION("""COMPUTED_VALUE"""),"BLACK")</f>
        <v>BLACK</v>
      </c>
      <c r="G4753" s="20" t="str">
        <f>IFERROR(__xludf.DUMMYFUNCTION("""COMPUTED_VALUE"""),"Uncle Sams Cider (04/04/2023)")</f>
        <v>Uncle Sams Cider (04/04/2023)</v>
      </c>
      <c r="H4753" s="19"/>
    </row>
    <row r="4754">
      <c r="A4754" s="9"/>
      <c r="B4754" s="15"/>
      <c r="C4754" s="9">
        <f>IFERROR(__xludf.DUMMYFUNCTION("""COMPUTED_VALUE"""),45094.8532037731)</f>
        <v>45094.8532</v>
      </c>
      <c r="D4754" s="15">
        <f>IFERROR(__xludf.DUMMYFUNCTION("""COMPUTED_VALUE"""),1.006)</f>
        <v>1.006</v>
      </c>
      <c r="E4754" s="16">
        <f>IFERROR(__xludf.DUMMYFUNCTION("""COMPUTED_VALUE"""),69.0)</f>
        <v>69</v>
      </c>
      <c r="F4754" s="19" t="str">
        <f>IFERROR(__xludf.DUMMYFUNCTION("""COMPUTED_VALUE"""),"BLACK")</f>
        <v>BLACK</v>
      </c>
      <c r="G4754" s="20" t="str">
        <f>IFERROR(__xludf.DUMMYFUNCTION("""COMPUTED_VALUE"""),"Uncle Sams Cider (04/04/2023)")</f>
        <v>Uncle Sams Cider (04/04/2023)</v>
      </c>
      <c r="H4754" s="19"/>
    </row>
    <row r="4755">
      <c r="A4755" s="9"/>
      <c r="B4755" s="15"/>
      <c r="C4755" s="9">
        <f>IFERROR(__xludf.DUMMYFUNCTION("""COMPUTED_VALUE"""),45094.8427699768)</f>
        <v>45094.84277</v>
      </c>
      <c r="D4755" s="15">
        <f>IFERROR(__xludf.DUMMYFUNCTION("""COMPUTED_VALUE"""),1.006)</f>
        <v>1.006</v>
      </c>
      <c r="E4755" s="16">
        <f>IFERROR(__xludf.DUMMYFUNCTION("""COMPUTED_VALUE"""),69.0)</f>
        <v>69</v>
      </c>
      <c r="F4755" s="19" t="str">
        <f>IFERROR(__xludf.DUMMYFUNCTION("""COMPUTED_VALUE"""),"BLACK")</f>
        <v>BLACK</v>
      </c>
      <c r="G4755" s="20" t="str">
        <f>IFERROR(__xludf.DUMMYFUNCTION("""COMPUTED_VALUE"""),"Uncle Sams Cider (04/04/2023)")</f>
        <v>Uncle Sams Cider (04/04/2023)</v>
      </c>
      <c r="H4755" s="19"/>
    </row>
    <row r="4756">
      <c r="A4756" s="9"/>
      <c r="B4756" s="15"/>
      <c r="C4756" s="9">
        <f>IFERROR(__xludf.DUMMYFUNCTION("""COMPUTED_VALUE"""),45094.8323500347)</f>
        <v>45094.83235</v>
      </c>
      <c r="D4756" s="15">
        <f>IFERROR(__xludf.DUMMYFUNCTION("""COMPUTED_VALUE"""),1.006)</f>
        <v>1.006</v>
      </c>
      <c r="E4756" s="16">
        <f>IFERROR(__xludf.DUMMYFUNCTION("""COMPUTED_VALUE"""),69.0)</f>
        <v>69</v>
      </c>
      <c r="F4756" s="19" t="str">
        <f>IFERROR(__xludf.DUMMYFUNCTION("""COMPUTED_VALUE"""),"BLACK")</f>
        <v>BLACK</v>
      </c>
      <c r="G4756" s="20" t="str">
        <f>IFERROR(__xludf.DUMMYFUNCTION("""COMPUTED_VALUE"""),"Uncle Sams Cider (04/04/2023)")</f>
        <v>Uncle Sams Cider (04/04/2023)</v>
      </c>
      <c r="H4756" s="19"/>
    </row>
    <row r="4757">
      <c r="A4757" s="9"/>
      <c r="B4757" s="15"/>
      <c r="C4757" s="9">
        <f>IFERROR(__xludf.DUMMYFUNCTION("""COMPUTED_VALUE"""),45094.8219174537)</f>
        <v>45094.82192</v>
      </c>
      <c r="D4757" s="15">
        <f>IFERROR(__xludf.DUMMYFUNCTION("""COMPUTED_VALUE"""),1.006)</f>
        <v>1.006</v>
      </c>
      <c r="E4757" s="16">
        <f>IFERROR(__xludf.DUMMYFUNCTION("""COMPUTED_VALUE"""),69.0)</f>
        <v>69</v>
      </c>
      <c r="F4757" s="19" t="str">
        <f>IFERROR(__xludf.DUMMYFUNCTION("""COMPUTED_VALUE"""),"BLACK")</f>
        <v>BLACK</v>
      </c>
      <c r="G4757" s="20" t="str">
        <f>IFERROR(__xludf.DUMMYFUNCTION("""COMPUTED_VALUE"""),"Uncle Sams Cider (04/04/2023)")</f>
        <v>Uncle Sams Cider (04/04/2023)</v>
      </c>
      <c r="H4757" s="19"/>
    </row>
    <row r="4758">
      <c r="A4758" s="9"/>
      <c r="B4758" s="15"/>
      <c r="C4758" s="9">
        <f>IFERROR(__xludf.DUMMYFUNCTION("""COMPUTED_VALUE"""),45094.8114963773)</f>
        <v>45094.8115</v>
      </c>
      <c r="D4758" s="15">
        <f>IFERROR(__xludf.DUMMYFUNCTION("""COMPUTED_VALUE"""),1.006)</f>
        <v>1.006</v>
      </c>
      <c r="E4758" s="16">
        <f>IFERROR(__xludf.DUMMYFUNCTION("""COMPUTED_VALUE"""),69.0)</f>
        <v>69</v>
      </c>
      <c r="F4758" s="19" t="str">
        <f>IFERROR(__xludf.DUMMYFUNCTION("""COMPUTED_VALUE"""),"BLACK")</f>
        <v>BLACK</v>
      </c>
      <c r="G4758" s="20" t="str">
        <f>IFERROR(__xludf.DUMMYFUNCTION("""COMPUTED_VALUE"""),"Uncle Sams Cider (04/04/2023)")</f>
        <v>Uncle Sams Cider (04/04/2023)</v>
      </c>
      <c r="H4758" s="19"/>
    </row>
    <row r="4759">
      <c r="A4759" s="9"/>
      <c r="B4759" s="15"/>
      <c r="C4759" s="9">
        <f>IFERROR(__xludf.DUMMYFUNCTION("""COMPUTED_VALUE"""),45094.8010634259)</f>
        <v>45094.80106</v>
      </c>
      <c r="D4759" s="15">
        <f>IFERROR(__xludf.DUMMYFUNCTION("""COMPUTED_VALUE"""),1.006)</f>
        <v>1.006</v>
      </c>
      <c r="E4759" s="16">
        <f>IFERROR(__xludf.DUMMYFUNCTION("""COMPUTED_VALUE"""),69.0)</f>
        <v>69</v>
      </c>
      <c r="F4759" s="19" t="str">
        <f>IFERROR(__xludf.DUMMYFUNCTION("""COMPUTED_VALUE"""),"BLACK")</f>
        <v>BLACK</v>
      </c>
      <c r="G4759" s="20" t="str">
        <f>IFERROR(__xludf.DUMMYFUNCTION("""COMPUTED_VALUE"""),"Uncle Sams Cider (04/04/2023)")</f>
        <v>Uncle Sams Cider (04/04/2023)</v>
      </c>
      <c r="H4759" s="19"/>
    </row>
    <row r="4760">
      <c r="A4760" s="9"/>
      <c r="B4760" s="15"/>
      <c r="C4760" s="9">
        <f>IFERROR(__xludf.DUMMYFUNCTION("""COMPUTED_VALUE"""),45094.7906408564)</f>
        <v>45094.79064</v>
      </c>
      <c r="D4760" s="15">
        <f>IFERROR(__xludf.DUMMYFUNCTION("""COMPUTED_VALUE"""),1.005)</f>
        <v>1.005</v>
      </c>
      <c r="E4760" s="16">
        <f>IFERROR(__xludf.DUMMYFUNCTION("""COMPUTED_VALUE"""),69.0)</f>
        <v>69</v>
      </c>
      <c r="F4760" s="19" t="str">
        <f>IFERROR(__xludf.DUMMYFUNCTION("""COMPUTED_VALUE"""),"BLACK")</f>
        <v>BLACK</v>
      </c>
      <c r="G4760" s="20" t="str">
        <f>IFERROR(__xludf.DUMMYFUNCTION("""COMPUTED_VALUE"""),"Uncle Sams Cider (04/04/2023)")</f>
        <v>Uncle Sams Cider (04/04/2023)</v>
      </c>
      <c r="H4760" s="19"/>
    </row>
    <row r="4761">
      <c r="A4761" s="9"/>
      <c r="B4761" s="15"/>
      <c r="C4761" s="9">
        <f>IFERROR(__xludf.DUMMYFUNCTION("""COMPUTED_VALUE"""),45094.7802193865)</f>
        <v>45094.78022</v>
      </c>
      <c r="D4761" s="15">
        <f>IFERROR(__xludf.DUMMYFUNCTION("""COMPUTED_VALUE"""),1.006)</f>
        <v>1.006</v>
      </c>
      <c r="E4761" s="16">
        <f>IFERROR(__xludf.DUMMYFUNCTION("""COMPUTED_VALUE"""),69.0)</f>
        <v>69</v>
      </c>
      <c r="F4761" s="19" t="str">
        <f>IFERROR(__xludf.DUMMYFUNCTION("""COMPUTED_VALUE"""),"BLACK")</f>
        <v>BLACK</v>
      </c>
      <c r="G4761" s="20" t="str">
        <f>IFERROR(__xludf.DUMMYFUNCTION("""COMPUTED_VALUE"""),"Uncle Sams Cider (04/04/2023)")</f>
        <v>Uncle Sams Cider (04/04/2023)</v>
      </c>
      <c r="H4761" s="19"/>
    </row>
    <row r="4762">
      <c r="A4762" s="9"/>
      <c r="B4762" s="15"/>
      <c r="C4762" s="9">
        <f>IFERROR(__xludf.DUMMYFUNCTION("""COMPUTED_VALUE"""),45094.7697987731)</f>
        <v>45094.7698</v>
      </c>
      <c r="D4762" s="15">
        <f>IFERROR(__xludf.DUMMYFUNCTION("""COMPUTED_VALUE"""),1.006)</f>
        <v>1.006</v>
      </c>
      <c r="E4762" s="16">
        <f>IFERROR(__xludf.DUMMYFUNCTION("""COMPUTED_VALUE"""),69.0)</f>
        <v>69</v>
      </c>
      <c r="F4762" s="19" t="str">
        <f>IFERROR(__xludf.DUMMYFUNCTION("""COMPUTED_VALUE"""),"BLACK")</f>
        <v>BLACK</v>
      </c>
      <c r="G4762" s="20" t="str">
        <f>IFERROR(__xludf.DUMMYFUNCTION("""COMPUTED_VALUE"""),"Uncle Sams Cider (04/04/2023)")</f>
        <v>Uncle Sams Cider (04/04/2023)</v>
      </c>
      <c r="H4762" s="19"/>
    </row>
    <row r="4763">
      <c r="A4763" s="9"/>
      <c r="B4763" s="15"/>
      <c r="C4763" s="9">
        <f>IFERROR(__xludf.DUMMYFUNCTION("""COMPUTED_VALUE"""),45094.7593773379)</f>
        <v>45094.75938</v>
      </c>
      <c r="D4763" s="15">
        <f>IFERROR(__xludf.DUMMYFUNCTION("""COMPUTED_VALUE"""),1.005)</f>
        <v>1.005</v>
      </c>
      <c r="E4763" s="16">
        <f>IFERROR(__xludf.DUMMYFUNCTION("""COMPUTED_VALUE"""),69.0)</f>
        <v>69</v>
      </c>
      <c r="F4763" s="19" t="str">
        <f>IFERROR(__xludf.DUMMYFUNCTION("""COMPUTED_VALUE"""),"BLACK")</f>
        <v>BLACK</v>
      </c>
      <c r="G4763" s="20" t="str">
        <f>IFERROR(__xludf.DUMMYFUNCTION("""COMPUTED_VALUE"""),"Uncle Sams Cider (04/04/2023)")</f>
        <v>Uncle Sams Cider (04/04/2023)</v>
      </c>
      <c r="H4763" s="19"/>
    </row>
    <row r="4764">
      <c r="A4764" s="9"/>
      <c r="B4764" s="15"/>
      <c r="C4764" s="9">
        <f>IFERROR(__xludf.DUMMYFUNCTION("""COMPUTED_VALUE"""),45094.7489567939)</f>
        <v>45094.74896</v>
      </c>
      <c r="D4764" s="15">
        <f>IFERROR(__xludf.DUMMYFUNCTION("""COMPUTED_VALUE"""),1.006)</f>
        <v>1.006</v>
      </c>
      <c r="E4764" s="16">
        <f>IFERROR(__xludf.DUMMYFUNCTION("""COMPUTED_VALUE"""),69.0)</f>
        <v>69</v>
      </c>
      <c r="F4764" s="19" t="str">
        <f>IFERROR(__xludf.DUMMYFUNCTION("""COMPUTED_VALUE"""),"BLACK")</f>
        <v>BLACK</v>
      </c>
      <c r="G4764" s="20" t="str">
        <f>IFERROR(__xludf.DUMMYFUNCTION("""COMPUTED_VALUE"""),"Uncle Sams Cider (04/04/2023)")</f>
        <v>Uncle Sams Cider (04/04/2023)</v>
      </c>
      <c r="H4764" s="19"/>
    </row>
    <row r="4765">
      <c r="A4765" s="9"/>
      <c r="B4765" s="15"/>
      <c r="C4765" s="9">
        <f>IFERROR(__xludf.DUMMYFUNCTION("""COMPUTED_VALUE"""),45094.738525706)</f>
        <v>45094.73853</v>
      </c>
      <c r="D4765" s="15">
        <f>IFERROR(__xludf.DUMMYFUNCTION("""COMPUTED_VALUE"""),1.006)</f>
        <v>1.006</v>
      </c>
      <c r="E4765" s="16">
        <f>IFERROR(__xludf.DUMMYFUNCTION("""COMPUTED_VALUE"""),69.0)</f>
        <v>69</v>
      </c>
      <c r="F4765" s="19" t="str">
        <f>IFERROR(__xludf.DUMMYFUNCTION("""COMPUTED_VALUE"""),"BLACK")</f>
        <v>BLACK</v>
      </c>
      <c r="G4765" s="20" t="str">
        <f>IFERROR(__xludf.DUMMYFUNCTION("""COMPUTED_VALUE"""),"Uncle Sams Cider (04/04/2023)")</f>
        <v>Uncle Sams Cider (04/04/2023)</v>
      </c>
      <c r="H4765" s="19"/>
    </row>
    <row r="4766">
      <c r="A4766" s="9"/>
      <c r="B4766" s="15"/>
      <c r="C4766" s="9">
        <f>IFERROR(__xludf.DUMMYFUNCTION("""COMPUTED_VALUE"""),45094.7281039699)</f>
        <v>45094.7281</v>
      </c>
      <c r="D4766" s="15">
        <f>IFERROR(__xludf.DUMMYFUNCTION("""COMPUTED_VALUE"""),1.006)</f>
        <v>1.006</v>
      </c>
      <c r="E4766" s="16">
        <f>IFERROR(__xludf.DUMMYFUNCTION("""COMPUTED_VALUE"""),69.0)</f>
        <v>69</v>
      </c>
      <c r="F4766" s="19" t="str">
        <f>IFERROR(__xludf.DUMMYFUNCTION("""COMPUTED_VALUE"""),"BLACK")</f>
        <v>BLACK</v>
      </c>
      <c r="G4766" s="20" t="str">
        <f>IFERROR(__xludf.DUMMYFUNCTION("""COMPUTED_VALUE"""),"Uncle Sams Cider (04/04/2023)")</f>
        <v>Uncle Sams Cider (04/04/2023)</v>
      </c>
      <c r="H4766" s="19"/>
    </row>
    <row r="4767">
      <c r="A4767" s="9"/>
      <c r="B4767" s="15"/>
      <c r="C4767" s="9">
        <f>IFERROR(__xludf.DUMMYFUNCTION("""COMPUTED_VALUE"""),45094.7176824305)</f>
        <v>45094.71768</v>
      </c>
      <c r="D4767" s="15">
        <f>IFERROR(__xludf.DUMMYFUNCTION("""COMPUTED_VALUE"""),1.006)</f>
        <v>1.006</v>
      </c>
      <c r="E4767" s="16">
        <f>IFERROR(__xludf.DUMMYFUNCTION("""COMPUTED_VALUE"""),69.0)</f>
        <v>69</v>
      </c>
      <c r="F4767" s="19" t="str">
        <f>IFERROR(__xludf.DUMMYFUNCTION("""COMPUTED_VALUE"""),"BLACK")</f>
        <v>BLACK</v>
      </c>
      <c r="G4767" s="20" t="str">
        <f>IFERROR(__xludf.DUMMYFUNCTION("""COMPUTED_VALUE"""),"Uncle Sams Cider (04/04/2023)")</f>
        <v>Uncle Sams Cider (04/04/2023)</v>
      </c>
      <c r="H4767" s="19"/>
    </row>
    <row r="4768">
      <c r="A4768" s="9"/>
      <c r="B4768" s="15"/>
      <c r="C4768" s="9">
        <f>IFERROR(__xludf.DUMMYFUNCTION("""COMPUTED_VALUE"""),45094.70726125)</f>
        <v>45094.70726</v>
      </c>
      <c r="D4768" s="15">
        <f>IFERROR(__xludf.DUMMYFUNCTION("""COMPUTED_VALUE"""),1.006)</f>
        <v>1.006</v>
      </c>
      <c r="E4768" s="16">
        <f>IFERROR(__xludf.DUMMYFUNCTION("""COMPUTED_VALUE"""),69.0)</f>
        <v>69</v>
      </c>
      <c r="F4768" s="19" t="str">
        <f>IFERROR(__xludf.DUMMYFUNCTION("""COMPUTED_VALUE"""),"BLACK")</f>
        <v>BLACK</v>
      </c>
      <c r="G4768" s="20" t="str">
        <f>IFERROR(__xludf.DUMMYFUNCTION("""COMPUTED_VALUE"""),"Uncle Sams Cider (04/04/2023)")</f>
        <v>Uncle Sams Cider (04/04/2023)</v>
      </c>
      <c r="H4768" s="19"/>
    </row>
    <row r="4769">
      <c r="A4769" s="9"/>
      <c r="B4769" s="15"/>
      <c r="C4769" s="9">
        <f>IFERROR(__xludf.DUMMYFUNCTION("""COMPUTED_VALUE"""),45094.6968143634)</f>
        <v>45094.69681</v>
      </c>
      <c r="D4769" s="15">
        <f>IFERROR(__xludf.DUMMYFUNCTION("""COMPUTED_VALUE"""),1.006)</f>
        <v>1.006</v>
      </c>
      <c r="E4769" s="16">
        <f>IFERROR(__xludf.DUMMYFUNCTION("""COMPUTED_VALUE"""),69.0)</f>
        <v>69</v>
      </c>
      <c r="F4769" s="19" t="str">
        <f>IFERROR(__xludf.DUMMYFUNCTION("""COMPUTED_VALUE"""),"BLACK")</f>
        <v>BLACK</v>
      </c>
      <c r="G4769" s="20" t="str">
        <f>IFERROR(__xludf.DUMMYFUNCTION("""COMPUTED_VALUE"""),"Uncle Sams Cider (04/04/2023)")</f>
        <v>Uncle Sams Cider (04/04/2023)</v>
      </c>
      <c r="H4769" s="19"/>
    </row>
    <row r="4770">
      <c r="A4770" s="9"/>
      <c r="B4770" s="15"/>
      <c r="C4770" s="9">
        <f>IFERROR(__xludf.DUMMYFUNCTION("""COMPUTED_VALUE"""),45094.6863924768)</f>
        <v>45094.68639</v>
      </c>
      <c r="D4770" s="15">
        <f>IFERROR(__xludf.DUMMYFUNCTION("""COMPUTED_VALUE"""),1.006)</f>
        <v>1.006</v>
      </c>
      <c r="E4770" s="16">
        <f>IFERROR(__xludf.DUMMYFUNCTION("""COMPUTED_VALUE"""),69.0)</f>
        <v>69</v>
      </c>
      <c r="F4770" s="19" t="str">
        <f>IFERROR(__xludf.DUMMYFUNCTION("""COMPUTED_VALUE"""),"BLACK")</f>
        <v>BLACK</v>
      </c>
      <c r="G4770" s="20" t="str">
        <f>IFERROR(__xludf.DUMMYFUNCTION("""COMPUTED_VALUE"""),"Uncle Sams Cider (04/04/2023)")</f>
        <v>Uncle Sams Cider (04/04/2023)</v>
      </c>
      <c r="H4770" s="19"/>
    </row>
    <row r="4771">
      <c r="A4771" s="9"/>
      <c r="B4771" s="15"/>
      <c r="C4771" s="9">
        <f>IFERROR(__xludf.DUMMYFUNCTION("""COMPUTED_VALUE"""),45094.6759711574)</f>
        <v>45094.67597</v>
      </c>
      <c r="D4771" s="15">
        <f>IFERROR(__xludf.DUMMYFUNCTION("""COMPUTED_VALUE"""),1.006)</f>
        <v>1.006</v>
      </c>
      <c r="E4771" s="16">
        <f>IFERROR(__xludf.DUMMYFUNCTION("""COMPUTED_VALUE"""),69.0)</f>
        <v>69</v>
      </c>
      <c r="F4771" s="19" t="str">
        <f>IFERROR(__xludf.DUMMYFUNCTION("""COMPUTED_VALUE"""),"BLACK")</f>
        <v>BLACK</v>
      </c>
      <c r="G4771" s="20" t="str">
        <f>IFERROR(__xludf.DUMMYFUNCTION("""COMPUTED_VALUE"""),"Uncle Sams Cider (04/04/2023)")</f>
        <v>Uncle Sams Cider (04/04/2023)</v>
      </c>
      <c r="H4771" s="19"/>
    </row>
    <row r="4772">
      <c r="A4772" s="9"/>
      <c r="B4772" s="15"/>
      <c r="C4772" s="9">
        <f>IFERROR(__xludf.DUMMYFUNCTION("""COMPUTED_VALUE"""),45094.6655496296)</f>
        <v>45094.66555</v>
      </c>
      <c r="D4772" s="15">
        <f>IFERROR(__xludf.DUMMYFUNCTION("""COMPUTED_VALUE"""),1.006)</f>
        <v>1.006</v>
      </c>
      <c r="E4772" s="16">
        <f>IFERROR(__xludf.DUMMYFUNCTION("""COMPUTED_VALUE"""),69.0)</f>
        <v>69</v>
      </c>
      <c r="F4772" s="19" t="str">
        <f>IFERROR(__xludf.DUMMYFUNCTION("""COMPUTED_VALUE"""),"BLACK")</f>
        <v>BLACK</v>
      </c>
      <c r="G4772" s="20" t="str">
        <f>IFERROR(__xludf.DUMMYFUNCTION("""COMPUTED_VALUE"""),"Uncle Sams Cider (04/04/2023)")</f>
        <v>Uncle Sams Cider (04/04/2023)</v>
      </c>
      <c r="H4772" s="19"/>
    </row>
    <row r="4773">
      <c r="A4773" s="9"/>
      <c r="B4773" s="15"/>
      <c r="C4773" s="9">
        <f>IFERROR(__xludf.DUMMYFUNCTION("""COMPUTED_VALUE"""),45094.6551292361)</f>
        <v>45094.65513</v>
      </c>
      <c r="D4773" s="15">
        <f>IFERROR(__xludf.DUMMYFUNCTION("""COMPUTED_VALUE"""),1.006)</f>
        <v>1.006</v>
      </c>
      <c r="E4773" s="16">
        <f>IFERROR(__xludf.DUMMYFUNCTION("""COMPUTED_VALUE"""),69.0)</f>
        <v>69</v>
      </c>
      <c r="F4773" s="19" t="str">
        <f>IFERROR(__xludf.DUMMYFUNCTION("""COMPUTED_VALUE"""),"BLACK")</f>
        <v>BLACK</v>
      </c>
      <c r="G4773" s="20" t="str">
        <f>IFERROR(__xludf.DUMMYFUNCTION("""COMPUTED_VALUE"""),"Uncle Sams Cider (04/04/2023)")</f>
        <v>Uncle Sams Cider (04/04/2023)</v>
      </c>
      <c r="H4773" s="19"/>
    </row>
    <row r="4774">
      <c r="A4774" s="9"/>
      <c r="B4774" s="15"/>
      <c r="C4774" s="9">
        <f>IFERROR(__xludf.DUMMYFUNCTION("""COMPUTED_VALUE"""),45094.6447078472)</f>
        <v>45094.64471</v>
      </c>
      <c r="D4774" s="15">
        <f>IFERROR(__xludf.DUMMYFUNCTION("""COMPUTED_VALUE"""),1.006)</f>
        <v>1.006</v>
      </c>
      <c r="E4774" s="16">
        <f>IFERROR(__xludf.DUMMYFUNCTION("""COMPUTED_VALUE"""),69.0)</f>
        <v>69</v>
      </c>
      <c r="F4774" s="19" t="str">
        <f>IFERROR(__xludf.DUMMYFUNCTION("""COMPUTED_VALUE"""),"BLACK")</f>
        <v>BLACK</v>
      </c>
      <c r="G4774" s="20" t="str">
        <f>IFERROR(__xludf.DUMMYFUNCTION("""COMPUTED_VALUE"""),"Uncle Sams Cider (04/04/2023)")</f>
        <v>Uncle Sams Cider (04/04/2023)</v>
      </c>
      <c r="H4774" s="19"/>
    </row>
    <row r="4775">
      <c r="A4775" s="9"/>
      <c r="B4775" s="15"/>
      <c r="C4775" s="9">
        <f>IFERROR(__xludf.DUMMYFUNCTION("""COMPUTED_VALUE"""),45094.6342634953)</f>
        <v>45094.63426</v>
      </c>
      <c r="D4775" s="15">
        <f>IFERROR(__xludf.DUMMYFUNCTION("""COMPUTED_VALUE"""),1.006)</f>
        <v>1.006</v>
      </c>
      <c r="E4775" s="16">
        <f>IFERROR(__xludf.DUMMYFUNCTION("""COMPUTED_VALUE"""),69.0)</f>
        <v>69</v>
      </c>
      <c r="F4775" s="19" t="str">
        <f>IFERROR(__xludf.DUMMYFUNCTION("""COMPUTED_VALUE"""),"BLACK")</f>
        <v>BLACK</v>
      </c>
      <c r="G4775" s="20" t="str">
        <f>IFERROR(__xludf.DUMMYFUNCTION("""COMPUTED_VALUE"""),"Uncle Sams Cider (04/04/2023)")</f>
        <v>Uncle Sams Cider (04/04/2023)</v>
      </c>
      <c r="H4775" s="19"/>
    </row>
    <row r="4776">
      <c r="A4776" s="9"/>
      <c r="B4776" s="15"/>
      <c r="C4776" s="9">
        <f>IFERROR(__xludf.DUMMYFUNCTION("""COMPUTED_VALUE"""),45094.623841493)</f>
        <v>45094.62384</v>
      </c>
      <c r="D4776" s="15">
        <f>IFERROR(__xludf.DUMMYFUNCTION("""COMPUTED_VALUE"""),1.006)</f>
        <v>1.006</v>
      </c>
      <c r="E4776" s="16">
        <f>IFERROR(__xludf.DUMMYFUNCTION("""COMPUTED_VALUE"""),69.0)</f>
        <v>69</v>
      </c>
      <c r="F4776" s="19" t="str">
        <f>IFERROR(__xludf.DUMMYFUNCTION("""COMPUTED_VALUE"""),"BLACK")</f>
        <v>BLACK</v>
      </c>
      <c r="G4776" s="20" t="str">
        <f>IFERROR(__xludf.DUMMYFUNCTION("""COMPUTED_VALUE"""),"Uncle Sams Cider (04/04/2023)")</f>
        <v>Uncle Sams Cider (04/04/2023)</v>
      </c>
      <c r="H4776" s="19"/>
    </row>
    <row r="4777">
      <c r="A4777" s="9"/>
      <c r="B4777" s="15"/>
      <c r="C4777" s="9">
        <f>IFERROR(__xludf.DUMMYFUNCTION("""COMPUTED_VALUE"""),45094.6133952777)</f>
        <v>45094.6134</v>
      </c>
      <c r="D4777" s="15">
        <f>IFERROR(__xludf.DUMMYFUNCTION("""COMPUTED_VALUE"""),1.006)</f>
        <v>1.006</v>
      </c>
      <c r="E4777" s="16">
        <f>IFERROR(__xludf.DUMMYFUNCTION("""COMPUTED_VALUE"""),69.0)</f>
        <v>69</v>
      </c>
      <c r="F4777" s="19" t="str">
        <f>IFERROR(__xludf.DUMMYFUNCTION("""COMPUTED_VALUE"""),"BLACK")</f>
        <v>BLACK</v>
      </c>
      <c r="G4777" s="20" t="str">
        <f>IFERROR(__xludf.DUMMYFUNCTION("""COMPUTED_VALUE"""),"Uncle Sams Cider (04/04/2023)")</f>
        <v>Uncle Sams Cider (04/04/2023)</v>
      </c>
      <c r="H4777" s="19"/>
    </row>
    <row r="4778">
      <c r="A4778" s="9"/>
      <c r="B4778" s="15"/>
      <c r="C4778" s="9">
        <f>IFERROR(__xludf.DUMMYFUNCTION("""COMPUTED_VALUE"""),45094.6029745717)</f>
        <v>45094.60297</v>
      </c>
      <c r="D4778" s="15">
        <f>IFERROR(__xludf.DUMMYFUNCTION("""COMPUTED_VALUE"""),1.006)</f>
        <v>1.006</v>
      </c>
      <c r="E4778" s="16">
        <f>IFERROR(__xludf.DUMMYFUNCTION("""COMPUTED_VALUE"""),69.0)</f>
        <v>69</v>
      </c>
      <c r="F4778" s="19" t="str">
        <f>IFERROR(__xludf.DUMMYFUNCTION("""COMPUTED_VALUE"""),"BLACK")</f>
        <v>BLACK</v>
      </c>
      <c r="G4778" s="20" t="str">
        <f>IFERROR(__xludf.DUMMYFUNCTION("""COMPUTED_VALUE"""),"Uncle Sams Cider (04/04/2023)")</f>
        <v>Uncle Sams Cider (04/04/2023)</v>
      </c>
      <c r="H4778" s="19"/>
    </row>
    <row r="4779">
      <c r="A4779" s="9"/>
      <c r="B4779" s="15"/>
      <c r="C4779" s="9">
        <f>IFERROR(__xludf.DUMMYFUNCTION("""COMPUTED_VALUE"""),45094.5925535763)</f>
        <v>45094.59255</v>
      </c>
      <c r="D4779" s="15">
        <f>IFERROR(__xludf.DUMMYFUNCTION("""COMPUTED_VALUE"""),1.006)</f>
        <v>1.006</v>
      </c>
      <c r="E4779" s="16">
        <f>IFERROR(__xludf.DUMMYFUNCTION("""COMPUTED_VALUE"""),69.0)</f>
        <v>69</v>
      </c>
      <c r="F4779" s="19" t="str">
        <f>IFERROR(__xludf.DUMMYFUNCTION("""COMPUTED_VALUE"""),"BLACK")</f>
        <v>BLACK</v>
      </c>
      <c r="G4779" s="20" t="str">
        <f>IFERROR(__xludf.DUMMYFUNCTION("""COMPUTED_VALUE"""),"Uncle Sams Cider (04/04/2023)")</f>
        <v>Uncle Sams Cider (04/04/2023)</v>
      </c>
      <c r="H4779" s="19"/>
    </row>
    <row r="4780">
      <c r="A4780" s="9"/>
      <c r="B4780" s="15"/>
      <c r="C4780" s="9">
        <f>IFERROR(__xludf.DUMMYFUNCTION("""COMPUTED_VALUE"""),45094.5821316435)</f>
        <v>45094.58213</v>
      </c>
      <c r="D4780" s="15">
        <f>IFERROR(__xludf.DUMMYFUNCTION("""COMPUTED_VALUE"""),1.006)</f>
        <v>1.006</v>
      </c>
      <c r="E4780" s="16">
        <f>IFERROR(__xludf.DUMMYFUNCTION("""COMPUTED_VALUE"""),69.0)</f>
        <v>69</v>
      </c>
      <c r="F4780" s="19" t="str">
        <f>IFERROR(__xludf.DUMMYFUNCTION("""COMPUTED_VALUE"""),"BLACK")</f>
        <v>BLACK</v>
      </c>
      <c r="G4780" s="20" t="str">
        <f>IFERROR(__xludf.DUMMYFUNCTION("""COMPUTED_VALUE"""),"Uncle Sams Cider (04/04/2023)")</f>
        <v>Uncle Sams Cider (04/04/2023)</v>
      </c>
      <c r="H4780" s="19"/>
    </row>
    <row r="4781">
      <c r="A4781" s="9"/>
      <c r="B4781" s="15"/>
      <c r="C4781" s="9">
        <f>IFERROR(__xludf.DUMMYFUNCTION("""COMPUTED_VALUE"""),45094.571698287)</f>
        <v>45094.5717</v>
      </c>
      <c r="D4781" s="15">
        <f>IFERROR(__xludf.DUMMYFUNCTION("""COMPUTED_VALUE"""),1.006)</f>
        <v>1.006</v>
      </c>
      <c r="E4781" s="16">
        <f>IFERROR(__xludf.DUMMYFUNCTION("""COMPUTED_VALUE"""),69.0)</f>
        <v>69</v>
      </c>
      <c r="F4781" s="19" t="str">
        <f>IFERROR(__xludf.DUMMYFUNCTION("""COMPUTED_VALUE"""),"BLACK")</f>
        <v>BLACK</v>
      </c>
      <c r="G4781" s="20" t="str">
        <f>IFERROR(__xludf.DUMMYFUNCTION("""COMPUTED_VALUE"""),"Uncle Sams Cider (04/04/2023)")</f>
        <v>Uncle Sams Cider (04/04/2023)</v>
      </c>
      <c r="H4781" s="19"/>
    </row>
    <row r="4782">
      <c r="A4782" s="9"/>
      <c r="B4782" s="15"/>
      <c r="C4782" s="9">
        <f>IFERROR(__xludf.DUMMYFUNCTION("""COMPUTED_VALUE"""),45094.5612651967)</f>
        <v>45094.56127</v>
      </c>
      <c r="D4782" s="15">
        <f>IFERROR(__xludf.DUMMYFUNCTION("""COMPUTED_VALUE"""),1.006)</f>
        <v>1.006</v>
      </c>
      <c r="E4782" s="16">
        <f>IFERROR(__xludf.DUMMYFUNCTION("""COMPUTED_VALUE"""),69.0)</f>
        <v>69</v>
      </c>
      <c r="F4782" s="19" t="str">
        <f>IFERROR(__xludf.DUMMYFUNCTION("""COMPUTED_VALUE"""),"BLACK")</f>
        <v>BLACK</v>
      </c>
      <c r="G4782" s="20" t="str">
        <f>IFERROR(__xludf.DUMMYFUNCTION("""COMPUTED_VALUE"""),"Uncle Sams Cider (04/04/2023)")</f>
        <v>Uncle Sams Cider (04/04/2023)</v>
      </c>
      <c r="H4782" s="19"/>
    </row>
    <row r="4783">
      <c r="A4783" s="9"/>
      <c r="B4783" s="15"/>
      <c r="C4783" s="9">
        <f>IFERROR(__xludf.DUMMYFUNCTION("""COMPUTED_VALUE"""),45094.5508422106)</f>
        <v>45094.55084</v>
      </c>
      <c r="D4783" s="15">
        <f>IFERROR(__xludf.DUMMYFUNCTION("""COMPUTED_VALUE"""),1.006)</f>
        <v>1.006</v>
      </c>
      <c r="E4783" s="16">
        <f>IFERROR(__xludf.DUMMYFUNCTION("""COMPUTED_VALUE"""),69.0)</f>
        <v>69</v>
      </c>
      <c r="F4783" s="19" t="str">
        <f>IFERROR(__xludf.DUMMYFUNCTION("""COMPUTED_VALUE"""),"BLACK")</f>
        <v>BLACK</v>
      </c>
      <c r="G4783" s="20" t="str">
        <f>IFERROR(__xludf.DUMMYFUNCTION("""COMPUTED_VALUE"""),"Uncle Sams Cider (04/04/2023)")</f>
        <v>Uncle Sams Cider (04/04/2023)</v>
      </c>
      <c r="H4783" s="19"/>
    </row>
    <row r="4784">
      <c r="A4784" s="9"/>
      <c r="B4784" s="15"/>
      <c r="C4784" s="9">
        <f>IFERROR(__xludf.DUMMYFUNCTION("""COMPUTED_VALUE"""),45094.5403842245)</f>
        <v>45094.54038</v>
      </c>
      <c r="D4784" s="15">
        <f>IFERROR(__xludf.DUMMYFUNCTION("""COMPUTED_VALUE"""),1.006)</f>
        <v>1.006</v>
      </c>
      <c r="E4784" s="16">
        <f>IFERROR(__xludf.DUMMYFUNCTION("""COMPUTED_VALUE"""),69.0)</f>
        <v>69</v>
      </c>
      <c r="F4784" s="19" t="str">
        <f>IFERROR(__xludf.DUMMYFUNCTION("""COMPUTED_VALUE"""),"BLACK")</f>
        <v>BLACK</v>
      </c>
      <c r="G4784" s="20" t="str">
        <f>IFERROR(__xludf.DUMMYFUNCTION("""COMPUTED_VALUE"""),"Uncle Sams Cider (04/04/2023)")</f>
        <v>Uncle Sams Cider (04/04/2023)</v>
      </c>
      <c r="H4784" s="19"/>
    </row>
    <row r="4785">
      <c r="A4785" s="9"/>
      <c r="B4785" s="15"/>
      <c r="C4785" s="9">
        <f>IFERROR(__xludf.DUMMYFUNCTION("""COMPUTED_VALUE"""),45094.5299621296)</f>
        <v>45094.52996</v>
      </c>
      <c r="D4785" s="15">
        <f>IFERROR(__xludf.DUMMYFUNCTION("""COMPUTED_VALUE"""),1.006)</f>
        <v>1.006</v>
      </c>
      <c r="E4785" s="16">
        <f>IFERROR(__xludf.DUMMYFUNCTION("""COMPUTED_VALUE"""),69.0)</f>
        <v>69</v>
      </c>
      <c r="F4785" s="19" t="str">
        <f>IFERROR(__xludf.DUMMYFUNCTION("""COMPUTED_VALUE"""),"BLACK")</f>
        <v>BLACK</v>
      </c>
      <c r="G4785" s="20" t="str">
        <f>IFERROR(__xludf.DUMMYFUNCTION("""COMPUTED_VALUE"""),"Uncle Sams Cider (04/04/2023)")</f>
        <v>Uncle Sams Cider (04/04/2023)</v>
      </c>
      <c r="H4785" s="19"/>
    </row>
    <row r="4786">
      <c r="A4786" s="9"/>
      <c r="B4786" s="15"/>
      <c r="C4786" s="9">
        <f>IFERROR(__xludf.DUMMYFUNCTION("""COMPUTED_VALUE"""),45094.519542037)</f>
        <v>45094.51954</v>
      </c>
      <c r="D4786" s="15">
        <f>IFERROR(__xludf.DUMMYFUNCTION("""COMPUTED_VALUE"""),1.006)</f>
        <v>1.006</v>
      </c>
      <c r="E4786" s="16">
        <f>IFERROR(__xludf.DUMMYFUNCTION("""COMPUTED_VALUE"""),69.0)</f>
        <v>69</v>
      </c>
      <c r="F4786" s="19" t="str">
        <f>IFERROR(__xludf.DUMMYFUNCTION("""COMPUTED_VALUE"""),"BLACK")</f>
        <v>BLACK</v>
      </c>
      <c r="G4786" s="20" t="str">
        <f>IFERROR(__xludf.DUMMYFUNCTION("""COMPUTED_VALUE"""),"Uncle Sams Cider (04/04/2023)")</f>
        <v>Uncle Sams Cider (04/04/2023)</v>
      </c>
      <c r="H4786" s="19"/>
    </row>
    <row r="4787">
      <c r="A4787" s="9"/>
      <c r="B4787" s="15"/>
      <c r="C4787" s="9">
        <f>IFERROR(__xludf.DUMMYFUNCTION("""COMPUTED_VALUE"""),45094.5091203703)</f>
        <v>45094.50912</v>
      </c>
      <c r="D4787" s="15">
        <f>IFERROR(__xludf.DUMMYFUNCTION("""COMPUTED_VALUE"""),1.006)</f>
        <v>1.006</v>
      </c>
      <c r="E4787" s="16">
        <f>IFERROR(__xludf.DUMMYFUNCTION("""COMPUTED_VALUE"""),69.0)</f>
        <v>69</v>
      </c>
      <c r="F4787" s="19" t="str">
        <f>IFERROR(__xludf.DUMMYFUNCTION("""COMPUTED_VALUE"""),"BLACK")</f>
        <v>BLACK</v>
      </c>
      <c r="G4787" s="20" t="str">
        <f>IFERROR(__xludf.DUMMYFUNCTION("""COMPUTED_VALUE"""),"Uncle Sams Cider (04/04/2023)")</f>
        <v>Uncle Sams Cider (04/04/2023)</v>
      </c>
      <c r="H4787" s="19"/>
    </row>
    <row r="4788">
      <c r="A4788" s="9"/>
      <c r="B4788" s="15"/>
      <c r="C4788" s="9">
        <f>IFERROR(__xludf.DUMMYFUNCTION("""COMPUTED_VALUE"""),45094.4986873263)</f>
        <v>45094.49869</v>
      </c>
      <c r="D4788" s="15">
        <f>IFERROR(__xludf.DUMMYFUNCTION("""COMPUTED_VALUE"""),1.006)</f>
        <v>1.006</v>
      </c>
      <c r="E4788" s="16">
        <f>IFERROR(__xludf.DUMMYFUNCTION("""COMPUTED_VALUE"""),69.0)</f>
        <v>69</v>
      </c>
      <c r="F4788" s="19" t="str">
        <f>IFERROR(__xludf.DUMMYFUNCTION("""COMPUTED_VALUE"""),"BLACK")</f>
        <v>BLACK</v>
      </c>
      <c r="G4788" s="20" t="str">
        <f>IFERROR(__xludf.DUMMYFUNCTION("""COMPUTED_VALUE"""),"Uncle Sams Cider (04/04/2023)")</f>
        <v>Uncle Sams Cider (04/04/2023)</v>
      </c>
      <c r="H4788" s="19"/>
    </row>
    <row r="4789">
      <c r="A4789" s="9"/>
      <c r="B4789" s="15"/>
      <c r="C4789" s="9">
        <f>IFERROR(__xludf.DUMMYFUNCTION("""COMPUTED_VALUE"""),45094.4882552893)</f>
        <v>45094.48826</v>
      </c>
      <c r="D4789" s="15">
        <f>IFERROR(__xludf.DUMMYFUNCTION("""COMPUTED_VALUE"""),1.006)</f>
        <v>1.006</v>
      </c>
      <c r="E4789" s="16">
        <f>IFERROR(__xludf.DUMMYFUNCTION("""COMPUTED_VALUE"""),69.0)</f>
        <v>69</v>
      </c>
      <c r="F4789" s="19" t="str">
        <f>IFERROR(__xludf.DUMMYFUNCTION("""COMPUTED_VALUE"""),"BLACK")</f>
        <v>BLACK</v>
      </c>
      <c r="G4789" s="20" t="str">
        <f>IFERROR(__xludf.DUMMYFUNCTION("""COMPUTED_VALUE"""),"Uncle Sams Cider (04/04/2023)")</f>
        <v>Uncle Sams Cider (04/04/2023)</v>
      </c>
      <c r="H4789" s="19"/>
    </row>
    <row r="4790">
      <c r="A4790" s="9"/>
      <c r="B4790" s="15"/>
      <c r="C4790" s="9">
        <f>IFERROR(__xludf.DUMMYFUNCTION("""COMPUTED_VALUE"""),45094.4778224652)</f>
        <v>45094.47782</v>
      </c>
      <c r="D4790" s="15">
        <f>IFERROR(__xludf.DUMMYFUNCTION("""COMPUTED_VALUE"""),1.006)</f>
        <v>1.006</v>
      </c>
      <c r="E4790" s="16">
        <f>IFERROR(__xludf.DUMMYFUNCTION("""COMPUTED_VALUE"""),69.0)</f>
        <v>69</v>
      </c>
      <c r="F4790" s="19" t="str">
        <f>IFERROR(__xludf.DUMMYFUNCTION("""COMPUTED_VALUE"""),"BLACK")</f>
        <v>BLACK</v>
      </c>
      <c r="G4790" s="20" t="str">
        <f>IFERROR(__xludf.DUMMYFUNCTION("""COMPUTED_VALUE"""),"Uncle Sams Cider (04/04/2023)")</f>
        <v>Uncle Sams Cider (04/04/2023)</v>
      </c>
      <c r="H4790" s="19"/>
    </row>
    <row r="4791">
      <c r="A4791" s="9"/>
      <c r="B4791" s="15"/>
      <c r="C4791" s="9">
        <f>IFERROR(__xludf.DUMMYFUNCTION("""COMPUTED_VALUE"""),45094.4674012268)</f>
        <v>45094.4674</v>
      </c>
      <c r="D4791" s="15">
        <f>IFERROR(__xludf.DUMMYFUNCTION("""COMPUTED_VALUE"""),1.006)</f>
        <v>1.006</v>
      </c>
      <c r="E4791" s="16">
        <f>IFERROR(__xludf.DUMMYFUNCTION("""COMPUTED_VALUE"""),69.0)</f>
        <v>69</v>
      </c>
      <c r="F4791" s="19" t="str">
        <f>IFERROR(__xludf.DUMMYFUNCTION("""COMPUTED_VALUE"""),"BLACK")</f>
        <v>BLACK</v>
      </c>
      <c r="G4791" s="20" t="str">
        <f>IFERROR(__xludf.DUMMYFUNCTION("""COMPUTED_VALUE"""),"Uncle Sams Cider (04/04/2023)")</f>
        <v>Uncle Sams Cider (04/04/2023)</v>
      </c>
      <c r="H4791" s="19"/>
    </row>
    <row r="4792">
      <c r="A4792" s="9"/>
      <c r="B4792" s="15"/>
      <c r="C4792" s="9">
        <f>IFERROR(__xludf.DUMMYFUNCTION("""COMPUTED_VALUE"""),45094.4569564236)</f>
        <v>45094.45696</v>
      </c>
      <c r="D4792" s="15">
        <f>IFERROR(__xludf.DUMMYFUNCTION("""COMPUTED_VALUE"""),1.006)</f>
        <v>1.006</v>
      </c>
      <c r="E4792" s="16">
        <f>IFERROR(__xludf.DUMMYFUNCTION("""COMPUTED_VALUE"""),69.0)</f>
        <v>69</v>
      </c>
      <c r="F4792" s="19" t="str">
        <f>IFERROR(__xludf.DUMMYFUNCTION("""COMPUTED_VALUE"""),"BLACK")</f>
        <v>BLACK</v>
      </c>
      <c r="G4792" s="20" t="str">
        <f>IFERROR(__xludf.DUMMYFUNCTION("""COMPUTED_VALUE"""),"Uncle Sams Cider (04/04/2023)")</f>
        <v>Uncle Sams Cider (04/04/2023)</v>
      </c>
      <c r="H4792" s="19"/>
    </row>
    <row r="4793">
      <c r="A4793" s="9"/>
      <c r="B4793" s="15"/>
      <c r="C4793" s="9">
        <f>IFERROR(__xludf.DUMMYFUNCTION("""COMPUTED_VALUE"""),45094.446535324)</f>
        <v>45094.44654</v>
      </c>
      <c r="D4793" s="15">
        <f>IFERROR(__xludf.DUMMYFUNCTION("""COMPUTED_VALUE"""),1.006)</f>
        <v>1.006</v>
      </c>
      <c r="E4793" s="16">
        <f>IFERROR(__xludf.DUMMYFUNCTION("""COMPUTED_VALUE"""),69.0)</f>
        <v>69</v>
      </c>
      <c r="F4793" s="19" t="str">
        <f>IFERROR(__xludf.DUMMYFUNCTION("""COMPUTED_VALUE"""),"BLACK")</f>
        <v>BLACK</v>
      </c>
      <c r="G4793" s="20" t="str">
        <f>IFERROR(__xludf.DUMMYFUNCTION("""COMPUTED_VALUE"""),"Uncle Sams Cider (04/04/2023)")</f>
        <v>Uncle Sams Cider (04/04/2023)</v>
      </c>
      <c r="H4793" s="19"/>
    </row>
    <row r="4794">
      <c r="A4794" s="9"/>
      <c r="B4794" s="15"/>
      <c r="C4794" s="9">
        <f>IFERROR(__xludf.DUMMYFUNCTION("""COMPUTED_VALUE"""),45094.4361148726)</f>
        <v>45094.43611</v>
      </c>
      <c r="D4794" s="15">
        <f>IFERROR(__xludf.DUMMYFUNCTION("""COMPUTED_VALUE"""),1.006)</f>
        <v>1.006</v>
      </c>
      <c r="E4794" s="16">
        <f>IFERROR(__xludf.DUMMYFUNCTION("""COMPUTED_VALUE"""),69.0)</f>
        <v>69</v>
      </c>
      <c r="F4794" s="19" t="str">
        <f>IFERROR(__xludf.DUMMYFUNCTION("""COMPUTED_VALUE"""),"BLACK")</f>
        <v>BLACK</v>
      </c>
      <c r="G4794" s="20" t="str">
        <f>IFERROR(__xludf.DUMMYFUNCTION("""COMPUTED_VALUE"""),"Uncle Sams Cider (04/04/2023)")</f>
        <v>Uncle Sams Cider (04/04/2023)</v>
      </c>
      <c r="H4794" s="19"/>
    </row>
    <row r="4795">
      <c r="A4795" s="9"/>
      <c r="B4795" s="15"/>
      <c r="C4795" s="9">
        <f>IFERROR(__xludf.DUMMYFUNCTION("""COMPUTED_VALUE"""),45094.4256929282)</f>
        <v>45094.42569</v>
      </c>
      <c r="D4795" s="15">
        <f>IFERROR(__xludf.DUMMYFUNCTION("""COMPUTED_VALUE"""),1.006)</f>
        <v>1.006</v>
      </c>
      <c r="E4795" s="16">
        <f>IFERROR(__xludf.DUMMYFUNCTION("""COMPUTED_VALUE"""),69.0)</f>
        <v>69</v>
      </c>
      <c r="F4795" s="19" t="str">
        <f>IFERROR(__xludf.DUMMYFUNCTION("""COMPUTED_VALUE"""),"BLACK")</f>
        <v>BLACK</v>
      </c>
      <c r="G4795" s="20" t="str">
        <f>IFERROR(__xludf.DUMMYFUNCTION("""COMPUTED_VALUE"""),"Uncle Sams Cider (04/04/2023)")</f>
        <v>Uncle Sams Cider (04/04/2023)</v>
      </c>
      <c r="H4795" s="19"/>
    </row>
    <row r="4796">
      <c r="A4796" s="9"/>
      <c r="B4796" s="15"/>
      <c r="C4796" s="9">
        <f>IFERROR(__xludf.DUMMYFUNCTION("""COMPUTED_VALUE"""),45094.4152704282)</f>
        <v>45094.41527</v>
      </c>
      <c r="D4796" s="15">
        <f>IFERROR(__xludf.DUMMYFUNCTION("""COMPUTED_VALUE"""),1.006)</f>
        <v>1.006</v>
      </c>
      <c r="E4796" s="16">
        <f>IFERROR(__xludf.DUMMYFUNCTION("""COMPUTED_VALUE"""),69.0)</f>
        <v>69</v>
      </c>
      <c r="F4796" s="19" t="str">
        <f>IFERROR(__xludf.DUMMYFUNCTION("""COMPUTED_VALUE"""),"BLACK")</f>
        <v>BLACK</v>
      </c>
      <c r="G4796" s="20" t="str">
        <f>IFERROR(__xludf.DUMMYFUNCTION("""COMPUTED_VALUE"""),"Uncle Sams Cider (04/04/2023)")</f>
        <v>Uncle Sams Cider (04/04/2023)</v>
      </c>
      <c r="H4796" s="19"/>
    </row>
    <row r="4797">
      <c r="A4797" s="9"/>
      <c r="B4797" s="15"/>
      <c r="C4797" s="9">
        <f>IFERROR(__xludf.DUMMYFUNCTION("""COMPUTED_VALUE"""),45094.4048492245)</f>
        <v>45094.40485</v>
      </c>
      <c r="D4797" s="15">
        <f>IFERROR(__xludf.DUMMYFUNCTION("""COMPUTED_VALUE"""),1.006)</f>
        <v>1.006</v>
      </c>
      <c r="E4797" s="16">
        <f>IFERROR(__xludf.DUMMYFUNCTION("""COMPUTED_VALUE"""),69.0)</f>
        <v>69</v>
      </c>
      <c r="F4797" s="19" t="str">
        <f>IFERROR(__xludf.DUMMYFUNCTION("""COMPUTED_VALUE"""),"BLACK")</f>
        <v>BLACK</v>
      </c>
      <c r="G4797" s="20" t="str">
        <f>IFERROR(__xludf.DUMMYFUNCTION("""COMPUTED_VALUE"""),"Uncle Sams Cider (04/04/2023)")</f>
        <v>Uncle Sams Cider (04/04/2023)</v>
      </c>
      <c r="H4797" s="19"/>
    </row>
    <row r="4798">
      <c r="A4798" s="9"/>
      <c r="B4798" s="15"/>
      <c r="C4798" s="9">
        <f>IFERROR(__xludf.DUMMYFUNCTION("""COMPUTED_VALUE"""),45094.3944161342)</f>
        <v>45094.39442</v>
      </c>
      <c r="D4798" s="15">
        <f>IFERROR(__xludf.DUMMYFUNCTION("""COMPUTED_VALUE"""),1.006)</f>
        <v>1.006</v>
      </c>
      <c r="E4798" s="16">
        <f>IFERROR(__xludf.DUMMYFUNCTION("""COMPUTED_VALUE"""),69.0)</f>
        <v>69</v>
      </c>
      <c r="F4798" s="19" t="str">
        <f>IFERROR(__xludf.DUMMYFUNCTION("""COMPUTED_VALUE"""),"BLACK")</f>
        <v>BLACK</v>
      </c>
      <c r="G4798" s="20" t="str">
        <f>IFERROR(__xludf.DUMMYFUNCTION("""COMPUTED_VALUE"""),"Uncle Sams Cider (04/04/2023)")</f>
        <v>Uncle Sams Cider (04/04/2023)</v>
      </c>
      <c r="H4798" s="19"/>
    </row>
    <row r="4799">
      <c r="A4799" s="9"/>
      <c r="B4799" s="15"/>
      <c r="C4799" s="9">
        <f>IFERROR(__xludf.DUMMYFUNCTION("""COMPUTED_VALUE"""),45094.3839733449)</f>
        <v>45094.38397</v>
      </c>
      <c r="D4799" s="15">
        <f>IFERROR(__xludf.DUMMYFUNCTION("""COMPUTED_VALUE"""),1.006)</f>
        <v>1.006</v>
      </c>
      <c r="E4799" s="16">
        <f>IFERROR(__xludf.DUMMYFUNCTION("""COMPUTED_VALUE"""),69.0)</f>
        <v>69</v>
      </c>
      <c r="F4799" s="19" t="str">
        <f>IFERROR(__xludf.DUMMYFUNCTION("""COMPUTED_VALUE"""),"BLACK")</f>
        <v>BLACK</v>
      </c>
      <c r="G4799" s="20" t="str">
        <f>IFERROR(__xludf.DUMMYFUNCTION("""COMPUTED_VALUE"""),"Uncle Sams Cider (04/04/2023)")</f>
        <v>Uncle Sams Cider (04/04/2023)</v>
      </c>
      <c r="H4799" s="19"/>
    </row>
    <row r="4800">
      <c r="A4800" s="9"/>
      <c r="B4800" s="15"/>
      <c r="C4800" s="9">
        <f>IFERROR(__xludf.DUMMYFUNCTION("""COMPUTED_VALUE"""),45094.3735516666)</f>
        <v>45094.37355</v>
      </c>
      <c r="D4800" s="15">
        <f>IFERROR(__xludf.DUMMYFUNCTION("""COMPUTED_VALUE"""),1.006)</f>
        <v>1.006</v>
      </c>
      <c r="E4800" s="16">
        <f>IFERROR(__xludf.DUMMYFUNCTION("""COMPUTED_VALUE"""),69.0)</f>
        <v>69</v>
      </c>
      <c r="F4800" s="19" t="str">
        <f>IFERROR(__xludf.DUMMYFUNCTION("""COMPUTED_VALUE"""),"BLACK")</f>
        <v>BLACK</v>
      </c>
      <c r="G4800" s="20" t="str">
        <f>IFERROR(__xludf.DUMMYFUNCTION("""COMPUTED_VALUE"""),"Uncle Sams Cider (04/04/2023)")</f>
        <v>Uncle Sams Cider (04/04/2023)</v>
      </c>
      <c r="H4800" s="19"/>
    </row>
    <row r="4801">
      <c r="A4801" s="9"/>
      <c r="B4801" s="15"/>
      <c r="C4801" s="9">
        <f>IFERROR(__xludf.DUMMYFUNCTION("""COMPUTED_VALUE"""),45094.3631075926)</f>
        <v>45094.36311</v>
      </c>
      <c r="D4801" s="15">
        <f>IFERROR(__xludf.DUMMYFUNCTION("""COMPUTED_VALUE"""),1.006)</f>
        <v>1.006</v>
      </c>
      <c r="E4801" s="16">
        <f>IFERROR(__xludf.DUMMYFUNCTION("""COMPUTED_VALUE"""),69.0)</f>
        <v>69</v>
      </c>
      <c r="F4801" s="19" t="str">
        <f>IFERROR(__xludf.DUMMYFUNCTION("""COMPUTED_VALUE"""),"BLACK")</f>
        <v>BLACK</v>
      </c>
      <c r="G4801" s="20" t="str">
        <f>IFERROR(__xludf.DUMMYFUNCTION("""COMPUTED_VALUE"""),"Uncle Sams Cider (04/04/2023)")</f>
        <v>Uncle Sams Cider (04/04/2023)</v>
      </c>
      <c r="H4801" s="19"/>
    </row>
    <row r="4802">
      <c r="A4802" s="9"/>
      <c r="B4802" s="15"/>
      <c r="C4802" s="9">
        <f>IFERROR(__xludf.DUMMYFUNCTION("""COMPUTED_VALUE"""),45094.3526895601)</f>
        <v>45094.35269</v>
      </c>
      <c r="D4802" s="15">
        <f>IFERROR(__xludf.DUMMYFUNCTION("""COMPUTED_VALUE"""),1.006)</f>
        <v>1.006</v>
      </c>
      <c r="E4802" s="16">
        <f>IFERROR(__xludf.DUMMYFUNCTION("""COMPUTED_VALUE"""),69.0)</f>
        <v>69</v>
      </c>
      <c r="F4802" s="19" t="str">
        <f>IFERROR(__xludf.DUMMYFUNCTION("""COMPUTED_VALUE"""),"BLACK")</f>
        <v>BLACK</v>
      </c>
      <c r="G4802" s="20" t="str">
        <f>IFERROR(__xludf.DUMMYFUNCTION("""COMPUTED_VALUE"""),"Uncle Sams Cider (04/04/2023)")</f>
        <v>Uncle Sams Cider (04/04/2023)</v>
      </c>
      <c r="H4802" s="19"/>
    </row>
    <row r="4803">
      <c r="A4803" s="9"/>
      <c r="B4803" s="15"/>
      <c r="C4803" s="9">
        <f>IFERROR(__xludf.DUMMYFUNCTION("""COMPUTED_VALUE"""),45094.3422680671)</f>
        <v>45094.34227</v>
      </c>
      <c r="D4803" s="15">
        <f>IFERROR(__xludf.DUMMYFUNCTION("""COMPUTED_VALUE"""),1.006)</f>
        <v>1.006</v>
      </c>
      <c r="E4803" s="16">
        <f>IFERROR(__xludf.DUMMYFUNCTION("""COMPUTED_VALUE"""),69.0)</f>
        <v>69</v>
      </c>
      <c r="F4803" s="19" t="str">
        <f>IFERROR(__xludf.DUMMYFUNCTION("""COMPUTED_VALUE"""),"BLACK")</f>
        <v>BLACK</v>
      </c>
      <c r="G4803" s="20" t="str">
        <f>IFERROR(__xludf.DUMMYFUNCTION("""COMPUTED_VALUE"""),"Uncle Sams Cider (04/04/2023)")</f>
        <v>Uncle Sams Cider (04/04/2023)</v>
      </c>
      <c r="H4803" s="19"/>
    </row>
    <row r="4804">
      <c r="A4804" s="9"/>
      <c r="B4804" s="15"/>
      <c r="C4804" s="9">
        <f>IFERROR(__xludf.DUMMYFUNCTION("""COMPUTED_VALUE"""),45094.3318446412)</f>
        <v>45094.33184</v>
      </c>
      <c r="D4804" s="15">
        <f>IFERROR(__xludf.DUMMYFUNCTION("""COMPUTED_VALUE"""),1.006)</f>
        <v>1.006</v>
      </c>
      <c r="E4804" s="16">
        <f>IFERROR(__xludf.DUMMYFUNCTION("""COMPUTED_VALUE"""),69.0)</f>
        <v>69</v>
      </c>
      <c r="F4804" s="19" t="str">
        <f>IFERROR(__xludf.DUMMYFUNCTION("""COMPUTED_VALUE"""),"BLACK")</f>
        <v>BLACK</v>
      </c>
      <c r="G4804" s="20" t="str">
        <f>IFERROR(__xludf.DUMMYFUNCTION("""COMPUTED_VALUE"""),"Uncle Sams Cider (04/04/2023)")</f>
        <v>Uncle Sams Cider (04/04/2023)</v>
      </c>
      <c r="H4804" s="19"/>
    </row>
    <row r="4805">
      <c r="A4805" s="9"/>
      <c r="B4805" s="15"/>
      <c r="C4805" s="9">
        <f>IFERROR(__xludf.DUMMYFUNCTION("""COMPUTED_VALUE"""),45094.3214233101)</f>
        <v>45094.32142</v>
      </c>
      <c r="D4805" s="15">
        <f>IFERROR(__xludf.DUMMYFUNCTION("""COMPUTED_VALUE"""),1.006)</f>
        <v>1.006</v>
      </c>
      <c r="E4805" s="16">
        <f>IFERROR(__xludf.DUMMYFUNCTION("""COMPUTED_VALUE"""),69.0)</f>
        <v>69</v>
      </c>
      <c r="F4805" s="19" t="str">
        <f>IFERROR(__xludf.DUMMYFUNCTION("""COMPUTED_VALUE"""),"BLACK")</f>
        <v>BLACK</v>
      </c>
      <c r="G4805" s="20" t="str">
        <f>IFERROR(__xludf.DUMMYFUNCTION("""COMPUTED_VALUE"""),"Uncle Sams Cider (04/04/2023)")</f>
        <v>Uncle Sams Cider (04/04/2023)</v>
      </c>
      <c r="H4805" s="19"/>
    </row>
    <row r="4806">
      <c r="A4806" s="9"/>
      <c r="B4806" s="15"/>
      <c r="C4806" s="9">
        <f>IFERROR(__xludf.DUMMYFUNCTION("""COMPUTED_VALUE"""),45094.311002199)</f>
        <v>45094.311</v>
      </c>
      <c r="D4806" s="15">
        <f>IFERROR(__xludf.DUMMYFUNCTION("""COMPUTED_VALUE"""),1.006)</f>
        <v>1.006</v>
      </c>
      <c r="E4806" s="16">
        <f>IFERROR(__xludf.DUMMYFUNCTION("""COMPUTED_VALUE"""),69.0)</f>
        <v>69</v>
      </c>
      <c r="F4806" s="19" t="str">
        <f>IFERROR(__xludf.DUMMYFUNCTION("""COMPUTED_VALUE"""),"BLACK")</f>
        <v>BLACK</v>
      </c>
      <c r="G4806" s="20" t="str">
        <f>IFERROR(__xludf.DUMMYFUNCTION("""COMPUTED_VALUE"""),"Uncle Sams Cider (04/04/2023)")</f>
        <v>Uncle Sams Cider (04/04/2023)</v>
      </c>
      <c r="H4806" s="19"/>
    </row>
    <row r="4807">
      <c r="A4807" s="9"/>
      <c r="B4807" s="15"/>
      <c r="C4807" s="9">
        <f>IFERROR(__xludf.DUMMYFUNCTION("""COMPUTED_VALUE"""),45094.300580625)</f>
        <v>45094.30058</v>
      </c>
      <c r="D4807" s="15">
        <f>IFERROR(__xludf.DUMMYFUNCTION("""COMPUTED_VALUE"""),1.006)</f>
        <v>1.006</v>
      </c>
      <c r="E4807" s="16">
        <f>IFERROR(__xludf.DUMMYFUNCTION("""COMPUTED_VALUE"""),69.0)</f>
        <v>69</v>
      </c>
      <c r="F4807" s="19" t="str">
        <f>IFERROR(__xludf.DUMMYFUNCTION("""COMPUTED_VALUE"""),"BLACK")</f>
        <v>BLACK</v>
      </c>
      <c r="G4807" s="20" t="str">
        <f>IFERROR(__xludf.DUMMYFUNCTION("""COMPUTED_VALUE"""),"Uncle Sams Cider (04/04/2023)")</f>
        <v>Uncle Sams Cider (04/04/2023)</v>
      </c>
      <c r="H4807" s="19"/>
    </row>
    <row r="4808">
      <c r="A4808" s="9"/>
      <c r="B4808" s="15"/>
      <c r="C4808" s="9">
        <f>IFERROR(__xludf.DUMMYFUNCTION("""COMPUTED_VALUE"""),45094.2901585648)</f>
        <v>45094.29016</v>
      </c>
      <c r="D4808" s="15">
        <f>IFERROR(__xludf.DUMMYFUNCTION("""COMPUTED_VALUE"""),1.006)</f>
        <v>1.006</v>
      </c>
      <c r="E4808" s="16">
        <f>IFERROR(__xludf.DUMMYFUNCTION("""COMPUTED_VALUE"""),69.0)</f>
        <v>69</v>
      </c>
      <c r="F4808" s="19" t="str">
        <f>IFERROR(__xludf.DUMMYFUNCTION("""COMPUTED_VALUE"""),"BLACK")</f>
        <v>BLACK</v>
      </c>
      <c r="G4808" s="20" t="str">
        <f>IFERROR(__xludf.DUMMYFUNCTION("""COMPUTED_VALUE"""),"Uncle Sams Cider (04/04/2023)")</f>
        <v>Uncle Sams Cider (04/04/2023)</v>
      </c>
      <c r="H4808" s="19"/>
    </row>
    <row r="4809">
      <c r="A4809" s="9"/>
      <c r="B4809" s="15"/>
      <c r="C4809" s="9">
        <f>IFERROR(__xludf.DUMMYFUNCTION("""COMPUTED_VALUE"""),45094.2797370486)</f>
        <v>45094.27974</v>
      </c>
      <c r="D4809" s="15">
        <f>IFERROR(__xludf.DUMMYFUNCTION("""COMPUTED_VALUE"""),1.006)</f>
        <v>1.006</v>
      </c>
      <c r="E4809" s="16">
        <f>IFERROR(__xludf.DUMMYFUNCTION("""COMPUTED_VALUE"""),69.0)</f>
        <v>69</v>
      </c>
      <c r="F4809" s="19" t="str">
        <f>IFERROR(__xludf.DUMMYFUNCTION("""COMPUTED_VALUE"""),"BLACK")</f>
        <v>BLACK</v>
      </c>
      <c r="G4809" s="20" t="str">
        <f>IFERROR(__xludf.DUMMYFUNCTION("""COMPUTED_VALUE"""),"Uncle Sams Cider (04/04/2023)")</f>
        <v>Uncle Sams Cider (04/04/2023)</v>
      </c>
      <c r="H4809" s="19"/>
    </row>
    <row r="4810">
      <c r="A4810" s="9"/>
      <c r="B4810" s="15"/>
      <c r="C4810" s="9">
        <f>IFERROR(__xludf.DUMMYFUNCTION("""COMPUTED_VALUE"""),45094.2693160532)</f>
        <v>45094.26932</v>
      </c>
      <c r="D4810" s="15">
        <f>IFERROR(__xludf.DUMMYFUNCTION("""COMPUTED_VALUE"""),1.006)</f>
        <v>1.006</v>
      </c>
      <c r="E4810" s="16">
        <f>IFERROR(__xludf.DUMMYFUNCTION("""COMPUTED_VALUE"""),69.0)</f>
        <v>69</v>
      </c>
      <c r="F4810" s="19" t="str">
        <f>IFERROR(__xludf.DUMMYFUNCTION("""COMPUTED_VALUE"""),"BLACK")</f>
        <v>BLACK</v>
      </c>
      <c r="G4810" s="20" t="str">
        <f>IFERROR(__xludf.DUMMYFUNCTION("""COMPUTED_VALUE"""),"Uncle Sams Cider (04/04/2023)")</f>
        <v>Uncle Sams Cider (04/04/2023)</v>
      </c>
      <c r="H4810" s="19"/>
    </row>
    <row r="4811">
      <c r="A4811" s="9"/>
      <c r="B4811" s="15"/>
      <c r="C4811" s="9">
        <f>IFERROR(__xludf.DUMMYFUNCTION("""COMPUTED_VALUE"""),45094.2588950694)</f>
        <v>45094.2589</v>
      </c>
      <c r="D4811" s="15">
        <f>IFERROR(__xludf.DUMMYFUNCTION("""COMPUTED_VALUE"""),1.006)</f>
        <v>1.006</v>
      </c>
      <c r="E4811" s="16">
        <f>IFERROR(__xludf.DUMMYFUNCTION("""COMPUTED_VALUE"""),69.0)</f>
        <v>69</v>
      </c>
      <c r="F4811" s="19" t="str">
        <f>IFERROR(__xludf.DUMMYFUNCTION("""COMPUTED_VALUE"""),"BLACK")</f>
        <v>BLACK</v>
      </c>
      <c r="G4811" s="20" t="str">
        <f>IFERROR(__xludf.DUMMYFUNCTION("""COMPUTED_VALUE"""),"Uncle Sams Cider (04/04/2023)")</f>
        <v>Uncle Sams Cider (04/04/2023)</v>
      </c>
      <c r="H4811" s="19"/>
    </row>
    <row r="4812">
      <c r="A4812" s="9"/>
      <c r="B4812" s="15"/>
      <c r="C4812" s="9">
        <f>IFERROR(__xludf.DUMMYFUNCTION("""COMPUTED_VALUE"""),45094.2484734722)</f>
        <v>45094.24847</v>
      </c>
      <c r="D4812" s="15">
        <f>IFERROR(__xludf.DUMMYFUNCTION("""COMPUTED_VALUE"""),1.006)</f>
        <v>1.006</v>
      </c>
      <c r="E4812" s="16">
        <f>IFERROR(__xludf.DUMMYFUNCTION("""COMPUTED_VALUE"""),69.0)</f>
        <v>69</v>
      </c>
      <c r="F4812" s="19" t="str">
        <f>IFERROR(__xludf.DUMMYFUNCTION("""COMPUTED_VALUE"""),"BLACK")</f>
        <v>BLACK</v>
      </c>
      <c r="G4812" s="20" t="str">
        <f>IFERROR(__xludf.DUMMYFUNCTION("""COMPUTED_VALUE"""),"Uncle Sams Cider (04/04/2023)")</f>
        <v>Uncle Sams Cider (04/04/2023)</v>
      </c>
      <c r="H4812" s="19"/>
    </row>
    <row r="4813">
      <c r="A4813" s="9"/>
      <c r="B4813" s="15"/>
      <c r="C4813" s="9">
        <f>IFERROR(__xludf.DUMMYFUNCTION("""COMPUTED_VALUE"""),45094.2380399305)</f>
        <v>45094.23804</v>
      </c>
      <c r="D4813" s="15">
        <f>IFERROR(__xludf.DUMMYFUNCTION("""COMPUTED_VALUE"""),1.006)</f>
        <v>1.006</v>
      </c>
      <c r="E4813" s="16">
        <f>IFERROR(__xludf.DUMMYFUNCTION("""COMPUTED_VALUE"""),69.0)</f>
        <v>69</v>
      </c>
      <c r="F4813" s="19" t="str">
        <f>IFERROR(__xludf.DUMMYFUNCTION("""COMPUTED_VALUE"""),"BLACK")</f>
        <v>BLACK</v>
      </c>
      <c r="G4813" s="20" t="str">
        <f>IFERROR(__xludf.DUMMYFUNCTION("""COMPUTED_VALUE"""),"Uncle Sams Cider (04/04/2023)")</f>
        <v>Uncle Sams Cider (04/04/2023)</v>
      </c>
      <c r="H4813" s="19"/>
    </row>
    <row r="4814">
      <c r="A4814" s="9"/>
      <c r="B4814" s="15"/>
      <c r="C4814" s="9">
        <f>IFERROR(__xludf.DUMMYFUNCTION("""COMPUTED_VALUE"""),45094.2276194213)</f>
        <v>45094.22762</v>
      </c>
      <c r="D4814" s="15">
        <f>IFERROR(__xludf.DUMMYFUNCTION("""COMPUTED_VALUE"""),1.006)</f>
        <v>1.006</v>
      </c>
      <c r="E4814" s="16">
        <f>IFERROR(__xludf.DUMMYFUNCTION("""COMPUTED_VALUE"""),69.0)</f>
        <v>69</v>
      </c>
      <c r="F4814" s="19" t="str">
        <f>IFERROR(__xludf.DUMMYFUNCTION("""COMPUTED_VALUE"""),"BLACK")</f>
        <v>BLACK</v>
      </c>
      <c r="G4814" s="20" t="str">
        <f>IFERROR(__xludf.DUMMYFUNCTION("""COMPUTED_VALUE"""),"Uncle Sams Cider (04/04/2023)")</f>
        <v>Uncle Sams Cider (04/04/2023)</v>
      </c>
      <c r="H4814" s="19"/>
    </row>
    <row r="4815">
      <c r="A4815" s="9"/>
      <c r="B4815" s="15"/>
      <c r="C4815" s="9">
        <f>IFERROR(__xludf.DUMMYFUNCTION("""COMPUTED_VALUE"""),45094.2171870138)</f>
        <v>45094.21719</v>
      </c>
      <c r="D4815" s="15">
        <f>IFERROR(__xludf.DUMMYFUNCTION("""COMPUTED_VALUE"""),1.006)</f>
        <v>1.006</v>
      </c>
      <c r="E4815" s="16">
        <f>IFERROR(__xludf.DUMMYFUNCTION("""COMPUTED_VALUE"""),69.0)</f>
        <v>69</v>
      </c>
      <c r="F4815" s="19" t="str">
        <f>IFERROR(__xludf.DUMMYFUNCTION("""COMPUTED_VALUE"""),"BLACK")</f>
        <v>BLACK</v>
      </c>
      <c r="G4815" s="20" t="str">
        <f>IFERROR(__xludf.DUMMYFUNCTION("""COMPUTED_VALUE"""),"Uncle Sams Cider (04/04/2023)")</f>
        <v>Uncle Sams Cider (04/04/2023)</v>
      </c>
      <c r="H4815" s="19"/>
    </row>
    <row r="4816">
      <c r="A4816" s="9"/>
      <c r="B4816" s="15"/>
      <c r="C4816" s="9">
        <f>IFERROR(__xludf.DUMMYFUNCTION("""COMPUTED_VALUE"""),45094.2067650231)</f>
        <v>45094.20677</v>
      </c>
      <c r="D4816" s="15">
        <f>IFERROR(__xludf.DUMMYFUNCTION("""COMPUTED_VALUE"""),1.006)</f>
        <v>1.006</v>
      </c>
      <c r="E4816" s="16">
        <f>IFERROR(__xludf.DUMMYFUNCTION("""COMPUTED_VALUE"""),69.0)</f>
        <v>69</v>
      </c>
      <c r="F4816" s="19" t="str">
        <f>IFERROR(__xludf.DUMMYFUNCTION("""COMPUTED_VALUE"""),"BLACK")</f>
        <v>BLACK</v>
      </c>
      <c r="G4816" s="20" t="str">
        <f>IFERROR(__xludf.DUMMYFUNCTION("""COMPUTED_VALUE"""),"Uncle Sams Cider (04/04/2023)")</f>
        <v>Uncle Sams Cider (04/04/2023)</v>
      </c>
      <c r="H4816" s="19"/>
    </row>
    <row r="4817">
      <c r="A4817" s="9"/>
      <c r="B4817" s="15"/>
      <c r="C4817" s="9">
        <f>IFERROR(__xludf.DUMMYFUNCTION("""COMPUTED_VALUE"""),45094.1963307638)</f>
        <v>45094.19633</v>
      </c>
      <c r="D4817" s="15">
        <f>IFERROR(__xludf.DUMMYFUNCTION("""COMPUTED_VALUE"""),1.006)</f>
        <v>1.006</v>
      </c>
      <c r="E4817" s="16">
        <f>IFERROR(__xludf.DUMMYFUNCTION("""COMPUTED_VALUE"""),69.0)</f>
        <v>69</v>
      </c>
      <c r="F4817" s="19" t="str">
        <f>IFERROR(__xludf.DUMMYFUNCTION("""COMPUTED_VALUE"""),"BLACK")</f>
        <v>BLACK</v>
      </c>
      <c r="G4817" s="20" t="str">
        <f>IFERROR(__xludf.DUMMYFUNCTION("""COMPUTED_VALUE"""),"Uncle Sams Cider (04/04/2023)")</f>
        <v>Uncle Sams Cider (04/04/2023)</v>
      </c>
      <c r="H4817" s="19"/>
    </row>
    <row r="4818">
      <c r="A4818" s="9"/>
      <c r="B4818" s="15"/>
      <c r="C4818" s="9">
        <f>IFERROR(__xludf.DUMMYFUNCTION("""COMPUTED_VALUE"""),45094.1859107638)</f>
        <v>45094.18591</v>
      </c>
      <c r="D4818" s="15">
        <f>IFERROR(__xludf.DUMMYFUNCTION("""COMPUTED_VALUE"""),1.006)</f>
        <v>1.006</v>
      </c>
      <c r="E4818" s="16">
        <f>IFERROR(__xludf.DUMMYFUNCTION("""COMPUTED_VALUE"""),69.0)</f>
        <v>69</v>
      </c>
      <c r="F4818" s="19" t="str">
        <f>IFERROR(__xludf.DUMMYFUNCTION("""COMPUTED_VALUE"""),"BLACK")</f>
        <v>BLACK</v>
      </c>
      <c r="G4818" s="20" t="str">
        <f>IFERROR(__xludf.DUMMYFUNCTION("""COMPUTED_VALUE"""),"Uncle Sams Cider (04/04/2023)")</f>
        <v>Uncle Sams Cider (04/04/2023)</v>
      </c>
      <c r="H4818" s="19"/>
    </row>
    <row r="4819">
      <c r="A4819" s="9"/>
      <c r="B4819" s="15"/>
      <c r="C4819" s="9">
        <f>IFERROR(__xludf.DUMMYFUNCTION("""COMPUTED_VALUE"""),45094.1754909259)</f>
        <v>45094.17549</v>
      </c>
      <c r="D4819" s="15">
        <f>IFERROR(__xludf.DUMMYFUNCTION("""COMPUTED_VALUE"""),1.006)</f>
        <v>1.006</v>
      </c>
      <c r="E4819" s="16">
        <f>IFERROR(__xludf.DUMMYFUNCTION("""COMPUTED_VALUE"""),69.0)</f>
        <v>69</v>
      </c>
      <c r="F4819" s="19" t="str">
        <f>IFERROR(__xludf.DUMMYFUNCTION("""COMPUTED_VALUE"""),"BLACK")</f>
        <v>BLACK</v>
      </c>
      <c r="G4819" s="20" t="str">
        <f>IFERROR(__xludf.DUMMYFUNCTION("""COMPUTED_VALUE"""),"Uncle Sams Cider (04/04/2023)")</f>
        <v>Uncle Sams Cider (04/04/2023)</v>
      </c>
      <c r="H4819" s="19"/>
    </row>
    <row r="4820">
      <c r="A4820" s="9"/>
      <c r="B4820" s="15"/>
      <c r="C4820" s="9">
        <f>IFERROR(__xludf.DUMMYFUNCTION("""COMPUTED_VALUE"""),45094.165069456)</f>
        <v>45094.16507</v>
      </c>
      <c r="D4820" s="15">
        <f>IFERROR(__xludf.DUMMYFUNCTION("""COMPUTED_VALUE"""),1.006)</f>
        <v>1.006</v>
      </c>
      <c r="E4820" s="16">
        <f>IFERROR(__xludf.DUMMYFUNCTION("""COMPUTED_VALUE"""),69.0)</f>
        <v>69</v>
      </c>
      <c r="F4820" s="19" t="str">
        <f>IFERROR(__xludf.DUMMYFUNCTION("""COMPUTED_VALUE"""),"BLACK")</f>
        <v>BLACK</v>
      </c>
      <c r="G4820" s="20" t="str">
        <f>IFERROR(__xludf.DUMMYFUNCTION("""COMPUTED_VALUE"""),"Uncle Sams Cider (04/04/2023)")</f>
        <v>Uncle Sams Cider (04/04/2023)</v>
      </c>
      <c r="H4820" s="19"/>
    </row>
    <row r="4821">
      <c r="A4821" s="9"/>
      <c r="B4821" s="15"/>
      <c r="C4821" s="9">
        <f>IFERROR(__xludf.DUMMYFUNCTION("""COMPUTED_VALUE"""),45094.1546498726)</f>
        <v>45094.15465</v>
      </c>
      <c r="D4821" s="15">
        <f>IFERROR(__xludf.DUMMYFUNCTION("""COMPUTED_VALUE"""),1.006)</f>
        <v>1.006</v>
      </c>
      <c r="E4821" s="16">
        <f>IFERROR(__xludf.DUMMYFUNCTION("""COMPUTED_VALUE"""),69.0)</f>
        <v>69</v>
      </c>
      <c r="F4821" s="19" t="str">
        <f>IFERROR(__xludf.DUMMYFUNCTION("""COMPUTED_VALUE"""),"BLACK")</f>
        <v>BLACK</v>
      </c>
      <c r="G4821" s="20" t="str">
        <f>IFERROR(__xludf.DUMMYFUNCTION("""COMPUTED_VALUE"""),"Uncle Sams Cider (04/04/2023)")</f>
        <v>Uncle Sams Cider (04/04/2023)</v>
      </c>
      <c r="H4821" s="19"/>
    </row>
    <row r="4822">
      <c r="A4822" s="9"/>
      <c r="B4822" s="15"/>
      <c r="C4822" s="9">
        <f>IFERROR(__xludf.DUMMYFUNCTION("""COMPUTED_VALUE"""),45094.1442290277)</f>
        <v>45094.14423</v>
      </c>
      <c r="D4822" s="15">
        <f>IFERROR(__xludf.DUMMYFUNCTION("""COMPUTED_VALUE"""),1.006)</f>
        <v>1.006</v>
      </c>
      <c r="E4822" s="16">
        <f>IFERROR(__xludf.DUMMYFUNCTION("""COMPUTED_VALUE"""),69.0)</f>
        <v>69</v>
      </c>
      <c r="F4822" s="19" t="str">
        <f>IFERROR(__xludf.DUMMYFUNCTION("""COMPUTED_VALUE"""),"BLACK")</f>
        <v>BLACK</v>
      </c>
      <c r="G4822" s="20" t="str">
        <f>IFERROR(__xludf.DUMMYFUNCTION("""COMPUTED_VALUE"""),"Uncle Sams Cider (04/04/2023)")</f>
        <v>Uncle Sams Cider (04/04/2023)</v>
      </c>
      <c r="H4822" s="19"/>
    </row>
    <row r="4823">
      <c r="A4823" s="9"/>
      <c r="B4823" s="15"/>
      <c r="C4823" s="9">
        <f>IFERROR(__xludf.DUMMYFUNCTION("""COMPUTED_VALUE"""),45094.1338077662)</f>
        <v>45094.13381</v>
      </c>
      <c r="D4823" s="15">
        <f>IFERROR(__xludf.DUMMYFUNCTION("""COMPUTED_VALUE"""),1.006)</f>
        <v>1.006</v>
      </c>
      <c r="E4823" s="16">
        <f>IFERROR(__xludf.DUMMYFUNCTION("""COMPUTED_VALUE"""),69.0)</f>
        <v>69</v>
      </c>
      <c r="F4823" s="19" t="str">
        <f>IFERROR(__xludf.DUMMYFUNCTION("""COMPUTED_VALUE"""),"BLACK")</f>
        <v>BLACK</v>
      </c>
      <c r="G4823" s="20" t="str">
        <f>IFERROR(__xludf.DUMMYFUNCTION("""COMPUTED_VALUE"""),"Uncle Sams Cider (04/04/2023)")</f>
        <v>Uncle Sams Cider (04/04/2023)</v>
      </c>
      <c r="H4823" s="19"/>
    </row>
    <row r="4824">
      <c r="A4824" s="9"/>
      <c r="B4824" s="15"/>
      <c r="C4824" s="9">
        <f>IFERROR(__xludf.DUMMYFUNCTION("""COMPUTED_VALUE"""),45094.1233753009)</f>
        <v>45094.12338</v>
      </c>
      <c r="D4824" s="15">
        <f>IFERROR(__xludf.DUMMYFUNCTION("""COMPUTED_VALUE"""),1.006)</f>
        <v>1.006</v>
      </c>
      <c r="E4824" s="16">
        <f>IFERROR(__xludf.DUMMYFUNCTION("""COMPUTED_VALUE"""),69.0)</f>
        <v>69</v>
      </c>
      <c r="F4824" s="19" t="str">
        <f>IFERROR(__xludf.DUMMYFUNCTION("""COMPUTED_VALUE"""),"BLACK")</f>
        <v>BLACK</v>
      </c>
      <c r="G4824" s="20" t="str">
        <f>IFERROR(__xludf.DUMMYFUNCTION("""COMPUTED_VALUE"""),"Uncle Sams Cider (04/04/2023)")</f>
        <v>Uncle Sams Cider (04/04/2023)</v>
      </c>
      <c r="H4824" s="19"/>
    </row>
    <row r="4825">
      <c r="A4825" s="9"/>
      <c r="B4825" s="15"/>
      <c r="C4825" s="9">
        <f>IFERROR(__xludf.DUMMYFUNCTION("""COMPUTED_VALUE"""),45094.1129532175)</f>
        <v>45094.11295</v>
      </c>
      <c r="D4825" s="15">
        <f>IFERROR(__xludf.DUMMYFUNCTION("""COMPUTED_VALUE"""),1.006)</f>
        <v>1.006</v>
      </c>
      <c r="E4825" s="16">
        <f>IFERROR(__xludf.DUMMYFUNCTION("""COMPUTED_VALUE"""),69.0)</f>
        <v>69</v>
      </c>
      <c r="F4825" s="19" t="str">
        <f>IFERROR(__xludf.DUMMYFUNCTION("""COMPUTED_VALUE"""),"BLACK")</f>
        <v>BLACK</v>
      </c>
      <c r="G4825" s="20" t="str">
        <f>IFERROR(__xludf.DUMMYFUNCTION("""COMPUTED_VALUE"""),"Uncle Sams Cider (04/04/2023)")</f>
        <v>Uncle Sams Cider (04/04/2023)</v>
      </c>
      <c r="H4825" s="19"/>
    </row>
    <row r="4826">
      <c r="A4826" s="9"/>
      <c r="B4826" s="15"/>
      <c r="C4826" s="9">
        <f>IFERROR(__xludf.DUMMYFUNCTION("""COMPUTED_VALUE"""),45094.1025311226)</f>
        <v>45094.10253</v>
      </c>
      <c r="D4826" s="15">
        <f>IFERROR(__xludf.DUMMYFUNCTION("""COMPUTED_VALUE"""),1.006)</f>
        <v>1.006</v>
      </c>
      <c r="E4826" s="16">
        <f>IFERROR(__xludf.DUMMYFUNCTION("""COMPUTED_VALUE"""),69.0)</f>
        <v>69</v>
      </c>
      <c r="F4826" s="19" t="str">
        <f>IFERROR(__xludf.DUMMYFUNCTION("""COMPUTED_VALUE"""),"BLACK")</f>
        <v>BLACK</v>
      </c>
      <c r="G4826" s="20" t="str">
        <f>IFERROR(__xludf.DUMMYFUNCTION("""COMPUTED_VALUE"""),"Uncle Sams Cider (04/04/2023)")</f>
        <v>Uncle Sams Cider (04/04/2023)</v>
      </c>
      <c r="H4826" s="19"/>
    </row>
    <row r="4827">
      <c r="A4827" s="9"/>
      <c r="B4827" s="15"/>
      <c r="C4827" s="9">
        <f>IFERROR(__xludf.DUMMYFUNCTION("""COMPUTED_VALUE"""),45094.0920970254)</f>
        <v>45094.0921</v>
      </c>
      <c r="D4827" s="15">
        <f>IFERROR(__xludf.DUMMYFUNCTION("""COMPUTED_VALUE"""),1.006)</f>
        <v>1.006</v>
      </c>
      <c r="E4827" s="16">
        <f>IFERROR(__xludf.DUMMYFUNCTION("""COMPUTED_VALUE"""),69.0)</f>
        <v>69</v>
      </c>
      <c r="F4827" s="19" t="str">
        <f>IFERROR(__xludf.DUMMYFUNCTION("""COMPUTED_VALUE"""),"BLACK")</f>
        <v>BLACK</v>
      </c>
      <c r="G4827" s="20" t="str">
        <f>IFERROR(__xludf.DUMMYFUNCTION("""COMPUTED_VALUE"""),"Uncle Sams Cider (04/04/2023)")</f>
        <v>Uncle Sams Cider (04/04/2023)</v>
      </c>
      <c r="H4827" s="19"/>
    </row>
    <row r="4828">
      <c r="A4828" s="9"/>
      <c r="B4828" s="15"/>
      <c r="C4828" s="9">
        <f>IFERROR(__xludf.DUMMYFUNCTION("""COMPUTED_VALUE"""),45094.0816747685)</f>
        <v>45094.08167</v>
      </c>
      <c r="D4828" s="15">
        <f>IFERROR(__xludf.DUMMYFUNCTION("""COMPUTED_VALUE"""),1.006)</f>
        <v>1.006</v>
      </c>
      <c r="E4828" s="16">
        <f>IFERROR(__xludf.DUMMYFUNCTION("""COMPUTED_VALUE"""),69.0)</f>
        <v>69</v>
      </c>
      <c r="F4828" s="19" t="str">
        <f>IFERROR(__xludf.DUMMYFUNCTION("""COMPUTED_VALUE"""),"BLACK")</f>
        <v>BLACK</v>
      </c>
      <c r="G4828" s="20" t="str">
        <f>IFERROR(__xludf.DUMMYFUNCTION("""COMPUTED_VALUE"""),"Uncle Sams Cider (04/04/2023)")</f>
        <v>Uncle Sams Cider (04/04/2023)</v>
      </c>
      <c r="H4828" s="19"/>
    </row>
    <row r="4829">
      <c r="A4829" s="9"/>
      <c r="B4829" s="15"/>
      <c r="C4829" s="9">
        <f>IFERROR(__xludf.DUMMYFUNCTION("""COMPUTED_VALUE"""),45094.071241331)</f>
        <v>45094.07124</v>
      </c>
      <c r="D4829" s="15">
        <f>IFERROR(__xludf.DUMMYFUNCTION("""COMPUTED_VALUE"""),1.006)</f>
        <v>1.006</v>
      </c>
      <c r="E4829" s="16">
        <f>IFERROR(__xludf.DUMMYFUNCTION("""COMPUTED_VALUE"""),69.0)</f>
        <v>69</v>
      </c>
      <c r="F4829" s="19" t="str">
        <f>IFERROR(__xludf.DUMMYFUNCTION("""COMPUTED_VALUE"""),"BLACK")</f>
        <v>BLACK</v>
      </c>
      <c r="G4829" s="20" t="str">
        <f>IFERROR(__xludf.DUMMYFUNCTION("""COMPUTED_VALUE"""),"Uncle Sams Cider (04/04/2023)")</f>
        <v>Uncle Sams Cider (04/04/2023)</v>
      </c>
      <c r="H4829" s="19"/>
    </row>
    <row r="4830">
      <c r="A4830" s="9"/>
      <c r="B4830" s="15"/>
      <c r="C4830" s="9">
        <f>IFERROR(__xludf.DUMMYFUNCTION("""COMPUTED_VALUE"""),45094.0608208217)</f>
        <v>45094.06082</v>
      </c>
      <c r="D4830" s="15">
        <f>IFERROR(__xludf.DUMMYFUNCTION("""COMPUTED_VALUE"""),1.006)</f>
        <v>1.006</v>
      </c>
      <c r="E4830" s="16">
        <f>IFERROR(__xludf.DUMMYFUNCTION("""COMPUTED_VALUE"""),69.0)</f>
        <v>69</v>
      </c>
      <c r="F4830" s="19" t="str">
        <f>IFERROR(__xludf.DUMMYFUNCTION("""COMPUTED_VALUE"""),"BLACK")</f>
        <v>BLACK</v>
      </c>
      <c r="G4830" s="20" t="str">
        <f>IFERROR(__xludf.DUMMYFUNCTION("""COMPUTED_VALUE"""),"Uncle Sams Cider (04/04/2023)")</f>
        <v>Uncle Sams Cider (04/04/2023)</v>
      </c>
      <c r="H4830" s="19"/>
    </row>
    <row r="4831">
      <c r="A4831" s="9"/>
      <c r="B4831" s="15"/>
      <c r="C4831" s="9">
        <f>IFERROR(__xludf.DUMMYFUNCTION("""COMPUTED_VALUE"""),45094.0504010995)</f>
        <v>45094.0504</v>
      </c>
      <c r="D4831" s="15">
        <f>IFERROR(__xludf.DUMMYFUNCTION("""COMPUTED_VALUE"""),1.006)</f>
        <v>1.006</v>
      </c>
      <c r="E4831" s="16">
        <f>IFERROR(__xludf.DUMMYFUNCTION("""COMPUTED_VALUE"""),69.0)</f>
        <v>69</v>
      </c>
      <c r="F4831" s="19" t="str">
        <f>IFERROR(__xludf.DUMMYFUNCTION("""COMPUTED_VALUE"""),"BLACK")</f>
        <v>BLACK</v>
      </c>
      <c r="G4831" s="20" t="str">
        <f>IFERROR(__xludf.DUMMYFUNCTION("""COMPUTED_VALUE"""),"Uncle Sams Cider (04/04/2023)")</f>
        <v>Uncle Sams Cider (04/04/2023)</v>
      </c>
      <c r="H4831" s="19"/>
    </row>
    <row r="4832">
      <c r="A4832" s="9"/>
      <c r="B4832" s="15"/>
      <c r="C4832" s="9">
        <f>IFERROR(__xludf.DUMMYFUNCTION("""COMPUTED_VALUE"""),45094.0399797801)</f>
        <v>45094.03998</v>
      </c>
      <c r="D4832" s="15">
        <f>IFERROR(__xludf.DUMMYFUNCTION("""COMPUTED_VALUE"""),1.006)</f>
        <v>1.006</v>
      </c>
      <c r="E4832" s="16">
        <f>IFERROR(__xludf.DUMMYFUNCTION("""COMPUTED_VALUE"""),69.0)</f>
        <v>69</v>
      </c>
      <c r="F4832" s="19" t="str">
        <f>IFERROR(__xludf.DUMMYFUNCTION("""COMPUTED_VALUE"""),"BLACK")</f>
        <v>BLACK</v>
      </c>
      <c r="G4832" s="20" t="str">
        <f>IFERROR(__xludf.DUMMYFUNCTION("""COMPUTED_VALUE"""),"Uncle Sams Cider (04/04/2023)")</f>
        <v>Uncle Sams Cider (04/04/2023)</v>
      </c>
      <c r="H4832" s="19"/>
    </row>
    <row r="4833">
      <c r="A4833" s="9"/>
      <c r="B4833" s="15"/>
      <c r="C4833" s="9">
        <f>IFERROR(__xludf.DUMMYFUNCTION("""COMPUTED_VALUE"""),45094.0295471759)</f>
        <v>45094.02955</v>
      </c>
      <c r="D4833" s="15">
        <f>IFERROR(__xludf.DUMMYFUNCTION("""COMPUTED_VALUE"""),1.006)</f>
        <v>1.006</v>
      </c>
      <c r="E4833" s="16">
        <f>IFERROR(__xludf.DUMMYFUNCTION("""COMPUTED_VALUE"""),69.0)</f>
        <v>69</v>
      </c>
      <c r="F4833" s="19" t="str">
        <f>IFERROR(__xludf.DUMMYFUNCTION("""COMPUTED_VALUE"""),"BLACK")</f>
        <v>BLACK</v>
      </c>
      <c r="G4833" s="20" t="str">
        <f>IFERROR(__xludf.DUMMYFUNCTION("""COMPUTED_VALUE"""),"Uncle Sams Cider (04/04/2023)")</f>
        <v>Uncle Sams Cider (04/04/2023)</v>
      </c>
      <c r="H4833" s="19"/>
    </row>
    <row r="4834">
      <c r="A4834" s="9"/>
      <c r="B4834" s="15"/>
      <c r="C4834" s="9">
        <f>IFERROR(__xludf.DUMMYFUNCTION("""COMPUTED_VALUE"""),45094.019124699)</f>
        <v>45094.01912</v>
      </c>
      <c r="D4834" s="15">
        <f>IFERROR(__xludf.DUMMYFUNCTION("""COMPUTED_VALUE"""),1.006)</f>
        <v>1.006</v>
      </c>
      <c r="E4834" s="16">
        <f>IFERROR(__xludf.DUMMYFUNCTION("""COMPUTED_VALUE"""),69.0)</f>
        <v>69</v>
      </c>
      <c r="F4834" s="19" t="str">
        <f>IFERROR(__xludf.DUMMYFUNCTION("""COMPUTED_VALUE"""),"BLACK")</f>
        <v>BLACK</v>
      </c>
      <c r="G4834" s="20" t="str">
        <f>IFERROR(__xludf.DUMMYFUNCTION("""COMPUTED_VALUE"""),"Uncle Sams Cider (04/04/2023)")</f>
        <v>Uncle Sams Cider (04/04/2023)</v>
      </c>
      <c r="H4834" s="19"/>
    </row>
    <row r="4835">
      <c r="A4835" s="9"/>
      <c r="B4835" s="15"/>
      <c r="C4835" s="9">
        <f>IFERROR(__xludf.DUMMYFUNCTION("""COMPUTED_VALUE"""),45094.0087043865)</f>
        <v>45094.0087</v>
      </c>
      <c r="D4835" s="15">
        <f>IFERROR(__xludf.DUMMYFUNCTION("""COMPUTED_VALUE"""),1.006)</f>
        <v>1.006</v>
      </c>
      <c r="E4835" s="16">
        <f>IFERROR(__xludf.DUMMYFUNCTION("""COMPUTED_VALUE"""),69.0)</f>
        <v>69</v>
      </c>
      <c r="F4835" s="19" t="str">
        <f>IFERROR(__xludf.DUMMYFUNCTION("""COMPUTED_VALUE"""),"BLACK")</f>
        <v>BLACK</v>
      </c>
      <c r="G4835" s="20" t="str">
        <f>IFERROR(__xludf.DUMMYFUNCTION("""COMPUTED_VALUE"""),"Uncle Sams Cider (04/04/2023)")</f>
        <v>Uncle Sams Cider (04/04/2023)</v>
      </c>
      <c r="H4835" s="19"/>
    </row>
    <row r="4836">
      <c r="A4836" s="9"/>
      <c r="B4836" s="15"/>
      <c r="C4836" s="9">
        <f>IFERROR(__xludf.DUMMYFUNCTION("""COMPUTED_VALUE"""),45093.9982832523)</f>
        <v>45093.99828</v>
      </c>
      <c r="D4836" s="15">
        <f>IFERROR(__xludf.DUMMYFUNCTION("""COMPUTED_VALUE"""),1.006)</f>
        <v>1.006</v>
      </c>
      <c r="E4836" s="16">
        <f>IFERROR(__xludf.DUMMYFUNCTION("""COMPUTED_VALUE"""),69.0)</f>
        <v>69</v>
      </c>
      <c r="F4836" s="19" t="str">
        <f>IFERROR(__xludf.DUMMYFUNCTION("""COMPUTED_VALUE"""),"BLACK")</f>
        <v>BLACK</v>
      </c>
      <c r="G4836" s="20" t="str">
        <f>IFERROR(__xludf.DUMMYFUNCTION("""COMPUTED_VALUE"""),"Uncle Sams Cider (04/04/2023)")</f>
        <v>Uncle Sams Cider (04/04/2023)</v>
      </c>
      <c r="H4836" s="19"/>
    </row>
    <row r="4837">
      <c r="A4837" s="9"/>
      <c r="B4837" s="15"/>
      <c r="C4837" s="9">
        <f>IFERROR(__xludf.DUMMYFUNCTION("""COMPUTED_VALUE"""),45093.9878622801)</f>
        <v>45093.98786</v>
      </c>
      <c r="D4837" s="15">
        <f>IFERROR(__xludf.DUMMYFUNCTION("""COMPUTED_VALUE"""),1.006)</f>
        <v>1.006</v>
      </c>
      <c r="E4837" s="16">
        <f>IFERROR(__xludf.DUMMYFUNCTION("""COMPUTED_VALUE"""),69.0)</f>
        <v>69</v>
      </c>
      <c r="F4837" s="19" t="str">
        <f>IFERROR(__xludf.DUMMYFUNCTION("""COMPUTED_VALUE"""),"BLACK")</f>
        <v>BLACK</v>
      </c>
      <c r="G4837" s="20" t="str">
        <f>IFERROR(__xludf.DUMMYFUNCTION("""COMPUTED_VALUE"""),"Uncle Sams Cider (04/04/2023)")</f>
        <v>Uncle Sams Cider (04/04/2023)</v>
      </c>
      <c r="H4837" s="19"/>
    </row>
    <row r="4838">
      <c r="A4838" s="9"/>
      <c r="B4838" s="15"/>
      <c r="C4838" s="9">
        <f>IFERROR(__xludf.DUMMYFUNCTION("""COMPUTED_VALUE"""),45093.9774411111)</f>
        <v>45093.97744</v>
      </c>
      <c r="D4838" s="15">
        <f>IFERROR(__xludf.DUMMYFUNCTION("""COMPUTED_VALUE"""),1.006)</f>
        <v>1.006</v>
      </c>
      <c r="E4838" s="16">
        <f>IFERROR(__xludf.DUMMYFUNCTION("""COMPUTED_VALUE"""),69.0)</f>
        <v>69</v>
      </c>
      <c r="F4838" s="19" t="str">
        <f>IFERROR(__xludf.DUMMYFUNCTION("""COMPUTED_VALUE"""),"BLACK")</f>
        <v>BLACK</v>
      </c>
      <c r="G4838" s="20" t="str">
        <f>IFERROR(__xludf.DUMMYFUNCTION("""COMPUTED_VALUE"""),"Uncle Sams Cider (04/04/2023)")</f>
        <v>Uncle Sams Cider (04/04/2023)</v>
      </c>
      <c r="H4838" s="19"/>
    </row>
    <row r="4839">
      <c r="A4839" s="9"/>
      <c r="B4839" s="15"/>
      <c r="C4839" s="9">
        <f>IFERROR(__xludf.DUMMYFUNCTION("""COMPUTED_VALUE"""),45093.9670088541)</f>
        <v>45093.96701</v>
      </c>
      <c r="D4839" s="15">
        <f>IFERROR(__xludf.DUMMYFUNCTION("""COMPUTED_VALUE"""),1.006)</f>
        <v>1.006</v>
      </c>
      <c r="E4839" s="16">
        <f>IFERROR(__xludf.DUMMYFUNCTION("""COMPUTED_VALUE"""),69.0)</f>
        <v>69</v>
      </c>
      <c r="F4839" s="19" t="str">
        <f>IFERROR(__xludf.DUMMYFUNCTION("""COMPUTED_VALUE"""),"BLACK")</f>
        <v>BLACK</v>
      </c>
      <c r="G4839" s="20" t="str">
        <f>IFERROR(__xludf.DUMMYFUNCTION("""COMPUTED_VALUE"""),"Uncle Sams Cider (04/04/2023)")</f>
        <v>Uncle Sams Cider (04/04/2023)</v>
      </c>
      <c r="H4839" s="19"/>
    </row>
    <row r="4840">
      <c r="A4840" s="9"/>
      <c r="B4840" s="15"/>
      <c r="C4840" s="9">
        <f>IFERROR(__xludf.DUMMYFUNCTION("""COMPUTED_VALUE"""),45093.9565865856)</f>
        <v>45093.95659</v>
      </c>
      <c r="D4840" s="15">
        <f>IFERROR(__xludf.DUMMYFUNCTION("""COMPUTED_VALUE"""),1.006)</f>
        <v>1.006</v>
      </c>
      <c r="E4840" s="16">
        <f>IFERROR(__xludf.DUMMYFUNCTION("""COMPUTED_VALUE"""),69.0)</f>
        <v>69</v>
      </c>
      <c r="F4840" s="19" t="str">
        <f>IFERROR(__xludf.DUMMYFUNCTION("""COMPUTED_VALUE"""),"BLACK")</f>
        <v>BLACK</v>
      </c>
      <c r="G4840" s="20" t="str">
        <f>IFERROR(__xludf.DUMMYFUNCTION("""COMPUTED_VALUE"""),"Uncle Sams Cider (04/04/2023)")</f>
        <v>Uncle Sams Cider (04/04/2023)</v>
      </c>
      <c r="H4840" s="19"/>
    </row>
    <row r="4841">
      <c r="A4841" s="9"/>
      <c r="B4841" s="15"/>
      <c r="C4841" s="9">
        <f>IFERROR(__xludf.DUMMYFUNCTION("""COMPUTED_VALUE"""),45093.9461649768)</f>
        <v>45093.94616</v>
      </c>
      <c r="D4841" s="15">
        <f>IFERROR(__xludf.DUMMYFUNCTION("""COMPUTED_VALUE"""),1.006)</f>
        <v>1.006</v>
      </c>
      <c r="E4841" s="16">
        <f>IFERROR(__xludf.DUMMYFUNCTION("""COMPUTED_VALUE"""),69.0)</f>
        <v>69</v>
      </c>
      <c r="F4841" s="19" t="str">
        <f>IFERROR(__xludf.DUMMYFUNCTION("""COMPUTED_VALUE"""),"BLACK")</f>
        <v>BLACK</v>
      </c>
      <c r="G4841" s="20" t="str">
        <f>IFERROR(__xludf.DUMMYFUNCTION("""COMPUTED_VALUE"""),"Uncle Sams Cider (04/04/2023)")</f>
        <v>Uncle Sams Cider (04/04/2023)</v>
      </c>
      <c r="H4841" s="19"/>
    </row>
    <row r="4842">
      <c r="A4842" s="9"/>
      <c r="B4842" s="15"/>
      <c r="C4842" s="9">
        <f>IFERROR(__xludf.DUMMYFUNCTION("""COMPUTED_VALUE"""),45093.9356973958)</f>
        <v>45093.9357</v>
      </c>
      <c r="D4842" s="15">
        <f>IFERROR(__xludf.DUMMYFUNCTION("""COMPUTED_VALUE"""),1.006)</f>
        <v>1.006</v>
      </c>
      <c r="E4842" s="16">
        <f>IFERROR(__xludf.DUMMYFUNCTION("""COMPUTED_VALUE"""),69.0)</f>
        <v>69</v>
      </c>
      <c r="F4842" s="19" t="str">
        <f>IFERROR(__xludf.DUMMYFUNCTION("""COMPUTED_VALUE"""),"BLACK")</f>
        <v>BLACK</v>
      </c>
      <c r="G4842" s="20" t="str">
        <f>IFERROR(__xludf.DUMMYFUNCTION("""COMPUTED_VALUE"""),"Uncle Sams Cider (04/04/2023)")</f>
        <v>Uncle Sams Cider (04/04/2023)</v>
      </c>
      <c r="H4842" s="19"/>
    </row>
    <row r="4843">
      <c r="A4843" s="9"/>
      <c r="B4843" s="15"/>
      <c r="C4843" s="9">
        <f>IFERROR(__xludf.DUMMYFUNCTION("""COMPUTED_VALUE"""),45093.9252636458)</f>
        <v>45093.92526</v>
      </c>
      <c r="D4843" s="15">
        <f>IFERROR(__xludf.DUMMYFUNCTION("""COMPUTED_VALUE"""),1.006)</f>
        <v>1.006</v>
      </c>
      <c r="E4843" s="16">
        <f>IFERROR(__xludf.DUMMYFUNCTION("""COMPUTED_VALUE"""),69.0)</f>
        <v>69</v>
      </c>
      <c r="F4843" s="19" t="str">
        <f>IFERROR(__xludf.DUMMYFUNCTION("""COMPUTED_VALUE"""),"BLACK")</f>
        <v>BLACK</v>
      </c>
      <c r="G4843" s="20" t="str">
        <f>IFERROR(__xludf.DUMMYFUNCTION("""COMPUTED_VALUE"""),"Uncle Sams Cider (04/04/2023)")</f>
        <v>Uncle Sams Cider (04/04/2023)</v>
      </c>
      <c r="H4843" s="19"/>
    </row>
    <row r="4844">
      <c r="A4844" s="9"/>
      <c r="B4844" s="15"/>
      <c r="C4844" s="9">
        <f>IFERROR(__xludf.DUMMYFUNCTION("""COMPUTED_VALUE"""),45093.9148181134)</f>
        <v>45093.91482</v>
      </c>
      <c r="D4844" s="15">
        <f>IFERROR(__xludf.DUMMYFUNCTION("""COMPUTED_VALUE"""),1.006)</f>
        <v>1.006</v>
      </c>
      <c r="E4844" s="16">
        <f>IFERROR(__xludf.DUMMYFUNCTION("""COMPUTED_VALUE"""),69.0)</f>
        <v>69</v>
      </c>
      <c r="F4844" s="19" t="str">
        <f>IFERROR(__xludf.DUMMYFUNCTION("""COMPUTED_VALUE"""),"BLACK")</f>
        <v>BLACK</v>
      </c>
      <c r="G4844" s="20" t="str">
        <f>IFERROR(__xludf.DUMMYFUNCTION("""COMPUTED_VALUE"""),"Uncle Sams Cider (04/04/2023)")</f>
        <v>Uncle Sams Cider (04/04/2023)</v>
      </c>
      <c r="H4844" s="19"/>
    </row>
    <row r="4845">
      <c r="A4845" s="9"/>
      <c r="B4845" s="15"/>
      <c r="C4845" s="9">
        <f>IFERROR(__xludf.DUMMYFUNCTION("""COMPUTED_VALUE"""),45093.9043969907)</f>
        <v>45093.9044</v>
      </c>
      <c r="D4845" s="15">
        <f>IFERROR(__xludf.DUMMYFUNCTION("""COMPUTED_VALUE"""),1.006)</f>
        <v>1.006</v>
      </c>
      <c r="E4845" s="16">
        <f>IFERROR(__xludf.DUMMYFUNCTION("""COMPUTED_VALUE"""),69.0)</f>
        <v>69</v>
      </c>
      <c r="F4845" s="19" t="str">
        <f>IFERROR(__xludf.DUMMYFUNCTION("""COMPUTED_VALUE"""),"BLACK")</f>
        <v>BLACK</v>
      </c>
      <c r="G4845" s="20" t="str">
        <f>IFERROR(__xludf.DUMMYFUNCTION("""COMPUTED_VALUE"""),"Uncle Sams Cider (04/04/2023)")</f>
        <v>Uncle Sams Cider (04/04/2023)</v>
      </c>
      <c r="H4845" s="19"/>
    </row>
    <row r="4846">
      <c r="A4846" s="9"/>
      <c r="B4846" s="15"/>
      <c r="C4846" s="9">
        <f>IFERROR(__xludf.DUMMYFUNCTION("""COMPUTED_VALUE"""),45093.8939735416)</f>
        <v>45093.89397</v>
      </c>
      <c r="D4846" s="15">
        <f>IFERROR(__xludf.DUMMYFUNCTION("""COMPUTED_VALUE"""),1.006)</f>
        <v>1.006</v>
      </c>
      <c r="E4846" s="16">
        <f>IFERROR(__xludf.DUMMYFUNCTION("""COMPUTED_VALUE"""),69.0)</f>
        <v>69</v>
      </c>
      <c r="F4846" s="19" t="str">
        <f>IFERROR(__xludf.DUMMYFUNCTION("""COMPUTED_VALUE"""),"BLACK")</f>
        <v>BLACK</v>
      </c>
      <c r="G4846" s="20" t="str">
        <f>IFERROR(__xludf.DUMMYFUNCTION("""COMPUTED_VALUE"""),"Uncle Sams Cider (04/04/2023)")</f>
        <v>Uncle Sams Cider (04/04/2023)</v>
      </c>
      <c r="H4846" s="19"/>
    </row>
    <row r="4847">
      <c r="A4847" s="9"/>
      <c r="B4847" s="15"/>
      <c r="C4847" s="9">
        <f>IFERROR(__xludf.DUMMYFUNCTION("""COMPUTED_VALUE"""),45093.8835061458)</f>
        <v>45093.88351</v>
      </c>
      <c r="D4847" s="15">
        <f>IFERROR(__xludf.DUMMYFUNCTION("""COMPUTED_VALUE"""),1.006)</f>
        <v>1.006</v>
      </c>
      <c r="E4847" s="16">
        <f>IFERROR(__xludf.DUMMYFUNCTION("""COMPUTED_VALUE"""),69.0)</f>
        <v>69</v>
      </c>
      <c r="F4847" s="19" t="str">
        <f>IFERROR(__xludf.DUMMYFUNCTION("""COMPUTED_VALUE"""),"BLACK")</f>
        <v>BLACK</v>
      </c>
      <c r="G4847" s="20" t="str">
        <f>IFERROR(__xludf.DUMMYFUNCTION("""COMPUTED_VALUE"""),"Uncle Sams Cider (04/04/2023)")</f>
        <v>Uncle Sams Cider (04/04/2023)</v>
      </c>
      <c r="H4847" s="19"/>
    </row>
    <row r="4848">
      <c r="A4848" s="9"/>
      <c r="B4848" s="15"/>
      <c r="C4848" s="9">
        <f>IFERROR(__xludf.DUMMYFUNCTION("""COMPUTED_VALUE"""),45093.8730863194)</f>
        <v>45093.87309</v>
      </c>
      <c r="D4848" s="15">
        <f>IFERROR(__xludf.DUMMYFUNCTION("""COMPUTED_VALUE"""),1.006)</f>
        <v>1.006</v>
      </c>
      <c r="E4848" s="16">
        <f>IFERROR(__xludf.DUMMYFUNCTION("""COMPUTED_VALUE"""),69.0)</f>
        <v>69</v>
      </c>
      <c r="F4848" s="19" t="str">
        <f>IFERROR(__xludf.DUMMYFUNCTION("""COMPUTED_VALUE"""),"BLACK")</f>
        <v>BLACK</v>
      </c>
      <c r="G4848" s="20" t="str">
        <f>IFERROR(__xludf.DUMMYFUNCTION("""COMPUTED_VALUE"""),"Uncle Sams Cider (04/04/2023)")</f>
        <v>Uncle Sams Cider (04/04/2023)</v>
      </c>
      <c r="H4848" s="19"/>
    </row>
    <row r="4849">
      <c r="A4849" s="9"/>
      <c r="B4849" s="15"/>
      <c r="C4849" s="9">
        <f>IFERROR(__xludf.DUMMYFUNCTION("""COMPUTED_VALUE"""),45093.8626641088)</f>
        <v>45093.86266</v>
      </c>
      <c r="D4849" s="15">
        <f>IFERROR(__xludf.DUMMYFUNCTION("""COMPUTED_VALUE"""),1.006)</f>
        <v>1.006</v>
      </c>
      <c r="E4849" s="16">
        <f>IFERROR(__xludf.DUMMYFUNCTION("""COMPUTED_VALUE"""),69.0)</f>
        <v>69</v>
      </c>
      <c r="F4849" s="19" t="str">
        <f>IFERROR(__xludf.DUMMYFUNCTION("""COMPUTED_VALUE"""),"BLACK")</f>
        <v>BLACK</v>
      </c>
      <c r="G4849" s="20" t="str">
        <f>IFERROR(__xludf.DUMMYFUNCTION("""COMPUTED_VALUE"""),"Uncle Sams Cider (04/04/2023)")</f>
        <v>Uncle Sams Cider (04/04/2023)</v>
      </c>
      <c r="H4849" s="19"/>
    </row>
    <row r="4850">
      <c r="A4850" s="9"/>
      <c r="B4850" s="15"/>
      <c r="C4850" s="9">
        <f>IFERROR(__xludf.DUMMYFUNCTION("""COMPUTED_VALUE"""),45093.8522312962)</f>
        <v>45093.85223</v>
      </c>
      <c r="D4850" s="15">
        <f>IFERROR(__xludf.DUMMYFUNCTION("""COMPUTED_VALUE"""),1.006)</f>
        <v>1.006</v>
      </c>
      <c r="E4850" s="16">
        <f>IFERROR(__xludf.DUMMYFUNCTION("""COMPUTED_VALUE"""),69.0)</f>
        <v>69</v>
      </c>
      <c r="F4850" s="19" t="str">
        <f>IFERROR(__xludf.DUMMYFUNCTION("""COMPUTED_VALUE"""),"BLACK")</f>
        <v>BLACK</v>
      </c>
      <c r="G4850" s="20" t="str">
        <f>IFERROR(__xludf.DUMMYFUNCTION("""COMPUTED_VALUE"""),"Uncle Sams Cider (04/04/2023)")</f>
        <v>Uncle Sams Cider (04/04/2023)</v>
      </c>
      <c r="H4850" s="19"/>
    </row>
    <row r="4851">
      <c r="A4851" s="9"/>
      <c r="B4851" s="15"/>
      <c r="C4851" s="9">
        <f>IFERROR(__xludf.DUMMYFUNCTION("""COMPUTED_VALUE"""),45093.8418103935)</f>
        <v>45093.84181</v>
      </c>
      <c r="D4851" s="15">
        <f>IFERROR(__xludf.DUMMYFUNCTION("""COMPUTED_VALUE"""),1.006)</f>
        <v>1.006</v>
      </c>
      <c r="E4851" s="16">
        <f>IFERROR(__xludf.DUMMYFUNCTION("""COMPUTED_VALUE"""),69.0)</f>
        <v>69</v>
      </c>
      <c r="F4851" s="19" t="str">
        <f>IFERROR(__xludf.DUMMYFUNCTION("""COMPUTED_VALUE"""),"BLACK")</f>
        <v>BLACK</v>
      </c>
      <c r="G4851" s="20" t="str">
        <f>IFERROR(__xludf.DUMMYFUNCTION("""COMPUTED_VALUE"""),"Uncle Sams Cider (04/04/2023)")</f>
        <v>Uncle Sams Cider (04/04/2023)</v>
      </c>
      <c r="H4851" s="19"/>
    </row>
    <row r="4852">
      <c r="A4852" s="9"/>
      <c r="B4852" s="15"/>
      <c r="C4852" s="9">
        <f>IFERROR(__xludf.DUMMYFUNCTION("""COMPUTED_VALUE"""),45093.8313899189)</f>
        <v>45093.83139</v>
      </c>
      <c r="D4852" s="15">
        <f>IFERROR(__xludf.DUMMYFUNCTION("""COMPUTED_VALUE"""),1.006)</f>
        <v>1.006</v>
      </c>
      <c r="E4852" s="16">
        <f>IFERROR(__xludf.DUMMYFUNCTION("""COMPUTED_VALUE"""),69.0)</f>
        <v>69</v>
      </c>
      <c r="F4852" s="19" t="str">
        <f>IFERROR(__xludf.DUMMYFUNCTION("""COMPUTED_VALUE"""),"BLACK")</f>
        <v>BLACK</v>
      </c>
      <c r="G4852" s="20" t="str">
        <f>IFERROR(__xludf.DUMMYFUNCTION("""COMPUTED_VALUE"""),"Uncle Sams Cider (04/04/2023)")</f>
        <v>Uncle Sams Cider (04/04/2023)</v>
      </c>
      <c r="H4852" s="19"/>
    </row>
    <row r="4853">
      <c r="A4853" s="9"/>
      <c r="B4853" s="15"/>
      <c r="C4853" s="9">
        <f>IFERROR(__xludf.DUMMYFUNCTION("""COMPUTED_VALUE"""),45093.8209458101)</f>
        <v>45093.82095</v>
      </c>
      <c r="D4853" s="15">
        <f>IFERROR(__xludf.DUMMYFUNCTION("""COMPUTED_VALUE"""),1.006)</f>
        <v>1.006</v>
      </c>
      <c r="E4853" s="16">
        <f>IFERROR(__xludf.DUMMYFUNCTION("""COMPUTED_VALUE"""),69.0)</f>
        <v>69</v>
      </c>
      <c r="F4853" s="19" t="str">
        <f>IFERROR(__xludf.DUMMYFUNCTION("""COMPUTED_VALUE"""),"BLACK")</f>
        <v>BLACK</v>
      </c>
      <c r="G4853" s="20" t="str">
        <f>IFERROR(__xludf.DUMMYFUNCTION("""COMPUTED_VALUE"""),"Uncle Sams Cider (04/04/2023)")</f>
        <v>Uncle Sams Cider (04/04/2023)</v>
      </c>
      <c r="H4853" s="19"/>
    </row>
    <row r="4854">
      <c r="A4854" s="9"/>
      <c r="B4854" s="15"/>
      <c r="C4854" s="9">
        <f>IFERROR(__xludf.DUMMYFUNCTION("""COMPUTED_VALUE"""),45093.8105251967)</f>
        <v>45093.81053</v>
      </c>
      <c r="D4854" s="15">
        <f>IFERROR(__xludf.DUMMYFUNCTION("""COMPUTED_VALUE"""),1.006)</f>
        <v>1.006</v>
      </c>
      <c r="E4854" s="16">
        <f>IFERROR(__xludf.DUMMYFUNCTION("""COMPUTED_VALUE"""),69.0)</f>
        <v>69</v>
      </c>
      <c r="F4854" s="19" t="str">
        <f>IFERROR(__xludf.DUMMYFUNCTION("""COMPUTED_VALUE"""),"BLACK")</f>
        <v>BLACK</v>
      </c>
      <c r="G4854" s="20" t="str">
        <f>IFERROR(__xludf.DUMMYFUNCTION("""COMPUTED_VALUE"""),"Uncle Sams Cider (04/04/2023)")</f>
        <v>Uncle Sams Cider (04/04/2023)</v>
      </c>
      <c r="H4854" s="19"/>
    </row>
    <row r="4855">
      <c r="A4855" s="9"/>
      <c r="B4855" s="15"/>
      <c r="C4855" s="9">
        <f>IFERROR(__xludf.DUMMYFUNCTION("""COMPUTED_VALUE"""),45093.8001029398)</f>
        <v>45093.8001</v>
      </c>
      <c r="D4855" s="15">
        <f>IFERROR(__xludf.DUMMYFUNCTION("""COMPUTED_VALUE"""),1.006)</f>
        <v>1.006</v>
      </c>
      <c r="E4855" s="16">
        <f>IFERROR(__xludf.DUMMYFUNCTION("""COMPUTED_VALUE"""),69.0)</f>
        <v>69</v>
      </c>
      <c r="F4855" s="19" t="str">
        <f>IFERROR(__xludf.DUMMYFUNCTION("""COMPUTED_VALUE"""),"BLACK")</f>
        <v>BLACK</v>
      </c>
      <c r="G4855" s="20" t="str">
        <f>IFERROR(__xludf.DUMMYFUNCTION("""COMPUTED_VALUE"""),"Uncle Sams Cider (04/04/2023)")</f>
        <v>Uncle Sams Cider (04/04/2023)</v>
      </c>
      <c r="H4855" s="19"/>
    </row>
    <row r="4856">
      <c r="A4856" s="9"/>
      <c r="B4856" s="15"/>
      <c r="C4856" s="9">
        <f>IFERROR(__xludf.DUMMYFUNCTION("""COMPUTED_VALUE"""),45093.7896823495)</f>
        <v>45093.78968</v>
      </c>
      <c r="D4856" s="15">
        <f>IFERROR(__xludf.DUMMYFUNCTION("""COMPUTED_VALUE"""),1.006)</f>
        <v>1.006</v>
      </c>
      <c r="E4856" s="16">
        <f>IFERROR(__xludf.DUMMYFUNCTION("""COMPUTED_VALUE"""),69.0)</f>
        <v>69</v>
      </c>
      <c r="F4856" s="19" t="str">
        <f>IFERROR(__xludf.DUMMYFUNCTION("""COMPUTED_VALUE"""),"BLACK")</f>
        <v>BLACK</v>
      </c>
      <c r="G4856" s="20" t="str">
        <f>IFERROR(__xludf.DUMMYFUNCTION("""COMPUTED_VALUE"""),"Uncle Sams Cider (04/04/2023)")</f>
        <v>Uncle Sams Cider (04/04/2023)</v>
      </c>
      <c r="H4856" s="19"/>
    </row>
    <row r="4857">
      <c r="A4857" s="9"/>
      <c r="B4857" s="15"/>
      <c r="C4857" s="9">
        <f>IFERROR(__xludf.DUMMYFUNCTION("""COMPUTED_VALUE"""),45093.7792380671)</f>
        <v>45093.77924</v>
      </c>
      <c r="D4857" s="15">
        <f>IFERROR(__xludf.DUMMYFUNCTION("""COMPUTED_VALUE"""),1.006)</f>
        <v>1.006</v>
      </c>
      <c r="E4857" s="16">
        <f>IFERROR(__xludf.DUMMYFUNCTION("""COMPUTED_VALUE"""),69.0)</f>
        <v>69</v>
      </c>
      <c r="F4857" s="19" t="str">
        <f>IFERROR(__xludf.DUMMYFUNCTION("""COMPUTED_VALUE"""),"BLACK")</f>
        <v>BLACK</v>
      </c>
      <c r="G4857" s="20" t="str">
        <f>IFERROR(__xludf.DUMMYFUNCTION("""COMPUTED_VALUE"""),"Uncle Sams Cider (04/04/2023)")</f>
        <v>Uncle Sams Cider (04/04/2023)</v>
      </c>
      <c r="H4857" s="19"/>
    </row>
    <row r="4858">
      <c r="A4858" s="9"/>
      <c r="B4858" s="15"/>
      <c r="C4858" s="9">
        <f>IFERROR(__xludf.DUMMYFUNCTION("""COMPUTED_VALUE"""),45093.7688167476)</f>
        <v>45093.76882</v>
      </c>
      <c r="D4858" s="15">
        <f>IFERROR(__xludf.DUMMYFUNCTION("""COMPUTED_VALUE"""),1.006)</f>
        <v>1.006</v>
      </c>
      <c r="E4858" s="16">
        <f>IFERROR(__xludf.DUMMYFUNCTION("""COMPUTED_VALUE"""),69.0)</f>
        <v>69</v>
      </c>
      <c r="F4858" s="19" t="str">
        <f>IFERROR(__xludf.DUMMYFUNCTION("""COMPUTED_VALUE"""),"BLACK")</f>
        <v>BLACK</v>
      </c>
      <c r="G4858" s="20" t="str">
        <f>IFERROR(__xludf.DUMMYFUNCTION("""COMPUTED_VALUE"""),"Uncle Sams Cider (04/04/2023)")</f>
        <v>Uncle Sams Cider (04/04/2023)</v>
      </c>
      <c r="H4858" s="19"/>
    </row>
    <row r="4859">
      <c r="A4859" s="9"/>
      <c r="B4859" s="15"/>
      <c r="C4859" s="9">
        <f>IFERROR(__xludf.DUMMYFUNCTION("""COMPUTED_VALUE"""),45093.7583960532)</f>
        <v>45093.7584</v>
      </c>
      <c r="D4859" s="15">
        <f>IFERROR(__xludf.DUMMYFUNCTION("""COMPUTED_VALUE"""),1.006)</f>
        <v>1.006</v>
      </c>
      <c r="E4859" s="16">
        <f>IFERROR(__xludf.DUMMYFUNCTION("""COMPUTED_VALUE"""),69.0)</f>
        <v>69</v>
      </c>
      <c r="F4859" s="19" t="str">
        <f>IFERROR(__xludf.DUMMYFUNCTION("""COMPUTED_VALUE"""),"BLACK")</f>
        <v>BLACK</v>
      </c>
      <c r="G4859" s="20" t="str">
        <f>IFERROR(__xludf.DUMMYFUNCTION("""COMPUTED_VALUE"""),"Uncle Sams Cider (04/04/2023)")</f>
        <v>Uncle Sams Cider (04/04/2023)</v>
      </c>
      <c r="H4859" s="19"/>
    </row>
    <row r="4860">
      <c r="A4860" s="9"/>
      <c r="B4860" s="15"/>
      <c r="C4860" s="9">
        <f>IFERROR(__xludf.DUMMYFUNCTION("""COMPUTED_VALUE"""),45093.7479750578)</f>
        <v>45093.74798</v>
      </c>
      <c r="D4860" s="15">
        <f>IFERROR(__xludf.DUMMYFUNCTION("""COMPUTED_VALUE"""),1.006)</f>
        <v>1.006</v>
      </c>
      <c r="E4860" s="16">
        <f>IFERROR(__xludf.DUMMYFUNCTION("""COMPUTED_VALUE"""),69.0)</f>
        <v>69</v>
      </c>
      <c r="F4860" s="19" t="str">
        <f>IFERROR(__xludf.DUMMYFUNCTION("""COMPUTED_VALUE"""),"BLACK")</f>
        <v>BLACK</v>
      </c>
      <c r="G4860" s="20" t="str">
        <f>IFERROR(__xludf.DUMMYFUNCTION("""COMPUTED_VALUE"""),"Uncle Sams Cider (04/04/2023)")</f>
        <v>Uncle Sams Cider (04/04/2023)</v>
      </c>
      <c r="H4860" s="19"/>
    </row>
    <row r="4861">
      <c r="A4861" s="9"/>
      <c r="B4861" s="15"/>
      <c r="C4861" s="9">
        <f>IFERROR(__xludf.DUMMYFUNCTION("""COMPUTED_VALUE"""),45093.7375297916)</f>
        <v>45093.73753</v>
      </c>
      <c r="D4861" s="15">
        <f>IFERROR(__xludf.DUMMYFUNCTION("""COMPUTED_VALUE"""),1.006)</f>
        <v>1.006</v>
      </c>
      <c r="E4861" s="16">
        <f>IFERROR(__xludf.DUMMYFUNCTION("""COMPUTED_VALUE"""),69.0)</f>
        <v>69</v>
      </c>
      <c r="F4861" s="19" t="str">
        <f>IFERROR(__xludf.DUMMYFUNCTION("""COMPUTED_VALUE"""),"BLACK")</f>
        <v>BLACK</v>
      </c>
      <c r="G4861" s="20" t="str">
        <f>IFERROR(__xludf.DUMMYFUNCTION("""COMPUTED_VALUE"""),"Uncle Sams Cider (04/04/2023)")</f>
        <v>Uncle Sams Cider (04/04/2023)</v>
      </c>
      <c r="H4861" s="19"/>
    </row>
    <row r="4862">
      <c r="A4862" s="9"/>
      <c r="B4862" s="15"/>
      <c r="C4862" s="9">
        <f>IFERROR(__xludf.DUMMYFUNCTION("""COMPUTED_VALUE"""),45093.7271086342)</f>
        <v>45093.72711</v>
      </c>
      <c r="D4862" s="15">
        <f>IFERROR(__xludf.DUMMYFUNCTION("""COMPUTED_VALUE"""),1.006)</f>
        <v>1.006</v>
      </c>
      <c r="E4862" s="16">
        <f>IFERROR(__xludf.DUMMYFUNCTION("""COMPUTED_VALUE"""),69.0)</f>
        <v>69</v>
      </c>
      <c r="F4862" s="19" t="str">
        <f>IFERROR(__xludf.DUMMYFUNCTION("""COMPUTED_VALUE"""),"BLACK")</f>
        <v>BLACK</v>
      </c>
      <c r="G4862" s="20" t="str">
        <f>IFERROR(__xludf.DUMMYFUNCTION("""COMPUTED_VALUE"""),"Uncle Sams Cider (04/04/2023)")</f>
        <v>Uncle Sams Cider (04/04/2023)</v>
      </c>
      <c r="H4862" s="19"/>
    </row>
    <row r="4863">
      <c r="A4863" s="9"/>
      <c r="B4863" s="15"/>
      <c r="C4863" s="9">
        <f>IFERROR(__xludf.DUMMYFUNCTION("""COMPUTED_VALUE"""),45093.7166645254)</f>
        <v>45093.71666</v>
      </c>
      <c r="D4863" s="15">
        <f>IFERROR(__xludf.DUMMYFUNCTION("""COMPUTED_VALUE"""),1.006)</f>
        <v>1.006</v>
      </c>
      <c r="E4863" s="16">
        <f>IFERROR(__xludf.DUMMYFUNCTION("""COMPUTED_VALUE"""),69.0)</f>
        <v>69</v>
      </c>
      <c r="F4863" s="19" t="str">
        <f>IFERROR(__xludf.DUMMYFUNCTION("""COMPUTED_VALUE"""),"BLACK")</f>
        <v>BLACK</v>
      </c>
      <c r="G4863" s="20" t="str">
        <f>IFERROR(__xludf.DUMMYFUNCTION("""COMPUTED_VALUE"""),"Uncle Sams Cider (04/04/2023)")</f>
        <v>Uncle Sams Cider (04/04/2023)</v>
      </c>
      <c r="H4863" s="19"/>
    </row>
    <row r="4864">
      <c r="A4864" s="9"/>
      <c r="B4864" s="15"/>
      <c r="C4864" s="9">
        <f>IFERROR(__xludf.DUMMYFUNCTION("""COMPUTED_VALUE"""),45093.7062424421)</f>
        <v>45093.70624</v>
      </c>
      <c r="D4864" s="15">
        <f>IFERROR(__xludf.DUMMYFUNCTION("""COMPUTED_VALUE"""),1.006)</f>
        <v>1.006</v>
      </c>
      <c r="E4864" s="16">
        <f>IFERROR(__xludf.DUMMYFUNCTION("""COMPUTED_VALUE"""),69.0)</f>
        <v>69</v>
      </c>
      <c r="F4864" s="19" t="str">
        <f>IFERROR(__xludf.DUMMYFUNCTION("""COMPUTED_VALUE"""),"BLACK")</f>
        <v>BLACK</v>
      </c>
      <c r="G4864" s="20" t="str">
        <f>IFERROR(__xludf.DUMMYFUNCTION("""COMPUTED_VALUE"""),"Uncle Sams Cider (04/04/2023)")</f>
        <v>Uncle Sams Cider (04/04/2023)</v>
      </c>
      <c r="H4864" s="19"/>
    </row>
    <row r="4865">
      <c r="A4865" s="9"/>
      <c r="B4865" s="15"/>
      <c r="C4865" s="9">
        <f>IFERROR(__xludf.DUMMYFUNCTION("""COMPUTED_VALUE"""),45093.6957958912)</f>
        <v>45093.6958</v>
      </c>
      <c r="D4865" s="15">
        <f>IFERROR(__xludf.DUMMYFUNCTION("""COMPUTED_VALUE"""),1.006)</f>
        <v>1.006</v>
      </c>
      <c r="E4865" s="16">
        <f>IFERROR(__xludf.DUMMYFUNCTION("""COMPUTED_VALUE"""),69.0)</f>
        <v>69</v>
      </c>
      <c r="F4865" s="19" t="str">
        <f>IFERROR(__xludf.DUMMYFUNCTION("""COMPUTED_VALUE"""),"BLACK")</f>
        <v>BLACK</v>
      </c>
      <c r="G4865" s="20" t="str">
        <f>IFERROR(__xludf.DUMMYFUNCTION("""COMPUTED_VALUE"""),"Uncle Sams Cider (04/04/2023)")</f>
        <v>Uncle Sams Cider (04/04/2023)</v>
      </c>
      <c r="H4865" s="19"/>
    </row>
    <row r="4866">
      <c r="A4866" s="9"/>
      <c r="B4866" s="15"/>
      <c r="C4866" s="9">
        <f>IFERROR(__xludf.DUMMYFUNCTION("""COMPUTED_VALUE"""),45093.6853745023)</f>
        <v>45093.68537</v>
      </c>
      <c r="D4866" s="15">
        <f>IFERROR(__xludf.DUMMYFUNCTION("""COMPUTED_VALUE"""),1.006)</f>
        <v>1.006</v>
      </c>
      <c r="E4866" s="16">
        <f>IFERROR(__xludf.DUMMYFUNCTION("""COMPUTED_VALUE"""),69.0)</f>
        <v>69</v>
      </c>
      <c r="F4866" s="19" t="str">
        <f>IFERROR(__xludf.DUMMYFUNCTION("""COMPUTED_VALUE"""),"BLACK")</f>
        <v>BLACK</v>
      </c>
      <c r="G4866" s="20" t="str">
        <f>IFERROR(__xludf.DUMMYFUNCTION("""COMPUTED_VALUE"""),"Uncle Sams Cider (04/04/2023)")</f>
        <v>Uncle Sams Cider (04/04/2023)</v>
      </c>
      <c r="H4866" s="19"/>
    </row>
    <row r="4867">
      <c r="A4867" s="9"/>
      <c r="B4867" s="15"/>
      <c r="C4867" s="9">
        <f>IFERROR(__xludf.DUMMYFUNCTION("""COMPUTED_VALUE"""),45093.6749183912)</f>
        <v>45093.67492</v>
      </c>
      <c r="D4867" s="15">
        <f>IFERROR(__xludf.DUMMYFUNCTION("""COMPUTED_VALUE"""),1.006)</f>
        <v>1.006</v>
      </c>
      <c r="E4867" s="16">
        <f>IFERROR(__xludf.DUMMYFUNCTION("""COMPUTED_VALUE"""),69.0)</f>
        <v>69</v>
      </c>
      <c r="F4867" s="19" t="str">
        <f>IFERROR(__xludf.DUMMYFUNCTION("""COMPUTED_VALUE"""),"BLACK")</f>
        <v>BLACK</v>
      </c>
      <c r="G4867" s="20" t="str">
        <f>IFERROR(__xludf.DUMMYFUNCTION("""COMPUTED_VALUE"""),"Uncle Sams Cider (04/04/2023)")</f>
        <v>Uncle Sams Cider (04/04/2023)</v>
      </c>
      <c r="H4867" s="19"/>
    </row>
    <row r="4868">
      <c r="A4868" s="9"/>
      <c r="B4868" s="15"/>
      <c r="C4868" s="9">
        <f>IFERROR(__xludf.DUMMYFUNCTION("""COMPUTED_VALUE"""),45093.6644988773)</f>
        <v>45093.6645</v>
      </c>
      <c r="D4868" s="15">
        <f>IFERROR(__xludf.DUMMYFUNCTION("""COMPUTED_VALUE"""),1.006)</f>
        <v>1.006</v>
      </c>
      <c r="E4868" s="16">
        <f>IFERROR(__xludf.DUMMYFUNCTION("""COMPUTED_VALUE"""),69.0)</f>
        <v>69</v>
      </c>
      <c r="F4868" s="19" t="str">
        <f>IFERROR(__xludf.DUMMYFUNCTION("""COMPUTED_VALUE"""),"BLACK")</f>
        <v>BLACK</v>
      </c>
      <c r="G4868" s="20" t="str">
        <f>IFERROR(__xludf.DUMMYFUNCTION("""COMPUTED_VALUE"""),"Uncle Sams Cider (04/04/2023)")</f>
        <v>Uncle Sams Cider (04/04/2023)</v>
      </c>
      <c r="H4868" s="19"/>
    </row>
    <row r="4869">
      <c r="A4869" s="9"/>
      <c r="B4869" s="15"/>
      <c r="C4869" s="9">
        <f>IFERROR(__xludf.DUMMYFUNCTION("""COMPUTED_VALUE"""),45093.654054699)</f>
        <v>45093.65405</v>
      </c>
      <c r="D4869" s="15">
        <f>IFERROR(__xludf.DUMMYFUNCTION("""COMPUTED_VALUE"""),1.006)</f>
        <v>1.006</v>
      </c>
      <c r="E4869" s="16">
        <f>IFERROR(__xludf.DUMMYFUNCTION("""COMPUTED_VALUE"""),69.0)</f>
        <v>69</v>
      </c>
      <c r="F4869" s="19" t="str">
        <f>IFERROR(__xludf.DUMMYFUNCTION("""COMPUTED_VALUE"""),"BLACK")</f>
        <v>BLACK</v>
      </c>
      <c r="G4869" s="20" t="str">
        <f>IFERROR(__xludf.DUMMYFUNCTION("""COMPUTED_VALUE"""),"Uncle Sams Cider (04/04/2023)")</f>
        <v>Uncle Sams Cider (04/04/2023)</v>
      </c>
      <c r="H4869" s="19"/>
    </row>
    <row r="4870">
      <c r="A4870" s="9"/>
      <c r="B4870" s="15"/>
      <c r="C4870" s="9">
        <f>IFERROR(__xludf.DUMMYFUNCTION("""COMPUTED_VALUE"""),45093.6436336574)</f>
        <v>45093.64363</v>
      </c>
      <c r="D4870" s="15">
        <f>IFERROR(__xludf.DUMMYFUNCTION("""COMPUTED_VALUE"""),1.006)</f>
        <v>1.006</v>
      </c>
      <c r="E4870" s="16">
        <f>IFERROR(__xludf.DUMMYFUNCTION("""COMPUTED_VALUE"""),69.0)</f>
        <v>69</v>
      </c>
      <c r="F4870" s="19" t="str">
        <f>IFERROR(__xludf.DUMMYFUNCTION("""COMPUTED_VALUE"""),"BLACK")</f>
        <v>BLACK</v>
      </c>
      <c r="G4870" s="20" t="str">
        <f>IFERROR(__xludf.DUMMYFUNCTION("""COMPUTED_VALUE"""),"Uncle Sams Cider (04/04/2023)")</f>
        <v>Uncle Sams Cider (04/04/2023)</v>
      </c>
      <c r="H4870" s="19"/>
    </row>
    <row r="4871">
      <c r="A4871" s="9"/>
      <c r="B4871" s="15"/>
      <c r="C4871" s="9">
        <f>IFERROR(__xludf.DUMMYFUNCTION("""COMPUTED_VALUE"""),45093.6332120601)</f>
        <v>45093.63321</v>
      </c>
      <c r="D4871" s="15">
        <f>IFERROR(__xludf.DUMMYFUNCTION("""COMPUTED_VALUE"""),1.006)</f>
        <v>1.006</v>
      </c>
      <c r="E4871" s="16">
        <f>IFERROR(__xludf.DUMMYFUNCTION("""COMPUTED_VALUE"""),69.0)</f>
        <v>69</v>
      </c>
      <c r="F4871" s="19" t="str">
        <f>IFERROR(__xludf.DUMMYFUNCTION("""COMPUTED_VALUE"""),"BLACK")</f>
        <v>BLACK</v>
      </c>
      <c r="G4871" s="20" t="str">
        <f>IFERROR(__xludf.DUMMYFUNCTION("""COMPUTED_VALUE"""),"Uncle Sams Cider (04/04/2023)")</f>
        <v>Uncle Sams Cider (04/04/2023)</v>
      </c>
      <c r="H4871" s="19"/>
    </row>
    <row r="4872">
      <c r="A4872" s="9"/>
      <c r="B4872" s="15"/>
      <c r="C4872" s="9">
        <f>IFERROR(__xludf.DUMMYFUNCTION("""COMPUTED_VALUE"""),45093.6227799652)</f>
        <v>45093.62278</v>
      </c>
      <c r="D4872" s="15">
        <f>IFERROR(__xludf.DUMMYFUNCTION("""COMPUTED_VALUE"""),1.006)</f>
        <v>1.006</v>
      </c>
      <c r="E4872" s="16">
        <f>IFERROR(__xludf.DUMMYFUNCTION("""COMPUTED_VALUE"""),69.0)</f>
        <v>69</v>
      </c>
      <c r="F4872" s="19" t="str">
        <f>IFERROR(__xludf.DUMMYFUNCTION("""COMPUTED_VALUE"""),"BLACK")</f>
        <v>BLACK</v>
      </c>
      <c r="G4872" s="20" t="str">
        <f>IFERROR(__xludf.DUMMYFUNCTION("""COMPUTED_VALUE"""),"Uncle Sams Cider (04/04/2023)")</f>
        <v>Uncle Sams Cider (04/04/2023)</v>
      </c>
      <c r="H4872" s="19"/>
    </row>
    <row r="4873">
      <c r="A4873" s="9"/>
      <c r="B4873" s="15"/>
      <c r="C4873" s="9">
        <f>IFERROR(__xludf.DUMMYFUNCTION("""COMPUTED_VALUE"""),45093.6123588078)</f>
        <v>45093.61236</v>
      </c>
      <c r="D4873" s="15">
        <f>IFERROR(__xludf.DUMMYFUNCTION("""COMPUTED_VALUE"""),1.006)</f>
        <v>1.006</v>
      </c>
      <c r="E4873" s="16">
        <f>IFERROR(__xludf.DUMMYFUNCTION("""COMPUTED_VALUE"""),69.0)</f>
        <v>69</v>
      </c>
      <c r="F4873" s="19" t="str">
        <f>IFERROR(__xludf.DUMMYFUNCTION("""COMPUTED_VALUE"""),"BLACK")</f>
        <v>BLACK</v>
      </c>
      <c r="G4873" s="20" t="str">
        <f>IFERROR(__xludf.DUMMYFUNCTION("""COMPUTED_VALUE"""),"Uncle Sams Cider (04/04/2023)")</f>
        <v>Uncle Sams Cider (04/04/2023)</v>
      </c>
      <c r="H4873" s="19"/>
    </row>
    <row r="4874">
      <c r="A4874" s="9"/>
      <c r="B4874" s="15"/>
      <c r="C4874" s="9">
        <f>IFERROR(__xludf.DUMMYFUNCTION("""COMPUTED_VALUE"""),45093.5915047453)</f>
        <v>45093.5915</v>
      </c>
      <c r="D4874" s="15">
        <f>IFERROR(__xludf.DUMMYFUNCTION("""COMPUTED_VALUE"""),1.006)</f>
        <v>1.006</v>
      </c>
      <c r="E4874" s="16">
        <f>IFERROR(__xludf.DUMMYFUNCTION("""COMPUTED_VALUE"""),69.0)</f>
        <v>69</v>
      </c>
      <c r="F4874" s="19" t="str">
        <f>IFERROR(__xludf.DUMMYFUNCTION("""COMPUTED_VALUE"""),"BLACK")</f>
        <v>BLACK</v>
      </c>
      <c r="G4874" s="20" t="str">
        <f>IFERROR(__xludf.DUMMYFUNCTION("""COMPUTED_VALUE"""),"Uncle Sams Cider (04/04/2023)")</f>
        <v>Uncle Sams Cider (04/04/2023)</v>
      </c>
      <c r="H4874" s="19"/>
    </row>
    <row r="4875">
      <c r="A4875" s="9"/>
      <c r="B4875" s="15"/>
      <c r="C4875" s="9">
        <f>IFERROR(__xludf.DUMMYFUNCTION("""COMPUTED_VALUE"""),45093.5810841319)</f>
        <v>45093.58108</v>
      </c>
      <c r="D4875" s="15">
        <f>IFERROR(__xludf.DUMMYFUNCTION("""COMPUTED_VALUE"""),1.006)</f>
        <v>1.006</v>
      </c>
      <c r="E4875" s="16">
        <f>IFERROR(__xludf.DUMMYFUNCTION("""COMPUTED_VALUE"""),69.0)</f>
        <v>69</v>
      </c>
      <c r="F4875" s="19" t="str">
        <f>IFERROR(__xludf.DUMMYFUNCTION("""COMPUTED_VALUE"""),"BLACK")</f>
        <v>BLACK</v>
      </c>
      <c r="G4875" s="20" t="str">
        <f>IFERROR(__xludf.DUMMYFUNCTION("""COMPUTED_VALUE"""),"Uncle Sams Cider (04/04/2023)")</f>
        <v>Uncle Sams Cider (04/04/2023)</v>
      </c>
      <c r="H4875" s="19"/>
    </row>
    <row r="4876">
      <c r="A4876" s="9"/>
      <c r="B4876" s="15"/>
      <c r="C4876" s="9">
        <f>IFERROR(__xludf.DUMMYFUNCTION("""COMPUTED_VALUE"""),45093.5706494907)</f>
        <v>45093.57065</v>
      </c>
      <c r="D4876" s="15">
        <f>IFERROR(__xludf.DUMMYFUNCTION("""COMPUTED_VALUE"""),1.006)</f>
        <v>1.006</v>
      </c>
      <c r="E4876" s="16">
        <f>IFERROR(__xludf.DUMMYFUNCTION("""COMPUTED_VALUE"""),69.0)</f>
        <v>69</v>
      </c>
      <c r="F4876" s="19" t="str">
        <f>IFERROR(__xludf.DUMMYFUNCTION("""COMPUTED_VALUE"""),"BLACK")</f>
        <v>BLACK</v>
      </c>
      <c r="G4876" s="20" t="str">
        <f>IFERROR(__xludf.DUMMYFUNCTION("""COMPUTED_VALUE"""),"Uncle Sams Cider (04/04/2023)")</f>
        <v>Uncle Sams Cider (04/04/2023)</v>
      </c>
      <c r="H4876" s="19"/>
    </row>
    <row r="4877">
      <c r="A4877" s="9"/>
      <c r="B4877" s="15"/>
      <c r="C4877" s="9">
        <f>IFERROR(__xludf.DUMMYFUNCTION("""COMPUTED_VALUE"""),45093.5602304745)</f>
        <v>45093.56023</v>
      </c>
      <c r="D4877" s="15">
        <f>IFERROR(__xludf.DUMMYFUNCTION("""COMPUTED_VALUE"""),1.006)</f>
        <v>1.006</v>
      </c>
      <c r="E4877" s="16">
        <f>IFERROR(__xludf.DUMMYFUNCTION("""COMPUTED_VALUE"""),69.0)</f>
        <v>69</v>
      </c>
      <c r="F4877" s="19" t="str">
        <f>IFERROR(__xludf.DUMMYFUNCTION("""COMPUTED_VALUE"""),"BLACK")</f>
        <v>BLACK</v>
      </c>
      <c r="G4877" s="20" t="str">
        <f>IFERROR(__xludf.DUMMYFUNCTION("""COMPUTED_VALUE"""),"Uncle Sams Cider (04/04/2023)")</f>
        <v>Uncle Sams Cider (04/04/2023)</v>
      </c>
      <c r="H4877" s="19"/>
    </row>
    <row r="4878">
      <c r="A4878" s="9"/>
      <c r="B4878" s="15"/>
      <c r="C4878" s="9">
        <f>IFERROR(__xludf.DUMMYFUNCTION("""COMPUTED_VALUE"""),45093.5497854629)</f>
        <v>45093.54979</v>
      </c>
      <c r="D4878" s="15">
        <f>IFERROR(__xludf.DUMMYFUNCTION("""COMPUTED_VALUE"""),1.006)</f>
        <v>1.006</v>
      </c>
      <c r="E4878" s="16">
        <f>IFERROR(__xludf.DUMMYFUNCTION("""COMPUTED_VALUE"""),69.0)</f>
        <v>69</v>
      </c>
      <c r="F4878" s="19" t="str">
        <f>IFERROR(__xludf.DUMMYFUNCTION("""COMPUTED_VALUE"""),"BLACK")</f>
        <v>BLACK</v>
      </c>
      <c r="G4878" s="20" t="str">
        <f>IFERROR(__xludf.DUMMYFUNCTION("""COMPUTED_VALUE"""),"Uncle Sams Cider (04/04/2023)")</f>
        <v>Uncle Sams Cider (04/04/2023)</v>
      </c>
      <c r="H4878" s="19"/>
    </row>
    <row r="4879">
      <c r="A4879" s="9"/>
      <c r="B4879" s="15"/>
      <c r="C4879" s="9">
        <f>IFERROR(__xludf.DUMMYFUNCTION("""COMPUTED_VALUE"""),45093.5393523032)</f>
        <v>45093.53935</v>
      </c>
      <c r="D4879" s="15">
        <f>IFERROR(__xludf.DUMMYFUNCTION("""COMPUTED_VALUE"""),1.006)</f>
        <v>1.006</v>
      </c>
      <c r="E4879" s="16">
        <f>IFERROR(__xludf.DUMMYFUNCTION("""COMPUTED_VALUE"""),69.0)</f>
        <v>69</v>
      </c>
      <c r="F4879" s="19" t="str">
        <f>IFERROR(__xludf.DUMMYFUNCTION("""COMPUTED_VALUE"""),"BLACK")</f>
        <v>BLACK</v>
      </c>
      <c r="G4879" s="20" t="str">
        <f>IFERROR(__xludf.DUMMYFUNCTION("""COMPUTED_VALUE"""),"Uncle Sams Cider (04/04/2023)")</f>
        <v>Uncle Sams Cider (04/04/2023)</v>
      </c>
      <c r="H4879" s="19"/>
    </row>
    <row r="4880">
      <c r="A4880" s="9"/>
      <c r="B4880" s="15"/>
      <c r="C4880" s="9">
        <f>IFERROR(__xludf.DUMMYFUNCTION("""COMPUTED_VALUE"""),45093.5289058101)</f>
        <v>45093.52891</v>
      </c>
      <c r="D4880" s="15">
        <f>IFERROR(__xludf.DUMMYFUNCTION("""COMPUTED_VALUE"""),1.006)</f>
        <v>1.006</v>
      </c>
      <c r="E4880" s="16">
        <f>IFERROR(__xludf.DUMMYFUNCTION("""COMPUTED_VALUE"""),69.0)</f>
        <v>69</v>
      </c>
      <c r="F4880" s="19" t="str">
        <f>IFERROR(__xludf.DUMMYFUNCTION("""COMPUTED_VALUE"""),"BLACK")</f>
        <v>BLACK</v>
      </c>
      <c r="G4880" s="20" t="str">
        <f>IFERROR(__xludf.DUMMYFUNCTION("""COMPUTED_VALUE"""),"Uncle Sams Cider (04/04/2023)")</f>
        <v>Uncle Sams Cider (04/04/2023)</v>
      </c>
      <c r="H4880" s="19"/>
    </row>
    <row r="4881">
      <c r="A4881" s="9"/>
      <c r="B4881" s="15"/>
      <c r="C4881" s="9">
        <f>IFERROR(__xludf.DUMMYFUNCTION("""COMPUTED_VALUE"""),45093.5080410879)</f>
        <v>45093.50804</v>
      </c>
      <c r="D4881" s="15">
        <f>IFERROR(__xludf.DUMMYFUNCTION("""COMPUTED_VALUE"""),1.006)</f>
        <v>1.006</v>
      </c>
      <c r="E4881" s="16">
        <f>IFERROR(__xludf.DUMMYFUNCTION("""COMPUTED_VALUE"""),69.0)</f>
        <v>69</v>
      </c>
      <c r="F4881" s="19" t="str">
        <f>IFERROR(__xludf.DUMMYFUNCTION("""COMPUTED_VALUE"""),"BLACK")</f>
        <v>BLACK</v>
      </c>
      <c r="G4881" s="20" t="str">
        <f>IFERROR(__xludf.DUMMYFUNCTION("""COMPUTED_VALUE"""),"Uncle Sams Cider (04/04/2023)")</f>
        <v>Uncle Sams Cider (04/04/2023)</v>
      </c>
      <c r="H4881" s="19"/>
    </row>
    <row r="4882">
      <c r="A4882" s="9"/>
      <c r="B4882" s="15"/>
      <c r="C4882" s="9">
        <f>IFERROR(__xludf.DUMMYFUNCTION("""COMPUTED_VALUE"""),45093.4976084027)</f>
        <v>45093.49761</v>
      </c>
      <c r="D4882" s="15">
        <f>IFERROR(__xludf.DUMMYFUNCTION("""COMPUTED_VALUE"""),1.006)</f>
        <v>1.006</v>
      </c>
      <c r="E4882" s="16">
        <f>IFERROR(__xludf.DUMMYFUNCTION("""COMPUTED_VALUE"""),69.0)</f>
        <v>69</v>
      </c>
      <c r="F4882" s="19" t="str">
        <f>IFERROR(__xludf.DUMMYFUNCTION("""COMPUTED_VALUE"""),"BLACK")</f>
        <v>BLACK</v>
      </c>
      <c r="G4882" s="20" t="str">
        <f>IFERROR(__xludf.DUMMYFUNCTION("""COMPUTED_VALUE"""),"Uncle Sams Cider (04/04/2023)")</f>
        <v>Uncle Sams Cider (04/04/2023)</v>
      </c>
      <c r="H4882" s="19"/>
    </row>
    <row r="4883">
      <c r="A4883" s="9"/>
      <c r="B4883" s="15"/>
      <c r="C4883" s="9">
        <f>IFERROR(__xludf.DUMMYFUNCTION("""COMPUTED_VALUE"""),45093.4871876041)</f>
        <v>45093.48719</v>
      </c>
      <c r="D4883" s="15">
        <f>IFERROR(__xludf.DUMMYFUNCTION("""COMPUTED_VALUE"""),1.006)</f>
        <v>1.006</v>
      </c>
      <c r="E4883" s="16">
        <f>IFERROR(__xludf.DUMMYFUNCTION("""COMPUTED_VALUE"""),69.0)</f>
        <v>69</v>
      </c>
      <c r="F4883" s="19" t="str">
        <f>IFERROR(__xludf.DUMMYFUNCTION("""COMPUTED_VALUE"""),"BLACK")</f>
        <v>BLACK</v>
      </c>
      <c r="G4883" s="20" t="str">
        <f>IFERROR(__xludf.DUMMYFUNCTION("""COMPUTED_VALUE"""),"Uncle Sams Cider (04/04/2023)")</f>
        <v>Uncle Sams Cider (04/04/2023)</v>
      </c>
      <c r="H4883" s="19"/>
    </row>
    <row r="4884">
      <c r="A4884" s="9"/>
      <c r="B4884" s="15"/>
      <c r="C4884" s="9">
        <f>IFERROR(__xludf.DUMMYFUNCTION("""COMPUTED_VALUE"""),45093.4767570601)</f>
        <v>45093.47676</v>
      </c>
      <c r="D4884" s="15">
        <f>IFERROR(__xludf.DUMMYFUNCTION("""COMPUTED_VALUE"""),1.006)</f>
        <v>1.006</v>
      </c>
      <c r="E4884" s="16">
        <f>IFERROR(__xludf.DUMMYFUNCTION("""COMPUTED_VALUE"""),69.0)</f>
        <v>69</v>
      </c>
      <c r="F4884" s="19" t="str">
        <f>IFERROR(__xludf.DUMMYFUNCTION("""COMPUTED_VALUE"""),"BLACK")</f>
        <v>BLACK</v>
      </c>
      <c r="G4884" s="20" t="str">
        <f>IFERROR(__xludf.DUMMYFUNCTION("""COMPUTED_VALUE"""),"Uncle Sams Cider (04/04/2023)")</f>
        <v>Uncle Sams Cider (04/04/2023)</v>
      </c>
      <c r="H4884" s="19"/>
    </row>
    <row r="4885">
      <c r="A4885" s="9"/>
      <c r="B4885" s="15"/>
      <c r="C4885" s="9">
        <f>IFERROR(__xludf.DUMMYFUNCTION("""COMPUTED_VALUE"""),45093.466335162)</f>
        <v>45093.46634</v>
      </c>
      <c r="D4885" s="15">
        <f>IFERROR(__xludf.DUMMYFUNCTION("""COMPUTED_VALUE"""),1.006)</f>
        <v>1.006</v>
      </c>
      <c r="E4885" s="16">
        <f>IFERROR(__xludf.DUMMYFUNCTION("""COMPUTED_VALUE"""),69.0)</f>
        <v>69</v>
      </c>
      <c r="F4885" s="19" t="str">
        <f>IFERROR(__xludf.DUMMYFUNCTION("""COMPUTED_VALUE"""),"BLACK")</f>
        <v>BLACK</v>
      </c>
      <c r="G4885" s="20" t="str">
        <f>IFERROR(__xludf.DUMMYFUNCTION("""COMPUTED_VALUE"""),"Uncle Sams Cider (04/04/2023)")</f>
        <v>Uncle Sams Cider (04/04/2023)</v>
      </c>
      <c r="H4885" s="19"/>
    </row>
    <row r="4886">
      <c r="A4886" s="9"/>
      <c r="B4886" s="15"/>
      <c r="C4886" s="9">
        <f>IFERROR(__xludf.DUMMYFUNCTION("""COMPUTED_VALUE"""),45093.4559152662)</f>
        <v>45093.45592</v>
      </c>
      <c r="D4886" s="15">
        <f>IFERROR(__xludf.DUMMYFUNCTION("""COMPUTED_VALUE"""),1.006)</f>
        <v>1.006</v>
      </c>
      <c r="E4886" s="16">
        <f>IFERROR(__xludf.DUMMYFUNCTION("""COMPUTED_VALUE"""),69.0)</f>
        <v>69</v>
      </c>
      <c r="F4886" s="19" t="str">
        <f>IFERROR(__xludf.DUMMYFUNCTION("""COMPUTED_VALUE"""),"BLACK")</f>
        <v>BLACK</v>
      </c>
      <c r="G4886" s="20" t="str">
        <f>IFERROR(__xludf.DUMMYFUNCTION("""COMPUTED_VALUE"""),"Uncle Sams Cider (04/04/2023)")</f>
        <v>Uncle Sams Cider (04/04/2023)</v>
      </c>
      <c r="H4886" s="19"/>
    </row>
    <row r="4887">
      <c r="A4887" s="9"/>
      <c r="B4887" s="15"/>
      <c r="C4887" s="9">
        <f>IFERROR(__xludf.DUMMYFUNCTION("""COMPUTED_VALUE"""),45093.4454949421)</f>
        <v>45093.44549</v>
      </c>
      <c r="D4887" s="15">
        <f>IFERROR(__xludf.DUMMYFUNCTION("""COMPUTED_VALUE"""),1.006)</f>
        <v>1.006</v>
      </c>
      <c r="E4887" s="16">
        <f>IFERROR(__xludf.DUMMYFUNCTION("""COMPUTED_VALUE"""),69.0)</f>
        <v>69</v>
      </c>
      <c r="F4887" s="19" t="str">
        <f>IFERROR(__xludf.DUMMYFUNCTION("""COMPUTED_VALUE"""),"BLACK")</f>
        <v>BLACK</v>
      </c>
      <c r="G4887" s="20" t="str">
        <f>IFERROR(__xludf.DUMMYFUNCTION("""COMPUTED_VALUE"""),"Uncle Sams Cider (04/04/2023)")</f>
        <v>Uncle Sams Cider (04/04/2023)</v>
      </c>
      <c r="H4887" s="19"/>
    </row>
    <row r="4888">
      <c r="A4888" s="9"/>
      <c r="B4888" s="15"/>
      <c r="C4888" s="9">
        <f>IFERROR(__xludf.DUMMYFUNCTION("""COMPUTED_VALUE"""),45093.435074155)</f>
        <v>45093.43507</v>
      </c>
      <c r="D4888" s="15">
        <f>IFERROR(__xludf.DUMMYFUNCTION("""COMPUTED_VALUE"""),1.006)</f>
        <v>1.006</v>
      </c>
      <c r="E4888" s="16">
        <f>IFERROR(__xludf.DUMMYFUNCTION("""COMPUTED_VALUE"""),69.0)</f>
        <v>69</v>
      </c>
      <c r="F4888" s="19" t="str">
        <f>IFERROR(__xludf.DUMMYFUNCTION("""COMPUTED_VALUE"""),"BLACK")</f>
        <v>BLACK</v>
      </c>
      <c r="G4888" s="20" t="str">
        <f>IFERROR(__xludf.DUMMYFUNCTION("""COMPUTED_VALUE"""),"Uncle Sams Cider (04/04/2023)")</f>
        <v>Uncle Sams Cider (04/04/2023)</v>
      </c>
      <c r="H4888" s="19"/>
    </row>
    <row r="4889">
      <c r="A4889" s="9"/>
      <c r="B4889" s="15"/>
      <c r="C4889" s="9">
        <f>IFERROR(__xludf.DUMMYFUNCTION("""COMPUTED_VALUE"""),45093.4246523611)</f>
        <v>45093.42465</v>
      </c>
      <c r="D4889" s="15">
        <f>IFERROR(__xludf.DUMMYFUNCTION("""COMPUTED_VALUE"""),1.006)</f>
        <v>1.006</v>
      </c>
      <c r="E4889" s="16">
        <f>IFERROR(__xludf.DUMMYFUNCTION("""COMPUTED_VALUE"""),69.0)</f>
        <v>69</v>
      </c>
      <c r="F4889" s="19" t="str">
        <f>IFERROR(__xludf.DUMMYFUNCTION("""COMPUTED_VALUE"""),"BLACK")</f>
        <v>BLACK</v>
      </c>
      <c r="G4889" s="20" t="str">
        <f>IFERROR(__xludf.DUMMYFUNCTION("""COMPUTED_VALUE"""),"Uncle Sams Cider (04/04/2023)")</f>
        <v>Uncle Sams Cider (04/04/2023)</v>
      </c>
      <c r="H4889" s="19"/>
    </row>
    <row r="4890">
      <c r="A4890" s="9"/>
      <c r="B4890" s="15"/>
      <c r="C4890" s="9">
        <f>IFERROR(__xludf.DUMMYFUNCTION("""COMPUTED_VALUE"""),45093.4142087615)</f>
        <v>45093.41421</v>
      </c>
      <c r="D4890" s="15">
        <f>IFERROR(__xludf.DUMMYFUNCTION("""COMPUTED_VALUE"""),1.006)</f>
        <v>1.006</v>
      </c>
      <c r="E4890" s="16">
        <f>IFERROR(__xludf.DUMMYFUNCTION("""COMPUTED_VALUE"""),69.0)</f>
        <v>69</v>
      </c>
      <c r="F4890" s="19" t="str">
        <f>IFERROR(__xludf.DUMMYFUNCTION("""COMPUTED_VALUE"""),"BLACK")</f>
        <v>BLACK</v>
      </c>
      <c r="G4890" s="20" t="str">
        <f>IFERROR(__xludf.DUMMYFUNCTION("""COMPUTED_VALUE"""),"Uncle Sams Cider (04/04/2023)")</f>
        <v>Uncle Sams Cider (04/04/2023)</v>
      </c>
      <c r="H4890" s="19"/>
    </row>
    <row r="4891">
      <c r="A4891" s="9"/>
      <c r="B4891" s="15"/>
      <c r="C4891" s="9">
        <f>IFERROR(__xludf.DUMMYFUNCTION("""COMPUTED_VALUE"""),45093.4037654051)</f>
        <v>45093.40377</v>
      </c>
      <c r="D4891" s="15">
        <f>IFERROR(__xludf.DUMMYFUNCTION("""COMPUTED_VALUE"""),1.006)</f>
        <v>1.006</v>
      </c>
      <c r="E4891" s="16">
        <f>IFERROR(__xludf.DUMMYFUNCTION("""COMPUTED_VALUE"""),69.0)</f>
        <v>69</v>
      </c>
      <c r="F4891" s="19" t="str">
        <f>IFERROR(__xludf.DUMMYFUNCTION("""COMPUTED_VALUE"""),"BLACK")</f>
        <v>BLACK</v>
      </c>
      <c r="G4891" s="20" t="str">
        <f>IFERROR(__xludf.DUMMYFUNCTION("""COMPUTED_VALUE"""),"Uncle Sams Cider (04/04/2023)")</f>
        <v>Uncle Sams Cider (04/04/2023)</v>
      </c>
      <c r="H4891" s="19"/>
    </row>
    <row r="4892">
      <c r="A4892" s="9"/>
      <c r="B4892" s="15"/>
      <c r="C4892" s="9">
        <f>IFERROR(__xludf.DUMMYFUNCTION("""COMPUTED_VALUE"""),45093.3933433333)</f>
        <v>45093.39334</v>
      </c>
      <c r="D4892" s="15">
        <f>IFERROR(__xludf.DUMMYFUNCTION("""COMPUTED_VALUE"""),1.006)</f>
        <v>1.006</v>
      </c>
      <c r="E4892" s="16">
        <f>IFERROR(__xludf.DUMMYFUNCTION("""COMPUTED_VALUE"""),69.0)</f>
        <v>69</v>
      </c>
      <c r="F4892" s="19" t="str">
        <f>IFERROR(__xludf.DUMMYFUNCTION("""COMPUTED_VALUE"""),"BLACK")</f>
        <v>BLACK</v>
      </c>
      <c r="G4892" s="20" t="str">
        <f>IFERROR(__xludf.DUMMYFUNCTION("""COMPUTED_VALUE"""),"Uncle Sams Cider (04/04/2023)")</f>
        <v>Uncle Sams Cider (04/04/2023)</v>
      </c>
      <c r="H4892" s="19"/>
    </row>
    <row r="4893">
      <c r="A4893" s="9"/>
      <c r="B4893" s="15"/>
      <c r="C4893" s="9">
        <f>IFERROR(__xludf.DUMMYFUNCTION("""COMPUTED_VALUE"""),45093.3828884143)</f>
        <v>45093.38289</v>
      </c>
      <c r="D4893" s="15">
        <f>IFERROR(__xludf.DUMMYFUNCTION("""COMPUTED_VALUE"""),1.006)</f>
        <v>1.006</v>
      </c>
      <c r="E4893" s="16">
        <f>IFERROR(__xludf.DUMMYFUNCTION("""COMPUTED_VALUE"""),69.0)</f>
        <v>69</v>
      </c>
      <c r="F4893" s="19" t="str">
        <f>IFERROR(__xludf.DUMMYFUNCTION("""COMPUTED_VALUE"""),"BLACK")</f>
        <v>BLACK</v>
      </c>
      <c r="G4893" s="20" t="str">
        <f>IFERROR(__xludf.DUMMYFUNCTION("""COMPUTED_VALUE"""),"Uncle Sams Cider (04/04/2023)")</f>
        <v>Uncle Sams Cider (04/04/2023)</v>
      </c>
      <c r="H4893" s="19"/>
    </row>
    <row r="4894">
      <c r="A4894" s="9"/>
      <c r="B4894" s="15"/>
      <c r="C4894" s="9">
        <f>IFERROR(__xludf.DUMMYFUNCTION("""COMPUTED_VALUE"""),45093.3724671875)</f>
        <v>45093.37247</v>
      </c>
      <c r="D4894" s="15">
        <f>IFERROR(__xludf.DUMMYFUNCTION("""COMPUTED_VALUE"""),1.006)</f>
        <v>1.006</v>
      </c>
      <c r="E4894" s="16">
        <f>IFERROR(__xludf.DUMMYFUNCTION("""COMPUTED_VALUE"""),69.0)</f>
        <v>69</v>
      </c>
      <c r="F4894" s="19" t="str">
        <f>IFERROR(__xludf.DUMMYFUNCTION("""COMPUTED_VALUE"""),"BLACK")</f>
        <v>BLACK</v>
      </c>
      <c r="G4894" s="20" t="str">
        <f>IFERROR(__xludf.DUMMYFUNCTION("""COMPUTED_VALUE"""),"Uncle Sams Cider (04/04/2023)")</f>
        <v>Uncle Sams Cider (04/04/2023)</v>
      </c>
      <c r="H4894" s="19"/>
    </row>
    <row r="4895">
      <c r="A4895" s="9"/>
      <c r="B4895" s="15"/>
      <c r="C4895" s="9">
        <f>IFERROR(__xludf.DUMMYFUNCTION("""COMPUTED_VALUE"""),45093.3620460069)</f>
        <v>45093.36205</v>
      </c>
      <c r="D4895" s="15">
        <f>IFERROR(__xludf.DUMMYFUNCTION("""COMPUTED_VALUE"""),1.006)</f>
        <v>1.006</v>
      </c>
      <c r="E4895" s="16">
        <f>IFERROR(__xludf.DUMMYFUNCTION("""COMPUTED_VALUE"""),69.0)</f>
        <v>69</v>
      </c>
      <c r="F4895" s="19" t="str">
        <f>IFERROR(__xludf.DUMMYFUNCTION("""COMPUTED_VALUE"""),"BLACK")</f>
        <v>BLACK</v>
      </c>
      <c r="G4895" s="20" t="str">
        <f>IFERROR(__xludf.DUMMYFUNCTION("""COMPUTED_VALUE"""),"Uncle Sams Cider (04/04/2023)")</f>
        <v>Uncle Sams Cider (04/04/2023)</v>
      </c>
      <c r="H4895" s="19"/>
    </row>
    <row r="4896">
      <c r="A4896" s="9"/>
      <c r="B4896" s="15"/>
      <c r="C4896" s="9">
        <f>IFERROR(__xludf.DUMMYFUNCTION("""COMPUTED_VALUE"""),45093.3516226736)</f>
        <v>45093.35162</v>
      </c>
      <c r="D4896" s="15">
        <f>IFERROR(__xludf.DUMMYFUNCTION("""COMPUTED_VALUE"""),1.006)</f>
        <v>1.006</v>
      </c>
      <c r="E4896" s="16">
        <f>IFERROR(__xludf.DUMMYFUNCTION("""COMPUTED_VALUE"""),69.0)</f>
        <v>69</v>
      </c>
      <c r="F4896" s="19" t="str">
        <f>IFERROR(__xludf.DUMMYFUNCTION("""COMPUTED_VALUE"""),"BLACK")</f>
        <v>BLACK</v>
      </c>
      <c r="G4896" s="20" t="str">
        <f>IFERROR(__xludf.DUMMYFUNCTION("""COMPUTED_VALUE"""),"Uncle Sams Cider (04/04/2023)")</f>
        <v>Uncle Sams Cider (04/04/2023)</v>
      </c>
      <c r="H4896" s="19"/>
    </row>
    <row r="4897">
      <c r="A4897" s="9"/>
      <c r="B4897" s="15"/>
      <c r="C4897" s="9">
        <f>IFERROR(__xludf.DUMMYFUNCTION("""COMPUTED_VALUE"""),45093.341201331)</f>
        <v>45093.3412</v>
      </c>
      <c r="D4897" s="15">
        <f>IFERROR(__xludf.DUMMYFUNCTION("""COMPUTED_VALUE"""),1.006)</f>
        <v>1.006</v>
      </c>
      <c r="E4897" s="16">
        <f>IFERROR(__xludf.DUMMYFUNCTION("""COMPUTED_VALUE"""),69.0)</f>
        <v>69</v>
      </c>
      <c r="F4897" s="19" t="str">
        <f>IFERROR(__xludf.DUMMYFUNCTION("""COMPUTED_VALUE"""),"BLACK")</f>
        <v>BLACK</v>
      </c>
      <c r="G4897" s="20" t="str">
        <f>IFERROR(__xludf.DUMMYFUNCTION("""COMPUTED_VALUE"""),"Uncle Sams Cider (04/04/2023)")</f>
        <v>Uncle Sams Cider (04/04/2023)</v>
      </c>
      <c r="H4897" s="19"/>
    </row>
    <row r="4898">
      <c r="A4898" s="9"/>
      <c r="B4898" s="15"/>
      <c r="C4898" s="9">
        <f>IFERROR(__xludf.DUMMYFUNCTION("""COMPUTED_VALUE"""),45093.3307808912)</f>
        <v>45093.33078</v>
      </c>
      <c r="D4898" s="15">
        <f>IFERROR(__xludf.DUMMYFUNCTION("""COMPUTED_VALUE"""),1.006)</f>
        <v>1.006</v>
      </c>
      <c r="E4898" s="16">
        <f>IFERROR(__xludf.DUMMYFUNCTION("""COMPUTED_VALUE"""),69.0)</f>
        <v>69</v>
      </c>
      <c r="F4898" s="19" t="str">
        <f>IFERROR(__xludf.DUMMYFUNCTION("""COMPUTED_VALUE"""),"BLACK")</f>
        <v>BLACK</v>
      </c>
      <c r="G4898" s="20" t="str">
        <f>IFERROR(__xludf.DUMMYFUNCTION("""COMPUTED_VALUE"""),"Uncle Sams Cider (04/04/2023)")</f>
        <v>Uncle Sams Cider (04/04/2023)</v>
      </c>
      <c r="H4898" s="19"/>
    </row>
    <row r="4899">
      <c r="A4899" s="9"/>
      <c r="B4899" s="15"/>
      <c r="C4899" s="9">
        <f>IFERROR(__xludf.DUMMYFUNCTION("""COMPUTED_VALUE"""),45093.3203251967)</f>
        <v>45093.32033</v>
      </c>
      <c r="D4899" s="15">
        <f>IFERROR(__xludf.DUMMYFUNCTION("""COMPUTED_VALUE"""),1.006)</f>
        <v>1.006</v>
      </c>
      <c r="E4899" s="16">
        <f>IFERROR(__xludf.DUMMYFUNCTION("""COMPUTED_VALUE"""),69.0)</f>
        <v>69</v>
      </c>
      <c r="F4899" s="19" t="str">
        <f>IFERROR(__xludf.DUMMYFUNCTION("""COMPUTED_VALUE"""),"BLACK")</f>
        <v>BLACK</v>
      </c>
      <c r="G4899" s="20" t="str">
        <f>IFERROR(__xludf.DUMMYFUNCTION("""COMPUTED_VALUE"""),"Uncle Sams Cider (04/04/2023)")</f>
        <v>Uncle Sams Cider (04/04/2023)</v>
      </c>
      <c r="H4899" s="19"/>
    </row>
    <row r="4900">
      <c r="A4900" s="9"/>
      <c r="B4900" s="15"/>
      <c r="C4900" s="9">
        <f>IFERROR(__xludf.DUMMYFUNCTION("""COMPUTED_VALUE"""),45093.3099048611)</f>
        <v>45093.3099</v>
      </c>
      <c r="D4900" s="15">
        <f>IFERROR(__xludf.DUMMYFUNCTION("""COMPUTED_VALUE"""),1.006)</f>
        <v>1.006</v>
      </c>
      <c r="E4900" s="16">
        <f>IFERROR(__xludf.DUMMYFUNCTION("""COMPUTED_VALUE"""),69.0)</f>
        <v>69</v>
      </c>
      <c r="F4900" s="19" t="str">
        <f>IFERROR(__xludf.DUMMYFUNCTION("""COMPUTED_VALUE"""),"BLACK")</f>
        <v>BLACK</v>
      </c>
      <c r="G4900" s="20" t="str">
        <f>IFERROR(__xludf.DUMMYFUNCTION("""COMPUTED_VALUE"""),"Uncle Sams Cider (04/04/2023)")</f>
        <v>Uncle Sams Cider (04/04/2023)</v>
      </c>
      <c r="H4900" s="19"/>
    </row>
    <row r="4901">
      <c r="A4901" s="9"/>
      <c r="B4901" s="15"/>
      <c r="C4901" s="9">
        <f>IFERROR(__xludf.DUMMYFUNCTION("""COMPUTED_VALUE"""),45093.2994825578)</f>
        <v>45093.29948</v>
      </c>
      <c r="D4901" s="15">
        <f>IFERROR(__xludf.DUMMYFUNCTION("""COMPUTED_VALUE"""),1.006)</f>
        <v>1.006</v>
      </c>
      <c r="E4901" s="16">
        <f>IFERROR(__xludf.DUMMYFUNCTION("""COMPUTED_VALUE"""),69.0)</f>
        <v>69</v>
      </c>
      <c r="F4901" s="19" t="str">
        <f>IFERROR(__xludf.DUMMYFUNCTION("""COMPUTED_VALUE"""),"BLACK")</f>
        <v>BLACK</v>
      </c>
      <c r="G4901" s="20" t="str">
        <f>IFERROR(__xludf.DUMMYFUNCTION("""COMPUTED_VALUE"""),"Uncle Sams Cider (04/04/2023)")</f>
        <v>Uncle Sams Cider (04/04/2023)</v>
      </c>
      <c r="H4901" s="19"/>
    </row>
    <row r="4902">
      <c r="A4902" s="9"/>
      <c r="B4902" s="15"/>
      <c r="C4902" s="9">
        <f>IFERROR(__xludf.DUMMYFUNCTION("""COMPUTED_VALUE"""),45093.2890616088)</f>
        <v>45093.28906</v>
      </c>
      <c r="D4902" s="15">
        <f>IFERROR(__xludf.DUMMYFUNCTION("""COMPUTED_VALUE"""),1.006)</f>
        <v>1.006</v>
      </c>
      <c r="E4902" s="16">
        <f>IFERROR(__xludf.DUMMYFUNCTION("""COMPUTED_VALUE"""),69.0)</f>
        <v>69</v>
      </c>
      <c r="F4902" s="19" t="str">
        <f>IFERROR(__xludf.DUMMYFUNCTION("""COMPUTED_VALUE"""),"BLACK")</f>
        <v>BLACK</v>
      </c>
      <c r="G4902" s="20" t="str">
        <f>IFERROR(__xludf.DUMMYFUNCTION("""COMPUTED_VALUE"""),"Uncle Sams Cider (04/04/2023)")</f>
        <v>Uncle Sams Cider (04/04/2023)</v>
      </c>
      <c r="H4902" s="19"/>
    </row>
    <row r="4903">
      <c r="A4903" s="9"/>
      <c r="B4903" s="15"/>
      <c r="C4903" s="9">
        <f>IFERROR(__xludf.DUMMYFUNCTION("""COMPUTED_VALUE"""),45093.2786411226)</f>
        <v>45093.27864</v>
      </c>
      <c r="D4903" s="15">
        <f>IFERROR(__xludf.DUMMYFUNCTION("""COMPUTED_VALUE"""),1.006)</f>
        <v>1.006</v>
      </c>
      <c r="E4903" s="16">
        <f>IFERROR(__xludf.DUMMYFUNCTION("""COMPUTED_VALUE"""),69.0)</f>
        <v>69</v>
      </c>
      <c r="F4903" s="19" t="str">
        <f>IFERROR(__xludf.DUMMYFUNCTION("""COMPUTED_VALUE"""),"BLACK")</f>
        <v>BLACK</v>
      </c>
      <c r="G4903" s="20" t="str">
        <f>IFERROR(__xludf.DUMMYFUNCTION("""COMPUTED_VALUE"""),"Uncle Sams Cider (04/04/2023)")</f>
        <v>Uncle Sams Cider (04/04/2023)</v>
      </c>
      <c r="H4903" s="19"/>
    </row>
    <row r="4904">
      <c r="A4904" s="9"/>
      <c r="B4904" s="15"/>
      <c r="C4904" s="9">
        <f>IFERROR(__xludf.DUMMYFUNCTION("""COMPUTED_VALUE"""),45093.2682084953)</f>
        <v>45093.26821</v>
      </c>
      <c r="D4904" s="15">
        <f>IFERROR(__xludf.DUMMYFUNCTION("""COMPUTED_VALUE"""),1.006)</f>
        <v>1.006</v>
      </c>
      <c r="E4904" s="16">
        <f>IFERROR(__xludf.DUMMYFUNCTION("""COMPUTED_VALUE"""),69.0)</f>
        <v>69</v>
      </c>
      <c r="F4904" s="19" t="str">
        <f>IFERROR(__xludf.DUMMYFUNCTION("""COMPUTED_VALUE"""),"BLACK")</f>
        <v>BLACK</v>
      </c>
      <c r="G4904" s="20" t="str">
        <f>IFERROR(__xludf.DUMMYFUNCTION("""COMPUTED_VALUE"""),"Uncle Sams Cider (04/04/2023)")</f>
        <v>Uncle Sams Cider (04/04/2023)</v>
      </c>
      <c r="H4904" s="19"/>
    </row>
    <row r="4905">
      <c r="A4905" s="9"/>
      <c r="B4905" s="15"/>
      <c r="C4905" s="9">
        <f>IFERROR(__xludf.DUMMYFUNCTION("""COMPUTED_VALUE"""),45093.2577898032)</f>
        <v>45093.25779</v>
      </c>
      <c r="D4905" s="15">
        <f>IFERROR(__xludf.DUMMYFUNCTION("""COMPUTED_VALUE"""),1.006)</f>
        <v>1.006</v>
      </c>
      <c r="E4905" s="16">
        <f>IFERROR(__xludf.DUMMYFUNCTION("""COMPUTED_VALUE"""),69.0)</f>
        <v>69</v>
      </c>
      <c r="F4905" s="19" t="str">
        <f>IFERROR(__xludf.DUMMYFUNCTION("""COMPUTED_VALUE"""),"BLACK")</f>
        <v>BLACK</v>
      </c>
      <c r="G4905" s="20" t="str">
        <f>IFERROR(__xludf.DUMMYFUNCTION("""COMPUTED_VALUE"""),"Uncle Sams Cider (04/04/2023)")</f>
        <v>Uncle Sams Cider (04/04/2023)</v>
      </c>
      <c r="H4905" s="19"/>
    </row>
    <row r="4906">
      <c r="A4906" s="9"/>
      <c r="B4906" s="15"/>
      <c r="C4906" s="9">
        <f>IFERROR(__xludf.DUMMYFUNCTION("""COMPUTED_VALUE"""),45093.247369375)</f>
        <v>45093.24737</v>
      </c>
      <c r="D4906" s="15">
        <f>IFERROR(__xludf.DUMMYFUNCTION("""COMPUTED_VALUE"""),1.006)</f>
        <v>1.006</v>
      </c>
      <c r="E4906" s="16">
        <f>IFERROR(__xludf.DUMMYFUNCTION("""COMPUTED_VALUE"""),69.0)</f>
        <v>69</v>
      </c>
      <c r="F4906" s="19" t="str">
        <f>IFERROR(__xludf.DUMMYFUNCTION("""COMPUTED_VALUE"""),"BLACK")</f>
        <v>BLACK</v>
      </c>
      <c r="G4906" s="20" t="str">
        <f>IFERROR(__xludf.DUMMYFUNCTION("""COMPUTED_VALUE"""),"Uncle Sams Cider (04/04/2023)")</f>
        <v>Uncle Sams Cider (04/04/2023)</v>
      </c>
      <c r="H4906" s="19"/>
    </row>
    <row r="4907">
      <c r="A4907" s="9"/>
      <c r="B4907" s="15"/>
      <c r="C4907" s="9">
        <f>IFERROR(__xludf.DUMMYFUNCTION("""COMPUTED_VALUE"""),45093.236940081)</f>
        <v>45093.23694</v>
      </c>
      <c r="D4907" s="15">
        <f>IFERROR(__xludf.DUMMYFUNCTION("""COMPUTED_VALUE"""),1.006)</f>
        <v>1.006</v>
      </c>
      <c r="E4907" s="16">
        <f>IFERROR(__xludf.DUMMYFUNCTION("""COMPUTED_VALUE"""),69.0)</f>
        <v>69</v>
      </c>
      <c r="F4907" s="19" t="str">
        <f>IFERROR(__xludf.DUMMYFUNCTION("""COMPUTED_VALUE"""),"BLACK")</f>
        <v>BLACK</v>
      </c>
      <c r="G4907" s="20" t="str">
        <f>IFERROR(__xludf.DUMMYFUNCTION("""COMPUTED_VALUE"""),"Uncle Sams Cider (04/04/2023)")</f>
        <v>Uncle Sams Cider (04/04/2023)</v>
      </c>
      <c r="H4907" s="19"/>
    </row>
    <row r="4908">
      <c r="A4908" s="9"/>
      <c r="B4908" s="15"/>
      <c r="C4908" s="9">
        <f>IFERROR(__xludf.DUMMYFUNCTION("""COMPUTED_VALUE"""),45093.2265191203)</f>
        <v>45093.22652</v>
      </c>
      <c r="D4908" s="15">
        <f>IFERROR(__xludf.DUMMYFUNCTION("""COMPUTED_VALUE"""),1.006)</f>
        <v>1.006</v>
      </c>
      <c r="E4908" s="16">
        <f>IFERROR(__xludf.DUMMYFUNCTION("""COMPUTED_VALUE"""),69.0)</f>
        <v>69</v>
      </c>
      <c r="F4908" s="19" t="str">
        <f>IFERROR(__xludf.DUMMYFUNCTION("""COMPUTED_VALUE"""),"BLACK")</f>
        <v>BLACK</v>
      </c>
      <c r="G4908" s="20" t="str">
        <f>IFERROR(__xludf.DUMMYFUNCTION("""COMPUTED_VALUE"""),"Uncle Sams Cider (04/04/2023)")</f>
        <v>Uncle Sams Cider (04/04/2023)</v>
      </c>
      <c r="H4908" s="19"/>
    </row>
    <row r="4909">
      <c r="A4909" s="9"/>
      <c r="B4909" s="15"/>
      <c r="C4909" s="9">
        <f>IFERROR(__xludf.DUMMYFUNCTION("""COMPUTED_VALUE"""),45093.2160984606)</f>
        <v>45093.2161</v>
      </c>
      <c r="D4909" s="15">
        <f>IFERROR(__xludf.DUMMYFUNCTION("""COMPUTED_VALUE"""),1.006)</f>
        <v>1.006</v>
      </c>
      <c r="E4909" s="16">
        <f>IFERROR(__xludf.DUMMYFUNCTION("""COMPUTED_VALUE"""),69.0)</f>
        <v>69</v>
      </c>
      <c r="F4909" s="19" t="str">
        <f>IFERROR(__xludf.DUMMYFUNCTION("""COMPUTED_VALUE"""),"BLACK")</f>
        <v>BLACK</v>
      </c>
      <c r="G4909" s="20" t="str">
        <f>IFERROR(__xludf.DUMMYFUNCTION("""COMPUTED_VALUE"""),"Uncle Sams Cider (04/04/2023)")</f>
        <v>Uncle Sams Cider (04/04/2023)</v>
      </c>
      <c r="H4909" s="19"/>
    </row>
    <row r="4910">
      <c r="A4910" s="9"/>
      <c r="B4910" s="15"/>
      <c r="C4910" s="9">
        <f>IFERROR(__xludf.DUMMYFUNCTION("""COMPUTED_VALUE"""),45093.2056759143)</f>
        <v>45093.20568</v>
      </c>
      <c r="D4910" s="15">
        <f>IFERROR(__xludf.DUMMYFUNCTION("""COMPUTED_VALUE"""),1.006)</f>
        <v>1.006</v>
      </c>
      <c r="E4910" s="16">
        <f>IFERROR(__xludf.DUMMYFUNCTION("""COMPUTED_VALUE"""),69.0)</f>
        <v>69</v>
      </c>
      <c r="F4910" s="19" t="str">
        <f>IFERROR(__xludf.DUMMYFUNCTION("""COMPUTED_VALUE"""),"BLACK")</f>
        <v>BLACK</v>
      </c>
      <c r="G4910" s="20" t="str">
        <f>IFERROR(__xludf.DUMMYFUNCTION("""COMPUTED_VALUE"""),"Uncle Sams Cider (04/04/2023)")</f>
        <v>Uncle Sams Cider (04/04/2023)</v>
      </c>
      <c r="H4910" s="19"/>
    </row>
    <row r="4911">
      <c r="A4911" s="9"/>
      <c r="B4911" s="15"/>
      <c r="C4911" s="9">
        <f>IFERROR(__xludf.DUMMYFUNCTION("""COMPUTED_VALUE"""),45093.1952534375)</f>
        <v>45093.19525</v>
      </c>
      <c r="D4911" s="15">
        <f>IFERROR(__xludf.DUMMYFUNCTION("""COMPUTED_VALUE"""),1.006)</f>
        <v>1.006</v>
      </c>
      <c r="E4911" s="16">
        <f>IFERROR(__xludf.DUMMYFUNCTION("""COMPUTED_VALUE"""),69.0)</f>
        <v>69</v>
      </c>
      <c r="F4911" s="19" t="str">
        <f>IFERROR(__xludf.DUMMYFUNCTION("""COMPUTED_VALUE"""),"BLACK")</f>
        <v>BLACK</v>
      </c>
      <c r="G4911" s="20" t="str">
        <f>IFERROR(__xludf.DUMMYFUNCTION("""COMPUTED_VALUE"""),"Uncle Sams Cider (04/04/2023)")</f>
        <v>Uncle Sams Cider (04/04/2023)</v>
      </c>
      <c r="H4911" s="19"/>
    </row>
    <row r="4912">
      <c r="A4912" s="9"/>
      <c r="B4912" s="15"/>
      <c r="C4912" s="9">
        <f>IFERROR(__xludf.DUMMYFUNCTION("""COMPUTED_VALUE"""),45093.1848321759)</f>
        <v>45093.18483</v>
      </c>
      <c r="D4912" s="15">
        <f>IFERROR(__xludf.DUMMYFUNCTION("""COMPUTED_VALUE"""),1.006)</f>
        <v>1.006</v>
      </c>
      <c r="E4912" s="16">
        <f>IFERROR(__xludf.DUMMYFUNCTION("""COMPUTED_VALUE"""),69.0)</f>
        <v>69</v>
      </c>
      <c r="F4912" s="19" t="str">
        <f>IFERROR(__xludf.DUMMYFUNCTION("""COMPUTED_VALUE"""),"BLACK")</f>
        <v>BLACK</v>
      </c>
      <c r="G4912" s="20" t="str">
        <f>IFERROR(__xludf.DUMMYFUNCTION("""COMPUTED_VALUE"""),"Uncle Sams Cider (04/04/2023)")</f>
        <v>Uncle Sams Cider (04/04/2023)</v>
      </c>
      <c r="H4912" s="19"/>
    </row>
    <row r="4913">
      <c r="A4913" s="9"/>
      <c r="B4913" s="15"/>
      <c r="C4913" s="9">
        <f>IFERROR(__xludf.DUMMYFUNCTION("""COMPUTED_VALUE"""),45093.1744115972)</f>
        <v>45093.17441</v>
      </c>
      <c r="D4913" s="15">
        <f>IFERROR(__xludf.DUMMYFUNCTION("""COMPUTED_VALUE"""),1.006)</f>
        <v>1.006</v>
      </c>
      <c r="E4913" s="16">
        <f>IFERROR(__xludf.DUMMYFUNCTION("""COMPUTED_VALUE"""),69.0)</f>
        <v>69</v>
      </c>
      <c r="F4913" s="19" t="str">
        <f>IFERROR(__xludf.DUMMYFUNCTION("""COMPUTED_VALUE"""),"BLACK")</f>
        <v>BLACK</v>
      </c>
      <c r="G4913" s="20" t="str">
        <f>IFERROR(__xludf.DUMMYFUNCTION("""COMPUTED_VALUE"""),"Uncle Sams Cider (04/04/2023)")</f>
        <v>Uncle Sams Cider (04/04/2023)</v>
      </c>
      <c r="H4913" s="19"/>
    </row>
    <row r="4914">
      <c r="A4914" s="9"/>
      <c r="B4914" s="15"/>
      <c r="C4914" s="9">
        <f>IFERROR(__xludf.DUMMYFUNCTION("""COMPUTED_VALUE"""),45093.1639907291)</f>
        <v>45093.16399</v>
      </c>
      <c r="D4914" s="15">
        <f>IFERROR(__xludf.DUMMYFUNCTION("""COMPUTED_VALUE"""),1.006)</f>
        <v>1.006</v>
      </c>
      <c r="E4914" s="16">
        <f>IFERROR(__xludf.DUMMYFUNCTION("""COMPUTED_VALUE"""),69.0)</f>
        <v>69</v>
      </c>
      <c r="F4914" s="19" t="str">
        <f>IFERROR(__xludf.DUMMYFUNCTION("""COMPUTED_VALUE"""),"BLACK")</f>
        <v>BLACK</v>
      </c>
      <c r="G4914" s="20" t="str">
        <f>IFERROR(__xludf.DUMMYFUNCTION("""COMPUTED_VALUE"""),"Uncle Sams Cider (04/04/2023)")</f>
        <v>Uncle Sams Cider (04/04/2023)</v>
      </c>
      <c r="H4914" s="19"/>
    </row>
    <row r="4915">
      <c r="A4915" s="9"/>
      <c r="B4915" s="15"/>
      <c r="C4915" s="9">
        <f>IFERROR(__xludf.DUMMYFUNCTION("""COMPUTED_VALUE"""),45093.1535695717)</f>
        <v>45093.15357</v>
      </c>
      <c r="D4915" s="15">
        <f>IFERROR(__xludf.DUMMYFUNCTION("""COMPUTED_VALUE"""),1.006)</f>
        <v>1.006</v>
      </c>
      <c r="E4915" s="16">
        <f>IFERROR(__xludf.DUMMYFUNCTION("""COMPUTED_VALUE"""),69.0)</f>
        <v>69</v>
      </c>
      <c r="F4915" s="19" t="str">
        <f>IFERROR(__xludf.DUMMYFUNCTION("""COMPUTED_VALUE"""),"BLACK")</f>
        <v>BLACK</v>
      </c>
      <c r="G4915" s="20" t="str">
        <f>IFERROR(__xludf.DUMMYFUNCTION("""COMPUTED_VALUE"""),"Uncle Sams Cider (04/04/2023)")</f>
        <v>Uncle Sams Cider (04/04/2023)</v>
      </c>
      <c r="H4915" s="19"/>
    </row>
    <row r="4916">
      <c r="A4916" s="9"/>
      <c r="B4916" s="15"/>
      <c r="C4916" s="9">
        <f>IFERROR(__xludf.DUMMYFUNCTION("""COMPUTED_VALUE"""),45093.1431485532)</f>
        <v>45093.14315</v>
      </c>
      <c r="D4916" s="15">
        <f>IFERROR(__xludf.DUMMYFUNCTION("""COMPUTED_VALUE"""),1.006)</f>
        <v>1.006</v>
      </c>
      <c r="E4916" s="16">
        <f>IFERROR(__xludf.DUMMYFUNCTION("""COMPUTED_VALUE"""),69.0)</f>
        <v>69</v>
      </c>
      <c r="F4916" s="19" t="str">
        <f>IFERROR(__xludf.DUMMYFUNCTION("""COMPUTED_VALUE"""),"BLACK")</f>
        <v>BLACK</v>
      </c>
      <c r="G4916" s="20" t="str">
        <f>IFERROR(__xludf.DUMMYFUNCTION("""COMPUTED_VALUE"""),"Uncle Sams Cider (04/04/2023)")</f>
        <v>Uncle Sams Cider (04/04/2023)</v>
      </c>
      <c r="H4916" s="19"/>
    </row>
    <row r="4917">
      <c r="A4917" s="9"/>
      <c r="B4917" s="15"/>
      <c r="C4917" s="9">
        <f>IFERROR(__xludf.DUMMYFUNCTION("""COMPUTED_VALUE"""),45093.1327263078)</f>
        <v>45093.13273</v>
      </c>
      <c r="D4917" s="15">
        <f>IFERROR(__xludf.DUMMYFUNCTION("""COMPUTED_VALUE"""),1.006)</f>
        <v>1.006</v>
      </c>
      <c r="E4917" s="16">
        <f>IFERROR(__xludf.DUMMYFUNCTION("""COMPUTED_VALUE"""),69.0)</f>
        <v>69</v>
      </c>
      <c r="F4917" s="19" t="str">
        <f>IFERROR(__xludf.DUMMYFUNCTION("""COMPUTED_VALUE"""),"BLACK")</f>
        <v>BLACK</v>
      </c>
      <c r="G4917" s="20" t="str">
        <f>IFERROR(__xludf.DUMMYFUNCTION("""COMPUTED_VALUE"""),"Uncle Sams Cider (04/04/2023)")</f>
        <v>Uncle Sams Cider (04/04/2023)</v>
      </c>
      <c r="H4917" s="19"/>
    </row>
    <row r="4918">
      <c r="A4918" s="9"/>
      <c r="B4918" s="15"/>
      <c r="C4918" s="9">
        <f>IFERROR(__xludf.DUMMYFUNCTION("""COMPUTED_VALUE"""),45093.1222919907)</f>
        <v>45093.12229</v>
      </c>
      <c r="D4918" s="15">
        <f>IFERROR(__xludf.DUMMYFUNCTION("""COMPUTED_VALUE"""),1.006)</f>
        <v>1.006</v>
      </c>
      <c r="E4918" s="16">
        <f>IFERROR(__xludf.DUMMYFUNCTION("""COMPUTED_VALUE"""),69.0)</f>
        <v>69</v>
      </c>
      <c r="F4918" s="19" t="str">
        <f>IFERROR(__xludf.DUMMYFUNCTION("""COMPUTED_VALUE"""),"BLACK")</f>
        <v>BLACK</v>
      </c>
      <c r="G4918" s="20" t="str">
        <f>IFERROR(__xludf.DUMMYFUNCTION("""COMPUTED_VALUE"""),"Uncle Sams Cider (04/04/2023)")</f>
        <v>Uncle Sams Cider (04/04/2023)</v>
      </c>
      <c r="H4918" s="19"/>
    </row>
    <row r="4919">
      <c r="A4919" s="9"/>
      <c r="B4919" s="15"/>
      <c r="C4919" s="9">
        <f>IFERROR(__xludf.DUMMYFUNCTION("""COMPUTED_VALUE"""),45093.1118699884)</f>
        <v>45093.11187</v>
      </c>
      <c r="D4919" s="15">
        <f>IFERROR(__xludf.DUMMYFUNCTION("""COMPUTED_VALUE"""),1.006)</f>
        <v>1.006</v>
      </c>
      <c r="E4919" s="16">
        <f>IFERROR(__xludf.DUMMYFUNCTION("""COMPUTED_VALUE"""),69.0)</f>
        <v>69</v>
      </c>
      <c r="F4919" s="19" t="str">
        <f>IFERROR(__xludf.DUMMYFUNCTION("""COMPUTED_VALUE"""),"BLACK")</f>
        <v>BLACK</v>
      </c>
      <c r="G4919" s="20" t="str">
        <f>IFERROR(__xludf.DUMMYFUNCTION("""COMPUTED_VALUE"""),"Uncle Sams Cider (04/04/2023)")</f>
        <v>Uncle Sams Cider (04/04/2023)</v>
      </c>
      <c r="H4919" s="19"/>
    </row>
    <row r="4920">
      <c r="A4920" s="9"/>
      <c r="B4920" s="15"/>
      <c r="C4920" s="9">
        <f>IFERROR(__xludf.DUMMYFUNCTION("""COMPUTED_VALUE"""),45093.1014502662)</f>
        <v>45093.10145</v>
      </c>
      <c r="D4920" s="15">
        <f>IFERROR(__xludf.DUMMYFUNCTION("""COMPUTED_VALUE"""),1.006)</f>
        <v>1.006</v>
      </c>
      <c r="E4920" s="16">
        <f>IFERROR(__xludf.DUMMYFUNCTION("""COMPUTED_VALUE"""),69.0)</f>
        <v>69</v>
      </c>
      <c r="F4920" s="19" t="str">
        <f>IFERROR(__xludf.DUMMYFUNCTION("""COMPUTED_VALUE"""),"BLACK")</f>
        <v>BLACK</v>
      </c>
      <c r="G4920" s="20" t="str">
        <f>IFERROR(__xludf.DUMMYFUNCTION("""COMPUTED_VALUE"""),"Uncle Sams Cider (04/04/2023)")</f>
        <v>Uncle Sams Cider (04/04/2023)</v>
      </c>
      <c r="H4920" s="19"/>
    </row>
    <row r="4921">
      <c r="A4921" s="9"/>
      <c r="B4921" s="15"/>
      <c r="C4921" s="9">
        <f>IFERROR(__xludf.DUMMYFUNCTION("""COMPUTED_VALUE"""),45093.0910178356)</f>
        <v>45093.09102</v>
      </c>
      <c r="D4921" s="15">
        <f>IFERROR(__xludf.DUMMYFUNCTION("""COMPUTED_VALUE"""),1.006)</f>
        <v>1.006</v>
      </c>
      <c r="E4921" s="16">
        <f>IFERROR(__xludf.DUMMYFUNCTION("""COMPUTED_VALUE"""),69.0)</f>
        <v>69</v>
      </c>
      <c r="F4921" s="19" t="str">
        <f>IFERROR(__xludf.DUMMYFUNCTION("""COMPUTED_VALUE"""),"BLACK")</f>
        <v>BLACK</v>
      </c>
      <c r="G4921" s="20" t="str">
        <f>IFERROR(__xludf.DUMMYFUNCTION("""COMPUTED_VALUE"""),"Uncle Sams Cider (04/04/2023)")</f>
        <v>Uncle Sams Cider (04/04/2023)</v>
      </c>
      <c r="H4921" s="19"/>
    </row>
    <row r="4922">
      <c r="A4922" s="9"/>
      <c r="B4922" s="15"/>
      <c r="C4922" s="9">
        <f>IFERROR(__xludf.DUMMYFUNCTION("""COMPUTED_VALUE"""),45093.080597037)</f>
        <v>45093.0806</v>
      </c>
      <c r="D4922" s="15">
        <f>IFERROR(__xludf.DUMMYFUNCTION("""COMPUTED_VALUE"""),1.006)</f>
        <v>1.006</v>
      </c>
      <c r="E4922" s="16">
        <f>IFERROR(__xludf.DUMMYFUNCTION("""COMPUTED_VALUE"""),69.0)</f>
        <v>69</v>
      </c>
      <c r="F4922" s="19" t="str">
        <f>IFERROR(__xludf.DUMMYFUNCTION("""COMPUTED_VALUE"""),"BLACK")</f>
        <v>BLACK</v>
      </c>
      <c r="G4922" s="20" t="str">
        <f>IFERROR(__xludf.DUMMYFUNCTION("""COMPUTED_VALUE"""),"Uncle Sams Cider (04/04/2023)")</f>
        <v>Uncle Sams Cider (04/04/2023)</v>
      </c>
      <c r="H4922" s="19"/>
    </row>
    <row r="4923">
      <c r="A4923" s="9"/>
      <c r="B4923" s="15"/>
      <c r="C4923" s="9">
        <f>IFERROR(__xludf.DUMMYFUNCTION("""COMPUTED_VALUE"""),45093.0701654166)</f>
        <v>45093.07017</v>
      </c>
      <c r="D4923" s="15">
        <f>IFERROR(__xludf.DUMMYFUNCTION("""COMPUTED_VALUE"""),1.006)</f>
        <v>1.006</v>
      </c>
      <c r="E4923" s="16">
        <f>IFERROR(__xludf.DUMMYFUNCTION("""COMPUTED_VALUE"""),69.0)</f>
        <v>69</v>
      </c>
      <c r="F4923" s="19" t="str">
        <f>IFERROR(__xludf.DUMMYFUNCTION("""COMPUTED_VALUE"""),"BLACK")</f>
        <v>BLACK</v>
      </c>
      <c r="G4923" s="20" t="str">
        <f>IFERROR(__xludf.DUMMYFUNCTION("""COMPUTED_VALUE"""),"Uncle Sams Cider (04/04/2023)")</f>
        <v>Uncle Sams Cider (04/04/2023)</v>
      </c>
      <c r="H4923" s="19"/>
    </row>
    <row r="4924">
      <c r="A4924" s="9"/>
      <c r="B4924" s="15"/>
      <c r="C4924" s="9">
        <f>IFERROR(__xludf.DUMMYFUNCTION("""COMPUTED_VALUE"""),45093.0597429513)</f>
        <v>45093.05974</v>
      </c>
      <c r="D4924" s="15">
        <f>IFERROR(__xludf.DUMMYFUNCTION("""COMPUTED_VALUE"""),1.006)</f>
        <v>1.006</v>
      </c>
      <c r="E4924" s="16">
        <f>IFERROR(__xludf.DUMMYFUNCTION("""COMPUTED_VALUE"""),69.0)</f>
        <v>69</v>
      </c>
      <c r="F4924" s="19" t="str">
        <f>IFERROR(__xludf.DUMMYFUNCTION("""COMPUTED_VALUE"""),"BLACK")</f>
        <v>BLACK</v>
      </c>
      <c r="G4924" s="20" t="str">
        <f>IFERROR(__xludf.DUMMYFUNCTION("""COMPUTED_VALUE"""),"Uncle Sams Cider (04/04/2023)")</f>
        <v>Uncle Sams Cider (04/04/2023)</v>
      </c>
      <c r="H4924" s="19"/>
    </row>
    <row r="4925">
      <c r="A4925" s="9"/>
      <c r="B4925" s="15"/>
      <c r="C4925" s="9">
        <f>IFERROR(__xludf.DUMMYFUNCTION("""COMPUTED_VALUE"""),45093.0493225347)</f>
        <v>45093.04932</v>
      </c>
      <c r="D4925" s="15">
        <f>IFERROR(__xludf.DUMMYFUNCTION("""COMPUTED_VALUE"""),1.006)</f>
        <v>1.006</v>
      </c>
      <c r="E4925" s="16">
        <f>IFERROR(__xludf.DUMMYFUNCTION("""COMPUTED_VALUE"""),69.0)</f>
        <v>69</v>
      </c>
      <c r="F4925" s="19" t="str">
        <f>IFERROR(__xludf.DUMMYFUNCTION("""COMPUTED_VALUE"""),"BLACK")</f>
        <v>BLACK</v>
      </c>
      <c r="G4925" s="20" t="str">
        <f>IFERROR(__xludf.DUMMYFUNCTION("""COMPUTED_VALUE"""),"Uncle Sams Cider (04/04/2023)")</f>
        <v>Uncle Sams Cider (04/04/2023)</v>
      </c>
      <c r="H4925" s="19"/>
    </row>
    <row r="4926">
      <c r="A4926" s="9"/>
      <c r="B4926" s="15"/>
      <c r="C4926" s="9">
        <f>IFERROR(__xludf.DUMMYFUNCTION("""COMPUTED_VALUE"""),45093.0389004745)</f>
        <v>45093.0389</v>
      </c>
      <c r="D4926" s="15">
        <f>IFERROR(__xludf.DUMMYFUNCTION("""COMPUTED_VALUE"""),1.006)</f>
        <v>1.006</v>
      </c>
      <c r="E4926" s="16">
        <f>IFERROR(__xludf.DUMMYFUNCTION("""COMPUTED_VALUE"""),69.0)</f>
        <v>69</v>
      </c>
      <c r="F4926" s="19" t="str">
        <f>IFERROR(__xludf.DUMMYFUNCTION("""COMPUTED_VALUE"""),"BLACK")</f>
        <v>BLACK</v>
      </c>
      <c r="G4926" s="20" t="str">
        <f>IFERROR(__xludf.DUMMYFUNCTION("""COMPUTED_VALUE"""),"Uncle Sams Cider (04/04/2023)")</f>
        <v>Uncle Sams Cider (04/04/2023)</v>
      </c>
      <c r="H4926" s="19"/>
    </row>
    <row r="4927">
      <c r="A4927" s="9"/>
      <c r="B4927" s="15"/>
      <c r="C4927" s="9">
        <f>IFERROR(__xludf.DUMMYFUNCTION("""COMPUTED_VALUE"""),45093.0284786921)</f>
        <v>45093.02848</v>
      </c>
      <c r="D4927" s="15">
        <f>IFERROR(__xludf.DUMMYFUNCTION("""COMPUTED_VALUE"""),1.006)</f>
        <v>1.006</v>
      </c>
      <c r="E4927" s="16">
        <f>IFERROR(__xludf.DUMMYFUNCTION("""COMPUTED_VALUE"""),69.0)</f>
        <v>69</v>
      </c>
      <c r="F4927" s="19" t="str">
        <f>IFERROR(__xludf.DUMMYFUNCTION("""COMPUTED_VALUE"""),"BLACK")</f>
        <v>BLACK</v>
      </c>
      <c r="G4927" s="20" t="str">
        <f>IFERROR(__xludf.DUMMYFUNCTION("""COMPUTED_VALUE"""),"Uncle Sams Cider (04/04/2023)")</f>
        <v>Uncle Sams Cider (04/04/2023)</v>
      </c>
      <c r="H4927" s="19"/>
    </row>
    <row r="4928">
      <c r="A4928" s="9"/>
      <c r="B4928" s="15"/>
      <c r="C4928" s="9">
        <f>IFERROR(__xludf.DUMMYFUNCTION("""COMPUTED_VALUE"""),45093.018058125)</f>
        <v>45093.01806</v>
      </c>
      <c r="D4928" s="15">
        <f>IFERROR(__xludf.DUMMYFUNCTION("""COMPUTED_VALUE"""),1.006)</f>
        <v>1.006</v>
      </c>
      <c r="E4928" s="16">
        <f>IFERROR(__xludf.DUMMYFUNCTION("""COMPUTED_VALUE"""),69.0)</f>
        <v>69</v>
      </c>
      <c r="F4928" s="19" t="str">
        <f>IFERROR(__xludf.DUMMYFUNCTION("""COMPUTED_VALUE"""),"BLACK")</f>
        <v>BLACK</v>
      </c>
      <c r="G4928" s="20" t="str">
        <f>IFERROR(__xludf.DUMMYFUNCTION("""COMPUTED_VALUE"""),"Uncle Sams Cider (04/04/2023)")</f>
        <v>Uncle Sams Cider (04/04/2023)</v>
      </c>
      <c r="H4928" s="19"/>
    </row>
    <row r="4929">
      <c r="A4929" s="9"/>
      <c r="B4929" s="15"/>
      <c r="C4929" s="9">
        <f>IFERROR(__xludf.DUMMYFUNCTION("""COMPUTED_VALUE"""),45093.0076119907)</f>
        <v>45093.00761</v>
      </c>
      <c r="D4929" s="15">
        <f>IFERROR(__xludf.DUMMYFUNCTION("""COMPUTED_VALUE"""),1.006)</f>
        <v>1.006</v>
      </c>
      <c r="E4929" s="16">
        <f>IFERROR(__xludf.DUMMYFUNCTION("""COMPUTED_VALUE"""),69.0)</f>
        <v>69</v>
      </c>
      <c r="F4929" s="19" t="str">
        <f>IFERROR(__xludf.DUMMYFUNCTION("""COMPUTED_VALUE"""),"BLACK")</f>
        <v>BLACK</v>
      </c>
      <c r="G4929" s="20" t="str">
        <f>IFERROR(__xludf.DUMMYFUNCTION("""COMPUTED_VALUE"""),"Uncle Sams Cider (04/04/2023)")</f>
        <v>Uncle Sams Cider (04/04/2023)</v>
      </c>
      <c r="H4929" s="19"/>
    </row>
    <row r="4930">
      <c r="A4930" s="9"/>
      <c r="B4930" s="15"/>
      <c r="C4930" s="9">
        <f>IFERROR(__xludf.DUMMYFUNCTION("""COMPUTED_VALUE"""),45092.9971910879)</f>
        <v>45092.99719</v>
      </c>
      <c r="D4930" s="15">
        <f>IFERROR(__xludf.DUMMYFUNCTION("""COMPUTED_VALUE"""),1.006)</f>
        <v>1.006</v>
      </c>
      <c r="E4930" s="16">
        <f>IFERROR(__xludf.DUMMYFUNCTION("""COMPUTED_VALUE"""),69.0)</f>
        <v>69</v>
      </c>
      <c r="F4930" s="19" t="str">
        <f>IFERROR(__xludf.DUMMYFUNCTION("""COMPUTED_VALUE"""),"BLACK")</f>
        <v>BLACK</v>
      </c>
      <c r="G4930" s="20" t="str">
        <f>IFERROR(__xludf.DUMMYFUNCTION("""COMPUTED_VALUE"""),"Uncle Sams Cider (04/04/2023)")</f>
        <v>Uncle Sams Cider (04/04/2023)</v>
      </c>
      <c r="H4930" s="19"/>
    </row>
    <row r="4931">
      <c r="A4931" s="9"/>
      <c r="B4931" s="15"/>
      <c r="C4931" s="9">
        <f>IFERROR(__xludf.DUMMYFUNCTION("""COMPUTED_VALUE"""),45092.9763496875)</f>
        <v>45092.97635</v>
      </c>
      <c r="D4931" s="15">
        <f>IFERROR(__xludf.DUMMYFUNCTION("""COMPUTED_VALUE"""),1.006)</f>
        <v>1.006</v>
      </c>
      <c r="E4931" s="16">
        <f>IFERROR(__xludf.DUMMYFUNCTION("""COMPUTED_VALUE"""),69.0)</f>
        <v>69</v>
      </c>
      <c r="F4931" s="19" t="str">
        <f>IFERROR(__xludf.DUMMYFUNCTION("""COMPUTED_VALUE"""),"BLACK")</f>
        <v>BLACK</v>
      </c>
      <c r="G4931" s="20" t="str">
        <f>IFERROR(__xludf.DUMMYFUNCTION("""COMPUTED_VALUE"""),"Uncle Sams Cider (04/04/2023)")</f>
        <v>Uncle Sams Cider (04/04/2023)</v>
      </c>
      <c r="H4931" s="19"/>
    </row>
    <row r="4932">
      <c r="A4932" s="9"/>
      <c r="B4932" s="15"/>
      <c r="C4932" s="9">
        <f>IFERROR(__xludf.DUMMYFUNCTION("""COMPUTED_VALUE"""),45092.9554943055)</f>
        <v>45092.95549</v>
      </c>
      <c r="D4932" s="15">
        <f>IFERROR(__xludf.DUMMYFUNCTION("""COMPUTED_VALUE"""),1.006)</f>
        <v>1.006</v>
      </c>
      <c r="E4932" s="16">
        <f>IFERROR(__xludf.DUMMYFUNCTION("""COMPUTED_VALUE"""),69.0)</f>
        <v>69</v>
      </c>
      <c r="F4932" s="19" t="str">
        <f>IFERROR(__xludf.DUMMYFUNCTION("""COMPUTED_VALUE"""),"BLACK")</f>
        <v>BLACK</v>
      </c>
      <c r="G4932" s="20" t="str">
        <f>IFERROR(__xludf.DUMMYFUNCTION("""COMPUTED_VALUE"""),"Uncle Sams Cider (04/04/2023)")</f>
        <v>Uncle Sams Cider (04/04/2023)</v>
      </c>
      <c r="H4932" s="19"/>
    </row>
    <row r="4933">
      <c r="A4933" s="9"/>
      <c r="B4933" s="15"/>
      <c r="C4933" s="9">
        <f>IFERROR(__xludf.DUMMYFUNCTION("""COMPUTED_VALUE"""),45092.9450726851)</f>
        <v>45092.94507</v>
      </c>
      <c r="D4933" s="15">
        <f>IFERROR(__xludf.DUMMYFUNCTION("""COMPUTED_VALUE"""),1.006)</f>
        <v>1.006</v>
      </c>
      <c r="E4933" s="16">
        <f>IFERROR(__xludf.DUMMYFUNCTION("""COMPUTED_VALUE"""),69.0)</f>
        <v>69</v>
      </c>
      <c r="F4933" s="19" t="str">
        <f>IFERROR(__xludf.DUMMYFUNCTION("""COMPUTED_VALUE"""),"BLACK")</f>
        <v>BLACK</v>
      </c>
      <c r="G4933" s="20" t="str">
        <f>IFERROR(__xludf.DUMMYFUNCTION("""COMPUTED_VALUE"""),"Uncle Sams Cider (04/04/2023)")</f>
        <v>Uncle Sams Cider (04/04/2023)</v>
      </c>
      <c r="H4933" s="19"/>
    </row>
    <row r="4934">
      <c r="A4934" s="9"/>
      <c r="B4934" s="15"/>
      <c r="C4934" s="9">
        <f>IFERROR(__xludf.DUMMYFUNCTION("""COMPUTED_VALUE"""),45092.9346509143)</f>
        <v>45092.93465</v>
      </c>
      <c r="D4934" s="15">
        <f>IFERROR(__xludf.DUMMYFUNCTION("""COMPUTED_VALUE"""),1.006)</f>
        <v>1.006</v>
      </c>
      <c r="E4934" s="16">
        <f>IFERROR(__xludf.DUMMYFUNCTION("""COMPUTED_VALUE"""),69.0)</f>
        <v>69</v>
      </c>
      <c r="F4934" s="19" t="str">
        <f>IFERROR(__xludf.DUMMYFUNCTION("""COMPUTED_VALUE"""),"BLACK")</f>
        <v>BLACK</v>
      </c>
      <c r="G4934" s="20" t="str">
        <f>IFERROR(__xludf.DUMMYFUNCTION("""COMPUTED_VALUE"""),"Uncle Sams Cider (04/04/2023)")</f>
        <v>Uncle Sams Cider (04/04/2023)</v>
      </c>
      <c r="H4934" s="19"/>
    </row>
    <row r="4935">
      <c r="A4935" s="9"/>
      <c r="B4935" s="15"/>
      <c r="C4935" s="9">
        <f>IFERROR(__xludf.DUMMYFUNCTION("""COMPUTED_VALUE"""),45092.9242298495)</f>
        <v>45092.92423</v>
      </c>
      <c r="D4935" s="15">
        <f>IFERROR(__xludf.DUMMYFUNCTION("""COMPUTED_VALUE"""),1.006)</f>
        <v>1.006</v>
      </c>
      <c r="E4935" s="16">
        <f>IFERROR(__xludf.DUMMYFUNCTION("""COMPUTED_VALUE"""),69.0)</f>
        <v>69</v>
      </c>
      <c r="F4935" s="19" t="str">
        <f>IFERROR(__xludf.DUMMYFUNCTION("""COMPUTED_VALUE"""),"BLACK")</f>
        <v>BLACK</v>
      </c>
      <c r="G4935" s="20" t="str">
        <f>IFERROR(__xludf.DUMMYFUNCTION("""COMPUTED_VALUE"""),"Uncle Sams Cider (04/04/2023)")</f>
        <v>Uncle Sams Cider (04/04/2023)</v>
      </c>
      <c r="H4935" s="19"/>
    </row>
    <row r="4936">
      <c r="A4936" s="9"/>
      <c r="B4936" s="15"/>
      <c r="C4936" s="9">
        <f>IFERROR(__xludf.DUMMYFUNCTION("""COMPUTED_VALUE"""),45092.9138097106)</f>
        <v>45092.91381</v>
      </c>
      <c r="D4936" s="15">
        <f>IFERROR(__xludf.DUMMYFUNCTION("""COMPUTED_VALUE"""),1.006)</f>
        <v>1.006</v>
      </c>
      <c r="E4936" s="16">
        <f>IFERROR(__xludf.DUMMYFUNCTION("""COMPUTED_VALUE"""),69.0)</f>
        <v>69</v>
      </c>
      <c r="F4936" s="19" t="str">
        <f>IFERROR(__xludf.DUMMYFUNCTION("""COMPUTED_VALUE"""),"BLACK")</f>
        <v>BLACK</v>
      </c>
      <c r="G4936" s="20" t="str">
        <f>IFERROR(__xludf.DUMMYFUNCTION("""COMPUTED_VALUE"""),"Uncle Sams Cider (04/04/2023)")</f>
        <v>Uncle Sams Cider (04/04/2023)</v>
      </c>
      <c r="H4936" s="19"/>
    </row>
    <row r="4937">
      <c r="A4937" s="9"/>
      <c r="B4937" s="15"/>
      <c r="C4937" s="9">
        <f>IFERROR(__xludf.DUMMYFUNCTION("""COMPUTED_VALUE"""),45092.9033870949)</f>
        <v>45092.90339</v>
      </c>
      <c r="D4937" s="15">
        <f>IFERROR(__xludf.DUMMYFUNCTION("""COMPUTED_VALUE"""),1.006)</f>
        <v>1.006</v>
      </c>
      <c r="E4937" s="16">
        <f>IFERROR(__xludf.DUMMYFUNCTION("""COMPUTED_VALUE"""),69.0)</f>
        <v>69</v>
      </c>
      <c r="F4937" s="19" t="str">
        <f>IFERROR(__xludf.DUMMYFUNCTION("""COMPUTED_VALUE"""),"BLACK")</f>
        <v>BLACK</v>
      </c>
      <c r="G4937" s="20" t="str">
        <f>IFERROR(__xludf.DUMMYFUNCTION("""COMPUTED_VALUE"""),"Uncle Sams Cider (04/04/2023)")</f>
        <v>Uncle Sams Cider (04/04/2023)</v>
      </c>
      <c r="H4937" s="19"/>
    </row>
    <row r="4938">
      <c r="A4938" s="9"/>
      <c r="B4938" s="15"/>
      <c r="C4938" s="9">
        <f>IFERROR(__xludf.DUMMYFUNCTION("""COMPUTED_VALUE"""),45092.89295375)</f>
        <v>45092.89295</v>
      </c>
      <c r="D4938" s="15">
        <f>IFERROR(__xludf.DUMMYFUNCTION("""COMPUTED_VALUE"""),1.006)</f>
        <v>1.006</v>
      </c>
      <c r="E4938" s="16">
        <f>IFERROR(__xludf.DUMMYFUNCTION("""COMPUTED_VALUE"""),69.0)</f>
        <v>69</v>
      </c>
      <c r="F4938" s="19" t="str">
        <f>IFERROR(__xludf.DUMMYFUNCTION("""COMPUTED_VALUE"""),"BLACK")</f>
        <v>BLACK</v>
      </c>
      <c r="G4938" s="20" t="str">
        <f>IFERROR(__xludf.DUMMYFUNCTION("""COMPUTED_VALUE"""),"Uncle Sams Cider (04/04/2023)")</f>
        <v>Uncle Sams Cider (04/04/2023)</v>
      </c>
      <c r="H4938" s="19"/>
    </row>
    <row r="4939">
      <c r="A4939" s="9"/>
      <c r="B4939" s="15"/>
      <c r="C4939" s="9">
        <f>IFERROR(__xludf.DUMMYFUNCTION("""COMPUTED_VALUE"""),45092.8825334606)</f>
        <v>45092.88253</v>
      </c>
      <c r="D4939" s="15">
        <f>IFERROR(__xludf.DUMMYFUNCTION("""COMPUTED_VALUE"""),1.006)</f>
        <v>1.006</v>
      </c>
      <c r="E4939" s="16">
        <f>IFERROR(__xludf.DUMMYFUNCTION("""COMPUTED_VALUE"""),69.0)</f>
        <v>69</v>
      </c>
      <c r="F4939" s="19" t="str">
        <f>IFERROR(__xludf.DUMMYFUNCTION("""COMPUTED_VALUE"""),"BLACK")</f>
        <v>BLACK</v>
      </c>
      <c r="G4939" s="20" t="str">
        <f>IFERROR(__xludf.DUMMYFUNCTION("""COMPUTED_VALUE"""),"Uncle Sams Cider (04/04/2023)")</f>
        <v>Uncle Sams Cider (04/04/2023)</v>
      </c>
      <c r="H4939" s="19"/>
    </row>
    <row r="4940">
      <c r="A4940" s="9"/>
      <c r="B4940" s="15"/>
      <c r="C4940" s="9">
        <f>IFERROR(__xludf.DUMMYFUNCTION("""COMPUTED_VALUE"""),45092.8721001388)</f>
        <v>45092.8721</v>
      </c>
      <c r="D4940" s="15">
        <f>IFERROR(__xludf.DUMMYFUNCTION("""COMPUTED_VALUE"""),1.006)</f>
        <v>1.006</v>
      </c>
      <c r="E4940" s="16">
        <f>IFERROR(__xludf.DUMMYFUNCTION("""COMPUTED_VALUE"""),69.0)</f>
        <v>69</v>
      </c>
      <c r="F4940" s="19" t="str">
        <f>IFERROR(__xludf.DUMMYFUNCTION("""COMPUTED_VALUE"""),"BLACK")</f>
        <v>BLACK</v>
      </c>
      <c r="G4940" s="20" t="str">
        <f>IFERROR(__xludf.DUMMYFUNCTION("""COMPUTED_VALUE"""),"Uncle Sams Cider (04/04/2023)")</f>
        <v>Uncle Sams Cider (04/04/2023)</v>
      </c>
      <c r="H4940" s="19"/>
    </row>
    <row r="4941">
      <c r="A4941" s="9"/>
      <c r="B4941" s="15"/>
      <c r="C4941" s="9">
        <f>IFERROR(__xludf.DUMMYFUNCTION("""COMPUTED_VALUE"""),45092.8616793865)</f>
        <v>45092.86168</v>
      </c>
      <c r="D4941" s="15">
        <f>IFERROR(__xludf.DUMMYFUNCTION("""COMPUTED_VALUE"""),1.006)</f>
        <v>1.006</v>
      </c>
      <c r="E4941" s="16">
        <f>IFERROR(__xludf.DUMMYFUNCTION("""COMPUTED_VALUE"""),69.0)</f>
        <v>69</v>
      </c>
      <c r="F4941" s="19" t="str">
        <f>IFERROR(__xludf.DUMMYFUNCTION("""COMPUTED_VALUE"""),"BLACK")</f>
        <v>BLACK</v>
      </c>
      <c r="G4941" s="20" t="str">
        <f>IFERROR(__xludf.DUMMYFUNCTION("""COMPUTED_VALUE"""),"Uncle Sams Cider (04/04/2023)")</f>
        <v>Uncle Sams Cider (04/04/2023)</v>
      </c>
      <c r="H4941" s="19"/>
    </row>
    <row r="4942">
      <c r="A4942" s="9"/>
      <c r="B4942" s="15"/>
      <c r="C4942" s="9">
        <f>IFERROR(__xludf.DUMMYFUNCTION("""COMPUTED_VALUE"""),45092.8512581018)</f>
        <v>45092.85126</v>
      </c>
      <c r="D4942" s="15">
        <f>IFERROR(__xludf.DUMMYFUNCTION("""COMPUTED_VALUE"""),1.006)</f>
        <v>1.006</v>
      </c>
      <c r="E4942" s="16">
        <f>IFERROR(__xludf.DUMMYFUNCTION("""COMPUTED_VALUE"""),69.0)</f>
        <v>69</v>
      </c>
      <c r="F4942" s="19" t="str">
        <f>IFERROR(__xludf.DUMMYFUNCTION("""COMPUTED_VALUE"""),"BLACK")</f>
        <v>BLACK</v>
      </c>
      <c r="G4942" s="20" t="str">
        <f>IFERROR(__xludf.DUMMYFUNCTION("""COMPUTED_VALUE"""),"Uncle Sams Cider (04/04/2023)")</f>
        <v>Uncle Sams Cider (04/04/2023)</v>
      </c>
      <c r="H4942" s="19"/>
    </row>
    <row r="4943">
      <c r="A4943" s="9"/>
      <c r="B4943" s="15"/>
      <c r="C4943" s="9">
        <f>IFERROR(__xludf.DUMMYFUNCTION("""COMPUTED_VALUE"""),45092.8408381828)</f>
        <v>45092.84084</v>
      </c>
      <c r="D4943" s="15">
        <f>IFERROR(__xludf.DUMMYFUNCTION("""COMPUTED_VALUE"""),1.006)</f>
        <v>1.006</v>
      </c>
      <c r="E4943" s="16">
        <f>IFERROR(__xludf.DUMMYFUNCTION("""COMPUTED_VALUE"""),69.0)</f>
        <v>69</v>
      </c>
      <c r="F4943" s="19" t="str">
        <f>IFERROR(__xludf.DUMMYFUNCTION("""COMPUTED_VALUE"""),"BLACK")</f>
        <v>BLACK</v>
      </c>
      <c r="G4943" s="20" t="str">
        <f>IFERROR(__xludf.DUMMYFUNCTION("""COMPUTED_VALUE"""),"Uncle Sams Cider (04/04/2023)")</f>
        <v>Uncle Sams Cider (04/04/2023)</v>
      </c>
      <c r="H4943" s="19"/>
    </row>
    <row r="4944">
      <c r="A4944" s="9"/>
      <c r="B4944" s="15"/>
      <c r="C4944" s="9">
        <f>IFERROR(__xludf.DUMMYFUNCTION("""COMPUTED_VALUE"""),45092.8304070833)</f>
        <v>45092.83041</v>
      </c>
      <c r="D4944" s="15">
        <f>IFERROR(__xludf.DUMMYFUNCTION("""COMPUTED_VALUE"""),1.006)</f>
        <v>1.006</v>
      </c>
      <c r="E4944" s="16">
        <f>IFERROR(__xludf.DUMMYFUNCTION("""COMPUTED_VALUE"""),69.0)</f>
        <v>69</v>
      </c>
      <c r="F4944" s="19" t="str">
        <f>IFERROR(__xludf.DUMMYFUNCTION("""COMPUTED_VALUE"""),"BLACK")</f>
        <v>BLACK</v>
      </c>
      <c r="G4944" s="20" t="str">
        <f>IFERROR(__xludf.DUMMYFUNCTION("""COMPUTED_VALUE"""),"Uncle Sams Cider (04/04/2023)")</f>
        <v>Uncle Sams Cider (04/04/2023)</v>
      </c>
      <c r="H4944" s="19"/>
    </row>
    <row r="4945">
      <c r="A4945" s="9"/>
      <c r="B4945" s="15"/>
      <c r="C4945" s="9">
        <f>IFERROR(__xludf.DUMMYFUNCTION("""COMPUTED_VALUE"""),45092.8199852662)</f>
        <v>45092.81999</v>
      </c>
      <c r="D4945" s="15">
        <f>IFERROR(__xludf.DUMMYFUNCTION("""COMPUTED_VALUE"""),1.006)</f>
        <v>1.006</v>
      </c>
      <c r="E4945" s="16">
        <f>IFERROR(__xludf.DUMMYFUNCTION("""COMPUTED_VALUE"""),69.0)</f>
        <v>69</v>
      </c>
      <c r="F4945" s="19" t="str">
        <f>IFERROR(__xludf.DUMMYFUNCTION("""COMPUTED_VALUE"""),"BLACK")</f>
        <v>BLACK</v>
      </c>
      <c r="G4945" s="20" t="str">
        <f>IFERROR(__xludf.DUMMYFUNCTION("""COMPUTED_VALUE"""),"Uncle Sams Cider (04/04/2023)")</f>
        <v>Uncle Sams Cider (04/04/2023)</v>
      </c>
      <c r="H4945" s="19"/>
    </row>
    <row r="4946">
      <c r="A4946" s="9"/>
      <c r="B4946" s="15"/>
      <c r="C4946" s="9">
        <f>IFERROR(__xludf.DUMMYFUNCTION("""COMPUTED_VALUE"""),45092.8095546412)</f>
        <v>45092.80955</v>
      </c>
      <c r="D4946" s="15">
        <f>IFERROR(__xludf.DUMMYFUNCTION("""COMPUTED_VALUE"""),1.006)</f>
        <v>1.006</v>
      </c>
      <c r="E4946" s="16">
        <f>IFERROR(__xludf.DUMMYFUNCTION("""COMPUTED_VALUE"""),69.0)</f>
        <v>69</v>
      </c>
      <c r="F4946" s="19" t="str">
        <f>IFERROR(__xludf.DUMMYFUNCTION("""COMPUTED_VALUE"""),"BLACK")</f>
        <v>BLACK</v>
      </c>
      <c r="G4946" s="20" t="str">
        <f>IFERROR(__xludf.DUMMYFUNCTION("""COMPUTED_VALUE"""),"Uncle Sams Cider (04/04/2023)")</f>
        <v>Uncle Sams Cider (04/04/2023)</v>
      </c>
      <c r="H4946" s="19"/>
    </row>
    <row r="4947">
      <c r="A4947" s="9"/>
      <c r="B4947" s="15"/>
      <c r="C4947" s="9">
        <f>IFERROR(__xludf.DUMMYFUNCTION("""COMPUTED_VALUE"""),45092.7991332407)</f>
        <v>45092.79913</v>
      </c>
      <c r="D4947" s="15">
        <f>IFERROR(__xludf.DUMMYFUNCTION("""COMPUTED_VALUE"""),1.006)</f>
        <v>1.006</v>
      </c>
      <c r="E4947" s="16">
        <f>IFERROR(__xludf.DUMMYFUNCTION("""COMPUTED_VALUE"""),69.0)</f>
        <v>69</v>
      </c>
      <c r="F4947" s="19" t="str">
        <f>IFERROR(__xludf.DUMMYFUNCTION("""COMPUTED_VALUE"""),"BLACK")</f>
        <v>BLACK</v>
      </c>
      <c r="G4947" s="20" t="str">
        <f>IFERROR(__xludf.DUMMYFUNCTION("""COMPUTED_VALUE"""),"Uncle Sams Cider (04/04/2023)")</f>
        <v>Uncle Sams Cider (04/04/2023)</v>
      </c>
      <c r="H4947" s="19"/>
    </row>
    <row r="4948">
      <c r="A4948" s="9"/>
      <c r="B4948" s="15"/>
      <c r="C4948" s="9">
        <f>IFERROR(__xludf.DUMMYFUNCTION("""COMPUTED_VALUE"""),45092.7887009722)</f>
        <v>45092.7887</v>
      </c>
      <c r="D4948" s="15">
        <f>IFERROR(__xludf.DUMMYFUNCTION("""COMPUTED_VALUE"""),1.006)</f>
        <v>1.006</v>
      </c>
      <c r="E4948" s="16">
        <f>IFERROR(__xludf.DUMMYFUNCTION("""COMPUTED_VALUE"""),69.0)</f>
        <v>69</v>
      </c>
      <c r="F4948" s="19" t="str">
        <f>IFERROR(__xludf.DUMMYFUNCTION("""COMPUTED_VALUE"""),"BLACK")</f>
        <v>BLACK</v>
      </c>
      <c r="G4948" s="20" t="str">
        <f>IFERROR(__xludf.DUMMYFUNCTION("""COMPUTED_VALUE"""),"Uncle Sams Cider (04/04/2023)")</f>
        <v>Uncle Sams Cider (04/04/2023)</v>
      </c>
      <c r="H4948" s="19"/>
    </row>
    <row r="4949">
      <c r="A4949" s="9"/>
      <c r="B4949" s="15"/>
      <c r="C4949" s="9">
        <f>IFERROR(__xludf.DUMMYFUNCTION("""COMPUTED_VALUE"""),45092.7782788426)</f>
        <v>45092.77828</v>
      </c>
      <c r="D4949" s="15">
        <f>IFERROR(__xludf.DUMMYFUNCTION("""COMPUTED_VALUE"""),1.006)</f>
        <v>1.006</v>
      </c>
      <c r="E4949" s="16">
        <f>IFERROR(__xludf.DUMMYFUNCTION("""COMPUTED_VALUE"""),69.0)</f>
        <v>69</v>
      </c>
      <c r="F4949" s="19" t="str">
        <f>IFERROR(__xludf.DUMMYFUNCTION("""COMPUTED_VALUE"""),"BLACK")</f>
        <v>BLACK</v>
      </c>
      <c r="G4949" s="20" t="str">
        <f>IFERROR(__xludf.DUMMYFUNCTION("""COMPUTED_VALUE"""),"Uncle Sams Cider (04/04/2023)")</f>
        <v>Uncle Sams Cider (04/04/2023)</v>
      </c>
      <c r="H4949" s="19"/>
    </row>
    <row r="4950">
      <c r="A4950" s="9"/>
      <c r="B4950" s="15"/>
      <c r="C4950" s="9">
        <f>IFERROR(__xludf.DUMMYFUNCTION("""COMPUTED_VALUE"""),45092.7678574652)</f>
        <v>45092.76786</v>
      </c>
      <c r="D4950" s="15">
        <f>IFERROR(__xludf.DUMMYFUNCTION("""COMPUTED_VALUE"""),1.006)</f>
        <v>1.006</v>
      </c>
      <c r="E4950" s="16">
        <f>IFERROR(__xludf.DUMMYFUNCTION("""COMPUTED_VALUE"""),69.0)</f>
        <v>69</v>
      </c>
      <c r="F4950" s="19" t="str">
        <f>IFERROR(__xludf.DUMMYFUNCTION("""COMPUTED_VALUE"""),"BLACK")</f>
        <v>BLACK</v>
      </c>
      <c r="G4950" s="20" t="str">
        <f>IFERROR(__xludf.DUMMYFUNCTION("""COMPUTED_VALUE"""),"Uncle Sams Cider (04/04/2023)")</f>
        <v>Uncle Sams Cider (04/04/2023)</v>
      </c>
      <c r="H4950" s="19"/>
    </row>
    <row r="4951">
      <c r="A4951" s="9"/>
      <c r="B4951" s="15"/>
      <c r="C4951" s="9">
        <f>IFERROR(__xludf.DUMMYFUNCTION("""COMPUTED_VALUE"""),45092.7574382523)</f>
        <v>45092.75744</v>
      </c>
      <c r="D4951" s="15">
        <f>IFERROR(__xludf.DUMMYFUNCTION("""COMPUTED_VALUE"""),1.006)</f>
        <v>1.006</v>
      </c>
      <c r="E4951" s="16">
        <f>IFERROR(__xludf.DUMMYFUNCTION("""COMPUTED_VALUE"""),69.0)</f>
        <v>69</v>
      </c>
      <c r="F4951" s="19" t="str">
        <f>IFERROR(__xludf.DUMMYFUNCTION("""COMPUTED_VALUE"""),"BLACK")</f>
        <v>BLACK</v>
      </c>
      <c r="G4951" s="20" t="str">
        <f>IFERROR(__xludf.DUMMYFUNCTION("""COMPUTED_VALUE"""),"Uncle Sams Cider (04/04/2023)")</f>
        <v>Uncle Sams Cider (04/04/2023)</v>
      </c>
      <c r="H4951" s="19"/>
    </row>
    <row r="4952">
      <c r="A4952" s="9"/>
      <c r="B4952" s="15"/>
      <c r="C4952" s="9">
        <f>IFERROR(__xludf.DUMMYFUNCTION("""COMPUTED_VALUE"""),45092.7470055671)</f>
        <v>45092.74701</v>
      </c>
      <c r="D4952" s="15">
        <f>IFERROR(__xludf.DUMMYFUNCTION("""COMPUTED_VALUE"""),1.006)</f>
        <v>1.006</v>
      </c>
      <c r="E4952" s="16">
        <f>IFERROR(__xludf.DUMMYFUNCTION("""COMPUTED_VALUE"""),69.0)</f>
        <v>69</v>
      </c>
      <c r="F4952" s="19" t="str">
        <f>IFERROR(__xludf.DUMMYFUNCTION("""COMPUTED_VALUE"""),"BLACK")</f>
        <v>BLACK</v>
      </c>
      <c r="G4952" s="20" t="str">
        <f>IFERROR(__xludf.DUMMYFUNCTION("""COMPUTED_VALUE"""),"Uncle Sams Cider (04/04/2023)")</f>
        <v>Uncle Sams Cider (04/04/2023)</v>
      </c>
      <c r="H4952" s="19"/>
    </row>
    <row r="4953">
      <c r="A4953" s="9"/>
      <c r="B4953" s="15"/>
      <c r="C4953" s="9">
        <f>IFERROR(__xludf.DUMMYFUNCTION("""COMPUTED_VALUE"""),45092.7365724305)</f>
        <v>45092.73657</v>
      </c>
      <c r="D4953" s="15">
        <f>IFERROR(__xludf.DUMMYFUNCTION("""COMPUTED_VALUE"""),1.006)</f>
        <v>1.006</v>
      </c>
      <c r="E4953" s="16">
        <f>IFERROR(__xludf.DUMMYFUNCTION("""COMPUTED_VALUE"""),69.0)</f>
        <v>69</v>
      </c>
      <c r="F4953" s="19" t="str">
        <f>IFERROR(__xludf.DUMMYFUNCTION("""COMPUTED_VALUE"""),"BLACK")</f>
        <v>BLACK</v>
      </c>
      <c r="G4953" s="20" t="str">
        <f>IFERROR(__xludf.DUMMYFUNCTION("""COMPUTED_VALUE"""),"Uncle Sams Cider (04/04/2023)")</f>
        <v>Uncle Sams Cider (04/04/2023)</v>
      </c>
      <c r="H4953" s="19"/>
    </row>
    <row r="4954">
      <c r="A4954" s="9"/>
      <c r="B4954" s="15"/>
      <c r="C4954" s="9">
        <f>IFERROR(__xludf.DUMMYFUNCTION("""COMPUTED_VALUE"""),45092.7261511111)</f>
        <v>45092.72615</v>
      </c>
      <c r="D4954" s="15">
        <f>IFERROR(__xludf.DUMMYFUNCTION("""COMPUTED_VALUE"""),1.006)</f>
        <v>1.006</v>
      </c>
      <c r="E4954" s="16">
        <f>IFERROR(__xludf.DUMMYFUNCTION("""COMPUTED_VALUE"""),69.0)</f>
        <v>69</v>
      </c>
      <c r="F4954" s="19" t="str">
        <f>IFERROR(__xludf.DUMMYFUNCTION("""COMPUTED_VALUE"""),"BLACK")</f>
        <v>BLACK</v>
      </c>
      <c r="G4954" s="20" t="str">
        <f>IFERROR(__xludf.DUMMYFUNCTION("""COMPUTED_VALUE"""),"Uncle Sams Cider (04/04/2023)")</f>
        <v>Uncle Sams Cider (04/04/2023)</v>
      </c>
      <c r="H4954" s="19"/>
    </row>
    <row r="4955">
      <c r="A4955" s="9"/>
      <c r="B4955" s="15"/>
      <c r="C4955" s="9">
        <f>IFERROR(__xludf.DUMMYFUNCTION("""COMPUTED_VALUE"""),45092.7157298958)</f>
        <v>45092.71573</v>
      </c>
      <c r="D4955" s="15">
        <f>IFERROR(__xludf.DUMMYFUNCTION("""COMPUTED_VALUE"""),1.006)</f>
        <v>1.006</v>
      </c>
      <c r="E4955" s="16">
        <f>IFERROR(__xludf.DUMMYFUNCTION("""COMPUTED_VALUE"""),69.0)</f>
        <v>69</v>
      </c>
      <c r="F4955" s="19" t="str">
        <f>IFERROR(__xludf.DUMMYFUNCTION("""COMPUTED_VALUE"""),"BLACK")</f>
        <v>BLACK</v>
      </c>
      <c r="G4955" s="20" t="str">
        <f>IFERROR(__xludf.DUMMYFUNCTION("""COMPUTED_VALUE"""),"Uncle Sams Cider (04/04/2023)")</f>
        <v>Uncle Sams Cider (04/04/2023)</v>
      </c>
      <c r="H4955" s="19"/>
    </row>
    <row r="4956">
      <c r="A4956" s="9"/>
      <c r="B4956" s="15"/>
      <c r="C4956" s="9">
        <f>IFERROR(__xludf.DUMMYFUNCTION("""COMPUTED_VALUE"""),45092.7052989236)</f>
        <v>45092.7053</v>
      </c>
      <c r="D4956" s="15">
        <f>IFERROR(__xludf.DUMMYFUNCTION("""COMPUTED_VALUE"""),1.006)</f>
        <v>1.006</v>
      </c>
      <c r="E4956" s="16">
        <f>IFERROR(__xludf.DUMMYFUNCTION("""COMPUTED_VALUE"""),69.0)</f>
        <v>69</v>
      </c>
      <c r="F4956" s="19" t="str">
        <f>IFERROR(__xludf.DUMMYFUNCTION("""COMPUTED_VALUE"""),"BLACK")</f>
        <v>BLACK</v>
      </c>
      <c r="G4956" s="20" t="str">
        <f>IFERROR(__xludf.DUMMYFUNCTION("""COMPUTED_VALUE"""),"Uncle Sams Cider (04/04/2023)")</f>
        <v>Uncle Sams Cider (04/04/2023)</v>
      </c>
      <c r="H4956" s="19"/>
    </row>
    <row r="4957">
      <c r="A4957" s="9"/>
      <c r="B4957" s="15"/>
      <c r="C4957" s="9">
        <f>IFERROR(__xludf.DUMMYFUNCTION("""COMPUTED_VALUE"""),45092.6948781828)</f>
        <v>45092.69488</v>
      </c>
      <c r="D4957" s="15">
        <f>IFERROR(__xludf.DUMMYFUNCTION("""COMPUTED_VALUE"""),1.006)</f>
        <v>1.006</v>
      </c>
      <c r="E4957" s="16">
        <f>IFERROR(__xludf.DUMMYFUNCTION("""COMPUTED_VALUE"""),69.0)</f>
        <v>69</v>
      </c>
      <c r="F4957" s="19" t="str">
        <f>IFERROR(__xludf.DUMMYFUNCTION("""COMPUTED_VALUE"""),"BLACK")</f>
        <v>BLACK</v>
      </c>
      <c r="G4957" s="20" t="str">
        <f>IFERROR(__xludf.DUMMYFUNCTION("""COMPUTED_VALUE"""),"Uncle Sams Cider (04/04/2023)")</f>
        <v>Uncle Sams Cider (04/04/2023)</v>
      </c>
      <c r="H4957" s="19"/>
    </row>
    <row r="4958">
      <c r="A4958" s="9"/>
      <c r="B4958" s="15"/>
      <c r="C4958" s="9">
        <f>IFERROR(__xludf.DUMMYFUNCTION("""COMPUTED_VALUE"""),45092.6844569675)</f>
        <v>45092.68446</v>
      </c>
      <c r="D4958" s="15">
        <f>IFERROR(__xludf.DUMMYFUNCTION("""COMPUTED_VALUE"""),1.006)</f>
        <v>1.006</v>
      </c>
      <c r="E4958" s="16">
        <f>IFERROR(__xludf.DUMMYFUNCTION("""COMPUTED_VALUE"""),69.0)</f>
        <v>69</v>
      </c>
      <c r="F4958" s="19" t="str">
        <f>IFERROR(__xludf.DUMMYFUNCTION("""COMPUTED_VALUE"""),"BLACK")</f>
        <v>BLACK</v>
      </c>
      <c r="G4958" s="20" t="str">
        <f>IFERROR(__xludf.DUMMYFUNCTION("""COMPUTED_VALUE"""),"Uncle Sams Cider (04/04/2023)")</f>
        <v>Uncle Sams Cider (04/04/2023)</v>
      </c>
      <c r="H4958" s="19"/>
    </row>
    <row r="4959">
      <c r="A4959" s="9"/>
      <c r="B4959" s="15"/>
      <c r="C4959" s="9">
        <f>IFERROR(__xludf.DUMMYFUNCTION("""COMPUTED_VALUE"""),45092.6740354282)</f>
        <v>45092.67404</v>
      </c>
      <c r="D4959" s="15">
        <f>IFERROR(__xludf.DUMMYFUNCTION("""COMPUTED_VALUE"""),1.006)</f>
        <v>1.006</v>
      </c>
      <c r="E4959" s="16">
        <f>IFERROR(__xludf.DUMMYFUNCTION("""COMPUTED_VALUE"""),69.0)</f>
        <v>69</v>
      </c>
      <c r="F4959" s="19" t="str">
        <f>IFERROR(__xludf.DUMMYFUNCTION("""COMPUTED_VALUE"""),"BLACK")</f>
        <v>BLACK</v>
      </c>
      <c r="G4959" s="20" t="str">
        <f>IFERROR(__xludf.DUMMYFUNCTION("""COMPUTED_VALUE"""),"Uncle Sams Cider (04/04/2023)")</f>
        <v>Uncle Sams Cider (04/04/2023)</v>
      </c>
      <c r="H4959" s="19"/>
    </row>
    <row r="4960">
      <c r="A4960" s="9"/>
      <c r="B4960" s="15"/>
      <c r="C4960" s="9">
        <f>IFERROR(__xludf.DUMMYFUNCTION("""COMPUTED_VALUE"""),45092.6636149305)</f>
        <v>45092.66361</v>
      </c>
      <c r="D4960" s="15">
        <f>IFERROR(__xludf.DUMMYFUNCTION("""COMPUTED_VALUE"""),1.006)</f>
        <v>1.006</v>
      </c>
      <c r="E4960" s="16">
        <f>IFERROR(__xludf.DUMMYFUNCTION("""COMPUTED_VALUE"""),69.0)</f>
        <v>69</v>
      </c>
      <c r="F4960" s="19" t="str">
        <f>IFERROR(__xludf.DUMMYFUNCTION("""COMPUTED_VALUE"""),"BLACK")</f>
        <v>BLACK</v>
      </c>
      <c r="G4960" s="20" t="str">
        <f>IFERROR(__xludf.DUMMYFUNCTION("""COMPUTED_VALUE"""),"Uncle Sams Cider (04/04/2023)")</f>
        <v>Uncle Sams Cider (04/04/2023)</v>
      </c>
      <c r="H4960" s="19"/>
    </row>
    <row r="4961">
      <c r="A4961" s="9"/>
      <c r="B4961" s="15"/>
      <c r="C4961" s="9">
        <f>IFERROR(__xludf.DUMMYFUNCTION("""COMPUTED_VALUE"""),45092.6531942592)</f>
        <v>45092.65319</v>
      </c>
      <c r="D4961" s="15">
        <f>IFERROR(__xludf.DUMMYFUNCTION("""COMPUTED_VALUE"""),1.006)</f>
        <v>1.006</v>
      </c>
      <c r="E4961" s="16">
        <f>IFERROR(__xludf.DUMMYFUNCTION("""COMPUTED_VALUE"""),69.0)</f>
        <v>69</v>
      </c>
      <c r="F4961" s="19" t="str">
        <f>IFERROR(__xludf.DUMMYFUNCTION("""COMPUTED_VALUE"""),"BLACK")</f>
        <v>BLACK</v>
      </c>
      <c r="G4961" s="20" t="str">
        <f>IFERROR(__xludf.DUMMYFUNCTION("""COMPUTED_VALUE"""),"Uncle Sams Cider (04/04/2023)")</f>
        <v>Uncle Sams Cider (04/04/2023)</v>
      </c>
      <c r="H4961" s="19"/>
    </row>
    <row r="4962">
      <c r="A4962" s="9"/>
      <c r="B4962" s="15"/>
      <c r="C4962" s="9">
        <f>IFERROR(__xludf.DUMMYFUNCTION("""COMPUTED_VALUE"""),45092.642772662)</f>
        <v>45092.64277</v>
      </c>
      <c r="D4962" s="15">
        <f>IFERROR(__xludf.DUMMYFUNCTION("""COMPUTED_VALUE"""),1.006)</f>
        <v>1.006</v>
      </c>
      <c r="E4962" s="16">
        <f>IFERROR(__xludf.DUMMYFUNCTION("""COMPUTED_VALUE"""),69.0)</f>
        <v>69</v>
      </c>
      <c r="F4962" s="19" t="str">
        <f>IFERROR(__xludf.DUMMYFUNCTION("""COMPUTED_VALUE"""),"BLACK")</f>
        <v>BLACK</v>
      </c>
      <c r="G4962" s="20" t="str">
        <f>IFERROR(__xludf.DUMMYFUNCTION("""COMPUTED_VALUE"""),"Uncle Sams Cider (04/04/2023)")</f>
        <v>Uncle Sams Cider (04/04/2023)</v>
      </c>
      <c r="H4962" s="19"/>
    </row>
    <row r="4963">
      <c r="A4963" s="9"/>
      <c r="B4963" s="15"/>
      <c r="C4963" s="9">
        <f>IFERROR(__xludf.DUMMYFUNCTION("""COMPUTED_VALUE"""),45092.632350324)</f>
        <v>45092.63235</v>
      </c>
      <c r="D4963" s="15">
        <f>IFERROR(__xludf.DUMMYFUNCTION("""COMPUTED_VALUE"""),1.006)</f>
        <v>1.006</v>
      </c>
      <c r="E4963" s="16">
        <f>IFERROR(__xludf.DUMMYFUNCTION("""COMPUTED_VALUE"""),69.0)</f>
        <v>69</v>
      </c>
      <c r="F4963" s="19" t="str">
        <f>IFERROR(__xludf.DUMMYFUNCTION("""COMPUTED_VALUE"""),"BLACK")</f>
        <v>BLACK</v>
      </c>
      <c r="G4963" s="20" t="str">
        <f>IFERROR(__xludf.DUMMYFUNCTION("""COMPUTED_VALUE"""),"Uncle Sams Cider (04/04/2023)")</f>
        <v>Uncle Sams Cider (04/04/2023)</v>
      </c>
      <c r="H4963" s="19"/>
    </row>
    <row r="4964">
      <c r="A4964" s="9"/>
      <c r="B4964" s="15"/>
      <c r="C4964" s="9">
        <f>IFERROR(__xludf.DUMMYFUNCTION("""COMPUTED_VALUE"""),45092.6219279514)</f>
        <v>45092.62193</v>
      </c>
      <c r="D4964" s="15">
        <f>IFERROR(__xludf.DUMMYFUNCTION("""COMPUTED_VALUE"""),1.006)</f>
        <v>1.006</v>
      </c>
      <c r="E4964" s="16">
        <f>IFERROR(__xludf.DUMMYFUNCTION("""COMPUTED_VALUE"""),69.0)</f>
        <v>69</v>
      </c>
      <c r="F4964" s="19" t="str">
        <f>IFERROR(__xludf.DUMMYFUNCTION("""COMPUTED_VALUE"""),"BLACK")</f>
        <v>BLACK</v>
      </c>
      <c r="G4964" s="20" t="str">
        <f>IFERROR(__xludf.DUMMYFUNCTION("""COMPUTED_VALUE"""),"Uncle Sams Cider (04/04/2023)")</f>
        <v>Uncle Sams Cider (04/04/2023)</v>
      </c>
      <c r="H4964" s="19"/>
    </row>
    <row r="4965">
      <c r="A4965" s="9"/>
      <c r="B4965" s="15"/>
      <c r="C4965" s="9">
        <f>IFERROR(__xludf.DUMMYFUNCTION("""COMPUTED_VALUE"""),45092.6115053935)</f>
        <v>45092.61151</v>
      </c>
      <c r="D4965" s="15">
        <f>IFERROR(__xludf.DUMMYFUNCTION("""COMPUTED_VALUE"""),1.006)</f>
        <v>1.006</v>
      </c>
      <c r="E4965" s="16">
        <f>IFERROR(__xludf.DUMMYFUNCTION("""COMPUTED_VALUE"""),69.0)</f>
        <v>69</v>
      </c>
      <c r="F4965" s="19" t="str">
        <f>IFERROR(__xludf.DUMMYFUNCTION("""COMPUTED_VALUE"""),"BLACK")</f>
        <v>BLACK</v>
      </c>
      <c r="G4965" s="20" t="str">
        <f>IFERROR(__xludf.DUMMYFUNCTION("""COMPUTED_VALUE"""),"Uncle Sams Cider (04/04/2023)")</f>
        <v>Uncle Sams Cider (04/04/2023)</v>
      </c>
      <c r="H4965" s="19"/>
    </row>
    <row r="4966">
      <c r="A4966" s="9"/>
      <c r="B4966" s="15"/>
      <c r="C4966" s="9">
        <f>IFERROR(__xludf.DUMMYFUNCTION("""COMPUTED_VALUE"""),45092.6010851388)</f>
        <v>45092.60109</v>
      </c>
      <c r="D4966" s="15">
        <f>IFERROR(__xludf.DUMMYFUNCTION("""COMPUTED_VALUE"""),1.006)</f>
        <v>1.006</v>
      </c>
      <c r="E4966" s="16">
        <f>IFERROR(__xludf.DUMMYFUNCTION("""COMPUTED_VALUE"""),69.0)</f>
        <v>69</v>
      </c>
      <c r="F4966" s="19" t="str">
        <f>IFERROR(__xludf.DUMMYFUNCTION("""COMPUTED_VALUE"""),"BLACK")</f>
        <v>BLACK</v>
      </c>
      <c r="G4966" s="20" t="str">
        <f>IFERROR(__xludf.DUMMYFUNCTION("""COMPUTED_VALUE"""),"Uncle Sams Cider (04/04/2023)")</f>
        <v>Uncle Sams Cider (04/04/2023)</v>
      </c>
      <c r="H4966" s="19"/>
    </row>
    <row r="4967">
      <c r="A4967" s="9"/>
      <c r="B4967" s="15"/>
      <c r="C4967" s="9">
        <f>IFERROR(__xludf.DUMMYFUNCTION("""COMPUTED_VALUE"""),45092.5906647453)</f>
        <v>45092.59066</v>
      </c>
      <c r="D4967" s="15">
        <f>IFERROR(__xludf.DUMMYFUNCTION("""COMPUTED_VALUE"""),1.006)</f>
        <v>1.006</v>
      </c>
      <c r="E4967" s="16">
        <f>IFERROR(__xludf.DUMMYFUNCTION("""COMPUTED_VALUE"""),69.0)</f>
        <v>69</v>
      </c>
      <c r="F4967" s="19" t="str">
        <f>IFERROR(__xludf.DUMMYFUNCTION("""COMPUTED_VALUE"""),"BLACK")</f>
        <v>BLACK</v>
      </c>
      <c r="G4967" s="20" t="str">
        <f>IFERROR(__xludf.DUMMYFUNCTION("""COMPUTED_VALUE"""),"Uncle Sams Cider (04/04/2023)")</f>
        <v>Uncle Sams Cider (04/04/2023)</v>
      </c>
      <c r="H4967" s="19"/>
    </row>
    <row r="4968">
      <c r="A4968" s="9"/>
      <c r="B4968" s="15"/>
      <c r="C4968" s="9">
        <f>IFERROR(__xludf.DUMMYFUNCTION("""COMPUTED_VALUE"""),45092.5802311921)</f>
        <v>45092.58023</v>
      </c>
      <c r="D4968" s="15">
        <f>IFERROR(__xludf.DUMMYFUNCTION("""COMPUTED_VALUE"""),1.006)</f>
        <v>1.006</v>
      </c>
      <c r="E4968" s="16">
        <f>IFERROR(__xludf.DUMMYFUNCTION("""COMPUTED_VALUE"""),69.0)</f>
        <v>69</v>
      </c>
      <c r="F4968" s="19" t="str">
        <f>IFERROR(__xludf.DUMMYFUNCTION("""COMPUTED_VALUE"""),"BLACK")</f>
        <v>BLACK</v>
      </c>
      <c r="G4968" s="20" t="str">
        <f>IFERROR(__xludf.DUMMYFUNCTION("""COMPUTED_VALUE"""),"Uncle Sams Cider (04/04/2023)")</f>
        <v>Uncle Sams Cider (04/04/2023)</v>
      </c>
      <c r="H4968" s="19"/>
    </row>
    <row r="4969">
      <c r="A4969" s="9"/>
      <c r="B4969" s="15"/>
      <c r="C4969" s="9">
        <f>IFERROR(__xludf.DUMMYFUNCTION("""COMPUTED_VALUE"""),45092.5698102546)</f>
        <v>45092.56981</v>
      </c>
      <c r="D4969" s="15">
        <f>IFERROR(__xludf.DUMMYFUNCTION("""COMPUTED_VALUE"""),1.006)</f>
        <v>1.006</v>
      </c>
      <c r="E4969" s="16">
        <f>IFERROR(__xludf.DUMMYFUNCTION("""COMPUTED_VALUE"""),69.0)</f>
        <v>69</v>
      </c>
      <c r="F4969" s="19" t="str">
        <f>IFERROR(__xludf.DUMMYFUNCTION("""COMPUTED_VALUE"""),"BLACK")</f>
        <v>BLACK</v>
      </c>
      <c r="G4969" s="20" t="str">
        <f>IFERROR(__xludf.DUMMYFUNCTION("""COMPUTED_VALUE"""),"Uncle Sams Cider (04/04/2023)")</f>
        <v>Uncle Sams Cider (04/04/2023)</v>
      </c>
      <c r="H4969" s="19"/>
    </row>
    <row r="4970">
      <c r="A4970" s="9"/>
      <c r="B4970" s="15"/>
      <c r="C4970" s="9">
        <f>IFERROR(__xludf.DUMMYFUNCTION("""COMPUTED_VALUE"""),45092.5593908449)</f>
        <v>45092.55939</v>
      </c>
      <c r="D4970" s="15">
        <f>IFERROR(__xludf.DUMMYFUNCTION("""COMPUTED_VALUE"""),1.006)</f>
        <v>1.006</v>
      </c>
      <c r="E4970" s="16">
        <f>IFERROR(__xludf.DUMMYFUNCTION("""COMPUTED_VALUE"""),69.0)</f>
        <v>69</v>
      </c>
      <c r="F4970" s="19" t="str">
        <f>IFERROR(__xludf.DUMMYFUNCTION("""COMPUTED_VALUE"""),"BLACK")</f>
        <v>BLACK</v>
      </c>
      <c r="G4970" s="20" t="str">
        <f>IFERROR(__xludf.DUMMYFUNCTION("""COMPUTED_VALUE"""),"Uncle Sams Cider (04/04/2023)")</f>
        <v>Uncle Sams Cider (04/04/2023)</v>
      </c>
      <c r="H4970" s="19"/>
    </row>
    <row r="4971">
      <c r="A4971" s="9"/>
      <c r="B4971" s="15"/>
      <c r="C4971" s="9">
        <f>IFERROR(__xludf.DUMMYFUNCTION("""COMPUTED_VALUE"""),45092.5489685995)</f>
        <v>45092.54897</v>
      </c>
      <c r="D4971" s="15">
        <f>IFERROR(__xludf.DUMMYFUNCTION("""COMPUTED_VALUE"""),1.006)</f>
        <v>1.006</v>
      </c>
      <c r="E4971" s="16">
        <f>IFERROR(__xludf.DUMMYFUNCTION("""COMPUTED_VALUE"""),69.0)</f>
        <v>69</v>
      </c>
      <c r="F4971" s="19" t="str">
        <f>IFERROR(__xludf.DUMMYFUNCTION("""COMPUTED_VALUE"""),"BLACK")</f>
        <v>BLACK</v>
      </c>
      <c r="G4971" s="20" t="str">
        <f>IFERROR(__xludf.DUMMYFUNCTION("""COMPUTED_VALUE"""),"Uncle Sams Cider (04/04/2023)")</f>
        <v>Uncle Sams Cider (04/04/2023)</v>
      </c>
      <c r="H4971" s="19"/>
    </row>
    <row r="4972">
      <c r="A4972" s="9"/>
      <c r="B4972" s="15"/>
      <c r="C4972" s="9">
        <f>IFERROR(__xludf.DUMMYFUNCTION("""COMPUTED_VALUE"""),45092.53853625)</f>
        <v>45092.53854</v>
      </c>
      <c r="D4972" s="15">
        <f>IFERROR(__xludf.DUMMYFUNCTION("""COMPUTED_VALUE"""),1.006)</f>
        <v>1.006</v>
      </c>
      <c r="E4972" s="16">
        <f>IFERROR(__xludf.DUMMYFUNCTION("""COMPUTED_VALUE"""),69.0)</f>
        <v>69</v>
      </c>
      <c r="F4972" s="19" t="str">
        <f>IFERROR(__xludf.DUMMYFUNCTION("""COMPUTED_VALUE"""),"BLACK")</f>
        <v>BLACK</v>
      </c>
      <c r="G4972" s="20" t="str">
        <f>IFERROR(__xludf.DUMMYFUNCTION("""COMPUTED_VALUE"""),"Uncle Sams Cider (04/04/2023)")</f>
        <v>Uncle Sams Cider (04/04/2023)</v>
      </c>
      <c r="H4972" s="19"/>
    </row>
    <row r="4973">
      <c r="A4973" s="9"/>
      <c r="B4973" s="15"/>
      <c r="C4973" s="9">
        <f>IFERROR(__xludf.DUMMYFUNCTION("""COMPUTED_VALUE"""),45092.5281040046)</f>
        <v>45092.5281</v>
      </c>
      <c r="D4973" s="15">
        <f>IFERROR(__xludf.DUMMYFUNCTION("""COMPUTED_VALUE"""),1.006)</f>
        <v>1.006</v>
      </c>
      <c r="E4973" s="16">
        <f>IFERROR(__xludf.DUMMYFUNCTION("""COMPUTED_VALUE"""),69.0)</f>
        <v>69</v>
      </c>
      <c r="F4973" s="19" t="str">
        <f>IFERROR(__xludf.DUMMYFUNCTION("""COMPUTED_VALUE"""),"BLACK")</f>
        <v>BLACK</v>
      </c>
      <c r="G4973" s="20" t="str">
        <f>IFERROR(__xludf.DUMMYFUNCTION("""COMPUTED_VALUE"""),"Uncle Sams Cider (04/04/2023)")</f>
        <v>Uncle Sams Cider (04/04/2023)</v>
      </c>
      <c r="H4973" s="19"/>
    </row>
    <row r="4974">
      <c r="A4974" s="9"/>
      <c r="B4974" s="15"/>
      <c r="C4974" s="9">
        <f>IFERROR(__xludf.DUMMYFUNCTION("""COMPUTED_VALUE"""),45092.5176722338)</f>
        <v>45092.51767</v>
      </c>
      <c r="D4974" s="15">
        <f>IFERROR(__xludf.DUMMYFUNCTION("""COMPUTED_VALUE"""),1.006)</f>
        <v>1.006</v>
      </c>
      <c r="E4974" s="16">
        <f>IFERROR(__xludf.DUMMYFUNCTION("""COMPUTED_VALUE"""),69.0)</f>
        <v>69</v>
      </c>
      <c r="F4974" s="19" t="str">
        <f>IFERROR(__xludf.DUMMYFUNCTION("""COMPUTED_VALUE"""),"BLACK")</f>
        <v>BLACK</v>
      </c>
      <c r="G4974" s="20" t="str">
        <f>IFERROR(__xludf.DUMMYFUNCTION("""COMPUTED_VALUE"""),"Uncle Sams Cider (04/04/2023)")</f>
        <v>Uncle Sams Cider (04/04/2023)</v>
      </c>
      <c r="H4974" s="19"/>
    </row>
    <row r="4975">
      <c r="A4975" s="9"/>
      <c r="B4975" s="15"/>
      <c r="C4975" s="9">
        <f>IFERROR(__xludf.DUMMYFUNCTION("""COMPUTED_VALUE"""),45092.5072509143)</f>
        <v>45092.50725</v>
      </c>
      <c r="D4975" s="15">
        <f>IFERROR(__xludf.DUMMYFUNCTION("""COMPUTED_VALUE"""),1.006)</f>
        <v>1.006</v>
      </c>
      <c r="E4975" s="16">
        <f>IFERROR(__xludf.DUMMYFUNCTION("""COMPUTED_VALUE"""),69.0)</f>
        <v>69</v>
      </c>
      <c r="F4975" s="19" t="str">
        <f>IFERROR(__xludf.DUMMYFUNCTION("""COMPUTED_VALUE"""),"BLACK")</f>
        <v>BLACK</v>
      </c>
      <c r="G4975" s="20" t="str">
        <f>IFERROR(__xludf.DUMMYFUNCTION("""COMPUTED_VALUE"""),"Uncle Sams Cider (04/04/2023)")</f>
        <v>Uncle Sams Cider (04/04/2023)</v>
      </c>
      <c r="H4975" s="19"/>
    </row>
    <row r="4976">
      <c r="A4976" s="9"/>
      <c r="B4976" s="15"/>
      <c r="C4976" s="9">
        <f>IFERROR(__xludf.DUMMYFUNCTION("""COMPUTED_VALUE"""),45092.4968307754)</f>
        <v>45092.49683</v>
      </c>
      <c r="D4976" s="15">
        <f>IFERROR(__xludf.DUMMYFUNCTION("""COMPUTED_VALUE"""),1.006)</f>
        <v>1.006</v>
      </c>
      <c r="E4976" s="16">
        <f>IFERROR(__xludf.DUMMYFUNCTION("""COMPUTED_VALUE"""),69.0)</f>
        <v>69</v>
      </c>
      <c r="F4976" s="19" t="str">
        <f>IFERROR(__xludf.DUMMYFUNCTION("""COMPUTED_VALUE"""),"BLACK")</f>
        <v>BLACK</v>
      </c>
      <c r="G4976" s="20" t="str">
        <f>IFERROR(__xludf.DUMMYFUNCTION("""COMPUTED_VALUE"""),"Uncle Sams Cider (04/04/2023)")</f>
        <v>Uncle Sams Cider (04/04/2023)</v>
      </c>
      <c r="H4976" s="19"/>
    </row>
    <row r="4977">
      <c r="A4977" s="9"/>
      <c r="B4977" s="15"/>
      <c r="C4977" s="9">
        <f>IFERROR(__xludf.DUMMYFUNCTION("""COMPUTED_VALUE"""),45092.4863997685)</f>
        <v>45092.4864</v>
      </c>
      <c r="D4977" s="15">
        <f>IFERROR(__xludf.DUMMYFUNCTION("""COMPUTED_VALUE"""),1.006)</f>
        <v>1.006</v>
      </c>
      <c r="E4977" s="16">
        <f>IFERROR(__xludf.DUMMYFUNCTION("""COMPUTED_VALUE"""),69.0)</f>
        <v>69</v>
      </c>
      <c r="F4977" s="19" t="str">
        <f>IFERROR(__xludf.DUMMYFUNCTION("""COMPUTED_VALUE"""),"BLACK")</f>
        <v>BLACK</v>
      </c>
      <c r="G4977" s="20" t="str">
        <f>IFERROR(__xludf.DUMMYFUNCTION("""COMPUTED_VALUE"""),"Uncle Sams Cider (04/04/2023)")</f>
        <v>Uncle Sams Cider (04/04/2023)</v>
      </c>
      <c r="H4977" s="19"/>
    </row>
    <row r="4978">
      <c r="A4978" s="9"/>
      <c r="B4978" s="15"/>
      <c r="C4978" s="9">
        <f>IFERROR(__xludf.DUMMYFUNCTION("""COMPUTED_VALUE"""),45092.4759667013)</f>
        <v>45092.47597</v>
      </c>
      <c r="D4978" s="15">
        <f>IFERROR(__xludf.DUMMYFUNCTION("""COMPUTED_VALUE"""),1.006)</f>
        <v>1.006</v>
      </c>
      <c r="E4978" s="16">
        <f>IFERROR(__xludf.DUMMYFUNCTION("""COMPUTED_VALUE"""),69.0)</f>
        <v>69</v>
      </c>
      <c r="F4978" s="19" t="str">
        <f>IFERROR(__xludf.DUMMYFUNCTION("""COMPUTED_VALUE"""),"BLACK")</f>
        <v>BLACK</v>
      </c>
      <c r="G4978" s="20" t="str">
        <f>IFERROR(__xludf.DUMMYFUNCTION("""COMPUTED_VALUE"""),"Uncle Sams Cider (04/04/2023)")</f>
        <v>Uncle Sams Cider (04/04/2023)</v>
      </c>
      <c r="H4978" s="19"/>
    </row>
    <row r="4979">
      <c r="A4979" s="9"/>
      <c r="B4979" s="15"/>
      <c r="C4979" s="9">
        <f>IFERROR(__xludf.DUMMYFUNCTION("""COMPUTED_VALUE"""),45092.4655323495)</f>
        <v>45092.46553</v>
      </c>
      <c r="D4979" s="15">
        <f>IFERROR(__xludf.DUMMYFUNCTION("""COMPUTED_VALUE"""),1.006)</f>
        <v>1.006</v>
      </c>
      <c r="E4979" s="16">
        <f>IFERROR(__xludf.DUMMYFUNCTION("""COMPUTED_VALUE"""),69.0)</f>
        <v>69</v>
      </c>
      <c r="F4979" s="19" t="str">
        <f>IFERROR(__xludf.DUMMYFUNCTION("""COMPUTED_VALUE"""),"BLACK")</f>
        <v>BLACK</v>
      </c>
      <c r="G4979" s="20" t="str">
        <f>IFERROR(__xludf.DUMMYFUNCTION("""COMPUTED_VALUE"""),"Uncle Sams Cider (04/04/2023)")</f>
        <v>Uncle Sams Cider (04/04/2023)</v>
      </c>
      <c r="H4979" s="19"/>
    </row>
    <row r="4980">
      <c r="A4980" s="9"/>
      <c r="B4980" s="15"/>
      <c r="C4980" s="9">
        <f>IFERROR(__xludf.DUMMYFUNCTION("""COMPUTED_VALUE"""),45092.4551118287)</f>
        <v>45092.45511</v>
      </c>
      <c r="D4980" s="15">
        <f>IFERROR(__xludf.DUMMYFUNCTION("""COMPUTED_VALUE"""),1.006)</f>
        <v>1.006</v>
      </c>
      <c r="E4980" s="16">
        <f>IFERROR(__xludf.DUMMYFUNCTION("""COMPUTED_VALUE"""),69.0)</f>
        <v>69</v>
      </c>
      <c r="F4980" s="19" t="str">
        <f>IFERROR(__xludf.DUMMYFUNCTION("""COMPUTED_VALUE"""),"BLACK")</f>
        <v>BLACK</v>
      </c>
      <c r="G4980" s="20" t="str">
        <f>IFERROR(__xludf.DUMMYFUNCTION("""COMPUTED_VALUE"""),"Uncle Sams Cider (04/04/2023)")</f>
        <v>Uncle Sams Cider (04/04/2023)</v>
      </c>
      <c r="H4980" s="19"/>
    </row>
    <row r="4981">
      <c r="A4981" s="9"/>
      <c r="B4981" s="15"/>
      <c r="C4981" s="9">
        <f>IFERROR(__xludf.DUMMYFUNCTION("""COMPUTED_VALUE"""),45092.4446914236)</f>
        <v>45092.44469</v>
      </c>
      <c r="D4981" s="15">
        <f>IFERROR(__xludf.DUMMYFUNCTION("""COMPUTED_VALUE"""),1.006)</f>
        <v>1.006</v>
      </c>
      <c r="E4981" s="16">
        <f>IFERROR(__xludf.DUMMYFUNCTION("""COMPUTED_VALUE"""),69.0)</f>
        <v>69</v>
      </c>
      <c r="F4981" s="19" t="str">
        <f>IFERROR(__xludf.DUMMYFUNCTION("""COMPUTED_VALUE"""),"BLACK")</f>
        <v>BLACK</v>
      </c>
      <c r="G4981" s="20" t="str">
        <f>IFERROR(__xludf.DUMMYFUNCTION("""COMPUTED_VALUE"""),"Uncle Sams Cider (04/04/2023)")</f>
        <v>Uncle Sams Cider (04/04/2023)</v>
      </c>
      <c r="H4981" s="19"/>
    </row>
    <row r="4982">
      <c r="A4982" s="9"/>
      <c r="B4982" s="15"/>
      <c r="C4982" s="9">
        <f>IFERROR(__xludf.DUMMYFUNCTION("""COMPUTED_VALUE"""),45092.4342687384)</f>
        <v>45092.43427</v>
      </c>
      <c r="D4982" s="15">
        <f>IFERROR(__xludf.DUMMYFUNCTION("""COMPUTED_VALUE"""),1.006)</f>
        <v>1.006</v>
      </c>
      <c r="E4982" s="16">
        <f>IFERROR(__xludf.DUMMYFUNCTION("""COMPUTED_VALUE"""),69.0)</f>
        <v>69</v>
      </c>
      <c r="F4982" s="19" t="str">
        <f>IFERROR(__xludf.DUMMYFUNCTION("""COMPUTED_VALUE"""),"BLACK")</f>
        <v>BLACK</v>
      </c>
      <c r="G4982" s="20" t="str">
        <f>IFERROR(__xludf.DUMMYFUNCTION("""COMPUTED_VALUE"""),"Uncle Sams Cider (04/04/2023)")</f>
        <v>Uncle Sams Cider (04/04/2023)</v>
      </c>
      <c r="H4982" s="19"/>
    </row>
    <row r="4983">
      <c r="A4983" s="9"/>
      <c r="B4983" s="15"/>
      <c r="C4983" s="9">
        <f>IFERROR(__xludf.DUMMYFUNCTION("""COMPUTED_VALUE"""),45092.423834375)</f>
        <v>45092.42383</v>
      </c>
      <c r="D4983" s="15">
        <f>IFERROR(__xludf.DUMMYFUNCTION("""COMPUTED_VALUE"""),1.006)</f>
        <v>1.006</v>
      </c>
      <c r="E4983" s="16">
        <f>IFERROR(__xludf.DUMMYFUNCTION("""COMPUTED_VALUE"""),69.0)</f>
        <v>69</v>
      </c>
      <c r="F4983" s="19" t="str">
        <f>IFERROR(__xludf.DUMMYFUNCTION("""COMPUTED_VALUE"""),"BLACK")</f>
        <v>BLACK</v>
      </c>
      <c r="G4983" s="20" t="str">
        <f>IFERROR(__xludf.DUMMYFUNCTION("""COMPUTED_VALUE"""),"Uncle Sams Cider (04/04/2023)")</f>
        <v>Uncle Sams Cider (04/04/2023)</v>
      </c>
      <c r="H4983" s="19"/>
    </row>
    <row r="4984">
      <c r="A4984" s="9"/>
      <c r="B4984" s="15"/>
      <c r="C4984" s="9">
        <f>IFERROR(__xludf.DUMMYFUNCTION("""COMPUTED_VALUE"""),45092.4134115277)</f>
        <v>45092.41341</v>
      </c>
      <c r="D4984" s="15">
        <f>IFERROR(__xludf.DUMMYFUNCTION("""COMPUTED_VALUE"""),1.006)</f>
        <v>1.006</v>
      </c>
      <c r="E4984" s="16">
        <f>IFERROR(__xludf.DUMMYFUNCTION("""COMPUTED_VALUE"""),69.0)</f>
        <v>69</v>
      </c>
      <c r="F4984" s="19" t="str">
        <f>IFERROR(__xludf.DUMMYFUNCTION("""COMPUTED_VALUE"""),"BLACK")</f>
        <v>BLACK</v>
      </c>
      <c r="G4984" s="20" t="str">
        <f>IFERROR(__xludf.DUMMYFUNCTION("""COMPUTED_VALUE"""),"Uncle Sams Cider (04/04/2023)")</f>
        <v>Uncle Sams Cider (04/04/2023)</v>
      </c>
      <c r="H4984" s="19"/>
    </row>
    <row r="4985">
      <c r="A4985" s="9"/>
      <c r="B4985" s="15"/>
      <c r="C4985" s="9">
        <f>IFERROR(__xludf.DUMMYFUNCTION("""COMPUTED_VALUE"""),45092.4029790046)</f>
        <v>45092.40298</v>
      </c>
      <c r="D4985" s="15">
        <f>IFERROR(__xludf.DUMMYFUNCTION("""COMPUTED_VALUE"""),1.006)</f>
        <v>1.006</v>
      </c>
      <c r="E4985" s="16">
        <f>IFERROR(__xludf.DUMMYFUNCTION("""COMPUTED_VALUE"""),69.0)</f>
        <v>69</v>
      </c>
      <c r="F4985" s="19" t="str">
        <f>IFERROR(__xludf.DUMMYFUNCTION("""COMPUTED_VALUE"""),"BLACK")</f>
        <v>BLACK</v>
      </c>
      <c r="G4985" s="20" t="str">
        <f>IFERROR(__xludf.DUMMYFUNCTION("""COMPUTED_VALUE"""),"Uncle Sams Cider (04/04/2023)")</f>
        <v>Uncle Sams Cider (04/04/2023)</v>
      </c>
      <c r="H4985" s="19"/>
    </row>
    <row r="4986">
      <c r="A4986" s="9"/>
      <c r="B4986" s="15"/>
      <c r="C4986" s="9">
        <f>IFERROR(__xludf.DUMMYFUNCTION("""COMPUTED_VALUE"""),45092.3925582291)</f>
        <v>45092.39256</v>
      </c>
      <c r="D4986" s="15">
        <f>IFERROR(__xludf.DUMMYFUNCTION("""COMPUTED_VALUE"""),1.006)</f>
        <v>1.006</v>
      </c>
      <c r="E4986" s="16">
        <f>IFERROR(__xludf.DUMMYFUNCTION("""COMPUTED_VALUE"""),69.0)</f>
        <v>69</v>
      </c>
      <c r="F4986" s="19" t="str">
        <f>IFERROR(__xludf.DUMMYFUNCTION("""COMPUTED_VALUE"""),"BLACK")</f>
        <v>BLACK</v>
      </c>
      <c r="G4986" s="20" t="str">
        <f>IFERROR(__xludf.DUMMYFUNCTION("""COMPUTED_VALUE"""),"Uncle Sams Cider (04/04/2023)")</f>
        <v>Uncle Sams Cider (04/04/2023)</v>
      </c>
      <c r="H4986" s="19"/>
    </row>
    <row r="4987">
      <c r="A4987" s="9"/>
      <c r="B4987" s="15"/>
      <c r="C4987" s="9">
        <f>IFERROR(__xludf.DUMMYFUNCTION("""COMPUTED_VALUE"""),45092.3821020833)</f>
        <v>45092.3821</v>
      </c>
      <c r="D4987" s="15">
        <f>IFERROR(__xludf.DUMMYFUNCTION("""COMPUTED_VALUE"""),1.006)</f>
        <v>1.006</v>
      </c>
      <c r="E4987" s="16">
        <f>IFERROR(__xludf.DUMMYFUNCTION("""COMPUTED_VALUE"""),69.0)</f>
        <v>69</v>
      </c>
      <c r="F4987" s="19" t="str">
        <f>IFERROR(__xludf.DUMMYFUNCTION("""COMPUTED_VALUE"""),"BLACK")</f>
        <v>BLACK</v>
      </c>
      <c r="G4987" s="20" t="str">
        <f>IFERROR(__xludf.DUMMYFUNCTION("""COMPUTED_VALUE"""),"Uncle Sams Cider (04/04/2023)")</f>
        <v>Uncle Sams Cider (04/04/2023)</v>
      </c>
      <c r="H4987" s="19"/>
    </row>
    <row r="4988">
      <c r="A4988" s="9"/>
      <c r="B4988" s="15"/>
      <c r="C4988" s="9">
        <f>IFERROR(__xludf.DUMMYFUNCTION("""COMPUTED_VALUE"""),45092.3716689814)</f>
        <v>45092.37167</v>
      </c>
      <c r="D4988" s="15">
        <f>IFERROR(__xludf.DUMMYFUNCTION("""COMPUTED_VALUE"""),1.006)</f>
        <v>1.006</v>
      </c>
      <c r="E4988" s="16">
        <f>IFERROR(__xludf.DUMMYFUNCTION("""COMPUTED_VALUE"""),69.0)</f>
        <v>69</v>
      </c>
      <c r="F4988" s="19" t="str">
        <f>IFERROR(__xludf.DUMMYFUNCTION("""COMPUTED_VALUE"""),"BLACK")</f>
        <v>BLACK</v>
      </c>
      <c r="G4988" s="20" t="str">
        <f>IFERROR(__xludf.DUMMYFUNCTION("""COMPUTED_VALUE"""),"Uncle Sams Cider (04/04/2023)")</f>
        <v>Uncle Sams Cider (04/04/2023)</v>
      </c>
      <c r="H4988" s="19"/>
    </row>
    <row r="4989">
      <c r="A4989" s="9"/>
      <c r="B4989" s="15"/>
      <c r="C4989" s="9">
        <f>IFERROR(__xludf.DUMMYFUNCTION("""COMPUTED_VALUE"""),45092.3612458912)</f>
        <v>45092.36125</v>
      </c>
      <c r="D4989" s="15">
        <f>IFERROR(__xludf.DUMMYFUNCTION("""COMPUTED_VALUE"""),1.006)</f>
        <v>1.006</v>
      </c>
      <c r="E4989" s="16">
        <f>IFERROR(__xludf.DUMMYFUNCTION("""COMPUTED_VALUE"""),69.0)</f>
        <v>69</v>
      </c>
      <c r="F4989" s="19" t="str">
        <f>IFERROR(__xludf.DUMMYFUNCTION("""COMPUTED_VALUE"""),"BLACK")</f>
        <v>BLACK</v>
      </c>
      <c r="G4989" s="20" t="str">
        <f>IFERROR(__xludf.DUMMYFUNCTION("""COMPUTED_VALUE"""),"Uncle Sams Cider (04/04/2023)")</f>
        <v>Uncle Sams Cider (04/04/2023)</v>
      </c>
      <c r="H4989" s="19"/>
    </row>
    <row r="4990">
      <c r="A4990" s="9"/>
      <c r="B4990" s="15"/>
      <c r="C4990" s="9">
        <f>IFERROR(__xludf.DUMMYFUNCTION("""COMPUTED_VALUE"""),45092.3508010879)</f>
        <v>45092.3508</v>
      </c>
      <c r="D4990" s="15">
        <f>IFERROR(__xludf.DUMMYFUNCTION("""COMPUTED_VALUE"""),1.006)</f>
        <v>1.006</v>
      </c>
      <c r="E4990" s="16">
        <f>IFERROR(__xludf.DUMMYFUNCTION("""COMPUTED_VALUE"""),69.0)</f>
        <v>69</v>
      </c>
      <c r="F4990" s="19" t="str">
        <f>IFERROR(__xludf.DUMMYFUNCTION("""COMPUTED_VALUE"""),"BLACK")</f>
        <v>BLACK</v>
      </c>
      <c r="G4990" s="20" t="str">
        <f>IFERROR(__xludf.DUMMYFUNCTION("""COMPUTED_VALUE"""),"Uncle Sams Cider (04/04/2023)")</f>
        <v>Uncle Sams Cider (04/04/2023)</v>
      </c>
      <c r="H4990" s="19"/>
    </row>
    <row r="4991">
      <c r="A4991" s="9"/>
      <c r="B4991" s="15"/>
      <c r="C4991" s="9">
        <f>IFERROR(__xludf.DUMMYFUNCTION("""COMPUTED_VALUE"""),45092.3403808912)</f>
        <v>45092.34038</v>
      </c>
      <c r="D4991" s="15">
        <f>IFERROR(__xludf.DUMMYFUNCTION("""COMPUTED_VALUE"""),1.006)</f>
        <v>1.006</v>
      </c>
      <c r="E4991" s="16">
        <f>IFERROR(__xludf.DUMMYFUNCTION("""COMPUTED_VALUE"""),69.0)</f>
        <v>69</v>
      </c>
      <c r="F4991" s="19" t="str">
        <f>IFERROR(__xludf.DUMMYFUNCTION("""COMPUTED_VALUE"""),"BLACK")</f>
        <v>BLACK</v>
      </c>
      <c r="G4991" s="20" t="str">
        <f>IFERROR(__xludf.DUMMYFUNCTION("""COMPUTED_VALUE"""),"Uncle Sams Cider (04/04/2023)")</f>
        <v>Uncle Sams Cider (04/04/2023)</v>
      </c>
      <c r="H4991" s="19"/>
    </row>
    <row r="4992">
      <c r="A4992" s="9"/>
      <c r="B4992" s="15"/>
      <c r="C4992" s="9">
        <f>IFERROR(__xludf.DUMMYFUNCTION("""COMPUTED_VALUE"""),45092.3299598611)</f>
        <v>45092.32996</v>
      </c>
      <c r="D4992" s="15">
        <f>IFERROR(__xludf.DUMMYFUNCTION("""COMPUTED_VALUE"""),1.006)</f>
        <v>1.006</v>
      </c>
      <c r="E4992" s="16">
        <f>IFERROR(__xludf.DUMMYFUNCTION("""COMPUTED_VALUE"""),69.0)</f>
        <v>69</v>
      </c>
      <c r="F4992" s="19" t="str">
        <f>IFERROR(__xludf.DUMMYFUNCTION("""COMPUTED_VALUE"""),"BLACK")</f>
        <v>BLACK</v>
      </c>
      <c r="G4992" s="20" t="str">
        <f>IFERROR(__xludf.DUMMYFUNCTION("""COMPUTED_VALUE"""),"Uncle Sams Cider (04/04/2023)")</f>
        <v>Uncle Sams Cider (04/04/2023)</v>
      </c>
      <c r="H4992" s="19"/>
    </row>
    <row r="4993">
      <c r="A4993" s="9"/>
      <c r="B4993" s="15"/>
      <c r="C4993" s="9">
        <f>IFERROR(__xludf.DUMMYFUNCTION("""COMPUTED_VALUE"""),45092.3195385532)</f>
        <v>45092.31954</v>
      </c>
      <c r="D4993" s="15">
        <f>IFERROR(__xludf.DUMMYFUNCTION("""COMPUTED_VALUE"""),1.006)</f>
        <v>1.006</v>
      </c>
      <c r="E4993" s="16">
        <f>IFERROR(__xludf.DUMMYFUNCTION("""COMPUTED_VALUE"""),69.0)</f>
        <v>69</v>
      </c>
      <c r="F4993" s="19" t="str">
        <f>IFERROR(__xludf.DUMMYFUNCTION("""COMPUTED_VALUE"""),"BLACK")</f>
        <v>BLACK</v>
      </c>
      <c r="G4993" s="20" t="str">
        <f>IFERROR(__xludf.DUMMYFUNCTION("""COMPUTED_VALUE"""),"Uncle Sams Cider (04/04/2023)")</f>
        <v>Uncle Sams Cider (04/04/2023)</v>
      </c>
      <c r="H4993" s="19"/>
    </row>
    <row r="4994">
      <c r="A4994" s="9"/>
      <c r="B4994" s="15"/>
      <c r="C4994" s="9">
        <f>IFERROR(__xludf.DUMMYFUNCTION("""COMPUTED_VALUE"""),45092.3091163541)</f>
        <v>45092.30912</v>
      </c>
      <c r="D4994" s="15">
        <f>IFERROR(__xludf.DUMMYFUNCTION("""COMPUTED_VALUE"""),1.006)</f>
        <v>1.006</v>
      </c>
      <c r="E4994" s="16">
        <f>IFERROR(__xludf.DUMMYFUNCTION("""COMPUTED_VALUE"""),69.0)</f>
        <v>69</v>
      </c>
      <c r="F4994" s="19" t="str">
        <f>IFERROR(__xludf.DUMMYFUNCTION("""COMPUTED_VALUE"""),"BLACK")</f>
        <v>BLACK</v>
      </c>
      <c r="G4994" s="20" t="str">
        <f>IFERROR(__xludf.DUMMYFUNCTION("""COMPUTED_VALUE"""),"Uncle Sams Cider (04/04/2023)")</f>
        <v>Uncle Sams Cider (04/04/2023)</v>
      </c>
      <c r="H4994" s="19"/>
    </row>
    <row r="4995">
      <c r="A4995" s="9"/>
      <c r="B4995" s="15"/>
      <c r="C4995" s="9">
        <f>IFERROR(__xludf.DUMMYFUNCTION("""COMPUTED_VALUE"""),45092.2986940856)</f>
        <v>45092.29869</v>
      </c>
      <c r="D4995" s="15">
        <f>IFERROR(__xludf.DUMMYFUNCTION("""COMPUTED_VALUE"""),1.006)</f>
        <v>1.006</v>
      </c>
      <c r="E4995" s="16">
        <f>IFERROR(__xludf.DUMMYFUNCTION("""COMPUTED_VALUE"""),69.0)</f>
        <v>69</v>
      </c>
      <c r="F4995" s="19" t="str">
        <f>IFERROR(__xludf.DUMMYFUNCTION("""COMPUTED_VALUE"""),"BLACK")</f>
        <v>BLACK</v>
      </c>
      <c r="G4995" s="20" t="str">
        <f>IFERROR(__xludf.DUMMYFUNCTION("""COMPUTED_VALUE"""),"Uncle Sams Cider (04/04/2023)")</f>
        <v>Uncle Sams Cider (04/04/2023)</v>
      </c>
      <c r="H4995" s="19"/>
    </row>
    <row r="4996">
      <c r="A4996" s="9"/>
      <c r="B4996" s="15"/>
      <c r="C4996" s="9">
        <f>IFERROR(__xludf.DUMMYFUNCTION("""COMPUTED_VALUE"""),45092.2882720949)</f>
        <v>45092.28827</v>
      </c>
      <c r="D4996" s="15">
        <f>IFERROR(__xludf.DUMMYFUNCTION("""COMPUTED_VALUE"""),1.006)</f>
        <v>1.006</v>
      </c>
      <c r="E4996" s="16">
        <f>IFERROR(__xludf.DUMMYFUNCTION("""COMPUTED_VALUE"""),69.0)</f>
        <v>69</v>
      </c>
      <c r="F4996" s="19" t="str">
        <f>IFERROR(__xludf.DUMMYFUNCTION("""COMPUTED_VALUE"""),"BLACK")</f>
        <v>BLACK</v>
      </c>
      <c r="G4996" s="20" t="str">
        <f>IFERROR(__xludf.DUMMYFUNCTION("""COMPUTED_VALUE"""),"Uncle Sams Cider (04/04/2023)")</f>
        <v>Uncle Sams Cider (04/04/2023)</v>
      </c>
      <c r="H4996" s="19"/>
    </row>
    <row r="4997">
      <c r="A4997" s="9"/>
      <c r="B4997" s="15"/>
      <c r="C4997" s="9">
        <f>IFERROR(__xludf.DUMMYFUNCTION("""COMPUTED_VALUE"""),45092.2778383912)</f>
        <v>45092.27784</v>
      </c>
      <c r="D4997" s="15">
        <f>IFERROR(__xludf.DUMMYFUNCTION("""COMPUTED_VALUE"""),1.006)</f>
        <v>1.006</v>
      </c>
      <c r="E4997" s="16">
        <f>IFERROR(__xludf.DUMMYFUNCTION("""COMPUTED_VALUE"""),69.0)</f>
        <v>69</v>
      </c>
      <c r="F4997" s="19" t="str">
        <f>IFERROR(__xludf.DUMMYFUNCTION("""COMPUTED_VALUE"""),"BLACK")</f>
        <v>BLACK</v>
      </c>
      <c r="G4997" s="20" t="str">
        <f>IFERROR(__xludf.DUMMYFUNCTION("""COMPUTED_VALUE"""),"Uncle Sams Cider (04/04/2023)")</f>
        <v>Uncle Sams Cider (04/04/2023)</v>
      </c>
      <c r="H4997" s="19"/>
    </row>
    <row r="4998">
      <c r="A4998" s="9"/>
      <c r="B4998" s="15"/>
      <c r="C4998" s="9">
        <f>IFERROR(__xludf.DUMMYFUNCTION("""COMPUTED_VALUE"""),45092.2674042245)</f>
        <v>45092.2674</v>
      </c>
      <c r="D4998" s="15">
        <f>IFERROR(__xludf.DUMMYFUNCTION("""COMPUTED_VALUE"""),1.006)</f>
        <v>1.006</v>
      </c>
      <c r="E4998" s="16">
        <f>IFERROR(__xludf.DUMMYFUNCTION("""COMPUTED_VALUE"""),69.0)</f>
        <v>69</v>
      </c>
      <c r="F4998" s="19" t="str">
        <f>IFERROR(__xludf.DUMMYFUNCTION("""COMPUTED_VALUE"""),"BLACK")</f>
        <v>BLACK</v>
      </c>
      <c r="G4998" s="20" t="str">
        <f>IFERROR(__xludf.DUMMYFUNCTION("""COMPUTED_VALUE"""),"Uncle Sams Cider (04/04/2023)")</f>
        <v>Uncle Sams Cider (04/04/2023)</v>
      </c>
      <c r="H4998" s="19"/>
    </row>
    <row r="4999">
      <c r="A4999" s="9"/>
      <c r="B4999" s="15"/>
      <c r="C4999" s="9">
        <f>IFERROR(__xludf.DUMMYFUNCTION("""COMPUTED_VALUE"""),45092.2569840972)</f>
        <v>45092.25698</v>
      </c>
      <c r="D4999" s="15">
        <f>IFERROR(__xludf.DUMMYFUNCTION("""COMPUTED_VALUE"""),1.006)</f>
        <v>1.006</v>
      </c>
      <c r="E4999" s="16">
        <f>IFERROR(__xludf.DUMMYFUNCTION("""COMPUTED_VALUE"""),69.0)</f>
        <v>69</v>
      </c>
      <c r="F4999" s="19" t="str">
        <f>IFERROR(__xludf.DUMMYFUNCTION("""COMPUTED_VALUE"""),"BLACK")</f>
        <v>BLACK</v>
      </c>
      <c r="G4999" s="20" t="str">
        <f>IFERROR(__xludf.DUMMYFUNCTION("""COMPUTED_VALUE"""),"Uncle Sams Cider (04/04/2023)")</f>
        <v>Uncle Sams Cider (04/04/2023)</v>
      </c>
      <c r="H4999" s="19"/>
    </row>
    <row r="5000">
      <c r="A5000" s="9"/>
      <c r="B5000" s="15"/>
      <c r="C5000" s="9">
        <f>IFERROR(__xludf.DUMMYFUNCTION("""COMPUTED_VALUE"""),45092.2465642245)</f>
        <v>45092.24656</v>
      </c>
      <c r="D5000" s="15">
        <f>IFERROR(__xludf.DUMMYFUNCTION("""COMPUTED_VALUE"""),1.006)</f>
        <v>1.006</v>
      </c>
      <c r="E5000" s="16">
        <f>IFERROR(__xludf.DUMMYFUNCTION("""COMPUTED_VALUE"""),69.0)</f>
        <v>69</v>
      </c>
      <c r="F5000" s="19" t="str">
        <f>IFERROR(__xludf.DUMMYFUNCTION("""COMPUTED_VALUE"""),"BLACK")</f>
        <v>BLACK</v>
      </c>
      <c r="G5000" s="20" t="str">
        <f>IFERROR(__xludf.DUMMYFUNCTION("""COMPUTED_VALUE"""),"Uncle Sams Cider (04/04/2023)")</f>
        <v>Uncle Sams Cider (04/04/2023)</v>
      </c>
      <c r="H5000" s="19"/>
    </row>
    <row r="5001">
      <c r="A5001" s="9"/>
      <c r="B5001" s="15"/>
      <c r="C5001" s="9">
        <f>IFERROR(__xludf.DUMMYFUNCTION("""COMPUTED_VALUE"""),45092.2361212963)</f>
        <v>45092.23612</v>
      </c>
      <c r="D5001" s="15">
        <f>IFERROR(__xludf.DUMMYFUNCTION("""COMPUTED_VALUE"""),1.006)</f>
        <v>1.006</v>
      </c>
      <c r="E5001" s="16">
        <f>IFERROR(__xludf.DUMMYFUNCTION("""COMPUTED_VALUE"""),69.0)</f>
        <v>69</v>
      </c>
      <c r="F5001" s="19" t="str">
        <f>IFERROR(__xludf.DUMMYFUNCTION("""COMPUTED_VALUE"""),"BLACK")</f>
        <v>BLACK</v>
      </c>
      <c r="G5001" s="20" t="str">
        <f>IFERROR(__xludf.DUMMYFUNCTION("""COMPUTED_VALUE"""),"Uncle Sams Cider (04/04/2023)")</f>
        <v>Uncle Sams Cider (04/04/2023)</v>
      </c>
      <c r="H5001" s="19"/>
    </row>
    <row r="5002">
      <c r="A5002" s="9"/>
      <c r="B5002" s="15"/>
      <c r="C5002" s="9">
        <f>IFERROR(__xludf.DUMMYFUNCTION("""COMPUTED_VALUE"""),45092.2256863773)</f>
        <v>45092.22569</v>
      </c>
      <c r="D5002" s="15">
        <f>IFERROR(__xludf.DUMMYFUNCTION("""COMPUTED_VALUE"""),1.006)</f>
        <v>1.006</v>
      </c>
      <c r="E5002" s="16">
        <f>IFERROR(__xludf.DUMMYFUNCTION("""COMPUTED_VALUE"""),69.0)</f>
        <v>69</v>
      </c>
      <c r="F5002" s="19" t="str">
        <f>IFERROR(__xludf.DUMMYFUNCTION("""COMPUTED_VALUE"""),"BLACK")</f>
        <v>BLACK</v>
      </c>
      <c r="G5002" s="20" t="str">
        <f>IFERROR(__xludf.DUMMYFUNCTION("""COMPUTED_VALUE"""),"Uncle Sams Cider (04/04/2023)")</f>
        <v>Uncle Sams Cider (04/04/2023)</v>
      </c>
      <c r="H5002" s="19"/>
    </row>
    <row r="5003">
      <c r="A5003" s="9"/>
      <c r="B5003" s="15"/>
      <c r="C5003" s="9">
        <f>IFERROR(__xludf.DUMMYFUNCTION("""COMPUTED_VALUE"""),45092.2152636458)</f>
        <v>45092.21526</v>
      </c>
      <c r="D5003" s="15">
        <f>IFERROR(__xludf.DUMMYFUNCTION("""COMPUTED_VALUE"""),1.006)</f>
        <v>1.006</v>
      </c>
      <c r="E5003" s="16">
        <f>IFERROR(__xludf.DUMMYFUNCTION("""COMPUTED_VALUE"""),69.0)</f>
        <v>69</v>
      </c>
      <c r="F5003" s="19" t="str">
        <f>IFERROR(__xludf.DUMMYFUNCTION("""COMPUTED_VALUE"""),"BLACK")</f>
        <v>BLACK</v>
      </c>
      <c r="G5003" s="20" t="str">
        <f>IFERROR(__xludf.DUMMYFUNCTION("""COMPUTED_VALUE"""),"Uncle Sams Cider (04/04/2023)")</f>
        <v>Uncle Sams Cider (04/04/2023)</v>
      </c>
      <c r="H5003" s="19"/>
    </row>
    <row r="5004">
      <c r="A5004" s="9"/>
      <c r="B5004" s="15"/>
      <c r="C5004" s="9">
        <f>IFERROR(__xludf.DUMMYFUNCTION("""COMPUTED_VALUE"""),45092.2048422222)</f>
        <v>45092.20484</v>
      </c>
      <c r="D5004" s="15">
        <f>IFERROR(__xludf.DUMMYFUNCTION("""COMPUTED_VALUE"""),1.006)</f>
        <v>1.006</v>
      </c>
      <c r="E5004" s="16">
        <f>IFERROR(__xludf.DUMMYFUNCTION("""COMPUTED_VALUE"""),69.0)</f>
        <v>69</v>
      </c>
      <c r="F5004" s="19" t="str">
        <f>IFERROR(__xludf.DUMMYFUNCTION("""COMPUTED_VALUE"""),"BLACK")</f>
        <v>BLACK</v>
      </c>
      <c r="G5004" s="20" t="str">
        <f>IFERROR(__xludf.DUMMYFUNCTION("""COMPUTED_VALUE"""),"Uncle Sams Cider (04/04/2023)")</f>
        <v>Uncle Sams Cider (04/04/2023)</v>
      </c>
      <c r="H5004" s="19"/>
    </row>
    <row r="5005">
      <c r="A5005" s="9"/>
      <c r="B5005" s="15"/>
      <c r="C5005" s="9">
        <f>IFERROR(__xludf.DUMMYFUNCTION("""COMPUTED_VALUE"""),45092.1944094213)</f>
        <v>45092.19441</v>
      </c>
      <c r="D5005" s="15">
        <f>IFERROR(__xludf.DUMMYFUNCTION("""COMPUTED_VALUE"""),1.006)</f>
        <v>1.006</v>
      </c>
      <c r="E5005" s="16">
        <f>IFERROR(__xludf.DUMMYFUNCTION("""COMPUTED_VALUE"""),69.0)</f>
        <v>69</v>
      </c>
      <c r="F5005" s="19" t="str">
        <f>IFERROR(__xludf.DUMMYFUNCTION("""COMPUTED_VALUE"""),"BLACK")</f>
        <v>BLACK</v>
      </c>
      <c r="G5005" s="20" t="str">
        <f>IFERROR(__xludf.DUMMYFUNCTION("""COMPUTED_VALUE"""),"Uncle Sams Cider (04/04/2023)")</f>
        <v>Uncle Sams Cider (04/04/2023)</v>
      </c>
      <c r="H5005" s="19"/>
    </row>
    <row r="5006">
      <c r="A5006" s="9"/>
      <c r="B5006" s="15"/>
      <c r="C5006" s="9">
        <f>IFERROR(__xludf.DUMMYFUNCTION("""COMPUTED_VALUE"""),45092.1839881944)</f>
        <v>45092.18399</v>
      </c>
      <c r="D5006" s="15">
        <f>IFERROR(__xludf.DUMMYFUNCTION("""COMPUTED_VALUE"""),1.006)</f>
        <v>1.006</v>
      </c>
      <c r="E5006" s="16">
        <f>IFERROR(__xludf.DUMMYFUNCTION("""COMPUTED_VALUE"""),69.0)</f>
        <v>69</v>
      </c>
      <c r="F5006" s="19" t="str">
        <f>IFERROR(__xludf.DUMMYFUNCTION("""COMPUTED_VALUE"""),"BLACK")</f>
        <v>BLACK</v>
      </c>
      <c r="G5006" s="20" t="str">
        <f>IFERROR(__xludf.DUMMYFUNCTION("""COMPUTED_VALUE"""),"Uncle Sams Cider (04/04/2023)")</f>
        <v>Uncle Sams Cider (04/04/2023)</v>
      </c>
      <c r="H5006" s="19"/>
    </row>
    <row r="5007">
      <c r="A5007" s="9"/>
      <c r="B5007" s="15"/>
      <c r="C5007" s="9">
        <f>IFERROR(__xludf.DUMMYFUNCTION("""COMPUTED_VALUE"""),45092.1735538657)</f>
        <v>45092.17355</v>
      </c>
      <c r="D5007" s="15">
        <f>IFERROR(__xludf.DUMMYFUNCTION("""COMPUTED_VALUE"""),1.006)</f>
        <v>1.006</v>
      </c>
      <c r="E5007" s="16">
        <f>IFERROR(__xludf.DUMMYFUNCTION("""COMPUTED_VALUE"""),69.0)</f>
        <v>69</v>
      </c>
      <c r="F5007" s="19" t="str">
        <f>IFERROR(__xludf.DUMMYFUNCTION("""COMPUTED_VALUE"""),"BLACK")</f>
        <v>BLACK</v>
      </c>
      <c r="G5007" s="20" t="str">
        <f>IFERROR(__xludf.DUMMYFUNCTION("""COMPUTED_VALUE"""),"Uncle Sams Cider (04/04/2023)")</f>
        <v>Uncle Sams Cider (04/04/2023)</v>
      </c>
      <c r="H5007" s="19"/>
    </row>
    <row r="5008">
      <c r="A5008" s="9"/>
      <c r="B5008" s="15"/>
      <c r="C5008" s="9">
        <f>IFERROR(__xludf.DUMMYFUNCTION("""COMPUTED_VALUE"""),45092.1631341203)</f>
        <v>45092.16313</v>
      </c>
      <c r="D5008" s="15">
        <f>IFERROR(__xludf.DUMMYFUNCTION("""COMPUTED_VALUE"""),1.006)</f>
        <v>1.006</v>
      </c>
      <c r="E5008" s="16">
        <f>IFERROR(__xludf.DUMMYFUNCTION("""COMPUTED_VALUE"""),69.0)</f>
        <v>69</v>
      </c>
      <c r="F5008" s="19" t="str">
        <f>IFERROR(__xludf.DUMMYFUNCTION("""COMPUTED_VALUE"""),"BLACK")</f>
        <v>BLACK</v>
      </c>
      <c r="G5008" s="20" t="str">
        <f>IFERROR(__xludf.DUMMYFUNCTION("""COMPUTED_VALUE"""),"Uncle Sams Cider (04/04/2023)")</f>
        <v>Uncle Sams Cider (04/04/2023)</v>
      </c>
      <c r="H5008" s="19"/>
    </row>
    <row r="5009">
      <c r="A5009" s="9"/>
      <c r="B5009" s="15"/>
      <c r="C5009" s="9">
        <f>IFERROR(__xludf.DUMMYFUNCTION("""COMPUTED_VALUE"""),45092.1527119907)</f>
        <v>45092.15271</v>
      </c>
      <c r="D5009" s="15">
        <f>IFERROR(__xludf.DUMMYFUNCTION("""COMPUTED_VALUE"""),1.006)</f>
        <v>1.006</v>
      </c>
      <c r="E5009" s="16">
        <f>IFERROR(__xludf.DUMMYFUNCTION("""COMPUTED_VALUE"""),69.0)</f>
        <v>69</v>
      </c>
      <c r="F5009" s="19" t="str">
        <f>IFERROR(__xludf.DUMMYFUNCTION("""COMPUTED_VALUE"""),"BLACK")</f>
        <v>BLACK</v>
      </c>
      <c r="G5009" s="20" t="str">
        <f>IFERROR(__xludf.DUMMYFUNCTION("""COMPUTED_VALUE"""),"Uncle Sams Cider (04/04/2023)")</f>
        <v>Uncle Sams Cider (04/04/2023)</v>
      </c>
      <c r="H5009" s="19"/>
    </row>
    <row r="5010">
      <c r="A5010" s="9"/>
      <c r="B5010" s="15"/>
      <c r="C5010" s="9">
        <f>IFERROR(__xludf.DUMMYFUNCTION("""COMPUTED_VALUE"""),45092.1422910301)</f>
        <v>45092.14229</v>
      </c>
      <c r="D5010" s="15">
        <f>IFERROR(__xludf.DUMMYFUNCTION("""COMPUTED_VALUE"""),1.006)</f>
        <v>1.006</v>
      </c>
      <c r="E5010" s="16">
        <f>IFERROR(__xludf.DUMMYFUNCTION("""COMPUTED_VALUE"""),69.0)</f>
        <v>69</v>
      </c>
      <c r="F5010" s="19" t="str">
        <f>IFERROR(__xludf.DUMMYFUNCTION("""COMPUTED_VALUE"""),"BLACK")</f>
        <v>BLACK</v>
      </c>
      <c r="G5010" s="20" t="str">
        <f>IFERROR(__xludf.DUMMYFUNCTION("""COMPUTED_VALUE"""),"Uncle Sams Cider (04/04/2023)")</f>
        <v>Uncle Sams Cider (04/04/2023)</v>
      </c>
      <c r="H5010" s="19"/>
    </row>
    <row r="5011">
      <c r="A5011" s="9"/>
      <c r="B5011" s="15"/>
      <c r="C5011" s="9">
        <f>IFERROR(__xludf.DUMMYFUNCTION("""COMPUTED_VALUE"""),45092.1214477314)</f>
        <v>45092.12145</v>
      </c>
      <c r="D5011" s="15">
        <f>IFERROR(__xludf.DUMMYFUNCTION("""COMPUTED_VALUE"""),1.006)</f>
        <v>1.006</v>
      </c>
      <c r="E5011" s="16">
        <f>IFERROR(__xludf.DUMMYFUNCTION("""COMPUTED_VALUE"""),69.0)</f>
        <v>69</v>
      </c>
      <c r="F5011" s="19" t="str">
        <f>IFERROR(__xludf.DUMMYFUNCTION("""COMPUTED_VALUE"""),"BLACK")</f>
        <v>BLACK</v>
      </c>
      <c r="G5011" s="20" t="str">
        <f>IFERROR(__xludf.DUMMYFUNCTION("""COMPUTED_VALUE"""),"Uncle Sams Cider (04/04/2023)")</f>
        <v>Uncle Sams Cider (04/04/2023)</v>
      </c>
      <c r="H5011" s="19"/>
    </row>
    <row r="5012">
      <c r="A5012" s="9"/>
      <c r="B5012" s="15"/>
      <c r="C5012" s="9">
        <f>IFERROR(__xludf.DUMMYFUNCTION("""COMPUTED_VALUE"""),45092.11102625)</f>
        <v>45092.11103</v>
      </c>
      <c r="D5012" s="15">
        <f>IFERROR(__xludf.DUMMYFUNCTION("""COMPUTED_VALUE"""),1.006)</f>
        <v>1.006</v>
      </c>
      <c r="E5012" s="16">
        <f>IFERROR(__xludf.DUMMYFUNCTION("""COMPUTED_VALUE"""),69.0)</f>
        <v>69</v>
      </c>
      <c r="F5012" s="19" t="str">
        <f>IFERROR(__xludf.DUMMYFUNCTION("""COMPUTED_VALUE"""),"BLACK")</f>
        <v>BLACK</v>
      </c>
      <c r="G5012" s="20" t="str">
        <f>IFERROR(__xludf.DUMMYFUNCTION("""COMPUTED_VALUE"""),"Uncle Sams Cider (04/04/2023)")</f>
        <v>Uncle Sams Cider (04/04/2023)</v>
      </c>
      <c r="H5012" s="19"/>
    </row>
    <row r="5013">
      <c r="A5013" s="9"/>
      <c r="B5013" s="15"/>
      <c r="C5013" s="9">
        <f>IFERROR(__xludf.DUMMYFUNCTION("""COMPUTED_VALUE"""),45092.1006043402)</f>
        <v>45092.1006</v>
      </c>
      <c r="D5013" s="15">
        <f>IFERROR(__xludf.DUMMYFUNCTION("""COMPUTED_VALUE"""),1.006)</f>
        <v>1.006</v>
      </c>
      <c r="E5013" s="16">
        <f>IFERROR(__xludf.DUMMYFUNCTION("""COMPUTED_VALUE"""),69.0)</f>
        <v>69</v>
      </c>
      <c r="F5013" s="19" t="str">
        <f>IFERROR(__xludf.DUMMYFUNCTION("""COMPUTED_VALUE"""),"BLACK")</f>
        <v>BLACK</v>
      </c>
      <c r="G5013" s="20" t="str">
        <f>IFERROR(__xludf.DUMMYFUNCTION("""COMPUTED_VALUE"""),"Uncle Sams Cider (04/04/2023)")</f>
        <v>Uncle Sams Cider (04/04/2023)</v>
      </c>
      <c r="H5013" s="19"/>
    </row>
    <row r="5014">
      <c r="A5014" s="9"/>
      <c r="B5014" s="15"/>
      <c r="C5014" s="9">
        <f>IFERROR(__xludf.DUMMYFUNCTION("""COMPUTED_VALUE"""),45092.0901823379)</f>
        <v>45092.09018</v>
      </c>
      <c r="D5014" s="15">
        <f>IFERROR(__xludf.DUMMYFUNCTION("""COMPUTED_VALUE"""),1.006)</f>
        <v>1.006</v>
      </c>
      <c r="E5014" s="16">
        <f>IFERROR(__xludf.DUMMYFUNCTION("""COMPUTED_VALUE"""),69.0)</f>
        <v>69</v>
      </c>
      <c r="F5014" s="19" t="str">
        <f>IFERROR(__xludf.DUMMYFUNCTION("""COMPUTED_VALUE"""),"BLACK")</f>
        <v>BLACK</v>
      </c>
      <c r="G5014" s="20" t="str">
        <f>IFERROR(__xludf.DUMMYFUNCTION("""COMPUTED_VALUE"""),"Uncle Sams Cider (04/04/2023)")</f>
        <v>Uncle Sams Cider (04/04/2023)</v>
      </c>
      <c r="H5014" s="19"/>
    </row>
    <row r="5015">
      <c r="A5015" s="9"/>
      <c r="B5015" s="15"/>
      <c r="C5015" s="9">
        <f>IFERROR(__xludf.DUMMYFUNCTION("""COMPUTED_VALUE"""),45092.0797611921)</f>
        <v>45092.07976</v>
      </c>
      <c r="D5015" s="15">
        <f>IFERROR(__xludf.DUMMYFUNCTION("""COMPUTED_VALUE"""),1.006)</f>
        <v>1.006</v>
      </c>
      <c r="E5015" s="16">
        <f>IFERROR(__xludf.DUMMYFUNCTION("""COMPUTED_VALUE"""),69.0)</f>
        <v>69</v>
      </c>
      <c r="F5015" s="19" t="str">
        <f>IFERROR(__xludf.DUMMYFUNCTION("""COMPUTED_VALUE"""),"BLACK")</f>
        <v>BLACK</v>
      </c>
      <c r="G5015" s="20" t="str">
        <f>IFERROR(__xludf.DUMMYFUNCTION("""COMPUTED_VALUE"""),"Uncle Sams Cider (04/04/2023)")</f>
        <v>Uncle Sams Cider (04/04/2023)</v>
      </c>
      <c r="H5015" s="19"/>
    </row>
    <row r="5016">
      <c r="A5016" s="9"/>
      <c r="B5016" s="15"/>
      <c r="C5016" s="9">
        <f>IFERROR(__xludf.DUMMYFUNCTION("""COMPUTED_VALUE"""),45092.0693396875)</f>
        <v>45092.06934</v>
      </c>
      <c r="D5016" s="15">
        <f>IFERROR(__xludf.DUMMYFUNCTION("""COMPUTED_VALUE"""),1.006)</f>
        <v>1.006</v>
      </c>
      <c r="E5016" s="16">
        <f>IFERROR(__xludf.DUMMYFUNCTION("""COMPUTED_VALUE"""),69.0)</f>
        <v>69</v>
      </c>
      <c r="F5016" s="19" t="str">
        <f>IFERROR(__xludf.DUMMYFUNCTION("""COMPUTED_VALUE"""),"BLACK")</f>
        <v>BLACK</v>
      </c>
      <c r="G5016" s="20" t="str">
        <f>IFERROR(__xludf.DUMMYFUNCTION("""COMPUTED_VALUE"""),"Uncle Sams Cider (04/04/2023)")</f>
        <v>Uncle Sams Cider (04/04/2023)</v>
      </c>
      <c r="H5016" s="19"/>
    </row>
    <row r="5017">
      <c r="A5017" s="9"/>
      <c r="B5017" s="15"/>
      <c r="C5017" s="9">
        <f>IFERROR(__xludf.DUMMYFUNCTION("""COMPUTED_VALUE"""),45092.05890603)</f>
        <v>45092.05891</v>
      </c>
      <c r="D5017" s="15">
        <f>IFERROR(__xludf.DUMMYFUNCTION("""COMPUTED_VALUE"""),1.006)</f>
        <v>1.006</v>
      </c>
      <c r="E5017" s="16">
        <f>IFERROR(__xludf.DUMMYFUNCTION("""COMPUTED_VALUE"""),69.0)</f>
        <v>69</v>
      </c>
      <c r="F5017" s="19" t="str">
        <f>IFERROR(__xludf.DUMMYFUNCTION("""COMPUTED_VALUE"""),"BLACK")</f>
        <v>BLACK</v>
      </c>
      <c r="G5017" s="20" t="str">
        <f>IFERROR(__xludf.DUMMYFUNCTION("""COMPUTED_VALUE"""),"Uncle Sams Cider (04/04/2023)")</f>
        <v>Uncle Sams Cider (04/04/2023)</v>
      </c>
      <c r="H5017" s="19"/>
    </row>
    <row r="5018">
      <c r="A5018" s="9"/>
      <c r="B5018" s="15"/>
      <c r="C5018" s="9">
        <f>IFERROR(__xludf.DUMMYFUNCTION("""COMPUTED_VALUE"""),45092.048484074)</f>
        <v>45092.04848</v>
      </c>
      <c r="D5018" s="15">
        <f>IFERROR(__xludf.DUMMYFUNCTION("""COMPUTED_VALUE"""),1.006)</f>
        <v>1.006</v>
      </c>
      <c r="E5018" s="16">
        <f>IFERROR(__xludf.DUMMYFUNCTION("""COMPUTED_VALUE"""),69.0)</f>
        <v>69</v>
      </c>
      <c r="F5018" s="19" t="str">
        <f>IFERROR(__xludf.DUMMYFUNCTION("""COMPUTED_VALUE"""),"BLACK")</f>
        <v>BLACK</v>
      </c>
      <c r="G5018" s="20" t="str">
        <f>IFERROR(__xludf.DUMMYFUNCTION("""COMPUTED_VALUE"""),"Uncle Sams Cider (04/04/2023)")</f>
        <v>Uncle Sams Cider (04/04/2023)</v>
      </c>
      <c r="H5018" s="19"/>
    </row>
    <row r="5019">
      <c r="A5019" s="9"/>
      <c r="B5019" s="15"/>
      <c r="C5019" s="9">
        <f>IFERROR(__xludf.DUMMYFUNCTION("""COMPUTED_VALUE"""),45092.0380627199)</f>
        <v>45092.03806</v>
      </c>
      <c r="D5019" s="15">
        <f>IFERROR(__xludf.DUMMYFUNCTION("""COMPUTED_VALUE"""),1.006)</f>
        <v>1.006</v>
      </c>
      <c r="E5019" s="16">
        <f>IFERROR(__xludf.DUMMYFUNCTION("""COMPUTED_VALUE"""),69.0)</f>
        <v>69</v>
      </c>
      <c r="F5019" s="19" t="str">
        <f>IFERROR(__xludf.DUMMYFUNCTION("""COMPUTED_VALUE"""),"BLACK")</f>
        <v>BLACK</v>
      </c>
      <c r="G5019" s="20" t="str">
        <f>IFERROR(__xludf.DUMMYFUNCTION("""COMPUTED_VALUE"""),"Uncle Sams Cider (04/04/2023)")</f>
        <v>Uncle Sams Cider (04/04/2023)</v>
      </c>
      <c r="H5019" s="19"/>
    </row>
    <row r="5020">
      <c r="A5020" s="9"/>
      <c r="B5020" s="15"/>
      <c r="C5020" s="9">
        <f>IFERROR(__xludf.DUMMYFUNCTION("""COMPUTED_VALUE"""),45092.0276296875)</f>
        <v>45092.02763</v>
      </c>
      <c r="D5020" s="15">
        <f>IFERROR(__xludf.DUMMYFUNCTION("""COMPUTED_VALUE"""),1.006)</f>
        <v>1.006</v>
      </c>
      <c r="E5020" s="16">
        <f>IFERROR(__xludf.DUMMYFUNCTION("""COMPUTED_VALUE"""),69.0)</f>
        <v>69</v>
      </c>
      <c r="F5020" s="19" t="str">
        <f>IFERROR(__xludf.DUMMYFUNCTION("""COMPUTED_VALUE"""),"BLACK")</f>
        <v>BLACK</v>
      </c>
      <c r="G5020" s="20" t="str">
        <f>IFERROR(__xludf.DUMMYFUNCTION("""COMPUTED_VALUE"""),"Uncle Sams Cider (04/04/2023)")</f>
        <v>Uncle Sams Cider (04/04/2023)</v>
      </c>
      <c r="H5020" s="19"/>
    </row>
    <row r="5021">
      <c r="A5021" s="9"/>
      <c r="B5021" s="15"/>
      <c r="C5021" s="9">
        <f>IFERROR(__xludf.DUMMYFUNCTION("""COMPUTED_VALUE"""),45092.0172083333)</f>
        <v>45092.01721</v>
      </c>
      <c r="D5021" s="15">
        <f>IFERROR(__xludf.DUMMYFUNCTION("""COMPUTED_VALUE"""),1.006)</f>
        <v>1.006</v>
      </c>
      <c r="E5021" s="16">
        <f>IFERROR(__xludf.DUMMYFUNCTION("""COMPUTED_VALUE"""),69.0)</f>
        <v>69</v>
      </c>
      <c r="F5021" s="19" t="str">
        <f>IFERROR(__xludf.DUMMYFUNCTION("""COMPUTED_VALUE"""),"BLACK")</f>
        <v>BLACK</v>
      </c>
      <c r="G5021" s="20" t="str">
        <f>IFERROR(__xludf.DUMMYFUNCTION("""COMPUTED_VALUE"""),"Uncle Sams Cider (04/04/2023)")</f>
        <v>Uncle Sams Cider (04/04/2023)</v>
      </c>
      <c r="H5021" s="19"/>
    </row>
    <row r="5022">
      <c r="A5022" s="9"/>
      <c r="B5022" s="15"/>
      <c r="C5022" s="9">
        <f>IFERROR(__xludf.DUMMYFUNCTION("""COMPUTED_VALUE"""),45092.0067631944)</f>
        <v>45092.00676</v>
      </c>
      <c r="D5022" s="15">
        <f>IFERROR(__xludf.DUMMYFUNCTION("""COMPUTED_VALUE"""),1.006)</f>
        <v>1.006</v>
      </c>
      <c r="E5022" s="16">
        <f>IFERROR(__xludf.DUMMYFUNCTION("""COMPUTED_VALUE"""),69.0)</f>
        <v>69</v>
      </c>
      <c r="F5022" s="19" t="str">
        <f>IFERROR(__xludf.DUMMYFUNCTION("""COMPUTED_VALUE"""),"BLACK")</f>
        <v>BLACK</v>
      </c>
      <c r="G5022" s="20" t="str">
        <f>IFERROR(__xludf.DUMMYFUNCTION("""COMPUTED_VALUE"""),"Uncle Sams Cider (04/04/2023)")</f>
        <v>Uncle Sams Cider (04/04/2023)</v>
      </c>
      <c r="H5022" s="19"/>
    </row>
    <row r="5023">
      <c r="A5023" s="9"/>
      <c r="B5023" s="15"/>
      <c r="C5023" s="9">
        <f>IFERROR(__xludf.DUMMYFUNCTION("""COMPUTED_VALUE"""),45091.9963431597)</f>
        <v>45091.99634</v>
      </c>
      <c r="D5023" s="15">
        <f>IFERROR(__xludf.DUMMYFUNCTION("""COMPUTED_VALUE"""),1.006)</f>
        <v>1.006</v>
      </c>
      <c r="E5023" s="16">
        <f>IFERROR(__xludf.DUMMYFUNCTION("""COMPUTED_VALUE"""),69.0)</f>
        <v>69</v>
      </c>
      <c r="F5023" s="19" t="str">
        <f>IFERROR(__xludf.DUMMYFUNCTION("""COMPUTED_VALUE"""),"BLACK")</f>
        <v>BLACK</v>
      </c>
      <c r="G5023" s="20" t="str">
        <f>IFERROR(__xludf.DUMMYFUNCTION("""COMPUTED_VALUE"""),"Uncle Sams Cider (04/04/2023)")</f>
        <v>Uncle Sams Cider (04/04/2023)</v>
      </c>
      <c r="H5023" s="19"/>
    </row>
    <row r="5024">
      <c r="A5024" s="9"/>
      <c r="B5024" s="15"/>
      <c r="C5024" s="9">
        <f>IFERROR(__xludf.DUMMYFUNCTION("""COMPUTED_VALUE"""),45091.9859215509)</f>
        <v>45091.98592</v>
      </c>
      <c r="D5024" s="15">
        <f>IFERROR(__xludf.DUMMYFUNCTION("""COMPUTED_VALUE"""),1.006)</f>
        <v>1.006</v>
      </c>
      <c r="E5024" s="16">
        <f>IFERROR(__xludf.DUMMYFUNCTION("""COMPUTED_VALUE"""),69.0)</f>
        <v>69</v>
      </c>
      <c r="F5024" s="19" t="str">
        <f>IFERROR(__xludf.DUMMYFUNCTION("""COMPUTED_VALUE"""),"BLACK")</f>
        <v>BLACK</v>
      </c>
      <c r="G5024" s="20" t="str">
        <f>IFERROR(__xludf.DUMMYFUNCTION("""COMPUTED_VALUE"""),"Uncle Sams Cider (04/04/2023)")</f>
        <v>Uncle Sams Cider (04/04/2023)</v>
      </c>
      <c r="H5024" s="19"/>
    </row>
    <row r="5025">
      <c r="A5025" s="9"/>
      <c r="B5025" s="15"/>
      <c r="C5025" s="9">
        <f>IFERROR(__xludf.DUMMYFUNCTION("""COMPUTED_VALUE"""),45091.9755015856)</f>
        <v>45091.9755</v>
      </c>
      <c r="D5025" s="15">
        <f>IFERROR(__xludf.DUMMYFUNCTION("""COMPUTED_VALUE"""),1.006)</f>
        <v>1.006</v>
      </c>
      <c r="E5025" s="16">
        <f>IFERROR(__xludf.DUMMYFUNCTION("""COMPUTED_VALUE"""),69.0)</f>
        <v>69</v>
      </c>
      <c r="F5025" s="19" t="str">
        <f>IFERROR(__xludf.DUMMYFUNCTION("""COMPUTED_VALUE"""),"BLACK")</f>
        <v>BLACK</v>
      </c>
      <c r="G5025" s="20" t="str">
        <f>IFERROR(__xludf.DUMMYFUNCTION("""COMPUTED_VALUE"""),"Uncle Sams Cider (04/04/2023)")</f>
        <v>Uncle Sams Cider (04/04/2023)</v>
      </c>
      <c r="H5025" s="19"/>
    </row>
    <row r="5026">
      <c r="A5026" s="9"/>
      <c r="B5026" s="15"/>
      <c r="C5026" s="9">
        <f>IFERROR(__xludf.DUMMYFUNCTION("""COMPUTED_VALUE"""),45091.9650565509)</f>
        <v>45091.96506</v>
      </c>
      <c r="D5026" s="15">
        <f>IFERROR(__xludf.DUMMYFUNCTION("""COMPUTED_VALUE"""),1.006)</f>
        <v>1.006</v>
      </c>
      <c r="E5026" s="16">
        <f>IFERROR(__xludf.DUMMYFUNCTION("""COMPUTED_VALUE"""),69.0)</f>
        <v>69</v>
      </c>
      <c r="F5026" s="19" t="str">
        <f>IFERROR(__xludf.DUMMYFUNCTION("""COMPUTED_VALUE"""),"BLACK")</f>
        <v>BLACK</v>
      </c>
      <c r="G5026" s="20" t="str">
        <f>IFERROR(__xludf.DUMMYFUNCTION("""COMPUTED_VALUE"""),"Uncle Sams Cider (04/04/2023)")</f>
        <v>Uncle Sams Cider (04/04/2023)</v>
      </c>
      <c r="H5026" s="19"/>
    </row>
    <row r="5027">
      <c r="A5027" s="9"/>
      <c r="B5027" s="15"/>
      <c r="C5027" s="9">
        <f>IFERROR(__xludf.DUMMYFUNCTION("""COMPUTED_VALUE"""),45091.9546365046)</f>
        <v>45091.95464</v>
      </c>
      <c r="D5027" s="15">
        <f>IFERROR(__xludf.DUMMYFUNCTION("""COMPUTED_VALUE"""),1.006)</f>
        <v>1.006</v>
      </c>
      <c r="E5027" s="16">
        <f>IFERROR(__xludf.DUMMYFUNCTION("""COMPUTED_VALUE"""),69.0)</f>
        <v>69</v>
      </c>
      <c r="F5027" s="19" t="str">
        <f>IFERROR(__xludf.DUMMYFUNCTION("""COMPUTED_VALUE"""),"BLACK")</f>
        <v>BLACK</v>
      </c>
      <c r="G5027" s="20" t="str">
        <f>IFERROR(__xludf.DUMMYFUNCTION("""COMPUTED_VALUE"""),"Uncle Sams Cider (04/04/2023)")</f>
        <v>Uncle Sams Cider (04/04/2023)</v>
      </c>
      <c r="H5027" s="19"/>
    </row>
    <row r="5028">
      <c r="A5028" s="9"/>
      <c r="B5028" s="15"/>
      <c r="C5028" s="9">
        <f>IFERROR(__xludf.DUMMYFUNCTION("""COMPUTED_VALUE"""),45091.944215949)</f>
        <v>45091.94422</v>
      </c>
      <c r="D5028" s="15">
        <f>IFERROR(__xludf.DUMMYFUNCTION("""COMPUTED_VALUE"""),1.006)</f>
        <v>1.006</v>
      </c>
      <c r="E5028" s="16">
        <f>IFERROR(__xludf.DUMMYFUNCTION("""COMPUTED_VALUE"""),69.0)</f>
        <v>69</v>
      </c>
      <c r="F5028" s="19" t="str">
        <f>IFERROR(__xludf.DUMMYFUNCTION("""COMPUTED_VALUE"""),"BLACK")</f>
        <v>BLACK</v>
      </c>
      <c r="G5028" s="20" t="str">
        <f>IFERROR(__xludf.DUMMYFUNCTION("""COMPUTED_VALUE"""),"Uncle Sams Cider (04/04/2023)")</f>
        <v>Uncle Sams Cider (04/04/2023)</v>
      </c>
      <c r="H5028" s="19"/>
    </row>
    <row r="5029">
      <c r="A5029" s="9"/>
      <c r="B5029" s="15"/>
      <c r="C5029" s="9">
        <f>IFERROR(__xludf.DUMMYFUNCTION("""COMPUTED_VALUE"""),45091.9337940625)</f>
        <v>45091.93379</v>
      </c>
      <c r="D5029" s="15">
        <f>IFERROR(__xludf.DUMMYFUNCTION("""COMPUTED_VALUE"""),1.006)</f>
        <v>1.006</v>
      </c>
      <c r="E5029" s="16">
        <f>IFERROR(__xludf.DUMMYFUNCTION("""COMPUTED_VALUE"""),69.0)</f>
        <v>69</v>
      </c>
      <c r="F5029" s="19" t="str">
        <f>IFERROR(__xludf.DUMMYFUNCTION("""COMPUTED_VALUE"""),"BLACK")</f>
        <v>BLACK</v>
      </c>
      <c r="G5029" s="20" t="str">
        <f>IFERROR(__xludf.DUMMYFUNCTION("""COMPUTED_VALUE"""),"Uncle Sams Cider (04/04/2023)")</f>
        <v>Uncle Sams Cider (04/04/2023)</v>
      </c>
      <c r="H5029" s="19"/>
    </row>
    <row r="5030">
      <c r="A5030" s="9"/>
      <c r="B5030" s="15"/>
      <c r="C5030" s="9">
        <f>IFERROR(__xludf.DUMMYFUNCTION("""COMPUTED_VALUE"""),45091.9233724884)</f>
        <v>45091.92337</v>
      </c>
      <c r="D5030" s="15">
        <f>IFERROR(__xludf.DUMMYFUNCTION("""COMPUTED_VALUE"""),1.006)</f>
        <v>1.006</v>
      </c>
      <c r="E5030" s="16">
        <f>IFERROR(__xludf.DUMMYFUNCTION("""COMPUTED_VALUE"""),69.0)</f>
        <v>69</v>
      </c>
      <c r="F5030" s="19" t="str">
        <f>IFERROR(__xludf.DUMMYFUNCTION("""COMPUTED_VALUE"""),"BLACK")</f>
        <v>BLACK</v>
      </c>
      <c r="G5030" s="20" t="str">
        <f>IFERROR(__xludf.DUMMYFUNCTION("""COMPUTED_VALUE"""),"Uncle Sams Cider (04/04/2023)")</f>
        <v>Uncle Sams Cider (04/04/2023)</v>
      </c>
      <c r="H5030" s="19"/>
    </row>
    <row r="5031">
      <c r="A5031" s="9"/>
      <c r="B5031" s="15"/>
      <c r="C5031" s="9">
        <f>IFERROR(__xludf.DUMMYFUNCTION("""COMPUTED_VALUE"""),45091.9025193287)</f>
        <v>45091.90252</v>
      </c>
      <c r="D5031" s="15">
        <f>IFERROR(__xludf.DUMMYFUNCTION("""COMPUTED_VALUE"""),1.006)</f>
        <v>1.006</v>
      </c>
      <c r="E5031" s="16">
        <f>IFERROR(__xludf.DUMMYFUNCTION("""COMPUTED_VALUE"""),69.0)</f>
        <v>69</v>
      </c>
      <c r="F5031" s="19" t="str">
        <f>IFERROR(__xludf.DUMMYFUNCTION("""COMPUTED_VALUE"""),"BLACK")</f>
        <v>BLACK</v>
      </c>
      <c r="G5031" s="20" t="str">
        <f>IFERROR(__xludf.DUMMYFUNCTION("""COMPUTED_VALUE"""),"Uncle Sams Cider (04/04/2023)")</f>
        <v>Uncle Sams Cider (04/04/2023)</v>
      </c>
      <c r="H5031" s="19"/>
    </row>
    <row r="5032">
      <c r="A5032" s="9"/>
      <c r="B5032" s="15"/>
      <c r="C5032" s="9">
        <f>IFERROR(__xludf.DUMMYFUNCTION("""COMPUTED_VALUE"""),45091.8920854513)</f>
        <v>45091.89209</v>
      </c>
      <c r="D5032" s="15">
        <f>IFERROR(__xludf.DUMMYFUNCTION("""COMPUTED_VALUE"""),1.006)</f>
        <v>1.006</v>
      </c>
      <c r="E5032" s="16">
        <f>IFERROR(__xludf.DUMMYFUNCTION("""COMPUTED_VALUE"""),69.0)</f>
        <v>69</v>
      </c>
      <c r="F5032" s="19" t="str">
        <f>IFERROR(__xludf.DUMMYFUNCTION("""COMPUTED_VALUE"""),"BLACK")</f>
        <v>BLACK</v>
      </c>
      <c r="G5032" s="20" t="str">
        <f>IFERROR(__xludf.DUMMYFUNCTION("""COMPUTED_VALUE"""),"Uncle Sams Cider (04/04/2023)")</f>
        <v>Uncle Sams Cider (04/04/2023)</v>
      </c>
      <c r="H5032" s="19"/>
    </row>
    <row r="5033">
      <c r="A5033" s="9"/>
      <c r="B5033" s="15"/>
      <c r="C5033" s="9">
        <f>IFERROR(__xludf.DUMMYFUNCTION("""COMPUTED_VALUE"""),45091.8816640972)</f>
        <v>45091.88166</v>
      </c>
      <c r="D5033" s="15">
        <f>IFERROR(__xludf.DUMMYFUNCTION("""COMPUTED_VALUE"""),1.006)</f>
        <v>1.006</v>
      </c>
      <c r="E5033" s="16">
        <f>IFERROR(__xludf.DUMMYFUNCTION("""COMPUTED_VALUE"""),69.0)</f>
        <v>69</v>
      </c>
      <c r="F5033" s="19" t="str">
        <f>IFERROR(__xludf.DUMMYFUNCTION("""COMPUTED_VALUE"""),"BLACK")</f>
        <v>BLACK</v>
      </c>
      <c r="G5033" s="20" t="str">
        <f>IFERROR(__xludf.DUMMYFUNCTION("""COMPUTED_VALUE"""),"Uncle Sams Cider (04/04/2023)")</f>
        <v>Uncle Sams Cider (04/04/2023)</v>
      </c>
      <c r="H5033" s="19"/>
    </row>
    <row r="5034">
      <c r="A5034" s="9"/>
      <c r="B5034" s="15"/>
      <c r="C5034" s="9">
        <f>IFERROR(__xludf.DUMMYFUNCTION("""COMPUTED_VALUE"""),45091.871242824)</f>
        <v>45091.87124</v>
      </c>
      <c r="D5034" s="15">
        <f>IFERROR(__xludf.DUMMYFUNCTION("""COMPUTED_VALUE"""),1.006)</f>
        <v>1.006</v>
      </c>
      <c r="E5034" s="16">
        <f>IFERROR(__xludf.DUMMYFUNCTION("""COMPUTED_VALUE"""),69.0)</f>
        <v>69</v>
      </c>
      <c r="F5034" s="19" t="str">
        <f>IFERROR(__xludf.DUMMYFUNCTION("""COMPUTED_VALUE"""),"BLACK")</f>
        <v>BLACK</v>
      </c>
      <c r="G5034" s="20" t="str">
        <f>IFERROR(__xludf.DUMMYFUNCTION("""COMPUTED_VALUE"""),"Uncle Sams Cider (04/04/2023)")</f>
        <v>Uncle Sams Cider (04/04/2023)</v>
      </c>
      <c r="H5034" s="19"/>
    </row>
    <row r="5035">
      <c r="A5035" s="9"/>
      <c r="B5035" s="15"/>
      <c r="C5035" s="9">
        <f>IFERROR(__xludf.DUMMYFUNCTION("""COMPUTED_VALUE"""),45091.8608223148)</f>
        <v>45091.86082</v>
      </c>
      <c r="D5035" s="15">
        <f>IFERROR(__xludf.DUMMYFUNCTION("""COMPUTED_VALUE"""),1.006)</f>
        <v>1.006</v>
      </c>
      <c r="E5035" s="16">
        <f>IFERROR(__xludf.DUMMYFUNCTION("""COMPUTED_VALUE"""),69.0)</f>
        <v>69</v>
      </c>
      <c r="F5035" s="19" t="str">
        <f>IFERROR(__xludf.DUMMYFUNCTION("""COMPUTED_VALUE"""),"BLACK")</f>
        <v>BLACK</v>
      </c>
      <c r="G5035" s="20" t="str">
        <f>IFERROR(__xludf.DUMMYFUNCTION("""COMPUTED_VALUE"""),"Uncle Sams Cider (04/04/2023)")</f>
        <v>Uncle Sams Cider (04/04/2023)</v>
      </c>
      <c r="H5035" s="19"/>
    </row>
    <row r="5036">
      <c r="A5036" s="9"/>
      <c r="B5036" s="15"/>
      <c r="C5036" s="9">
        <f>IFERROR(__xludf.DUMMYFUNCTION("""COMPUTED_VALUE"""),45091.8503784838)</f>
        <v>45091.85038</v>
      </c>
      <c r="D5036" s="15">
        <f>IFERROR(__xludf.DUMMYFUNCTION("""COMPUTED_VALUE"""),1.006)</f>
        <v>1.006</v>
      </c>
      <c r="E5036" s="16">
        <f>IFERROR(__xludf.DUMMYFUNCTION("""COMPUTED_VALUE"""),69.0)</f>
        <v>69</v>
      </c>
      <c r="F5036" s="19" t="str">
        <f>IFERROR(__xludf.DUMMYFUNCTION("""COMPUTED_VALUE"""),"BLACK")</f>
        <v>BLACK</v>
      </c>
      <c r="G5036" s="20" t="str">
        <f>IFERROR(__xludf.DUMMYFUNCTION("""COMPUTED_VALUE"""),"Uncle Sams Cider (04/04/2023)")</f>
        <v>Uncle Sams Cider (04/04/2023)</v>
      </c>
      <c r="H5036" s="19"/>
    </row>
    <row r="5037">
      <c r="A5037" s="9"/>
      <c r="B5037" s="15"/>
      <c r="C5037" s="9">
        <f>IFERROR(__xludf.DUMMYFUNCTION("""COMPUTED_VALUE"""),45091.8399588888)</f>
        <v>45091.83996</v>
      </c>
      <c r="D5037" s="15">
        <f>IFERROR(__xludf.DUMMYFUNCTION("""COMPUTED_VALUE"""),1.006)</f>
        <v>1.006</v>
      </c>
      <c r="E5037" s="16">
        <f>IFERROR(__xludf.DUMMYFUNCTION("""COMPUTED_VALUE"""),69.0)</f>
        <v>69</v>
      </c>
      <c r="F5037" s="19" t="str">
        <f>IFERROR(__xludf.DUMMYFUNCTION("""COMPUTED_VALUE"""),"BLACK")</f>
        <v>BLACK</v>
      </c>
      <c r="G5037" s="20" t="str">
        <f>IFERROR(__xludf.DUMMYFUNCTION("""COMPUTED_VALUE"""),"Uncle Sams Cider (04/04/2023)")</f>
        <v>Uncle Sams Cider (04/04/2023)</v>
      </c>
      <c r="H5037" s="19"/>
    </row>
    <row r="5038">
      <c r="A5038" s="9"/>
      <c r="B5038" s="15"/>
      <c r="C5038" s="9">
        <f>IFERROR(__xludf.DUMMYFUNCTION("""COMPUTED_VALUE"""),45091.829526412)</f>
        <v>45091.82953</v>
      </c>
      <c r="D5038" s="15">
        <f>IFERROR(__xludf.DUMMYFUNCTION("""COMPUTED_VALUE"""),1.006)</f>
        <v>1.006</v>
      </c>
      <c r="E5038" s="16">
        <f>IFERROR(__xludf.DUMMYFUNCTION("""COMPUTED_VALUE"""),69.0)</f>
        <v>69</v>
      </c>
      <c r="F5038" s="19" t="str">
        <f>IFERROR(__xludf.DUMMYFUNCTION("""COMPUTED_VALUE"""),"BLACK")</f>
        <v>BLACK</v>
      </c>
      <c r="G5038" s="20" t="str">
        <f>IFERROR(__xludf.DUMMYFUNCTION("""COMPUTED_VALUE"""),"Uncle Sams Cider (04/04/2023)")</f>
        <v>Uncle Sams Cider (04/04/2023)</v>
      </c>
      <c r="H5038" s="19"/>
    </row>
    <row r="5039">
      <c r="A5039" s="9"/>
      <c r="B5039" s="15"/>
      <c r="C5039" s="9">
        <f>IFERROR(__xludf.DUMMYFUNCTION("""COMPUTED_VALUE"""),45091.8191051041)</f>
        <v>45091.81911</v>
      </c>
      <c r="D5039" s="15">
        <f>IFERROR(__xludf.DUMMYFUNCTION("""COMPUTED_VALUE"""),1.006)</f>
        <v>1.006</v>
      </c>
      <c r="E5039" s="16">
        <f>IFERROR(__xludf.DUMMYFUNCTION("""COMPUTED_VALUE"""),69.0)</f>
        <v>69</v>
      </c>
      <c r="F5039" s="19" t="str">
        <f>IFERROR(__xludf.DUMMYFUNCTION("""COMPUTED_VALUE"""),"BLACK")</f>
        <v>BLACK</v>
      </c>
      <c r="G5039" s="20" t="str">
        <f>IFERROR(__xludf.DUMMYFUNCTION("""COMPUTED_VALUE"""),"Uncle Sams Cider (04/04/2023)")</f>
        <v>Uncle Sams Cider (04/04/2023)</v>
      </c>
      <c r="H5039" s="19"/>
    </row>
    <row r="5040">
      <c r="A5040" s="9"/>
      <c r="B5040" s="15"/>
      <c r="C5040" s="9">
        <f>IFERROR(__xludf.DUMMYFUNCTION("""COMPUTED_VALUE"""),45091.808672118)</f>
        <v>45091.80867</v>
      </c>
      <c r="D5040" s="15">
        <f>IFERROR(__xludf.DUMMYFUNCTION("""COMPUTED_VALUE"""),1.006)</f>
        <v>1.006</v>
      </c>
      <c r="E5040" s="16">
        <f>IFERROR(__xludf.DUMMYFUNCTION("""COMPUTED_VALUE"""),69.0)</f>
        <v>69</v>
      </c>
      <c r="F5040" s="19" t="str">
        <f>IFERROR(__xludf.DUMMYFUNCTION("""COMPUTED_VALUE"""),"BLACK")</f>
        <v>BLACK</v>
      </c>
      <c r="G5040" s="20" t="str">
        <f>IFERROR(__xludf.DUMMYFUNCTION("""COMPUTED_VALUE"""),"Uncle Sams Cider (04/04/2023)")</f>
        <v>Uncle Sams Cider (04/04/2023)</v>
      </c>
      <c r="H5040" s="19"/>
    </row>
    <row r="5041">
      <c r="A5041" s="9"/>
      <c r="B5041" s="15"/>
      <c r="C5041" s="9">
        <f>IFERROR(__xludf.DUMMYFUNCTION("""COMPUTED_VALUE"""),45091.7982508333)</f>
        <v>45091.79825</v>
      </c>
      <c r="D5041" s="15">
        <f>IFERROR(__xludf.DUMMYFUNCTION("""COMPUTED_VALUE"""),1.006)</f>
        <v>1.006</v>
      </c>
      <c r="E5041" s="16">
        <f>IFERROR(__xludf.DUMMYFUNCTION("""COMPUTED_VALUE"""),69.0)</f>
        <v>69</v>
      </c>
      <c r="F5041" s="19" t="str">
        <f>IFERROR(__xludf.DUMMYFUNCTION("""COMPUTED_VALUE"""),"BLACK")</f>
        <v>BLACK</v>
      </c>
      <c r="G5041" s="20" t="str">
        <f>IFERROR(__xludf.DUMMYFUNCTION("""COMPUTED_VALUE"""),"Uncle Sams Cider (04/04/2023)")</f>
        <v>Uncle Sams Cider (04/04/2023)</v>
      </c>
      <c r="H5041" s="19"/>
    </row>
    <row r="5042">
      <c r="A5042" s="9"/>
      <c r="B5042" s="15"/>
      <c r="C5042" s="9">
        <f>IFERROR(__xludf.DUMMYFUNCTION("""COMPUTED_VALUE"""),45091.7878304861)</f>
        <v>45091.78783</v>
      </c>
      <c r="D5042" s="15">
        <f>IFERROR(__xludf.DUMMYFUNCTION("""COMPUTED_VALUE"""),1.006)</f>
        <v>1.006</v>
      </c>
      <c r="E5042" s="16">
        <f>IFERROR(__xludf.DUMMYFUNCTION("""COMPUTED_VALUE"""),69.0)</f>
        <v>69</v>
      </c>
      <c r="F5042" s="19" t="str">
        <f>IFERROR(__xludf.DUMMYFUNCTION("""COMPUTED_VALUE"""),"BLACK")</f>
        <v>BLACK</v>
      </c>
      <c r="G5042" s="20" t="str">
        <f>IFERROR(__xludf.DUMMYFUNCTION("""COMPUTED_VALUE"""),"Uncle Sams Cider (04/04/2023)")</f>
        <v>Uncle Sams Cider (04/04/2023)</v>
      </c>
      <c r="H5042" s="19"/>
    </row>
    <row r="5043">
      <c r="A5043" s="9"/>
      <c r="B5043" s="15"/>
      <c r="C5043" s="9">
        <f>IFERROR(__xludf.DUMMYFUNCTION("""COMPUTED_VALUE"""),45091.7773991319)</f>
        <v>45091.7774</v>
      </c>
      <c r="D5043" s="15">
        <f>IFERROR(__xludf.DUMMYFUNCTION("""COMPUTED_VALUE"""),1.006)</f>
        <v>1.006</v>
      </c>
      <c r="E5043" s="16">
        <f>IFERROR(__xludf.DUMMYFUNCTION("""COMPUTED_VALUE"""),69.0)</f>
        <v>69</v>
      </c>
      <c r="F5043" s="19" t="str">
        <f>IFERROR(__xludf.DUMMYFUNCTION("""COMPUTED_VALUE"""),"BLACK")</f>
        <v>BLACK</v>
      </c>
      <c r="G5043" s="20" t="str">
        <f>IFERROR(__xludf.DUMMYFUNCTION("""COMPUTED_VALUE"""),"Uncle Sams Cider (04/04/2023)")</f>
        <v>Uncle Sams Cider (04/04/2023)</v>
      </c>
      <c r="H5043" s="19"/>
    </row>
    <row r="5044">
      <c r="A5044" s="9"/>
      <c r="B5044" s="15"/>
      <c r="C5044" s="9">
        <f>IFERROR(__xludf.DUMMYFUNCTION("""COMPUTED_VALUE"""),45091.7669770486)</f>
        <v>45091.76698</v>
      </c>
      <c r="D5044" s="15">
        <f>IFERROR(__xludf.DUMMYFUNCTION("""COMPUTED_VALUE"""),1.006)</f>
        <v>1.006</v>
      </c>
      <c r="E5044" s="16">
        <f>IFERROR(__xludf.DUMMYFUNCTION("""COMPUTED_VALUE"""),69.0)</f>
        <v>69</v>
      </c>
      <c r="F5044" s="19" t="str">
        <f>IFERROR(__xludf.DUMMYFUNCTION("""COMPUTED_VALUE"""),"BLACK")</f>
        <v>BLACK</v>
      </c>
      <c r="G5044" s="20" t="str">
        <f>IFERROR(__xludf.DUMMYFUNCTION("""COMPUTED_VALUE"""),"Uncle Sams Cider (04/04/2023)")</f>
        <v>Uncle Sams Cider (04/04/2023)</v>
      </c>
      <c r="H5044" s="19"/>
    </row>
    <row r="5045">
      <c r="A5045" s="9"/>
      <c r="B5045" s="15"/>
      <c r="C5045" s="9">
        <f>IFERROR(__xludf.DUMMYFUNCTION("""COMPUTED_VALUE"""),45091.7565562615)</f>
        <v>45091.75656</v>
      </c>
      <c r="D5045" s="15">
        <f>IFERROR(__xludf.DUMMYFUNCTION("""COMPUTED_VALUE"""),1.006)</f>
        <v>1.006</v>
      </c>
      <c r="E5045" s="16">
        <f>IFERROR(__xludf.DUMMYFUNCTION("""COMPUTED_VALUE"""),69.0)</f>
        <v>69</v>
      </c>
      <c r="F5045" s="19" t="str">
        <f>IFERROR(__xludf.DUMMYFUNCTION("""COMPUTED_VALUE"""),"BLACK")</f>
        <v>BLACK</v>
      </c>
      <c r="G5045" s="20" t="str">
        <f>IFERROR(__xludf.DUMMYFUNCTION("""COMPUTED_VALUE"""),"Uncle Sams Cider (04/04/2023)")</f>
        <v>Uncle Sams Cider (04/04/2023)</v>
      </c>
      <c r="H5045" s="19"/>
    </row>
    <row r="5046">
      <c r="A5046" s="9"/>
      <c r="B5046" s="15"/>
      <c r="C5046" s="9">
        <f>IFERROR(__xludf.DUMMYFUNCTION("""COMPUTED_VALUE"""),45091.7461346643)</f>
        <v>45091.74613</v>
      </c>
      <c r="D5046" s="15">
        <f>IFERROR(__xludf.DUMMYFUNCTION("""COMPUTED_VALUE"""),1.006)</f>
        <v>1.006</v>
      </c>
      <c r="E5046" s="16">
        <f>IFERROR(__xludf.DUMMYFUNCTION("""COMPUTED_VALUE"""),69.0)</f>
        <v>69</v>
      </c>
      <c r="F5046" s="19" t="str">
        <f>IFERROR(__xludf.DUMMYFUNCTION("""COMPUTED_VALUE"""),"BLACK")</f>
        <v>BLACK</v>
      </c>
      <c r="G5046" s="20" t="str">
        <f>IFERROR(__xludf.DUMMYFUNCTION("""COMPUTED_VALUE"""),"Uncle Sams Cider (04/04/2023)")</f>
        <v>Uncle Sams Cider (04/04/2023)</v>
      </c>
      <c r="H5046" s="19"/>
    </row>
    <row r="5047">
      <c r="A5047" s="9"/>
      <c r="B5047" s="15"/>
      <c r="C5047" s="9">
        <f>IFERROR(__xludf.DUMMYFUNCTION("""COMPUTED_VALUE"""),45091.735714537)</f>
        <v>45091.73571</v>
      </c>
      <c r="D5047" s="15">
        <f>IFERROR(__xludf.DUMMYFUNCTION("""COMPUTED_VALUE"""),1.006)</f>
        <v>1.006</v>
      </c>
      <c r="E5047" s="16">
        <f>IFERROR(__xludf.DUMMYFUNCTION("""COMPUTED_VALUE"""),69.0)</f>
        <v>69</v>
      </c>
      <c r="F5047" s="19" t="str">
        <f>IFERROR(__xludf.DUMMYFUNCTION("""COMPUTED_VALUE"""),"BLACK")</f>
        <v>BLACK</v>
      </c>
      <c r="G5047" s="20" t="str">
        <f>IFERROR(__xludf.DUMMYFUNCTION("""COMPUTED_VALUE"""),"Uncle Sams Cider (04/04/2023)")</f>
        <v>Uncle Sams Cider (04/04/2023)</v>
      </c>
      <c r="H5047" s="19"/>
    </row>
    <row r="5048">
      <c r="A5048" s="9"/>
      <c r="B5048" s="15"/>
      <c r="C5048" s="9">
        <f>IFERROR(__xludf.DUMMYFUNCTION("""COMPUTED_VALUE"""),45091.7252940393)</f>
        <v>45091.72529</v>
      </c>
      <c r="D5048" s="15">
        <f>IFERROR(__xludf.DUMMYFUNCTION("""COMPUTED_VALUE"""),1.006)</f>
        <v>1.006</v>
      </c>
      <c r="E5048" s="16">
        <f>IFERROR(__xludf.DUMMYFUNCTION("""COMPUTED_VALUE"""),69.0)</f>
        <v>69</v>
      </c>
      <c r="F5048" s="19" t="str">
        <f>IFERROR(__xludf.DUMMYFUNCTION("""COMPUTED_VALUE"""),"BLACK")</f>
        <v>BLACK</v>
      </c>
      <c r="G5048" s="20" t="str">
        <f>IFERROR(__xludf.DUMMYFUNCTION("""COMPUTED_VALUE"""),"Uncle Sams Cider (04/04/2023)")</f>
        <v>Uncle Sams Cider (04/04/2023)</v>
      </c>
      <c r="H5048" s="19"/>
    </row>
    <row r="5049">
      <c r="A5049" s="9"/>
      <c r="B5049" s="15"/>
      <c r="C5049" s="9">
        <f>IFERROR(__xludf.DUMMYFUNCTION("""COMPUTED_VALUE"""),45091.714872743)</f>
        <v>45091.71487</v>
      </c>
      <c r="D5049" s="15">
        <f>IFERROR(__xludf.DUMMYFUNCTION("""COMPUTED_VALUE"""),1.006)</f>
        <v>1.006</v>
      </c>
      <c r="E5049" s="16">
        <f>IFERROR(__xludf.DUMMYFUNCTION("""COMPUTED_VALUE"""),69.0)</f>
        <v>69</v>
      </c>
      <c r="F5049" s="19" t="str">
        <f>IFERROR(__xludf.DUMMYFUNCTION("""COMPUTED_VALUE"""),"BLACK")</f>
        <v>BLACK</v>
      </c>
      <c r="G5049" s="20" t="str">
        <f>IFERROR(__xludf.DUMMYFUNCTION("""COMPUTED_VALUE"""),"Uncle Sams Cider (04/04/2023)")</f>
        <v>Uncle Sams Cider (04/04/2023)</v>
      </c>
      <c r="H5049" s="19"/>
    </row>
    <row r="5050">
      <c r="A5050" s="9"/>
      <c r="B5050" s="15"/>
      <c r="C5050" s="9">
        <f>IFERROR(__xludf.DUMMYFUNCTION("""COMPUTED_VALUE"""),45091.7044386921)</f>
        <v>45091.70444</v>
      </c>
      <c r="D5050" s="15">
        <f>IFERROR(__xludf.DUMMYFUNCTION("""COMPUTED_VALUE"""),1.006)</f>
        <v>1.006</v>
      </c>
      <c r="E5050" s="16">
        <f>IFERROR(__xludf.DUMMYFUNCTION("""COMPUTED_VALUE"""),69.0)</f>
        <v>69</v>
      </c>
      <c r="F5050" s="19" t="str">
        <f>IFERROR(__xludf.DUMMYFUNCTION("""COMPUTED_VALUE"""),"BLACK")</f>
        <v>BLACK</v>
      </c>
      <c r="G5050" s="20" t="str">
        <f>IFERROR(__xludf.DUMMYFUNCTION("""COMPUTED_VALUE"""),"Uncle Sams Cider (04/04/2023)")</f>
        <v>Uncle Sams Cider (04/04/2023)</v>
      </c>
      <c r="H5050" s="19"/>
    </row>
    <row r="5051">
      <c r="A5051" s="9"/>
      <c r="B5051" s="15"/>
      <c r="C5051" s="9">
        <f>IFERROR(__xludf.DUMMYFUNCTION("""COMPUTED_VALUE"""),45091.6939943634)</f>
        <v>45091.69399</v>
      </c>
      <c r="D5051" s="15">
        <f>IFERROR(__xludf.DUMMYFUNCTION("""COMPUTED_VALUE"""),1.006)</f>
        <v>1.006</v>
      </c>
      <c r="E5051" s="16">
        <f>IFERROR(__xludf.DUMMYFUNCTION("""COMPUTED_VALUE"""),69.0)</f>
        <v>69</v>
      </c>
      <c r="F5051" s="19" t="str">
        <f>IFERROR(__xludf.DUMMYFUNCTION("""COMPUTED_VALUE"""),"BLACK")</f>
        <v>BLACK</v>
      </c>
      <c r="G5051" s="20" t="str">
        <f>IFERROR(__xludf.DUMMYFUNCTION("""COMPUTED_VALUE"""),"Uncle Sams Cider (04/04/2023)")</f>
        <v>Uncle Sams Cider (04/04/2023)</v>
      </c>
      <c r="H5051" s="19"/>
    </row>
    <row r="5052">
      <c r="A5052" s="9"/>
      <c r="B5052" s="15"/>
      <c r="C5052" s="9">
        <f>IFERROR(__xludf.DUMMYFUNCTION("""COMPUTED_VALUE"""),45091.6835742245)</f>
        <v>45091.68357</v>
      </c>
      <c r="D5052" s="15">
        <f>IFERROR(__xludf.DUMMYFUNCTION("""COMPUTED_VALUE"""),1.006)</f>
        <v>1.006</v>
      </c>
      <c r="E5052" s="16">
        <f>IFERROR(__xludf.DUMMYFUNCTION("""COMPUTED_VALUE"""),69.0)</f>
        <v>69</v>
      </c>
      <c r="F5052" s="19" t="str">
        <f>IFERROR(__xludf.DUMMYFUNCTION("""COMPUTED_VALUE"""),"BLACK")</f>
        <v>BLACK</v>
      </c>
      <c r="G5052" s="20" t="str">
        <f>IFERROR(__xludf.DUMMYFUNCTION("""COMPUTED_VALUE"""),"Uncle Sams Cider (04/04/2023)")</f>
        <v>Uncle Sams Cider (04/04/2023)</v>
      </c>
      <c r="H5052" s="19"/>
    </row>
    <row r="5053">
      <c r="A5053" s="9"/>
      <c r="B5053" s="15"/>
      <c r="C5053" s="9">
        <f>IFERROR(__xludf.DUMMYFUNCTION("""COMPUTED_VALUE"""),45091.6731405324)</f>
        <v>45091.67314</v>
      </c>
      <c r="D5053" s="15">
        <f>IFERROR(__xludf.DUMMYFUNCTION("""COMPUTED_VALUE"""),1.006)</f>
        <v>1.006</v>
      </c>
      <c r="E5053" s="16">
        <f>IFERROR(__xludf.DUMMYFUNCTION("""COMPUTED_VALUE"""),69.0)</f>
        <v>69</v>
      </c>
      <c r="F5053" s="19" t="str">
        <f>IFERROR(__xludf.DUMMYFUNCTION("""COMPUTED_VALUE"""),"BLACK")</f>
        <v>BLACK</v>
      </c>
      <c r="G5053" s="20" t="str">
        <f>IFERROR(__xludf.DUMMYFUNCTION("""COMPUTED_VALUE"""),"Uncle Sams Cider (04/04/2023)")</f>
        <v>Uncle Sams Cider (04/04/2023)</v>
      </c>
      <c r="H5053" s="19"/>
    </row>
    <row r="5054">
      <c r="A5054" s="9"/>
      <c r="B5054" s="15"/>
      <c r="C5054" s="9">
        <f>IFERROR(__xludf.DUMMYFUNCTION("""COMPUTED_VALUE"""),45091.662720868)</f>
        <v>45091.66272</v>
      </c>
      <c r="D5054" s="15">
        <f>IFERROR(__xludf.DUMMYFUNCTION("""COMPUTED_VALUE"""),1.006)</f>
        <v>1.006</v>
      </c>
      <c r="E5054" s="16">
        <f>IFERROR(__xludf.DUMMYFUNCTION("""COMPUTED_VALUE"""),69.0)</f>
        <v>69</v>
      </c>
      <c r="F5054" s="19" t="str">
        <f>IFERROR(__xludf.DUMMYFUNCTION("""COMPUTED_VALUE"""),"BLACK")</f>
        <v>BLACK</v>
      </c>
      <c r="G5054" s="20" t="str">
        <f>IFERROR(__xludf.DUMMYFUNCTION("""COMPUTED_VALUE"""),"Uncle Sams Cider (04/04/2023)")</f>
        <v>Uncle Sams Cider (04/04/2023)</v>
      </c>
      <c r="H5054" s="19"/>
    </row>
    <row r="5055">
      <c r="A5055" s="9"/>
      <c r="B5055" s="15"/>
      <c r="C5055" s="9">
        <f>IFERROR(__xludf.DUMMYFUNCTION("""COMPUTED_VALUE"""),45091.6522996527)</f>
        <v>45091.6523</v>
      </c>
      <c r="D5055" s="15">
        <f>IFERROR(__xludf.DUMMYFUNCTION("""COMPUTED_VALUE"""),1.006)</f>
        <v>1.006</v>
      </c>
      <c r="E5055" s="16">
        <f>IFERROR(__xludf.DUMMYFUNCTION("""COMPUTED_VALUE"""),69.0)</f>
        <v>69</v>
      </c>
      <c r="F5055" s="19" t="str">
        <f>IFERROR(__xludf.DUMMYFUNCTION("""COMPUTED_VALUE"""),"BLACK")</f>
        <v>BLACK</v>
      </c>
      <c r="G5055" s="20" t="str">
        <f>IFERROR(__xludf.DUMMYFUNCTION("""COMPUTED_VALUE"""),"Uncle Sams Cider (04/04/2023)")</f>
        <v>Uncle Sams Cider (04/04/2023)</v>
      </c>
      <c r="H5055" s="19"/>
    </row>
    <row r="5056">
      <c r="A5056" s="9"/>
      <c r="B5056" s="15"/>
      <c r="C5056" s="9">
        <f>IFERROR(__xludf.DUMMYFUNCTION("""COMPUTED_VALUE"""),45091.6418663194)</f>
        <v>45091.64187</v>
      </c>
      <c r="D5056" s="15">
        <f>IFERROR(__xludf.DUMMYFUNCTION("""COMPUTED_VALUE"""),1.006)</f>
        <v>1.006</v>
      </c>
      <c r="E5056" s="16">
        <f>IFERROR(__xludf.DUMMYFUNCTION("""COMPUTED_VALUE"""),69.0)</f>
        <v>69</v>
      </c>
      <c r="F5056" s="19" t="str">
        <f>IFERROR(__xludf.DUMMYFUNCTION("""COMPUTED_VALUE"""),"BLACK")</f>
        <v>BLACK</v>
      </c>
      <c r="G5056" s="20" t="str">
        <f>IFERROR(__xludf.DUMMYFUNCTION("""COMPUTED_VALUE"""),"Uncle Sams Cider (04/04/2023)")</f>
        <v>Uncle Sams Cider (04/04/2023)</v>
      </c>
      <c r="H5056" s="19"/>
    </row>
    <row r="5057">
      <c r="A5057" s="9"/>
      <c r="B5057" s="15"/>
      <c r="C5057" s="9">
        <f>IFERROR(__xludf.DUMMYFUNCTION("""COMPUTED_VALUE"""),45091.6314442476)</f>
        <v>45091.63144</v>
      </c>
      <c r="D5057" s="15">
        <f>IFERROR(__xludf.DUMMYFUNCTION("""COMPUTED_VALUE"""),1.006)</f>
        <v>1.006</v>
      </c>
      <c r="E5057" s="16">
        <f>IFERROR(__xludf.DUMMYFUNCTION("""COMPUTED_VALUE"""),69.0)</f>
        <v>69</v>
      </c>
      <c r="F5057" s="19" t="str">
        <f>IFERROR(__xludf.DUMMYFUNCTION("""COMPUTED_VALUE"""),"BLACK")</f>
        <v>BLACK</v>
      </c>
      <c r="G5057" s="20" t="str">
        <f>IFERROR(__xludf.DUMMYFUNCTION("""COMPUTED_VALUE"""),"Uncle Sams Cider (04/04/2023)")</f>
        <v>Uncle Sams Cider (04/04/2023)</v>
      </c>
      <c r="H5057" s="19"/>
    </row>
    <row r="5058">
      <c r="A5058" s="9"/>
      <c r="B5058" s="15"/>
      <c r="C5058" s="9">
        <f>IFERROR(__xludf.DUMMYFUNCTION("""COMPUTED_VALUE"""),45091.621012824)</f>
        <v>45091.62101</v>
      </c>
      <c r="D5058" s="15">
        <f>IFERROR(__xludf.DUMMYFUNCTION("""COMPUTED_VALUE"""),1.006)</f>
        <v>1.006</v>
      </c>
      <c r="E5058" s="16">
        <f>IFERROR(__xludf.DUMMYFUNCTION("""COMPUTED_VALUE"""),69.0)</f>
        <v>69</v>
      </c>
      <c r="F5058" s="19" t="str">
        <f>IFERROR(__xludf.DUMMYFUNCTION("""COMPUTED_VALUE"""),"BLACK")</f>
        <v>BLACK</v>
      </c>
      <c r="G5058" s="20" t="str">
        <f>IFERROR(__xludf.DUMMYFUNCTION("""COMPUTED_VALUE"""),"Uncle Sams Cider (04/04/2023)")</f>
        <v>Uncle Sams Cider (04/04/2023)</v>
      </c>
      <c r="H5058" s="19"/>
    </row>
    <row r="5059">
      <c r="A5059" s="9"/>
      <c r="B5059" s="15"/>
      <c r="C5059" s="9">
        <f>IFERROR(__xludf.DUMMYFUNCTION("""COMPUTED_VALUE"""),45091.610579618)</f>
        <v>45091.61058</v>
      </c>
      <c r="D5059" s="15">
        <f>IFERROR(__xludf.DUMMYFUNCTION("""COMPUTED_VALUE"""),1.006)</f>
        <v>1.006</v>
      </c>
      <c r="E5059" s="16">
        <f>IFERROR(__xludf.DUMMYFUNCTION("""COMPUTED_VALUE"""),69.0)</f>
        <v>69</v>
      </c>
      <c r="F5059" s="19" t="str">
        <f>IFERROR(__xludf.DUMMYFUNCTION("""COMPUTED_VALUE"""),"BLACK")</f>
        <v>BLACK</v>
      </c>
      <c r="G5059" s="20" t="str">
        <f>IFERROR(__xludf.DUMMYFUNCTION("""COMPUTED_VALUE"""),"Uncle Sams Cider (04/04/2023)")</f>
        <v>Uncle Sams Cider (04/04/2023)</v>
      </c>
      <c r="H5059" s="19"/>
    </row>
    <row r="5060">
      <c r="A5060" s="9"/>
      <c r="B5060" s="15"/>
      <c r="C5060" s="9">
        <f>IFERROR(__xludf.DUMMYFUNCTION("""COMPUTED_VALUE"""),45091.600158449)</f>
        <v>45091.60016</v>
      </c>
      <c r="D5060" s="15">
        <f>IFERROR(__xludf.DUMMYFUNCTION("""COMPUTED_VALUE"""),1.006)</f>
        <v>1.006</v>
      </c>
      <c r="E5060" s="16">
        <f>IFERROR(__xludf.DUMMYFUNCTION("""COMPUTED_VALUE"""),69.0)</f>
        <v>69</v>
      </c>
      <c r="F5060" s="19" t="str">
        <f>IFERROR(__xludf.DUMMYFUNCTION("""COMPUTED_VALUE"""),"BLACK")</f>
        <v>BLACK</v>
      </c>
      <c r="G5060" s="20" t="str">
        <f>IFERROR(__xludf.DUMMYFUNCTION("""COMPUTED_VALUE"""),"Uncle Sams Cider (04/04/2023)")</f>
        <v>Uncle Sams Cider (04/04/2023)</v>
      </c>
      <c r="H5060" s="19"/>
    </row>
    <row r="5061">
      <c r="A5061" s="9"/>
      <c r="B5061" s="15"/>
      <c r="C5061" s="9">
        <f>IFERROR(__xludf.DUMMYFUNCTION("""COMPUTED_VALUE"""),45091.589736875)</f>
        <v>45091.58974</v>
      </c>
      <c r="D5061" s="15">
        <f>IFERROR(__xludf.DUMMYFUNCTION("""COMPUTED_VALUE"""),1.006)</f>
        <v>1.006</v>
      </c>
      <c r="E5061" s="16">
        <f>IFERROR(__xludf.DUMMYFUNCTION("""COMPUTED_VALUE"""),69.0)</f>
        <v>69</v>
      </c>
      <c r="F5061" s="19" t="str">
        <f>IFERROR(__xludf.DUMMYFUNCTION("""COMPUTED_VALUE"""),"BLACK")</f>
        <v>BLACK</v>
      </c>
      <c r="G5061" s="20" t="str">
        <f>IFERROR(__xludf.DUMMYFUNCTION("""COMPUTED_VALUE"""),"Uncle Sams Cider (04/04/2023)")</f>
        <v>Uncle Sams Cider (04/04/2023)</v>
      </c>
      <c r="H5061" s="19"/>
    </row>
    <row r="5062">
      <c r="A5062" s="9"/>
      <c r="B5062" s="15"/>
      <c r="C5062" s="9">
        <f>IFERROR(__xludf.DUMMYFUNCTION("""COMPUTED_VALUE"""),45091.579315625)</f>
        <v>45091.57932</v>
      </c>
      <c r="D5062" s="15">
        <f>IFERROR(__xludf.DUMMYFUNCTION("""COMPUTED_VALUE"""),1.006)</f>
        <v>1.006</v>
      </c>
      <c r="E5062" s="16">
        <f>IFERROR(__xludf.DUMMYFUNCTION("""COMPUTED_VALUE"""),69.0)</f>
        <v>69</v>
      </c>
      <c r="F5062" s="19" t="str">
        <f>IFERROR(__xludf.DUMMYFUNCTION("""COMPUTED_VALUE"""),"BLACK")</f>
        <v>BLACK</v>
      </c>
      <c r="G5062" s="20" t="str">
        <f>IFERROR(__xludf.DUMMYFUNCTION("""COMPUTED_VALUE"""),"Uncle Sams Cider (04/04/2023)")</f>
        <v>Uncle Sams Cider (04/04/2023)</v>
      </c>
      <c r="H5062" s="19"/>
    </row>
    <row r="5063">
      <c r="A5063" s="9"/>
      <c r="B5063" s="15"/>
      <c r="C5063" s="9">
        <f>IFERROR(__xludf.DUMMYFUNCTION("""COMPUTED_VALUE"""),45091.5688922801)</f>
        <v>45091.56889</v>
      </c>
      <c r="D5063" s="15">
        <f>IFERROR(__xludf.DUMMYFUNCTION("""COMPUTED_VALUE"""),1.006)</f>
        <v>1.006</v>
      </c>
      <c r="E5063" s="16">
        <f>IFERROR(__xludf.DUMMYFUNCTION("""COMPUTED_VALUE"""),69.0)</f>
        <v>69</v>
      </c>
      <c r="F5063" s="19" t="str">
        <f>IFERROR(__xludf.DUMMYFUNCTION("""COMPUTED_VALUE"""),"BLACK")</f>
        <v>BLACK</v>
      </c>
      <c r="G5063" s="20" t="str">
        <f>IFERROR(__xludf.DUMMYFUNCTION("""COMPUTED_VALUE"""),"Uncle Sams Cider (04/04/2023)")</f>
        <v>Uncle Sams Cider (04/04/2023)</v>
      </c>
      <c r="H5063" s="19"/>
    </row>
    <row r="5064">
      <c r="A5064" s="9"/>
      <c r="B5064" s="15"/>
      <c r="C5064" s="9">
        <f>IFERROR(__xludf.DUMMYFUNCTION("""COMPUTED_VALUE"""),45091.5584698379)</f>
        <v>45091.55847</v>
      </c>
      <c r="D5064" s="15">
        <f>IFERROR(__xludf.DUMMYFUNCTION("""COMPUTED_VALUE"""),1.006)</f>
        <v>1.006</v>
      </c>
      <c r="E5064" s="16">
        <f>IFERROR(__xludf.DUMMYFUNCTION("""COMPUTED_VALUE"""),69.0)</f>
        <v>69</v>
      </c>
      <c r="F5064" s="19" t="str">
        <f>IFERROR(__xludf.DUMMYFUNCTION("""COMPUTED_VALUE"""),"BLACK")</f>
        <v>BLACK</v>
      </c>
      <c r="G5064" s="20" t="str">
        <f>IFERROR(__xludf.DUMMYFUNCTION("""COMPUTED_VALUE"""),"Uncle Sams Cider (04/04/2023)")</f>
        <v>Uncle Sams Cider (04/04/2023)</v>
      </c>
      <c r="H5064" s="19"/>
    </row>
    <row r="5065">
      <c r="A5065" s="9"/>
      <c r="B5065" s="15"/>
      <c r="C5065" s="9">
        <f>IFERROR(__xludf.DUMMYFUNCTION("""COMPUTED_VALUE"""),45091.548049074)</f>
        <v>45091.54805</v>
      </c>
      <c r="D5065" s="15">
        <f>IFERROR(__xludf.DUMMYFUNCTION("""COMPUTED_VALUE"""),1.006)</f>
        <v>1.006</v>
      </c>
      <c r="E5065" s="16">
        <f>IFERROR(__xludf.DUMMYFUNCTION("""COMPUTED_VALUE"""),69.0)</f>
        <v>69</v>
      </c>
      <c r="F5065" s="19" t="str">
        <f>IFERROR(__xludf.DUMMYFUNCTION("""COMPUTED_VALUE"""),"BLACK")</f>
        <v>BLACK</v>
      </c>
      <c r="G5065" s="20" t="str">
        <f>IFERROR(__xludf.DUMMYFUNCTION("""COMPUTED_VALUE"""),"Uncle Sams Cider (04/04/2023)")</f>
        <v>Uncle Sams Cider (04/04/2023)</v>
      </c>
      <c r="H5065" s="19"/>
    </row>
    <row r="5066">
      <c r="A5066" s="9"/>
      <c r="B5066" s="15"/>
      <c r="C5066" s="9">
        <f>IFERROR(__xludf.DUMMYFUNCTION("""COMPUTED_VALUE"""),45091.5376277777)</f>
        <v>45091.53763</v>
      </c>
      <c r="D5066" s="15">
        <f>IFERROR(__xludf.DUMMYFUNCTION("""COMPUTED_VALUE"""),1.006)</f>
        <v>1.006</v>
      </c>
      <c r="E5066" s="16">
        <f>IFERROR(__xludf.DUMMYFUNCTION("""COMPUTED_VALUE"""),69.0)</f>
        <v>69</v>
      </c>
      <c r="F5066" s="19" t="str">
        <f>IFERROR(__xludf.DUMMYFUNCTION("""COMPUTED_VALUE"""),"BLACK")</f>
        <v>BLACK</v>
      </c>
      <c r="G5066" s="20" t="str">
        <f>IFERROR(__xludf.DUMMYFUNCTION("""COMPUTED_VALUE"""),"Uncle Sams Cider (04/04/2023)")</f>
        <v>Uncle Sams Cider (04/04/2023)</v>
      </c>
      <c r="H5066" s="19"/>
    </row>
    <row r="5067">
      <c r="A5067" s="9"/>
      <c r="B5067" s="15"/>
      <c r="C5067" s="9">
        <f>IFERROR(__xludf.DUMMYFUNCTION("""COMPUTED_VALUE"""),45091.527208287)</f>
        <v>45091.52721</v>
      </c>
      <c r="D5067" s="15">
        <f>IFERROR(__xludf.DUMMYFUNCTION("""COMPUTED_VALUE"""),1.006)</f>
        <v>1.006</v>
      </c>
      <c r="E5067" s="16">
        <f>IFERROR(__xludf.DUMMYFUNCTION("""COMPUTED_VALUE"""),69.0)</f>
        <v>69</v>
      </c>
      <c r="F5067" s="19" t="str">
        <f>IFERROR(__xludf.DUMMYFUNCTION("""COMPUTED_VALUE"""),"BLACK")</f>
        <v>BLACK</v>
      </c>
      <c r="G5067" s="20" t="str">
        <f>IFERROR(__xludf.DUMMYFUNCTION("""COMPUTED_VALUE"""),"Uncle Sams Cider (04/04/2023)")</f>
        <v>Uncle Sams Cider (04/04/2023)</v>
      </c>
      <c r="H5067" s="19"/>
    </row>
    <row r="5068">
      <c r="A5068" s="9"/>
      <c r="B5068" s="15"/>
      <c r="C5068" s="9">
        <f>IFERROR(__xludf.DUMMYFUNCTION("""COMPUTED_VALUE"""),45091.5167873032)</f>
        <v>45091.51679</v>
      </c>
      <c r="D5068" s="15">
        <f>IFERROR(__xludf.DUMMYFUNCTION("""COMPUTED_VALUE"""),1.006)</f>
        <v>1.006</v>
      </c>
      <c r="E5068" s="16">
        <f>IFERROR(__xludf.DUMMYFUNCTION("""COMPUTED_VALUE"""),69.0)</f>
        <v>69</v>
      </c>
      <c r="F5068" s="19" t="str">
        <f>IFERROR(__xludf.DUMMYFUNCTION("""COMPUTED_VALUE"""),"BLACK")</f>
        <v>BLACK</v>
      </c>
      <c r="G5068" s="20" t="str">
        <f>IFERROR(__xludf.DUMMYFUNCTION("""COMPUTED_VALUE"""),"Uncle Sams Cider (04/04/2023)")</f>
        <v>Uncle Sams Cider (04/04/2023)</v>
      </c>
      <c r="H5068" s="19"/>
    </row>
    <row r="5069">
      <c r="A5069" s="9"/>
      <c r="B5069" s="15"/>
      <c r="C5069" s="9">
        <f>IFERROR(__xludf.DUMMYFUNCTION("""COMPUTED_VALUE"""),45091.5063552199)</f>
        <v>45091.50636</v>
      </c>
      <c r="D5069" s="15">
        <f>IFERROR(__xludf.DUMMYFUNCTION("""COMPUTED_VALUE"""),1.006)</f>
        <v>1.006</v>
      </c>
      <c r="E5069" s="16">
        <f>IFERROR(__xludf.DUMMYFUNCTION("""COMPUTED_VALUE"""),69.0)</f>
        <v>69</v>
      </c>
      <c r="F5069" s="19" t="str">
        <f>IFERROR(__xludf.DUMMYFUNCTION("""COMPUTED_VALUE"""),"BLACK")</f>
        <v>BLACK</v>
      </c>
      <c r="G5069" s="20" t="str">
        <f>IFERROR(__xludf.DUMMYFUNCTION("""COMPUTED_VALUE"""),"Uncle Sams Cider (04/04/2023)")</f>
        <v>Uncle Sams Cider (04/04/2023)</v>
      </c>
      <c r="H5069" s="19"/>
    </row>
    <row r="5070">
      <c r="A5070" s="9"/>
      <c r="B5070" s="15"/>
      <c r="C5070" s="9">
        <f>IFERROR(__xludf.DUMMYFUNCTION("""COMPUTED_VALUE"""),45091.4959221875)</f>
        <v>45091.49592</v>
      </c>
      <c r="D5070" s="15">
        <f>IFERROR(__xludf.DUMMYFUNCTION("""COMPUTED_VALUE"""),1.006)</f>
        <v>1.006</v>
      </c>
      <c r="E5070" s="16">
        <f>IFERROR(__xludf.DUMMYFUNCTION("""COMPUTED_VALUE"""),69.0)</f>
        <v>69</v>
      </c>
      <c r="F5070" s="19" t="str">
        <f>IFERROR(__xludf.DUMMYFUNCTION("""COMPUTED_VALUE"""),"BLACK")</f>
        <v>BLACK</v>
      </c>
      <c r="G5070" s="20" t="str">
        <f>IFERROR(__xludf.DUMMYFUNCTION("""COMPUTED_VALUE"""),"Uncle Sams Cider (04/04/2023)")</f>
        <v>Uncle Sams Cider (04/04/2023)</v>
      </c>
      <c r="H5070" s="19"/>
    </row>
    <row r="5071">
      <c r="A5071" s="9"/>
      <c r="B5071" s="15"/>
      <c r="C5071" s="9">
        <f>IFERROR(__xludf.DUMMYFUNCTION("""COMPUTED_VALUE"""),45091.485502743)</f>
        <v>45091.4855</v>
      </c>
      <c r="D5071" s="15">
        <f>IFERROR(__xludf.DUMMYFUNCTION("""COMPUTED_VALUE"""),1.006)</f>
        <v>1.006</v>
      </c>
      <c r="E5071" s="16">
        <f>IFERROR(__xludf.DUMMYFUNCTION("""COMPUTED_VALUE"""),69.0)</f>
        <v>69</v>
      </c>
      <c r="F5071" s="19" t="str">
        <f>IFERROR(__xludf.DUMMYFUNCTION("""COMPUTED_VALUE"""),"BLACK")</f>
        <v>BLACK</v>
      </c>
      <c r="G5071" s="20" t="str">
        <f>IFERROR(__xludf.DUMMYFUNCTION("""COMPUTED_VALUE"""),"Uncle Sams Cider (04/04/2023)")</f>
        <v>Uncle Sams Cider (04/04/2023)</v>
      </c>
      <c r="H5071" s="19"/>
    </row>
    <row r="5072">
      <c r="A5072" s="9"/>
      <c r="B5072" s="15"/>
      <c r="C5072" s="9">
        <f>IFERROR(__xludf.DUMMYFUNCTION("""COMPUTED_VALUE"""),45091.4750816782)</f>
        <v>45091.47508</v>
      </c>
      <c r="D5072" s="15">
        <f>IFERROR(__xludf.DUMMYFUNCTION("""COMPUTED_VALUE"""),1.006)</f>
        <v>1.006</v>
      </c>
      <c r="E5072" s="16">
        <f>IFERROR(__xludf.DUMMYFUNCTION("""COMPUTED_VALUE"""),69.0)</f>
        <v>69</v>
      </c>
      <c r="F5072" s="19" t="str">
        <f>IFERROR(__xludf.DUMMYFUNCTION("""COMPUTED_VALUE"""),"BLACK")</f>
        <v>BLACK</v>
      </c>
      <c r="G5072" s="20" t="str">
        <f>IFERROR(__xludf.DUMMYFUNCTION("""COMPUTED_VALUE"""),"Uncle Sams Cider (04/04/2023)")</f>
        <v>Uncle Sams Cider (04/04/2023)</v>
      </c>
      <c r="H5072" s="19"/>
    </row>
    <row r="5073">
      <c r="A5073" s="9"/>
      <c r="B5073" s="15"/>
      <c r="C5073" s="9">
        <f>IFERROR(__xludf.DUMMYFUNCTION("""COMPUTED_VALUE"""),45091.4646613888)</f>
        <v>45091.46466</v>
      </c>
      <c r="D5073" s="15">
        <f>IFERROR(__xludf.DUMMYFUNCTION("""COMPUTED_VALUE"""),1.006)</f>
        <v>1.006</v>
      </c>
      <c r="E5073" s="16">
        <f>IFERROR(__xludf.DUMMYFUNCTION("""COMPUTED_VALUE"""),69.0)</f>
        <v>69</v>
      </c>
      <c r="F5073" s="19" t="str">
        <f>IFERROR(__xludf.DUMMYFUNCTION("""COMPUTED_VALUE"""),"BLACK")</f>
        <v>BLACK</v>
      </c>
      <c r="G5073" s="20" t="str">
        <f>IFERROR(__xludf.DUMMYFUNCTION("""COMPUTED_VALUE"""),"Uncle Sams Cider (04/04/2023)")</f>
        <v>Uncle Sams Cider (04/04/2023)</v>
      </c>
      <c r="H5073" s="19"/>
    </row>
    <row r="5074">
      <c r="A5074" s="9"/>
      <c r="B5074" s="15"/>
      <c r="C5074" s="9">
        <f>IFERROR(__xludf.DUMMYFUNCTION("""COMPUTED_VALUE"""),45091.4542279282)</f>
        <v>45091.45423</v>
      </c>
      <c r="D5074" s="15">
        <f>IFERROR(__xludf.DUMMYFUNCTION("""COMPUTED_VALUE"""),1.007)</f>
        <v>1.007</v>
      </c>
      <c r="E5074" s="16">
        <f>IFERROR(__xludf.DUMMYFUNCTION("""COMPUTED_VALUE"""),69.0)</f>
        <v>69</v>
      </c>
      <c r="F5074" s="19" t="str">
        <f>IFERROR(__xludf.DUMMYFUNCTION("""COMPUTED_VALUE"""),"BLACK")</f>
        <v>BLACK</v>
      </c>
      <c r="G5074" s="20" t="str">
        <f>IFERROR(__xludf.DUMMYFUNCTION("""COMPUTED_VALUE"""),"Uncle Sams Cider (04/04/2023)")</f>
        <v>Uncle Sams Cider (04/04/2023)</v>
      </c>
      <c r="H5074" s="19"/>
    </row>
    <row r="5075">
      <c r="A5075" s="9"/>
      <c r="B5075" s="15"/>
      <c r="C5075" s="9">
        <f>IFERROR(__xludf.DUMMYFUNCTION("""COMPUTED_VALUE"""),45091.4437962963)</f>
        <v>45091.4438</v>
      </c>
      <c r="D5075" s="15">
        <f>IFERROR(__xludf.DUMMYFUNCTION("""COMPUTED_VALUE"""),1.006)</f>
        <v>1.006</v>
      </c>
      <c r="E5075" s="16">
        <f>IFERROR(__xludf.DUMMYFUNCTION("""COMPUTED_VALUE"""),69.0)</f>
        <v>69</v>
      </c>
      <c r="F5075" s="19" t="str">
        <f>IFERROR(__xludf.DUMMYFUNCTION("""COMPUTED_VALUE"""),"BLACK")</f>
        <v>BLACK</v>
      </c>
      <c r="G5075" s="20" t="str">
        <f>IFERROR(__xludf.DUMMYFUNCTION("""COMPUTED_VALUE"""),"Uncle Sams Cider (04/04/2023)")</f>
        <v>Uncle Sams Cider (04/04/2023)</v>
      </c>
      <c r="H5075" s="19"/>
    </row>
    <row r="5076">
      <c r="A5076" s="9"/>
      <c r="B5076" s="15"/>
      <c r="C5076" s="9">
        <f>IFERROR(__xludf.DUMMYFUNCTION("""COMPUTED_VALUE"""),45091.4333756134)</f>
        <v>45091.43338</v>
      </c>
      <c r="D5076" s="15">
        <f>IFERROR(__xludf.DUMMYFUNCTION("""COMPUTED_VALUE"""),1.006)</f>
        <v>1.006</v>
      </c>
      <c r="E5076" s="16">
        <f>IFERROR(__xludf.DUMMYFUNCTION("""COMPUTED_VALUE"""),69.0)</f>
        <v>69</v>
      </c>
      <c r="F5076" s="19" t="str">
        <f>IFERROR(__xludf.DUMMYFUNCTION("""COMPUTED_VALUE"""),"BLACK")</f>
        <v>BLACK</v>
      </c>
      <c r="G5076" s="20" t="str">
        <f>IFERROR(__xludf.DUMMYFUNCTION("""COMPUTED_VALUE"""),"Uncle Sams Cider (04/04/2023)")</f>
        <v>Uncle Sams Cider (04/04/2023)</v>
      </c>
      <c r="H5076" s="19"/>
    </row>
    <row r="5077">
      <c r="A5077" s="9"/>
      <c r="B5077" s="15"/>
      <c r="C5077" s="9">
        <f>IFERROR(__xludf.DUMMYFUNCTION("""COMPUTED_VALUE"""),45091.4229542361)</f>
        <v>45091.42295</v>
      </c>
      <c r="D5077" s="15">
        <f>IFERROR(__xludf.DUMMYFUNCTION("""COMPUTED_VALUE"""),1.006)</f>
        <v>1.006</v>
      </c>
      <c r="E5077" s="16">
        <f>IFERROR(__xludf.DUMMYFUNCTION("""COMPUTED_VALUE"""),69.0)</f>
        <v>69</v>
      </c>
      <c r="F5077" s="19" t="str">
        <f>IFERROR(__xludf.DUMMYFUNCTION("""COMPUTED_VALUE"""),"BLACK")</f>
        <v>BLACK</v>
      </c>
      <c r="G5077" s="20" t="str">
        <f>IFERROR(__xludf.DUMMYFUNCTION("""COMPUTED_VALUE"""),"Uncle Sams Cider (04/04/2023)")</f>
        <v>Uncle Sams Cider (04/04/2023)</v>
      </c>
      <c r="H5077" s="19"/>
    </row>
    <row r="5078">
      <c r="A5078" s="9"/>
      <c r="B5078" s="15"/>
      <c r="C5078" s="9">
        <f>IFERROR(__xludf.DUMMYFUNCTION("""COMPUTED_VALUE"""),45091.4021006365)</f>
        <v>45091.4021</v>
      </c>
      <c r="D5078" s="15">
        <f>IFERROR(__xludf.DUMMYFUNCTION("""COMPUTED_VALUE"""),1.006)</f>
        <v>1.006</v>
      </c>
      <c r="E5078" s="16">
        <f>IFERROR(__xludf.DUMMYFUNCTION("""COMPUTED_VALUE"""),69.0)</f>
        <v>69</v>
      </c>
      <c r="F5078" s="19" t="str">
        <f>IFERROR(__xludf.DUMMYFUNCTION("""COMPUTED_VALUE"""),"BLACK")</f>
        <v>BLACK</v>
      </c>
      <c r="G5078" s="20" t="str">
        <f>IFERROR(__xludf.DUMMYFUNCTION("""COMPUTED_VALUE"""),"Uncle Sams Cider (04/04/2023)")</f>
        <v>Uncle Sams Cider (04/04/2023)</v>
      </c>
      <c r="H5078" s="19"/>
    </row>
    <row r="5079">
      <c r="A5079" s="9"/>
      <c r="B5079" s="15"/>
      <c r="C5079" s="9">
        <f>IFERROR(__xludf.DUMMYFUNCTION("""COMPUTED_VALUE"""),45091.3916798148)</f>
        <v>45091.39168</v>
      </c>
      <c r="D5079" s="15">
        <f>IFERROR(__xludf.DUMMYFUNCTION("""COMPUTED_VALUE"""),1.006)</f>
        <v>1.006</v>
      </c>
      <c r="E5079" s="16">
        <f>IFERROR(__xludf.DUMMYFUNCTION("""COMPUTED_VALUE"""),69.0)</f>
        <v>69</v>
      </c>
      <c r="F5079" s="19" t="str">
        <f>IFERROR(__xludf.DUMMYFUNCTION("""COMPUTED_VALUE"""),"BLACK")</f>
        <v>BLACK</v>
      </c>
      <c r="G5079" s="20" t="str">
        <f>IFERROR(__xludf.DUMMYFUNCTION("""COMPUTED_VALUE"""),"Uncle Sams Cider (04/04/2023)")</f>
        <v>Uncle Sams Cider (04/04/2023)</v>
      </c>
      <c r="H5079" s="19"/>
    </row>
    <row r="5080">
      <c r="A5080" s="9"/>
      <c r="B5080" s="15"/>
      <c r="C5080" s="9">
        <f>IFERROR(__xludf.DUMMYFUNCTION("""COMPUTED_VALUE"""),45091.3708358796)</f>
        <v>45091.37084</v>
      </c>
      <c r="D5080" s="15">
        <f>IFERROR(__xludf.DUMMYFUNCTION("""COMPUTED_VALUE"""),1.006)</f>
        <v>1.006</v>
      </c>
      <c r="E5080" s="16">
        <f>IFERROR(__xludf.DUMMYFUNCTION("""COMPUTED_VALUE"""),69.0)</f>
        <v>69</v>
      </c>
      <c r="F5080" s="19" t="str">
        <f>IFERROR(__xludf.DUMMYFUNCTION("""COMPUTED_VALUE"""),"BLACK")</f>
        <v>BLACK</v>
      </c>
      <c r="G5080" s="20" t="str">
        <f>IFERROR(__xludf.DUMMYFUNCTION("""COMPUTED_VALUE"""),"Uncle Sams Cider (04/04/2023)")</f>
        <v>Uncle Sams Cider (04/04/2023)</v>
      </c>
      <c r="H5080" s="19"/>
    </row>
    <row r="5081">
      <c r="A5081" s="9"/>
      <c r="B5081" s="15"/>
      <c r="C5081" s="9">
        <f>IFERROR(__xludf.DUMMYFUNCTION("""COMPUTED_VALUE"""),45091.3603779051)</f>
        <v>45091.36038</v>
      </c>
      <c r="D5081" s="15">
        <f>IFERROR(__xludf.DUMMYFUNCTION("""COMPUTED_VALUE"""),1.006)</f>
        <v>1.006</v>
      </c>
      <c r="E5081" s="16">
        <f>IFERROR(__xludf.DUMMYFUNCTION("""COMPUTED_VALUE"""),69.0)</f>
        <v>69</v>
      </c>
      <c r="F5081" s="19" t="str">
        <f>IFERROR(__xludf.DUMMYFUNCTION("""COMPUTED_VALUE"""),"BLACK")</f>
        <v>BLACK</v>
      </c>
      <c r="G5081" s="20" t="str">
        <f>IFERROR(__xludf.DUMMYFUNCTION("""COMPUTED_VALUE"""),"Uncle Sams Cider (04/04/2023)")</f>
        <v>Uncle Sams Cider (04/04/2023)</v>
      </c>
      <c r="H5081" s="19"/>
    </row>
    <row r="5082">
      <c r="A5082" s="9"/>
      <c r="B5082" s="15"/>
      <c r="C5082" s="9">
        <f>IFERROR(__xludf.DUMMYFUNCTION("""COMPUTED_VALUE"""),45091.349933287)</f>
        <v>45091.34993</v>
      </c>
      <c r="D5082" s="15">
        <f>IFERROR(__xludf.DUMMYFUNCTION("""COMPUTED_VALUE"""),1.006)</f>
        <v>1.006</v>
      </c>
      <c r="E5082" s="16">
        <f>IFERROR(__xludf.DUMMYFUNCTION("""COMPUTED_VALUE"""),69.0)</f>
        <v>69</v>
      </c>
      <c r="F5082" s="19" t="str">
        <f>IFERROR(__xludf.DUMMYFUNCTION("""COMPUTED_VALUE"""),"BLACK")</f>
        <v>BLACK</v>
      </c>
      <c r="G5082" s="20" t="str">
        <f>IFERROR(__xludf.DUMMYFUNCTION("""COMPUTED_VALUE"""),"Uncle Sams Cider (04/04/2023)")</f>
        <v>Uncle Sams Cider (04/04/2023)</v>
      </c>
      <c r="H5082" s="19"/>
    </row>
    <row r="5083">
      <c r="A5083" s="9"/>
      <c r="B5083" s="15"/>
      <c r="C5083" s="9">
        <f>IFERROR(__xludf.DUMMYFUNCTION("""COMPUTED_VALUE"""),45091.3395123032)</f>
        <v>45091.33951</v>
      </c>
      <c r="D5083" s="15">
        <f>IFERROR(__xludf.DUMMYFUNCTION("""COMPUTED_VALUE"""),1.006)</f>
        <v>1.006</v>
      </c>
      <c r="E5083" s="16">
        <f>IFERROR(__xludf.DUMMYFUNCTION("""COMPUTED_VALUE"""),69.0)</f>
        <v>69</v>
      </c>
      <c r="F5083" s="19" t="str">
        <f>IFERROR(__xludf.DUMMYFUNCTION("""COMPUTED_VALUE"""),"BLACK")</f>
        <v>BLACK</v>
      </c>
      <c r="G5083" s="20" t="str">
        <f>IFERROR(__xludf.DUMMYFUNCTION("""COMPUTED_VALUE"""),"Uncle Sams Cider (04/04/2023)")</f>
        <v>Uncle Sams Cider (04/04/2023)</v>
      </c>
      <c r="H5083" s="19"/>
    </row>
    <row r="5084">
      <c r="A5084" s="9"/>
      <c r="B5084" s="15"/>
      <c r="C5084" s="9">
        <f>IFERROR(__xludf.DUMMYFUNCTION("""COMPUTED_VALUE"""),45091.3290797916)</f>
        <v>45091.32908</v>
      </c>
      <c r="D5084" s="15">
        <f>IFERROR(__xludf.DUMMYFUNCTION("""COMPUTED_VALUE"""),1.007)</f>
        <v>1.007</v>
      </c>
      <c r="E5084" s="16">
        <f>IFERROR(__xludf.DUMMYFUNCTION("""COMPUTED_VALUE"""),69.0)</f>
        <v>69</v>
      </c>
      <c r="F5084" s="19" t="str">
        <f>IFERROR(__xludf.DUMMYFUNCTION("""COMPUTED_VALUE"""),"BLACK")</f>
        <v>BLACK</v>
      </c>
      <c r="G5084" s="20" t="str">
        <f>IFERROR(__xludf.DUMMYFUNCTION("""COMPUTED_VALUE"""),"Uncle Sams Cider (04/04/2023)")</f>
        <v>Uncle Sams Cider (04/04/2023)</v>
      </c>
      <c r="H5084" s="19"/>
    </row>
    <row r="5085">
      <c r="A5085" s="9"/>
      <c r="B5085" s="15"/>
      <c r="C5085" s="9">
        <f>IFERROR(__xludf.DUMMYFUNCTION("""COMPUTED_VALUE"""),45091.3186474768)</f>
        <v>45091.31865</v>
      </c>
      <c r="D5085" s="15">
        <f>IFERROR(__xludf.DUMMYFUNCTION("""COMPUTED_VALUE"""),1.006)</f>
        <v>1.006</v>
      </c>
      <c r="E5085" s="16">
        <f>IFERROR(__xludf.DUMMYFUNCTION("""COMPUTED_VALUE"""),69.0)</f>
        <v>69</v>
      </c>
      <c r="F5085" s="19" t="str">
        <f>IFERROR(__xludf.DUMMYFUNCTION("""COMPUTED_VALUE"""),"BLACK")</f>
        <v>BLACK</v>
      </c>
      <c r="G5085" s="20" t="str">
        <f>IFERROR(__xludf.DUMMYFUNCTION("""COMPUTED_VALUE"""),"Uncle Sams Cider (04/04/2023)")</f>
        <v>Uncle Sams Cider (04/04/2023)</v>
      </c>
      <c r="H5085" s="19"/>
    </row>
    <row r="5086">
      <c r="A5086" s="9"/>
      <c r="B5086" s="15"/>
      <c r="C5086" s="9">
        <f>IFERROR(__xludf.DUMMYFUNCTION("""COMPUTED_VALUE"""),45091.3082273032)</f>
        <v>45091.30823</v>
      </c>
      <c r="D5086" s="15">
        <f>IFERROR(__xludf.DUMMYFUNCTION("""COMPUTED_VALUE"""),1.006)</f>
        <v>1.006</v>
      </c>
      <c r="E5086" s="16">
        <f>IFERROR(__xludf.DUMMYFUNCTION("""COMPUTED_VALUE"""),69.0)</f>
        <v>69</v>
      </c>
      <c r="F5086" s="19" t="str">
        <f>IFERROR(__xludf.DUMMYFUNCTION("""COMPUTED_VALUE"""),"BLACK")</f>
        <v>BLACK</v>
      </c>
      <c r="G5086" s="20" t="str">
        <f>IFERROR(__xludf.DUMMYFUNCTION("""COMPUTED_VALUE"""),"Uncle Sams Cider (04/04/2023)")</f>
        <v>Uncle Sams Cider (04/04/2023)</v>
      </c>
      <c r="H5086" s="19"/>
    </row>
    <row r="5087">
      <c r="A5087" s="9"/>
      <c r="B5087" s="15"/>
      <c r="C5087" s="9">
        <f>IFERROR(__xludf.DUMMYFUNCTION("""COMPUTED_VALUE"""),45091.2977957407)</f>
        <v>45091.2978</v>
      </c>
      <c r="D5087" s="15">
        <f>IFERROR(__xludf.DUMMYFUNCTION("""COMPUTED_VALUE"""),1.006)</f>
        <v>1.006</v>
      </c>
      <c r="E5087" s="16">
        <f>IFERROR(__xludf.DUMMYFUNCTION("""COMPUTED_VALUE"""),69.0)</f>
        <v>69</v>
      </c>
      <c r="F5087" s="19" t="str">
        <f>IFERROR(__xludf.DUMMYFUNCTION("""COMPUTED_VALUE"""),"BLACK")</f>
        <v>BLACK</v>
      </c>
      <c r="G5087" s="20" t="str">
        <f>IFERROR(__xludf.DUMMYFUNCTION("""COMPUTED_VALUE"""),"Uncle Sams Cider (04/04/2023)")</f>
        <v>Uncle Sams Cider (04/04/2023)</v>
      </c>
      <c r="H5087" s="19"/>
    </row>
    <row r="5088">
      <c r="A5088" s="9"/>
      <c r="B5088" s="15"/>
      <c r="C5088" s="9">
        <f>IFERROR(__xludf.DUMMYFUNCTION("""COMPUTED_VALUE"""),45091.2873765277)</f>
        <v>45091.28738</v>
      </c>
      <c r="D5088" s="15">
        <f>IFERROR(__xludf.DUMMYFUNCTION("""COMPUTED_VALUE"""),1.006)</f>
        <v>1.006</v>
      </c>
      <c r="E5088" s="16">
        <f>IFERROR(__xludf.DUMMYFUNCTION("""COMPUTED_VALUE"""),69.0)</f>
        <v>69</v>
      </c>
      <c r="F5088" s="19" t="str">
        <f>IFERROR(__xludf.DUMMYFUNCTION("""COMPUTED_VALUE"""),"BLACK")</f>
        <v>BLACK</v>
      </c>
      <c r="G5088" s="20" t="str">
        <f>IFERROR(__xludf.DUMMYFUNCTION("""COMPUTED_VALUE"""),"Uncle Sams Cider (04/04/2023)")</f>
        <v>Uncle Sams Cider (04/04/2023)</v>
      </c>
      <c r="H5088" s="19"/>
    </row>
    <row r="5089">
      <c r="A5089" s="9"/>
      <c r="B5089" s="15"/>
      <c r="C5089" s="9">
        <f>IFERROR(__xludf.DUMMYFUNCTION("""COMPUTED_VALUE"""),45091.2769548726)</f>
        <v>45091.27695</v>
      </c>
      <c r="D5089" s="15">
        <f>IFERROR(__xludf.DUMMYFUNCTION("""COMPUTED_VALUE"""),1.006)</f>
        <v>1.006</v>
      </c>
      <c r="E5089" s="16">
        <f>IFERROR(__xludf.DUMMYFUNCTION("""COMPUTED_VALUE"""),69.0)</f>
        <v>69</v>
      </c>
      <c r="F5089" s="19" t="str">
        <f>IFERROR(__xludf.DUMMYFUNCTION("""COMPUTED_VALUE"""),"BLACK")</f>
        <v>BLACK</v>
      </c>
      <c r="G5089" s="20" t="str">
        <f>IFERROR(__xludf.DUMMYFUNCTION("""COMPUTED_VALUE"""),"Uncle Sams Cider (04/04/2023)")</f>
        <v>Uncle Sams Cider (04/04/2023)</v>
      </c>
      <c r="H5089" s="19"/>
    </row>
    <row r="5090">
      <c r="A5090" s="9"/>
      <c r="B5090" s="15"/>
      <c r="C5090" s="9">
        <f>IFERROR(__xludf.DUMMYFUNCTION("""COMPUTED_VALUE"""),45091.2665108101)</f>
        <v>45091.26651</v>
      </c>
      <c r="D5090" s="15">
        <f>IFERROR(__xludf.DUMMYFUNCTION("""COMPUTED_VALUE"""),1.006)</f>
        <v>1.006</v>
      </c>
      <c r="E5090" s="16">
        <f>IFERROR(__xludf.DUMMYFUNCTION("""COMPUTED_VALUE"""),69.0)</f>
        <v>69</v>
      </c>
      <c r="F5090" s="19" t="str">
        <f>IFERROR(__xludf.DUMMYFUNCTION("""COMPUTED_VALUE"""),"BLACK")</f>
        <v>BLACK</v>
      </c>
      <c r="G5090" s="20" t="str">
        <f>IFERROR(__xludf.DUMMYFUNCTION("""COMPUTED_VALUE"""),"Uncle Sams Cider (04/04/2023)")</f>
        <v>Uncle Sams Cider (04/04/2023)</v>
      </c>
      <c r="H5090" s="19"/>
    </row>
    <row r="5091">
      <c r="A5091" s="9"/>
      <c r="B5091" s="15"/>
      <c r="C5091" s="9">
        <f>IFERROR(__xludf.DUMMYFUNCTION("""COMPUTED_VALUE"""),45091.2560664004)</f>
        <v>45091.25607</v>
      </c>
      <c r="D5091" s="15">
        <f>IFERROR(__xludf.DUMMYFUNCTION("""COMPUTED_VALUE"""),1.006)</f>
        <v>1.006</v>
      </c>
      <c r="E5091" s="16">
        <f>IFERROR(__xludf.DUMMYFUNCTION("""COMPUTED_VALUE"""),69.0)</f>
        <v>69</v>
      </c>
      <c r="F5091" s="19" t="str">
        <f>IFERROR(__xludf.DUMMYFUNCTION("""COMPUTED_VALUE"""),"BLACK")</f>
        <v>BLACK</v>
      </c>
      <c r="G5091" s="20" t="str">
        <f>IFERROR(__xludf.DUMMYFUNCTION("""COMPUTED_VALUE"""),"Uncle Sams Cider (04/04/2023)")</f>
        <v>Uncle Sams Cider (04/04/2023)</v>
      </c>
      <c r="H5091" s="19"/>
    </row>
    <row r="5092">
      <c r="A5092" s="9"/>
      <c r="B5092" s="15"/>
      <c r="C5092" s="9">
        <f>IFERROR(__xludf.DUMMYFUNCTION("""COMPUTED_VALUE"""),45091.2456455439)</f>
        <v>45091.24565</v>
      </c>
      <c r="D5092" s="15">
        <f>IFERROR(__xludf.DUMMYFUNCTION("""COMPUTED_VALUE"""),1.006)</f>
        <v>1.006</v>
      </c>
      <c r="E5092" s="16">
        <f>IFERROR(__xludf.DUMMYFUNCTION("""COMPUTED_VALUE"""),69.0)</f>
        <v>69</v>
      </c>
      <c r="F5092" s="19" t="str">
        <f>IFERROR(__xludf.DUMMYFUNCTION("""COMPUTED_VALUE"""),"BLACK")</f>
        <v>BLACK</v>
      </c>
      <c r="G5092" s="20" t="str">
        <f>IFERROR(__xludf.DUMMYFUNCTION("""COMPUTED_VALUE"""),"Uncle Sams Cider (04/04/2023)")</f>
        <v>Uncle Sams Cider (04/04/2023)</v>
      </c>
      <c r="H5092" s="19"/>
    </row>
    <row r="5093">
      <c r="A5093" s="9"/>
      <c r="B5093" s="15"/>
      <c r="C5093" s="9">
        <f>IFERROR(__xludf.DUMMYFUNCTION("""COMPUTED_VALUE"""),45091.2352247916)</f>
        <v>45091.23522</v>
      </c>
      <c r="D5093" s="15">
        <f>IFERROR(__xludf.DUMMYFUNCTION("""COMPUTED_VALUE"""),1.006)</f>
        <v>1.006</v>
      </c>
      <c r="E5093" s="16">
        <f>IFERROR(__xludf.DUMMYFUNCTION("""COMPUTED_VALUE"""),69.0)</f>
        <v>69</v>
      </c>
      <c r="F5093" s="19" t="str">
        <f>IFERROR(__xludf.DUMMYFUNCTION("""COMPUTED_VALUE"""),"BLACK")</f>
        <v>BLACK</v>
      </c>
      <c r="G5093" s="20" t="str">
        <f>IFERROR(__xludf.DUMMYFUNCTION("""COMPUTED_VALUE"""),"Uncle Sams Cider (04/04/2023)")</f>
        <v>Uncle Sams Cider (04/04/2023)</v>
      </c>
      <c r="H5093" s="19"/>
    </row>
    <row r="5094">
      <c r="A5094" s="9"/>
      <c r="B5094" s="15"/>
      <c r="C5094" s="9">
        <f>IFERROR(__xludf.DUMMYFUNCTION("""COMPUTED_VALUE"""),45091.2248019097)</f>
        <v>45091.2248</v>
      </c>
      <c r="D5094" s="15">
        <f>IFERROR(__xludf.DUMMYFUNCTION("""COMPUTED_VALUE"""),1.006)</f>
        <v>1.006</v>
      </c>
      <c r="E5094" s="16">
        <f>IFERROR(__xludf.DUMMYFUNCTION("""COMPUTED_VALUE"""),69.0)</f>
        <v>69</v>
      </c>
      <c r="F5094" s="19" t="str">
        <f>IFERROR(__xludf.DUMMYFUNCTION("""COMPUTED_VALUE"""),"BLACK")</f>
        <v>BLACK</v>
      </c>
      <c r="G5094" s="20" t="str">
        <f>IFERROR(__xludf.DUMMYFUNCTION("""COMPUTED_VALUE"""),"Uncle Sams Cider (04/04/2023)")</f>
        <v>Uncle Sams Cider (04/04/2023)</v>
      </c>
      <c r="H5094" s="19"/>
    </row>
    <row r="5095">
      <c r="A5095" s="9"/>
      <c r="B5095" s="15"/>
      <c r="C5095" s="9">
        <f>IFERROR(__xludf.DUMMYFUNCTION("""COMPUTED_VALUE"""),45091.2143807638)</f>
        <v>45091.21438</v>
      </c>
      <c r="D5095" s="15">
        <f>IFERROR(__xludf.DUMMYFUNCTION("""COMPUTED_VALUE"""),1.006)</f>
        <v>1.006</v>
      </c>
      <c r="E5095" s="16">
        <f>IFERROR(__xludf.DUMMYFUNCTION("""COMPUTED_VALUE"""),69.0)</f>
        <v>69</v>
      </c>
      <c r="F5095" s="19" t="str">
        <f>IFERROR(__xludf.DUMMYFUNCTION("""COMPUTED_VALUE"""),"BLACK")</f>
        <v>BLACK</v>
      </c>
      <c r="G5095" s="20" t="str">
        <f>IFERROR(__xludf.DUMMYFUNCTION("""COMPUTED_VALUE"""),"Uncle Sams Cider (04/04/2023)")</f>
        <v>Uncle Sams Cider (04/04/2023)</v>
      </c>
      <c r="H5095" s="19"/>
    </row>
    <row r="5096">
      <c r="A5096" s="9"/>
      <c r="B5096" s="15"/>
      <c r="C5096" s="9">
        <f>IFERROR(__xludf.DUMMYFUNCTION("""COMPUTED_VALUE"""),45091.2039498263)</f>
        <v>45091.20395</v>
      </c>
      <c r="D5096" s="15">
        <f>IFERROR(__xludf.DUMMYFUNCTION("""COMPUTED_VALUE"""),1.006)</f>
        <v>1.006</v>
      </c>
      <c r="E5096" s="16">
        <f>IFERROR(__xludf.DUMMYFUNCTION("""COMPUTED_VALUE"""),69.0)</f>
        <v>69</v>
      </c>
      <c r="F5096" s="19" t="str">
        <f>IFERROR(__xludf.DUMMYFUNCTION("""COMPUTED_VALUE"""),"BLACK")</f>
        <v>BLACK</v>
      </c>
      <c r="G5096" s="20" t="str">
        <f>IFERROR(__xludf.DUMMYFUNCTION("""COMPUTED_VALUE"""),"Uncle Sams Cider (04/04/2023)")</f>
        <v>Uncle Sams Cider (04/04/2023)</v>
      </c>
      <c r="H5096" s="19"/>
    </row>
    <row r="5097">
      <c r="A5097" s="9"/>
      <c r="B5097" s="15"/>
      <c r="C5097" s="9">
        <f>IFERROR(__xludf.DUMMYFUNCTION("""COMPUTED_VALUE"""),45091.1935167476)</f>
        <v>45091.19352</v>
      </c>
      <c r="D5097" s="15">
        <f>IFERROR(__xludf.DUMMYFUNCTION("""COMPUTED_VALUE"""),1.006)</f>
        <v>1.006</v>
      </c>
      <c r="E5097" s="16">
        <f>IFERROR(__xludf.DUMMYFUNCTION("""COMPUTED_VALUE"""),69.0)</f>
        <v>69</v>
      </c>
      <c r="F5097" s="19" t="str">
        <f>IFERROR(__xludf.DUMMYFUNCTION("""COMPUTED_VALUE"""),"BLACK")</f>
        <v>BLACK</v>
      </c>
      <c r="G5097" s="20" t="str">
        <f>IFERROR(__xludf.DUMMYFUNCTION("""COMPUTED_VALUE"""),"Uncle Sams Cider (04/04/2023)")</f>
        <v>Uncle Sams Cider (04/04/2023)</v>
      </c>
      <c r="H5097" s="19"/>
    </row>
    <row r="5098">
      <c r="A5098" s="9"/>
      <c r="B5098" s="15"/>
      <c r="C5098" s="9">
        <f>IFERROR(__xludf.DUMMYFUNCTION("""COMPUTED_VALUE"""),45091.1830958217)</f>
        <v>45091.1831</v>
      </c>
      <c r="D5098" s="15">
        <f>IFERROR(__xludf.DUMMYFUNCTION("""COMPUTED_VALUE"""),1.006)</f>
        <v>1.006</v>
      </c>
      <c r="E5098" s="16">
        <f>IFERROR(__xludf.DUMMYFUNCTION("""COMPUTED_VALUE"""),69.0)</f>
        <v>69</v>
      </c>
      <c r="F5098" s="19" t="str">
        <f>IFERROR(__xludf.DUMMYFUNCTION("""COMPUTED_VALUE"""),"BLACK")</f>
        <v>BLACK</v>
      </c>
      <c r="G5098" s="20" t="str">
        <f>IFERROR(__xludf.DUMMYFUNCTION("""COMPUTED_VALUE"""),"Uncle Sams Cider (04/04/2023)")</f>
        <v>Uncle Sams Cider (04/04/2023)</v>
      </c>
      <c r="H5098" s="19"/>
    </row>
    <row r="5099">
      <c r="A5099" s="9"/>
      <c r="B5099" s="15"/>
      <c r="C5099" s="9">
        <f>IFERROR(__xludf.DUMMYFUNCTION("""COMPUTED_VALUE"""),45091.1726752777)</f>
        <v>45091.17268</v>
      </c>
      <c r="D5099" s="15">
        <f>IFERROR(__xludf.DUMMYFUNCTION("""COMPUTED_VALUE"""),1.007)</f>
        <v>1.007</v>
      </c>
      <c r="E5099" s="16">
        <f>IFERROR(__xludf.DUMMYFUNCTION("""COMPUTED_VALUE"""),69.0)</f>
        <v>69</v>
      </c>
      <c r="F5099" s="19" t="str">
        <f>IFERROR(__xludf.DUMMYFUNCTION("""COMPUTED_VALUE"""),"BLACK")</f>
        <v>BLACK</v>
      </c>
      <c r="G5099" s="20" t="str">
        <f>IFERROR(__xludf.DUMMYFUNCTION("""COMPUTED_VALUE"""),"Uncle Sams Cider (04/04/2023)")</f>
        <v>Uncle Sams Cider (04/04/2023)</v>
      </c>
      <c r="H5099" s="19"/>
    </row>
    <row r="5100">
      <c r="A5100" s="9"/>
      <c r="B5100" s="15"/>
      <c r="C5100" s="9">
        <f>IFERROR(__xludf.DUMMYFUNCTION("""COMPUTED_VALUE"""),45091.1622544097)</f>
        <v>45091.16225</v>
      </c>
      <c r="D5100" s="15">
        <f>IFERROR(__xludf.DUMMYFUNCTION("""COMPUTED_VALUE"""),1.006)</f>
        <v>1.006</v>
      </c>
      <c r="E5100" s="16">
        <f>IFERROR(__xludf.DUMMYFUNCTION("""COMPUTED_VALUE"""),69.0)</f>
        <v>69</v>
      </c>
      <c r="F5100" s="19" t="str">
        <f>IFERROR(__xludf.DUMMYFUNCTION("""COMPUTED_VALUE"""),"BLACK")</f>
        <v>BLACK</v>
      </c>
      <c r="G5100" s="20" t="str">
        <f>IFERROR(__xludf.DUMMYFUNCTION("""COMPUTED_VALUE"""),"Uncle Sams Cider (04/04/2023)")</f>
        <v>Uncle Sams Cider (04/04/2023)</v>
      </c>
      <c r="H5100" s="19"/>
    </row>
    <row r="5101">
      <c r="A5101" s="9"/>
      <c r="B5101" s="15"/>
      <c r="C5101" s="9">
        <f>IFERROR(__xludf.DUMMYFUNCTION("""COMPUTED_VALUE"""),45091.1518324189)</f>
        <v>45091.15183</v>
      </c>
      <c r="D5101" s="15">
        <f>IFERROR(__xludf.DUMMYFUNCTION("""COMPUTED_VALUE"""),1.006)</f>
        <v>1.006</v>
      </c>
      <c r="E5101" s="16">
        <f>IFERROR(__xludf.DUMMYFUNCTION("""COMPUTED_VALUE"""),69.0)</f>
        <v>69</v>
      </c>
      <c r="F5101" s="19" t="str">
        <f>IFERROR(__xludf.DUMMYFUNCTION("""COMPUTED_VALUE"""),"BLACK")</f>
        <v>BLACK</v>
      </c>
      <c r="G5101" s="20" t="str">
        <f>IFERROR(__xludf.DUMMYFUNCTION("""COMPUTED_VALUE"""),"Uncle Sams Cider (04/04/2023)")</f>
        <v>Uncle Sams Cider (04/04/2023)</v>
      </c>
      <c r="H5101" s="19"/>
    </row>
    <row r="5102">
      <c r="A5102" s="9"/>
      <c r="B5102" s="15"/>
      <c r="C5102" s="9">
        <f>IFERROR(__xludf.DUMMYFUNCTION("""COMPUTED_VALUE"""),45091.14139875)</f>
        <v>45091.1414</v>
      </c>
      <c r="D5102" s="15">
        <f>IFERROR(__xludf.DUMMYFUNCTION("""COMPUTED_VALUE"""),1.006)</f>
        <v>1.006</v>
      </c>
      <c r="E5102" s="16">
        <f>IFERROR(__xludf.DUMMYFUNCTION("""COMPUTED_VALUE"""),69.0)</f>
        <v>69</v>
      </c>
      <c r="F5102" s="19" t="str">
        <f>IFERROR(__xludf.DUMMYFUNCTION("""COMPUTED_VALUE"""),"BLACK")</f>
        <v>BLACK</v>
      </c>
      <c r="G5102" s="20" t="str">
        <f>IFERROR(__xludf.DUMMYFUNCTION("""COMPUTED_VALUE"""),"Uncle Sams Cider (04/04/2023)")</f>
        <v>Uncle Sams Cider (04/04/2023)</v>
      </c>
      <c r="H5102" s="19"/>
    </row>
    <row r="5103">
      <c r="A5103" s="9"/>
      <c r="B5103" s="15"/>
      <c r="C5103" s="9">
        <f>IFERROR(__xludf.DUMMYFUNCTION("""COMPUTED_VALUE"""),45091.1309779166)</f>
        <v>45091.13098</v>
      </c>
      <c r="D5103" s="15">
        <f>IFERROR(__xludf.DUMMYFUNCTION("""COMPUTED_VALUE"""),1.006)</f>
        <v>1.006</v>
      </c>
      <c r="E5103" s="16">
        <f>IFERROR(__xludf.DUMMYFUNCTION("""COMPUTED_VALUE"""),69.0)</f>
        <v>69</v>
      </c>
      <c r="F5103" s="19" t="str">
        <f>IFERROR(__xludf.DUMMYFUNCTION("""COMPUTED_VALUE"""),"BLACK")</f>
        <v>BLACK</v>
      </c>
      <c r="G5103" s="20" t="str">
        <f>IFERROR(__xludf.DUMMYFUNCTION("""COMPUTED_VALUE"""),"Uncle Sams Cider (04/04/2023)")</f>
        <v>Uncle Sams Cider (04/04/2023)</v>
      </c>
      <c r="H5103" s="19"/>
    </row>
    <row r="5104">
      <c r="A5104" s="9"/>
      <c r="B5104" s="15"/>
      <c r="C5104" s="9">
        <f>IFERROR(__xludf.DUMMYFUNCTION("""COMPUTED_VALUE"""),45091.1205561921)</f>
        <v>45091.12056</v>
      </c>
      <c r="D5104" s="15">
        <f>IFERROR(__xludf.DUMMYFUNCTION("""COMPUTED_VALUE"""),1.007)</f>
        <v>1.007</v>
      </c>
      <c r="E5104" s="16">
        <f>IFERROR(__xludf.DUMMYFUNCTION("""COMPUTED_VALUE"""),69.0)</f>
        <v>69</v>
      </c>
      <c r="F5104" s="19" t="str">
        <f>IFERROR(__xludf.DUMMYFUNCTION("""COMPUTED_VALUE"""),"BLACK")</f>
        <v>BLACK</v>
      </c>
      <c r="G5104" s="20" t="str">
        <f>IFERROR(__xludf.DUMMYFUNCTION("""COMPUTED_VALUE"""),"Uncle Sams Cider (04/04/2023)")</f>
        <v>Uncle Sams Cider (04/04/2023)</v>
      </c>
      <c r="H5104" s="19"/>
    </row>
    <row r="5105">
      <c r="A5105" s="9"/>
      <c r="B5105" s="15"/>
      <c r="C5105" s="9">
        <f>IFERROR(__xludf.DUMMYFUNCTION("""COMPUTED_VALUE"""),45091.1101334375)</f>
        <v>45091.11013</v>
      </c>
      <c r="D5105" s="15">
        <f>IFERROR(__xludf.DUMMYFUNCTION("""COMPUTED_VALUE"""),1.006)</f>
        <v>1.006</v>
      </c>
      <c r="E5105" s="16">
        <f>IFERROR(__xludf.DUMMYFUNCTION("""COMPUTED_VALUE"""),69.0)</f>
        <v>69</v>
      </c>
      <c r="F5105" s="19" t="str">
        <f>IFERROR(__xludf.DUMMYFUNCTION("""COMPUTED_VALUE"""),"BLACK")</f>
        <v>BLACK</v>
      </c>
      <c r="G5105" s="20" t="str">
        <f>IFERROR(__xludf.DUMMYFUNCTION("""COMPUTED_VALUE"""),"Uncle Sams Cider (04/04/2023)")</f>
        <v>Uncle Sams Cider (04/04/2023)</v>
      </c>
      <c r="H5105" s="19"/>
    </row>
    <row r="5106">
      <c r="A5106" s="9"/>
      <c r="B5106" s="15"/>
      <c r="C5106" s="9">
        <f>IFERROR(__xludf.DUMMYFUNCTION("""COMPUTED_VALUE"""),45091.0997007291)</f>
        <v>45091.0997</v>
      </c>
      <c r="D5106" s="15">
        <f>IFERROR(__xludf.DUMMYFUNCTION("""COMPUTED_VALUE"""),1.006)</f>
        <v>1.006</v>
      </c>
      <c r="E5106" s="16">
        <f>IFERROR(__xludf.DUMMYFUNCTION("""COMPUTED_VALUE"""),69.0)</f>
        <v>69</v>
      </c>
      <c r="F5106" s="19" t="str">
        <f>IFERROR(__xludf.DUMMYFUNCTION("""COMPUTED_VALUE"""),"BLACK")</f>
        <v>BLACK</v>
      </c>
      <c r="G5106" s="20" t="str">
        <f>IFERROR(__xludf.DUMMYFUNCTION("""COMPUTED_VALUE"""),"Uncle Sams Cider (04/04/2023)")</f>
        <v>Uncle Sams Cider (04/04/2023)</v>
      </c>
      <c r="H5106" s="19"/>
    </row>
    <row r="5107">
      <c r="A5107" s="9"/>
      <c r="B5107" s="15"/>
      <c r="C5107" s="9">
        <f>IFERROR(__xludf.DUMMYFUNCTION("""COMPUTED_VALUE"""),45091.0892787268)</f>
        <v>45091.08928</v>
      </c>
      <c r="D5107" s="15">
        <f>IFERROR(__xludf.DUMMYFUNCTION("""COMPUTED_VALUE"""),1.007)</f>
        <v>1.007</v>
      </c>
      <c r="E5107" s="16">
        <f>IFERROR(__xludf.DUMMYFUNCTION("""COMPUTED_VALUE"""),69.0)</f>
        <v>69</v>
      </c>
      <c r="F5107" s="19" t="str">
        <f>IFERROR(__xludf.DUMMYFUNCTION("""COMPUTED_VALUE"""),"BLACK")</f>
        <v>BLACK</v>
      </c>
      <c r="G5107" s="20" t="str">
        <f>IFERROR(__xludf.DUMMYFUNCTION("""COMPUTED_VALUE"""),"Uncle Sams Cider (04/04/2023)")</f>
        <v>Uncle Sams Cider (04/04/2023)</v>
      </c>
      <c r="H5107" s="19"/>
    </row>
    <row r="5108">
      <c r="A5108" s="9"/>
      <c r="B5108" s="15"/>
      <c r="C5108" s="9">
        <f>IFERROR(__xludf.DUMMYFUNCTION("""COMPUTED_VALUE"""),45091.0788569907)</f>
        <v>45091.07886</v>
      </c>
      <c r="D5108" s="15">
        <f>IFERROR(__xludf.DUMMYFUNCTION("""COMPUTED_VALUE"""),1.006)</f>
        <v>1.006</v>
      </c>
      <c r="E5108" s="16">
        <f>IFERROR(__xludf.DUMMYFUNCTION("""COMPUTED_VALUE"""),69.0)</f>
        <v>69</v>
      </c>
      <c r="F5108" s="19" t="str">
        <f>IFERROR(__xludf.DUMMYFUNCTION("""COMPUTED_VALUE"""),"BLACK")</f>
        <v>BLACK</v>
      </c>
      <c r="G5108" s="20" t="str">
        <f>IFERROR(__xludf.DUMMYFUNCTION("""COMPUTED_VALUE"""),"Uncle Sams Cider (04/04/2023)")</f>
        <v>Uncle Sams Cider (04/04/2023)</v>
      </c>
      <c r="H5108" s="19"/>
    </row>
    <row r="5109">
      <c r="A5109" s="9"/>
      <c r="B5109" s="15"/>
      <c r="C5109" s="9">
        <f>IFERROR(__xludf.DUMMYFUNCTION("""COMPUTED_VALUE"""),45091.0580158101)</f>
        <v>45091.05802</v>
      </c>
      <c r="D5109" s="15">
        <f>IFERROR(__xludf.DUMMYFUNCTION("""COMPUTED_VALUE"""),1.007)</f>
        <v>1.007</v>
      </c>
      <c r="E5109" s="16">
        <f>IFERROR(__xludf.DUMMYFUNCTION("""COMPUTED_VALUE"""),69.0)</f>
        <v>69</v>
      </c>
      <c r="F5109" s="19" t="str">
        <f>IFERROR(__xludf.DUMMYFUNCTION("""COMPUTED_VALUE"""),"BLACK")</f>
        <v>BLACK</v>
      </c>
      <c r="G5109" s="20" t="str">
        <f>IFERROR(__xludf.DUMMYFUNCTION("""COMPUTED_VALUE"""),"Uncle Sams Cider (04/04/2023)")</f>
        <v>Uncle Sams Cider (04/04/2023)</v>
      </c>
      <c r="H5109" s="19"/>
    </row>
    <row r="5110">
      <c r="A5110" s="9"/>
      <c r="B5110" s="15"/>
      <c r="C5110" s="9">
        <f>IFERROR(__xludf.DUMMYFUNCTION("""COMPUTED_VALUE"""),45091.0475961342)</f>
        <v>45091.0476</v>
      </c>
      <c r="D5110" s="15">
        <f>IFERROR(__xludf.DUMMYFUNCTION("""COMPUTED_VALUE"""),1.006)</f>
        <v>1.006</v>
      </c>
      <c r="E5110" s="16">
        <f>IFERROR(__xludf.DUMMYFUNCTION("""COMPUTED_VALUE"""),69.0)</f>
        <v>69</v>
      </c>
      <c r="F5110" s="19" t="str">
        <f>IFERROR(__xludf.DUMMYFUNCTION("""COMPUTED_VALUE"""),"BLACK")</f>
        <v>BLACK</v>
      </c>
      <c r="G5110" s="20" t="str">
        <f>IFERROR(__xludf.DUMMYFUNCTION("""COMPUTED_VALUE"""),"Uncle Sams Cider (04/04/2023)")</f>
        <v>Uncle Sams Cider (04/04/2023)</v>
      </c>
      <c r="H5110" s="19"/>
    </row>
    <row r="5111">
      <c r="A5111" s="9"/>
      <c r="B5111" s="15"/>
      <c r="C5111" s="9">
        <f>IFERROR(__xludf.DUMMYFUNCTION("""COMPUTED_VALUE"""),45091.0371766319)</f>
        <v>45091.03718</v>
      </c>
      <c r="D5111" s="15">
        <f>IFERROR(__xludf.DUMMYFUNCTION("""COMPUTED_VALUE"""),1.006)</f>
        <v>1.006</v>
      </c>
      <c r="E5111" s="16">
        <f>IFERROR(__xludf.DUMMYFUNCTION("""COMPUTED_VALUE"""),69.0)</f>
        <v>69</v>
      </c>
      <c r="F5111" s="19" t="str">
        <f>IFERROR(__xludf.DUMMYFUNCTION("""COMPUTED_VALUE"""),"BLACK")</f>
        <v>BLACK</v>
      </c>
      <c r="G5111" s="20" t="str">
        <f>IFERROR(__xludf.DUMMYFUNCTION("""COMPUTED_VALUE"""),"Uncle Sams Cider (04/04/2023)")</f>
        <v>Uncle Sams Cider (04/04/2023)</v>
      </c>
      <c r="H5111" s="19"/>
    </row>
    <row r="5112">
      <c r="A5112" s="9"/>
      <c r="B5112" s="15"/>
      <c r="C5112" s="9">
        <f>IFERROR(__xludf.DUMMYFUNCTION("""COMPUTED_VALUE"""),45091.0267554166)</f>
        <v>45091.02676</v>
      </c>
      <c r="D5112" s="15">
        <f>IFERROR(__xludf.DUMMYFUNCTION("""COMPUTED_VALUE"""),1.007)</f>
        <v>1.007</v>
      </c>
      <c r="E5112" s="16">
        <f>IFERROR(__xludf.DUMMYFUNCTION("""COMPUTED_VALUE"""),69.0)</f>
        <v>69</v>
      </c>
      <c r="F5112" s="19" t="str">
        <f>IFERROR(__xludf.DUMMYFUNCTION("""COMPUTED_VALUE"""),"BLACK")</f>
        <v>BLACK</v>
      </c>
      <c r="G5112" s="20" t="str">
        <f>IFERROR(__xludf.DUMMYFUNCTION("""COMPUTED_VALUE"""),"Uncle Sams Cider (04/04/2023)")</f>
        <v>Uncle Sams Cider (04/04/2023)</v>
      </c>
      <c r="H5112" s="19"/>
    </row>
    <row r="5113">
      <c r="A5113" s="9"/>
      <c r="B5113" s="15"/>
      <c r="C5113" s="9">
        <f>IFERROR(__xludf.DUMMYFUNCTION("""COMPUTED_VALUE"""),45091.016333287)</f>
        <v>45091.01633</v>
      </c>
      <c r="D5113" s="15">
        <f>IFERROR(__xludf.DUMMYFUNCTION("""COMPUTED_VALUE"""),1.006)</f>
        <v>1.006</v>
      </c>
      <c r="E5113" s="16">
        <f>IFERROR(__xludf.DUMMYFUNCTION("""COMPUTED_VALUE"""),69.0)</f>
        <v>69</v>
      </c>
      <c r="F5113" s="19" t="str">
        <f>IFERROR(__xludf.DUMMYFUNCTION("""COMPUTED_VALUE"""),"BLACK")</f>
        <v>BLACK</v>
      </c>
      <c r="G5113" s="20" t="str">
        <f>IFERROR(__xludf.DUMMYFUNCTION("""COMPUTED_VALUE"""),"Uncle Sams Cider (04/04/2023)")</f>
        <v>Uncle Sams Cider (04/04/2023)</v>
      </c>
      <c r="H5113" s="19"/>
    </row>
    <row r="5114">
      <c r="A5114" s="9"/>
      <c r="B5114" s="15"/>
      <c r="C5114" s="9">
        <f>IFERROR(__xludf.DUMMYFUNCTION("""COMPUTED_VALUE"""),45091.005910625)</f>
        <v>45091.00591</v>
      </c>
      <c r="D5114" s="15">
        <f>IFERROR(__xludf.DUMMYFUNCTION("""COMPUTED_VALUE"""),1.006)</f>
        <v>1.006</v>
      </c>
      <c r="E5114" s="16">
        <f>IFERROR(__xludf.DUMMYFUNCTION("""COMPUTED_VALUE"""),69.0)</f>
        <v>69</v>
      </c>
      <c r="F5114" s="19" t="str">
        <f>IFERROR(__xludf.DUMMYFUNCTION("""COMPUTED_VALUE"""),"BLACK")</f>
        <v>BLACK</v>
      </c>
      <c r="G5114" s="20" t="str">
        <f>IFERROR(__xludf.DUMMYFUNCTION("""COMPUTED_VALUE"""),"Uncle Sams Cider (04/04/2023)")</f>
        <v>Uncle Sams Cider (04/04/2023)</v>
      </c>
      <c r="H5114" s="19"/>
    </row>
    <row r="5115">
      <c r="A5115" s="9"/>
      <c r="B5115" s="15"/>
      <c r="C5115" s="9">
        <f>IFERROR(__xludf.DUMMYFUNCTION("""COMPUTED_VALUE"""),45090.9954876041)</f>
        <v>45090.99549</v>
      </c>
      <c r="D5115" s="15">
        <f>IFERROR(__xludf.DUMMYFUNCTION("""COMPUTED_VALUE"""),1.006)</f>
        <v>1.006</v>
      </c>
      <c r="E5115" s="16">
        <f>IFERROR(__xludf.DUMMYFUNCTION("""COMPUTED_VALUE"""),69.0)</f>
        <v>69</v>
      </c>
      <c r="F5115" s="19" t="str">
        <f>IFERROR(__xludf.DUMMYFUNCTION("""COMPUTED_VALUE"""),"BLACK")</f>
        <v>BLACK</v>
      </c>
      <c r="G5115" s="20" t="str">
        <f>IFERROR(__xludf.DUMMYFUNCTION("""COMPUTED_VALUE"""),"Uncle Sams Cider (04/04/2023)")</f>
        <v>Uncle Sams Cider (04/04/2023)</v>
      </c>
      <c r="H5115" s="19"/>
    </row>
    <row r="5116">
      <c r="A5116" s="9"/>
      <c r="B5116" s="15"/>
      <c r="C5116" s="9">
        <f>IFERROR(__xludf.DUMMYFUNCTION("""COMPUTED_VALUE"""),45090.9850649189)</f>
        <v>45090.98506</v>
      </c>
      <c r="D5116" s="15">
        <f>IFERROR(__xludf.DUMMYFUNCTION("""COMPUTED_VALUE"""),1.006)</f>
        <v>1.006</v>
      </c>
      <c r="E5116" s="16">
        <f>IFERROR(__xludf.DUMMYFUNCTION("""COMPUTED_VALUE"""),69.0)</f>
        <v>69</v>
      </c>
      <c r="F5116" s="19" t="str">
        <f>IFERROR(__xludf.DUMMYFUNCTION("""COMPUTED_VALUE"""),"BLACK")</f>
        <v>BLACK</v>
      </c>
      <c r="G5116" s="20" t="str">
        <f>IFERROR(__xludf.DUMMYFUNCTION("""COMPUTED_VALUE"""),"Uncle Sams Cider (04/04/2023)")</f>
        <v>Uncle Sams Cider (04/04/2023)</v>
      </c>
      <c r="H5116" s="19"/>
    </row>
    <row r="5117">
      <c r="A5117" s="9"/>
      <c r="B5117" s="15"/>
      <c r="C5117" s="9">
        <f>IFERROR(__xludf.DUMMYFUNCTION("""COMPUTED_VALUE"""),45090.9746452314)</f>
        <v>45090.97465</v>
      </c>
      <c r="D5117" s="15">
        <f>IFERROR(__xludf.DUMMYFUNCTION("""COMPUTED_VALUE"""),1.006)</f>
        <v>1.006</v>
      </c>
      <c r="E5117" s="16">
        <f>IFERROR(__xludf.DUMMYFUNCTION("""COMPUTED_VALUE"""),69.0)</f>
        <v>69</v>
      </c>
      <c r="F5117" s="19" t="str">
        <f>IFERROR(__xludf.DUMMYFUNCTION("""COMPUTED_VALUE"""),"BLACK")</f>
        <v>BLACK</v>
      </c>
      <c r="G5117" s="20" t="str">
        <f>IFERROR(__xludf.DUMMYFUNCTION("""COMPUTED_VALUE"""),"Uncle Sams Cider (04/04/2023)")</f>
        <v>Uncle Sams Cider (04/04/2023)</v>
      </c>
      <c r="H5117" s="19"/>
    </row>
    <row r="5118">
      <c r="A5118" s="9"/>
      <c r="B5118" s="15"/>
      <c r="C5118" s="9">
        <f>IFERROR(__xludf.DUMMYFUNCTION("""COMPUTED_VALUE"""),45090.9642241319)</f>
        <v>45090.96422</v>
      </c>
      <c r="D5118" s="15">
        <f>IFERROR(__xludf.DUMMYFUNCTION("""COMPUTED_VALUE"""),1.006)</f>
        <v>1.006</v>
      </c>
      <c r="E5118" s="16">
        <f>IFERROR(__xludf.DUMMYFUNCTION("""COMPUTED_VALUE"""),69.0)</f>
        <v>69</v>
      </c>
      <c r="F5118" s="19" t="str">
        <f>IFERROR(__xludf.DUMMYFUNCTION("""COMPUTED_VALUE"""),"BLACK")</f>
        <v>BLACK</v>
      </c>
      <c r="G5118" s="20" t="str">
        <f>IFERROR(__xludf.DUMMYFUNCTION("""COMPUTED_VALUE"""),"Uncle Sams Cider (04/04/2023)")</f>
        <v>Uncle Sams Cider (04/04/2023)</v>
      </c>
      <c r="H5118" s="19"/>
    </row>
    <row r="5119">
      <c r="A5119" s="9"/>
      <c r="B5119" s="15"/>
      <c r="C5119" s="9">
        <f>IFERROR(__xludf.DUMMYFUNCTION("""COMPUTED_VALUE"""),45090.9538038888)</f>
        <v>45090.9538</v>
      </c>
      <c r="D5119" s="15">
        <f>IFERROR(__xludf.DUMMYFUNCTION("""COMPUTED_VALUE"""),1.006)</f>
        <v>1.006</v>
      </c>
      <c r="E5119" s="16">
        <f>IFERROR(__xludf.DUMMYFUNCTION("""COMPUTED_VALUE"""),69.0)</f>
        <v>69</v>
      </c>
      <c r="F5119" s="19" t="str">
        <f>IFERROR(__xludf.DUMMYFUNCTION("""COMPUTED_VALUE"""),"BLACK")</f>
        <v>BLACK</v>
      </c>
      <c r="G5119" s="20" t="str">
        <f>IFERROR(__xludf.DUMMYFUNCTION("""COMPUTED_VALUE"""),"Uncle Sams Cider (04/04/2023)")</f>
        <v>Uncle Sams Cider (04/04/2023)</v>
      </c>
      <c r="H5119" s="19"/>
    </row>
    <row r="5120">
      <c r="A5120" s="9"/>
      <c r="B5120" s="15"/>
      <c r="C5120" s="9">
        <f>IFERROR(__xludf.DUMMYFUNCTION("""COMPUTED_VALUE"""),45090.9433823263)</f>
        <v>45090.94338</v>
      </c>
      <c r="D5120" s="15">
        <f>IFERROR(__xludf.DUMMYFUNCTION("""COMPUTED_VALUE"""),1.006)</f>
        <v>1.006</v>
      </c>
      <c r="E5120" s="16">
        <f>IFERROR(__xludf.DUMMYFUNCTION("""COMPUTED_VALUE"""),69.0)</f>
        <v>69</v>
      </c>
      <c r="F5120" s="19" t="str">
        <f>IFERROR(__xludf.DUMMYFUNCTION("""COMPUTED_VALUE"""),"BLACK")</f>
        <v>BLACK</v>
      </c>
      <c r="G5120" s="20" t="str">
        <f>IFERROR(__xludf.DUMMYFUNCTION("""COMPUTED_VALUE"""),"Uncle Sams Cider (04/04/2023)")</f>
        <v>Uncle Sams Cider (04/04/2023)</v>
      </c>
      <c r="H5120" s="19"/>
    </row>
    <row r="5121">
      <c r="A5121" s="9"/>
      <c r="B5121" s="15"/>
      <c r="C5121" s="9">
        <f>IFERROR(__xludf.DUMMYFUNCTION("""COMPUTED_VALUE"""),45090.9329491319)</f>
        <v>45090.93295</v>
      </c>
      <c r="D5121" s="15">
        <f>IFERROR(__xludf.DUMMYFUNCTION("""COMPUTED_VALUE"""),1.006)</f>
        <v>1.006</v>
      </c>
      <c r="E5121" s="16">
        <f>IFERROR(__xludf.DUMMYFUNCTION("""COMPUTED_VALUE"""),69.0)</f>
        <v>69</v>
      </c>
      <c r="F5121" s="19" t="str">
        <f>IFERROR(__xludf.DUMMYFUNCTION("""COMPUTED_VALUE"""),"BLACK")</f>
        <v>BLACK</v>
      </c>
      <c r="G5121" s="20" t="str">
        <f>IFERROR(__xludf.DUMMYFUNCTION("""COMPUTED_VALUE"""),"Uncle Sams Cider (04/04/2023)")</f>
        <v>Uncle Sams Cider (04/04/2023)</v>
      </c>
      <c r="H5121" s="19"/>
    </row>
    <row r="5122">
      <c r="A5122" s="9"/>
      <c r="B5122" s="15"/>
      <c r="C5122" s="9">
        <f>IFERROR(__xludf.DUMMYFUNCTION("""COMPUTED_VALUE"""),45090.9225162731)</f>
        <v>45090.92252</v>
      </c>
      <c r="D5122" s="15">
        <f>IFERROR(__xludf.DUMMYFUNCTION("""COMPUTED_VALUE"""),1.006)</f>
        <v>1.006</v>
      </c>
      <c r="E5122" s="16">
        <f>IFERROR(__xludf.DUMMYFUNCTION("""COMPUTED_VALUE"""),69.0)</f>
        <v>69</v>
      </c>
      <c r="F5122" s="19" t="str">
        <f>IFERROR(__xludf.DUMMYFUNCTION("""COMPUTED_VALUE"""),"BLACK")</f>
        <v>BLACK</v>
      </c>
      <c r="G5122" s="20" t="str">
        <f>IFERROR(__xludf.DUMMYFUNCTION("""COMPUTED_VALUE"""),"Uncle Sams Cider (04/04/2023)")</f>
        <v>Uncle Sams Cider (04/04/2023)</v>
      </c>
      <c r="H5122" s="19"/>
    </row>
    <row r="5123">
      <c r="A5123" s="9"/>
      <c r="B5123" s="15"/>
      <c r="C5123" s="9">
        <f>IFERROR(__xludf.DUMMYFUNCTION("""COMPUTED_VALUE"""),45090.9120942245)</f>
        <v>45090.91209</v>
      </c>
      <c r="D5123" s="15">
        <f>IFERROR(__xludf.DUMMYFUNCTION("""COMPUTED_VALUE"""),1.006)</f>
        <v>1.006</v>
      </c>
      <c r="E5123" s="16">
        <f>IFERROR(__xludf.DUMMYFUNCTION("""COMPUTED_VALUE"""),69.0)</f>
        <v>69</v>
      </c>
      <c r="F5123" s="19" t="str">
        <f>IFERROR(__xludf.DUMMYFUNCTION("""COMPUTED_VALUE"""),"BLACK")</f>
        <v>BLACK</v>
      </c>
      <c r="G5123" s="20" t="str">
        <f>IFERROR(__xludf.DUMMYFUNCTION("""COMPUTED_VALUE"""),"Uncle Sams Cider (04/04/2023)")</f>
        <v>Uncle Sams Cider (04/04/2023)</v>
      </c>
      <c r="H5123" s="19"/>
    </row>
    <row r="5124">
      <c r="A5124" s="9"/>
      <c r="B5124" s="15"/>
      <c r="C5124" s="9">
        <f>IFERROR(__xludf.DUMMYFUNCTION("""COMPUTED_VALUE"""),45090.9016635879)</f>
        <v>45090.90166</v>
      </c>
      <c r="D5124" s="15">
        <f>IFERROR(__xludf.DUMMYFUNCTION("""COMPUTED_VALUE"""),1.006)</f>
        <v>1.006</v>
      </c>
      <c r="E5124" s="16">
        <f>IFERROR(__xludf.DUMMYFUNCTION("""COMPUTED_VALUE"""),69.0)</f>
        <v>69</v>
      </c>
      <c r="F5124" s="19" t="str">
        <f>IFERROR(__xludf.DUMMYFUNCTION("""COMPUTED_VALUE"""),"BLACK")</f>
        <v>BLACK</v>
      </c>
      <c r="G5124" s="20" t="str">
        <f>IFERROR(__xludf.DUMMYFUNCTION("""COMPUTED_VALUE"""),"Uncle Sams Cider (04/04/2023)")</f>
        <v>Uncle Sams Cider (04/04/2023)</v>
      </c>
      <c r="H5124" s="19"/>
    </row>
    <row r="5125">
      <c r="A5125" s="9"/>
      <c r="B5125" s="15"/>
      <c r="C5125" s="9">
        <f>IFERROR(__xludf.DUMMYFUNCTION("""COMPUTED_VALUE"""),45090.891242118)</f>
        <v>45090.89124</v>
      </c>
      <c r="D5125" s="15">
        <f>IFERROR(__xludf.DUMMYFUNCTION("""COMPUTED_VALUE"""),1.006)</f>
        <v>1.006</v>
      </c>
      <c r="E5125" s="16">
        <f>IFERROR(__xludf.DUMMYFUNCTION("""COMPUTED_VALUE"""),69.0)</f>
        <v>69</v>
      </c>
      <c r="F5125" s="19" t="str">
        <f>IFERROR(__xludf.DUMMYFUNCTION("""COMPUTED_VALUE"""),"BLACK")</f>
        <v>BLACK</v>
      </c>
      <c r="G5125" s="20" t="str">
        <f>IFERROR(__xludf.DUMMYFUNCTION("""COMPUTED_VALUE"""),"Uncle Sams Cider (04/04/2023)")</f>
        <v>Uncle Sams Cider (04/04/2023)</v>
      </c>
      <c r="H5125" s="19"/>
    </row>
    <row r="5126">
      <c r="A5126" s="9"/>
      <c r="B5126" s="15"/>
      <c r="C5126" s="9">
        <f>IFERROR(__xludf.DUMMYFUNCTION("""COMPUTED_VALUE"""),45090.8808202083)</f>
        <v>45090.88082</v>
      </c>
      <c r="D5126" s="15">
        <f>IFERROR(__xludf.DUMMYFUNCTION("""COMPUTED_VALUE"""),1.006)</f>
        <v>1.006</v>
      </c>
      <c r="E5126" s="16">
        <f>IFERROR(__xludf.DUMMYFUNCTION("""COMPUTED_VALUE"""),69.0)</f>
        <v>69</v>
      </c>
      <c r="F5126" s="19" t="str">
        <f>IFERROR(__xludf.DUMMYFUNCTION("""COMPUTED_VALUE"""),"BLACK")</f>
        <v>BLACK</v>
      </c>
      <c r="G5126" s="20" t="str">
        <f>IFERROR(__xludf.DUMMYFUNCTION("""COMPUTED_VALUE"""),"Uncle Sams Cider (04/04/2023)")</f>
        <v>Uncle Sams Cider (04/04/2023)</v>
      </c>
      <c r="H5126" s="19"/>
    </row>
    <row r="5127">
      <c r="A5127" s="9"/>
      <c r="B5127" s="15"/>
      <c r="C5127" s="9">
        <f>IFERROR(__xludf.DUMMYFUNCTION("""COMPUTED_VALUE"""),45090.87039875)</f>
        <v>45090.8704</v>
      </c>
      <c r="D5127" s="15">
        <f>IFERROR(__xludf.DUMMYFUNCTION("""COMPUTED_VALUE"""),1.006)</f>
        <v>1.006</v>
      </c>
      <c r="E5127" s="16">
        <f>IFERROR(__xludf.DUMMYFUNCTION("""COMPUTED_VALUE"""),69.0)</f>
        <v>69</v>
      </c>
      <c r="F5127" s="19" t="str">
        <f>IFERROR(__xludf.DUMMYFUNCTION("""COMPUTED_VALUE"""),"BLACK")</f>
        <v>BLACK</v>
      </c>
      <c r="G5127" s="20" t="str">
        <f>IFERROR(__xludf.DUMMYFUNCTION("""COMPUTED_VALUE"""),"Uncle Sams Cider (04/04/2023)")</f>
        <v>Uncle Sams Cider (04/04/2023)</v>
      </c>
      <c r="H5127" s="19"/>
    </row>
    <row r="5128">
      <c r="A5128" s="9"/>
      <c r="B5128" s="15"/>
      <c r="C5128" s="9">
        <f>IFERROR(__xludf.DUMMYFUNCTION("""COMPUTED_VALUE"""),45090.8599760879)</f>
        <v>45090.85998</v>
      </c>
      <c r="D5128" s="15">
        <f>IFERROR(__xludf.DUMMYFUNCTION("""COMPUTED_VALUE"""),1.006)</f>
        <v>1.006</v>
      </c>
      <c r="E5128" s="16">
        <f>IFERROR(__xludf.DUMMYFUNCTION("""COMPUTED_VALUE"""),69.0)</f>
        <v>69</v>
      </c>
      <c r="F5128" s="19" t="str">
        <f>IFERROR(__xludf.DUMMYFUNCTION("""COMPUTED_VALUE"""),"BLACK")</f>
        <v>BLACK</v>
      </c>
      <c r="G5128" s="20" t="str">
        <f>IFERROR(__xludf.DUMMYFUNCTION("""COMPUTED_VALUE"""),"Uncle Sams Cider (04/04/2023)")</f>
        <v>Uncle Sams Cider (04/04/2023)</v>
      </c>
      <c r="H5128" s="19"/>
    </row>
    <row r="5129">
      <c r="A5129" s="9"/>
      <c r="B5129" s="15"/>
      <c r="C5129" s="9">
        <f>IFERROR(__xludf.DUMMYFUNCTION("""COMPUTED_VALUE"""),45090.8495317708)</f>
        <v>45090.84953</v>
      </c>
      <c r="D5129" s="15">
        <f>IFERROR(__xludf.DUMMYFUNCTION("""COMPUTED_VALUE"""),1.006)</f>
        <v>1.006</v>
      </c>
      <c r="E5129" s="16">
        <f>IFERROR(__xludf.DUMMYFUNCTION("""COMPUTED_VALUE"""),69.0)</f>
        <v>69</v>
      </c>
      <c r="F5129" s="19" t="str">
        <f>IFERROR(__xludf.DUMMYFUNCTION("""COMPUTED_VALUE"""),"BLACK")</f>
        <v>BLACK</v>
      </c>
      <c r="G5129" s="20" t="str">
        <f>IFERROR(__xludf.DUMMYFUNCTION("""COMPUTED_VALUE"""),"Uncle Sams Cider (04/04/2023)")</f>
        <v>Uncle Sams Cider (04/04/2023)</v>
      </c>
      <c r="H5129" s="19"/>
    </row>
    <row r="5130">
      <c r="A5130" s="9"/>
      <c r="B5130" s="15"/>
      <c r="C5130" s="9">
        <f>IFERROR(__xludf.DUMMYFUNCTION("""COMPUTED_VALUE"""),45090.8390986111)</f>
        <v>45090.8391</v>
      </c>
      <c r="D5130" s="15">
        <f>IFERROR(__xludf.DUMMYFUNCTION("""COMPUTED_VALUE"""),1.006)</f>
        <v>1.006</v>
      </c>
      <c r="E5130" s="16">
        <f>IFERROR(__xludf.DUMMYFUNCTION("""COMPUTED_VALUE"""),69.0)</f>
        <v>69</v>
      </c>
      <c r="F5130" s="19" t="str">
        <f>IFERROR(__xludf.DUMMYFUNCTION("""COMPUTED_VALUE"""),"BLACK")</f>
        <v>BLACK</v>
      </c>
      <c r="G5130" s="20" t="str">
        <f>IFERROR(__xludf.DUMMYFUNCTION("""COMPUTED_VALUE"""),"Uncle Sams Cider (04/04/2023)")</f>
        <v>Uncle Sams Cider (04/04/2023)</v>
      </c>
      <c r="H5130" s="19"/>
    </row>
    <row r="5131">
      <c r="A5131" s="9"/>
      <c r="B5131" s="15"/>
      <c r="C5131" s="9">
        <f>IFERROR(__xludf.DUMMYFUNCTION("""COMPUTED_VALUE"""),45090.8286768402)</f>
        <v>45090.82868</v>
      </c>
      <c r="D5131" s="15">
        <f>IFERROR(__xludf.DUMMYFUNCTION("""COMPUTED_VALUE"""),1.006)</f>
        <v>1.006</v>
      </c>
      <c r="E5131" s="16">
        <f>IFERROR(__xludf.DUMMYFUNCTION("""COMPUTED_VALUE"""),69.0)</f>
        <v>69</v>
      </c>
      <c r="F5131" s="19" t="str">
        <f>IFERROR(__xludf.DUMMYFUNCTION("""COMPUTED_VALUE"""),"BLACK")</f>
        <v>BLACK</v>
      </c>
      <c r="G5131" s="20" t="str">
        <f>IFERROR(__xludf.DUMMYFUNCTION("""COMPUTED_VALUE"""),"Uncle Sams Cider (04/04/2023)")</f>
        <v>Uncle Sams Cider (04/04/2023)</v>
      </c>
      <c r="H5131" s="19"/>
    </row>
    <row r="5132">
      <c r="A5132" s="9"/>
      <c r="B5132" s="15"/>
      <c r="C5132" s="9">
        <f>IFERROR(__xludf.DUMMYFUNCTION("""COMPUTED_VALUE"""),45090.8182549652)</f>
        <v>45090.81825</v>
      </c>
      <c r="D5132" s="15">
        <f>IFERROR(__xludf.DUMMYFUNCTION("""COMPUTED_VALUE"""),1.006)</f>
        <v>1.006</v>
      </c>
      <c r="E5132" s="16">
        <f>IFERROR(__xludf.DUMMYFUNCTION("""COMPUTED_VALUE"""),69.0)</f>
        <v>69</v>
      </c>
      <c r="F5132" s="19" t="str">
        <f>IFERROR(__xludf.DUMMYFUNCTION("""COMPUTED_VALUE"""),"BLACK")</f>
        <v>BLACK</v>
      </c>
      <c r="G5132" s="20" t="str">
        <f>IFERROR(__xludf.DUMMYFUNCTION("""COMPUTED_VALUE"""),"Uncle Sams Cider (04/04/2023)")</f>
        <v>Uncle Sams Cider (04/04/2023)</v>
      </c>
      <c r="H5132" s="19"/>
    </row>
    <row r="5133">
      <c r="A5133" s="9"/>
      <c r="B5133" s="15"/>
      <c r="C5133" s="9">
        <f>IFERROR(__xludf.DUMMYFUNCTION("""COMPUTED_VALUE"""),45090.807835706)</f>
        <v>45090.80784</v>
      </c>
      <c r="D5133" s="15">
        <f>IFERROR(__xludf.DUMMYFUNCTION("""COMPUTED_VALUE"""),1.006)</f>
        <v>1.006</v>
      </c>
      <c r="E5133" s="16">
        <f>IFERROR(__xludf.DUMMYFUNCTION("""COMPUTED_VALUE"""),69.0)</f>
        <v>69</v>
      </c>
      <c r="F5133" s="19" t="str">
        <f>IFERROR(__xludf.DUMMYFUNCTION("""COMPUTED_VALUE"""),"BLACK")</f>
        <v>BLACK</v>
      </c>
      <c r="G5133" s="20" t="str">
        <f>IFERROR(__xludf.DUMMYFUNCTION("""COMPUTED_VALUE"""),"Uncle Sams Cider (04/04/2023)")</f>
        <v>Uncle Sams Cider (04/04/2023)</v>
      </c>
      <c r="H5133" s="19"/>
    </row>
    <row r="5134">
      <c r="A5134" s="9"/>
      <c r="B5134" s="15"/>
      <c r="C5134" s="9">
        <f>IFERROR(__xludf.DUMMYFUNCTION("""COMPUTED_VALUE"""),45090.7869933449)</f>
        <v>45090.78699</v>
      </c>
      <c r="D5134" s="15">
        <f>IFERROR(__xludf.DUMMYFUNCTION("""COMPUTED_VALUE"""),1.006)</f>
        <v>1.006</v>
      </c>
      <c r="E5134" s="16">
        <f>IFERROR(__xludf.DUMMYFUNCTION("""COMPUTED_VALUE"""),69.0)</f>
        <v>69</v>
      </c>
      <c r="F5134" s="19" t="str">
        <f>IFERROR(__xludf.DUMMYFUNCTION("""COMPUTED_VALUE"""),"BLACK")</f>
        <v>BLACK</v>
      </c>
      <c r="G5134" s="20" t="str">
        <f>IFERROR(__xludf.DUMMYFUNCTION("""COMPUTED_VALUE"""),"Uncle Sams Cider (04/04/2023)")</f>
        <v>Uncle Sams Cider (04/04/2023)</v>
      </c>
      <c r="H5134" s="19"/>
    </row>
    <row r="5135">
      <c r="A5135" s="9"/>
      <c r="B5135" s="15"/>
      <c r="C5135" s="9">
        <f>IFERROR(__xludf.DUMMYFUNCTION("""COMPUTED_VALUE"""),45090.7765499768)</f>
        <v>45090.77655</v>
      </c>
      <c r="D5135" s="15">
        <f>IFERROR(__xludf.DUMMYFUNCTION("""COMPUTED_VALUE"""),1.006)</f>
        <v>1.006</v>
      </c>
      <c r="E5135" s="16">
        <f>IFERROR(__xludf.DUMMYFUNCTION("""COMPUTED_VALUE"""),69.0)</f>
        <v>69</v>
      </c>
      <c r="F5135" s="19" t="str">
        <f>IFERROR(__xludf.DUMMYFUNCTION("""COMPUTED_VALUE"""),"BLACK")</f>
        <v>BLACK</v>
      </c>
      <c r="G5135" s="20" t="str">
        <f>IFERROR(__xludf.DUMMYFUNCTION("""COMPUTED_VALUE"""),"Uncle Sams Cider (04/04/2023)")</f>
        <v>Uncle Sams Cider (04/04/2023)</v>
      </c>
      <c r="H5135" s="19"/>
    </row>
    <row r="5136">
      <c r="A5136" s="9"/>
      <c r="B5136" s="15"/>
      <c r="C5136" s="9">
        <f>IFERROR(__xludf.DUMMYFUNCTION("""COMPUTED_VALUE"""),45090.7661272801)</f>
        <v>45090.76613</v>
      </c>
      <c r="D5136" s="15">
        <f>IFERROR(__xludf.DUMMYFUNCTION("""COMPUTED_VALUE"""),1.006)</f>
        <v>1.006</v>
      </c>
      <c r="E5136" s="16">
        <f>IFERROR(__xludf.DUMMYFUNCTION("""COMPUTED_VALUE"""),69.0)</f>
        <v>69</v>
      </c>
      <c r="F5136" s="19" t="str">
        <f>IFERROR(__xludf.DUMMYFUNCTION("""COMPUTED_VALUE"""),"BLACK")</f>
        <v>BLACK</v>
      </c>
      <c r="G5136" s="20" t="str">
        <f>IFERROR(__xludf.DUMMYFUNCTION("""COMPUTED_VALUE"""),"Uncle Sams Cider (04/04/2023)")</f>
        <v>Uncle Sams Cider (04/04/2023)</v>
      </c>
      <c r="H5136" s="19"/>
    </row>
    <row r="5137">
      <c r="A5137" s="9"/>
      <c r="B5137" s="15"/>
      <c r="C5137" s="9">
        <f>IFERROR(__xludf.DUMMYFUNCTION("""COMPUTED_VALUE"""),45090.7556947453)</f>
        <v>45090.75569</v>
      </c>
      <c r="D5137" s="15">
        <f>IFERROR(__xludf.DUMMYFUNCTION("""COMPUTED_VALUE"""),1.006)</f>
        <v>1.006</v>
      </c>
      <c r="E5137" s="16">
        <f>IFERROR(__xludf.DUMMYFUNCTION("""COMPUTED_VALUE"""),69.0)</f>
        <v>69</v>
      </c>
      <c r="F5137" s="19" t="str">
        <f>IFERROR(__xludf.DUMMYFUNCTION("""COMPUTED_VALUE"""),"BLACK")</f>
        <v>BLACK</v>
      </c>
      <c r="G5137" s="20" t="str">
        <f>IFERROR(__xludf.DUMMYFUNCTION("""COMPUTED_VALUE"""),"Uncle Sams Cider (04/04/2023)")</f>
        <v>Uncle Sams Cider (04/04/2023)</v>
      </c>
      <c r="H5137" s="19"/>
    </row>
    <row r="5138">
      <c r="A5138" s="9"/>
      <c r="B5138" s="15"/>
      <c r="C5138" s="9">
        <f>IFERROR(__xludf.DUMMYFUNCTION("""COMPUTED_VALUE"""),45090.7452731481)</f>
        <v>45090.74527</v>
      </c>
      <c r="D5138" s="15">
        <f>IFERROR(__xludf.DUMMYFUNCTION("""COMPUTED_VALUE"""),1.006)</f>
        <v>1.006</v>
      </c>
      <c r="E5138" s="16">
        <f>IFERROR(__xludf.DUMMYFUNCTION("""COMPUTED_VALUE"""),69.0)</f>
        <v>69</v>
      </c>
      <c r="F5138" s="19" t="str">
        <f>IFERROR(__xludf.DUMMYFUNCTION("""COMPUTED_VALUE"""),"BLACK")</f>
        <v>BLACK</v>
      </c>
      <c r="G5138" s="20" t="str">
        <f>IFERROR(__xludf.DUMMYFUNCTION("""COMPUTED_VALUE"""),"Uncle Sams Cider (04/04/2023)")</f>
        <v>Uncle Sams Cider (04/04/2023)</v>
      </c>
      <c r="H5138" s="19"/>
    </row>
    <row r="5139">
      <c r="A5139" s="9"/>
      <c r="B5139" s="15"/>
      <c r="C5139" s="9">
        <f>IFERROR(__xludf.DUMMYFUNCTION("""COMPUTED_VALUE"""),45090.7348519907)</f>
        <v>45090.73485</v>
      </c>
      <c r="D5139" s="15">
        <f>IFERROR(__xludf.DUMMYFUNCTION("""COMPUTED_VALUE"""),1.006)</f>
        <v>1.006</v>
      </c>
      <c r="E5139" s="16">
        <f>IFERROR(__xludf.DUMMYFUNCTION("""COMPUTED_VALUE"""),69.0)</f>
        <v>69</v>
      </c>
      <c r="F5139" s="19" t="str">
        <f>IFERROR(__xludf.DUMMYFUNCTION("""COMPUTED_VALUE"""),"BLACK")</f>
        <v>BLACK</v>
      </c>
      <c r="G5139" s="20" t="str">
        <f>IFERROR(__xludf.DUMMYFUNCTION("""COMPUTED_VALUE"""),"Uncle Sams Cider (04/04/2023)")</f>
        <v>Uncle Sams Cider (04/04/2023)</v>
      </c>
      <c r="H5139" s="19"/>
    </row>
    <row r="5140">
      <c r="A5140" s="9"/>
      <c r="B5140" s="15"/>
      <c r="C5140" s="9">
        <f>IFERROR(__xludf.DUMMYFUNCTION("""COMPUTED_VALUE"""),45090.724419618)</f>
        <v>45090.72442</v>
      </c>
      <c r="D5140" s="15">
        <f>IFERROR(__xludf.DUMMYFUNCTION("""COMPUTED_VALUE"""),1.006)</f>
        <v>1.006</v>
      </c>
      <c r="E5140" s="16">
        <f>IFERROR(__xludf.DUMMYFUNCTION("""COMPUTED_VALUE"""),69.0)</f>
        <v>69</v>
      </c>
      <c r="F5140" s="19" t="str">
        <f>IFERROR(__xludf.DUMMYFUNCTION("""COMPUTED_VALUE"""),"BLACK")</f>
        <v>BLACK</v>
      </c>
      <c r="G5140" s="20" t="str">
        <f>IFERROR(__xludf.DUMMYFUNCTION("""COMPUTED_VALUE"""),"Uncle Sams Cider (04/04/2023)")</f>
        <v>Uncle Sams Cider (04/04/2023)</v>
      </c>
      <c r="H5140" s="19"/>
    </row>
    <row r="5141">
      <c r="A5141" s="9"/>
      <c r="B5141" s="15"/>
      <c r="C5141" s="9">
        <f>IFERROR(__xludf.DUMMYFUNCTION("""COMPUTED_VALUE"""),45090.7139975926)</f>
        <v>45090.714</v>
      </c>
      <c r="D5141" s="15">
        <f>IFERROR(__xludf.DUMMYFUNCTION("""COMPUTED_VALUE"""),1.006)</f>
        <v>1.006</v>
      </c>
      <c r="E5141" s="16">
        <f>IFERROR(__xludf.DUMMYFUNCTION("""COMPUTED_VALUE"""),69.0)</f>
        <v>69</v>
      </c>
      <c r="F5141" s="19" t="str">
        <f>IFERROR(__xludf.DUMMYFUNCTION("""COMPUTED_VALUE"""),"BLACK")</f>
        <v>BLACK</v>
      </c>
      <c r="G5141" s="20" t="str">
        <f>IFERROR(__xludf.DUMMYFUNCTION("""COMPUTED_VALUE"""),"Uncle Sams Cider (04/04/2023)")</f>
        <v>Uncle Sams Cider (04/04/2023)</v>
      </c>
      <c r="H5141" s="19"/>
    </row>
    <row r="5142">
      <c r="A5142" s="9"/>
      <c r="B5142" s="15"/>
      <c r="C5142" s="9">
        <f>IFERROR(__xludf.DUMMYFUNCTION("""COMPUTED_VALUE"""),45090.7035772916)</f>
        <v>45090.70358</v>
      </c>
      <c r="D5142" s="15">
        <f>IFERROR(__xludf.DUMMYFUNCTION("""COMPUTED_VALUE"""),1.006)</f>
        <v>1.006</v>
      </c>
      <c r="E5142" s="16">
        <f>IFERROR(__xludf.DUMMYFUNCTION("""COMPUTED_VALUE"""),69.0)</f>
        <v>69</v>
      </c>
      <c r="F5142" s="19" t="str">
        <f>IFERROR(__xludf.DUMMYFUNCTION("""COMPUTED_VALUE"""),"BLACK")</f>
        <v>BLACK</v>
      </c>
      <c r="G5142" s="20" t="str">
        <f>IFERROR(__xludf.DUMMYFUNCTION("""COMPUTED_VALUE"""),"Uncle Sams Cider (04/04/2023)")</f>
        <v>Uncle Sams Cider (04/04/2023)</v>
      </c>
      <c r="H5142" s="19"/>
    </row>
    <row r="5143">
      <c r="A5143" s="9"/>
      <c r="B5143" s="15"/>
      <c r="C5143" s="9">
        <f>IFERROR(__xludf.DUMMYFUNCTION("""COMPUTED_VALUE"""),45090.6931440046)</f>
        <v>45090.69314</v>
      </c>
      <c r="D5143" s="15">
        <f>IFERROR(__xludf.DUMMYFUNCTION("""COMPUTED_VALUE"""),1.006)</f>
        <v>1.006</v>
      </c>
      <c r="E5143" s="16">
        <f>IFERROR(__xludf.DUMMYFUNCTION("""COMPUTED_VALUE"""),69.0)</f>
        <v>69</v>
      </c>
      <c r="F5143" s="19" t="str">
        <f>IFERROR(__xludf.DUMMYFUNCTION("""COMPUTED_VALUE"""),"BLACK")</f>
        <v>BLACK</v>
      </c>
      <c r="G5143" s="20" t="str">
        <f>IFERROR(__xludf.DUMMYFUNCTION("""COMPUTED_VALUE"""),"Uncle Sams Cider (04/04/2023)")</f>
        <v>Uncle Sams Cider (04/04/2023)</v>
      </c>
      <c r="H5143" s="19"/>
    </row>
    <row r="5144">
      <c r="A5144" s="9"/>
      <c r="B5144" s="15"/>
      <c r="C5144" s="9">
        <f>IFERROR(__xludf.DUMMYFUNCTION("""COMPUTED_VALUE"""),45090.6827231134)</f>
        <v>45090.68272</v>
      </c>
      <c r="D5144" s="15">
        <f>IFERROR(__xludf.DUMMYFUNCTION("""COMPUTED_VALUE"""),1.006)</f>
        <v>1.006</v>
      </c>
      <c r="E5144" s="16">
        <f>IFERROR(__xludf.DUMMYFUNCTION("""COMPUTED_VALUE"""),69.0)</f>
        <v>69</v>
      </c>
      <c r="F5144" s="19" t="str">
        <f>IFERROR(__xludf.DUMMYFUNCTION("""COMPUTED_VALUE"""),"BLACK")</f>
        <v>BLACK</v>
      </c>
      <c r="G5144" s="20" t="str">
        <f>IFERROR(__xludf.DUMMYFUNCTION("""COMPUTED_VALUE"""),"Uncle Sams Cider (04/04/2023)")</f>
        <v>Uncle Sams Cider (04/04/2023)</v>
      </c>
      <c r="H5144" s="19"/>
    </row>
    <row r="5145">
      <c r="A5145" s="9"/>
      <c r="B5145" s="15"/>
      <c r="C5145" s="9">
        <f>IFERROR(__xludf.DUMMYFUNCTION("""COMPUTED_VALUE"""),45090.6723017361)</f>
        <v>45090.6723</v>
      </c>
      <c r="D5145" s="15">
        <f>IFERROR(__xludf.DUMMYFUNCTION("""COMPUTED_VALUE"""),1.006)</f>
        <v>1.006</v>
      </c>
      <c r="E5145" s="16">
        <f>IFERROR(__xludf.DUMMYFUNCTION("""COMPUTED_VALUE"""),69.0)</f>
        <v>69</v>
      </c>
      <c r="F5145" s="19" t="str">
        <f>IFERROR(__xludf.DUMMYFUNCTION("""COMPUTED_VALUE"""),"BLACK")</f>
        <v>BLACK</v>
      </c>
      <c r="G5145" s="20" t="str">
        <f>IFERROR(__xludf.DUMMYFUNCTION("""COMPUTED_VALUE"""),"Uncle Sams Cider (04/04/2023)")</f>
        <v>Uncle Sams Cider (04/04/2023)</v>
      </c>
      <c r="H5145" s="19"/>
    </row>
    <row r="5146">
      <c r="A5146" s="9"/>
      <c r="B5146" s="15"/>
      <c r="C5146" s="9">
        <f>IFERROR(__xludf.DUMMYFUNCTION("""COMPUTED_VALUE"""),45090.6618691435)</f>
        <v>45090.66187</v>
      </c>
      <c r="D5146" s="15">
        <f>IFERROR(__xludf.DUMMYFUNCTION("""COMPUTED_VALUE"""),1.006)</f>
        <v>1.006</v>
      </c>
      <c r="E5146" s="16">
        <f>IFERROR(__xludf.DUMMYFUNCTION("""COMPUTED_VALUE"""),69.0)</f>
        <v>69</v>
      </c>
      <c r="F5146" s="19" t="str">
        <f>IFERROR(__xludf.DUMMYFUNCTION("""COMPUTED_VALUE"""),"BLACK")</f>
        <v>BLACK</v>
      </c>
      <c r="G5146" s="20" t="str">
        <f>IFERROR(__xludf.DUMMYFUNCTION("""COMPUTED_VALUE"""),"Uncle Sams Cider (04/04/2023)")</f>
        <v>Uncle Sams Cider (04/04/2023)</v>
      </c>
      <c r="H5146" s="19"/>
    </row>
    <row r="5147">
      <c r="A5147" s="9"/>
      <c r="B5147" s="15"/>
      <c r="C5147" s="9">
        <f>IFERROR(__xludf.DUMMYFUNCTION("""COMPUTED_VALUE"""),45090.6514251157)</f>
        <v>45090.65143</v>
      </c>
      <c r="D5147" s="15">
        <f>IFERROR(__xludf.DUMMYFUNCTION("""COMPUTED_VALUE"""),1.006)</f>
        <v>1.006</v>
      </c>
      <c r="E5147" s="16">
        <f>IFERROR(__xludf.DUMMYFUNCTION("""COMPUTED_VALUE"""),69.0)</f>
        <v>69</v>
      </c>
      <c r="F5147" s="19" t="str">
        <f>IFERROR(__xludf.DUMMYFUNCTION("""COMPUTED_VALUE"""),"BLACK")</f>
        <v>BLACK</v>
      </c>
      <c r="G5147" s="20" t="str">
        <f>IFERROR(__xludf.DUMMYFUNCTION("""COMPUTED_VALUE"""),"Uncle Sams Cider (04/04/2023)")</f>
        <v>Uncle Sams Cider (04/04/2023)</v>
      </c>
      <c r="H5147" s="19"/>
    </row>
    <row r="5148">
      <c r="A5148" s="9"/>
      <c r="B5148" s="15"/>
      <c r="C5148" s="9">
        <f>IFERROR(__xludf.DUMMYFUNCTION("""COMPUTED_VALUE"""),45090.6410051851)</f>
        <v>45090.64101</v>
      </c>
      <c r="D5148" s="15">
        <f>IFERROR(__xludf.DUMMYFUNCTION("""COMPUTED_VALUE"""),1.006)</f>
        <v>1.006</v>
      </c>
      <c r="E5148" s="16">
        <f>IFERROR(__xludf.DUMMYFUNCTION("""COMPUTED_VALUE"""),69.0)</f>
        <v>69</v>
      </c>
      <c r="F5148" s="19" t="str">
        <f>IFERROR(__xludf.DUMMYFUNCTION("""COMPUTED_VALUE"""),"BLACK")</f>
        <v>BLACK</v>
      </c>
      <c r="G5148" s="20" t="str">
        <f>IFERROR(__xludf.DUMMYFUNCTION("""COMPUTED_VALUE"""),"Uncle Sams Cider (04/04/2023)")</f>
        <v>Uncle Sams Cider (04/04/2023)</v>
      </c>
      <c r="H5148" s="19"/>
    </row>
    <row r="5149">
      <c r="A5149" s="9"/>
      <c r="B5149" s="15"/>
      <c r="C5149" s="9">
        <f>IFERROR(__xludf.DUMMYFUNCTION("""COMPUTED_VALUE"""),45090.6305838888)</f>
        <v>45090.63058</v>
      </c>
      <c r="D5149" s="15">
        <f>IFERROR(__xludf.DUMMYFUNCTION("""COMPUTED_VALUE"""),1.007)</f>
        <v>1.007</v>
      </c>
      <c r="E5149" s="16">
        <f>IFERROR(__xludf.DUMMYFUNCTION("""COMPUTED_VALUE"""),69.0)</f>
        <v>69</v>
      </c>
      <c r="F5149" s="19" t="str">
        <f>IFERROR(__xludf.DUMMYFUNCTION("""COMPUTED_VALUE"""),"BLACK")</f>
        <v>BLACK</v>
      </c>
      <c r="G5149" s="20" t="str">
        <f>IFERROR(__xludf.DUMMYFUNCTION("""COMPUTED_VALUE"""),"Uncle Sams Cider (04/04/2023)")</f>
        <v>Uncle Sams Cider (04/04/2023)</v>
      </c>
      <c r="H5149" s="19"/>
    </row>
    <row r="5150">
      <c r="A5150" s="9"/>
      <c r="B5150" s="15"/>
      <c r="C5150" s="9">
        <f>IFERROR(__xludf.DUMMYFUNCTION("""COMPUTED_VALUE"""),45090.620163449)</f>
        <v>45090.62016</v>
      </c>
      <c r="D5150" s="15">
        <f>IFERROR(__xludf.DUMMYFUNCTION("""COMPUTED_VALUE"""),1.006)</f>
        <v>1.006</v>
      </c>
      <c r="E5150" s="16">
        <f>IFERROR(__xludf.DUMMYFUNCTION("""COMPUTED_VALUE"""),69.0)</f>
        <v>69</v>
      </c>
      <c r="F5150" s="19" t="str">
        <f>IFERROR(__xludf.DUMMYFUNCTION("""COMPUTED_VALUE"""),"BLACK")</f>
        <v>BLACK</v>
      </c>
      <c r="G5150" s="20" t="str">
        <f>IFERROR(__xludf.DUMMYFUNCTION("""COMPUTED_VALUE"""),"Uncle Sams Cider (04/04/2023)")</f>
        <v>Uncle Sams Cider (04/04/2023)</v>
      </c>
      <c r="H5150" s="19"/>
    </row>
    <row r="5151">
      <c r="A5151" s="9"/>
      <c r="B5151" s="15"/>
      <c r="C5151" s="9">
        <f>IFERROR(__xludf.DUMMYFUNCTION("""COMPUTED_VALUE"""),45090.6097297453)</f>
        <v>45090.60973</v>
      </c>
      <c r="D5151" s="15">
        <f>IFERROR(__xludf.DUMMYFUNCTION("""COMPUTED_VALUE"""),1.006)</f>
        <v>1.006</v>
      </c>
      <c r="E5151" s="16">
        <f>IFERROR(__xludf.DUMMYFUNCTION("""COMPUTED_VALUE"""),69.0)</f>
        <v>69</v>
      </c>
      <c r="F5151" s="19" t="str">
        <f>IFERROR(__xludf.DUMMYFUNCTION("""COMPUTED_VALUE"""),"BLACK")</f>
        <v>BLACK</v>
      </c>
      <c r="G5151" s="20" t="str">
        <f>IFERROR(__xludf.DUMMYFUNCTION("""COMPUTED_VALUE"""),"Uncle Sams Cider (04/04/2023)")</f>
        <v>Uncle Sams Cider (04/04/2023)</v>
      </c>
      <c r="H5151" s="19"/>
    </row>
    <row r="5152">
      <c r="A5152" s="9"/>
      <c r="B5152" s="15"/>
      <c r="C5152" s="9">
        <f>IFERROR(__xludf.DUMMYFUNCTION("""COMPUTED_VALUE"""),45090.59930875)</f>
        <v>45090.59931</v>
      </c>
      <c r="D5152" s="15">
        <f>IFERROR(__xludf.DUMMYFUNCTION("""COMPUTED_VALUE"""),1.006)</f>
        <v>1.006</v>
      </c>
      <c r="E5152" s="16">
        <f>IFERROR(__xludf.DUMMYFUNCTION("""COMPUTED_VALUE"""),69.0)</f>
        <v>69</v>
      </c>
      <c r="F5152" s="19" t="str">
        <f>IFERROR(__xludf.DUMMYFUNCTION("""COMPUTED_VALUE"""),"BLACK")</f>
        <v>BLACK</v>
      </c>
      <c r="G5152" s="20" t="str">
        <f>IFERROR(__xludf.DUMMYFUNCTION("""COMPUTED_VALUE"""),"Uncle Sams Cider (04/04/2023)")</f>
        <v>Uncle Sams Cider (04/04/2023)</v>
      </c>
      <c r="H5152" s="19"/>
    </row>
    <row r="5153">
      <c r="A5153" s="9"/>
      <c r="B5153" s="15"/>
      <c r="C5153" s="9">
        <f>IFERROR(__xludf.DUMMYFUNCTION("""COMPUTED_VALUE"""),45090.5888630324)</f>
        <v>45090.58886</v>
      </c>
      <c r="D5153" s="15">
        <f>IFERROR(__xludf.DUMMYFUNCTION("""COMPUTED_VALUE"""),1.006)</f>
        <v>1.006</v>
      </c>
      <c r="E5153" s="16">
        <f>IFERROR(__xludf.DUMMYFUNCTION("""COMPUTED_VALUE"""),69.0)</f>
        <v>69</v>
      </c>
      <c r="F5153" s="19" t="str">
        <f>IFERROR(__xludf.DUMMYFUNCTION("""COMPUTED_VALUE"""),"BLACK")</f>
        <v>BLACK</v>
      </c>
      <c r="G5153" s="20" t="str">
        <f>IFERROR(__xludf.DUMMYFUNCTION("""COMPUTED_VALUE"""),"Uncle Sams Cider (04/04/2023)")</f>
        <v>Uncle Sams Cider (04/04/2023)</v>
      </c>
      <c r="H5153" s="19"/>
    </row>
    <row r="5154">
      <c r="A5154" s="9"/>
      <c r="B5154" s="15"/>
      <c r="C5154" s="9">
        <f>IFERROR(__xludf.DUMMYFUNCTION("""COMPUTED_VALUE"""),45090.5784184838)</f>
        <v>45090.57842</v>
      </c>
      <c r="D5154" s="15">
        <f>IFERROR(__xludf.DUMMYFUNCTION("""COMPUTED_VALUE"""),1.007)</f>
        <v>1.007</v>
      </c>
      <c r="E5154" s="16">
        <f>IFERROR(__xludf.DUMMYFUNCTION("""COMPUTED_VALUE"""),69.0)</f>
        <v>69</v>
      </c>
      <c r="F5154" s="19" t="str">
        <f>IFERROR(__xludf.DUMMYFUNCTION("""COMPUTED_VALUE"""),"BLACK")</f>
        <v>BLACK</v>
      </c>
      <c r="G5154" s="20" t="str">
        <f>IFERROR(__xludf.DUMMYFUNCTION("""COMPUTED_VALUE"""),"Uncle Sams Cider (04/04/2023)")</f>
        <v>Uncle Sams Cider (04/04/2023)</v>
      </c>
      <c r="H5154" s="19"/>
    </row>
    <row r="5155">
      <c r="A5155" s="9"/>
      <c r="B5155" s="15"/>
      <c r="C5155" s="9">
        <f>IFERROR(__xludf.DUMMYFUNCTION("""COMPUTED_VALUE"""),45090.5679985532)</f>
        <v>45090.568</v>
      </c>
      <c r="D5155" s="15">
        <f>IFERROR(__xludf.DUMMYFUNCTION("""COMPUTED_VALUE"""),1.007)</f>
        <v>1.007</v>
      </c>
      <c r="E5155" s="16">
        <f>IFERROR(__xludf.DUMMYFUNCTION("""COMPUTED_VALUE"""),69.0)</f>
        <v>69</v>
      </c>
      <c r="F5155" s="19" t="str">
        <f>IFERROR(__xludf.DUMMYFUNCTION("""COMPUTED_VALUE"""),"BLACK")</f>
        <v>BLACK</v>
      </c>
      <c r="G5155" s="20" t="str">
        <f>IFERROR(__xludf.DUMMYFUNCTION("""COMPUTED_VALUE"""),"Uncle Sams Cider (04/04/2023)")</f>
        <v>Uncle Sams Cider (04/04/2023)</v>
      </c>
      <c r="H5155" s="19"/>
    </row>
    <row r="5156">
      <c r="A5156" s="9"/>
      <c r="B5156" s="15"/>
      <c r="C5156" s="9">
        <f>IFERROR(__xludf.DUMMYFUNCTION("""COMPUTED_VALUE"""),45090.5575778819)</f>
        <v>45090.55758</v>
      </c>
      <c r="D5156" s="15">
        <f>IFERROR(__xludf.DUMMYFUNCTION("""COMPUTED_VALUE"""),1.006)</f>
        <v>1.006</v>
      </c>
      <c r="E5156" s="16">
        <f>IFERROR(__xludf.DUMMYFUNCTION("""COMPUTED_VALUE"""),69.0)</f>
        <v>69</v>
      </c>
      <c r="F5156" s="19" t="str">
        <f>IFERROR(__xludf.DUMMYFUNCTION("""COMPUTED_VALUE"""),"BLACK")</f>
        <v>BLACK</v>
      </c>
      <c r="G5156" s="20" t="str">
        <f>IFERROR(__xludf.DUMMYFUNCTION("""COMPUTED_VALUE"""),"Uncle Sams Cider (04/04/2023)")</f>
        <v>Uncle Sams Cider (04/04/2023)</v>
      </c>
      <c r="H5156" s="19"/>
    </row>
    <row r="5157">
      <c r="A5157" s="9"/>
      <c r="B5157" s="15"/>
      <c r="C5157" s="9">
        <f>IFERROR(__xludf.DUMMYFUNCTION("""COMPUTED_VALUE"""),45090.5471578588)</f>
        <v>45090.54716</v>
      </c>
      <c r="D5157" s="15">
        <f>IFERROR(__xludf.DUMMYFUNCTION("""COMPUTED_VALUE"""),1.006)</f>
        <v>1.006</v>
      </c>
      <c r="E5157" s="16">
        <f>IFERROR(__xludf.DUMMYFUNCTION("""COMPUTED_VALUE"""),69.0)</f>
        <v>69</v>
      </c>
      <c r="F5157" s="19" t="str">
        <f>IFERROR(__xludf.DUMMYFUNCTION("""COMPUTED_VALUE"""),"BLACK")</f>
        <v>BLACK</v>
      </c>
      <c r="G5157" s="20" t="str">
        <f>IFERROR(__xludf.DUMMYFUNCTION("""COMPUTED_VALUE"""),"Uncle Sams Cider (04/04/2023)")</f>
        <v>Uncle Sams Cider (04/04/2023)</v>
      </c>
      <c r="H5157" s="19"/>
    </row>
    <row r="5158">
      <c r="A5158" s="9"/>
      <c r="B5158" s="15"/>
      <c r="C5158" s="9">
        <f>IFERROR(__xludf.DUMMYFUNCTION("""COMPUTED_VALUE"""),45090.5367352199)</f>
        <v>45090.53674</v>
      </c>
      <c r="D5158" s="15">
        <f>IFERROR(__xludf.DUMMYFUNCTION("""COMPUTED_VALUE"""),1.006)</f>
        <v>1.006</v>
      </c>
      <c r="E5158" s="16">
        <f>IFERROR(__xludf.DUMMYFUNCTION("""COMPUTED_VALUE"""),69.0)</f>
        <v>69</v>
      </c>
      <c r="F5158" s="19" t="str">
        <f>IFERROR(__xludf.DUMMYFUNCTION("""COMPUTED_VALUE"""),"BLACK")</f>
        <v>BLACK</v>
      </c>
      <c r="G5158" s="20" t="str">
        <f>IFERROR(__xludf.DUMMYFUNCTION("""COMPUTED_VALUE"""),"Uncle Sams Cider (04/04/2023)")</f>
        <v>Uncle Sams Cider (04/04/2023)</v>
      </c>
      <c r="H5158" s="19"/>
    </row>
    <row r="5159">
      <c r="A5159" s="9"/>
      <c r="B5159" s="15"/>
      <c r="C5159" s="9">
        <f>IFERROR(__xludf.DUMMYFUNCTION("""COMPUTED_VALUE"""),45090.5263136805)</f>
        <v>45090.52631</v>
      </c>
      <c r="D5159" s="15">
        <f>IFERROR(__xludf.DUMMYFUNCTION("""COMPUTED_VALUE"""),1.007)</f>
        <v>1.007</v>
      </c>
      <c r="E5159" s="16">
        <f>IFERROR(__xludf.DUMMYFUNCTION("""COMPUTED_VALUE"""),69.0)</f>
        <v>69</v>
      </c>
      <c r="F5159" s="19" t="str">
        <f>IFERROR(__xludf.DUMMYFUNCTION("""COMPUTED_VALUE"""),"BLACK")</f>
        <v>BLACK</v>
      </c>
      <c r="G5159" s="20" t="str">
        <f>IFERROR(__xludf.DUMMYFUNCTION("""COMPUTED_VALUE"""),"Uncle Sams Cider (04/04/2023)")</f>
        <v>Uncle Sams Cider (04/04/2023)</v>
      </c>
      <c r="H5159" s="19"/>
    </row>
    <row r="5160">
      <c r="A5160" s="9"/>
      <c r="B5160" s="15"/>
      <c r="C5160" s="9">
        <f>IFERROR(__xludf.DUMMYFUNCTION("""COMPUTED_VALUE"""),45090.5158910763)</f>
        <v>45090.51589</v>
      </c>
      <c r="D5160" s="15">
        <f>IFERROR(__xludf.DUMMYFUNCTION("""COMPUTED_VALUE"""),1.006)</f>
        <v>1.006</v>
      </c>
      <c r="E5160" s="16">
        <f>IFERROR(__xludf.DUMMYFUNCTION("""COMPUTED_VALUE"""),69.0)</f>
        <v>69</v>
      </c>
      <c r="F5160" s="19" t="str">
        <f>IFERROR(__xludf.DUMMYFUNCTION("""COMPUTED_VALUE"""),"BLACK")</f>
        <v>BLACK</v>
      </c>
      <c r="G5160" s="20" t="str">
        <f>IFERROR(__xludf.DUMMYFUNCTION("""COMPUTED_VALUE"""),"Uncle Sams Cider (04/04/2023)")</f>
        <v>Uncle Sams Cider (04/04/2023)</v>
      </c>
      <c r="H5160" s="19"/>
    </row>
    <row r="5161">
      <c r="A5161" s="9"/>
      <c r="B5161" s="15"/>
      <c r="C5161" s="9">
        <f>IFERROR(__xludf.DUMMYFUNCTION("""COMPUTED_VALUE"""),45090.5054458217)</f>
        <v>45090.50545</v>
      </c>
      <c r="D5161" s="15">
        <f>IFERROR(__xludf.DUMMYFUNCTION("""COMPUTED_VALUE"""),1.007)</f>
        <v>1.007</v>
      </c>
      <c r="E5161" s="16">
        <f>IFERROR(__xludf.DUMMYFUNCTION("""COMPUTED_VALUE"""),69.0)</f>
        <v>69</v>
      </c>
      <c r="F5161" s="19" t="str">
        <f>IFERROR(__xludf.DUMMYFUNCTION("""COMPUTED_VALUE"""),"BLACK")</f>
        <v>BLACK</v>
      </c>
      <c r="G5161" s="20" t="str">
        <f>IFERROR(__xludf.DUMMYFUNCTION("""COMPUTED_VALUE"""),"Uncle Sams Cider (04/04/2023)")</f>
        <v>Uncle Sams Cider (04/04/2023)</v>
      </c>
      <c r="H5161" s="19"/>
    </row>
    <row r="5162">
      <c r="A5162" s="9"/>
      <c r="B5162" s="15"/>
      <c r="C5162" s="9">
        <f>IFERROR(__xludf.DUMMYFUNCTION("""COMPUTED_VALUE"""),45090.4950247106)</f>
        <v>45090.49502</v>
      </c>
      <c r="D5162" s="15">
        <f>IFERROR(__xludf.DUMMYFUNCTION("""COMPUTED_VALUE"""),1.006)</f>
        <v>1.006</v>
      </c>
      <c r="E5162" s="16">
        <f>IFERROR(__xludf.DUMMYFUNCTION("""COMPUTED_VALUE"""),69.0)</f>
        <v>69</v>
      </c>
      <c r="F5162" s="19" t="str">
        <f>IFERROR(__xludf.DUMMYFUNCTION("""COMPUTED_VALUE"""),"BLACK")</f>
        <v>BLACK</v>
      </c>
      <c r="G5162" s="20" t="str">
        <f>IFERROR(__xludf.DUMMYFUNCTION("""COMPUTED_VALUE"""),"Uncle Sams Cider (04/04/2023)")</f>
        <v>Uncle Sams Cider (04/04/2023)</v>
      </c>
      <c r="H5162" s="19"/>
    </row>
    <row r="5163">
      <c r="A5163" s="9"/>
      <c r="B5163" s="15"/>
      <c r="C5163" s="9">
        <f>IFERROR(__xludf.DUMMYFUNCTION("""COMPUTED_VALUE"""),45090.4846029282)</f>
        <v>45090.4846</v>
      </c>
      <c r="D5163" s="15">
        <f>IFERROR(__xludf.DUMMYFUNCTION("""COMPUTED_VALUE"""),1.006)</f>
        <v>1.006</v>
      </c>
      <c r="E5163" s="16">
        <f>IFERROR(__xludf.DUMMYFUNCTION("""COMPUTED_VALUE"""),69.0)</f>
        <v>69</v>
      </c>
      <c r="F5163" s="19" t="str">
        <f>IFERROR(__xludf.DUMMYFUNCTION("""COMPUTED_VALUE"""),"BLACK")</f>
        <v>BLACK</v>
      </c>
      <c r="G5163" s="20" t="str">
        <f>IFERROR(__xludf.DUMMYFUNCTION("""COMPUTED_VALUE"""),"Uncle Sams Cider (04/04/2023)")</f>
        <v>Uncle Sams Cider (04/04/2023)</v>
      </c>
      <c r="H5163" s="19"/>
    </row>
    <row r="5164">
      <c r="A5164" s="9"/>
      <c r="B5164" s="15"/>
      <c r="C5164" s="9">
        <f>IFERROR(__xludf.DUMMYFUNCTION("""COMPUTED_VALUE"""),45090.4741825)</f>
        <v>45090.47418</v>
      </c>
      <c r="D5164" s="15">
        <f>IFERROR(__xludf.DUMMYFUNCTION("""COMPUTED_VALUE"""),1.006)</f>
        <v>1.006</v>
      </c>
      <c r="E5164" s="16">
        <f>IFERROR(__xludf.DUMMYFUNCTION("""COMPUTED_VALUE"""),69.0)</f>
        <v>69</v>
      </c>
      <c r="F5164" s="19" t="str">
        <f>IFERROR(__xludf.DUMMYFUNCTION("""COMPUTED_VALUE"""),"BLACK")</f>
        <v>BLACK</v>
      </c>
      <c r="G5164" s="20" t="str">
        <f>IFERROR(__xludf.DUMMYFUNCTION("""COMPUTED_VALUE"""),"Uncle Sams Cider (04/04/2023)")</f>
        <v>Uncle Sams Cider (04/04/2023)</v>
      </c>
      <c r="H5164" s="19"/>
    </row>
    <row r="5165">
      <c r="A5165" s="9"/>
      <c r="B5165" s="15"/>
      <c r="C5165" s="9">
        <f>IFERROR(__xludf.DUMMYFUNCTION("""COMPUTED_VALUE"""),45090.4637503472)</f>
        <v>45090.46375</v>
      </c>
      <c r="D5165" s="15">
        <f>IFERROR(__xludf.DUMMYFUNCTION("""COMPUTED_VALUE"""),1.007)</f>
        <v>1.007</v>
      </c>
      <c r="E5165" s="16">
        <f>IFERROR(__xludf.DUMMYFUNCTION("""COMPUTED_VALUE"""),69.0)</f>
        <v>69</v>
      </c>
      <c r="F5165" s="19" t="str">
        <f>IFERROR(__xludf.DUMMYFUNCTION("""COMPUTED_VALUE"""),"BLACK")</f>
        <v>BLACK</v>
      </c>
      <c r="G5165" s="20" t="str">
        <f>IFERROR(__xludf.DUMMYFUNCTION("""COMPUTED_VALUE"""),"Uncle Sams Cider (04/04/2023)")</f>
        <v>Uncle Sams Cider (04/04/2023)</v>
      </c>
      <c r="H5165" s="19"/>
    </row>
    <row r="5166">
      <c r="A5166" s="9"/>
      <c r="B5166" s="15"/>
      <c r="C5166" s="9">
        <f>IFERROR(__xludf.DUMMYFUNCTION("""COMPUTED_VALUE"""),45090.4533270833)</f>
        <v>45090.45333</v>
      </c>
      <c r="D5166" s="15">
        <f>IFERROR(__xludf.DUMMYFUNCTION("""COMPUTED_VALUE"""),1.006)</f>
        <v>1.006</v>
      </c>
      <c r="E5166" s="16">
        <f>IFERROR(__xludf.DUMMYFUNCTION("""COMPUTED_VALUE"""),69.0)</f>
        <v>69</v>
      </c>
      <c r="F5166" s="19" t="str">
        <f>IFERROR(__xludf.DUMMYFUNCTION("""COMPUTED_VALUE"""),"BLACK")</f>
        <v>BLACK</v>
      </c>
      <c r="G5166" s="20" t="str">
        <f>IFERROR(__xludf.DUMMYFUNCTION("""COMPUTED_VALUE"""),"Uncle Sams Cider (04/04/2023)")</f>
        <v>Uncle Sams Cider (04/04/2023)</v>
      </c>
      <c r="H5166" s="19"/>
    </row>
    <row r="5167">
      <c r="A5167" s="9"/>
      <c r="B5167" s="15"/>
      <c r="C5167" s="9">
        <f>IFERROR(__xludf.DUMMYFUNCTION("""COMPUTED_VALUE"""),45090.4429062615)</f>
        <v>45090.44291</v>
      </c>
      <c r="D5167" s="15">
        <f>IFERROR(__xludf.DUMMYFUNCTION("""COMPUTED_VALUE"""),1.006)</f>
        <v>1.006</v>
      </c>
      <c r="E5167" s="16">
        <f>IFERROR(__xludf.DUMMYFUNCTION("""COMPUTED_VALUE"""),69.0)</f>
        <v>69</v>
      </c>
      <c r="F5167" s="19" t="str">
        <f>IFERROR(__xludf.DUMMYFUNCTION("""COMPUTED_VALUE"""),"BLACK")</f>
        <v>BLACK</v>
      </c>
      <c r="G5167" s="20" t="str">
        <f>IFERROR(__xludf.DUMMYFUNCTION("""COMPUTED_VALUE"""),"Uncle Sams Cider (04/04/2023)")</f>
        <v>Uncle Sams Cider (04/04/2023)</v>
      </c>
      <c r="H5167" s="19"/>
    </row>
    <row r="5168">
      <c r="A5168" s="9"/>
      <c r="B5168" s="15"/>
      <c r="C5168" s="9">
        <f>IFERROR(__xludf.DUMMYFUNCTION("""COMPUTED_VALUE"""),45090.4324747916)</f>
        <v>45090.43247</v>
      </c>
      <c r="D5168" s="15">
        <f>IFERROR(__xludf.DUMMYFUNCTION("""COMPUTED_VALUE"""),1.006)</f>
        <v>1.006</v>
      </c>
      <c r="E5168" s="16">
        <f>IFERROR(__xludf.DUMMYFUNCTION("""COMPUTED_VALUE"""),69.0)</f>
        <v>69</v>
      </c>
      <c r="F5168" s="19" t="str">
        <f>IFERROR(__xludf.DUMMYFUNCTION("""COMPUTED_VALUE"""),"BLACK")</f>
        <v>BLACK</v>
      </c>
      <c r="G5168" s="20" t="str">
        <f>IFERROR(__xludf.DUMMYFUNCTION("""COMPUTED_VALUE"""),"Uncle Sams Cider (04/04/2023)")</f>
        <v>Uncle Sams Cider (04/04/2023)</v>
      </c>
      <c r="H5168" s="19"/>
    </row>
    <row r="5169">
      <c r="A5169" s="9"/>
      <c r="B5169" s="15"/>
      <c r="C5169" s="9">
        <f>IFERROR(__xludf.DUMMYFUNCTION("""COMPUTED_VALUE"""),45090.4220537268)</f>
        <v>45090.42205</v>
      </c>
      <c r="D5169" s="15">
        <f>IFERROR(__xludf.DUMMYFUNCTION("""COMPUTED_VALUE"""),1.006)</f>
        <v>1.006</v>
      </c>
      <c r="E5169" s="16">
        <f>IFERROR(__xludf.DUMMYFUNCTION("""COMPUTED_VALUE"""),69.0)</f>
        <v>69</v>
      </c>
      <c r="F5169" s="19" t="str">
        <f>IFERROR(__xludf.DUMMYFUNCTION("""COMPUTED_VALUE"""),"BLACK")</f>
        <v>BLACK</v>
      </c>
      <c r="G5169" s="20" t="str">
        <f>IFERROR(__xludf.DUMMYFUNCTION("""COMPUTED_VALUE"""),"Uncle Sams Cider (04/04/2023)")</f>
        <v>Uncle Sams Cider (04/04/2023)</v>
      </c>
      <c r="H5169" s="19"/>
    </row>
    <row r="5170">
      <c r="A5170" s="9"/>
      <c r="B5170" s="15"/>
      <c r="C5170" s="9">
        <f>IFERROR(__xludf.DUMMYFUNCTION("""COMPUTED_VALUE"""),45090.4116331944)</f>
        <v>45090.41163</v>
      </c>
      <c r="D5170" s="15">
        <f>IFERROR(__xludf.DUMMYFUNCTION("""COMPUTED_VALUE"""),1.007)</f>
        <v>1.007</v>
      </c>
      <c r="E5170" s="16">
        <f>IFERROR(__xludf.DUMMYFUNCTION("""COMPUTED_VALUE"""),69.0)</f>
        <v>69</v>
      </c>
      <c r="F5170" s="19" t="str">
        <f>IFERROR(__xludf.DUMMYFUNCTION("""COMPUTED_VALUE"""),"BLACK")</f>
        <v>BLACK</v>
      </c>
      <c r="G5170" s="20" t="str">
        <f>IFERROR(__xludf.DUMMYFUNCTION("""COMPUTED_VALUE"""),"Uncle Sams Cider (04/04/2023)")</f>
        <v>Uncle Sams Cider (04/04/2023)</v>
      </c>
      <c r="H5170" s="19"/>
    </row>
    <row r="5171">
      <c r="A5171" s="9"/>
      <c r="B5171" s="15"/>
      <c r="C5171" s="9">
        <f>IFERROR(__xludf.DUMMYFUNCTION("""COMPUTED_VALUE"""),45090.4012117824)</f>
        <v>45090.40121</v>
      </c>
      <c r="D5171" s="15">
        <f>IFERROR(__xludf.DUMMYFUNCTION("""COMPUTED_VALUE"""),1.006)</f>
        <v>1.006</v>
      </c>
      <c r="E5171" s="16">
        <f>IFERROR(__xludf.DUMMYFUNCTION("""COMPUTED_VALUE"""),69.0)</f>
        <v>69</v>
      </c>
      <c r="F5171" s="19" t="str">
        <f>IFERROR(__xludf.DUMMYFUNCTION("""COMPUTED_VALUE"""),"BLACK")</f>
        <v>BLACK</v>
      </c>
      <c r="G5171" s="20" t="str">
        <f>IFERROR(__xludf.DUMMYFUNCTION("""COMPUTED_VALUE"""),"Uncle Sams Cider (04/04/2023)")</f>
        <v>Uncle Sams Cider (04/04/2023)</v>
      </c>
      <c r="H5171" s="19"/>
    </row>
    <row r="5172">
      <c r="A5172" s="9"/>
      <c r="B5172" s="15"/>
      <c r="C5172" s="9">
        <f>IFERROR(__xludf.DUMMYFUNCTION("""COMPUTED_VALUE"""),45090.3907914814)</f>
        <v>45090.39079</v>
      </c>
      <c r="D5172" s="15">
        <f>IFERROR(__xludf.DUMMYFUNCTION("""COMPUTED_VALUE"""),1.006)</f>
        <v>1.006</v>
      </c>
      <c r="E5172" s="16">
        <f>IFERROR(__xludf.DUMMYFUNCTION("""COMPUTED_VALUE"""),69.0)</f>
        <v>69</v>
      </c>
      <c r="F5172" s="19" t="str">
        <f>IFERROR(__xludf.DUMMYFUNCTION("""COMPUTED_VALUE"""),"BLACK")</f>
        <v>BLACK</v>
      </c>
      <c r="G5172" s="20" t="str">
        <f>IFERROR(__xludf.DUMMYFUNCTION("""COMPUTED_VALUE"""),"Uncle Sams Cider (04/04/2023)")</f>
        <v>Uncle Sams Cider (04/04/2023)</v>
      </c>
      <c r="H5172" s="19"/>
    </row>
    <row r="5173">
      <c r="A5173" s="9"/>
      <c r="B5173" s="15"/>
      <c r="C5173" s="9">
        <f>IFERROR(__xludf.DUMMYFUNCTION("""COMPUTED_VALUE"""),45090.3803695717)</f>
        <v>45090.38037</v>
      </c>
      <c r="D5173" s="15">
        <f>IFERROR(__xludf.DUMMYFUNCTION("""COMPUTED_VALUE"""),1.006)</f>
        <v>1.006</v>
      </c>
      <c r="E5173" s="16">
        <f>IFERROR(__xludf.DUMMYFUNCTION("""COMPUTED_VALUE"""),69.0)</f>
        <v>69</v>
      </c>
      <c r="F5173" s="19" t="str">
        <f>IFERROR(__xludf.DUMMYFUNCTION("""COMPUTED_VALUE"""),"BLACK")</f>
        <v>BLACK</v>
      </c>
      <c r="G5173" s="20" t="str">
        <f>IFERROR(__xludf.DUMMYFUNCTION("""COMPUTED_VALUE"""),"Uncle Sams Cider (04/04/2023)")</f>
        <v>Uncle Sams Cider (04/04/2023)</v>
      </c>
      <c r="H5173" s="19"/>
    </row>
    <row r="5174">
      <c r="A5174" s="9"/>
      <c r="B5174" s="15"/>
      <c r="C5174" s="9">
        <f>IFERROR(__xludf.DUMMYFUNCTION("""COMPUTED_VALUE"""),45090.3699383796)</f>
        <v>45090.36994</v>
      </c>
      <c r="D5174" s="15">
        <f>IFERROR(__xludf.DUMMYFUNCTION("""COMPUTED_VALUE"""),1.006)</f>
        <v>1.006</v>
      </c>
      <c r="E5174" s="16">
        <f>IFERROR(__xludf.DUMMYFUNCTION("""COMPUTED_VALUE"""),69.0)</f>
        <v>69</v>
      </c>
      <c r="F5174" s="19" t="str">
        <f>IFERROR(__xludf.DUMMYFUNCTION("""COMPUTED_VALUE"""),"BLACK")</f>
        <v>BLACK</v>
      </c>
      <c r="G5174" s="20" t="str">
        <f>IFERROR(__xludf.DUMMYFUNCTION("""COMPUTED_VALUE"""),"Uncle Sams Cider (04/04/2023)")</f>
        <v>Uncle Sams Cider (04/04/2023)</v>
      </c>
      <c r="H5174" s="19"/>
    </row>
    <row r="5175">
      <c r="A5175" s="9"/>
      <c r="B5175" s="15"/>
      <c r="C5175" s="9">
        <f>IFERROR(__xludf.DUMMYFUNCTION("""COMPUTED_VALUE"""),45090.3595190046)</f>
        <v>45090.35952</v>
      </c>
      <c r="D5175" s="15">
        <f>IFERROR(__xludf.DUMMYFUNCTION("""COMPUTED_VALUE"""),1.006)</f>
        <v>1.006</v>
      </c>
      <c r="E5175" s="16">
        <f>IFERROR(__xludf.DUMMYFUNCTION("""COMPUTED_VALUE"""),69.0)</f>
        <v>69</v>
      </c>
      <c r="F5175" s="19" t="str">
        <f>IFERROR(__xludf.DUMMYFUNCTION("""COMPUTED_VALUE"""),"BLACK")</f>
        <v>BLACK</v>
      </c>
      <c r="G5175" s="20" t="str">
        <f>IFERROR(__xludf.DUMMYFUNCTION("""COMPUTED_VALUE"""),"Uncle Sams Cider (04/04/2023)")</f>
        <v>Uncle Sams Cider (04/04/2023)</v>
      </c>
      <c r="H5175" s="19"/>
    </row>
    <row r="5176">
      <c r="A5176" s="9"/>
      <c r="B5176" s="15"/>
      <c r="C5176" s="9">
        <f>IFERROR(__xludf.DUMMYFUNCTION("""COMPUTED_VALUE"""),45090.3490985763)</f>
        <v>45090.3491</v>
      </c>
      <c r="D5176" s="15">
        <f>IFERROR(__xludf.DUMMYFUNCTION("""COMPUTED_VALUE"""),1.007)</f>
        <v>1.007</v>
      </c>
      <c r="E5176" s="16">
        <f>IFERROR(__xludf.DUMMYFUNCTION("""COMPUTED_VALUE"""),69.0)</f>
        <v>69</v>
      </c>
      <c r="F5176" s="19" t="str">
        <f>IFERROR(__xludf.DUMMYFUNCTION("""COMPUTED_VALUE"""),"BLACK")</f>
        <v>BLACK</v>
      </c>
      <c r="G5176" s="20" t="str">
        <f>IFERROR(__xludf.DUMMYFUNCTION("""COMPUTED_VALUE"""),"Uncle Sams Cider (04/04/2023)")</f>
        <v>Uncle Sams Cider (04/04/2023)</v>
      </c>
      <c r="H5176" s="19"/>
    </row>
    <row r="5177">
      <c r="A5177" s="9"/>
      <c r="B5177" s="15"/>
      <c r="C5177" s="9">
        <f>IFERROR(__xludf.DUMMYFUNCTION("""COMPUTED_VALUE"""),45090.3386303009)</f>
        <v>45090.33863</v>
      </c>
      <c r="D5177" s="15">
        <f>IFERROR(__xludf.DUMMYFUNCTION("""COMPUTED_VALUE"""),1.006)</f>
        <v>1.006</v>
      </c>
      <c r="E5177" s="16">
        <f>IFERROR(__xludf.DUMMYFUNCTION("""COMPUTED_VALUE"""),69.0)</f>
        <v>69</v>
      </c>
      <c r="F5177" s="19" t="str">
        <f>IFERROR(__xludf.DUMMYFUNCTION("""COMPUTED_VALUE"""),"BLACK")</f>
        <v>BLACK</v>
      </c>
      <c r="G5177" s="20" t="str">
        <f>IFERROR(__xludf.DUMMYFUNCTION("""COMPUTED_VALUE"""),"Uncle Sams Cider (04/04/2023)")</f>
        <v>Uncle Sams Cider (04/04/2023)</v>
      </c>
      <c r="H5177" s="19"/>
    </row>
    <row r="5178">
      <c r="A5178" s="9"/>
      <c r="B5178" s="15"/>
      <c r="C5178" s="9">
        <f>IFERROR(__xludf.DUMMYFUNCTION("""COMPUTED_VALUE"""),45090.3282090856)</f>
        <v>45090.32821</v>
      </c>
      <c r="D5178" s="15">
        <f>IFERROR(__xludf.DUMMYFUNCTION("""COMPUTED_VALUE"""),1.006)</f>
        <v>1.006</v>
      </c>
      <c r="E5178" s="16">
        <f>IFERROR(__xludf.DUMMYFUNCTION("""COMPUTED_VALUE"""),69.0)</f>
        <v>69</v>
      </c>
      <c r="F5178" s="19" t="str">
        <f>IFERROR(__xludf.DUMMYFUNCTION("""COMPUTED_VALUE"""),"BLACK")</f>
        <v>BLACK</v>
      </c>
      <c r="G5178" s="20" t="str">
        <f>IFERROR(__xludf.DUMMYFUNCTION("""COMPUTED_VALUE"""),"Uncle Sams Cider (04/04/2023)")</f>
        <v>Uncle Sams Cider (04/04/2023)</v>
      </c>
      <c r="H5178" s="19"/>
    </row>
    <row r="5179">
      <c r="A5179" s="9"/>
      <c r="B5179" s="15"/>
      <c r="C5179" s="9">
        <f>IFERROR(__xludf.DUMMYFUNCTION("""COMPUTED_VALUE"""),45090.3073689583)</f>
        <v>45090.30737</v>
      </c>
      <c r="D5179" s="15">
        <f>IFERROR(__xludf.DUMMYFUNCTION("""COMPUTED_VALUE"""),1.006)</f>
        <v>1.006</v>
      </c>
      <c r="E5179" s="16">
        <f>IFERROR(__xludf.DUMMYFUNCTION("""COMPUTED_VALUE"""),69.0)</f>
        <v>69</v>
      </c>
      <c r="F5179" s="19" t="str">
        <f>IFERROR(__xludf.DUMMYFUNCTION("""COMPUTED_VALUE"""),"BLACK")</f>
        <v>BLACK</v>
      </c>
      <c r="G5179" s="20" t="str">
        <f>IFERROR(__xludf.DUMMYFUNCTION("""COMPUTED_VALUE"""),"Uncle Sams Cider (04/04/2023)")</f>
        <v>Uncle Sams Cider (04/04/2023)</v>
      </c>
      <c r="H5179" s="19"/>
    </row>
    <row r="5180">
      <c r="A5180" s="9"/>
      <c r="B5180" s="15"/>
      <c r="C5180" s="9">
        <f>IFERROR(__xludf.DUMMYFUNCTION("""COMPUTED_VALUE"""),45090.2969490625)</f>
        <v>45090.29695</v>
      </c>
      <c r="D5180" s="15">
        <f>IFERROR(__xludf.DUMMYFUNCTION("""COMPUTED_VALUE"""),1.006)</f>
        <v>1.006</v>
      </c>
      <c r="E5180" s="16">
        <f>IFERROR(__xludf.DUMMYFUNCTION("""COMPUTED_VALUE"""),69.0)</f>
        <v>69</v>
      </c>
      <c r="F5180" s="19" t="str">
        <f>IFERROR(__xludf.DUMMYFUNCTION("""COMPUTED_VALUE"""),"BLACK")</f>
        <v>BLACK</v>
      </c>
      <c r="G5180" s="20" t="str">
        <f>IFERROR(__xludf.DUMMYFUNCTION("""COMPUTED_VALUE"""),"Uncle Sams Cider (04/04/2023)")</f>
        <v>Uncle Sams Cider (04/04/2023)</v>
      </c>
      <c r="H5180" s="19"/>
    </row>
    <row r="5181">
      <c r="A5181" s="9"/>
      <c r="B5181" s="15"/>
      <c r="C5181" s="9">
        <f>IFERROR(__xludf.DUMMYFUNCTION("""COMPUTED_VALUE"""),45090.2865269097)</f>
        <v>45090.28653</v>
      </c>
      <c r="D5181" s="15">
        <f>IFERROR(__xludf.DUMMYFUNCTION("""COMPUTED_VALUE"""),1.007)</f>
        <v>1.007</v>
      </c>
      <c r="E5181" s="16">
        <f>IFERROR(__xludf.DUMMYFUNCTION("""COMPUTED_VALUE"""),69.0)</f>
        <v>69</v>
      </c>
      <c r="F5181" s="19" t="str">
        <f>IFERROR(__xludf.DUMMYFUNCTION("""COMPUTED_VALUE"""),"BLACK")</f>
        <v>BLACK</v>
      </c>
      <c r="G5181" s="20" t="str">
        <f>IFERROR(__xludf.DUMMYFUNCTION("""COMPUTED_VALUE"""),"Uncle Sams Cider (04/04/2023)")</f>
        <v>Uncle Sams Cider (04/04/2023)</v>
      </c>
      <c r="H5181" s="19"/>
    </row>
    <row r="5182">
      <c r="A5182" s="9"/>
      <c r="B5182" s="15"/>
      <c r="C5182" s="9">
        <f>IFERROR(__xludf.DUMMYFUNCTION("""COMPUTED_VALUE"""),45090.2760938657)</f>
        <v>45090.27609</v>
      </c>
      <c r="D5182" s="15">
        <f>IFERROR(__xludf.DUMMYFUNCTION("""COMPUTED_VALUE"""),1.007)</f>
        <v>1.007</v>
      </c>
      <c r="E5182" s="16">
        <f>IFERROR(__xludf.DUMMYFUNCTION("""COMPUTED_VALUE"""),69.0)</f>
        <v>69</v>
      </c>
      <c r="F5182" s="19" t="str">
        <f>IFERROR(__xludf.DUMMYFUNCTION("""COMPUTED_VALUE"""),"BLACK")</f>
        <v>BLACK</v>
      </c>
      <c r="G5182" s="20" t="str">
        <f>IFERROR(__xludf.DUMMYFUNCTION("""COMPUTED_VALUE"""),"Uncle Sams Cider (04/04/2023)")</f>
        <v>Uncle Sams Cider (04/04/2023)</v>
      </c>
      <c r="H5182" s="19"/>
    </row>
    <row r="5183">
      <c r="A5183" s="9"/>
      <c r="B5183" s="15"/>
      <c r="C5183" s="9">
        <f>IFERROR(__xludf.DUMMYFUNCTION("""COMPUTED_VALUE"""),45090.2656626157)</f>
        <v>45090.26566</v>
      </c>
      <c r="D5183" s="15">
        <f>IFERROR(__xludf.DUMMYFUNCTION("""COMPUTED_VALUE"""),1.006)</f>
        <v>1.006</v>
      </c>
      <c r="E5183" s="16">
        <f>IFERROR(__xludf.DUMMYFUNCTION("""COMPUTED_VALUE"""),69.0)</f>
        <v>69</v>
      </c>
      <c r="F5183" s="19" t="str">
        <f>IFERROR(__xludf.DUMMYFUNCTION("""COMPUTED_VALUE"""),"BLACK")</f>
        <v>BLACK</v>
      </c>
      <c r="G5183" s="20" t="str">
        <f>IFERROR(__xludf.DUMMYFUNCTION("""COMPUTED_VALUE"""),"Uncle Sams Cider (04/04/2023)")</f>
        <v>Uncle Sams Cider (04/04/2023)</v>
      </c>
      <c r="H5183" s="19"/>
    </row>
    <row r="5184">
      <c r="A5184" s="9"/>
      <c r="B5184" s="15"/>
      <c r="C5184" s="9">
        <f>IFERROR(__xludf.DUMMYFUNCTION("""COMPUTED_VALUE"""),45090.2552392245)</f>
        <v>45090.25524</v>
      </c>
      <c r="D5184" s="15">
        <f>IFERROR(__xludf.DUMMYFUNCTION("""COMPUTED_VALUE"""),1.007)</f>
        <v>1.007</v>
      </c>
      <c r="E5184" s="16">
        <f>IFERROR(__xludf.DUMMYFUNCTION("""COMPUTED_VALUE"""),69.0)</f>
        <v>69</v>
      </c>
      <c r="F5184" s="19" t="str">
        <f>IFERROR(__xludf.DUMMYFUNCTION("""COMPUTED_VALUE"""),"BLACK")</f>
        <v>BLACK</v>
      </c>
      <c r="G5184" s="20" t="str">
        <f>IFERROR(__xludf.DUMMYFUNCTION("""COMPUTED_VALUE"""),"Uncle Sams Cider (04/04/2023)")</f>
        <v>Uncle Sams Cider (04/04/2023)</v>
      </c>
      <c r="H5184" s="19"/>
    </row>
    <row r="5185">
      <c r="A5185" s="9"/>
      <c r="B5185" s="15"/>
      <c r="C5185" s="9">
        <f>IFERROR(__xludf.DUMMYFUNCTION("""COMPUTED_VALUE"""),45090.2448068171)</f>
        <v>45090.24481</v>
      </c>
      <c r="D5185" s="15">
        <f>IFERROR(__xludf.DUMMYFUNCTION("""COMPUTED_VALUE"""),1.006)</f>
        <v>1.006</v>
      </c>
      <c r="E5185" s="16">
        <f>IFERROR(__xludf.DUMMYFUNCTION("""COMPUTED_VALUE"""),69.0)</f>
        <v>69</v>
      </c>
      <c r="F5185" s="19" t="str">
        <f>IFERROR(__xludf.DUMMYFUNCTION("""COMPUTED_VALUE"""),"BLACK")</f>
        <v>BLACK</v>
      </c>
      <c r="G5185" s="20" t="str">
        <f>IFERROR(__xludf.DUMMYFUNCTION("""COMPUTED_VALUE"""),"Uncle Sams Cider (04/04/2023)")</f>
        <v>Uncle Sams Cider (04/04/2023)</v>
      </c>
      <c r="H5185" s="19"/>
    </row>
    <row r="5186">
      <c r="A5186" s="9"/>
      <c r="B5186" s="15"/>
      <c r="C5186" s="9">
        <f>IFERROR(__xludf.DUMMYFUNCTION("""COMPUTED_VALUE"""),45090.2343626504)</f>
        <v>45090.23436</v>
      </c>
      <c r="D5186" s="15">
        <f>IFERROR(__xludf.DUMMYFUNCTION("""COMPUTED_VALUE"""),1.007)</f>
        <v>1.007</v>
      </c>
      <c r="E5186" s="16">
        <f>IFERROR(__xludf.DUMMYFUNCTION("""COMPUTED_VALUE"""),69.0)</f>
        <v>69</v>
      </c>
      <c r="F5186" s="19" t="str">
        <f>IFERROR(__xludf.DUMMYFUNCTION("""COMPUTED_VALUE"""),"BLACK")</f>
        <v>BLACK</v>
      </c>
      <c r="G5186" s="20" t="str">
        <f>IFERROR(__xludf.DUMMYFUNCTION("""COMPUTED_VALUE"""),"Uncle Sams Cider (04/04/2023)")</f>
        <v>Uncle Sams Cider (04/04/2023)</v>
      </c>
      <c r="H5186" s="19"/>
    </row>
    <row r="5187">
      <c r="A5187" s="9"/>
      <c r="B5187" s="15"/>
      <c r="C5187" s="9">
        <f>IFERROR(__xludf.DUMMYFUNCTION("""COMPUTED_VALUE"""),45090.2239416088)</f>
        <v>45090.22394</v>
      </c>
      <c r="D5187" s="15">
        <f>IFERROR(__xludf.DUMMYFUNCTION("""COMPUTED_VALUE"""),1.006)</f>
        <v>1.006</v>
      </c>
      <c r="E5187" s="16">
        <f>IFERROR(__xludf.DUMMYFUNCTION("""COMPUTED_VALUE"""),69.0)</f>
        <v>69</v>
      </c>
      <c r="F5187" s="19" t="str">
        <f>IFERROR(__xludf.DUMMYFUNCTION("""COMPUTED_VALUE"""),"BLACK")</f>
        <v>BLACK</v>
      </c>
      <c r="G5187" s="20" t="str">
        <f>IFERROR(__xludf.DUMMYFUNCTION("""COMPUTED_VALUE"""),"Uncle Sams Cider (04/04/2023)")</f>
        <v>Uncle Sams Cider (04/04/2023)</v>
      </c>
      <c r="H5187" s="19"/>
    </row>
    <row r="5188">
      <c r="A5188" s="9"/>
      <c r="B5188" s="15"/>
      <c r="C5188" s="9">
        <f>IFERROR(__xludf.DUMMYFUNCTION("""COMPUTED_VALUE"""),45090.2135199537)</f>
        <v>45090.21352</v>
      </c>
      <c r="D5188" s="15">
        <f>IFERROR(__xludf.DUMMYFUNCTION("""COMPUTED_VALUE"""),1.006)</f>
        <v>1.006</v>
      </c>
      <c r="E5188" s="16">
        <f>IFERROR(__xludf.DUMMYFUNCTION("""COMPUTED_VALUE"""),69.0)</f>
        <v>69</v>
      </c>
      <c r="F5188" s="19" t="str">
        <f>IFERROR(__xludf.DUMMYFUNCTION("""COMPUTED_VALUE"""),"BLACK")</f>
        <v>BLACK</v>
      </c>
      <c r="G5188" s="20" t="str">
        <f>IFERROR(__xludf.DUMMYFUNCTION("""COMPUTED_VALUE"""),"Uncle Sams Cider (04/04/2023)")</f>
        <v>Uncle Sams Cider (04/04/2023)</v>
      </c>
      <c r="H5188" s="19"/>
    </row>
    <row r="5189">
      <c r="A5189" s="9"/>
      <c r="B5189" s="15"/>
      <c r="C5189" s="9">
        <f>IFERROR(__xludf.DUMMYFUNCTION("""COMPUTED_VALUE"""),45090.2030983333)</f>
        <v>45090.2031</v>
      </c>
      <c r="D5189" s="15">
        <f>IFERROR(__xludf.DUMMYFUNCTION("""COMPUTED_VALUE"""),1.006)</f>
        <v>1.006</v>
      </c>
      <c r="E5189" s="16">
        <f>IFERROR(__xludf.DUMMYFUNCTION("""COMPUTED_VALUE"""),69.0)</f>
        <v>69</v>
      </c>
      <c r="F5189" s="19" t="str">
        <f>IFERROR(__xludf.DUMMYFUNCTION("""COMPUTED_VALUE"""),"BLACK")</f>
        <v>BLACK</v>
      </c>
      <c r="G5189" s="20" t="str">
        <f>IFERROR(__xludf.DUMMYFUNCTION("""COMPUTED_VALUE"""),"Uncle Sams Cider (04/04/2023)")</f>
        <v>Uncle Sams Cider (04/04/2023)</v>
      </c>
      <c r="H5189" s="19"/>
    </row>
    <row r="5190">
      <c r="A5190" s="9"/>
      <c r="B5190" s="15"/>
      <c r="C5190" s="9">
        <f>IFERROR(__xludf.DUMMYFUNCTION("""COMPUTED_VALUE"""),45090.1926770138)</f>
        <v>45090.19268</v>
      </c>
      <c r="D5190" s="15">
        <f>IFERROR(__xludf.DUMMYFUNCTION("""COMPUTED_VALUE"""),1.006)</f>
        <v>1.006</v>
      </c>
      <c r="E5190" s="16">
        <f>IFERROR(__xludf.DUMMYFUNCTION("""COMPUTED_VALUE"""),69.0)</f>
        <v>69</v>
      </c>
      <c r="F5190" s="19" t="str">
        <f>IFERROR(__xludf.DUMMYFUNCTION("""COMPUTED_VALUE"""),"BLACK")</f>
        <v>BLACK</v>
      </c>
      <c r="G5190" s="20" t="str">
        <f>IFERROR(__xludf.DUMMYFUNCTION("""COMPUTED_VALUE"""),"Uncle Sams Cider (04/04/2023)")</f>
        <v>Uncle Sams Cider (04/04/2023)</v>
      </c>
      <c r="H5190" s="19"/>
    </row>
    <row r="5191">
      <c r="A5191" s="9"/>
      <c r="B5191" s="15"/>
      <c r="C5191" s="9">
        <f>IFERROR(__xludf.DUMMYFUNCTION("""COMPUTED_VALUE"""),45090.1822585763)</f>
        <v>45090.18226</v>
      </c>
      <c r="D5191" s="15">
        <f>IFERROR(__xludf.DUMMYFUNCTION("""COMPUTED_VALUE"""),1.007)</f>
        <v>1.007</v>
      </c>
      <c r="E5191" s="16">
        <f>IFERROR(__xludf.DUMMYFUNCTION("""COMPUTED_VALUE"""),69.0)</f>
        <v>69</v>
      </c>
      <c r="F5191" s="19" t="str">
        <f>IFERROR(__xludf.DUMMYFUNCTION("""COMPUTED_VALUE"""),"BLACK")</f>
        <v>BLACK</v>
      </c>
      <c r="G5191" s="20" t="str">
        <f>IFERROR(__xludf.DUMMYFUNCTION("""COMPUTED_VALUE"""),"Uncle Sams Cider (04/04/2023)")</f>
        <v>Uncle Sams Cider (04/04/2023)</v>
      </c>
      <c r="H5191" s="19"/>
    </row>
    <row r="5192">
      <c r="A5192" s="9"/>
      <c r="B5192" s="15"/>
      <c r="C5192" s="9">
        <f>IFERROR(__xludf.DUMMYFUNCTION("""COMPUTED_VALUE"""),45090.171837037)</f>
        <v>45090.17184</v>
      </c>
      <c r="D5192" s="15">
        <f>IFERROR(__xludf.DUMMYFUNCTION("""COMPUTED_VALUE"""),1.006)</f>
        <v>1.006</v>
      </c>
      <c r="E5192" s="16">
        <f>IFERROR(__xludf.DUMMYFUNCTION("""COMPUTED_VALUE"""),69.0)</f>
        <v>69</v>
      </c>
      <c r="F5192" s="19" t="str">
        <f>IFERROR(__xludf.DUMMYFUNCTION("""COMPUTED_VALUE"""),"BLACK")</f>
        <v>BLACK</v>
      </c>
      <c r="G5192" s="20" t="str">
        <f>IFERROR(__xludf.DUMMYFUNCTION("""COMPUTED_VALUE"""),"Uncle Sams Cider (04/04/2023)")</f>
        <v>Uncle Sams Cider (04/04/2023)</v>
      </c>
      <c r="H5192" s="19"/>
    </row>
    <row r="5193">
      <c r="A5193" s="9"/>
      <c r="B5193" s="15"/>
      <c r="C5193" s="9">
        <f>IFERROR(__xludf.DUMMYFUNCTION("""COMPUTED_VALUE"""),45090.1614161458)</f>
        <v>45090.16142</v>
      </c>
      <c r="D5193" s="15">
        <f>IFERROR(__xludf.DUMMYFUNCTION("""COMPUTED_VALUE"""),1.007)</f>
        <v>1.007</v>
      </c>
      <c r="E5193" s="16">
        <f>IFERROR(__xludf.DUMMYFUNCTION("""COMPUTED_VALUE"""),69.0)</f>
        <v>69</v>
      </c>
      <c r="F5193" s="19" t="str">
        <f>IFERROR(__xludf.DUMMYFUNCTION("""COMPUTED_VALUE"""),"BLACK")</f>
        <v>BLACK</v>
      </c>
      <c r="G5193" s="20" t="str">
        <f>IFERROR(__xludf.DUMMYFUNCTION("""COMPUTED_VALUE"""),"Uncle Sams Cider (04/04/2023)")</f>
        <v>Uncle Sams Cider (04/04/2023)</v>
      </c>
      <c r="H5193" s="19"/>
    </row>
    <row r="5194">
      <c r="A5194" s="9"/>
      <c r="B5194" s="15"/>
      <c r="C5194" s="9">
        <f>IFERROR(__xludf.DUMMYFUNCTION("""COMPUTED_VALUE"""),45090.1509960648)</f>
        <v>45090.151</v>
      </c>
      <c r="D5194" s="15">
        <f>IFERROR(__xludf.DUMMYFUNCTION("""COMPUTED_VALUE"""),1.006)</f>
        <v>1.006</v>
      </c>
      <c r="E5194" s="16">
        <f>IFERROR(__xludf.DUMMYFUNCTION("""COMPUTED_VALUE"""),69.0)</f>
        <v>69</v>
      </c>
      <c r="F5194" s="19" t="str">
        <f>IFERROR(__xludf.DUMMYFUNCTION("""COMPUTED_VALUE"""),"BLACK")</f>
        <v>BLACK</v>
      </c>
      <c r="G5194" s="20" t="str">
        <f>IFERROR(__xludf.DUMMYFUNCTION("""COMPUTED_VALUE"""),"Uncle Sams Cider (04/04/2023)")</f>
        <v>Uncle Sams Cider (04/04/2023)</v>
      </c>
      <c r="H5194" s="19"/>
    </row>
    <row r="5195">
      <c r="A5195" s="9"/>
      <c r="B5195" s="15"/>
      <c r="C5195" s="9">
        <f>IFERROR(__xludf.DUMMYFUNCTION("""COMPUTED_VALUE"""),45090.1405731712)</f>
        <v>45090.14057</v>
      </c>
      <c r="D5195" s="15">
        <f>IFERROR(__xludf.DUMMYFUNCTION("""COMPUTED_VALUE"""),1.006)</f>
        <v>1.006</v>
      </c>
      <c r="E5195" s="16">
        <f>IFERROR(__xludf.DUMMYFUNCTION("""COMPUTED_VALUE"""),69.0)</f>
        <v>69</v>
      </c>
      <c r="F5195" s="19" t="str">
        <f>IFERROR(__xludf.DUMMYFUNCTION("""COMPUTED_VALUE"""),"BLACK")</f>
        <v>BLACK</v>
      </c>
      <c r="G5195" s="20" t="str">
        <f>IFERROR(__xludf.DUMMYFUNCTION("""COMPUTED_VALUE"""),"Uncle Sams Cider (04/04/2023)")</f>
        <v>Uncle Sams Cider (04/04/2023)</v>
      </c>
      <c r="H5195" s="19"/>
    </row>
    <row r="5196">
      <c r="A5196" s="9"/>
      <c r="B5196" s="15"/>
      <c r="C5196" s="9">
        <f>IFERROR(__xludf.DUMMYFUNCTION("""COMPUTED_VALUE"""),45090.1301525115)</f>
        <v>45090.13015</v>
      </c>
      <c r="D5196" s="15">
        <f>IFERROR(__xludf.DUMMYFUNCTION("""COMPUTED_VALUE"""),1.006)</f>
        <v>1.006</v>
      </c>
      <c r="E5196" s="16">
        <f>IFERROR(__xludf.DUMMYFUNCTION("""COMPUTED_VALUE"""),69.0)</f>
        <v>69</v>
      </c>
      <c r="F5196" s="19" t="str">
        <f>IFERROR(__xludf.DUMMYFUNCTION("""COMPUTED_VALUE"""),"BLACK")</f>
        <v>BLACK</v>
      </c>
      <c r="G5196" s="20" t="str">
        <f>IFERROR(__xludf.DUMMYFUNCTION("""COMPUTED_VALUE"""),"Uncle Sams Cider (04/04/2023)")</f>
        <v>Uncle Sams Cider (04/04/2023)</v>
      </c>
      <c r="H5196" s="19"/>
    </row>
    <row r="5197">
      <c r="A5197" s="9"/>
      <c r="B5197" s="15"/>
      <c r="C5197" s="9">
        <f>IFERROR(__xludf.DUMMYFUNCTION("""COMPUTED_VALUE"""),45090.1197198032)</f>
        <v>45090.11972</v>
      </c>
      <c r="D5197" s="15">
        <f>IFERROR(__xludf.DUMMYFUNCTION("""COMPUTED_VALUE"""),1.006)</f>
        <v>1.006</v>
      </c>
      <c r="E5197" s="16">
        <f>IFERROR(__xludf.DUMMYFUNCTION("""COMPUTED_VALUE"""),69.0)</f>
        <v>69</v>
      </c>
      <c r="F5197" s="19" t="str">
        <f>IFERROR(__xludf.DUMMYFUNCTION("""COMPUTED_VALUE"""),"BLACK")</f>
        <v>BLACK</v>
      </c>
      <c r="G5197" s="20" t="str">
        <f>IFERROR(__xludf.DUMMYFUNCTION("""COMPUTED_VALUE"""),"Uncle Sams Cider (04/04/2023)")</f>
        <v>Uncle Sams Cider (04/04/2023)</v>
      </c>
      <c r="H5197" s="19"/>
    </row>
    <row r="5198">
      <c r="A5198" s="9"/>
      <c r="B5198" s="15"/>
      <c r="C5198" s="9">
        <f>IFERROR(__xludf.DUMMYFUNCTION("""COMPUTED_VALUE"""),45090.1092972453)</f>
        <v>45090.1093</v>
      </c>
      <c r="D5198" s="15">
        <f>IFERROR(__xludf.DUMMYFUNCTION("""COMPUTED_VALUE"""),1.006)</f>
        <v>1.006</v>
      </c>
      <c r="E5198" s="16">
        <f>IFERROR(__xludf.DUMMYFUNCTION("""COMPUTED_VALUE"""),69.0)</f>
        <v>69</v>
      </c>
      <c r="F5198" s="19" t="str">
        <f>IFERROR(__xludf.DUMMYFUNCTION("""COMPUTED_VALUE"""),"BLACK")</f>
        <v>BLACK</v>
      </c>
      <c r="G5198" s="20" t="str">
        <f>IFERROR(__xludf.DUMMYFUNCTION("""COMPUTED_VALUE"""),"Uncle Sams Cider (04/04/2023)")</f>
        <v>Uncle Sams Cider (04/04/2023)</v>
      </c>
      <c r="H5198" s="19"/>
    </row>
    <row r="5199">
      <c r="A5199" s="9"/>
      <c r="B5199" s="15"/>
      <c r="C5199" s="9">
        <f>IFERROR(__xludf.DUMMYFUNCTION("""COMPUTED_VALUE"""),45090.0988764814)</f>
        <v>45090.09888</v>
      </c>
      <c r="D5199" s="15">
        <f>IFERROR(__xludf.DUMMYFUNCTION("""COMPUTED_VALUE"""),1.006)</f>
        <v>1.006</v>
      </c>
      <c r="E5199" s="16">
        <f>IFERROR(__xludf.DUMMYFUNCTION("""COMPUTED_VALUE"""),69.0)</f>
        <v>69</v>
      </c>
      <c r="F5199" s="19" t="str">
        <f>IFERROR(__xludf.DUMMYFUNCTION("""COMPUTED_VALUE"""),"BLACK")</f>
        <v>BLACK</v>
      </c>
      <c r="G5199" s="20" t="str">
        <f>IFERROR(__xludf.DUMMYFUNCTION("""COMPUTED_VALUE"""),"Uncle Sams Cider (04/04/2023)")</f>
        <v>Uncle Sams Cider (04/04/2023)</v>
      </c>
      <c r="H5199" s="19"/>
    </row>
    <row r="5200">
      <c r="A5200" s="9"/>
      <c r="B5200" s="15"/>
      <c r="C5200" s="9">
        <f>IFERROR(__xludf.DUMMYFUNCTION("""COMPUTED_VALUE"""),45090.0884423263)</f>
        <v>45090.08844</v>
      </c>
      <c r="D5200" s="15">
        <f>IFERROR(__xludf.DUMMYFUNCTION("""COMPUTED_VALUE"""),1.006)</f>
        <v>1.006</v>
      </c>
      <c r="E5200" s="16">
        <f>IFERROR(__xludf.DUMMYFUNCTION("""COMPUTED_VALUE"""),69.0)</f>
        <v>69</v>
      </c>
      <c r="F5200" s="19" t="str">
        <f>IFERROR(__xludf.DUMMYFUNCTION("""COMPUTED_VALUE"""),"BLACK")</f>
        <v>BLACK</v>
      </c>
      <c r="G5200" s="20" t="str">
        <f>IFERROR(__xludf.DUMMYFUNCTION("""COMPUTED_VALUE"""),"Uncle Sams Cider (04/04/2023)")</f>
        <v>Uncle Sams Cider (04/04/2023)</v>
      </c>
      <c r="H5200" s="19"/>
    </row>
    <row r="5201">
      <c r="A5201" s="9"/>
      <c r="B5201" s="15"/>
      <c r="C5201" s="9">
        <f>IFERROR(__xludf.DUMMYFUNCTION("""COMPUTED_VALUE"""),45090.078010949)</f>
        <v>45090.07801</v>
      </c>
      <c r="D5201" s="15">
        <f>IFERROR(__xludf.DUMMYFUNCTION("""COMPUTED_VALUE"""),1.006)</f>
        <v>1.006</v>
      </c>
      <c r="E5201" s="16">
        <f>IFERROR(__xludf.DUMMYFUNCTION("""COMPUTED_VALUE"""),69.0)</f>
        <v>69</v>
      </c>
      <c r="F5201" s="19" t="str">
        <f>IFERROR(__xludf.DUMMYFUNCTION("""COMPUTED_VALUE"""),"BLACK")</f>
        <v>BLACK</v>
      </c>
      <c r="G5201" s="20" t="str">
        <f>IFERROR(__xludf.DUMMYFUNCTION("""COMPUTED_VALUE"""),"Uncle Sams Cider (04/04/2023)")</f>
        <v>Uncle Sams Cider (04/04/2023)</v>
      </c>
      <c r="H5201" s="19"/>
    </row>
    <row r="5202">
      <c r="A5202" s="9"/>
      <c r="B5202" s="15"/>
      <c r="C5202" s="9">
        <f>IFERROR(__xludf.DUMMYFUNCTION("""COMPUTED_VALUE"""),45090.0675779398)</f>
        <v>45090.06758</v>
      </c>
      <c r="D5202" s="15">
        <f>IFERROR(__xludf.DUMMYFUNCTION("""COMPUTED_VALUE"""),1.006)</f>
        <v>1.006</v>
      </c>
      <c r="E5202" s="16">
        <f>IFERROR(__xludf.DUMMYFUNCTION("""COMPUTED_VALUE"""),69.0)</f>
        <v>69</v>
      </c>
      <c r="F5202" s="19" t="str">
        <f>IFERROR(__xludf.DUMMYFUNCTION("""COMPUTED_VALUE"""),"BLACK")</f>
        <v>BLACK</v>
      </c>
      <c r="G5202" s="20" t="str">
        <f>IFERROR(__xludf.DUMMYFUNCTION("""COMPUTED_VALUE"""),"Uncle Sams Cider (04/04/2023)")</f>
        <v>Uncle Sams Cider (04/04/2023)</v>
      </c>
      <c r="H5202" s="19"/>
    </row>
    <row r="5203">
      <c r="A5203" s="9"/>
      <c r="B5203" s="15"/>
      <c r="C5203" s="9">
        <f>IFERROR(__xludf.DUMMYFUNCTION("""COMPUTED_VALUE"""),45090.0571565856)</f>
        <v>45090.05716</v>
      </c>
      <c r="D5203" s="15">
        <f>IFERROR(__xludf.DUMMYFUNCTION("""COMPUTED_VALUE"""),1.006)</f>
        <v>1.006</v>
      </c>
      <c r="E5203" s="16">
        <f>IFERROR(__xludf.DUMMYFUNCTION("""COMPUTED_VALUE"""),69.0)</f>
        <v>69</v>
      </c>
      <c r="F5203" s="19" t="str">
        <f>IFERROR(__xludf.DUMMYFUNCTION("""COMPUTED_VALUE"""),"BLACK")</f>
        <v>BLACK</v>
      </c>
      <c r="G5203" s="20" t="str">
        <f>IFERROR(__xludf.DUMMYFUNCTION("""COMPUTED_VALUE"""),"Uncle Sams Cider (04/04/2023)")</f>
        <v>Uncle Sams Cider (04/04/2023)</v>
      </c>
      <c r="H5203" s="19"/>
    </row>
    <row r="5204">
      <c r="A5204" s="9"/>
      <c r="B5204" s="15"/>
      <c r="C5204" s="9">
        <f>IFERROR(__xludf.DUMMYFUNCTION("""COMPUTED_VALUE"""),45090.0467352893)</f>
        <v>45090.04674</v>
      </c>
      <c r="D5204" s="15">
        <f>IFERROR(__xludf.DUMMYFUNCTION("""COMPUTED_VALUE"""),1.007)</f>
        <v>1.007</v>
      </c>
      <c r="E5204" s="16">
        <f>IFERROR(__xludf.DUMMYFUNCTION("""COMPUTED_VALUE"""),69.0)</f>
        <v>69</v>
      </c>
      <c r="F5204" s="19" t="str">
        <f>IFERROR(__xludf.DUMMYFUNCTION("""COMPUTED_VALUE"""),"BLACK")</f>
        <v>BLACK</v>
      </c>
      <c r="G5204" s="20" t="str">
        <f>IFERROR(__xludf.DUMMYFUNCTION("""COMPUTED_VALUE"""),"Uncle Sams Cider (04/04/2023)")</f>
        <v>Uncle Sams Cider (04/04/2023)</v>
      </c>
      <c r="H5204" s="19"/>
    </row>
    <row r="5205">
      <c r="A5205" s="9"/>
      <c r="B5205" s="15"/>
      <c r="C5205" s="9">
        <f>IFERROR(__xludf.DUMMYFUNCTION("""COMPUTED_VALUE"""),45090.0363133912)</f>
        <v>45090.03631</v>
      </c>
      <c r="D5205" s="15">
        <f>IFERROR(__xludf.DUMMYFUNCTION("""COMPUTED_VALUE"""),1.006)</f>
        <v>1.006</v>
      </c>
      <c r="E5205" s="16">
        <f>IFERROR(__xludf.DUMMYFUNCTION("""COMPUTED_VALUE"""),69.0)</f>
        <v>69</v>
      </c>
      <c r="F5205" s="19" t="str">
        <f>IFERROR(__xludf.DUMMYFUNCTION("""COMPUTED_VALUE"""),"BLACK")</f>
        <v>BLACK</v>
      </c>
      <c r="G5205" s="20" t="str">
        <f>IFERROR(__xludf.DUMMYFUNCTION("""COMPUTED_VALUE"""),"Uncle Sams Cider (04/04/2023)")</f>
        <v>Uncle Sams Cider (04/04/2023)</v>
      </c>
      <c r="H5205" s="19"/>
    </row>
    <row r="5206">
      <c r="A5206" s="9"/>
      <c r="B5206" s="15"/>
      <c r="C5206" s="9">
        <f>IFERROR(__xludf.DUMMYFUNCTION("""COMPUTED_VALUE"""),45090.0258922569)</f>
        <v>45090.02589</v>
      </c>
      <c r="D5206" s="15">
        <f>IFERROR(__xludf.DUMMYFUNCTION("""COMPUTED_VALUE"""),1.007)</f>
        <v>1.007</v>
      </c>
      <c r="E5206" s="16">
        <f>IFERROR(__xludf.DUMMYFUNCTION("""COMPUTED_VALUE"""),69.0)</f>
        <v>69</v>
      </c>
      <c r="F5206" s="19" t="str">
        <f>IFERROR(__xludf.DUMMYFUNCTION("""COMPUTED_VALUE"""),"BLACK")</f>
        <v>BLACK</v>
      </c>
      <c r="G5206" s="20" t="str">
        <f>IFERROR(__xludf.DUMMYFUNCTION("""COMPUTED_VALUE"""),"Uncle Sams Cider (04/04/2023)")</f>
        <v>Uncle Sams Cider (04/04/2023)</v>
      </c>
      <c r="H5206" s="19"/>
    </row>
    <row r="5207">
      <c r="A5207" s="9"/>
      <c r="B5207" s="15"/>
      <c r="C5207" s="9">
        <f>IFERROR(__xludf.DUMMYFUNCTION("""COMPUTED_VALUE"""),45090.0154584375)</f>
        <v>45090.01546</v>
      </c>
      <c r="D5207" s="15">
        <f>IFERROR(__xludf.DUMMYFUNCTION("""COMPUTED_VALUE"""),1.007)</f>
        <v>1.007</v>
      </c>
      <c r="E5207" s="16">
        <f>IFERROR(__xludf.DUMMYFUNCTION("""COMPUTED_VALUE"""),69.0)</f>
        <v>69</v>
      </c>
      <c r="F5207" s="19" t="str">
        <f>IFERROR(__xludf.DUMMYFUNCTION("""COMPUTED_VALUE"""),"BLACK")</f>
        <v>BLACK</v>
      </c>
      <c r="G5207" s="20" t="str">
        <f>IFERROR(__xludf.DUMMYFUNCTION("""COMPUTED_VALUE"""),"Uncle Sams Cider (04/04/2023)")</f>
        <v>Uncle Sams Cider (04/04/2023)</v>
      </c>
      <c r="H5207" s="19"/>
    </row>
    <row r="5208">
      <c r="A5208" s="9"/>
      <c r="B5208" s="15"/>
      <c r="C5208" s="9">
        <f>IFERROR(__xludf.DUMMYFUNCTION("""COMPUTED_VALUE"""),45090.0050374652)</f>
        <v>45090.00504</v>
      </c>
      <c r="D5208" s="15">
        <f>IFERROR(__xludf.DUMMYFUNCTION("""COMPUTED_VALUE"""),1.006)</f>
        <v>1.006</v>
      </c>
      <c r="E5208" s="16">
        <f>IFERROR(__xludf.DUMMYFUNCTION("""COMPUTED_VALUE"""),69.0)</f>
        <v>69</v>
      </c>
      <c r="F5208" s="19" t="str">
        <f>IFERROR(__xludf.DUMMYFUNCTION("""COMPUTED_VALUE"""),"BLACK")</f>
        <v>BLACK</v>
      </c>
      <c r="G5208" s="20" t="str">
        <f>IFERROR(__xludf.DUMMYFUNCTION("""COMPUTED_VALUE"""),"Uncle Sams Cider (04/04/2023)")</f>
        <v>Uncle Sams Cider (04/04/2023)</v>
      </c>
      <c r="H5208" s="19"/>
    </row>
    <row r="5209">
      <c r="A5209" s="9"/>
      <c r="B5209" s="15"/>
      <c r="C5209" s="9">
        <f>IFERROR(__xludf.DUMMYFUNCTION("""COMPUTED_VALUE"""),45089.9946045949)</f>
        <v>45089.9946</v>
      </c>
      <c r="D5209" s="15">
        <f>IFERROR(__xludf.DUMMYFUNCTION("""COMPUTED_VALUE"""),1.007)</f>
        <v>1.007</v>
      </c>
      <c r="E5209" s="16">
        <f>IFERROR(__xludf.DUMMYFUNCTION("""COMPUTED_VALUE"""),69.0)</f>
        <v>69</v>
      </c>
      <c r="F5209" s="19" t="str">
        <f>IFERROR(__xludf.DUMMYFUNCTION("""COMPUTED_VALUE"""),"BLACK")</f>
        <v>BLACK</v>
      </c>
      <c r="G5209" s="20" t="str">
        <f>IFERROR(__xludf.DUMMYFUNCTION("""COMPUTED_VALUE"""),"Uncle Sams Cider (04/04/2023)")</f>
        <v>Uncle Sams Cider (04/04/2023)</v>
      </c>
      <c r="H5209" s="19"/>
    </row>
    <row r="5210">
      <c r="A5210" s="9"/>
      <c r="B5210" s="15"/>
      <c r="C5210" s="9">
        <f>IFERROR(__xludf.DUMMYFUNCTION("""COMPUTED_VALUE"""),45089.9841825463)</f>
        <v>45089.98418</v>
      </c>
      <c r="D5210" s="15">
        <f>IFERROR(__xludf.DUMMYFUNCTION("""COMPUTED_VALUE"""),1.006)</f>
        <v>1.006</v>
      </c>
      <c r="E5210" s="16">
        <f>IFERROR(__xludf.DUMMYFUNCTION("""COMPUTED_VALUE"""),69.0)</f>
        <v>69</v>
      </c>
      <c r="F5210" s="19" t="str">
        <f>IFERROR(__xludf.DUMMYFUNCTION("""COMPUTED_VALUE"""),"BLACK")</f>
        <v>BLACK</v>
      </c>
      <c r="G5210" s="20" t="str">
        <f>IFERROR(__xludf.DUMMYFUNCTION("""COMPUTED_VALUE"""),"Uncle Sams Cider (04/04/2023)")</f>
        <v>Uncle Sams Cider (04/04/2023)</v>
      </c>
      <c r="H5210" s="19"/>
    </row>
    <row r="5211">
      <c r="A5211" s="9"/>
      <c r="B5211" s="15"/>
      <c r="C5211" s="9">
        <f>IFERROR(__xludf.DUMMYFUNCTION("""COMPUTED_VALUE"""),45089.9737506481)</f>
        <v>45089.97375</v>
      </c>
      <c r="D5211" s="15">
        <f>IFERROR(__xludf.DUMMYFUNCTION("""COMPUTED_VALUE"""),1.006)</f>
        <v>1.006</v>
      </c>
      <c r="E5211" s="16">
        <f>IFERROR(__xludf.DUMMYFUNCTION("""COMPUTED_VALUE"""),69.0)</f>
        <v>69</v>
      </c>
      <c r="F5211" s="19" t="str">
        <f>IFERROR(__xludf.DUMMYFUNCTION("""COMPUTED_VALUE"""),"BLACK")</f>
        <v>BLACK</v>
      </c>
      <c r="G5211" s="20" t="str">
        <f>IFERROR(__xludf.DUMMYFUNCTION("""COMPUTED_VALUE"""),"Uncle Sams Cider (04/04/2023)")</f>
        <v>Uncle Sams Cider (04/04/2023)</v>
      </c>
      <c r="H5211" s="19"/>
    </row>
    <row r="5212">
      <c r="A5212" s="9"/>
      <c r="B5212" s="15"/>
      <c r="C5212" s="9">
        <f>IFERROR(__xludf.DUMMYFUNCTION("""COMPUTED_VALUE"""),45089.9633307986)</f>
        <v>45089.96333</v>
      </c>
      <c r="D5212" s="15">
        <f>IFERROR(__xludf.DUMMYFUNCTION("""COMPUTED_VALUE"""),1.006)</f>
        <v>1.006</v>
      </c>
      <c r="E5212" s="16">
        <f>IFERROR(__xludf.DUMMYFUNCTION("""COMPUTED_VALUE"""),69.0)</f>
        <v>69</v>
      </c>
      <c r="F5212" s="19" t="str">
        <f>IFERROR(__xludf.DUMMYFUNCTION("""COMPUTED_VALUE"""),"BLACK")</f>
        <v>BLACK</v>
      </c>
      <c r="G5212" s="20" t="str">
        <f>IFERROR(__xludf.DUMMYFUNCTION("""COMPUTED_VALUE"""),"Uncle Sams Cider (04/04/2023)")</f>
        <v>Uncle Sams Cider (04/04/2023)</v>
      </c>
      <c r="H5212" s="19"/>
    </row>
    <row r="5213">
      <c r="A5213" s="9"/>
      <c r="B5213" s="15"/>
      <c r="C5213" s="9">
        <f>IFERROR(__xludf.DUMMYFUNCTION("""COMPUTED_VALUE"""),45089.9529084606)</f>
        <v>45089.95291</v>
      </c>
      <c r="D5213" s="15">
        <f>IFERROR(__xludf.DUMMYFUNCTION("""COMPUTED_VALUE"""),1.006)</f>
        <v>1.006</v>
      </c>
      <c r="E5213" s="16">
        <f>IFERROR(__xludf.DUMMYFUNCTION("""COMPUTED_VALUE"""),69.0)</f>
        <v>69</v>
      </c>
      <c r="F5213" s="19" t="str">
        <f>IFERROR(__xludf.DUMMYFUNCTION("""COMPUTED_VALUE"""),"BLACK")</f>
        <v>BLACK</v>
      </c>
      <c r="G5213" s="20" t="str">
        <f>IFERROR(__xludf.DUMMYFUNCTION("""COMPUTED_VALUE"""),"Uncle Sams Cider (04/04/2023)")</f>
        <v>Uncle Sams Cider (04/04/2023)</v>
      </c>
      <c r="H5213" s="19"/>
    </row>
    <row r="5214">
      <c r="A5214" s="9"/>
      <c r="B5214" s="15"/>
      <c r="C5214" s="9">
        <f>IFERROR(__xludf.DUMMYFUNCTION("""COMPUTED_VALUE"""),45089.942487199)</f>
        <v>45089.94249</v>
      </c>
      <c r="D5214" s="15">
        <f>IFERROR(__xludf.DUMMYFUNCTION("""COMPUTED_VALUE"""),1.006)</f>
        <v>1.006</v>
      </c>
      <c r="E5214" s="16">
        <f>IFERROR(__xludf.DUMMYFUNCTION("""COMPUTED_VALUE"""),69.0)</f>
        <v>69</v>
      </c>
      <c r="F5214" s="19" t="str">
        <f>IFERROR(__xludf.DUMMYFUNCTION("""COMPUTED_VALUE"""),"BLACK")</f>
        <v>BLACK</v>
      </c>
      <c r="G5214" s="20" t="str">
        <f>IFERROR(__xludf.DUMMYFUNCTION("""COMPUTED_VALUE"""),"Uncle Sams Cider (04/04/2023)")</f>
        <v>Uncle Sams Cider (04/04/2023)</v>
      </c>
      <c r="H5214" s="19"/>
    </row>
    <row r="5215">
      <c r="A5215" s="9"/>
      <c r="B5215" s="15"/>
      <c r="C5215" s="9">
        <f>IFERROR(__xludf.DUMMYFUNCTION("""COMPUTED_VALUE"""),45089.9320645486)</f>
        <v>45089.93206</v>
      </c>
      <c r="D5215" s="15">
        <f>IFERROR(__xludf.DUMMYFUNCTION("""COMPUTED_VALUE"""),1.006)</f>
        <v>1.006</v>
      </c>
      <c r="E5215" s="16">
        <f>IFERROR(__xludf.DUMMYFUNCTION("""COMPUTED_VALUE"""),69.0)</f>
        <v>69</v>
      </c>
      <c r="F5215" s="19" t="str">
        <f>IFERROR(__xludf.DUMMYFUNCTION("""COMPUTED_VALUE"""),"BLACK")</f>
        <v>BLACK</v>
      </c>
      <c r="G5215" s="20" t="str">
        <f>IFERROR(__xludf.DUMMYFUNCTION("""COMPUTED_VALUE"""),"Uncle Sams Cider (04/04/2023)")</f>
        <v>Uncle Sams Cider (04/04/2023)</v>
      </c>
      <c r="H5215" s="19"/>
    </row>
    <row r="5216">
      <c r="A5216" s="9"/>
      <c r="B5216" s="15"/>
      <c r="C5216" s="9">
        <f>IFERROR(__xludf.DUMMYFUNCTION("""COMPUTED_VALUE"""),45089.9216424421)</f>
        <v>45089.92164</v>
      </c>
      <c r="D5216" s="15">
        <f>IFERROR(__xludf.DUMMYFUNCTION("""COMPUTED_VALUE"""),1.006)</f>
        <v>1.006</v>
      </c>
      <c r="E5216" s="16">
        <f>IFERROR(__xludf.DUMMYFUNCTION("""COMPUTED_VALUE"""),69.0)</f>
        <v>69</v>
      </c>
      <c r="F5216" s="19" t="str">
        <f>IFERROR(__xludf.DUMMYFUNCTION("""COMPUTED_VALUE"""),"BLACK")</f>
        <v>BLACK</v>
      </c>
      <c r="G5216" s="20" t="str">
        <f>IFERROR(__xludf.DUMMYFUNCTION("""COMPUTED_VALUE"""),"Uncle Sams Cider (04/04/2023)")</f>
        <v>Uncle Sams Cider (04/04/2023)</v>
      </c>
      <c r="H5216" s="19"/>
    </row>
    <row r="5217">
      <c r="A5217" s="9"/>
      <c r="B5217" s="15"/>
      <c r="C5217" s="9">
        <f>IFERROR(__xludf.DUMMYFUNCTION("""COMPUTED_VALUE"""),45089.9112198958)</f>
        <v>45089.91122</v>
      </c>
      <c r="D5217" s="15">
        <f>IFERROR(__xludf.DUMMYFUNCTION("""COMPUTED_VALUE"""),1.007)</f>
        <v>1.007</v>
      </c>
      <c r="E5217" s="16">
        <f>IFERROR(__xludf.DUMMYFUNCTION("""COMPUTED_VALUE"""),69.0)</f>
        <v>69</v>
      </c>
      <c r="F5217" s="19" t="str">
        <f>IFERROR(__xludf.DUMMYFUNCTION("""COMPUTED_VALUE"""),"BLACK")</f>
        <v>BLACK</v>
      </c>
      <c r="G5217" s="20" t="str">
        <f>IFERROR(__xludf.DUMMYFUNCTION("""COMPUTED_VALUE"""),"Uncle Sams Cider (04/04/2023)")</f>
        <v>Uncle Sams Cider (04/04/2023)</v>
      </c>
      <c r="H5217" s="19"/>
    </row>
    <row r="5218">
      <c r="A5218" s="9"/>
      <c r="B5218" s="15"/>
      <c r="C5218" s="9">
        <f>IFERROR(__xludf.DUMMYFUNCTION("""COMPUTED_VALUE"""),45089.900797118)</f>
        <v>45089.9008</v>
      </c>
      <c r="D5218" s="15">
        <f>IFERROR(__xludf.DUMMYFUNCTION("""COMPUTED_VALUE"""),1.006)</f>
        <v>1.006</v>
      </c>
      <c r="E5218" s="16">
        <f>IFERROR(__xludf.DUMMYFUNCTION("""COMPUTED_VALUE"""),69.0)</f>
        <v>69</v>
      </c>
      <c r="F5218" s="19" t="str">
        <f>IFERROR(__xludf.DUMMYFUNCTION("""COMPUTED_VALUE"""),"BLACK")</f>
        <v>BLACK</v>
      </c>
      <c r="G5218" s="20" t="str">
        <f>IFERROR(__xludf.DUMMYFUNCTION("""COMPUTED_VALUE"""),"Uncle Sams Cider (04/04/2023)")</f>
        <v>Uncle Sams Cider (04/04/2023)</v>
      </c>
      <c r="H5218" s="19"/>
    </row>
    <row r="5219">
      <c r="A5219" s="9"/>
      <c r="B5219" s="15"/>
      <c r="C5219" s="9">
        <f>IFERROR(__xludf.DUMMYFUNCTION("""COMPUTED_VALUE"""),45089.8903771412)</f>
        <v>45089.89038</v>
      </c>
      <c r="D5219" s="15">
        <f>IFERROR(__xludf.DUMMYFUNCTION("""COMPUTED_VALUE"""),1.007)</f>
        <v>1.007</v>
      </c>
      <c r="E5219" s="16">
        <f>IFERROR(__xludf.DUMMYFUNCTION("""COMPUTED_VALUE"""),69.0)</f>
        <v>69</v>
      </c>
      <c r="F5219" s="19" t="str">
        <f>IFERROR(__xludf.DUMMYFUNCTION("""COMPUTED_VALUE"""),"BLACK")</f>
        <v>BLACK</v>
      </c>
      <c r="G5219" s="20" t="str">
        <f>IFERROR(__xludf.DUMMYFUNCTION("""COMPUTED_VALUE"""),"Uncle Sams Cider (04/04/2023)")</f>
        <v>Uncle Sams Cider (04/04/2023)</v>
      </c>
      <c r="H5219" s="19"/>
    </row>
    <row r="5220">
      <c r="A5220" s="9"/>
      <c r="B5220" s="15"/>
      <c r="C5220" s="9">
        <f>IFERROR(__xludf.DUMMYFUNCTION("""COMPUTED_VALUE"""),45089.87995603)</f>
        <v>45089.87996</v>
      </c>
      <c r="D5220" s="15">
        <f>IFERROR(__xludf.DUMMYFUNCTION("""COMPUTED_VALUE"""),1.006)</f>
        <v>1.006</v>
      </c>
      <c r="E5220" s="16">
        <f>IFERROR(__xludf.DUMMYFUNCTION("""COMPUTED_VALUE"""),69.0)</f>
        <v>69</v>
      </c>
      <c r="F5220" s="19" t="str">
        <f>IFERROR(__xludf.DUMMYFUNCTION("""COMPUTED_VALUE"""),"BLACK")</f>
        <v>BLACK</v>
      </c>
      <c r="G5220" s="20" t="str">
        <f>IFERROR(__xludf.DUMMYFUNCTION("""COMPUTED_VALUE"""),"Uncle Sams Cider (04/04/2023)")</f>
        <v>Uncle Sams Cider (04/04/2023)</v>
      </c>
      <c r="H5220" s="19"/>
    </row>
    <row r="5221">
      <c r="A5221" s="9"/>
      <c r="B5221" s="15"/>
      <c r="C5221" s="9">
        <f>IFERROR(__xludf.DUMMYFUNCTION("""COMPUTED_VALUE"""),45089.8695231018)</f>
        <v>45089.86952</v>
      </c>
      <c r="D5221" s="15">
        <f>IFERROR(__xludf.DUMMYFUNCTION("""COMPUTED_VALUE"""),1.007)</f>
        <v>1.007</v>
      </c>
      <c r="E5221" s="16">
        <f>IFERROR(__xludf.DUMMYFUNCTION("""COMPUTED_VALUE"""),69.0)</f>
        <v>69</v>
      </c>
      <c r="F5221" s="19" t="str">
        <f>IFERROR(__xludf.DUMMYFUNCTION("""COMPUTED_VALUE"""),"BLACK")</f>
        <v>BLACK</v>
      </c>
      <c r="G5221" s="20" t="str">
        <f>IFERROR(__xludf.DUMMYFUNCTION("""COMPUTED_VALUE"""),"Uncle Sams Cider (04/04/2023)")</f>
        <v>Uncle Sams Cider (04/04/2023)</v>
      </c>
      <c r="H5221" s="19"/>
    </row>
    <row r="5222">
      <c r="A5222" s="9"/>
      <c r="B5222" s="15"/>
      <c r="C5222" s="9">
        <f>IFERROR(__xludf.DUMMYFUNCTION("""COMPUTED_VALUE"""),45089.8591002893)</f>
        <v>45089.8591</v>
      </c>
      <c r="D5222" s="15">
        <f>IFERROR(__xludf.DUMMYFUNCTION("""COMPUTED_VALUE"""),1.006)</f>
        <v>1.006</v>
      </c>
      <c r="E5222" s="16">
        <f>IFERROR(__xludf.DUMMYFUNCTION("""COMPUTED_VALUE"""),69.0)</f>
        <v>69</v>
      </c>
      <c r="F5222" s="19" t="str">
        <f>IFERROR(__xludf.DUMMYFUNCTION("""COMPUTED_VALUE"""),"BLACK")</f>
        <v>BLACK</v>
      </c>
      <c r="G5222" s="20" t="str">
        <f>IFERROR(__xludf.DUMMYFUNCTION("""COMPUTED_VALUE"""),"Uncle Sams Cider (04/04/2023)")</f>
        <v>Uncle Sams Cider (04/04/2023)</v>
      </c>
      <c r="H5222" s="19"/>
    </row>
    <row r="5223">
      <c r="A5223" s="9"/>
      <c r="B5223" s="15"/>
      <c r="C5223" s="9">
        <f>IFERROR(__xludf.DUMMYFUNCTION("""COMPUTED_VALUE"""),45089.8486795486)</f>
        <v>45089.84868</v>
      </c>
      <c r="D5223" s="15">
        <f>IFERROR(__xludf.DUMMYFUNCTION("""COMPUTED_VALUE"""),1.006)</f>
        <v>1.006</v>
      </c>
      <c r="E5223" s="16">
        <f>IFERROR(__xludf.DUMMYFUNCTION("""COMPUTED_VALUE"""),69.0)</f>
        <v>69</v>
      </c>
      <c r="F5223" s="19" t="str">
        <f>IFERROR(__xludf.DUMMYFUNCTION("""COMPUTED_VALUE"""),"BLACK")</f>
        <v>BLACK</v>
      </c>
      <c r="G5223" s="20" t="str">
        <f>IFERROR(__xludf.DUMMYFUNCTION("""COMPUTED_VALUE"""),"Uncle Sams Cider (04/04/2023)")</f>
        <v>Uncle Sams Cider (04/04/2023)</v>
      </c>
      <c r="H5223" s="19"/>
    </row>
    <row r="5224">
      <c r="A5224" s="9"/>
      <c r="B5224" s="15"/>
      <c r="C5224" s="9">
        <f>IFERROR(__xludf.DUMMYFUNCTION("""COMPUTED_VALUE"""),45089.8382582986)</f>
        <v>45089.83826</v>
      </c>
      <c r="D5224" s="15">
        <f>IFERROR(__xludf.DUMMYFUNCTION("""COMPUTED_VALUE"""),1.006)</f>
        <v>1.006</v>
      </c>
      <c r="E5224" s="16">
        <f>IFERROR(__xludf.DUMMYFUNCTION("""COMPUTED_VALUE"""),69.0)</f>
        <v>69</v>
      </c>
      <c r="F5224" s="19" t="str">
        <f>IFERROR(__xludf.DUMMYFUNCTION("""COMPUTED_VALUE"""),"BLACK")</f>
        <v>BLACK</v>
      </c>
      <c r="G5224" s="20" t="str">
        <f>IFERROR(__xludf.DUMMYFUNCTION("""COMPUTED_VALUE"""),"Uncle Sams Cider (04/04/2023)")</f>
        <v>Uncle Sams Cider (04/04/2023)</v>
      </c>
      <c r="H5224" s="19"/>
    </row>
    <row r="5225">
      <c r="A5225" s="9"/>
      <c r="B5225" s="15"/>
      <c r="C5225" s="9">
        <f>IFERROR(__xludf.DUMMYFUNCTION("""COMPUTED_VALUE"""),45089.8278368055)</f>
        <v>45089.82784</v>
      </c>
      <c r="D5225" s="15">
        <f>IFERROR(__xludf.DUMMYFUNCTION("""COMPUTED_VALUE"""),1.007)</f>
        <v>1.007</v>
      </c>
      <c r="E5225" s="16">
        <f>IFERROR(__xludf.DUMMYFUNCTION("""COMPUTED_VALUE"""),69.0)</f>
        <v>69</v>
      </c>
      <c r="F5225" s="19" t="str">
        <f>IFERROR(__xludf.DUMMYFUNCTION("""COMPUTED_VALUE"""),"BLACK")</f>
        <v>BLACK</v>
      </c>
      <c r="G5225" s="20" t="str">
        <f>IFERROR(__xludf.DUMMYFUNCTION("""COMPUTED_VALUE"""),"Uncle Sams Cider (04/04/2023)")</f>
        <v>Uncle Sams Cider (04/04/2023)</v>
      </c>
      <c r="H5225" s="19"/>
    </row>
    <row r="5226">
      <c r="A5226" s="9"/>
      <c r="B5226" s="15"/>
      <c r="C5226" s="9">
        <f>IFERROR(__xludf.DUMMYFUNCTION("""COMPUTED_VALUE"""),45089.8174131597)</f>
        <v>45089.81741</v>
      </c>
      <c r="D5226" s="15">
        <f>IFERROR(__xludf.DUMMYFUNCTION("""COMPUTED_VALUE"""),1.006)</f>
        <v>1.006</v>
      </c>
      <c r="E5226" s="16">
        <f>IFERROR(__xludf.DUMMYFUNCTION("""COMPUTED_VALUE"""),69.0)</f>
        <v>69</v>
      </c>
      <c r="F5226" s="19" t="str">
        <f>IFERROR(__xludf.DUMMYFUNCTION("""COMPUTED_VALUE"""),"BLACK")</f>
        <v>BLACK</v>
      </c>
      <c r="G5226" s="20" t="str">
        <f>IFERROR(__xludf.DUMMYFUNCTION("""COMPUTED_VALUE"""),"Uncle Sams Cider (04/04/2023)")</f>
        <v>Uncle Sams Cider (04/04/2023)</v>
      </c>
      <c r="H5226" s="19"/>
    </row>
    <row r="5227">
      <c r="A5227" s="9"/>
      <c r="B5227" s="15"/>
      <c r="C5227" s="9">
        <f>IFERROR(__xludf.DUMMYFUNCTION("""COMPUTED_VALUE"""),45089.8069909722)</f>
        <v>45089.80699</v>
      </c>
      <c r="D5227" s="15">
        <f>IFERROR(__xludf.DUMMYFUNCTION("""COMPUTED_VALUE"""),1.007)</f>
        <v>1.007</v>
      </c>
      <c r="E5227" s="16">
        <f>IFERROR(__xludf.DUMMYFUNCTION("""COMPUTED_VALUE"""),69.0)</f>
        <v>69</v>
      </c>
      <c r="F5227" s="19" t="str">
        <f>IFERROR(__xludf.DUMMYFUNCTION("""COMPUTED_VALUE"""),"BLACK")</f>
        <v>BLACK</v>
      </c>
      <c r="G5227" s="20" t="str">
        <f>IFERROR(__xludf.DUMMYFUNCTION("""COMPUTED_VALUE"""),"Uncle Sams Cider (04/04/2023)")</f>
        <v>Uncle Sams Cider (04/04/2023)</v>
      </c>
      <c r="H5227" s="19"/>
    </row>
    <row r="5228">
      <c r="A5228" s="9"/>
      <c r="B5228" s="15"/>
      <c r="C5228" s="9">
        <f>IFERROR(__xludf.DUMMYFUNCTION("""COMPUTED_VALUE"""),45089.7965707986)</f>
        <v>45089.79657</v>
      </c>
      <c r="D5228" s="15">
        <f>IFERROR(__xludf.DUMMYFUNCTION("""COMPUTED_VALUE"""),1.007)</f>
        <v>1.007</v>
      </c>
      <c r="E5228" s="16">
        <f>IFERROR(__xludf.DUMMYFUNCTION("""COMPUTED_VALUE"""),69.0)</f>
        <v>69</v>
      </c>
      <c r="F5228" s="19" t="str">
        <f>IFERROR(__xludf.DUMMYFUNCTION("""COMPUTED_VALUE"""),"BLACK")</f>
        <v>BLACK</v>
      </c>
      <c r="G5228" s="20" t="str">
        <f>IFERROR(__xludf.DUMMYFUNCTION("""COMPUTED_VALUE"""),"Uncle Sams Cider (04/04/2023)")</f>
        <v>Uncle Sams Cider (04/04/2023)</v>
      </c>
      <c r="H5228" s="19"/>
    </row>
    <row r="5229">
      <c r="A5229" s="9"/>
      <c r="B5229" s="15"/>
      <c r="C5229" s="9">
        <f>IFERROR(__xludf.DUMMYFUNCTION("""COMPUTED_VALUE"""),45089.7861271759)</f>
        <v>45089.78613</v>
      </c>
      <c r="D5229" s="15">
        <f>IFERROR(__xludf.DUMMYFUNCTION("""COMPUTED_VALUE"""),1.007)</f>
        <v>1.007</v>
      </c>
      <c r="E5229" s="16">
        <f>IFERROR(__xludf.DUMMYFUNCTION("""COMPUTED_VALUE"""),69.0)</f>
        <v>69</v>
      </c>
      <c r="F5229" s="19" t="str">
        <f>IFERROR(__xludf.DUMMYFUNCTION("""COMPUTED_VALUE"""),"BLACK")</f>
        <v>BLACK</v>
      </c>
      <c r="G5229" s="20" t="str">
        <f>IFERROR(__xludf.DUMMYFUNCTION("""COMPUTED_VALUE"""),"Uncle Sams Cider (04/04/2023)")</f>
        <v>Uncle Sams Cider (04/04/2023)</v>
      </c>
      <c r="H5229" s="19"/>
    </row>
    <row r="5230">
      <c r="A5230" s="9"/>
      <c r="B5230" s="15"/>
      <c r="C5230" s="9">
        <f>IFERROR(__xludf.DUMMYFUNCTION("""COMPUTED_VALUE"""),45089.7756946527)</f>
        <v>45089.77569</v>
      </c>
      <c r="D5230" s="15">
        <f>IFERROR(__xludf.DUMMYFUNCTION("""COMPUTED_VALUE"""),1.006)</f>
        <v>1.006</v>
      </c>
      <c r="E5230" s="16">
        <f>IFERROR(__xludf.DUMMYFUNCTION("""COMPUTED_VALUE"""),69.0)</f>
        <v>69</v>
      </c>
      <c r="F5230" s="19" t="str">
        <f>IFERROR(__xludf.DUMMYFUNCTION("""COMPUTED_VALUE"""),"BLACK")</f>
        <v>BLACK</v>
      </c>
      <c r="G5230" s="20" t="str">
        <f>IFERROR(__xludf.DUMMYFUNCTION("""COMPUTED_VALUE"""),"Uncle Sams Cider (04/04/2023)")</f>
        <v>Uncle Sams Cider (04/04/2023)</v>
      </c>
      <c r="H5230" s="19"/>
    </row>
    <row r="5231">
      <c r="A5231" s="9"/>
      <c r="B5231" s="15"/>
      <c r="C5231" s="9">
        <f>IFERROR(__xludf.DUMMYFUNCTION("""COMPUTED_VALUE"""),45089.765273449)</f>
        <v>45089.76527</v>
      </c>
      <c r="D5231" s="15">
        <f>IFERROR(__xludf.DUMMYFUNCTION("""COMPUTED_VALUE"""),1.006)</f>
        <v>1.006</v>
      </c>
      <c r="E5231" s="16">
        <f>IFERROR(__xludf.DUMMYFUNCTION("""COMPUTED_VALUE"""),69.0)</f>
        <v>69</v>
      </c>
      <c r="F5231" s="19" t="str">
        <f>IFERROR(__xludf.DUMMYFUNCTION("""COMPUTED_VALUE"""),"BLACK")</f>
        <v>BLACK</v>
      </c>
      <c r="G5231" s="20" t="str">
        <f>IFERROR(__xludf.DUMMYFUNCTION("""COMPUTED_VALUE"""),"Uncle Sams Cider (04/04/2023)")</f>
        <v>Uncle Sams Cider (04/04/2023)</v>
      </c>
      <c r="H5231" s="19"/>
    </row>
    <row r="5232">
      <c r="A5232" s="9"/>
      <c r="B5232" s="15"/>
      <c r="C5232" s="9">
        <f>IFERROR(__xludf.DUMMYFUNCTION("""COMPUTED_VALUE"""),45089.7444071064)</f>
        <v>45089.74441</v>
      </c>
      <c r="D5232" s="15">
        <f>IFERROR(__xludf.DUMMYFUNCTION("""COMPUTED_VALUE"""),1.007)</f>
        <v>1.007</v>
      </c>
      <c r="E5232" s="16">
        <f>IFERROR(__xludf.DUMMYFUNCTION("""COMPUTED_VALUE"""),69.0)</f>
        <v>69</v>
      </c>
      <c r="F5232" s="19" t="str">
        <f>IFERROR(__xludf.DUMMYFUNCTION("""COMPUTED_VALUE"""),"BLACK")</f>
        <v>BLACK</v>
      </c>
      <c r="G5232" s="20" t="str">
        <f>IFERROR(__xludf.DUMMYFUNCTION("""COMPUTED_VALUE"""),"Uncle Sams Cider (04/04/2023)")</f>
        <v>Uncle Sams Cider (04/04/2023)</v>
      </c>
      <c r="H5232" s="19"/>
    </row>
    <row r="5233">
      <c r="A5233" s="9"/>
      <c r="B5233" s="15"/>
      <c r="C5233" s="9">
        <f>IFERROR(__xludf.DUMMYFUNCTION("""COMPUTED_VALUE"""),45089.733985949)</f>
        <v>45089.73399</v>
      </c>
      <c r="D5233" s="15">
        <f>IFERROR(__xludf.DUMMYFUNCTION("""COMPUTED_VALUE"""),1.006)</f>
        <v>1.006</v>
      </c>
      <c r="E5233" s="16">
        <f>IFERROR(__xludf.DUMMYFUNCTION("""COMPUTED_VALUE"""),69.0)</f>
        <v>69</v>
      </c>
      <c r="F5233" s="19" t="str">
        <f>IFERROR(__xludf.DUMMYFUNCTION("""COMPUTED_VALUE"""),"BLACK")</f>
        <v>BLACK</v>
      </c>
      <c r="G5233" s="20" t="str">
        <f>IFERROR(__xludf.DUMMYFUNCTION("""COMPUTED_VALUE"""),"Uncle Sams Cider (04/04/2023)")</f>
        <v>Uncle Sams Cider (04/04/2023)</v>
      </c>
      <c r="H5233" s="19"/>
    </row>
    <row r="5234">
      <c r="A5234" s="9"/>
      <c r="B5234" s="15"/>
      <c r="C5234" s="9">
        <f>IFERROR(__xludf.DUMMYFUNCTION("""COMPUTED_VALUE"""),45089.7235635995)</f>
        <v>45089.72356</v>
      </c>
      <c r="D5234" s="15">
        <f>IFERROR(__xludf.DUMMYFUNCTION("""COMPUTED_VALUE"""),1.006)</f>
        <v>1.006</v>
      </c>
      <c r="E5234" s="16">
        <f>IFERROR(__xludf.DUMMYFUNCTION("""COMPUTED_VALUE"""),69.0)</f>
        <v>69</v>
      </c>
      <c r="F5234" s="19" t="str">
        <f>IFERROR(__xludf.DUMMYFUNCTION("""COMPUTED_VALUE"""),"BLACK")</f>
        <v>BLACK</v>
      </c>
      <c r="G5234" s="20" t="str">
        <f>IFERROR(__xludf.DUMMYFUNCTION("""COMPUTED_VALUE"""),"Uncle Sams Cider (04/04/2023)")</f>
        <v>Uncle Sams Cider (04/04/2023)</v>
      </c>
      <c r="H5234" s="19"/>
    </row>
    <row r="5235">
      <c r="A5235" s="9"/>
      <c r="B5235" s="15"/>
      <c r="C5235" s="9">
        <f>IFERROR(__xludf.DUMMYFUNCTION("""COMPUTED_VALUE"""),45089.7131421412)</f>
        <v>45089.71314</v>
      </c>
      <c r="D5235" s="15">
        <f>IFERROR(__xludf.DUMMYFUNCTION("""COMPUTED_VALUE"""),1.006)</f>
        <v>1.006</v>
      </c>
      <c r="E5235" s="16">
        <f>IFERROR(__xludf.DUMMYFUNCTION("""COMPUTED_VALUE"""),69.0)</f>
        <v>69</v>
      </c>
      <c r="F5235" s="19" t="str">
        <f>IFERROR(__xludf.DUMMYFUNCTION("""COMPUTED_VALUE"""),"BLACK")</f>
        <v>BLACK</v>
      </c>
      <c r="G5235" s="20" t="str">
        <f>IFERROR(__xludf.DUMMYFUNCTION("""COMPUTED_VALUE"""),"Uncle Sams Cider (04/04/2023)")</f>
        <v>Uncle Sams Cider (04/04/2023)</v>
      </c>
      <c r="H5235" s="19"/>
    </row>
    <row r="5236">
      <c r="A5236" s="9"/>
      <c r="B5236" s="15"/>
      <c r="C5236" s="9">
        <f>IFERROR(__xludf.DUMMYFUNCTION("""COMPUTED_VALUE"""),45089.6923003703)</f>
        <v>45089.6923</v>
      </c>
      <c r="D5236" s="15">
        <f>IFERROR(__xludf.DUMMYFUNCTION("""COMPUTED_VALUE"""),1.007)</f>
        <v>1.007</v>
      </c>
      <c r="E5236" s="16">
        <f>IFERROR(__xludf.DUMMYFUNCTION("""COMPUTED_VALUE"""),69.0)</f>
        <v>69</v>
      </c>
      <c r="F5236" s="19" t="str">
        <f>IFERROR(__xludf.DUMMYFUNCTION("""COMPUTED_VALUE"""),"BLACK")</f>
        <v>BLACK</v>
      </c>
      <c r="G5236" s="20" t="str">
        <f>IFERROR(__xludf.DUMMYFUNCTION("""COMPUTED_VALUE"""),"Uncle Sams Cider (04/04/2023)")</f>
        <v>Uncle Sams Cider (04/04/2023)</v>
      </c>
      <c r="H5236" s="19"/>
    </row>
    <row r="5237">
      <c r="A5237" s="9"/>
      <c r="B5237" s="15"/>
      <c r="C5237" s="9">
        <f>IFERROR(__xludf.DUMMYFUNCTION("""COMPUTED_VALUE"""),45089.6818773495)</f>
        <v>45089.68188</v>
      </c>
      <c r="D5237" s="15">
        <f>IFERROR(__xludf.DUMMYFUNCTION("""COMPUTED_VALUE"""),1.007)</f>
        <v>1.007</v>
      </c>
      <c r="E5237" s="16">
        <f>IFERROR(__xludf.DUMMYFUNCTION("""COMPUTED_VALUE"""),68.0)</f>
        <v>68</v>
      </c>
      <c r="F5237" s="19" t="str">
        <f>IFERROR(__xludf.DUMMYFUNCTION("""COMPUTED_VALUE"""),"BLACK")</f>
        <v>BLACK</v>
      </c>
      <c r="G5237" s="20" t="str">
        <f>IFERROR(__xludf.DUMMYFUNCTION("""COMPUTED_VALUE"""),"Uncle Sams Cider (04/04/2023)")</f>
        <v>Uncle Sams Cider (04/04/2023)</v>
      </c>
      <c r="H5237" s="19"/>
    </row>
    <row r="5238">
      <c r="A5238" s="9"/>
      <c r="B5238" s="15"/>
      <c r="C5238" s="9">
        <f>IFERROR(__xludf.DUMMYFUNCTION("""COMPUTED_VALUE"""),45089.6714560879)</f>
        <v>45089.67146</v>
      </c>
      <c r="D5238" s="15">
        <f>IFERROR(__xludf.DUMMYFUNCTION("""COMPUTED_VALUE"""),1.006)</f>
        <v>1.006</v>
      </c>
      <c r="E5238" s="16">
        <f>IFERROR(__xludf.DUMMYFUNCTION("""COMPUTED_VALUE"""),69.0)</f>
        <v>69</v>
      </c>
      <c r="F5238" s="19" t="str">
        <f>IFERROR(__xludf.DUMMYFUNCTION("""COMPUTED_VALUE"""),"BLACK")</f>
        <v>BLACK</v>
      </c>
      <c r="G5238" s="20" t="str">
        <f>IFERROR(__xludf.DUMMYFUNCTION("""COMPUTED_VALUE"""),"Uncle Sams Cider (04/04/2023)")</f>
        <v>Uncle Sams Cider (04/04/2023)</v>
      </c>
      <c r="H5238" s="19"/>
    </row>
    <row r="5239">
      <c r="A5239" s="9"/>
      <c r="B5239" s="15"/>
      <c r="C5239" s="9">
        <f>IFERROR(__xludf.DUMMYFUNCTION("""COMPUTED_VALUE"""),45089.6610362268)</f>
        <v>45089.66104</v>
      </c>
      <c r="D5239" s="15">
        <f>IFERROR(__xludf.DUMMYFUNCTION("""COMPUTED_VALUE"""),1.006)</f>
        <v>1.006</v>
      </c>
      <c r="E5239" s="16">
        <f>IFERROR(__xludf.DUMMYFUNCTION("""COMPUTED_VALUE"""),69.0)</f>
        <v>69</v>
      </c>
      <c r="F5239" s="19" t="str">
        <f>IFERROR(__xludf.DUMMYFUNCTION("""COMPUTED_VALUE"""),"BLACK")</f>
        <v>BLACK</v>
      </c>
      <c r="G5239" s="20" t="str">
        <f>IFERROR(__xludf.DUMMYFUNCTION("""COMPUTED_VALUE"""),"Uncle Sams Cider (04/04/2023)")</f>
        <v>Uncle Sams Cider (04/04/2023)</v>
      </c>
      <c r="H5239" s="19"/>
    </row>
    <row r="5240">
      <c r="A5240" s="9"/>
      <c r="B5240" s="15"/>
      <c r="C5240" s="9">
        <f>IFERROR(__xludf.DUMMYFUNCTION("""COMPUTED_VALUE"""),45089.6506117245)</f>
        <v>45089.65061</v>
      </c>
      <c r="D5240" s="15">
        <f>IFERROR(__xludf.DUMMYFUNCTION("""COMPUTED_VALUE"""),1.007)</f>
        <v>1.007</v>
      </c>
      <c r="E5240" s="16">
        <f>IFERROR(__xludf.DUMMYFUNCTION("""COMPUTED_VALUE"""),68.0)</f>
        <v>68</v>
      </c>
      <c r="F5240" s="19" t="str">
        <f>IFERROR(__xludf.DUMMYFUNCTION("""COMPUTED_VALUE"""),"BLACK")</f>
        <v>BLACK</v>
      </c>
      <c r="G5240" s="20" t="str">
        <f>IFERROR(__xludf.DUMMYFUNCTION("""COMPUTED_VALUE"""),"Uncle Sams Cider (04/04/2023)")</f>
        <v>Uncle Sams Cider (04/04/2023)</v>
      </c>
      <c r="H5240" s="19"/>
    </row>
    <row r="5241">
      <c r="A5241" s="9"/>
      <c r="B5241" s="15"/>
      <c r="C5241" s="9">
        <f>IFERROR(__xludf.DUMMYFUNCTION("""COMPUTED_VALUE"""),45089.6401913657)</f>
        <v>45089.64019</v>
      </c>
      <c r="D5241" s="15">
        <f>IFERROR(__xludf.DUMMYFUNCTION("""COMPUTED_VALUE"""),1.006)</f>
        <v>1.006</v>
      </c>
      <c r="E5241" s="16">
        <f>IFERROR(__xludf.DUMMYFUNCTION("""COMPUTED_VALUE"""),68.0)</f>
        <v>68</v>
      </c>
      <c r="F5241" s="19" t="str">
        <f>IFERROR(__xludf.DUMMYFUNCTION("""COMPUTED_VALUE"""),"BLACK")</f>
        <v>BLACK</v>
      </c>
      <c r="G5241" s="20" t="str">
        <f>IFERROR(__xludf.DUMMYFUNCTION("""COMPUTED_VALUE"""),"Uncle Sams Cider (04/04/2023)")</f>
        <v>Uncle Sams Cider (04/04/2023)</v>
      </c>
      <c r="H5241" s="19"/>
    </row>
    <row r="5242">
      <c r="A5242" s="9"/>
      <c r="B5242" s="15"/>
      <c r="C5242" s="9">
        <f>IFERROR(__xludf.DUMMYFUNCTION("""COMPUTED_VALUE"""),45089.6297696296)</f>
        <v>45089.62977</v>
      </c>
      <c r="D5242" s="15">
        <f>IFERROR(__xludf.DUMMYFUNCTION("""COMPUTED_VALUE"""),1.006)</f>
        <v>1.006</v>
      </c>
      <c r="E5242" s="16">
        <f>IFERROR(__xludf.DUMMYFUNCTION("""COMPUTED_VALUE"""),68.0)</f>
        <v>68</v>
      </c>
      <c r="F5242" s="19" t="str">
        <f>IFERROR(__xludf.DUMMYFUNCTION("""COMPUTED_VALUE"""),"BLACK")</f>
        <v>BLACK</v>
      </c>
      <c r="G5242" s="20" t="str">
        <f>IFERROR(__xludf.DUMMYFUNCTION("""COMPUTED_VALUE"""),"Uncle Sams Cider (04/04/2023)")</f>
        <v>Uncle Sams Cider (04/04/2023)</v>
      </c>
      <c r="H5242" s="19"/>
    </row>
    <row r="5243">
      <c r="A5243" s="9"/>
      <c r="B5243" s="15"/>
      <c r="C5243" s="9">
        <f>IFERROR(__xludf.DUMMYFUNCTION("""COMPUTED_VALUE"""),45089.6193477199)</f>
        <v>45089.61935</v>
      </c>
      <c r="D5243" s="15">
        <f>IFERROR(__xludf.DUMMYFUNCTION("""COMPUTED_VALUE"""),1.007)</f>
        <v>1.007</v>
      </c>
      <c r="E5243" s="16">
        <f>IFERROR(__xludf.DUMMYFUNCTION("""COMPUTED_VALUE"""),68.0)</f>
        <v>68</v>
      </c>
      <c r="F5243" s="19" t="str">
        <f>IFERROR(__xludf.DUMMYFUNCTION("""COMPUTED_VALUE"""),"BLACK")</f>
        <v>BLACK</v>
      </c>
      <c r="G5243" s="20" t="str">
        <f>IFERROR(__xludf.DUMMYFUNCTION("""COMPUTED_VALUE"""),"Uncle Sams Cider (04/04/2023)")</f>
        <v>Uncle Sams Cider (04/04/2023)</v>
      </c>
      <c r="H5243" s="19"/>
    </row>
    <row r="5244">
      <c r="A5244" s="9"/>
      <c r="B5244" s="15"/>
      <c r="C5244" s="9">
        <f>IFERROR(__xludf.DUMMYFUNCTION("""COMPUTED_VALUE"""),45089.6089255324)</f>
        <v>45089.60893</v>
      </c>
      <c r="D5244" s="15">
        <f>IFERROR(__xludf.DUMMYFUNCTION("""COMPUTED_VALUE"""),1.007)</f>
        <v>1.007</v>
      </c>
      <c r="E5244" s="16">
        <f>IFERROR(__xludf.DUMMYFUNCTION("""COMPUTED_VALUE"""),68.0)</f>
        <v>68</v>
      </c>
      <c r="F5244" s="19" t="str">
        <f>IFERROR(__xludf.DUMMYFUNCTION("""COMPUTED_VALUE"""),"BLACK")</f>
        <v>BLACK</v>
      </c>
      <c r="G5244" s="20" t="str">
        <f>IFERROR(__xludf.DUMMYFUNCTION("""COMPUTED_VALUE"""),"Uncle Sams Cider (04/04/2023)")</f>
        <v>Uncle Sams Cider (04/04/2023)</v>
      </c>
      <c r="H5244" s="19"/>
    </row>
    <row r="5245">
      <c r="A5245" s="9"/>
      <c r="B5245" s="15"/>
      <c r="C5245" s="9">
        <f>IFERROR(__xludf.DUMMYFUNCTION("""COMPUTED_VALUE"""),45089.5985040046)</f>
        <v>45089.5985</v>
      </c>
      <c r="D5245" s="15">
        <f>IFERROR(__xludf.DUMMYFUNCTION("""COMPUTED_VALUE"""),1.006)</f>
        <v>1.006</v>
      </c>
      <c r="E5245" s="16">
        <f>IFERROR(__xludf.DUMMYFUNCTION("""COMPUTED_VALUE"""),68.0)</f>
        <v>68</v>
      </c>
      <c r="F5245" s="19" t="str">
        <f>IFERROR(__xludf.DUMMYFUNCTION("""COMPUTED_VALUE"""),"BLACK")</f>
        <v>BLACK</v>
      </c>
      <c r="G5245" s="20" t="str">
        <f>IFERROR(__xludf.DUMMYFUNCTION("""COMPUTED_VALUE"""),"Uncle Sams Cider (04/04/2023)")</f>
        <v>Uncle Sams Cider (04/04/2023)</v>
      </c>
      <c r="H5245" s="19"/>
    </row>
    <row r="5246">
      <c r="A5246" s="9"/>
      <c r="B5246" s="15"/>
      <c r="C5246" s="9">
        <f>IFERROR(__xludf.DUMMYFUNCTION("""COMPUTED_VALUE"""),45089.588070706)</f>
        <v>45089.58807</v>
      </c>
      <c r="D5246" s="15">
        <f>IFERROR(__xludf.DUMMYFUNCTION("""COMPUTED_VALUE"""),1.006)</f>
        <v>1.006</v>
      </c>
      <c r="E5246" s="16">
        <f>IFERROR(__xludf.DUMMYFUNCTION("""COMPUTED_VALUE"""),68.0)</f>
        <v>68</v>
      </c>
      <c r="F5246" s="19" t="str">
        <f>IFERROR(__xludf.DUMMYFUNCTION("""COMPUTED_VALUE"""),"BLACK")</f>
        <v>BLACK</v>
      </c>
      <c r="G5246" s="20" t="str">
        <f>IFERROR(__xludf.DUMMYFUNCTION("""COMPUTED_VALUE"""),"Uncle Sams Cider (04/04/2023)")</f>
        <v>Uncle Sams Cider (04/04/2023)</v>
      </c>
      <c r="H5246" s="19"/>
    </row>
    <row r="5247">
      <c r="A5247" s="9"/>
      <c r="B5247" s="15"/>
      <c r="C5247" s="9">
        <f>IFERROR(__xludf.DUMMYFUNCTION("""COMPUTED_VALUE"""),45089.5776493287)</f>
        <v>45089.57765</v>
      </c>
      <c r="D5247" s="15">
        <f>IFERROR(__xludf.DUMMYFUNCTION("""COMPUTED_VALUE"""),1.006)</f>
        <v>1.006</v>
      </c>
      <c r="E5247" s="16">
        <f>IFERROR(__xludf.DUMMYFUNCTION("""COMPUTED_VALUE"""),68.0)</f>
        <v>68</v>
      </c>
      <c r="F5247" s="19" t="str">
        <f>IFERROR(__xludf.DUMMYFUNCTION("""COMPUTED_VALUE"""),"BLACK")</f>
        <v>BLACK</v>
      </c>
      <c r="G5247" s="20" t="str">
        <f>IFERROR(__xludf.DUMMYFUNCTION("""COMPUTED_VALUE"""),"Uncle Sams Cider (04/04/2023)")</f>
        <v>Uncle Sams Cider (04/04/2023)</v>
      </c>
      <c r="H5247" s="19"/>
    </row>
    <row r="5248">
      <c r="A5248" s="9"/>
      <c r="B5248" s="15"/>
      <c r="C5248" s="9">
        <f>IFERROR(__xludf.DUMMYFUNCTION("""COMPUTED_VALUE"""),45089.5672296296)</f>
        <v>45089.56723</v>
      </c>
      <c r="D5248" s="15">
        <f>IFERROR(__xludf.DUMMYFUNCTION("""COMPUTED_VALUE"""),1.006)</f>
        <v>1.006</v>
      </c>
      <c r="E5248" s="16">
        <f>IFERROR(__xludf.DUMMYFUNCTION("""COMPUTED_VALUE"""),68.0)</f>
        <v>68</v>
      </c>
      <c r="F5248" s="19" t="str">
        <f>IFERROR(__xludf.DUMMYFUNCTION("""COMPUTED_VALUE"""),"BLACK")</f>
        <v>BLACK</v>
      </c>
      <c r="G5248" s="20" t="str">
        <f>IFERROR(__xludf.DUMMYFUNCTION("""COMPUTED_VALUE"""),"Uncle Sams Cider (04/04/2023)")</f>
        <v>Uncle Sams Cider (04/04/2023)</v>
      </c>
      <c r="H5248" s="19"/>
    </row>
    <row r="5249">
      <c r="A5249" s="9"/>
      <c r="B5249" s="15"/>
      <c r="C5249" s="9">
        <f>IFERROR(__xludf.DUMMYFUNCTION("""COMPUTED_VALUE"""),45089.5567969097)</f>
        <v>45089.5568</v>
      </c>
      <c r="D5249" s="15">
        <f>IFERROR(__xludf.DUMMYFUNCTION("""COMPUTED_VALUE"""),1.006)</f>
        <v>1.006</v>
      </c>
      <c r="E5249" s="16">
        <f>IFERROR(__xludf.DUMMYFUNCTION("""COMPUTED_VALUE"""),68.0)</f>
        <v>68</v>
      </c>
      <c r="F5249" s="19" t="str">
        <f>IFERROR(__xludf.DUMMYFUNCTION("""COMPUTED_VALUE"""),"BLACK")</f>
        <v>BLACK</v>
      </c>
      <c r="G5249" s="20" t="str">
        <f>IFERROR(__xludf.DUMMYFUNCTION("""COMPUTED_VALUE"""),"Uncle Sams Cider (04/04/2023)")</f>
        <v>Uncle Sams Cider (04/04/2023)</v>
      </c>
      <c r="H5249" s="19"/>
    </row>
    <row r="5250">
      <c r="A5250" s="9"/>
      <c r="B5250" s="15"/>
      <c r="C5250" s="9">
        <f>IFERROR(__xludf.DUMMYFUNCTION("""COMPUTED_VALUE"""),45089.5463767708)</f>
        <v>45089.54638</v>
      </c>
      <c r="D5250" s="15">
        <f>IFERROR(__xludf.DUMMYFUNCTION("""COMPUTED_VALUE"""),1.007)</f>
        <v>1.007</v>
      </c>
      <c r="E5250" s="16">
        <f>IFERROR(__xludf.DUMMYFUNCTION("""COMPUTED_VALUE"""),68.0)</f>
        <v>68</v>
      </c>
      <c r="F5250" s="19" t="str">
        <f>IFERROR(__xludf.DUMMYFUNCTION("""COMPUTED_VALUE"""),"BLACK")</f>
        <v>BLACK</v>
      </c>
      <c r="G5250" s="20" t="str">
        <f>IFERROR(__xludf.DUMMYFUNCTION("""COMPUTED_VALUE"""),"Uncle Sams Cider (04/04/2023)")</f>
        <v>Uncle Sams Cider (04/04/2023)</v>
      </c>
      <c r="H5250" s="19"/>
    </row>
    <row r="5251">
      <c r="A5251" s="9"/>
      <c r="B5251" s="15"/>
      <c r="C5251" s="9">
        <f>IFERROR(__xludf.DUMMYFUNCTION("""COMPUTED_VALUE"""),45089.5359429976)</f>
        <v>45089.53594</v>
      </c>
      <c r="D5251" s="15">
        <f>IFERROR(__xludf.DUMMYFUNCTION("""COMPUTED_VALUE"""),1.006)</f>
        <v>1.006</v>
      </c>
      <c r="E5251" s="16">
        <f>IFERROR(__xludf.DUMMYFUNCTION("""COMPUTED_VALUE"""),68.0)</f>
        <v>68</v>
      </c>
      <c r="F5251" s="19" t="str">
        <f>IFERROR(__xludf.DUMMYFUNCTION("""COMPUTED_VALUE"""),"BLACK")</f>
        <v>BLACK</v>
      </c>
      <c r="G5251" s="20" t="str">
        <f>IFERROR(__xludf.DUMMYFUNCTION("""COMPUTED_VALUE"""),"Uncle Sams Cider (04/04/2023)")</f>
        <v>Uncle Sams Cider (04/04/2023)</v>
      </c>
      <c r="H5251" s="19"/>
    </row>
    <row r="5252">
      <c r="A5252" s="9"/>
      <c r="B5252" s="15"/>
      <c r="C5252" s="9">
        <f>IFERROR(__xludf.DUMMYFUNCTION("""COMPUTED_VALUE"""),45089.5255231944)</f>
        <v>45089.52552</v>
      </c>
      <c r="D5252" s="15">
        <f>IFERROR(__xludf.DUMMYFUNCTION("""COMPUTED_VALUE"""),1.006)</f>
        <v>1.006</v>
      </c>
      <c r="E5252" s="16">
        <f>IFERROR(__xludf.DUMMYFUNCTION("""COMPUTED_VALUE"""),68.0)</f>
        <v>68</v>
      </c>
      <c r="F5252" s="19" t="str">
        <f>IFERROR(__xludf.DUMMYFUNCTION("""COMPUTED_VALUE"""),"BLACK")</f>
        <v>BLACK</v>
      </c>
      <c r="G5252" s="20" t="str">
        <f>IFERROR(__xludf.DUMMYFUNCTION("""COMPUTED_VALUE"""),"Uncle Sams Cider (04/04/2023)")</f>
        <v>Uncle Sams Cider (04/04/2023)</v>
      </c>
      <c r="H5252" s="19"/>
    </row>
    <row r="5253">
      <c r="A5253" s="9"/>
      <c r="B5253" s="15"/>
      <c r="C5253" s="9">
        <f>IFERROR(__xludf.DUMMYFUNCTION("""COMPUTED_VALUE"""),45089.5151019791)</f>
        <v>45089.5151</v>
      </c>
      <c r="D5253" s="15">
        <f>IFERROR(__xludf.DUMMYFUNCTION("""COMPUTED_VALUE"""),1.006)</f>
        <v>1.006</v>
      </c>
      <c r="E5253" s="16">
        <f>IFERROR(__xludf.DUMMYFUNCTION("""COMPUTED_VALUE"""),68.0)</f>
        <v>68</v>
      </c>
      <c r="F5253" s="19" t="str">
        <f>IFERROR(__xludf.DUMMYFUNCTION("""COMPUTED_VALUE"""),"BLACK")</f>
        <v>BLACK</v>
      </c>
      <c r="G5253" s="20" t="str">
        <f>IFERROR(__xludf.DUMMYFUNCTION("""COMPUTED_VALUE"""),"Uncle Sams Cider (04/04/2023)")</f>
        <v>Uncle Sams Cider (04/04/2023)</v>
      </c>
      <c r="H5253" s="19"/>
    </row>
    <row r="5254">
      <c r="A5254" s="9"/>
      <c r="B5254" s="15"/>
      <c r="C5254" s="9">
        <f>IFERROR(__xludf.DUMMYFUNCTION("""COMPUTED_VALUE"""),45089.5046807523)</f>
        <v>45089.50468</v>
      </c>
      <c r="D5254" s="15">
        <f>IFERROR(__xludf.DUMMYFUNCTION("""COMPUTED_VALUE"""),1.007)</f>
        <v>1.007</v>
      </c>
      <c r="E5254" s="16">
        <f>IFERROR(__xludf.DUMMYFUNCTION("""COMPUTED_VALUE"""),68.0)</f>
        <v>68</v>
      </c>
      <c r="F5254" s="19" t="str">
        <f>IFERROR(__xludf.DUMMYFUNCTION("""COMPUTED_VALUE"""),"BLACK")</f>
        <v>BLACK</v>
      </c>
      <c r="G5254" s="20" t="str">
        <f>IFERROR(__xludf.DUMMYFUNCTION("""COMPUTED_VALUE"""),"Uncle Sams Cider (04/04/2023)")</f>
        <v>Uncle Sams Cider (04/04/2023)</v>
      </c>
      <c r="H5254" s="19"/>
    </row>
    <row r="5255">
      <c r="A5255" s="9"/>
      <c r="B5255" s="15"/>
      <c r="C5255" s="9">
        <f>IFERROR(__xludf.DUMMYFUNCTION("""COMPUTED_VALUE"""),45089.4942593981)</f>
        <v>45089.49426</v>
      </c>
      <c r="D5255" s="15">
        <f>IFERROR(__xludf.DUMMYFUNCTION("""COMPUTED_VALUE"""),1.007)</f>
        <v>1.007</v>
      </c>
      <c r="E5255" s="16">
        <f>IFERROR(__xludf.DUMMYFUNCTION("""COMPUTED_VALUE"""),68.0)</f>
        <v>68</v>
      </c>
      <c r="F5255" s="19" t="str">
        <f>IFERROR(__xludf.DUMMYFUNCTION("""COMPUTED_VALUE"""),"BLACK")</f>
        <v>BLACK</v>
      </c>
      <c r="G5255" s="20" t="str">
        <f>IFERROR(__xludf.DUMMYFUNCTION("""COMPUTED_VALUE"""),"Uncle Sams Cider (04/04/2023)")</f>
        <v>Uncle Sams Cider (04/04/2023)</v>
      </c>
      <c r="H5255" s="19"/>
    </row>
    <row r="5256">
      <c r="A5256" s="9"/>
      <c r="B5256" s="15"/>
      <c r="C5256" s="9">
        <f>IFERROR(__xludf.DUMMYFUNCTION("""COMPUTED_VALUE"""),45089.4838251967)</f>
        <v>45089.48383</v>
      </c>
      <c r="D5256" s="15">
        <f>IFERROR(__xludf.DUMMYFUNCTION("""COMPUTED_VALUE"""),1.007)</f>
        <v>1.007</v>
      </c>
      <c r="E5256" s="16">
        <f>IFERROR(__xludf.DUMMYFUNCTION("""COMPUTED_VALUE"""),68.0)</f>
        <v>68</v>
      </c>
      <c r="F5256" s="19" t="str">
        <f>IFERROR(__xludf.DUMMYFUNCTION("""COMPUTED_VALUE"""),"BLACK")</f>
        <v>BLACK</v>
      </c>
      <c r="G5256" s="20" t="str">
        <f>IFERROR(__xludf.DUMMYFUNCTION("""COMPUTED_VALUE"""),"Uncle Sams Cider (04/04/2023)")</f>
        <v>Uncle Sams Cider (04/04/2023)</v>
      </c>
      <c r="H5256" s="19"/>
    </row>
    <row r="5257">
      <c r="A5257" s="9"/>
      <c r="B5257" s="15"/>
      <c r="C5257" s="9">
        <f>IFERROR(__xludf.DUMMYFUNCTION("""COMPUTED_VALUE"""),45089.4733817708)</f>
        <v>45089.47338</v>
      </c>
      <c r="D5257" s="15">
        <f>IFERROR(__xludf.DUMMYFUNCTION("""COMPUTED_VALUE"""),1.006)</f>
        <v>1.006</v>
      </c>
      <c r="E5257" s="16">
        <f>IFERROR(__xludf.DUMMYFUNCTION("""COMPUTED_VALUE"""),68.0)</f>
        <v>68</v>
      </c>
      <c r="F5257" s="19" t="str">
        <f>IFERROR(__xludf.DUMMYFUNCTION("""COMPUTED_VALUE"""),"BLACK")</f>
        <v>BLACK</v>
      </c>
      <c r="G5257" s="20" t="str">
        <f>IFERROR(__xludf.DUMMYFUNCTION("""COMPUTED_VALUE"""),"Uncle Sams Cider (04/04/2023)")</f>
        <v>Uncle Sams Cider (04/04/2023)</v>
      </c>
      <c r="H5257" s="19"/>
    </row>
    <row r="5258">
      <c r="A5258" s="9"/>
      <c r="B5258" s="15"/>
      <c r="C5258" s="9">
        <f>IFERROR(__xludf.DUMMYFUNCTION("""COMPUTED_VALUE"""),45089.4629609953)</f>
        <v>45089.46296</v>
      </c>
      <c r="D5258" s="15">
        <f>IFERROR(__xludf.DUMMYFUNCTION("""COMPUTED_VALUE"""),1.006)</f>
        <v>1.006</v>
      </c>
      <c r="E5258" s="16">
        <f>IFERROR(__xludf.DUMMYFUNCTION("""COMPUTED_VALUE"""),68.0)</f>
        <v>68</v>
      </c>
      <c r="F5258" s="19" t="str">
        <f>IFERROR(__xludf.DUMMYFUNCTION("""COMPUTED_VALUE"""),"BLACK")</f>
        <v>BLACK</v>
      </c>
      <c r="G5258" s="20" t="str">
        <f>IFERROR(__xludf.DUMMYFUNCTION("""COMPUTED_VALUE"""),"Uncle Sams Cider (04/04/2023)")</f>
        <v>Uncle Sams Cider (04/04/2023)</v>
      </c>
      <c r="H5258" s="19"/>
    </row>
    <row r="5259">
      <c r="A5259" s="9"/>
      <c r="B5259" s="15"/>
      <c r="C5259" s="9">
        <f>IFERROR(__xludf.DUMMYFUNCTION("""COMPUTED_VALUE"""),45089.4525383217)</f>
        <v>45089.45254</v>
      </c>
      <c r="D5259" s="15">
        <f>IFERROR(__xludf.DUMMYFUNCTION("""COMPUTED_VALUE"""),1.007)</f>
        <v>1.007</v>
      </c>
      <c r="E5259" s="16">
        <f>IFERROR(__xludf.DUMMYFUNCTION("""COMPUTED_VALUE"""),68.0)</f>
        <v>68</v>
      </c>
      <c r="F5259" s="19" t="str">
        <f>IFERROR(__xludf.DUMMYFUNCTION("""COMPUTED_VALUE"""),"BLACK")</f>
        <v>BLACK</v>
      </c>
      <c r="G5259" s="20" t="str">
        <f>IFERROR(__xludf.DUMMYFUNCTION("""COMPUTED_VALUE"""),"Uncle Sams Cider (04/04/2023)")</f>
        <v>Uncle Sams Cider (04/04/2023)</v>
      </c>
      <c r="H5259" s="19"/>
    </row>
    <row r="5260">
      <c r="A5260" s="9"/>
      <c r="B5260" s="15"/>
      <c r="C5260" s="9">
        <f>IFERROR(__xludf.DUMMYFUNCTION("""COMPUTED_VALUE"""),45089.4421069675)</f>
        <v>45089.44211</v>
      </c>
      <c r="D5260" s="15">
        <f>IFERROR(__xludf.DUMMYFUNCTION("""COMPUTED_VALUE"""),1.006)</f>
        <v>1.006</v>
      </c>
      <c r="E5260" s="16">
        <f>IFERROR(__xludf.DUMMYFUNCTION("""COMPUTED_VALUE"""),68.0)</f>
        <v>68</v>
      </c>
      <c r="F5260" s="19" t="str">
        <f>IFERROR(__xludf.DUMMYFUNCTION("""COMPUTED_VALUE"""),"BLACK")</f>
        <v>BLACK</v>
      </c>
      <c r="G5260" s="20" t="str">
        <f>IFERROR(__xludf.DUMMYFUNCTION("""COMPUTED_VALUE"""),"Uncle Sams Cider (04/04/2023)")</f>
        <v>Uncle Sams Cider (04/04/2023)</v>
      </c>
      <c r="H5260" s="19"/>
    </row>
    <row r="5261">
      <c r="A5261" s="9"/>
      <c r="B5261" s="15"/>
      <c r="C5261" s="9">
        <f>IFERROR(__xludf.DUMMYFUNCTION("""COMPUTED_VALUE"""),45089.4316859606)</f>
        <v>45089.43169</v>
      </c>
      <c r="D5261" s="15">
        <f>IFERROR(__xludf.DUMMYFUNCTION("""COMPUTED_VALUE"""),1.007)</f>
        <v>1.007</v>
      </c>
      <c r="E5261" s="16">
        <f>IFERROR(__xludf.DUMMYFUNCTION("""COMPUTED_VALUE"""),68.0)</f>
        <v>68</v>
      </c>
      <c r="F5261" s="19" t="str">
        <f>IFERROR(__xludf.DUMMYFUNCTION("""COMPUTED_VALUE"""),"BLACK")</f>
        <v>BLACK</v>
      </c>
      <c r="G5261" s="20" t="str">
        <f>IFERROR(__xludf.DUMMYFUNCTION("""COMPUTED_VALUE"""),"Uncle Sams Cider (04/04/2023)")</f>
        <v>Uncle Sams Cider (04/04/2023)</v>
      </c>
      <c r="H5261" s="19"/>
    </row>
    <row r="5262">
      <c r="A5262" s="9"/>
      <c r="B5262" s="15"/>
      <c r="C5262" s="9">
        <f>IFERROR(__xludf.DUMMYFUNCTION("""COMPUTED_VALUE"""),45089.421265081)</f>
        <v>45089.42127</v>
      </c>
      <c r="D5262" s="15">
        <f>IFERROR(__xludf.DUMMYFUNCTION("""COMPUTED_VALUE"""),1.007)</f>
        <v>1.007</v>
      </c>
      <c r="E5262" s="16">
        <f>IFERROR(__xludf.DUMMYFUNCTION("""COMPUTED_VALUE"""),68.0)</f>
        <v>68</v>
      </c>
      <c r="F5262" s="19" t="str">
        <f>IFERROR(__xludf.DUMMYFUNCTION("""COMPUTED_VALUE"""),"BLACK")</f>
        <v>BLACK</v>
      </c>
      <c r="G5262" s="20" t="str">
        <f>IFERROR(__xludf.DUMMYFUNCTION("""COMPUTED_VALUE"""),"Uncle Sams Cider (04/04/2023)")</f>
        <v>Uncle Sams Cider (04/04/2023)</v>
      </c>
      <c r="H5262" s="19"/>
    </row>
    <row r="5263">
      <c r="A5263" s="9"/>
      <c r="B5263" s="15"/>
      <c r="C5263" s="9">
        <f>IFERROR(__xludf.DUMMYFUNCTION("""COMPUTED_VALUE"""),45089.4108453819)</f>
        <v>45089.41085</v>
      </c>
      <c r="D5263" s="15">
        <f>IFERROR(__xludf.DUMMYFUNCTION("""COMPUTED_VALUE"""),1.006)</f>
        <v>1.006</v>
      </c>
      <c r="E5263" s="16">
        <f>IFERROR(__xludf.DUMMYFUNCTION("""COMPUTED_VALUE"""),68.0)</f>
        <v>68</v>
      </c>
      <c r="F5263" s="19" t="str">
        <f>IFERROR(__xludf.DUMMYFUNCTION("""COMPUTED_VALUE"""),"BLACK")</f>
        <v>BLACK</v>
      </c>
      <c r="G5263" s="20" t="str">
        <f>IFERROR(__xludf.DUMMYFUNCTION("""COMPUTED_VALUE"""),"Uncle Sams Cider (04/04/2023)")</f>
        <v>Uncle Sams Cider (04/04/2023)</v>
      </c>
      <c r="H5263" s="19"/>
    </row>
    <row r="5264">
      <c r="A5264" s="9"/>
      <c r="B5264" s="15"/>
      <c r="C5264" s="9">
        <f>IFERROR(__xludf.DUMMYFUNCTION("""COMPUTED_VALUE"""),45089.4004252083)</f>
        <v>45089.40043</v>
      </c>
      <c r="D5264" s="15">
        <f>IFERROR(__xludf.DUMMYFUNCTION("""COMPUTED_VALUE"""),1.007)</f>
        <v>1.007</v>
      </c>
      <c r="E5264" s="16">
        <f>IFERROR(__xludf.DUMMYFUNCTION("""COMPUTED_VALUE"""),68.0)</f>
        <v>68</v>
      </c>
      <c r="F5264" s="19" t="str">
        <f>IFERROR(__xludf.DUMMYFUNCTION("""COMPUTED_VALUE"""),"BLACK")</f>
        <v>BLACK</v>
      </c>
      <c r="G5264" s="20" t="str">
        <f>IFERROR(__xludf.DUMMYFUNCTION("""COMPUTED_VALUE"""),"Uncle Sams Cider (04/04/2023)")</f>
        <v>Uncle Sams Cider (04/04/2023)</v>
      </c>
      <c r="H5264" s="19"/>
    </row>
    <row r="5265">
      <c r="A5265" s="9"/>
      <c r="B5265" s="15"/>
      <c r="C5265" s="9">
        <f>IFERROR(__xludf.DUMMYFUNCTION("""COMPUTED_VALUE"""),45089.3900050578)</f>
        <v>45089.39001</v>
      </c>
      <c r="D5265" s="15">
        <f>IFERROR(__xludf.DUMMYFUNCTION("""COMPUTED_VALUE"""),1.007)</f>
        <v>1.007</v>
      </c>
      <c r="E5265" s="16">
        <f>IFERROR(__xludf.DUMMYFUNCTION("""COMPUTED_VALUE"""),68.0)</f>
        <v>68</v>
      </c>
      <c r="F5265" s="19" t="str">
        <f>IFERROR(__xludf.DUMMYFUNCTION("""COMPUTED_VALUE"""),"BLACK")</f>
        <v>BLACK</v>
      </c>
      <c r="G5265" s="20" t="str">
        <f>IFERROR(__xludf.DUMMYFUNCTION("""COMPUTED_VALUE"""),"Uncle Sams Cider (04/04/2023)")</f>
        <v>Uncle Sams Cider (04/04/2023)</v>
      </c>
      <c r="H5265" s="19"/>
    </row>
    <row r="5266">
      <c r="A5266" s="9"/>
      <c r="B5266" s="15"/>
      <c r="C5266" s="9">
        <f>IFERROR(__xludf.DUMMYFUNCTION("""COMPUTED_VALUE"""),45089.3795818634)</f>
        <v>45089.37958</v>
      </c>
      <c r="D5266" s="15">
        <f>IFERROR(__xludf.DUMMYFUNCTION("""COMPUTED_VALUE"""),1.007)</f>
        <v>1.007</v>
      </c>
      <c r="E5266" s="16">
        <f>IFERROR(__xludf.DUMMYFUNCTION("""COMPUTED_VALUE"""),68.0)</f>
        <v>68</v>
      </c>
      <c r="F5266" s="19" t="str">
        <f>IFERROR(__xludf.DUMMYFUNCTION("""COMPUTED_VALUE"""),"BLACK")</f>
        <v>BLACK</v>
      </c>
      <c r="G5266" s="20" t="str">
        <f>IFERROR(__xludf.DUMMYFUNCTION("""COMPUTED_VALUE"""),"Uncle Sams Cider (04/04/2023)")</f>
        <v>Uncle Sams Cider (04/04/2023)</v>
      </c>
      <c r="H5266" s="19"/>
    </row>
    <row r="5267">
      <c r="A5267" s="9"/>
      <c r="B5267" s="15"/>
      <c r="C5267" s="9">
        <f>IFERROR(__xludf.DUMMYFUNCTION("""COMPUTED_VALUE"""),45089.3691597338)</f>
        <v>45089.36916</v>
      </c>
      <c r="D5267" s="15">
        <f>IFERROR(__xludf.DUMMYFUNCTION("""COMPUTED_VALUE"""),1.006)</f>
        <v>1.006</v>
      </c>
      <c r="E5267" s="16">
        <f>IFERROR(__xludf.DUMMYFUNCTION("""COMPUTED_VALUE"""),68.0)</f>
        <v>68</v>
      </c>
      <c r="F5267" s="19" t="str">
        <f>IFERROR(__xludf.DUMMYFUNCTION("""COMPUTED_VALUE"""),"BLACK")</f>
        <v>BLACK</v>
      </c>
      <c r="G5267" s="20" t="str">
        <f>IFERROR(__xludf.DUMMYFUNCTION("""COMPUTED_VALUE"""),"Uncle Sams Cider (04/04/2023)")</f>
        <v>Uncle Sams Cider (04/04/2023)</v>
      </c>
      <c r="H5267" s="19"/>
    </row>
    <row r="5268">
      <c r="A5268" s="9"/>
      <c r="B5268" s="15"/>
      <c r="C5268" s="9">
        <f>IFERROR(__xludf.DUMMYFUNCTION("""COMPUTED_VALUE"""),45089.3587404398)</f>
        <v>45089.35874</v>
      </c>
      <c r="D5268" s="15">
        <f>IFERROR(__xludf.DUMMYFUNCTION("""COMPUTED_VALUE"""),1.007)</f>
        <v>1.007</v>
      </c>
      <c r="E5268" s="16">
        <f>IFERROR(__xludf.DUMMYFUNCTION("""COMPUTED_VALUE"""),68.0)</f>
        <v>68</v>
      </c>
      <c r="F5268" s="19" t="str">
        <f>IFERROR(__xludf.DUMMYFUNCTION("""COMPUTED_VALUE"""),"BLACK")</f>
        <v>BLACK</v>
      </c>
      <c r="G5268" s="20" t="str">
        <f>IFERROR(__xludf.DUMMYFUNCTION("""COMPUTED_VALUE"""),"Uncle Sams Cider (04/04/2023)")</f>
        <v>Uncle Sams Cider (04/04/2023)</v>
      </c>
      <c r="H5268" s="19"/>
    </row>
    <row r="5269">
      <c r="A5269" s="9"/>
      <c r="B5269" s="15"/>
      <c r="C5269" s="9">
        <f>IFERROR(__xludf.DUMMYFUNCTION("""COMPUTED_VALUE"""),45089.3483073842)</f>
        <v>45089.34831</v>
      </c>
      <c r="D5269" s="15">
        <f>IFERROR(__xludf.DUMMYFUNCTION("""COMPUTED_VALUE"""),1.007)</f>
        <v>1.007</v>
      </c>
      <c r="E5269" s="16">
        <f>IFERROR(__xludf.DUMMYFUNCTION("""COMPUTED_VALUE"""),68.0)</f>
        <v>68</v>
      </c>
      <c r="F5269" s="19" t="str">
        <f>IFERROR(__xludf.DUMMYFUNCTION("""COMPUTED_VALUE"""),"BLACK")</f>
        <v>BLACK</v>
      </c>
      <c r="G5269" s="20" t="str">
        <f>IFERROR(__xludf.DUMMYFUNCTION("""COMPUTED_VALUE"""),"Uncle Sams Cider (04/04/2023)")</f>
        <v>Uncle Sams Cider (04/04/2023)</v>
      </c>
      <c r="H5269" s="19"/>
    </row>
    <row r="5270">
      <c r="A5270" s="9"/>
      <c r="B5270" s="15"/>
      <c r="C5270" s="9">
        <f>IFERROR(__xludf.DUMMYFUNCTION("""COMPUTED_VALUE"""),45089.3378856713)</f>
        <v>45089.33789</v>
      </c>
      <c r="D5270" s="15">
        <f>IFERROR(__xludf.DUMMYFUNCTION("""COMPUTED_VALUE"""),1.007)</f>
        <v>1.007</v>
      </c>
      <c r="E5270" s="16">
        <f>IFERROR(__xludf.DUMMYFUNCTION("""COMPUTED_VALUE"""),68.0)</f>
        <v>68</v>
      </c>
      <c r="F5270" s="19" t="str">
        <f>IFERROR(__xludf.DUMMYFUNCTION("""COMPUTED_VALUE"""),"BLACK")</f>
        <v>BLACK</v>
      </c>
      <c r="G5270" s="20" t="str">
        <f>IFERROR(__xludf.DUMMYFUNCTION("""COMPUTED_VALUE"""),"Uncle Sams Cider (04/04/2023)")</f>
        <v>Uncle Sams Cider (04/04/2023)</v>
      </c>
      <c r="H5270" s="19"/>
    </row>
    <row r="5271">
      <c r="A5271" s="9"/>
      <c r="B5271" s="15"/>
      <c r="C5271" s="9">
        <f>IFERROR(__xludf.DUMMYFUNCTION("""COMPUTED_VALUE"""),45089.3274638541)</f>
        <v>45089.32746</v>
      </c>
      <c r="D5271" s="15">
        <f>IFERROR(__xludf.DUMMYFUNCTION("""COMPUTED_VALUE"""),1.007)</f>
        <v>1.007</v>
      </c>
      <c r="E5271" s="16">
        <f>IFERROR(__xludf.DUMMYFUNCTION("""COMPUTED_VALUE"""),68.0)</f>
        <v>68</v>
      </c>
      <c r="F5271" s="19" t="str">
        <f>IFERROR(__xludf.DUMMYFUNCTION("""COMPUTED_VALUE"""),"BLACK")</f>
        <v>BLACK</v>
      </c>
      <c r="G5271" s="20" t="str">
        <f>IFERROR(__xludf.DUMMYFUNCTION("""COMPUTED_VALUE"""),"Uncle Sams Cider (04/04/2023)")</f>
        <v>Uncle Sams Cider (04/04/2023)</v>
      </c>
      <c r="H5271" s="19"/>
    </row>
    <row r="5272">
      <c r="A5272" s="9"/>
      <c r="B5272" s="15"/>
      <c r="C5272" s="9">
        <f>IFERROR(__xludf.DUMMYFUNCTION("""COMPUTED_VALUE"""),45089.3170415509)</f>
        <v>45089.31704</v>
      </c>
      <c r="D5272" s="15">
        <f>IFERROR(__xludf.DUMMYFUNCTION("""COMPUTED_VALUE"""),1.006)</f>
        <v>1.006</v>
      </c>
      <c r="E5272" s="16">
        <f>IFERROR(__xludf.DUMMYFUNCTION("""COMPUTED_VALUE"""),68.0)</f>
        <v>68</v>
      </c>
      <c r="F5272" s="19" t="str">
        <f>IFERROR(__xludf.DUMMYFUNCTION("""COMPUTED_VALUE"""),"BLACK")</f>
        <v>BLACK</v>
      </c>
      <c r="G5272" s="20" t="str">
        <f>IFERROR(__xludf.DUMMYFUNCTION("""COMPUTED_VALUE"""),"Uncle Sams Cider (04/04/2023)")</f>
        <v>Uncle Sams Cider (04/04/2023)</v>
      </c>
      <c r="H5272" s="19"/>
    </row>
    <row r="5273">
      <c r="A5273" s="9"/>
      <c r="B5273" s="15"/>
      <c r="C5273" s="9">
        <f>IFERROR(__xludf.DUMMYFUNCTION("""COMPUTED_VALUE"""),45089.3066084606)</f>
        <v>45089.30661</v>
      </c>
      <c r="D5273" s="15">
        <f>IFERROR(__xludf.DUMMYFUNCTION("""COMPUTED_VALUE"""),1.007)</f>
        <v>1.007</v>
      </c>
      <c r="E5273" s="16">
        <f>IFERROR(__xludf.DUMMYFUNCTION("""COMPUTED_VALUE"""),68.0)</f>
        <v>68</v>
      </c>
      <c r="F5273" s="19" t="str">
        <f>IFERROR(__xludf.DUMMYFUNCTION("""COMPUTED_VALUE"""),"BLACK")</f>
        <v>BLACK</v>
      </c>
      <c r="G5273" s="20" t="str">
        <f>IFERROR(__xludf.DUMMYFUNCTION("""COMPUTED_VALUE"""),"Uncle Sams Cider (04/04/2023)")</f>
        <v>Uncle Sams Cider (04/04/2023)</v>
      </c>
      <c r="H5273" s="19"/>
    </row>
    <row r="5274">
      <c r="A5274" s="9"/>
      <c r="B5274" s="15"/>
      <c r="C5274" s="9">
        <f>IFERROR(__xludf.DUMMYFUNCTION("""COMPUTED_VALUE"""),45089.2961767824)</f>
        <v>45089.29618</v>
      </c>
      <c r="D5274" s="15">
        <f>IFERROR(__xludf.DUMMYFUNCTION("""COMPUTED_VALUE"""),1.007)</f>
        <v>1.007</v>
      </c>
      <c r="E5274" s="16">
        <f>IFERROR(__xludf.DUMMYFUNCTION("""COMPUTED_VALUE"""),68.0)</f>
        <v>68</v>
      </c>
      <c r="F5274" s="19" t="str">
        <f>IFERROR(__xludf.DUMMYFUNCTION("""COMPUTED_VALUE"""),"BLACK")</f>
        <v>BLACK</v>
      </c>
      <c r="G5274" s="20" t="str">
        <f>IFERROR(__xludf.DUMMYFUNCTION("""COMPUTED_VALUE"""),"Uncle Sams Cider (04/04/2023)")</f>
        <v>Uncle Sams Cider (04/04/2023)</v>
      </c>
      <c r="H5274" s="19"/>
    </row>
    <row r="5275">
      <c r="A5275" s="9"/>
      <c r="B5275" s="15"/>
      <c r="C5275" s="9">
        <f>IFERROR(__xludf.DUMMYFUNCTION("""COMPUTED_VALUE"""),45089.2857553935)</f>
        <v>45089.28576</v>
      </c>
      <c r="D5275" s="15">
        <f>IFERROR(__xludf.DUMMYFUNCTION("""COMPUTED_VALUE"""),1.007)</f>
        <v>1.007</v>
      </c>
      <c r="E5275" s="16">
        <f>IFERROR(__xludf.DUMMYFUNCTION("""COMPUTED_VALUE"""),68.0)</f>
        <v>68</v>
      </c>
      <c r="F5275" s="19" t="str">
        <f>IFERROR(__xludf.DUMMYFUNCTION("""COMPUTED_VALUE"""),"BLACK")</f>
        <v>BLACK</v>
      </c>
      <c r="G5275" s="20" t="str">
        <f>IFERROR(__xludf.DUMMYFUNCTION("""COMPUTED_VALUE"""),"Uncle Sams Cider (04/04/2023)")</f>
        <v>Uncle Sams Cider (04/04/2023)</v>
      </c>
      <c r="H5275" s="19"/>
    </row>
    <row r="5276">
      <c r="A5276" s="9"/>
      <c r="B5276" s="15"/>
      <c r="C5276" s="9">
        <f>IFERROR(__xludf.DUMMYFUNCTION("""COMPUTED_VALUE"""),45089.2753349537)</f>
        <v>45089.27533</v>
      </c>
      <c r="D5276" s="15">
        <f>IFERROR(__xludf.DUMMYFUNCTION("""COMPUTED_VALUE"""),1.007)</f>
        <v>1.007</v>
      </c>
      <c r="E5276" s="16">
        <f>IFERROR(__xludf.DUMMYFUNCTION("""COMPUTED_VALUE"""),68.0)</f>
        <v>68</v>
      </c>
      <c r="F5276" s="19" t="str">
        <f>IFERROR(__xludf.DUMMYFUNCTION("""COMPUTED_VALUE"""),"BLACK")</f>
        <v>BLACK</v>
      </c>
      <c r="G5276" s="20" t="str">
        <f>IFERROR(__xludf.DUMMYFUNCTION("""COMPUTED_VALUE"""),"Uncle Sams Cider (04/04/2023)")</f>
        <v>Uncle Sams Cider (04/04/2023)</v>
      </c>
      <c r="H5276" s="19"/>
    </row>
    <row r="5277">
      <c r="A5277" s="9"/>
      <c r="B5277" s="15"/>
      <c r="C5277" s="9">
        <f>IFERROR(__xludf.DUMMYFUNCTION("""COMPUTED_VALUE"""),45089.2649138194)</f>
        <v>45089.26491</v>
      </c>
      <c r="D5277" s="15">
        <f>IFERROR(__xludf.DUMMYFUNCTION("""COMPUTED_VALUE"""),1.007)</f>
        <v>1.007</v>
      </c>
      <c r="E5277" s="16">
        <f>IFERROR(__xludf.DUMMYFUNCTION("""COMPUTED_VALUE"""),68.0)</f>
        <v>68</v>
      </c>
      <c r="F5277" s="19" t="str">
        <f>IFERROR(__xludf.DUMMYFUNCTION("""COMPUTED_VALUE"""),"BLACK")</f>
        <v>BLACK</v>
      </c>
      <c r="G5277" s="20" t="str">
        <f>IFERROR(__xludf.DUMMYFUNCTION("""COMPUTED_VALUE"""),"Uncle Sams Cider (04/04/2023)")</f>
        <v>Uncle Sams Cider (04/04/2023)</v>
      </c>
      <c r="H5277" s="19"/>
    </row>
    <row r="5278">
      <c r="A5278" s="9"/>
      <c r="B5278" s="15"/>
      <c r="C5278" s="9">
        <f>IFERROR(__xludf.DUMMYFUNCTION("""COMPUTED_VALUE"""),45089.254468368)</f>
        <v>45089.25447</v>
      </c>
      <c r="D5278" s="15">
        <f>IFERROR(__xludf.DUMMYFUNCTION("""COMPUTED_VALUE"""),1.006)</f>
        <v>1.006</v>
      </c>
      <c r="E5278" s="16">
        <f>IFERROR(__xludf.DUMMYFUNCTION("""COMPUTED_VALUE"""),68.0)</f>
        <v>68</v>
      </c>
      <c r="F5278" s="19" t="str">
        <f>IFERROR(__xludf.DUMMYFUNCTION("""COMPUTED_VALUE"""),"BLACK")</f>
        <v>BLACK</v>
      </c>
      <c r="G5278" s="20" t="str">
        <f>IFERROR(__xludf.DUMMYFUNCTION("""COMPUTED_VALUE"""),"Uncle Sams Cider (04/04/2023)")</f>
        <v>Uncle Sams Cider (04/04/2023)</v>
      </c>
      <c r="H5278" s="19"/>
    </row>
    <row r="5279">
      <c r="A5279" s="9"/>
      <c r="B5279" s="15"/>
      <c r="C5279" s="9">
        <f>IFERROR(__xludf.DUMMYFUNCTION("""COMPUTED_VALUE"""),45089.2440489699)</f>
        <v>45089.24405</v>
      </c>
      <c r="D5279" s="15">
        <f>IFERROR(__xludf.DUMMYFUNCTION("""COMPUTED_VALUE"""),1.007)</f>
        <v>1.007</v>
      </c>
      <c r="E5279" s="16">
        <f>IFERROR(__xludf.DUMMYFUNCTION("""COMPUTED_VALUE"""),68.0)</f>
        <v>68</v>
      </c>
      <c r="F5279" s="19" t="str">
        <f>IFERROR(__xludf.DUMMYFUNCTION("""COMPUTED_VALUE"""),"BLACK")</f>
        <v>BLACK</v>
      </c>
      <c r="G5279" s="20" t="str">
        <f>IFERROR(__xludf.DUMMYFUNCTION("""COMPUTED_VALUE"""),"Uncle Sams Cider (04/04/2023)")</f>
        <v>Uncle Sams Cider (04/04/2023)</v>
      </c>
      <c r="H5279" s="19"/>
    </row>
    <row r="5280">
      <c r="A5280" s="9"/>
      <c r="B5280" s="15"/>
      <c r="C5280" s="9">
        <f>IFERROR(__xludf.DUMMYFUNCTION("""COMPUTED_VALUE"""),45089.2335822685)</f>
        <v>45089.23358</v>
      </c>
      <c r="D5280" s="15">
        <f>IFERROR(__xludf.DUMMYFUNCTION("""COMPUTED_VALUE"""),1.007)</f>
        <v>1.007</v>
      </c>
      <c r="E5280" s="16">
        <f>IFERROR(__xludf.DUMMYFUNCTION("""COMPUTED_VALUE"""),68.0)</f>
        <v>68</v>
      </c>
      <c r="F5280" s="19" t="str">
        <f>IFERROR(__xludf.DUMMYFUNCTION("""COMPUTED_VALUE"""),"BLACK")</f>
        <v>BLACK</v>
      </c>
      <c r="G5280" s="20" t="str">
        <f>IFERROR(__xludf.DUMMYFUNCTION("""COMPUTED_VALUE"""),"Uncle Sams Cider (04/04/2023)")</f>
        <v>Uncle Sams Cider (04/04/2023)</v>
      </c>
      <c r="H5280" s="19"/>
    </row>
    <row r="5281">
      <c r="A5281" s="9"/>
      <c r="B5281" s="15"/>
      <c r="C5281" s="9">
        <f>IFERROR(__xludf.DUMMYFUNCTION("""COMPUTED_VALUE"""),45089.2231630324)</f>
        <v>45089.22316</v>
      </c>
      <c r="D5281" s="15">
        <f>IFERROR(__xludf.DUMMYFUNCTION("""COMPUTED_VALUE"""),1.007)</f>
        <v>1.007</v>
      </c>
      <c r="E5281" s="16">
        <f>IFERROR(__xludf.DUMMYFUNCTION("""COMPUTED_VALUE"""),68.0)</f>
        <v>68</v>
      </c>
      <c r="F5281" s="19" t="str">
        <f>IFERROR(__xludf.DUMMYFUNCTION("""COMPUTED_VALUE"""),"BLACK")</f>
        <v>BLACK</v>
      </c>
      <c r="G5281" s="20" t="str">
        <f>IFERROR(__xludf.DUMMYFUNCTION("""COMPUTED_VALUE"""),"Uncle Sams Cider (04/04/2023)")</f>
        <v>Uncle Sams Cider (04/04/2023)</v>
      </c>
      <c r="H5281" s="19"/>
    </row>
    <row r="5282">
      <c r="A5282" s="9"/>
      <c r="B5282" s="15"/>
      <c r="C5282" s="9">
        <f>IFERROR(__xludf.DUMMYFUNCTION("""COMPUTED_VALUE"""),45089.2127395833)</f>
        <v>45089.21274</v>
      </c>
      <c r="D5282" s="15">
        <f>IFERROR(__xludf.DUMMYFUNCTION("""COMPUTED_VALUE"""),1.007)</f>
        <v>1.007</v>
      </c>
      <c r="E5282" s="16">
        <f>IFERROR(__xludf.DUMMYFUNCTION("""COMPUTED_VALUE"""),68.0)</f>
        <v>68</v>
      </c>
      <c r="F5282" s="19" t="str">
        <f>IFERROR(__xludf.DUMMYFUNCTION("""COMPUTED_VALUE"""),"BLACK")</f>
        <v>BLACK</v>
      </c>
      <c r="G5282" s="20" t="str">
        <f>IFERROR(__xludf.DUMMYFUNCTION("""COMPUTED_VALUE"""),"Uncle Sams Cider (04/04/2023)")</f>
        <v>Uncle Sams Cider (04/04/2023)</v>
      </c>
      <c r="H5282" s="19"/>
    </row>
    <row r="5283">
      <c r="A5283" s="9"/>
      <c r="B5283" s="15"/>
      <c r="C5283" s="9">
        <f>IFERROR(__xludf.DUMMYFUNCTION("""COMPUTED_VALUE"""),45089.2023172685)</f>
        <v>45089.20232</v>
      </c>
      <c r="D5283" s="15">
        <f>IFERROR(__xludf.DUMMYFUNCTION("""COMPUTED_VALUE"""),1.007)</f>
        <v>1.007</v>
      </c>
      <c r="E5283" s="16">
        <f>IFERROR(__xludf.DUMMYFUNCTION("""COMPUTED_VALUE"""),68.0)</f>
        <v>68</v>
      </c>
      <c r="F5283" s="19" t="str">
        <f>IFERROR(__xludf.DUMMYFUNCTION("""COMPUTED_VALUE"""),"BLACK")</f>
        <v>BLACK</v>
      </c>
      <c r="G5283" s="20" t="str">
        <f>IFERROR(__xludf.DUMMYFUNCTION("""COMPUTED_VALUE"""),"Uncle Sams Cider (04/04/2023)")</f>
        <v>Uncle Sams Cider (04/04/2023)</v>
      </c>
      <c r="H5283" s="19"/>
    </row>
    <row r="5284">
      <c r="A5284" s="9"/>
      <c r="B5284" s="15"/>
      <c r="C5284" s="9">
        <f>IFERROR(__xludf.DUMMYFUNCTION("""COMPUTED_VALUE"""),45089.1918988078)</f>
        <v>45089.1919</v>
      </c>
      <c r="D5284" s="15">
        <f>IFERROR(__xludf.DUMMYFUNCTION("""COMPUTED_VALUE"""),1.007)</f>
        <v>1.007</v>
      </c>
      <c r="E5284" s="16">
        <f>IFERROR(__xludf.DUMMYFUNCTION("""COMPUTED_VALUE"""),68.0)</f>
        <v>68</v>
      </c>
      <c r="F5284" s="19" t="str">
        <f>IFERROR(__xludf.DUMMYFUNCTION("""COMPUTED_VALUE"""),"BLACK")</f>
        <v>BLACK</v>
      </c>
      <c r="G5284" s="20" t="str">
        <f>IFERROR(__xludf.DUMMYFUNCTION("""COMPUTED_VALUE"""),"Uncle Sams Cider (04/04/2023)")</f>
        <v>Uncle Sams Cider (04/04/2023)</v>
      </c>
      <c r="H5284" s="19"/>
    </row>
    <row r="5285">
      <c r="A5285" s="9"/>
      <c r="B5285" s="15"/>
      <c r="C5285" s="9">
        <f>IFERROR(__xludf.DUMMYFUNCTION("""COMPUTED_VALUE"""),45089.1814784143)</f>
        <v>45089.18148</v>
      </c>
      <c r="D5285" s="15">
        <f>IFERROR(__xludf.DUMMYFUNCTION("""COMPUTED_VALUE"""),1.007)</f>
        <v>1.007</v>
      </c>
      <c r="E5285" s="16">
        <f>IFERROR(__xludf.DUMMYFUNCTION("""COMPUTED_VALUE"""),68.0)</f>
        <v>68</v>
      </c>
      <c r="F5285" s="19" t="str">
        <f>IFERROR(__xludf.DUMMYFUNCTION("""COMPUTED_VALUE"""),"BLACK")</f>
        <v>BLACK</v>
      </c>
      <c r="G5285" s="20" t="str">
        <f>IFERROR(__xludf.DUMMYFUNCTION("""COMPUTED_VALUE"""),"Uncle Sams Cider (04/04/2023)")</f>
        <v>Uncle Sams Cider (04/04/2023)</v>
      </c>
      <c r="H5285" s="19"/>
    </row>
    <row r="5286">
      <c r="A5286" s="9"/>
      <c r="B5286" s="15"/>
      <c r="C5286" s="9">
        <f>IFERROR(__xludf.DUMMYFUNCTION("""COMPUTED_VALUE"""),45089.1710581134)</f>
        <v>45089.17106</v>
      </c>
      <c r="D5286" s="15">
        <f>IFERROR(__xludf.DUMMYFUNCTION("""COMPUTED_VALUE"""),1.007)</f>
        <v>1.007</v>
      </c>
      <c r="E5286" s="16">
        <f>IFERROR(__xludf.DUMMYFUNCTION("""COMPUTED_VALUE"""),68.0)</f>
        <v>68</v>
      </c>
      <c r="F5286" s="19" t="str">
        <f>IFERROR(__xludf.DUMMYFUNCTION("""COMPUTED_VALUE"""),"BLACK")</f>
        <v>BLACK</v>
      </c>
      <c r="G5286" s="20" t="str">
        <f>IFERROR(__xludf.DUMMYFUNCTION("""COMPUTED_VALUE"""),"Uncle Sams Cider (04/04/2023)")</f>
        <v>Uncle Sams Cider (04/04/2023)</v>
      </c>
      <c r="H5286" s="19"/>
    </row>
    <row r="5287">
      <c r="A5287" s="9"/>
      <c r="B5287" s="15"/>
      <c r="C5287" s="9">
        <f>IFERROR(__xludf.DUMMYFUNCTION("""COMPUTED_VALUE"""),45089.1606370139)</f>
        <v>45089.16064</v>
      </c>
      <c r="D5287" s="15">
        <f>IFERROR(__xludf.DUMMYFUNCTION("""COMPUTED_VALUE"""),1.007)</f>
        <v>1.007</v>
      </c>
      <c r="E5287" s="16">
        <f>IFERROR(__xludf.DUMMYFUNCTION("""COMPUTED_VALUE"""),68.0)</f>
        <v>68</v>
      </c>
      <c r="F5287" s="19" t="str">
        <f>IFERROR(__xludf.DUMMYFUNCTION("""COMPUTED_VALUE"""),"BLACK")</f>
        <v>BLACK</v>
      </c>
      <c r="G5287" s="20" t="str">
        <f>IFERROR(__xludf.DUMMYFUNCTION("""COMPUTED_VALUE"""),"Uncle Sams Cider (04/04/2023)")</f>
        <v>Uncle Sams Cider (04/04/2023)</v>
      </c>
      <c r="H5287" s="19"/>
    </row>
    <row r="5288">
      <c r="A5288" s="9"/>
      <c r="B5288" s="15"/>
      <c r="C5288" s="9">
        <f>IFERROR(__xludf.DUMMYFUNCTION("""COMPUTED_VALUE"""),45089.1502169097)</f>
        <v>45089.15022</v>
      </c>
      <c r="D5288" s="15">
        <f>IFERROR(__xludf.DUMMYFUNCTION("""COMPUTED_VALUE"""),1.007)</f>
        <v>1.007</v>
      </c>
      <c r="E5288" s="16">
        <f>IFERROR(__xludf.DUMMYFUNCTION("""COMPUTED_VALUE"""),68.0)</f>
        <v>68</v>
      </c>
      <c r="F5288" s="19" t="str">
        <f>IFERROR(__xludf.DUMMYFUNCTION("""COMPUTED_VALUE"""),"BLACK")</f>
        <v>BLACK</v>
      </c>
      <c r="G5288" s="20" t="str">
        <f>IFERROR(__xludf.DUMMYFUNCTION("""COMPUTED_VALUE"""),"Uncle Sams Cider (04/04/2023)")</f>
        <v>Uncle Sams Cider (04/04/2023)</v>
      </c>
      <c r="H5288" s="19"/>
    </row>
    <row r="5289">
      <c r="A5289" s="9"/>
      <c r="B5289" s="15"/>
      <c r="C5289" s="9">
        <f>IFERROR(__xludf.DUMMYFUNCTION("""COMPUTED_VALUE"""),45089.1397963425)</f>
        <v>45089.1398</v>
      </c>
      <c r="D5289" s="15">
        <f>IFERROR(__xludf.DUMMYFUNCTION("""COMPUTED_VALUE"""),1.007)</f>
        <v>1.007</v>
      </c>
      <c r="E5289" s="16">
        <f>IFERROR(__xludf.DUMMYFUNCTION("""COMPUTED_VALUE"""),68.0)</f>
        <v>68</v>
      </c>
      <c r="F5289" s="19" t="str">
        <f>IFERROR(__xludf.DUMMYFUNCTION("""COMPUTED_VALUE"""),"BLACK")</f>
        <v>BLACK</v>
      </c>
      <c r="G5289" s="20" t="str">
        <f>IFERROR(__xludf.DUMMYFUNCTION("""COMPUTED_VALUE"""),"Uncle Sams Cider (04/04/2023)")</f>
        <v>Uncle Sams Cider (04/04/2023)</v>
      </c>
      <c r="H5289" s="19"/>
    </row>
    <row r="5290">
      <c r="A5290" s="9"/>
      <c r="B5290" s="15"/>
      <c r="C5290" s="9">
        <f>IFERROR(__xludf.DUMMYFUNCTION("""COMPUTED_VALUE"""),45089.1293730208)</f>
        <v>45089.12937</v>
      </c>
      <c r="D5290" s="15">
        <f>IFERROR(__xludf.DUMMYFUNCTION("""COMPUTED_VALUE"""),1.007)</f>
        <v>1.007</v>
      </c>
      <c r="E5290" s="16">
        <f>IFERROR(__xludf.DUMMYFUNCTION("""COMPUTED_VALUE"""),68.0)</f>
        <v>68</v>
      </c>
      <c r="F5290" s="19" t="str">
        <f>IFERROR(__xludf.DUMMYFUNCTION("""COMPUTED_VALUE"""),"BLACK")</f>
        <v>BLACK</v>
      </c>
      <c r="G5290" s="20" t="str">
        <f>IFERROR(__xludf.DUMMYFUNCTION("""COMPUTED_VALUE"""),"Uncle Sams Cider (04/04/2023)")</f>
        <v>Uncle Sams Cider (04/04/2023)</v>
      </c>
      <c r="H5290" s="19"/>
    </row>
    <row r="5291">
      <c r="A5291" s="9"/>
      <c r="B5291" s="15"/>
      <c r="C5291" s="9">
        <f>IFERROR(__xludf.DUMMYFUNCTION("""COMPUTED_VALUE"""),45089.1189505092)</f>
        <v>45089.11895</v>
      </c>
      <c r="D5291" s="15">
        <f>IFERROR(__xludf.DUMMYFUNCTION("""COMPUTED_VALUE"""),1.007)</f>
        <v>1.007</v>
      </c>
      <c r="E5291" s="16">
        <f>IFERROR(__xludf.DUMMYFUNCTION("""COMPUTED_VALUE"""),68.0)</f>
        <v>68</v>
      </c>
      <c r="F5291" s="19" t="str">
        <f>IFERROR(__xludf.DUMMYFUNCTION("""COMPUTED_VALUE"""),"BLACK")</f>
        <v>BLACK</v>
      </c>
      <c r="G5291" s="20" t="str">
        <f>IFERROR(__xludf.DUMMYFUNCTION("""COMPUTED_VALUE"""),"Uncle Sams Cider (04/04/2023)")</f>
        <v>Uncle Sams Cider (04/04/2023)</v>
      </c>
      <c r="H5291" s="19"/>
    </row>
    <row r="5292">
      <c r="A5292" s="9"/>
      <c r="B5292" s="15"/>
      <c r="C5292" s="9">
        <f>IFERROR(__xludf.DUMMYFUNCTION("""COMPUTED_VALUE"""),45089.1085182638)</f>
        <v>45089.10852</v>
      </c>
      <c r="D5292" s="15">
        <f>IFERROR(__xludf.DUMMYFUNCTION("""COMPUTED_VALUE"""),1.007)</f>
        <v>1.007</v>
      </c>
      <c r="E5292" s="16">
        <f>IFERROR(__xludf.DUMMYFUNCTION("""COMPUTED_VALUE"""),68.0)</f>
        <v>68</v>
      </c>
      <c r="F5292" s="19" t="str">
        <f>IFERROR(__xludf.DUMMYFUNCTION("""COMPUTED_VALUE"""),"BLACK")</f>
        <v>BLACK</v>
      </c>
      <c r="G5292" s="20" t="str">
        <f>IFERROR(__xludf.DUMMYFUNCTION("""COMPUTED_VALUE"""),"Uncle Sams Cider (04/04/2023)")</f>
        <v>Uncle Sams Cider (04/04/2023)</v>
      </c>
      <c r="H5292" s="19"/>
    </row>
    <row r="5293">
      <c r="A5293" s="9"/>
      <c r="B5293" s="15"/>
      <c r="C5293" s="9">
        <f>IFERROR(__xludf.DUMMYFUNCTION("""COMPUTED_VALUE"""),45089.0980634143)</f>
        <v>45089.09806</v>
      </c>
      <c r="D5293" s="15">
        <f>IFERROR(__xludf.DUMMYFUNCTION("""COMPUTED_VALUE"""),1.007)</f>
        <v>1.007</v>
      </c>
      <c r="E5293" s="16">
        <f>IFERROR(__xludf.DUMMYFUNCTION("""COMPUTED_VALUE"""),68.0)</f>
        <v>68</v>
      </c>
      <c r="F5293" s="19" t="str">
        <f>IFERROR(__xludf.DUMMYFUNCTION("""COMPUTED_VALUE"""),"BLACK")</f>
        <v>BLACK</v>
      </c>
      <c r="G5293" s="20" t="str">
        <f>IFERROR(__xludf.DUMMYFUNCTION("""COMPUTED_VALUE"""),"Uncle Sams Cider (04/04/2023)")</f>
        <v>Uncle Sams Cider (04/04/2023)</v>
      </c>
      <c r="H5293" s="19"/>
    </row>
    <row r="5294">
      <c r="A5294" s="9"/>
      <c r="B5294" s="15"/>
      <c r="C5294" s="9">
        <f>IFERROR(__xludf.DUMMYFUNCTION("""COMPUTED_VALUE"""),45089.0876406134)</f>
        <v>45089.08764</v>
      </c>
      <c r="D5294" s="15">
        <f>IFERROR(__xludf.DUMMYFUNCTION("""COMPUTED_VALUE"""),1.007)</f>
        <v>1.007</v>
      </c>
      <c r="E5294" s="16">
        <f>IFERROR(__xludf.DUMMYFUNCTION("""COMPUTED_VALUE"""),68.0)</f>
        <v>68</v>
      </c>
      <c r="F5294" s="19" t="str">
        <f>IFERROR(__xludf.DUMMYFUNCTION("""COMPUTED_VALUE"""),"BLACK")</f>
        <v>BLACK</v>
      </c>
      <c r="G5294" s="20" t="str">
        <f>IFERROR(__xludf.DUMMYFUNCTION("""COMPUTED_VALUE"""),"Uncle Sams Cider (04/04/2023)")</f>
        <v>Uncle Sams Cider (04/04/2023)</v>
      </c>
      <c r="H5294" s="19"/>
    </row>
    <row r="5295">
      <c r="A5295" s="9"/>
      <c r="B5295" s="15"/>
      <c r="C5295" s="9">
        <f>IFERROR(__xludf.DUMMYFUNCTION("""COMPUTED_VALUE"""),45089.0772210995)</f>
        <v>45089.07722</v>
      </c>
      <c r="D5295" s="15">
        <f>IFERROR(__xludf.DUMMYFUNCTION("""COMPUTED_VALUE"""),1.007)</f>
        <v>1.007</v>
      </c>
      <c r="E5295" s="16">
        <f>IFERROR(__xludf.DUMMYFUNCTION("""COMPUTED_VALUE"""),68.0)</f>
        <v>68</v>
      </c>
      <c r="F5295" s="19" t="str">
        <f>IFERROR(__xludf.DUMMYFUNCTION("""COMPUTED_VALUE"""),"BLACK")</f>
        <v>BLACK</v>
      </c>
      <c r="G5295" s="20" t="str">
        <f>IFERROR(__xludf.DUMMYFUNCTION("""COMPUTED_VALUE"""),"Uncle Sams Cider (04/04/2023)")</f>
        <v>Uncle Sams Cider (04/04/2023)</v>
      </c>
      <c r="H5295" s="19"/>
    </row>
    <row r="5296">
      <c r="A5296" s="9"/>
      <c r="B5296" s="15"/>
      <c r="C5296" s="9">
        <f>IFERROR(__xludf.DUMMYFUNCTION("""COMPUTED_VALUE"""),45089.0668013426)</f>
        <v>45089.0668</v>
      </c>
      <c r="D5296" s="15">
        <f>IFERROR(__xludf.DUMMYFUNCTION("""COMPUTED_VALUE"""),1.007)</f>
        <v>1.007</v>
      </c>
      <c r="E5296" s="16">
        <f>IFERROR(__xludf.DUMMYFUNCTION("""COMPUTED_VALUE"""),68.0)</f>
        <v>68</v>
      </c>
      <c r="F5296" s="19" t="str">
        <f>IFERROR(__xludf.DUMMYFUNCTION("""COMPUTED_VALUE"""),"BLACK")</f>
        <v>BLACK</v>
      </c>
      <c r="G5296" s="20" t="str">
        <f>IFERROR(__xludf.DUMMYFUNCTION("""COMPUTED_VALUE"""),"Uncle Sams Cider (04/04/2023)")</f>
        <v>Uncle Sams Cider (04/04/2023)</v>
      </c>
      <c r="H5296" s="19"/>
    </row>
    <row r="5297">
      <c r="A5297" s="9"/>
      <c r="B5297" s="15"/>
      <c r="C5297" s="9">
        <f>IFERROR(__xludf.DUMMYFUNCTION("""COMPUTED_VALUE"""),45089.0563555324)</f>
        <v>45089.05636</v>
      </c>
      <c r="D5297" s="15">
        <f>IFERROR(__xludf.DUMMYFUNCTION("""COMPUTED_VALUE"""),1.007)</f>
        <v>1.007</v>
      </c>
      <c r="E5297" s="16">
        <f>IFERROR(__xludf.DUMMYFUNCTION("""COMPUTED_VALUE"""),68.0)</f>
        <v>68</v>
      </c>
      <c r="F5297" s="19" t="str">
        <f>IFERROR(__xludf.DUMMYFUNCTION("""COMPUTED_VALUE"""),"BLACK")</f>
        <v>BLACK</v>
      </c>
      <c r="G5297" s="20" t="str">
        <f>IFERROR(__xludf.DUMMYFUNCTION("""COMPUTED_VALUE"""),"Uncle Sams Cider (04/04/2023)")</f>
        <v>Uncle Sams Cider (04/04/2023)</v>
      </c>
      <c r="H5297" s="19"/>
    </row>
    <row r="5298">
      <c r="A5298" s="9"/>
      <c r="B5298" s="15"/>
      <c r="C5298" s="9">
        <f>IFERROR(__xludf.DUMMYFUNCTION("""COMPUTED_VALUE"""),45089.0459360995)</f>
        <v>45089.04594</v>
      </c>
      <c r="D5298" s="15">
        <f>IFERROR(__xludf.DUMMYFUNCTION("""COMPUTED_VALUE"""),1.007)</f>
        <v>1.007</v>
      </c>
      <c r="E5298" s="16">
        <f>IFERROR(__xludf.DUMMYFUNCTION("""COMPUTED_VALUE"""),68.0)</f>
        <v>68</v>
      </c>
      <c r="F5298" s="19" t="str">
        <f>IFERROR(__xludf.DUMMYFUNCTION("""COMPUTED_VALUE"""),"BLACK")</f>
        <v>BLACK</v>
      </c>
      <c r="G5298" s="20" t="str">
        <f>IFERROR(__xludf.DUMMYFUNCTION("""COMPUTED_VALUE"""),"Uncle Sams Cider (04/04/2023)")</f>
        <v>Uncle Sams Cider (04/04/2023)</v>
      </c>
      <c r="H5298" s="19"/>
    </row>
    <row r="5299">
      <c r="A5299" s="9"/>
      <c r="B5299" s="15"/>
      <c r="C5299" s="9">
        <f>IFERROR(__xludf.DUMMYFUNCTION("""COMPUTED_VALUE"""),45089.035513993)</f>
        <v>45089.03551</v>
      </c>
      <c r="D5299" s="15">
        <f>IFERROR(__xludf.DUMMYFUNCTION("""COMPUTED_VALUE"""),1.007)</f>
        <v>1.007</v>
      </c>
      <c r="E5299" s="16">
        <f>IFERROR(__xludf.DUMMYFUNCTION("""COMPUTED_VALUE"""),68.0)</f>
        <v>68</v>
      </c>
      <c r="F5299" s="19" t="str">
        <f>IFERROR(__xludf.DUMMYFUNCTION("""COMPUTED_VALUE"""),"BLACK")</f>
        <v>BLACK</v>
      </c>
      <c r="G5299" s="20" t="str">
        <f>IFERROR(__xludf.DUMMYFUNCTION("""COMPUTED_VALUE"""),"Uncle Sams Cider (04/04/2023)")</f>
        <v>Uncle Sams Cider (04/04/2023)</v>
      </c>
      <c r="H5299" s="19"/>
    </row>
    <row r="5300">
      <c r="A5300" s="9"/>
      <c r="B5300" s="15"/>
      <c r="C5300" s="9">
        <f>IFERROR(__xludf.DUMMYFUNCTION("""COMPUTED_VALUE"""),45089.0250909606)</f>
        <v>45089.02509</v>
      </c>
      <c r="D5300" s="15">
        <f>IFERROR(__xludf.DUMMYFUNCTION("""COMPUTED_VALUE"""),1.007)</f>
        <v>1.007</v>
      </c>
      <c r="E5300" s="16">
        <f>IFERROR(__xludf.DUMMYFUNCTION("""COMPUTED_VALUE"""),68.0)</f>
        <v>68</v>
      </c>
      <c r="F5300" s="19" t="str">
        <f>IFERROR(__xludf.DUMMYFUNCTION("""COMPUTED_VALUE"""),"BLACK")</f>
        <v>BLACK</v>
      </c>
      <c r="G5300" s="20" t="str">
        <f>IFERROR(__xludf.DUMMYFUNCTION("""COMPUTED_VALUE"""),"Uncle Sams Cider (04/04/2023)")</f>
        <v>Uncle Sams Cider (04/04/2023)</v>
      </c>
      <c r="H5300" s="19"/>
    </row>
    <row r="5301">
      <c r="A5301" s="9"/>
      <c r="B5301" s="15"/>
      <c r="C5301" s="9">
        <f>IFERROR(__xludf.DUMMYFUNCTION("""COMPUTED_VALUE"""),45089.0146703703)</f>
        <v>45089.01467</v>
      </c>
      <c r="D5301" s="15">
        <f>IFERROR(__xludf.DUMMYFUNCTION("""COMPUTED_VALUE"""),1.007)</f>
        <v>1.007</v>
      </c>
      <c r="E5301" s="16">
        <f>IFERROR(__xludf.DUMMYFUNCTION("""COMPUTED_VALUE"""),68.0)</f>
        <v>68</v>
      </c>
      <c r="F5301" s="19" t="str">
        <f>IFERROR(__xludf.DUMMYFUNCTION("""COMPUTED_VALUE"""),"BLACK")</f>
        <v>BLACK</v>
      </c>
      <c r="G5301" s="20" t="str">
        <f>IFERROR(__xludf.DUMMYFUNCTION("""COMPUTED_VALUE"""),"Uncle Sams Cider (04/04/2023)")</f>
        <v>Uncle Sams Cider (04/04/2023)</v>
      </c>
      <c r="H5301" s="19"/>
    </row>
    <row r="5302">
      <c r="A5302" s="9"/>
      <c r="B5302" s="15"/>
      <c r="C5302" s="9">
        <f>IFERROR(__xludf.DUMMYFUNCTION("""COMPUTED_VALUE"""),45089.0042486458)</f>
        <v>45089.00425</v>
      </c>
      <c r="D5302" s="15">
        <f>IFERROR(__xludf.DUMMYFUNCTION("""COMPUTED_VALUE"""),1.007)</f>
        <v>1.007</v>
      </c>
      <c r="E5302" s="16">
        <f>IFERROR(__xludf.DUMMYFUNCTION("""COMPUTED_VALUE"""),68.0)</f>
        <v>68</v>
      </c>
      <c r="F5302" s="19" t="str">
        <f>IFERROR(__xludf.DUMMYFUNCTION("""COMPUTED_VALUE"""),"BLACK")</f>
        <v>BLACK</v>
      </c>
      <c r="G5302" s="20" t="str">
        <f>IFERROR(__xludf.DUMMYFUNCTION("""COMPUTED_VALUE"""),"Uncle Sams Cider (04/04/2023)")</f>
        <v>Uncle Sams Cider (04/04/2023)</v>
      </c>
      <c r="H5302" s="19"/>
    </row>
    <row r="5303">
      <c r="A5303" s="9"/>
      <c r="B5303" s="15"/>
      <c r="C5303" s="9">
        <f>IFERROR(__xludf.DUMMYFUNCTION("""COMPUTED_VALUE"""),45088.9938277083)</f>
        <v>45088.99383</v>
      </c>
      <c r="D5303" s="15">
        <f>IFERROR(__xludf.DUMMYFUNCTION("""COMPUTED_VALUE"""),1.007)</f>
        <v>1.007</v>
      </c>
      <c r="E5303" s="16">
        <f>IFERROR(__xludf.DUMMYFUNCTION("""COMPUTED_VALUE"""),68.0)</f>
        <v>68</v>
      </c>
      <c r="F5303" s="19" t="str">
        <f>IFERROR(__xludf.DUMMYFUNCTION("""COMPUTED_VALUE"""),"BLACK")</f>
        <v>BLACK</v>
      </c>
      <c r="G5303" s="20" t="str">
        <f>IFERROR(__xludf.DUMMYFUNCTION("""COMPUTED_VALUE"""),"Uncle Sams Cider (04/04/2023)")</f>
        <v>Uncle Sams Cider (04/04/2023)</v>
      </c>
      <c r="H5303" s="19"/>
    </row>
    <row r="5304">
      <c r="A5304" s="9"/>
      <c r="B5304" s="15"/>
      <c r="C5304" s="9">
        <f>IFERROR(__xludf.DUMMYFUNCTION("""COMPUTED_VALUE"""),45088.9834060185)</f>
        <v>45088.98341</v>
      </c>
      <c r="D5304" s="15">
        <f>IFERROR(__xludf.DUMMYFUNCTION("""COMPUTED_VALUE"""),1.007)</f>
        <v>1.007</v>
      </c>
      <c r="E5304" s="16">
        <f>IFERROR(__xludf.DUMMYFUNCTION("""COMPUTED_VALUE"""),68.0)</f>
        <v>68</v>
      </c>
      <c r="F5304" s="19" t="str">
        <f>IFERROR(__xludf.DUMMYFUNCTION("""COMPUTED_VALUE"""),"BLACK")</f>
        <v>BLACK</v>
      </c>
      <c r="G5304" s="20" t="str">
        <f>IFERROR(__xludf.DUMMYFUNCTION("""COMPUTED_VALUE"""),"Uncle Sams Cider (04/04/2023)")</f>
        <v>Uncle Sams Cider (04/04/2023)</v>
      </c>
      <c r="H5304" s="19"/>
    </row>
    <row r="5305">
      <c r="A5305" s="9"/>
      <c r="B5305" s="15"/>
      <c r="C5305" s="9">
        <f>IFERROR(__xludf.DUMMYFUNCTION("""COMPUTED_VALUE"""),45088.9729849305)</f>
        <v>45088.97298</v>
      </c>
      <c r="D5305" s="15">
        <f>IFERROR(__xludf.DUMMYFUNCTION("""COMPUTED_VALUE"""),1.007)</f>
        <v>1.007</v>
      </c>
      <c r="E5305" s="16">
        <f>IFERROR(__xludf.DUMMYFUNCTION("""COMPUTED_VALUE"""),68.0)</f>
        <v>68</v>
      </c>
      <c r="F5305" s="19" t="str">
        <f>IFERROR(__xludf.DUMMYFUNCTION("""COMPUTED_VALUE"""),"BLACK")</f>
        <v>BLACK</v>
      </c>
      <c r="G5305" s="20" t="str">
        <f>IFERROR(__xludf.DUMMYFUNCTION("""COMPUTED_VALUE"""),"Uncle Sams Cider (04/04/2023)")</f>
        <v>Uncle Sams Cider (04/04/2023)</v>
      </c>
      <c r="H5305" s="19"/>
    </row>
    <row r="5306">
      <c r="A5306" s="9"/>
      <c r="B5306" s="15"/>
      <c r="C5306" s="9">
        <f>IFERROR(__xludf.DUMMYFUNCTION("""COMPUTED_VALUE"""),45088.9521425578)</f>
        <v>45088.95214</v>
      </c>
      <c r="D5306" s="15">
        <f>IFERROR(__xludf.DUMMYFUNCTION("""COMPUTED_VALUE"""),1.007)</f>
        <v>1.007</v>
      </c>
      <c r="E5306" s="16">
        <f>IFERROR(__xludf.DUMMYFUNCTION("""COMPUTED_VALUE"""),68.0)</f>
        <v>68</v>
      </c>
      <c r="F5306" s="19" t="str">
        <f>IFERROR(__xludf.DUMMYFUNCTION("""COMPUTED_VALUE"""),"BLACK")</f>
        <v>BLACK</v>
      </c>
      <c r="G5306" s="20" t="str">
        <f>IFERROR(__xludf.DUMMYFUNCTION("""COMPUTED_VALUE"""),"Uncle Sams Cider (04/04/2023)")</f>
        <v>Uncle Sams Cider (04/04/2023)</v>
      </c>
      <c r="H5306" s="19"/>
    </row>
    <row r="5307">
      <c r="A5307" s="9"/>
      <c r="B5307" s="15"/>
      <c r="C5307" s="9">
        <f>IFERROR(__xludf.DUMMYFUNCTION("""COMPUTED_VALUE"""),45088.9417097801)</f>
        <v>45088.94171</v>
      </c>
      <c r="D5307" s="15">
        <f>IFERROR(__xludf.DUMMYFUNCTION("""COMPUTED_VALUE"""),1.007)</f>
        <v>1.007</v>
      </c>
      <c r="E5307" s="16">
        <f>IFERROR(__xludf.DUMMYFUNCTION("""COMPUTED_VALUE"""),68.0)</f>
        <v>68</v>
      </c>
      <c r="F5307" s="19" t="str">
        <f>IFERROR(__xludf.DUMMYFUNCTION("""COMPUTED_VALUE"""),"BLACK")</f>
        <v>BLACK</v>
      </c>
      <c r="G5307" s="20" t="str">
        <f>IFERROR(__xludf.DUMMYFUNCTION("""COMPUTED_VALUE"""),"Uncle Sams Cider (04/04/2023)")</f>
        <v>Uncle Sams Cider (04/04/2023)</v>
      </c>
      <c r="H5307" s="19"/>
    </row>
    <row r="5308">
      <c r="A5308" s="9"/>
      <c r="B5308" s="15"/>
      <c r="C5308" s="9">
        <f>IFERROR(__xludf.DUMMYFUNCTION("""COMPUTED_VALUE"""),45088.9312901736)</f>
        <v>45088.93129</v>
      </c>
      <c r="D5308" s="15">
        <f>IFERROR(__xludf.DUMMYFUNCTION("""COMPUTED_VALUE"""),1.007)</f>
        <v>1.007</v>
      </c>
      <c r="E5308" s="16">
        <f>IFERROR(__xludf.DUMMYFUNCTION("""COMPUTED_VALUE"""),68.0)</f>
        <v>68</v>
      </c>
      <c r="F5308" s="19" t="str">
        <f>IFERROR(__xludf.DUMMYFUNCTION("""COMPUTED_VALUE"""),"BLACK")</f>
        <v>BLACK</v>
      </c>
      <c r="G5308" s="20" t="str">
        <f>IFERROR(__xludf.DUMMYFUNCTION("""COMPUTED_VALUE"""),"Uncle Sams Cider (04/04/2023)")</f>
        <v>Uncle Sams Cider (04/04/2023)</v>
      </c>
      <c r="H5308" s="19"/>
    </row>
    <row r="5309">
      <c r="A5309" s="9"/>
      <c r="B5309" s="15"/>
      <c r="C5309" s="9">
        <f>IFERROR(__xludf.DUMMYFUNCTION("""COMPUTED_VALUE"""),45088.9208683217)</f>
        <v>45088.92087</v>
      </c>
      <c r="D5309" s="15">
        <f>IFERROR(__xludf.DUMMYFUNCTION("""COMPUTED_VALUE"""),1.007)</f>
        <v>1.007</v>
      </c>
      <c r="E5309" s="16">
        <f>IFERROR(__xludf.DUMMYFUNCTION("""COMPUTED_VALUE"""),68.0)</f>
        <v>68</v>
      </c>
      <c r="F5309" s="19" t="str">
        <f>IFERROR(__xludf.DUMMYFUNCTION("""COMPUTED_VALUE"""),"BLACK")</f>
        <v>BLACK</v>
      </c>
      <c r="G5309" s="20" t="str">
        <f>IFERROR(__xludf.DUMMYFUNCTION("""COMPUTED_VALUE"""),"Uncle Sams Cider (04/04/2023)")</f>
        <v>Uncle Sams Cider (04/04/2023)</v>
      </c>
      <c r="H5309" s="19"/>
    </row>
    <row r="5310">
      <c r="A5310" s="9"/>
      <c r="B5310" s="15"/>
      <c r="C5310" s="9">
        <f>IFERROR(__xludf.DUMMYFUNCTION("""COMPUTED_VALUE"""),45088.9104485069)</f>
        <v>45088.91045</v>
      </c>
      <c r="D5310" s="15">
        <f>IFERROR(__xludf.DUMMYFUNCTION("""COMPUTED_VALUE"""),1.007)</f>
        <v>1.007</v>
      </c>
      <c r="E5310" s="16">
        <f>IFERROR(__xludf.DUMMYFUNCTION("""COMPUTED_VALUE"""),68.0)</f>
        <v>68</v>
      </c>
      <c r="F5310" s="19" t="str">
        <f>IFERROR(__xludf.DUMMYFUNCTION("""COMPUTED_VALUE"""),"BLACK")</f>
        <v>BLACK</v>
      </c>
      <c r="G5310" s="20" t="str">
        <f>IFERROR(__xludf.DUMMYFUNCTION("""COMPUTED_VALUE"""),"Uncle Sams Cider (04/04/2023)")</f>
        <v>Uncle Sams Cider (04/04/2023)</v>
      </c>
      <c r="H5310" s="19"/>
    </row>
    <row r="5311">
      <c r="A5311" s="9"/>
      <c r="B5311" s="15"/>
      <c r="C5311" s="9">
        <f>IFERROR(__xludf.DUMMYFUNCTION("""COMPUTED_VALUE"""),45088.9000274305)</f>
        <v>45088.90003</v>
      </c>
      <c r="D5311" s="15">
        <f>IFERROR(__xludf.DUMMYFUNCTION("""COMPUTED_VALUE"""),1.007)</f>
        <v>1.007</v>
      </c>
      <c r="E5311" s="16">
        <f>IFERROR(__xludf.DUMMYFUNCTION("""COMPUTED_VALUE"""),68.0)</f>
        <v>68</v>
      </c>
      <c r="F5311" s="19" t="str">
        <f>IFERROR(__xludf.DUMMYFUNCTION("""COMPUTED_VALUE"""),"BLACK")</f>
        <v>BLACK</v>
      </c>
      <c r="G5311" s="20" t="str">
        <f>IFERROR(__xludf.DUMMYFUNCTION("""COMPUTED_VALUE"""),"Uncle Sams Cider (04/04/2023)")</f>
        <v>Uncle Sams Cider (04/04/2023)</v>
      </c>
      <c r="H5311" s="19"/>
    </row>
    <row r="5312">
      <c r="A5312" s="9"/>
      <c r="B5312" s="15"/>
      <c r="C5312" s="9">
        <f>IFERROR(__xludf.DUMMYFUNCTION("""COMPUTED_VALUE"""),45088.889607199)</f>
        <v>45088.88961</v>
      </c>
      <c r="D5312" s="15">
        <f>IFERROR(__xludf.DUMMYFUNCTION("""COMPUTED_VALUE"""),1.007)</f>
        <v>1.007</v>
      </c>
      <c r="E5312" s="16">
        <f>IFERROR(__xludf.DUMMYFUNCTION("""COMPUTED_VALUE"""),68.0)</f>
        <v>68</v>
      </c>
      <c r="F5312" s="19" t="str">
        <f>IFERROR(__xludf.DUMMYFUNCTION("""COMPUTED_VALUE"""),"BLACK")</f>
        <v>BLACK</v>
      </c>
      <c r="G5312" s="20" t="str">
        <f>IFERROR(__xludf.DUMMYFUNCTION("""COMPUTED_VALUE"""),"Uncle Sams Cider (04/04/2023)")</f>
        <v>Uncle Sams Cider (04/04/2023)</v>
      </c>
      <c r="H5312" s="19"/>
    </row>
    <row r="5313">
      <c r="A5313" s="9"/>
      <c r="B5313" s="15"/>
      <c r="C5313" s="9">
        <f>IFERROR(__xludf.DUMMYFUNCTION("""COMPUTED_VALUE"""),45088.8791866319)</f>
        <v>45088.87919</v>
      </c>
      <c r="D5313" s="15">
        <f>IFERROR(__xludf.DUMMYFUNCTION("""COMPUTED_VALUE"""),1.007)</f>
        <v>1.007</v>
      </c>
      <c r="E5313" s="16">
        <f>IFERROR(__xludf.DUMMYFUNCTION("""COMPUTED_VALUE"""),68.0)</f>
        <v>68</v>
      </c>
      <c r="F5313" s="19" t="str">
        <f>IFERROR(__xludf.DUMMYFUNCTION("""COMPUTED_VALUE"""),"BLACK")</f>
        <v>BLACK</v>
      </c>
      <c r="G5313" s="20" t="str">
        <f>IFERROR(__xludf.DUMMYFUNCTION("""COMPUTED_VALUE"""),"Uncle Sams Cider (04/04/2023)")</f>
        <v>Uncle Sams Cider (04/04/2023)</v>
      </c>
      <c r="H5313" s="19"/>
    </row>
    <row r="5314">
      <c r="A5314" s="9"/>
      <c r="B5314" s="15"/>
      <c r="C5314" s="9">
        <f>IFERROR(__xludf.DUMMYFUNCTION("""COMPUTED_VALUE"""),45088.8687632986)</f>
        <v>45088.86876</v>
      </c>
      <c r="D5314" s="15">
        <f>IFERROR(__xludf.DUMMYFUNCTION("""COMPUTED_VALUE"""),1.007)</f>
        <v>1.007</v>
      </c>
      <c r="E5314" s="16">
        <f>IFERROR(__xludf.DUMMYFUNCTION("""COMPUTED_VALUE"""),68.0)</f>
        <v>68</v>
      </c>
      <c r="F5314" s="19" t="str">
        <f>IFERROR(__xludf.DUMMYFUNCTION("""COMPUTED_VALUE"""),"BLACK")</f>
        <v>BLACK</v>
      </c>
      <c r="G5314" s="20" t="str">
        <f>IFERROR(__xludf.DUMMYFUNCTION("""COMPUTED_VALUE"""),"Uncle Sams Cider (04/04/2023)")</f>
        <v>Uncle Sams Cider (04/04/2023)</v>
      </c>
      <c r="H5314" s="19"/>
    </row>
    <row r="5315">
      <c r="A5315" s="9"/>
      <c r="B5315" s="15"/>
      <c r="C5315" s="9">
        <f>IFERROR(__xludf.DUMMYFUNCTION("""COMPUTED_VALUE"""),45088.8583322685)</f>
        <v>45088.85833</v>
      </c>
      <c r="D5315" s="15">
        <f>IFERROR(__xludf.DUMMYFUNCTION("""COMPUTED_VALUE"""),1.007)</f>
        <v>1.007</v>
      </c>
      <c r="E5315" s="16">
        <f>IFERROR(__xludf.DUMMYFUNCTION("""COMPUTED_VALUE"""),68.0)</f>
        <v>68</v>
      </c>
      <c r="F5315" s="19" t="str">
        <f>IFERROR(__xludf.DUMMYFUNCTION("""COMPUTED_VALUE"""),"BLACK")</f>
        <v>BLACK</v>
      </c>
      <c r="G5315" s="20" t="str">
        <f>IFERROR(__xludf.DUMMYFUNCTION("""COMPUTED_VALUE"""),"Uncle Sams Cider (04/04/2023)")</f>
        <v>Uncle Sams Cider (04/04/2023)</v>
      </c>
      <c r="H5315" s="19"/>
    </row>
    <row r="5316">
      <c r="A5316" s="9"/>
      <c r="B5316" s="15"/>
      <c r="C5316" s="9">
        <f>IFERROR(__xludf.DUMMYFUNCTION("""COMPUTED_VALUE"""),45088.8479128819)</f>
        <v>45088.84791</v>
      </c>
      <c r="D5316" s="15">
        <f>IFERROR(__xludf.DUMMYFUNCTION("""COMPUTED_VALUE"""),1.007)</f>
        <v>1.007</v>
      </c>
      <c r="E5316" s="16">
        <f>IFERROR(__xludf.DUMMYFUNCTION("""COMPUTED_VALUE"""),68.0)</f>
        <v>68</v>
      </c>
      <c r="F5316" s="19" t="str">
        <f>IFERROR(__xludf.DUMMYFUNCTION("""COMPUTED_VALUE"""),"BLACK")</f>
        <v>BLACK</v>
      </c>
      <c r="G5316" s="20" t="str">
        <f>IFERROR(__xludf.DUMMYFUNCTION("""COMPUTED_VALUE"""),"Uncle Sams Cider (04/04/2023)")</f>
        <v>Uncle Sams Cider (04/04/2023)</v>
      </c>
      <c r="H5316" s="19"/>
    </row>
    <row r="5317">
      <c r="A5317" s="9"/>
      <c r="B5317" s="15"/>
      <c r="C5317" s="9">
        <f>IFERROR(__xludf.DUMMYFUNCTION("""COMPUTED_VALUE"""),45088.8374812037)</f>
        <v>45088.83748</v>
      </c>
      <c r="D5317" s="15">
        <f>IFERROR(__xludf.DUMMYFUNCTION("""COMPUTED_VALUE"""),1.007)</f>
        <v>1.007</v>
      </c>
      <c r="E5317" s="16">
        <f>IFERROR(__xludf.DUMMYFUNCTION("""COMPUTED_VALUE"""),68.0)</f>
        <v>68</v>
      </c>
      <c r="F5317" s="19" t="str">
        <f>IFERROR(__xludf.DUMMYFUNCTION("""COMPUTED_VALUE"""),"BLACK")</f>
        <v>BLACK</v>
      </c>
      <c r="G5317" s="20" t="str">
        <f>IFERROR(__xludf.DUMMYFUNCTION("""COMPUTED_VALUE"""),"Uncle Sams Cider (04/04/2023)")</f>
        <v>Uncle Sams Cider (04/04/2023)</v>
      </c>
      <c r="H5317" s="19"/>
    </row>
    <row r="5318">
      <c r="A5318" s="9"/>
      <c r="B5318" s="15"/>
      <c r="C5318" s="9">
        <f>IFERROR(__xludf.DUMMYFUNCTION("""COMPUTED_VALUE"""),45088.8270483449)</f>
        <v>45088.82705</v>
      </c>
      <c r="D5318" s="15">
        <f>IFERROR(__xludf.DUMMYFUNCTION("""COMPUTED_VALUE"""),1.007)</f>
        <v>1.007</v>
      </c>
      <c r="E5318" s="16">
        <f>IFERROR(__xludf.DUMMYFUNCTION("""COMPUTED_VALUE"""),68.0)</f>
        <v>68</v>
      </c>
      <c r="F5318" s="19" t="str">
        <f>IFERROR(__xludf.DUMMYFUNCTION("""COMPUTED_VALUE"""),"BLACK")</f>
        <v>BLACK</v>
      </c>
      <c r="G5318" s="20" t="str">
        <f>IFERROR(__xludf.DUMMYFUNCTION("""COMPUTED_VALUE"""),"Uncle Sams Cider (04/04/2023)")</f>
        <v>Uncle Sams Cider (04/04/2023)</v>
      </c>
      <c r="H5318" s="19"/>
    </row>
    <row r="5319">
      <c r="A5319" s="9"/>
      <c r="B5319" s="15"/>
      <c r="C5319" s="9">
        <f>IFERROR(__xludf.DUMMYFUNCTION("""COMPUTED_VALUE"""),45088.816628206)</f>
        <v>45088.81663</v>
      </c>
      <c r="D5319" s="15">
        <f>IFERROR(__xludf.DUMMYFUNCTION("""COMPUTED_VALUE"""),1.007)</f>
        <v>1.007</v>
      </c>
      <c r="E5319" s="16">
        <f>IFERROR(__xludf.DUMMYFUNCTION("""COMPUTED_VALUE"""),68.0)</f>
        <v>68</v>
      </c>
      <c r="F5319" s="19" t="str">
        <f>IFERROR(__xludf.DUMMYFUNCTION("""COMPUTED_VALUE"""),"BLACK")</f>
        <v>BLACK</v>
      </c>
      <c r="G5319" s="20" t="str">
        <f>IFERROR(__xludf.DUMMYFUNCTION("""COMPUTED_VALUE"""),"Uncle Sams Cider (04/04/2023)")</f>
        <v>Uncle Sams Cider (04/04/2023)</v>
      </c>
      <c r="H5319" s="19"/>
    </row>
    <row r="5320">
      <c r="A5320" s="9"/>
      <c r="B5320" s="15"/>
      <c r="C5320" s="9">
        <f>IFERROR(__xludf.DUMMYFUNCTION("""COMPUTED_VALUE"""),45088.8062057638)</f>
        <v>45088.80621</v>
      </c>
      <c r="D5320" s="15">
        <f>IFERROR(__xludf.DUMMYFUNCTION("""COMPUTED_VALUE"""),1.007)</f>
        <v>1.007</v>
      </c>
      <c r="E5320" s="16">
        <f>IFERROR(__xludf.DUMMYFUNCTION("""COMPUTED_VALUE"""),68.0)</f>
        <v>68</v>
      </c>
      <c r="F5320" s="19" t="str">
        <f>IFERROR(__xludf.DUMMYFUNCTION("""COMPUTED_VALUE"""),"BLACK")</f>
        <v>BLACK</v>
      </c>
      <c r="G5320" s="20" t="str">
        <f>IFERROR(__xludf.DUMMYFUNCTION("""COMPUTED_VALUE"""),"Uncle Sams Cider (04/04/2023)")</f>
        <v>Uncle Sams Cider (04/04/2023)</v>
      </c>
      <c r="H5320" s="19"/>
    </row>
    <row r="5321">
      <c r="A5321" s="9"/>
      <c r="B5321" s="15"/>
      <c r="C5321" s="9">
        <f>IFERROR(__xludf.DUMMYFUNCTION("""COMPUTED_VALUE"""),45088.795785)</f>
        <v>45088.79579</v>
      </c>
      <c r="D5321" s="15">
        <f>IFERROR(__xludf.DUMMYFUNCTION("""COMPUTED_VALUE"""),1.007)</f>
        <v>1.007</v>
      </c>
      <c r="E5321" s="16">
        <f>IFERROR(__xludf.DUMMYFUNCTION("""COMPUTED_VALUE"""),68.0)</f>
        <v>68</v>
      </c>
      <c r="F5321" s="19" t="str">
        <f>IFERROR(__xludf.DUMMYFUNCTION("""COMPUTED_VALUE"""),"BLACK")</f>
        <v>BLACK</v>
      </c>
      <c r="G5321" s="20" t="str">
        <f>IFERROR(__xludf.DUMMYFUNCTION("""COMPUTED_VALUE"""),"Uncle Sams Cider (04/04/2023)")</f>
        <v>Uncle Sams Cider (04/04/2023)</v>
      </c>
      <c r="H5321" s="19"/>
    </row>
    <row r="5322">
      <c r="A5322" s="9"/>
      <c r="B5322" s="15"/>
      <c r="C5322" s="9">
        <f>IFERROR(__xludf.DUMMYFUNCTION("""COMPUTED_VALUE"""),45088.785351493)</f>
        <v>45088.78535</v>
      </c>
      <c r="D5322" s="15">
        <f>IFERROR(__xludf.DUMMYFUNCTION("""COMPUTED_VALUE"""),1.007)</f>
        <v>1.007</v>
      </c>
      <c r="E5322" s="16">
        <f>IFERROR(__xludf.DUMMYFUNCTION("""COMPUTED_VALUE"""),68.0)</f>
        <v>68</v>
      </c>
      <c r="F5322" s="19" t="str">
        <f>IFERROR(__xludf.DUMMYFUNCTION("""COMPUTED_VALUE"""),"BLACK")</f>
        <v>BLACK</v>
      </c>
      <c r="G5322" s="20" t="str">
        <f>IFERROR(__xludf.DUMMYFUNCTION("""COMPUTED_VALUE"""),"Uncle Sams Cider (04/04/2023)")</f>
        <v>Uncle Sams Cider (04/04/2023)</v>
      </c>
      <c r="H5322" s="19"/>
    </row>
    <row r="5323">
      <c r="A5323" s="9"/>
      <c r="B5323" s="15"/>
      <c r="C5323" s="9">
        <f>IFERROR(__xludf.DUMMYFUNCTION("""COMPUTED_VALUE"""),45088.7749311226)</f>
        <v>45088.77493</v>
      </c>
      <c r="D5323" s="15">
        <f>IFERROR(__xludf.DUMMYFUNCTION("""COMPUTED_VALUE"""),1.007)</f>
        <v>1.007</v>
      </c>
      <c r="E5323" s="16">
        <f>IFERROR(__xludf.DUMMYFUNCTION("""COMPUTED_VALUE"""),68.0)</f>
        <v>68</v>
      </c>
      <c r="F5323" s="19" t="str">
        <f>IFERROR(__xludf.DUMMYFUNCTION("""COMPUTED_VALUE"""),"BLACK")</f>
        <v>BLACK</v>
      </c>
      <c r="G5323" s="20" t="str">
        <f>IFERROR(__xludf.DUMMYFUNCTION("""COMPUTED_VALUE"""),"Uncle Sams Cider (04/04/2023)")</f>
        <v>Uncle Sams Cider (04/04/2023)</v>
      </c>
      <c r="H5323" s="19"/>
    </row>
    <row r="5324">
      <c r="A5324" s="9"/>
      <c r="B5324" s="15"/>
      <c r="C5324" s="9">
        <f>IFERROR(__xludf.DUMMYFUNCTION("""COMPUTED_VALUE"""),45088.7645114814)</f>
        <v>45088.76451</v>
      </c>
      <c r="D5324" s="15">
        <f>IFERROR(__xludf.DUMMYFUNCTION("""COMPUTED_VALUE"""),1.007)</f>
        <v>1.007</v>
      </c>
      <c r="E5324" s="16">
        <f>IFERROR(__xludf.DUMMYFUNCTION("""COMPUTED_VALUE"""),68.0)</f>
        <v>68</v>
      </c>
      <c r="F5324" s="19" t="str">
        <f>IFERROR(__xludf.DUMMYFUNCTION("""COMPUTED_VALUE"""),"BLACK")</f>
        <v>BLACK</v>
      </c>
      <c r="G5324" s="20" t="str">
        <f>IFERROR(__xludf.DUMMYFUNCTION("""COMPUTED_VALUE"""),"Uncle Sams Cider (04/04/2023)")</f>
        <v>Uncle Sams Cider (04/04/2023)</v>
      </c>
      <c r="H5324" s="19"/>
    </row>
    <row r="5325">
      <c r="A5325" s="9"/>
      <c r="B5325" s="15"/>
      <c r="C5325" s="9">
        <f>IFERROR(__xludf.DUMMYFUNCTION("""COMPUTED_VALUE"""),45088.7540881018)</f>
        <v>45088.75409</v>
      </c>
      <c r="D5325" s="15">
        <f>IFERROR(__xludf.DUMMYFUNCTION("""COMPUTED_VALUE"""),1.007)</f>
        <v>1.007</v>
      </c>
      <c r="E5325" s="16">
        <f>IFERROR(__xludf.DUMMYFUNCTION("""COMPUTED_VALUE"""),68.0)</f>
        <v>68</v>
      </c>
      <c r="F5325" s="19" t="str">
        <f>IFERROR(__xludf.DUMMYFUNCTION("""COMPUTED_VALUE"""),"BLACK")</f>
        <v>BLACK</v>
      </c>
      <c r="G5325" s="20" t="str">
        <f>IFERROR(__xludf.DUMMYFUNCTION("""COMPUTED_VALUE"""),"Uncle Sams Cider (04/04/2023)")</f>
        <v>Uncle Sams Cider (04/04/2023)</v>
      </c>
      <c r="H5325" s="19"/>
    </row>
    <row r="5326">
      <c r="A5326" s="9"/>
      <c r="B5326" s="15"/>
      <c r="C5326" s="9">
        <f>IFERROR(__xludf.DUMMYFUNCTION("""COMPUTED_VALUE"""),45088.7436648726)</f>
        <v>45088.74366</v>
      </c>
      <c r="D5326" s="15">
        <f>IFERROR(__xludf.DUMMYFUNCTION("""COMPUTED_VALUE"""),1.007)</f>
        <v>1.007</v>
      </c>
      <c r="E5326" s="16">
        <f>IFERROR(__xludf.DUMMYFUNCTION("""COMPUTED_VALUE"""),68.0)</f>
        <v>68</v>
      </c>
      <c r="F5326" s="19" t="str">
        <f>IFERROR(__xludf.DUMMYFUNCTION("""COMPUTED_VALUE"""),"BLACK")</f>
        <v>BLACK</v>
      </c>
      <c r="G5326" s="20" t="str">
        <f>IFERROR(__xludf.DUMMYFUNCTION("""COMPUTED_VALUE"""),"Uncle Sams Cider (04/04/2023)")</f>
        <v>Uncle Sams Cider (04/04/2023)</v>
      </c>
      <c r="H5326" s="19"/>
    </row>
    <row r="5327">
      <c r="A5327" s="9"/>
      <c r="B5327" s="15"/>
      <c r="C5327" s="9">
        <f>IFERROR(__xludf.DUMMYFUNCTION("""COMPUTED_VALUE"""),45088.7332319097)</f>
        <v>45088.73323</v>
      </c>
      <c r="D5327" s="15">
        <f>IFERROR(__xludf.DUMMYFUNCTION("""COMPUTED_VALUE"""),1.007)</f>
        <v>1.007</v>
      </c>
      <c r="E5327" s="16">
        <f>IFERROR(__xludf.DUMMYFUNCTION("""COMPUTED_VALUE"""),68.0)</f>
        <v>68</v>
      </c>
      <c r="F5327" s="19" t="str">
        <f>IFERROR(__xludf.DUMMYFUNCTION("""COMPUTED_VALUE"""),"BLACK")</f>
        <v>BLACK</v>
      </c>
      <c r="G5327" s="20" t="str">
        <f>IFERROR(__xludf.DUMMYFUNCTION("""COMPUTED_VALUE"""),"Uncle Sams Cider (04/04/2023)")</f>
        <v>Uncle Sams Cider (04/04/2023)</v>
      </c>
      <c r="H5327" s="19"/>
    </row>
    <row r="5328">
      <c r="A5328" s="9"/>
      <c r="B5328" s="15"/>
      <c r="C5328" s="9">
        <f>IFERROR(__xludf.DUMMYFUNCTION("""COMPUTED_VALUE"""),45088.7228127314)</f>
        <v>45088.72281</v>
      </c>
      <c r="D5328" s="15">
        <f>IFERROR(__xludf.DUMMYFUNCTION("""COMPUTED_VALUE"""),1.007)</f>
        <v>1.007</v>
      </c>
      <c r="E5328" s="16">
        <f>IFERROR(__xludf.DUMMYFUNCTION("""COMPUTED_VALUE"""),68.0)</f>
        <v>68</v>
      </c>
      <c r="F5328" s="19" t="str">
        <f>IFERROR(__xludf.DUMMYFUNCTION("""COMPUTED_VALUE"""),"BLACK")</f>
        <v>BLACK</v>
      </c>
      <c r="G5328" s="20" t="str">
        <f>IFERROR(__xludf.DUMMYFUNCTION("""COMPUTED_VALUE"""),"Uncle Sams Cider (04/04/2023)")</f>
        <v>Uncle Sams Cider (04/04/2023)</v>
      </c>
      <c r="H5328" s="19"/>
    </row>
    <row r="5329">
      <c r="A5329" s="9"/>
      <c r="B5329" s="15"/>
      <c r="C5329" s="9">
        <f>IFERROR(__xludf.DUMMYFUNCTION("""COMPUTED_VALUE"""),45088.7123910879)</f>
        <v>45088.71239</v>
      </c>
      <c r="D5329" s="15">
        <f>IFERROR(__xludf.DUMMYFUNCTION("""COMPUTED_VALUE"""),1.007)</f>
        <v>1.007</v>
      </c>
      <c r="E5329" s="16">
        <f>IFERROR(__xludf.DUMMYFUNCTION("""COMPUTED_VALUE"""),68.0)</f>
        <v>68</v>
      </c>
      <c r="F5329" s="19" t="str">
        <f>IFERROR(__xludf.DUMMYFUNCTION("""COMPUTED_VALUE"""),"BLACK")</f>
        <v>BLACK</v>
      </c>
      <c r="G5329" s="20" t="str">
        <f>IFERROR(__xludf.DUMMYFUNCTION("""COMPUTED_VALUE"""),"Uncle Sams Cider (04/04/2023)")</f>
        <v>Uncle Sams Cider (04/04/2023)</v>
      </c>
      <c r="H5329" s="19"/>
    </row>
    <row r="5330">
      <c r="A5330" s="9"/>
      <c r="B5330" s="15"/>
      <c r="C5330" s="9">
        <f>IFERROR(__xludf.DUMMYFUNCTION("""COMPUTED_VALUE"""),45088.7019581481)</f>
        <v>45088.70196</v>
      </c>
      <c r="D5330" s="15">
        <f>IFERROR(__xludf.DUMMYFUNCTION("""COMPUTED_VALUE"""),1.007)</f>
        <v>1.007</v>
      </c>
      <c r="E5330" s="16">
        <f>IFERROR(__xludf.DUMMYFUNCTION("""COMPUTED_VALUE"""),68.0)</f>
        <v>68</v>
      </c>
      <c r="F5330" s="19" t="str">
        <f>IFERROR(__xludf.DUMMYFUNCTION("""COMPUTED_VALUE"""),"BLACK")</f>
        <v>BLACK</v>
      </c>
      <c r="G5330" s="20" t="str">
        <f>IFERROR(__xludf.DUMMYFUNCTION("""COMPUTED_VALUE"""),"Uncle Sams Cider (04/04/2023)")</f>
        <v>Uncle Sams Cider (04/04/2023)</v>
      </c>
      <c r="H5330" s="19"/>
    </row>
    <row r="5331">
      <c r="A5331" s="9"/>
      <c r="B5331" s="15"/>
      <c r="C5331" s="9">
        <f>IFERROR(__xludf.DUMMYFUNCTION("""COMPUTED_VALUE"""),45088.6915373495)</f>
        <v>45088.69154</v>
      </c>
      <c r="D5331" s="15">
        <f>IFERROR(__xludf.DUMMYFUNCTION("""COMPUTED_VALUE"""),1.007)</f>
        <v>1.007</v>
      </c>
      <c r="E5331" s="16">
        <f>IFERROR(__xludf.DUMMYFUNCTION("""COMPUTED_VALUE"""),68.0)</f>
        <v>68</v>
      </c>
      <c r="F5331" s="19" t="str">
        <f>IFERROR(__xludf.DUMMYFUNCTION("""COMPUTED_VALUE"""),"BLACK")</f>
        <v>BLACK</v>
      </c>
      <c r="G5331" s="20" t="str">
        <f>IFERROR(__xludf.DUMMYFUNCTION("""COMPUTED_VALUE"""),"Uncle Sams Cider (04/04/2023)")</f>
        <v>Uncle Sams Cider (04/04/2023)</v>
      </c>
      <c r="H5331" s="19"/>
    </row>
    <row r="5332">
      <c r="A5332" s="9"/>
      <c r="B5332" s="15"/>
      <c r="C5332" s="9">
        <f>IFERROR(__xludf.DUMMYFUNCTION("""COMPUTED_VALUE"""),45088.6811048611)</f>
        <v>45088.6811</v>
      </c>
      <c r="D5332" s="15">
        <f>IFERROR(__xludf.DUMMYFUNCTION("""COMPUTED_VALUE"""),1.007)</f>
        <v>1.007</v>
      </c>
      <c r="E5332" s="16">
        <f>IFERROR(__xludf.DUMMYFUNCTION("""COMPUTED_VALUE"""),68.0)</f>
        <v>68</v>
      </c>
      <c r="F5332" s="19" t="str">
        <f>IFERROR(__xludf.DUMMYFUNCTION("""COMPUTED_VALUE"""),"BLACK")</f>
        <v>BLACK</v>
      </c>
      <c r="G5332" s="20" t="str">
        <f>IFERROR(__xludf.DUMMYFUNCTION("""COMPUTED_VALUE"""),"Uncle Sams Cider (04/04/2023)")</f>
        <v>Uncle Sams Cider (04/04/2023)</v>
      </c>
      <c r="H5332" s="19"/>
    </row>
    <row r="5333">
      <c r="A5333" s="9"/>
      <c r="B5333" s="15"/>
      <c r="C5333" s="9">
        <f>IFERROR(__xludf.DUMMYFUNCTION("""COMPUTED_VALUE"""),45088.6706830787)</f>
        <v>45088.67068</v>
      </c>
      <c r="D5333" s="15">
        <f>IFERROR(__xludf.DUMMYFUNCTION("""COMPUTED_VALUE"""),1.007)</f>
        <v>1.007</v>
      </c>
      <c r="E5333" s="16">
        <f>IFERROR(__xludf.DUMMYFUNCTION("""COMPUTED_VALUE"""),68.0)</f>
        <v>68</v>
      </c>
      <c r="F5333" s="19" t="str">
        <f>IFERROR(__xludf.DUMMYFUNCTION("""COMPUTED_VALUE"""),"BLACK")</f>
        <v>BLACK</v>
      </c>
      <c r="G5333" s="20" t="str">
        <f>IFERROR(__xludf.DUMMYFUNCTION("""COMPUTED_VALUE"""),"Uncle Sams Cider (04/04/2023)")</f>
        <v>Uncle Sams Cider (04/04/2023)</v>
      </c>
      <c r="H5333" s="19"/>
    </row>
    <row r="5334">
      <c r="A5334" s="9"/>
      <c r="B5334" s="15"/>
      <c r="C5334" s="9">
        <f>IFERROR(__xludf.DUMMYFUNCTION("""COMPUTED_VALUE"""),45088.6602519907)</f>
        <v>45088.66025</v>
      </c>
      <c r="D5334" s="15">
        <f>IFERROR(__xludf.DUMMYFUNCTION("""COMPUTED_VALUE"""),1.007)</f>
        <v>1.007</v>
      </c>
      <c r="E5334" s="16">
        <f>IFERROR(__xludf.DUMMYFUNCTION("""COMPUTED_VALUE"""),68.0)</f>
        <v>68</v>
      </c>
      <c r="F5334" s="19" t="str">
        <f>IFERROR(__xludf.DUMMYFUNCTION("""COMPUTED_VALUE"""),"BLACK")</f>
        <v>BLACK</v>
      </c>
      <c r="G5334" s="20" t="str">
        <f>IFERROR(__xludf.DUMMYFUNCTION("""COMPUTED_VALUE"""),"Uncle Sams Cider (04/04/2023)")</f>
        <v>Uncle Sams Cider (04/04/2023)</v>
      </c>
      <c r="H5334" s="19"/>
    </row>
    <row r="5335">
      <c r="A5335" s="9"/>
      <c r="B5335" s="15"/>
      <c r="C5335" s="9">
        <f>IFERROR(__xludf.DUMMYFUNCTION("""COMPUTED_VALUE"""),45088.6498092824)</f>
        <v>45088.64981</v>
      </c>
      <c r="D5335" s="15">
        <f>IFERROR(__xludf.DUMMYFUNCTION("""COMPUTED_VALUE"""),1.007)</f>
        <v>1.007</v>
      </c>
      <c r="E5335" s="16">
        <f>IFERROR(__xludf.DUMMYFUNCTION("""COMPUTED_VALUE"""),68.0)</f>
        <v>68</v>
      </c>
      <c r="F5335" s="19" t="str">
        <f>IFERROR(__xludf.DUMMYFUNCTION("""COMPUTED_VALUE"""),"BLACK")</f>
        <v>BLACK</v>
      </c>
      <c r="G5335" s="20" t="str">
        <f>IFERROR(__xludf.DUMMYFUNCTION("""COMPUTED_VALUE"""),"Uncle Sams Cider (04/04/2023)")</f>
        <v>Uncle Sams Cider (04/04/2023)</v>
      </c>
      <c r="H5335" s="19"/>
    </row>
    <row r="5336">
      <c r="A5336" s="9"/>
      <c r="B5336" s="15"/>
      <c r="C5336" s="9">
        <f>IFERROR(__xludf.DUMMYFUNCTION("""COMPUTED_VALUE"""),45088.6393876157)</f>
        <v>45088.63939</v>
      </c>
      <c r="D5336" s="15">
        <f>IFERROR(__xludf.DUMMYFUNCTION("""COMPUTED_VALUE"""),1.007)</f>
        <v>1.007</v>
      </c>
      <c r="E5336" s="16">
        <f>IFERROR(__xludf.DUMMYFUNCTION("""COMPUTED_VALUE"""),68.0)</f>
        <v>68</v>
      </c>
      <c r="F5336" s="19" t="str">
        <f>IFERROR(__xludf.DUMMYFUNCTION("""COMPUTED_VALUE"""),"BLACK")</f>
        <v>BLACK</v>
      </c>
      <c r="G5336" s="20" t="str">
        <f>IFERROR(__xludf.DUMMYFUNCTION("""COMPUTED_VALUE"""),"Uncle Sams Cider (04/04/2023)")</f>
        <v>Uncle Sams Cider (04/04/2023)</v>
      </c>
      <c r="H5336" s="19"/>
    </row>
    <row r="5337">
      <c r="A5337" s="9"/>
      <c r="B5337" s="15"/>
      <c r="C5337" s="9">
        <f>IFERROR(__xludf.DUMMYFUNCTION("""COMPUTED_VALUE"""),45088.6289547106)</f>
        <v>45088.62895</v>
      </c>
      <c r="D5337" s="15">
        <f>IFERROR(__xludf.DUMMYFUNCTION("""COMPUTED_VALUE"""),1.007)</f>
        <v>1.007</v>
      </c>
      <c r="E5337" s="16">
        <f>IFERROR(__xludf.DUMMYFUNCTION("""COMPUTED_VALUE"""),68.0)</f>
        <v>68</v>
      </c>
      <c r="F5337" s="19" t="str">
        <f>IFERROR(__xludf.DUMMYFUNCTION("""COMPUTED_VALUE"""),"BLACK")</f>
        <v>BLACK</v>
      </c>
      <c r="G5337" s="20" t="str">
        <f>IFERROR(__xludf.DUMMYFUNCTION("""COMPUTED_VALUE"""),"Uncle Sams Cider (04/04/2023)")</f>
        <v>Uncle Sams Cider (04/04/2023)</v>
      </c>
      <c r="H5337" s="19"/>
    </row>
    <row r="5338">
      <c r="A5338" s="9"/>
      <c r="B5338" s="15"/>
      <c r="C5338" s="9">
        <f>IFERROR(__xludf.DUMMYFUNCTION("""COMPUTED_VALUE"""),45088.6185339236)</f>
        <v>45088.61853</v>
      </c>
      <c r="D5338" s="15">
        <f>IFERROR(__xludf.DUMMYFUNCTION("""COMPUTED_VALUE"""),1.007)</f>
        <v>1.007</v>
      </c>
      <c r="E5338" s="16">
        <f>IFERROR(__xludf.DUMMYFUNCTION("""COMPUTED_VALUE"""),68.0)</f>
        <v>68</v>
      </c>
      <c r="F5338" s="19" t="str">
        <f>IFERROR(__xludf.DUMMYFUNCTION("""COMPUTED_VALUE"""),"BLACK")</f>
        <v>BLACK</v>
      </c>
      <c r="G5338" s="20" t="str">
        <f>IFERROR(__xludf.DUMMYFUNCTION("""COMPUTED_VALUE"""),"Uncle Sams Cider (04/04/2023)")</f>
        <v>Uncle Sams Cider (04/04/2023)</v>
      </c>
      <c r="H5338" s="19"/>
    </row>
    <row r="5339">
      <c r="A5339" s="9"/>
      <c r="B5339" s="15"/>
      <c r="C5339" s="9">
        <f>IFERROR(__xludf.DUMMYFUNCTION("""COMPUTED_VALUE"""),45088.6081134143)</f>
        <v>45088.60811</v>
      </c>
      <c r="D5339" s="15">
        <f>IFERROR(__xludf.DUMMYFUNCTION("""COMPUTED_VALUE"""),1.007)</f>
        <v>1.007</v>
      </c>
      <c r="E5339" s="16">
        <f>IFERROR(__xludf.DUMMYFUNCTION("""COMPUTED_VALUE"""),68.0)</f>
        <v>68</v>
      </c>
      <c r="F5339" s="19" t="str">
        <f>IFERROR(__xludf.DUMMYFUNCTION("""COMPUTED_VALUE"""),"BLACK")</f>
        <v>BLACK</v>
      </c>
      <c r="G5339" s="20" t="str">
        <f>IFERROR(__xludf.DUMMYFUNCTION("""COMPUTED_VALUE"""),"Uncle Sams Cider (04/04/2023)")</f>
        <v>Uncle Sams Cider (04/04/2023)</v>
      </c>
      <c r="H5339" s="19"/>
    </row>
    <row r="5340">
      <c r="A5340" s="9"/>
      <c r="B5340" s="15"/>
      <c r="C5340" s="9">
        <f>IFERROR(__xludf.DUMMYFUNCTION("""COMPUTED_VALUE"""),45088.5976809375)</f>
        <v>45088.59768</v>
      </c>
      <c r="D5340" s="15">
        <f>IFERROR(__xludf.DUMMYFUNCTION("""COMPUTED_VALUE"""),1.007)</f>
        <v>1.007</v>
      </c>
      <c r="E5340" s="16">
        <f>IFERROR(__xludf.DUMMYFUNCTION("""COMPUTED_VALUE"""),68.0)</f>
        <v>68</v>
      </c>
      <c r="F5340" s="19" t="str">
        <f>IFERROR(__xludf.DUMMYFUNCTION("""COMPUTED_VALUE"""),"BLACK")</f>
        <v>BLACK</v>
      </c>
      <c r="G5340" s="20" t="str">
        <f>IFERROR(__xludf.DUMMYFUNCTION("""COMPUTED_VALUE"""),"Uncle Sams Cider (04/04/2023)")</f>
        <v>Uncle Sams Cider (04/04/2023)</v>
      </c>
      <c r="H5340" s="19"/>
    </row>
    <row r="5341">
      <c r="A5341" s="9"/>
      <c r="B5341" s="15"/>
      <c r="C5341" s="9">
        <f>IFERROR(__xludf.DUMMYFUNCTION("""COMPUTED_VALUE"""),45088.587259155)</f>
        <v>45088.58726</v>
      </c>
      <c r="D5341" s="15">
        <f>IFERROR(__xludf.DUMMYFUNCTION("""COMPUTED_VALUE"""),1.007)</f>
        <v>1.007</v>
      </c>
      <c r="E5341" s="16">
        <f>IFERROR(__xludf.DUMMYFUNCTION("""COMPUTED_VALUE"""),68.0)</f>
        <v>68</v>
      </c>
      <c r="F5341" s="19" t="str">
        <f>IFERROR(__xludf.DUMMYFUNCTION("""COMPUTED_VALUE"""),"BLACK")</f>
        <v>BLACK</v>
      </c>
      <c r="G5341" s="20" t="str">
        <f>IFERROR(__xludf.DUMMYFUNCTION("""COMPUTED_VALUE"""),"Uncle Sams Cider (04/04/2023)")</f>
        <v>Uncle Sams Cider (04/04/2023)</v>
      </c>
      <c r="H5341" s="19"/>
    </row>
    <row r="5342">
      <c r="A5342" s="9"/>
      <c r="B5342" s="15"/>
      <c r="C5342" s="9">
        <f>IFERROR(__xludf.DUMMYFUNCTION("""COMPUTED_VALUE"""),45088.5768392824)</f>
        <v>45088.57684</v>
      </c>
      <c r="D5342" s="15">
        <f>IFERROR(__xludf.DUMMYFUNCTION("""COMPUTED_VALUE"""),1.007)</f>
        <v>1.007</v>
      </c>
      <c r="E5342" s="16">
        <f>IFERROR(__xludf.DUMMYFUNCTION("""COMPUTED_VALUE"""),68.0)</f>
        <v>68</v>
      </c>
      <c r="F5342" s="19" t="str">
        <f>IFERROR(__xludf.DUMMYFUNCTION("""COMPUTED_VALUE"""),"BLACK")</f>
        <v>BLACK</v>
      </c>
      <c r="G5342" s="20" t="str">
        <f>IFERROR(__xludf.DUMMYFUNCTION("""COMPUTED_VALUE"""),"Uncle Sams Cider (04/04/2023)")</f>
        <v>Uncle Sams Cider (04/04/2023)</v>
      </c>
      <c r="H5342" s="19"/>
    </row>
    <row r="5343">
      <c r="A5343" s="9"/>
      <c r="B5343" s="15"/>
      <c r="C5343" s="9">
        <f>IFERROR(__xludf.DUMMYFUNCTION("""COMPUTED_VALUE"""),45088.5664165625)</f>
        <v>45088.56642</v>
      </c>
      <c r="D5343" s="15">
        <f>IFERROR(__xludf.DUMMYFUNCTION("""COMPUTED_VALUE"""),1.007)</f>
        <v>1.007</v>
      </c>
      <c r="E5343" s="16">
        <f>IFERROR(__xludf.DUMMYFUNCTION("""COMPUTED_VALUE"""),68.0)</f>
        <v>68</v>
      </c>
      <c r="F5343" s="19" t="str">
        <f>IFERROR(__xludf.DUMMYFUNCTION("""COMPUTED_VALUE"""),"BLACK")</f>
        <v>BLACK</v>
      </c>
      <c r="G5343" s="20" t="str">
        <f>IFERROR(__xludf.DUMMYFUNCTION("""COMPUTED_VALUE"""),"Uncle Sams Cider (04/04/2023)")</f>
        <v>Uncle Sams Cider (04/04/2023)</v>
      </c>
      <c r="H5343" s="19"/>
    </row>
    <row r="5344">
      <c r="A5344" s="9"/>
      <c r="B5344" s="15"/>
      <c r="C5344" s="9">
        <f>IFERROR(__xludf.DUMMYFUNCTION("""COMPUTED_VALUE"""),45088.5559933101)</f>
        <v>45088.55599</v>
      </c>
      <c r="D5344" s="15">
        <f>IFERROR(__xludf.DUMMYFUNCTION("""COMPUTED_VALUE"""),1.007)</f>
        <v>1.007</v>
      </c>
      <c r="E5344" s="16">
        <f>IFERROR(__xludf.DUMMYFUNCTION("""COMPUTED_VALUE"""),68.0)</f>
        <v>68</v>
      </c>
      <c r="F5344" s="19" t="str">
        <f>IFERROR(__xludf.DUMMYFUNCTION("""COMPUTED_VALUE"""),"BLACK")</f>
        <v>BLACK</v>
      </c>
      <c r="G5344" s="20" t="str">
        <f>IFERROR(__xludf.DUMMYFUNCTION("""COMPUTED_VALUE"""),"Uncle Sams Cider (04/04/2023)")</f>
        <v>Uncle Sams Cider (04/04/2023)</v>
      </c>
      <c r="H5344" s="19"/>
    </row>
    <row r="5345">
      <c r="A5345" s="9"/>
      <c r="B5345" s="15"/>
      <c r="C5345" s="9">
        <f>IFERROR(__xludf.DUMMYFUNCTION("""COMPUTED_VALUE"""),45088.5455725)</f>
        <v>45088.54557</v>
      </c>
      <c r="D5345" s="15">
        <f>IFERROR(__xludf.DUMMYFUNCTION("""COMPUTED_VALUE"""),1.007)</f>
        <v>1.007</v>
      </c>
      <c r="E5345" s="16">
        <f>IFERROR(__xludf.DUMMYFUNCTION("""COMPUTED_VALUE"""),68.0)</f>
        <v>68</v>
      </c>
      <c r="F5345" s="19" t="str">
        <f>IFERROR(__xludf.DUMMYFUNCTION("""COMPUTED_VALUE"""),"BLACK")</f>
        <v>BLACK</v>
      </c>
      <c r="G5345" s="20" t="str">
        <f>IFERROR(__xludf.DUMMYFUNCTION("""COMPUTED_VALUE"""),"Uncle Sams Cider (04/04/2023)")</f>
        <v>Uncle Sams Cider (04/04/2023)</v>
      </c>
      <c r="H5345" s="19"/>
    </row>
    <row r="5346">
      <c r="A5346" s="9"/>
      <c r="B5346" s="15"/>
      <c r="C5346" s="9">
        <f>IFERROR(__xludf.DUMMYFUNCTION("""COMPUTED_VALUE"""),45088.5351519212)</f>
        <v>45088.53515</v>
      </c>
      <c r="D5346" s="15">
        <f>IFERROR(__xludf.DUMMYFUNCTION("""COMPUTED_VALUE"""),1.006)</f>
        <v>1.006</v>
      </c>
      <c r="E5346" s="16">
        <f>IFERROR(__xludf.DUMMYFUNCTION("""COMPUTED_VALUE"""),68.0)</f>
        <v>68</v>
      </c>
      <c r="F5346" s="19" t="str">
        <f>IFERROR(__xludf.DUMMYFUNCTION("""COMPUTED_VALUE"""),"BLACK")</f>
        <v>BLACK</v>
      </c>
      <c r="G5346" s="20" t="str">
        <f>IFERROR(__xludf.DUMMYFUNCTION("""COMPUTED_VALUE"""),"Uncle Sams Cider (04/04/2023)")</f>
        <v>Uncle Sams Cider (04/04/2023)</v>
      </c>
      <c r="H5346" s="19"/>
    </row>
    <row r="5347">
      <c r="A5347" s="9"/>
      <c r="B5347" s="15"/>
      <c r="C5347" s="9">
        <f>IFERROR(__xludf.DUMMYFUNCTION("""COMPUTED_VALUE"""),45088.5247314699)</f>
        <v>45088.52473</v>
      </c>
      <c r="D5347" s="15">
        <f>IFERROR(__xludf.DUMMYFUNCTION("""COMPUTED_VALUE"""),1.007)</f>
        <v>1.007</v>
      </c>
      <c r="E5347" s="16">
        <f>IFERROR(__xludf.DUMMYFUNCTION("""COMPUTED_VALUE"""),68.0)</f>
        <v>68</v>
      </c>
      <c r="F5347" s="19" t="str">
        <f>IFERROR(__xludf.DUMMYFUNCTION("""COMPUTED_VALUE"""),"BLACK")</f>
        <v>BLACK</v>
      </c>
      <c r="G5347" s="20" t="str">
        <f>IFERROR(__xludf.DUMMYFUNCTION("""COMPUTED_VALUE"""),"Uncle Sams Cider (04/04/2023)")</f>
        <v>Uncle Sams Cider (04/04/2023)</v>
      </c>
      <c r="H5347" s="19"/>
    </row>
    <row r="5348">
      <c r="A5348" s="9"/>
      <c r="B5348" s="15"/>
      <c r="C5348" s="9">
        <f>IFERROR(__xludf.DUMMYFUNCTION("""COMPUTED_VALUE"""),45088.5143109027)</f>
        <v>45088.51431</v>
      </c>
      <c r="D5348" s="15">
        <f>IFERROR(__xludf.DUMMYFUNCTION("""COMPUTED_VALUE"""),1.007)</f>
        <v>1.007</v>
      </c>
      <c r="E5348" s="16">
        <f>IFERROR(__xludf.DUMMYFUNCTION("""COMPUTED_VALUE"""),68.0)</f>
        <v>68</v>
      </c>
      <c r="F5348" s="19" t="str">
        <f>IFERROR(__xludf.DUMMYFUNCTION("""COMPUTED_VALUE"""),"BLACK")</f>
        <v>BLACK</v>
      </c>
      <c r="G5348" s="20" t="str">
        <f>IFERROR(__xludf.DUMMYFUNCTION("""COMPUTED_VALUE"""),"Uncle Sams Cider (04/04/2023)")</f>
        <v>Uncle Sams Cider (04/04/2023)</v>
      </c>
      <c r="H5348" s="19"/>
    </row>
    <row r="5349">
      <c r="A5349" s="9"/>
      <c r="B5349" s="15"/>
      <c r="C5349" s="9">
        <f>IFERROR(__xludf.DUMMYFUNCTION("""COMPUTED_VALUE"""),45088.503888206)</f>
        <v>45088.50389</v>
      </c>
      <c r="D5349" s="15">
        <f>IFERROR(__xludf.DUMMYFUNCTION("""COMPUTED_VALUE"""),1.007)</f>
        <v>1.007</v>
      </c>
      <c r="E5349" s="16">
        <f>IFERROR(__xludf.DUMMYFUNCTION("""COMPUTED_VALUE"""),68.0)</f>
        <v>68</v>
      </c>
      <c r="F5349" s="19" t="str">
        <f>IFERROR(__xludf.DUMMYFUNCTION("""COMPUTED_VALUE"""),"BLACK")</f>
        <v>BLACK</v>
      </c>
      <c r="G5349" s="20" t="str">
        <f>IFERROR(__xludf.DUMMYFUNCTION("""COMPUTED_VALUE"""),"Uncle Sams Cider (04/04/2023)")</f>
        <v>Uncle Sams Cider (04/04/2023)</v>
      </c>
      <c r="H5349" s="19"/>
    </row>
    <row r="5350">
      <c r="A5350" s="9"/>
      <c r="B5350" s="15"/>
      <c r="C5350" s="9">
        <f>IFERROR(__xludf.DUMMYFUNCTION("""COMPUTED_VALUE"""),45088.4934677314)</f>
        <v>45088.49347</v>
      </c>
      <c r="D5350" s="15">
        <f>IFERROR(__xludf.DUMMYFUNCTION("""COMPUTED_VALUE"""),1.007)</f>
        <v>1.007</v>
      </c>
      <c r="E5350" s="16">
        <f>IFERROR(__xludf.DUMMYFUNCTION("""COMPUTED_VALUE"""),68.0)</f>
        <v>68</v>
      </c>
      <c r="F5350" s="19" t="str">
        <f>IFERROR(__xludf.DUMMYFUNCTION("""COMPUTED_VALUE"""),"BLACK")</f>
        <v>BLACK</v>
      </c>
      <c r="G5350" s="20" t="str">
        <f>IFERROR(__xludf.DUMMYFUNCTION("""COMPUTED_VALUE"""),"Uncle Sams Cider (04/04/2023)")</f>
        <v>Uncle Sams Cider (04/04/2023)</v>
      </c>
      <c r="H5350" s="19"/>
    </row>
    <row r="5351">
      <c r="A5351" s="9"/>
      <c r="B5351" s="15"/>
      <c r="C5351" s="9">
        <f>IFERROR(__xludf.DUMMYFUNCTION("""COMPUTED_VALUE"""),45088.483047037)</f>
        <v>45088.48305</v>
      </c>
      <c r="D5351" s="15">
        <f>IFERROR(__xludf.DUMMYFUNCTION("""COMPUTED_VALUE"""),1.007)</f>
        <v>1.007</v>
      </c>
      <c r="E5351" s="16">
        <f>IFERROR(__xludf.DUMMYFUNCTION("""COMPUTED_VALUE"""),68.0)</f>
        <v>68</v>
      </c>
      <c r="F5351" s="19" t="str">
        <f>IFERROR(__xludf.DUMMYFUNCTION("""COMPUTED_VALUE"""),"BLACK")</f>
        <v>BLACK</v>
      </c>
      <c r="G5351" s="20" t="str">
        <f>IFERROR(__xludf.DUMMYFUNCTION("""COMPUTED_VALUE"""),"Uncle Sams Cider (04/04/2023)")</f>
        <v>Uncle Sams Cider (04/04/2023)</v>
      </c>
      <c r="H5351" s="19"/>
    </row>
    <row r="5352">
      <c r="A5352" s="9"/>
      <c r="B5352" s="15"/>
      <c r="C5352" s="9">
        <f>IFERROR(__xludf.DUMMYFUNCTION("""COMPUTED_VALUE"""),45088.4726268055)</f>
        <v>45088.47263</v>
      </c>
      <c r="D5352" s="15">
        <f>IFERROR(__xludf.DUMMYFUNCTION("""COMPUTED_VALUE"""),1.007)</f>
        <v>1.007</v>
      </c>
      <c r="E5352" s="16">
        <f>IFERROR(__xludf.DUMMYFUNCTION("""COMPUTED_VALUE"""),68.0)</f>
        <v>68</v>
      </c>
      <c r="F5352" s="19" t="str">
        <f>IFERROR(__xludf.DUMMYFUNCTION("""COMPUTED_VALUE"""),"BLACK")</f>
        <v>BLACK</v>
      </c>
      <c r="G5352" s="20" t="str">
        <f>IFERROR(__xludf.DUMMYFUNCTION("""COMPUTED_VALUE"""),"Uncle Sams Cider (04/04/2023)")</f>
        <v>Uncle Sams Cider (04/04/2023)</v>
      </c>
      <c r="H5352" s="19"/>
    </row>
    <row r="5353">
      <c r="A5353" s="9"/>
      <c r="B5353" s="15"/>
      <c r="C5353" s="9">
        <f>IFERROR(__xludf.DUMMYFUNCTION("""COMPUTED_VALUE"""),45088.4622041087)</f>
        <v>45088.4622</v>
      </c>
      <c r="D5353" s="15">
        <f>IFERROR(__xludf.DUMMYFUNCTION("""COMPUTED_VALUE"""),1.007)</f>
        <v>1.007</v>
      </c>
      <c r="E5353" s="16">
        <f>IFERROR(__xludf.DUMMYFUNCTION("""COMPUTED_VALUE"""),68.0)</f>
        <v>68</v>
      </c>
      <c r="F5353" s="19" t="str">
        <f>IFERROR(__xludf.DUMMYFUNCTION("""COMPUTED_VALUE"""),"BLACK")</f>
        <v>BLACK</v>
      </c>
      <c r="G5353" s="20" t="str">
        <f>IFERROR(__xludf.DUMMYFUNCTION("""COMPUTED_VALUE"""),"Uncle Sams Cider (04/04/2023)")</f>
        <v>Uncle Sams Cider (04/04/2023)</v>
      </c>
      <c r="H5353" s="19"/>
    </row>
    <row r="5354">
      <c r="A5354" s="9"/>
      <c r="B5354" s="15"/>
      <c r="C5354" s="9">
        <f>IFERROR(__xludf.DUMMYFUNCTION("""COMPUTED_VALUE"""),45088.4517717476)</f>
        <v>45088.45177</v>
      </c>
      <c r="D5354" s="15">
        <f>IFERROR(__xludf.DUMMYFUNCTION("""COMPUTED_VALUE"""),1.007)</f>
        <v>1.007</v>
      </c>
      <c r="E5354" s="16">
        <f>IFERROR(__xludf.DUMMYFUNCTION("""COMPUTED_VALUE"""),68.0)</f>
        <v>68</v>
      </c>
      <c r="F5354" s="19" t="str">
        <f>IFERROR(__xludf.DUMMYFUNCTION("""COMPUTED_VALUE"""),"BLACK")</f>
        <v>BLACK</v>
      </c>
      <c r="G5354" s="20" t="str">
        <f>IFERROR(__xludf.DUMMYFUNCTION("""COMPUTED_VALUE"""),"Uncle Sams Cider (04/04/2023)")</f>
        <v>Uncle Sams Cider (04/04/2023)</v>
      </c>
      <c r="H5354" s="19"/>
    </row>
    <row r="5355">
      <c r="A5355" s="9"/>
      <c r="B5355" s="15"/>
      <c r="C5355" s="9">
        <f>IFERROR(__xludf.DUMMYFUNCTION("""COMPUTED_VALUE"""),45088.4413504051)</f>
        <v>45088.44135</v>
      </c>
      <c r="D5355" s="15">
        <f>IFERROR(__xludf.DUMMYFUNCTION("""COMPUTED_VALUE"""),1.007)</f>
        <v>1.007</v>
      </c>
      <c r="E5355" s="16">
        <f>IFERROR(__xludf.DUMMYFUNCTION("""COMPUTED_VALUE"""),68.0)</f>
        <v>68</v>
      </c>
      <c r="F5355" s="19" t="str">
        <f>IFERROR(__xludf.DUMMYFUNCTION("""COMPUTED_VALUE"""),"BLACK")</f>
        <v>BLACK</v>
      </c>
      <c r="G5355" s="20" t="str">
        <f>IFERROR(__xludf.DUMMYFUNCTION("""COMPUTED_VALUE"""),"Uncle Sams Cider (04/04/2023)")</f>
        <v>Uncle Sams Cider (04/04/2023)</v>
      </c>
      <c r="H5355" s="19"/>
    </row>
    <row r="5356">
      <c r="A5356" s="9"/>
      <c r="B5356" s="15"/>
      <c r="C5356" s="9">
        <f>IFERROR(__xludf.DUMMYFUNCTION("""COMPUTED_VALUE"""),45088.4309294097)</f>
        <v>45088.43093</v>
      </c>
      <c r="D5356" s="15">
        <f>IFERROR(__xludf.DUMMYFUNCTION("""COMPUTED_VALUE"""),1.007)</f>
        <v>1.007</v>
      </c>
      <c r="E5356" s="16">
        <f>IFERROR(__xludf.DUMMYFUNCTION("""COMPUTED_VALUE"""),68.0)</f>
        <v>68</v>
      </c>
      <c r="F5356" s="19" t="str">
        <f>IFERROR(__xludf.DUMMYFUNCTION("""COMPUTED_VALUE"""),"BLACK")</f>
        <v>BLACK</v>
      </c>
      <c r="G5356" s="20" t="str">
        <f>IFERROR(__xludf.DUMMYFUNCTION("""COMPUTED_VALUE"""),"Uncle Sams Cider (04/04/2023)")</f>
        <v>Uncle Sams Cider (04/04/2023)</v>
      </c>
      <c r="H5356" s="19"/>
    </row>
    <row r="5357">
      <c r="A5357" s="9"/>
      <c r="B5357" s="15"/>
      <c r="C5357" s="9">
        <f>IFERROR(__xludf.DUMMYFUNCTION("""COMPUTED_VALUE"""),45088.4205095486)</f>
        <v>45088.42051</v>
      </c>
      <c r="D5357" s="15">
        <f>IFERROR(__xludf.DUMMYFUNCTION("""COMPUTED_VALUE"""),1.007)</f>
        <v>1.007</v>
      </c>
      <c r="E5357" s="16">
        <f>IFERROR(__xludf.DUMMYFUNCTION("""COMPUTED_VALUE"""),68.0)</f>
        <v>68</v>
      </c>
      <c r="F5357" s="19" t="str">
        <f>IFERROR(__xludf.DUMMYFUNCTION("""COMPUTED_VALUE"""),"BLACK")</f>
        <v>BLACK</v>
      </c>
      <c r="G5357" s="20" t="str">
        <f>IFERROR(__xludf.DUMMYFUNCTION("""COMPUTED_VALUE"""),"Uncle Sams Cider (04/04/2023)")</f>
        <v>Uncle Sams Cider (04/04/2023)</v>
      </c>
      <c r="H5357" s="19"/>
    </row>
    <row r="5358">
      <c r="A5358" s="9"/>
      <c r="B5358" s="15"/>
      <c r="C5358" s="9">
        <f>IFERROR(__xludf.DUMMYFUNCTION("""COMPUTED_VALUE"""),45088.4100767939)</f>
        <v>45088.41008</v>
      </c>
      <c r="D5358" s="15">
        <f>IFERROR(__xludf.DUMMYFUNCTION("""COMPUTED_VALUE"""),1.007)</f>
        <v>1.007</v>
      </c>
      <c r="E5358" s="16">
        <f>IFERROR(__xludf.DUMMYFUNCTION("""COMPUTED_VALUE"""),68.0)</f>
        <v>68</v>
      </c>
      <c r="F5358" s="19" t="str">
        <f>IFERROR(__xludf.DUMMYFUNCTION("""COMPUTED_VALUE"""),"BLACK")</f>
        <v>BLACK</v>
      </c>
      <c r="G5358" s="20" t="str">
        <f>IFERROR(__xludf.DUMMYFUNCTION("""COMPUTED_VALUE"""),"Uncle Sams Cider (04/04/2023)")</f>
        <v>Uncle Sams Cider (04/04/2023)</v>
      </c>
      <c r="H5358" s="19"/>
    </row>
    <row r="5359">
      <c r="A5359" s="9"/>
      <c r="B5359" s="15"/>
      <c r="C5359" s="9">
        <f>IFERROR(__xludf.DUMMYFUNCTION("""COMPUTED_VALUE"""),45088.3996566898)</f>
        <v>45088.39966</v>
      </c>
      <c r="D5359" s="15">
        <f>IFERROR(__xludf.DUMMYFUNCTION("""COMPUTED_VALUE"""),1.007)</f>
        <v>1.007</v>
      </c>
      <c r="E5359" s="16">
        <f>IFERROR(__xludf.DUMMYFUNCTION("""COMPUTED_VALUE"""),68.0)</f>
        <v>68</v>
      </c>
      <c r="F5359" s="19" t="str">
        <f>IFERROR(__xludf.DUMMYFUNCTION("""COMPUTED_VALUE"""),"BLACK")</f>
        <v>BLACK</v>
      </c>
      <c r="G5359" s="20" t="str">
        <f>IFERROR(__xludf.DUMMYFUNCTION("""COMPUTED_VALUE"""),"Uncle Sams Cider (04/04/2023)")</f>
        <v>Uncle Sams Cider (04/04/2023)</v>
      </c>
      <c r="H5359" s="19"/>
    </row>
    <row r="5360">
      <c r="A5360" s="9"/>
      <c r="B5360" s="15"/>
      <c r="C5360" s="9">
        <f>IFERROR(__xludf.DUMMYFUNCTION("""COMPUTED_VALUE"""),45088.3892371527)</f>
        <v>45088.38924</v>
      </c>
      <c r="D5360" s="15">
        <f>IFERROR(__xludf.DUMMYFUNCTION("""COMPUTED_VALUE"""),1.007)</f>
        <v>1.007</v>
      </c>
      <c r="E5360" s="16">
        <f>IFERROR(__xludf.DUMMYFUNCTION("""COMPUTED_VALUE"""),68.0)</f>
        <v>68</v>
      </c>
      <c r="F5360" s="19" t="str">
        <f>IFERROR(__xludf.DUMMYFUNCTION("""COMPUTED_VALUE"""),"BLACK")</f>
        <v>BLACK</v>
      </c>
      <c r="G5360" s="20" t="str">
        <f>IFERROR(__xludf.DUMMYFUNCTION("""COMPUTED_VALUE"""),"Uncle Sams Cider (04/04/2023)")</f>
        <v>Uncle Sams Cider (04/04/2023)</v>
      </c>
      <c r="H5360" s="19"/>
    </row>
    <row r="5361">
      <c r="A5361" s="9"/>
      <c r="B5361" s="15"/>
      <c r="C5361" s="9">
        <f>IFERROR(__xludf.DUMMYFUNCTION("""COMPUTED_VALUE"""),45088.3788168055)</f>
        <v>45088.37882</v>
      </c>
      <c r="D5361" s="15">
        <f>IFERROR(__xludf.DUMMYFUNCTION("""COMPUTED_VALUE"""),1.007)</f>
        <v>1.007</v>
      </c>
      <c r="E5361" s="16">
        <f>IFERROR(__xludf.DUMMYFUNCTION("""COMPUTED_VALUE"""),68.0)</f>
        <v>68</v>
      </c>
      <c r="F5361" s="19" t="str">
        <f>IFERROR(__xludf.DUMMYFUNCTION("""COMPUTED_VALUE"""),"BLACK")</f>
        <v>BLACK</v>
      </c>
      <c r="G5361" s="20" t="str">
        <f>IFERROR(__xludf.DUMMYFUNCTION("""COMPUTED_VALUE"""),"Uncle Sams Cider (04/04/2023)")</f>
        <v>Uncle Sams Cider (04/04/2023)</v>
      </c>
      <c r="H5361" s="19"/>
    </row>
    <row r="5362">
      <c r="A5362" s="9"/>
      <c r="B5362" s="15"/>
      <c r="C5362" s="9">
        <f>IFERROR(__xludf.DUMMYFUNCTION("""COMPUTED_VALUE"""),45088.3683725694)</f>
        <v>45088.36837</v>
      </c>
      <c r="D5362" s="15">
        <f>IFERROR(__xludf.DUMMYFUNCTION("""COMPUTED_VALUE"""),1.007)</f>
        <v>1.007</v>
      </c>
      <c r="E5362" s="16">
        <f>IFERROR(__xludf.DUMMYFUNCTION("""COMPUTED_VALUE"""),68.0)</f>
        <v>68</v>
      </c>
      <c r="F5362" s="19" t="str">
        <f>IFERROR(__xludf.DUMMYFUNCTION("""COMPUTED_VALUE"""),"BLACK")</f>
        <v>BLACK</v>
      </c>
      <c r="G5362" s="20" t="str">
        <f>IFERROR(__xludf.DUMMYFUNCTION("""COMPUTED_VALUE"""),"Uncle Sams Cider (04/04/2023)")</f>
        <v>Uncle Sams Cider (04/04/2023)</v>
      </c>
      <c r="H5362" s="19"/>
    </row>
    <row r="5363">
      <c r="A5363" s="9"/>
      <c r="B5363" s="15"/>
      <c r="C5363" s="9">
        <f>IFERROR(__xludf.DUMMYFUNCTION("""COMPUTED_VALUE"""),45088.357951956)</f>
        <v>45088.35795</v>
      </c>
      <c r="D5363" s="15">
        <f>IFERROR(__xludf.DUMMYFUNCTION("""COMPUTED_VALUE"""),1.007)</f>
        <v>1.007</v>
      </c>
      <c r="E5363" s="16">
        <f>IFERROR(__xludf.DUMMYFUNCTION("""COMPUTED_VALUE"""),68.0)</f>
        <v>68</v>
      </c>
      <c r="F5363" s="19" t="str">
        <f>IFERROR(__xludf.DUMMYFUNCTION("""COMPUTED_VALUE"""),"BLACK")</f>
        <v>BLACK</v>
      </c>
      <c r="G5363" s="20" t="str">
        <f>IFERROR(__xludf.DUMMYFUNCTION("""COMPUTED_VALUE"""),"Uncle Sams Cider (04/04/2023)")</f>
        <v>Uncle Sams Cider (04/04/2023)</v>
      </c>
      <c r="H5363" s="19"/>
    </row>
    <row r="5364">
      <c r="A5364" s="9"/>
      <c r="B5364" s="15"/>
      <c r="C5364" s="9">
        <f>IFERROR(__xludf.DUMMYFUNCTION("""COMPUTED_VALUE"""),45088.3475324884)</f>
        <v>45088.34753</v>
      </c>
      <c r="D5364" s="15">
        <f>IFERROR(__xludf.DUMMYFUNCTION("""COMPUTED_VALUE"""),1.007)</f>
        <v>1.007</v>
      </c>
      <c r="E5364" s="16">
        <f>IFERROR(__xludf.DUMMYFUNCTION("""COMPUTED_VALUE"""),68.0)</f>
        <v>68</v>
      </c>
      <c r="F5364" s="19" t="str">
        <f>IFERROR(__xludf.DUMMYFUNCTION("""COMPUTED_VALUE"""),"BLACK")</f>
        <v>BLACK</v>
      </c>
      <c r="G5364" s="20" t="str">
        <f>IFERROR(__xludf.DUMMYFUNCTION("""COMPUTED_VALUE"""),"Uncle Sams Cider (04/04/2023)")</f>
        <v>Uncle Sams Cider (04/04/2023)</v>
      </c>
      <c r="H5364" s="19"/>
    </row>
    <row r="5365">
      <c r="A5365" s="9"/>
      <c r="B5365" s="15"/>
      <c r="C5365" s="9">
        <f>IFERROR(__xludf.DUMMYFUNCTION("""COMPUTED_VALUE"""),45088.3371004398)</f>
        <v>45088.3371</v>
      </c>
      <c r="D5365" s="15">
        <f>IFERROR(__xludf.DUMMYFUNCTION("""COMPUTED_VALUE"""),1.007)</f>
        <v>1.007</v>
      </c>
      <c r="E5365" s="16">
        <f>IFERROR(__xludf.DUMMYFUNCTION("""COMPUTED_VALUE"""),68.0)</f>
        <v>68</v>
      </c>
      <c r="F5365" s="19" t="str">
        <f>IFERROR(__xludf.DUMMYFUNCTION("""COMPUTED_VALUE"""),"BLACK")</f>
        <v>BLACK</v>
      </c>
      <c r="G5365" s="20" t="str">
        <f>IFERROR(__xludf.DUMMYFUNCTION("""COMPUTED_VALUE"""),"Uncle Sams Cider (04/04/2023)")</f>
        <v>Uncle Sams Cider (04/04/2023)</v>
      </c>
      <c r="H5365" s="19"/>
    </row>
    <row r="5366">
      <c r="A5366" s="9"/>
      <c r="B5366" s="15"/>
      <c r="C5366" s="9">
        <f>IFERROR(__xludf.DUMMYFUNCTION("""COMPUTED_VALUE"""),45088.3266678703)</f>
        <v>45088.32667</v>
      </c>
      <c r="D5366" s="15">
        <f>IFERROR(__xludf.DUMMYFUNCTION("""COMPUTED_VALUE"""),1.007)</f>
        <v>1.007</v>
      </c>
      <c r="E5366" s="16">
        <f>IFERROR(__xludf.DUMMYFUNCTION("""COMPUTED_VALUE"""),68.0)</f>
        <v>68</v>
      </c>
      <c r="F5366" s="19" t="str">
        <f>IFERROR(__xludf.DUMMYFUNCTION("""COMPUTED_VALUE"""),"BLACK")</f>
        <v>BLACK</v>
      </c>
      <c r="G5366" s="20" t="str">
        <f>IFERROR(__xludf.DUMMYFUNCTION("""COMPUTED_VALUE"""),"Uncle Sams Cider (04/04/2023)")</f>
        <v>Uncle Sams Cider (04/04/2023)</v>
      </c>
      <c r="H5366" s="19"/>
    </row>
    <row r="5367">
      <c r="A5367" s="9"/>
      <c r="B5367" s="15"/>
      <c r="C5367" s="9">
        <f>IFERROR(__xludf.DUMMYFUNCTION("""COMPUTED_VALUE"""),45088.3162470601)</f>
        <v>45088.31625</v>
      </c>
      <c r="D5367" s="15">
        <f>IFERROR(__xludf.DUMMYFUNCTION("""COMPUTED_VALUE"""),1.007)</f>
        <v>1.007</v>
      </c>
      <c r="E5367" s="16">
        <f>IFERROR(__xludf.DUMMYFUNCTION("""COMPUTED_VALUE"""),68.0)</f>
        <v>68</v>
      </c>
      <c r="F5367" s="19" t="str">
        <f>IFERROR(__xludf.DUMMYFUNCTION("""COMPUTED_VALUE"""),"BLACK")</f>
        <v>BLACK</v>
      </c>
      <c r="G5367" s="20" t="str">
        <f>IFERROR(__xludf.DUMMYFUNCTION("""COMPUTED_VALUE"""),"Uncle Sams Cider (04/04/2023)")</f>
        <v>Uncle Sams Cider (04/04/2023)</v>
      </c>
      <c r="H5367" s="19"/>
    </row>
    <row r="5368">
      <c r="A5368" s="9"/>
      <c r="B5368" s="15"/>
      <c r="C5368" s="9">
        <f>IFERROR(__xludf.DUMMYFUNCTION("""COMPUTED_VALUE"""),45088.3058250347)</f>
        <v>45088.30583</v>
      </c>
      <c r="D5368" s="15">
        <f>IFERROR(__xludf.DUMMYFUNCTION("""COMPUTED_VALUE"""),1.007)</f>
        <v>1.007</v>
      </c>
      <c r="E5368" s="16">
        <f>IFERROR(__xludf.DUMMYFUNCTION("""COMPUTED_VALUE"""),68.0)</f>
        <v>68</v>
      </c>
      <c r="F5368" s="19" t="str">
        <f>IFERROR(__xludf.DUMMYFUNCTION("""COMPUTED_VALUE"""),"BLACK")</f>
        <v>BLACK</v>
      </c>
      <c r="G5368" s="20" t="str">
        <f>IFERROR(__xludf.DUMMYFUNCTION("""COMPUTED_VALUE"""),"Uncle Sams Cider (04/04/2023)")</f>
        <v>Uncle Sams Cider (04/04/2023)</v>
      </c>
      <c r="H5368" s="19"/>
    </row>
    <row r="5369">
      <c r="A5369" s="9"/>
      <c r="B5369" s="15"/>
      <c r="C5369" s="9">
        <f>IFERROR(__xludf.DUMMYFUNCTION("""COMPUTED_VALUE"""),45088.2954044791)</f>
        <v>45088.2954</v>
      </c>
      <c r="D5369" s="15">
        <f>IFERROR(__xludf.DUMMYFUNCTION("""COMPUTED_VALUE"""),1.007)</f>
        <v>1.007</v>
      </c>
      <c r="E5369" s="16">
        <f>IFERROR(__xludf.DUMMYFUNCTION("""COMPUTED_VALUE"""),68.0)</f>
        <v>68</v>
      </c>
      <c r="F5369" s="19" t="str">
        <f>IFERROR(__xludf.DUMMYFUNCTION("""COMPUTED_VALUE"""),"BLACK")</f>
        <v>BLACK</v>
      </c>
      <c r="G5369" s="20" t="str">
        <f>IFERROR(__xludf.DUMMYFUNCTION("""COMPUTED_VALUE"""),"Uncle Sams Cider (04/04/2023)")</f>
        <v>Uncle Sams Cider (04/04/2023)</v>
      </c>
      <c r="H5369" s="19"/>
    </row>
    <row r="5370">
      <c r="A5370" s="9"/>
      <c r="B5370" s="15"/>
      <c r="C5370" s="9">
        <f>IFERROR(__xludf.DUMMYFUNCTION("""COMPUTED_VALUE"""),45088.2849856828)</f>
        <v>45088.28499</v>
      </c>
      <c r="D5370" s="15">
        <f>IFERROR(__xludf.DUMMYFUNCTION("""COMPUTED_VALUE"""),1.007)</f>
        <v>1.007</v>
      </c>
      <c r="E5370" s="16">
        <f>IFERROR(__xludf.DUMMYFUNCTION("""COMPUTED_VALUE"""),68.0)</f>
        <v>68</v>
      </c>
      <c r="F5370" s="19" t="str">
        <f>IFERROR(__xludf.DUMMYFUNCTION("""COMPUTED_VALUE"""),"BLACK")</f>
        <v>BLACK</v>
      </c>
      <c r="G5370" s="20" t="str">
        <f>IFERROR(__xludf.DUMMYFUNCTION("""COMPUTED_VALUE"""),"Uncle Sams Cider (04/04/2023)")</f>
        <v>Uncle Sams Cider (04/04/2023)</v>
      </c>
      <c r="H5370" s="19"/>
    </row>
    <row r="5371">
      <c r="A5371" s="9"/>
      <c r="B5371" s="15"/>
      <c r="C5371" s="9">
        <f>IFERROR(__xludf.DUMMYFUNCTION("""COMPUTED_VALUE"""),45088.2745649652)</f>
        <v>45088.27456</v>
      </c>
      <c r="D5371" s="15">
        <f>IFERROR(__xludf.DUMMYFUNCTION("""COMPUTED_VALUE"""),1.007)</f>
        <v>1.007</v>
      </c>
      <c r="E5371" s="16">
        <f>IFERROR(__xludf.DUMMYFUNCTION("""COMPUTED_VALUE"""),68.0)</f>
        <v>68</v>
      </c>
      <c r="F5371" s="19" t="str">
        <f>IFERROR(__xludf.DUMMYFUNCTION("""COMPUTED_VALUE"""),"BLACK")</f>
        <v>BLACK</v>
      </c>
      <c r="G5371" s="20" t="str">
        <f>IFERROR(__xludf.DUMMYFUNCTION("""COMPUTED_VALUE"""),"Uncle Sams Cider (04/04/2023)")</f>
        <v>Uncle Sams Cider (04/04/2023)</v>
      </c>
      <c r="H5371" s="19"/>
    </row>
    <row r="5372">
      <c r="A5372" s="9"/>
      <c r="B5372" s="15"/>
      <c r="C5372" s="9">
        <f>IFERROR(__xludf.DUMMYFUNCTION("""COMPUTED_VALUE"""),45088.2641431365)</f>
        <v>45088.26414</v>
      </c>
      <c r="D5372" s="15">
        <f>IFERROR(__xludf.DUMMYFUNCTION("""COMPUTED_VALUE"""),1.007)</f>
        <v>1.007</v>
      </c>
      <c r="E5372" s="16">
        <f>IFERROR(__xludf.DUMMYFUNCTION("""COMPUTED_VALUE"""),68.0)</f>
        <v>68</v>
      </c>
      <c r="F5372" s="19" t="str">
        <f>IFERROR(__xludf.DUMMYFUNCTION("""COMPUTED_VALUE"""),"BLACK")</f>
        <v>BLACK</v>
      </c>
      <c r="G5372" s="20" t="str">
        <f>IFERROR(__xludf.DUMMYFUNCTION("""COMPUTED_VALUE"""),"Uncle Sams Cider (04/04/2023)")</f>
        <v>Uncle Sams Cider (04/04/2023)</v>
      </c>
      <c r="H5372" s="19"/>
    </row>
    <row r="5373">
      <c r="A5373" s="9"/>
      <c r="B5373" s="15"/>
      <c r="C5373" s="9">
        <f>IFERROR(__xludf.DUMMYFUNCTION("""COMPUTED_VALUE"""),45088.253721574)</f>
        <v>45088.25372</v>
      </c>
      <c r="D5373" s="15">
        <f>IFERROR(__xludf.DUMMYFUNCTION("""COMPUTED_VALUE"""),1.007)</f>
        <v>1.007</v>
      </c>
      <c r="E5373" s="16">
        <f>IFERROR(__xludf.DUMMYFUNCTION("""COMPUTED_VALUE"""),68.0)</f>
        <v>68</v>
      </c>
      <c r="F5373" s="19" t="str">
        <f>IFERROR(__xludf.DUMMYFUNCTION("""COMPUTED_VALUE"""),"BLACK")</f>
        <v>BLACK</v>
      </c>
      <c r="G5373" s="20" t="str">
        <f>IFERROR(__xludf.DUMMYFUNCTION("""COMPUTED_VALUE"""),"Uncle Sams Cider (04/04/2023)")</f>
        <v>Uncle Sams Cider (04/04/2023)</v>
      </c>
      <c r="H5373" s="19"/>
    </row>
    <row r="5374">
      <c r="A5374" s="9"/>
      <c r="B5374" s="15"/>
      <c r="C5374" s="9">
        <f>IFERROR(__xludf.DUMMYFUNCTION("""COMPUTED_VALUE"""),45088.2433006713)</f>
        <v>45088.2433</v>
      </c>
      <c r="D5374" s="15">
        <f>IFERROR(__xludf.DUMMYFUNCTION("""COMPUTED_VALUE"""),1.007)</f>
        <v>1.007</v>
      </c>
      <c r="E5374" s="16">
        <f>IFERROR(__xludf.DUMMYFUNCTION("""COMPUTED_VALUE"""),68.0)</f>
        <v>68</v>
      </c>
      <c r="F5374" s="19" t="str">
        <f>IFERROR(__xludf.DUMMYFUNCTION("""COMPUTED_VALUE"""),"BLACK")</f>
        <v>BLACK</v>
      </c>
      <c r="G5374" s="20" t="str">
        <f>IFERROR(__xludf.DUMMYFUNCTION("""COMPUTED_VALUE"""),"Uncle Sams Cider (04/04/2023)")</f>
        <v>Uncle Sams Cider (04/04/2023)</v>
      </c>
      <c r="H5374" s="19"/>
    </row>
    <row r="5375">
      <c r="A5375" s="9"/>
      <c r="B5375" s="15"/>
      <c r="C5375" s="9">
        <f>IFERROR(__xludf.DUMMYFUNCTION("""COMPUTED_VALUE"""),45088.2328788425)</f>
        <v>45088.23288</v>
      </c>
      <c r="D5375" s="15">
        <f>IFERROR(__xludf.DUMMYFUNCTION("""COMPUTED_VALUE"""),1.007)</f>
        <v>1.007</v>
      </c>
      <c r="E5375" s="16">
        <f>IFERROR(__xludf.DUMMYFUNCTION("""COMPUTED_VALUE"""),68.0)</f>
        <v>68</v>
      </c>
      <c r="F5375" s="19" t="str">
        <f>IFERROR(__xludf.DUMMYFUNCTION("""COMPUTED_VALUE"""),"BLACK")</f>
        <v>BLACK</v>
      </c>
      <c r="G5375" s="20" t="str">
        <f>IFERROR(__xludf.DUMMYFUNCTION("""COMPUTED_VALUE"""),"Uncle Sams Cider (04/04/2023)")</f>
        <v>Uncle Sams Cider (04/04/2023)</v>
      </c>
      <c r="H5375" s="19"/>
    </row>
    <row r="5376">
      <c r="A5376" s="9"/>
      <c r="B5376" s="15"/>
      <c r="C5376" s="9">
        <f>IFERROR(__xludf.DUMMYFUNCTION("""COMPUTED_VALUE"""),45088.2224575347)</f>
        <v>45088.22246</v>
      </c>
      <c r="D5376" s="15">
        <f>IFERROR(__xludf.DUMMYFUNCTION("""COMPUTED_VALUE"""),1.007)</f>
        <v>1.007</v>
      </c>
      <c r="E5376" s="16">
        <f>IFERROR(__xludf.DUMMYFUNCTION("""COMPUTED_VALUE"""),68.0)</f>
        <v>68</v>
      </c>
      <c r="F5376" s="19" t="str">
        <f>IFERROR(__xludf.DUMMYFUNCTION("""COMPUTED_VALUE"""),"BLACK")</f>
        <v>BLACK</v>
      </c>
      <c r="G5376" s="20" t="str">
        <f>IFERROR(__xludf.DUMMYFUNCTION("""COMPUTED_VALUE"""),"Uncle Sams Cider (04/04/2023)")</f>
        <v>Uncle Sams Cider (04/04/2023)</v>
      </c>
      <c r="H5376" s="19"/>
    </row>
    <row r="5377">
      <c r="A5377" s="9"/>
      <c r="B5377" s="15"/>
      <c r="C5377" s="9">
        <f>IFERROR(__xludf.DUMMYFUNCTION("""COMPUTED_VALUE"""),45088.2120375115)</f>
        <v>45088.21204</v>
      </c>
      <c r="D5377" s="15">
        <f>IFERROR(__xludf.DUMMYFUNCTION("""COMPUTED_VALUE"""),1.007)</f>
        <v>1.007</v>
      </c>
      <c r="E5377" s="16">
        <f>IFERROR(__xludf.DUMMYFUNCTION("""COMPUTED_VALUE"""),68.0)</f>
        <v>68</v>
      </c>
      <c r="F5377" s="19" t="str">
        <f>IFERROR(__xludf.DUMMYFUNCTION("""COMPUTED_VALUE"""),"BLACK")</f>
        <v>BLACK</v>
      </c>
      <c r="G5377" s="20" t="str">
        <f>IFERROR(__xludf.DUMMYFUNCTION("""COMPUTED_VALUE"""),"Uncle Sams Cider (04/04/2023)")</f>
        <v>Uncle Sams Cider (04/04/2023)</v>
      </c>
      <c r="H5377" s="19"/>
    </row>
    <row r="5378">
      <c r="A5378" s="9"/>
      <c r="B5378" s="15"/>
      <c r="C5378" s="9">
        <f>IFERROR(__xludf.DUMMYFUNCTION("""COMPUTED_VALUE"""),45088.2016175115)</f>
        <v>45088.20162</v>
      </c>
      <c r="D5378" s="15">
        <f>IFERROR(__xludf.DUMMYFUNCTION("""COMPUTED_VALUE"""),1.007)</f>
        <v>1.007</v>
      </c>
      <c r="E5378" s="16">
        <f>IFERROR(__xludf.DUMMYFUNCTION("""COMPUTED_VALUE"""),68.0)</f>
        <v>68</v>
      </c>
      <c r="F5378" s="19" t="str">
        <f>IFERROR(__xludf.DUMMYFUNCTION("""COMPUTED_VALUE"""),"BLACK")</f>
        <v>BLACK</v>
      </c>
      <c r="G5378" s="20" t="str">
        <f>IFERROR(__xludf.DUMMYFUNCTION("""COMPUTED_VALUE"""),"Uncle Sams Cider (04/04/2023)")</f>
        <v>Uncle Sams Cider (04/04/2023)</v>
      </c>
      <c r="H5378" s="19"/>
    </row>
    <row r="5379">
      <c r="A5379" s="9"/>
      <c r="B5379" s="15"/>
      <c r="C5379" s="9">
        <f>IFERROR(__xludf.DUMMYFUNCTION("""COMPUTED_VALUE"""),45088.1911956828)</f>
        <v>45088.1912</v>
      </c>
      <c r="D5379" s="15">
        <f>IFERROR(__xludf.DUMMYFUNCTION("""COMPUTED_VALUE"""),1.007)</f>
        <v>1.007</v>
      </c>
      <c r="E5379" s="16">
        <f>IFERROR(__xludf.DUMMYFUNCTION("""COMPUTED_VALUE"""),68.0)</f>
        <v>68</v>
      </c>
      <c r="F5379" s="19" t="str">
        <f>IFERROR(__xludf.DUMMYFUNCTION("""COMPUTED_VALUE"""),"BLACK")</f>
        <v>BLACK</v>
      </c>
      <c r="G5379" s="20" t="str">
        <f>IFERROR(__xludf.DUMMYFUNCTION("""COMPUTED_VALUE"""),"Uncle Sams Cider (04/04/2023)")</f>
        <v>Uncle Sams Cider (04/04/2023)</v>
      </c>
      <c r="H5379" s="19"/>
    </row>
    <row r="5380">
      <c r="A5380" s="9"/>
      <c r="B5380" s="15"/>
      <c r="C5380" s="9">
        <f>IFERROR(__xludf.DUMMYFUNCTION("""COMPUTED_VALUE"""),45088.1807604513)</f>
        <v>45088.18076</v>
      </c>
      <c r="D5380" s="15">
        <f>IFERROR(__xludf.DUMMYFUNCTION("""COMPUTED_VALUE"""),1.007)</f>
        <v>1.007</v>
      </c>
      <c r="E5380" s="16">
        <f>IFERROR(__xludf.DUMMYFUNCTION("""COMPUTED_VALUE"""),68.0)</f>
        <v>68</v>
      </c>
      <c r="F5380" s="19" t="str">
        <f>IFERROR(__xludf.DUMMYFUNCTION("""COMPUTED_VALUE"""),"BLACK")</f>
        <v>BLACK</v>
      </c>
      <c r="G5380" s="20" t="str">
        <f>IFERROR(__xludf.DUMMYFUNCTION("""COMPUTED_VALUE"""),"Uncle Sams Cider (04/04/2023)")</f>
        <v>Uncle Sams Cider (04/04/2023)</v>
      </c>
      <c r="H5380" s="19"/>
    </row>
    <row r="5381">
      <c r="A5381" s="9"/>
      <c r="B5381" s="15"/>
      <c r="C5381" s="9">
        <f>IFERROR(__xludf.DUMMYFUNCTION("""COMPUTED_VALUE"""),45088.1703386805)</f>
        <v>45088.17034</v>
      </c>
      <c r="D5381" s="15">
        <f>IFERROR(__xludf.DUMMYFUNCTION("""COMPUTED_VALUE"""),1.007)</f>
        <v>1.007</v>
      </c>
      <c r="E5381" s="16">
        <f>IFERROR(__xludf.DUMMYFUNCTION("""COMPUTED_VALUE"""),68.0)</f>
        <v>68</v>
      </c>
      <c r="F5381" s="19" t="str">
        <f>IFERROR(__xludf.DUMMYFUNCTION("""COMPUTED_VALUE"""),"BLACK")</f>
        <v>BLACK</v>
      </c>
      <c r="G5381" s="20" t="str">
        <f>IFERROR(__xludf.DUMMYFUNCTION("""COMPUTED_VALUE"""),"Uncle Sams Cider (04/04/2023)")</f>
        <v>Uncle Sams Cider (04/04/2023)</v>
      </c>
      <c r="H5381" s="19"/>
    </row>
    <row r="5382">
      <c r="A5382" s="9"/>
      <c r="B5382" s="15"/>
      <c r="C5382" s="9">
        <f>IFERROR(__xludf.DUMMYFUNCTION("""COMPUTED_VALUE"""),45088.1599168402)</f>
        <v>45088.15992</v>
      </c>
      <c r="D5382" s="15">
        <f>IFERROR(__xludf.DUMMYFUNCTION("""COMPUTED_VALUE"""),1.007)</f>
        <v>1.007</v>
      </c>
      <c r="E5382" s="16">
        <f>IFERROR(__xludf.DUMMYFUNCTION("""COMPUTED_VALUE"""),68.0)</f>
        <v>68</v>
      </c>
      <c r="F5382" s="19" t="str">
        <f>IFERROR(__xludf.DUMMYFUNCTION("""COMPUTED_VALUE"""),"BLACK")</f>
        <v>BLACK</v>
      </c>
      <c r="G5382" s="20" t="str">
        <f>IFERROR(__xludf.DUMMYFUNCTION("""COMPUTED_VALUE"""),"Uncle Sams Cider (04/04/2023)")</f>
        <v>Uncle Sams Cider (04/04/2023)</v>
      </c>
      <c r="H5382" s="19"/>
    </row>
    <row r="5383">
      <c r="A5383" s="9"/>
      <c r="B5383" s="15"/>
      <c r="C5383" s="9">
        <f>IFERROR(__xludf.DUMMYFUNCTION("""COMPUTED_VALUE"""),45088.1494938078)</f>
        <v>45088.14949</v>
      </c>
      <c r="D5383" s="15">
        <f>IFERROR(__xludf.DUMMYFUNCTION("""COMPUTED_VALUE"""),1.007)</f>
        <v>1.007</v>
      </c>
      <c r="E5383" s="16">
        <f>IFERROR(__xludf.DUMMYFUNCTION("""COMPUTED_VALUE"""),68.0)</f>
        <v>68</v>
      </c>
      <c r="F5383" s="19" t="str">
        <f>IFERROR(__xludf.DUMMYFUNCTION("""COMPUTED_VALUE"""),"BLACK")</f>
        <v>BLACK</v>
      </c>
      <c r="G5383" s="20" t="str">
        <f>IFERROR(__xludf.DUMMYFUNCTION("""COMPUTED_VALUE"""),"Uncle Sams Cider (04/04/2023)")</f>
        <v>Uncle Sams Cider (04/04/2023)</v>
      </c>
      <c r="H5383" s="19"/>
    </row>
    <row r="5384">
      <c r="A5384" s="9"/>
      <c r="B5384" s="15"/>
      <c r="C5384" s="9">
        <f>IFERROR(__xludf.DUMMYFUNCTION("""COMPUTED_VALUE"""),45088.1390732986)</f>
        <v>45088.13907</v>
      </c>
      <c r="D5384" s="15">
        <f>IFERROR(__xludf.DUMMYFUNCTION("""COMPUTED_VALUE"""),1.007)</f>
        <v>1.007</v>
      </c>
      <c r="E5384" s="16">
        <f>IFERROR(__xludf.DUMMYFUNCTION("""COMPUTED_VALUE"""),68.0)</f>
        <v>68</v>
      </c>
      <c r="F5384" s="19" t="str">
        <f>IFERROR(__xludf.DUMMYFUNCTION("""COMPUTED_VALUE"""),"BLACK")</f>
        <v>BLACK</v>
      </c>
      <c r="G5384" s="20" t="str">
        <f>IFERROR(__xludf.DUMMYFUNCTION("""COMPUTED_VALUE"""),"Uncle Sams Cider (04/04/2023)")</f>
        <v>Uncle Sams Cider (04/04/2023)</v>
      </c>
      <c r="H5384" s="19"/>
    </row>
    <row r="5385">
      <c r="A5385" s="9"/>
      <c r="B5385" s="15"/>
      <c r="C5385" s="9">
        <f>IFERROR(__xludf.DUMMYFUNCTION("""COMPUTED_VALUE"""),45088.1286521412)</f>
        <v>45088.12865</v>
      </c>
      <c r="D5385" s="15">
        <f>IFERROR(__xludf.DUMMYFUNCTION("""COMPUTED_VALUE"""),1.007)</f>
        <v>1.007</v>
      </c>
      <c r="E5385" s="16">
        <f>IFERROR(__xludf.DUMMYFUNCTION("""COMPUTED_VALUE"""),68.0)</f>
        <v>68</v>
      </c>
      <c r="F5385" s="19" t="str">
        <f>IFERROR(__xludf.DUMMYFUNCTION("""COMPUTED_VALUE"""),"BLACK")</f>
        <v>BLACK</v>
      </c>
      <c r="G5385" s="20" t="str">
        <f>IFERROR(__xludf.DUMMYFUNCTION("""COMPUTED_VALUE"""),"Uncle Sams Cider (04/04/2023)")</f>
        <v>Uncle Sams Cider (04/04/2023)</v>
      </c>
      <c r="H5385" s="19"/>
    </row>
    <row r="5386">
      <c r="A5386" s="9"/>
      <c r="B5386" s="15"/>
      <c r="C5386" s="9">
        <f>IFERROR(__xludf.DUMMYFUNCTION("""COMPUTED_VALUE"""),45088.1182187847)</f>
        <v>45088.11822</v>
      </c>
      <c r="D5386" s="15">
        <f>IFERROR(__xludf.DUMMYFUNCTION("""COMPUTED_VALUE"""),1.007)</f>
        <v>1.007</v>
      </c>
      <c r="E5386" s="16">
        <f>IFERROR(__xludf.DUMMYFUNCTION("""COMPUTED_VALUE"""),68.0)</f>
        <v>68</v>
      </c>
      <c r="F5386" s="19" t="str">
        <f>IFERROR(__xludf.DUMMYFUNCTION("""COMPUTED_VALUE"""),"BLACK")</f>
        <v>BLACK</v>
      </c>
      <c r="G5386" s="20" t="str">
        <f>IFERROR(__xludf.DUMMYFUNCTION("""COMPUTED_VALUE"""),"Uncle Sams Cider (04/04/2023)")</f>
        <v>Uncle Sams Cider (04/04/2023)</v>
      </c>
      <c r="H5386" s="19"/>
    </row>
    <row r="5387">
      <c r="A5387" s="9"/>
      <c r="B5387" s="15"/>
      <c r="C5387" s="9">
        <f>IFERROR(__xludf.DUMMYFUNCTION("""COMPUTED_VALUE"""),45088.1077955324)</f>
        <v>45088.1078</v>
      </c>
      <c r="D5387" s="15">
        <f>IFERROR(__xludf.DUMMYFUNCTION("""COMPUTED_VALUE"""),1.007)</f>
        <v>1.007</v>
      </c>
      <c r="E5387" s="16">
        <f>IFERROR(__xludf.DUMMYFUNCTION("""COMPUTED_VALUE"""),68.0)</f>
        <v>68</v>
      </c>
      <c r="F5387" s="19" t="str">
        <f>IFERROR(__xludf.DUMMYFUNCTION("""COMPUTED_VALUE"""),"BLACK")</f>
        <v>BLACK</v>
      </c>
      <c r="G5387" s="20" t="str">
        <f>IFERROR(__xludf.DUMMYFUNCTION("""COMPUTED_VALUE"""),"Uncle Sams Cider (04/04/2023)")</f>
        <v>Uncle Sams Cider (04/04/2023)</v>
      </c>
      <c r="H5387" s="19"/>
    </row>
    <row r="5388">
      <c r="A5388" s="9"/>
      <c r="B5388" s="15"/>
      <c r="C5388" s="9">
        <f>IFERROR(__xludf.DUMMYFUNCTION("""COMPUTED_VALUE"""),45088.0973725694)</f>
        <v>45088.09737</v>
      </c>
      <c r="D5388" s="15">
        <f>IFERROR(__xludf.DUMMYFUNCTION("""COMPUTED_VALUE"""),1.007)</f>
        <v>1.007</v>
      </c>
      <c r="E5388" s="16">
        <f>IFERROR(__xludf.DUMMYFUNCTION("""COMPUTED_VALUE"""),68.0)</f>
        <v>68</v>
      </c>
      <c r="F5388" s="19" t="str">
        <f>IFERROR(__xludf.DUMMYFUNCTION("""COMPUTED_VALUE"""),"BLACK")</f>
        <v>BLACK</v>
      </c>
      <c r="G5388" s="20" t="str">
        <f>IFERROR(__xludf.DUMMYFUNCTION("""COMPUTED_VALUE"""),"Uncle Sams Cider (04/04/2023)")</f>
        <v>Uncle Sams Cider (04/04/2023)</v>
      </c>
      <c r="H5388" s="19"/>
    </row>
    <row r="5389">
      <c r="A5389" s="9"/>
      <c r="B5389" s="15"/>
      <c r="C5389" s="9">
        <f>IFERROR(__xludf.DUMMYFUNCTION("""COMPUTED_VALUE"""),45088.0869511458)</f>
        <v>45088.08695</v>
      </c>
      <c r="D5389" s="15">
        <f>IFERROR(__xludf.DUMMYFUNCTION("""COMPUTED_VALUE"""),1.007)</f>
        <v>1.007</v>
      </c>
      <c r="E5389" s="16">
        <f>IFERROR(__xludf.DUMMYFUNCTION("""COMPUTED_VALUE"""),68.0)</f>
        <v>68</v>
      </c>
      <c r="F5389" s="19" t="str">
        <f>IFERROR(__xludf.DUMMYFUNCTION("""COMPUTED_VALUE"""),"BLACK")</f>
        <v>BLACK</v>
      </c>
      <c r="G5389" s="20" t="str">
        <f>IFERROR(__xludf.DUMMYFUNCTION("""COMPUTED_VALUE"""),"Uncle Sams Cider (04/04/2023)")</f>
        <v>Uncle Sams Cider (04/04/2023)</v>
      </c>
      <c r="H5389" s="19"/>
    </row>
    <row r="5390">
      <c r="A5390" s="9"/>
      <c r="B5390" s="15"/>
      <c r="C5390" s="9">
        <f>IFERROR(__xludf.DUMMYFUNCTION("""COMPUTED_VALUE"""),45088.0765314814)</f>
        <v>45088.07653</v>
      </c>
      <c r="D5390" s="15">
        <f>IFERROR(__xludf.DUMMYFUNCTION("""COMPUTED_VALUE"""),1.007)</f>
        <v>1.007</v>
      </c>
      <c r="E5390" s="16">
        <f>IFERROR(__xludf.DUMMYFUNCTION("""COMPUTED_VALUE"""),68.0)</f>
        <v>68</v>
      </c>
      <c r="F5390" s="19" t="str">
        <f>IFERROR(__xludf.DUMMYFUNCTION("""COMPUTED_VALUE"""),"BLACK")</f>
        <v>BLACK</v>
      </c>
      <c r="G5390" s="20" t="str">
        <f>IFERROR(__xludf.DUMMYFUNCTION("""COMPUTED_VALUE"""),"Uncle Sams Cider (04/04/2023)")</f>
        <v>Uncle Sams Cider (04/04/2023)</v>
      </c>
      <c r="H5390" s="19"/>
    </row>
    <row r="5391">
      <c r="A5391" s="9"/>
      <c r="B5391" s="15"/>
      <c r="C5391" s="9">
        <f>IFERROR(__xludf.DUMMYFUNCTION("""COMPUTED_VALUE"""),45088.0660996643)</f>
        <v>45088.0661</v>
      </c>
      <c r="D5391" s="15">
        <f>IFERROR(__xludf.DUMMYFUNCTION("""COMPUTED_VALUE"""),1.007)</f>
        <v>1.007</v>
      </c>
      <c r="E5391" s="16">
        <f>IFERROR(__xludf.DUMMYFUNCTION("""COMPUTED_VALUE"""),68.0)</f>
        <v>68</v>
      </c>
      <c r="F5391" s="19" t="str">
        <f>IFERROR(__xludf.DUMMYFUNCTION("""COMPUTED_VALUE"""),"BLACK")</f>
        <v>BLACK</v>
      </c>
      <c r="G5391" s="20" t="str">
        <f>IFERROR(__xludf.DUMMYFUNCTION("""COMPUTED_VALUE"""),"Uncle Sams Cider (04/04/2023)")</f>
        <v>Uncle Sams Cider (04/04/2023)</v>
      </c>
      <c r="H5391" s="19"/>
    </row>
    <row r="5392">
      <c r="A5392" s="9"/>
      <c r="B5392" s="15"/>
      <c r="C5392" s="9">
        <f>IFERROR(__xludf.DUMMYFUNCTION("""COMPUTED_VALUE"""),45088.0556795601)</f>
        <v>45088.05568</v>
      </c>
      <c r="D5392" s="15">
        <f>IFERROR(__xludf.DUMMYFUNCTION("""COMPUTED_VALUE"""),1.007)</f>
        <v>1.007</v>
      </c>
      <c r="E5392" s="16">
        <f>IFERROR(__xludf.DUMMYFUNCTION("""COMPUTED_VALUE"""),68.0)</f>
        <v>68</v>
      </c>
      <c r="F5392" s="19" t="str">
        <f>IFERROR(__xludf.DUMMYFUNCTION("""COMPUTED_VALUE"""),"BLACK")</f>
        <v>BLACK</v>
      </c>
      <c r="G5392" s="20" t="str">
        <f>IFERROR(__xludf.DUMMYFUNCTION("""COMPUTED_VALUE"""),"Uncle Sams Cider (04/04/2023)")</f>
        <v>Uncle Sams Cider (04/04/2023)</v>
      </c>
      <c r="H5392" s="19"/>
    </row>
    <row r="5393">
      <c r="A5393" s="9"/>
      <c r="B5393" s="15"/>
      <c r="C5393" s="9">
        <f>IFERROR(__xludf.DUMMYFUNCTION("""COMPUTED_VALUE"""),45088.045256331)</f>
        <v>45088.04526</v>
      </c>
      <c r="D5393" s="15">
        <f>IFERROR(__xludf.DUMMYFUNCTION("""COMPUTED_VALUE"""),1.007)</f>
        <v>1.007</v>
      </c>
      <c r="E5393" s="16">
        <f>IFERROR(__xludf.DUMMYFUNCTION("""COMPUTED_VALUE"""),68.0)</f>
        <v>68</v>
      </c>
      <c r="F5393" s="19" t="str">
        <f>IFERROR(__xludf.DUMMYFUNCTION("""COMPUTED_VALUE"""),"BLACK")</f>
        <v>BLACK</v>
      </c>
      <c r="G5393" s="20" t="str">
        <f>IFERROR(__xludf.DUMMYFUNCTION("""COMPUTED_VALUE"""),"Uncle Sams Cider (04/04/2023)")</f>
        <v>Uncle Sams Cider (04/04/2023)</v>
      </c>
      <c r="H5393" s="19"/>
    </row>
    <row r="5394">
      <c r="A5394" s="9"/>
      <c r="B5394" s="15"/>
      <c r="C5394" s="9">
        <f>IFERROR(__xludf.DUMMYFUNCTION("""COMPUTED_VALUE"""),45088.0348356481)</f>
        <v>45088.03484</v>
      </c>
      <c r="D5394" s="15">
        <f>IFERROR(__xludf.DUMMYFUNCTION("""COMPUTED_VALUE"""),1.007)</f>
        <v>1.007</v>
      </c>
      <c r="E5394" s="16">
        <f>IFERROR(__xludf.DUMMYFUNCTION("""COMPUTED_VALUE"""),68.0)</f>
        <v>68</v>
      </c>
      <c r="F5394" s="19" t="str">
        <f>IFERROR(__xludf.DUMMYFUNCTION("""COMPUTED_VALUE"""),"BLACK")</f>
        <v>BLACK</v>
      </c>
      <c r="G5394" s="20" t="str">
        <f>IFERROR(__xludf.DUMMYFUNCTION("""COMPUTED_VALUE"""),"Uncle Sams Cider (04/04/2023)")</f>
        <v>Uncle Sams Cider (04/04/2023)</v>
      </c>
      <c r="H5394" s="19"/>
    </row>
    <row r="5395">
      <c r="A5395" s="9"/>
      <c r="B5395" s="15"/>
      <c r="C5395" s="9">
        <f>IFERROR(__xludf.DUMMYFUNCTION("""COMPUTED_VALUE"""),45088.0244139004)</f>
        <v>45088.02441</v>
      </c>
      <c r="D5395" s="15">
        <f>IFERROR(__xludf.DUMMYFUNCTION("""COMPUTED_VALUE"""),1.007)</f>
        <v>1.007</v>
      </c>
      <c r="E5395" s="16">
        <f>IFERROR(__xludf.DUMMYFUNCTION("""COMPUTED_VALUE"""),68.0)</f>
        <v>68</v>
      </c>
      <c r="F5395" s="19" t="str">
        <f>IFERROR(__xludf.DUMMYFUNCTION("""COMPUTED_VALUE"""),"BLACK")</f>
        <v>BLACK</v>
      </c>
      <c r="G5395" s="20" t="str">
        <f>IFERROR(__xludf.DUMMYFUNCTION("""COMPUTED_VALUE"""),"Uncle Sams Cider (04/04/2023)")</f>
        <v>Uncle Sams Cider (04/04/2023)</v>
      </c>
      <c r="H5395" s="19"/>
    </row>
    <row r="5396">
      <c r="A5396" s="9"/>
      <c r="B5396" s="15"/>
      <c r="C5396" s="9">
        <f>IFERROR(__xludf.DUMMYFUNCTION("""COMPUTED_VALUE"""),45088.0139933101)</f>
        <v>45088.01399</v>
      </c>
      <c r="D5396" s="15">
        <f>IFERROR(__xludf.DUMMYFUNCTION("""COMPUTED_VALUE"""),1.007)</f>
        <v>1.007</v>
      </c>
      <c r="E5396" s="16">
        <f>IFERROR(__xludf.DUMMYFUNCTION("""COMPUTED_VALUE"""),68.0)</f>
        <v>68</v>
      </c>
      <c r="F5396" s="19" t="str">
        <f>IFERROR(__xludf.DUMMYFUNCTION("""COMPUTED_VALUE"""),"BLACK")</f>
        <v>BLACK</v>
      </c>
      <c r="G5396" s="20" t="str">
        <f>IFERROR(__xludf.DUMMYFUNCTION("""COMPUTED_VALUE"""),"Uncle Sams Cider (04/04/2023)")</f>
        <v>Uncle Sams Cider (04/04/2023)</v>
      </c>
      <c r="H5396" s="19"/>
    </row>
    <row r="5397">
      <c r="A5397" s="9"/>
      <c r="B5397" s="15"/>
      <c r="C5397" s="9">
        <f>IFERROR(__xludf.DUMMYFUNCTION("""COMPUTED_VALUE"""),45088.0035718402)</f>
        <v>45088.00357</v>
      </c>
      <c r="D5397" s="15">
        <f>IFERROR(__xludf.DUMMYFUNCTION("""COMPUTED_VALUE"""),1.007)</f>
        <v>1.007</v>
      </c>
      <c r="E5397" s="16">
        <f>IFERROR(__xludf.DUMMYFUNCTION("""COMPUTED_VALUE"""),68.0)</f>
        <v>68</v>
      </c>
      <c r="F5397" s="19" t="str">
        <f>IFERROR(__xludf.DUMMYFUNCTION("""COMPUTED_VALUE"""),"BLACK")</f>
        <v>BLACK</v>
      </c>
      <c r="G5397" s="20" t="str">
        <f>IFERROR(__xludf.DUMMYFUNCTION("""COMPUTED_VALUE"""),"Uncle Sams Cider (04/04/2023)")</f>
        <v>Uncle Sams Cider (04/04/2023)</v>
      </c>
      <c r="H5397" s="19"/>
    </row>
    <row r="5398">
      <c r="A5398" s="9"/>
      <c r="B5398" s="15"/>
      <c r="C5398" s="9">
        <f>IFERROR(__xludf.DUMMYFUNCTION("""COMPUTED_VALUE"""),45087.9931299652)</f>
        <v>45087.99313</v>
      </c>
      <c r="D5398" s="15">
        <f>IFERROR(__xludf.DUMMYFUNCTION("""COMPUTED_VALUE"""),1.007)</f>
        <v>1.007</v>
      </c>
      <c r="E5398" s="16">
        <f>IFERROR(__xludf.DUMMYFUNCTION("""COMPUTED_VALUE"""),68.0)</f>
        <v>68</v>
      </c>
      <c r="F5398" s="19" t="str">
        <f>IFERROR(__xludf.DUMMYFUNCTION("""COMPUTED_VALUE"""),"BLACK")</f>
        <v>BLACK</v>
      </c>
      <c r="G5398" s="20" t="str">
        <f>IFERROR(__xludf.DUMMYFUNCTION("""COMPUTED_VALUE"""),"Uncle Sams Cider (04/04/2023)")</f>
        <v>Uncle Sams Cider (04/04/2023)</v>
      </c>
      <c r="H5398" s="19"/>
    </row>
    <row r="5399">
      <c r="A5399" s="9"/>
      <c r="B5399" s="15"/>
      <c r="C5399" s="9">
        <f>IFERROR(__xludf.DUMMYFUNCTION("""COMPUTED_VALUE"""),45087.9827103356)</f>
        <v>45087.98271</v>
      </c>
      <c r="D5399" s="15">
        <f>IFERROR(__xludf.DUMMYFUNCTION("""COMPUTED_VALUE"""),1.007)</f>
        <v>1.007</v>
      </c>
      <c r="E5399" s="16">
        <f>IFERROR(__xludf.DUMMYFUNCTION("""COMPUTED_VALUE"""),68.0)</f>
        <v>68</v>
      </c>
      <c r="F5399" s="19" t="str">
        <f>IFERROR(__xludf.DUMMYFUNCTION("""COMPUTED_VALUE"""),"BLACK")</f>
        <v>BLACK</v>
      </c>
      <c r="G5399" s="20" t="str">
        <f>IFERROR(__xludf.DUMMYFUNCTION("""COMPUTED_VALUE"""),"Uncle Sams Cider (04/04/2023)")</f>
        <v>Uncle Sams Cider (04/04/2023)</v>
      </c>
      <c r="H5399" s="19"/>
    </row>
    <row r="5400">
      <c r="A5400" s="9"/>
      <c r="B5400" s="15"/>
      <c r="C5400" s="9">
        <f>IFERROR(__xludf.DUMMYFUNCTION("""COMPUTED_VALUE"""),45087.9722886458)</f>
        <v>45087.97229</v>
      </c>
      <c r="D5400" s="15">
        <f>IFERROR(__xludf.DUMMYFUNCTION("""COMPUTED_VALUE"""),1.007)</f>
        <v>1.007</v>
      </c>
      <c r="E5400" s="16">
        <f>IFERROR(__xludf.DUMMYFUNCTION("""COMPUTED_VALUE"""),68.0)</f>
        <v>68</v>
      </c>
      <c r="F5400" s="19" t="str">
        <f>IFERROR(__xludf.DUMMYFUNCTION("""COMPUTED_VALUE"""),"BLACK")</f>
        <v>BLACK</v>
      </c>
      <c r="G5400" s="20" t="str">
        <f>IFERROR(__xludf.DUMMYFUNCTION("""COMPUTED_VALUE"""),"Uncle Sams Cider (04/04/2023)")</f>
        <v>Uncle Sams Cider (04/04/2023)</v>
      </c>
      <c r="H5400" s="19"/>
    </row>
    <row r="5401">
      <c r="A5401" s="9"/>
      <c r="B5401" s="15"/>
      <c r="C5401" s="9">
        <f>IFERROR(__xludf.DUMMYFUNCTION("""COMPUTED_VALUE"""),45087.9618685763)</f>
        <v>45087.96187</v>
      </c>
      <c r="D5401" s="15">
        <f>IFERROR(__xludf.DUMMYFUNCTION("""COMPUTED_VALUE"""),1.007)</f>
        <v>1.007</v>
      </c>
      <c r="E5401" s="16">
        <f>IFERROR(__xludf.DUMMYFUNCTION("""COMPUTED_VALUE"""),68.0)</f>
        <v>68</v>
      </c>
      <c r="F5401" s="19" t="str">
        <f>IFERROR(__xludf.DUMMYFUNCTION("""COMPUTED_VALUE"""),"BLACK")</f>
        <v>BLACK</v>
      </c>
      <c r="G5401" s="20" t="str">
        <f>IFERROR(__xludf.DUMMYFUNCTION("""COMPUTED_VALUE"""),"Uncle Sams Cider (04/04/2023)")</f>
        <v>Uncle Sams Cider (04/04/2023)</v>
      </c>
      <c r="H5401" s="19"/>
    </row>
    <row r="5402">
      <c r="A5402" s="9"/>
      <c r="B5402" s="15"/>
      <c r="C5402" s="9">
        <f>IFERROR(__xludf.DUMMYFUNCTION("""COMPUTED_VALUE"""),45087.9514473032)</f>
        <v>45087.95145</v>
      </c>
      <c r="D5402" s="15">
        <f>IFERROR(__xludf.DUMMYFUNCTION("""COMPUTED_VALUE"""),1.007)</f>
        <v>1.007</v>
      </c>
      <c r="E5402" s="16">
        <f>IFERROR(__xludf.DUMMYFUNCTION("""COMPUTED_VALUE"""),68.0)</f>
        <v>68</v>
      </c>
      <c r="F5402" s="19" t="str">
        <f>IFERROR(__xludf.DUMMYFUNCTION("""COMPUTED_VALUE"""),"BLACK")</f>
        <v>BLACK</v>
      </c>
      <c r="G5402" s="20" t="str">
        <f>IFERROR(__xludf.DUMMYFUNCTION("""COMPUTED_VALUE"""),"Uncle Sams Cider (04/04/2023)")</f>
        <v>Uncle Sams Cider (04/04/2023)</v>
      </c>
      <c r="H5402" s="19"/>
    </row>
    <row r="5403">
      <c r="A5403" s="9"/>
      <c r="B5403" s="15"/>
      <c r="C5403" s="9">
        <f>IFERROR(__xludf.DUMMYFUNCTION("""COMPUTED_VALUE"""),45087.9410146527)</f>
        <v>45087.94101</v>
      </c>
      <c r="D5403" s="15">
        <f>IFERROR(__xludf.DUMMYFUNCTION("""COMPUTED_VALUE"""),1.007)</f>
        <v>1.007</v>
      </c>
      <c r="E5403" s="16">
        <f>IFERROR(__xludf.DUMMYFUNCTION("""COMPUTED_VALUE"""),68.0)</f>
        <v>68</v>
      </c>
      <c r="F5403" s="19" t="str">
        <f>IFERROR(__xludf.DUMMYFUNCTION("""COMPUTED_VALUE"""),"BLACK")</f>
        <v>BLACK</v>
      </c>
      <c r="G5403" s="20" t="str">
        <f>IFERROR(__xludf.DUMMYFUNCTION("""COMPUTED_VALUE"""),"Uncle Sams Cider (04/04/2023)")</f>
        <v>Uncle Sams Cider (04/04/2023)</v>
      </c>
      <c r="H5403" s="19"/>
    </row>
    <row r="5404">
      <c r="A5404" s="9"/>
      <c r="B5404" s="15"/>
      <c r="C5404" s="9">
        <f>IFERROR(__xludf.DUMMYFUNCTION("""COMPUTED_VALUE"""),45087.9305935416)</f>
        <v>45087.93059</v>
      </c>
      <c r="D5404" s="15">
        <f>IFERROR(__xludf.DUMMYFUNCTION("""COMPUTED_VALUE"""),1.007)</f>
        <v>1.007</v>
      </c>
      <c r="E5404" s="16">
        <f>IFERROR(__xludf.DUMMYFUNCTION("""COMPUTED_VALUE"""),68.0)</f>
        <v>68</v>
      </c>
      <c r="F5404" s="19" t="str">
        <f>IFERROR(__xludf.DUMMYFUNCTION("""COMPUTED_VALUE"""),"BLACK")</f>
        <v>BLACK</v>
      </c>
      <c r="G5404" s="20" t="str">
        <f>IFERROR(__xludf.DUMMYFUNCTION("""COMPUTED_VALUE"""),"Uncle Sams Cider (04/04/2023)")</f>
        <v>Uncle Sams Cider (04/04/2023)</v>
      </c>
      <c r="H5404" s="19"/>
    </row>
    <row r="5405">
      <c r="A5405" s="9"/>
      <c r="B5405" s="15"/>
      <c r="C5405" s="9">
        <f>IFERROR(__xludf.DUMMYFUNCTION("""COMPUTED_VALUE"""),45087.9201713773)</f>
        <v>45087.92017</v>
      </c>
      <c r="D5405" s="15">
        <f>IFERROR(__xludf.DUMMYFUNCTION("""COMPUTED_VALUE"""),1.007)</f>
        <v>1.007</v>
      </c>
      <c r="E5405" s="16">
        <f>IFERROR(__xludf.DUMMYFUNCTION("""COMPUTED_VALUE"""),68.0)</f>
        <v>68</v>
      </c>
      <c r="F5405" s="19" t="str">
        <f>IFERROR(__xludf.DUMMYFUNCTION("""COMPUTED_VALUE"""),"BLACK")</f>
        <v>BLACK</v>
      </c>
      <c r="G5405" s="20" t="str">
        <f>IFERROR(__xludf.DUMMYFUNCTION("""COMPUTED_VALUE"""),"Uncle Sams Cider (04/04/2023)")</f>
        <v>Uncle Sams Cider (04/04/2023)</v>
      </c>
      <c r="H5405" s="19"/>
    </row>
    <row r="5406">
      <c r="A5406" s="9"/>
      <c r="B5406" s="15"/>
      <c r="C5406" s="9">
        <f>IFERROR(__xludf.DUMMYFUNCTION("""COMPUTED_VALUE"""),45087.9097504861)</f>
        <v>45087.90975</v>
      </c>
      <c r="D5406" s="15">
        <f>IFERROR(__xludf.DUMMYFUNCTION("""COMPUTED_VALUE"""),1.007)</f>
        <v>1.007</v>
      </c>
      <c r="E5406" s="16">
        <f>IFERROR(__xludf.DUMMYFUNCTION("""COMPUTED_VALUE"""),68.0)</f>
        <v>68</v>
      </c>
      <c r="F5406" s="19" t="str">
        <f>IFERROR(__xludf.DUMMYFUNCTION("""COMPUTED_VALUE"""),"BLACK")</f>
        <v>BLACK</v>
      </c>
      <c r="G5406" s="20" t="str">
        <f>IFERROR(__xludf.DUMMYFUNCTION("""COMPUTED_VALUE"""),"Uncle Sams Cider (04/04/2023)")</f>
        <v>Uncle Sams Cider (04/04/2023)</v>
      </c>
      <c r="H5406" s="19"/>
    </row>
    <row r="5407">
      <c r="A5407" s="9"/>
      <c r="B5407" s="15"/>
      <c r="C5407" s="9">
        <f>IFERROR(__xludf.DUMMYFUNCTION("""COMPUTED_VALUE"""),45087.8993289351)</f>
        <v>45087.89933</v>
      </c>
      <c r="D5407" s="15">
        <f>IFERROR(__xludf.DUMMYFUNCTION("""COMPUTED_VALUE"""),1.007)</f>
        <v>1.007</v>
      </c>
      <c r="E5407" s="16">
        <f>IFERROR(__xludf.DUMMYFUNCTION("""COMPUTED_VALUE"""),68.0)</f>
        <v>68</v>
      </c>
      <c r="F5407" s="19" t="str">
        <f>IFERROR(__xludf.DUMMYFUNCTION("""COMPUTED_VALUE"""),"BLACK")</f>
        <v>BLACK</v>
      </c>
      <c r="G5407" s="20" t="str">
        <f>IFERROR(__xludf.DUMMYFUNCTION("""COMPUTED_VALUE"""),"Uncle Sams Cider (04/04/2023)")</f>
        <v>Uncle Sams Cider (04/04/2023)</v>
      </c>
      <c r="H5407" s="19"/>
    </row>
    <row r="5408">
      <c r="A5408" s="9"/>
      <c r="B5408" s="15"/>
      <c r="C5408" s="9">
        <f>IFERROR(__xludf.DUMMYFUNCTION("""COMPUTED_VALUE"""),45087.8889084606)</f>
        <v>45087.88891</v>
      </c>
      <c r="D5408" s="15">
        <f>IFERROR(__xludf.DUMMYFUNCTION("""COMPUTED_VALUE"""),1.007)</f>
        <v>1.007</v>
      </c>
      <c r="E5408" s="16">
        <f>IFERROR(__xludf.DUMMYFUNCTION("""COMPUTED_VALUE"""),68.0)</f>
        <v>68</v>
      </c>
      <c r="F5408" s="19" t="str">
        <f>IFERROR(__xludf.DUMMYFUNCTION("""COMPUTED_VALUE"""),"BLACK")</f>
        <v>BLACK</v>
      </c>
      <c r="G5408" s="20" t="str">
        <f>IFERROR(__xludf.DUMMYFUNCTION("""COMPUTED_VALUE"""),"Uncle Sams Cider (04/04/2023)")</f>
        <v>Uncle Sams Cider (04/04/2023)</v>
      </c>
      <c r="H5408" s="19"/>
    </row>
    <row r="5409">
      <c r="A5409" s="9"/>
      <c r="B5409" s="15"/>
      <c r="C5409" s="9">
        <f>IFERROR(__xludf.DUMMYFUNCTION("""COMPUTED_VALUE"""),45087.8784752314)</f>
        <v>45087.87848</v>
      </c>
      <c r="D5409" s="15">
        <f>IFERROR(__xludf.DUMMYFUNCTION("""COMPUTED_VALUE"""),1.007)</f>
        <v>1.007</v>
      </c>
      <c r="E5409" s="16">
        <f>IFERROR(__xludf.DUMMYFUNCTION("""COMPUTED_VALUE"""),68.0)</f>
        <v>68</v>
      </c>
      <c r="F5409" s="19" t="str">
        <f>IFERROR(__xludf.DUMMYFUNCTION("""COMPUTED_VALUE"""),"BLACK")</f>
        <v>BLACK</v>
      </c>
      <c r="G5409" s="20" t="str">
        <f>IFERROR(__xludf.DUMMYFUNCTION("""COMPUTED_VALUE"""),"Uncle Sams Cider (04/04/2023)")</f>
        <v>Uncle Sams Cider (04/04/2023)</v>
      </c>
      <c r="H5409" s="19"/>
    </row>
    <row r="5410">
      <c r="A5410" s="9"/>
      <c r="B5410" s="15"/>
      <c r="C5410" s="9">
        <f>IFERROR(__xludf.DUMMYFUNCTION("""COMPUTED_VALUE"""),45087.8680529745)</f>
        <v>45087.86805</v>
      </c>
      <c r="D5410" s="15">
        <f>IFERROR(__xludf.DUMMYFUNCTION("""COMPUTED_VALUE"""),1.007)</f>
        <v>1.007</v>
      </c>
      <c r="E5410" s="16">
        <f>IFERROR(__xludf.DUMMYFUNCTION("""COMPUTED_VALUE"""),68.0)</f>
        <v>68</v>
      </c>
      <c r="F5410" s="19" t="str">
        <f>IFERROR(__xludf.DUMMYFUNCTION("""COMPUTED_VALUE"""),"BLACK")</f>
        <v>BLACK</v>
      </c>
      <c r="G5410" s="20" t="str">
        <f>IFERROR(__xludf.DUMMYFUNCTION("""COMPUTED_VALUE"""),"Uncle Sams Cider (04/04/2023)")</f>
        <v>Uncle Sams Cider (04/04/2023)</v>
      </c>
      <c r="H5410" s="19"/>
    </row>
    <row r="5411">
      <c r="A5411" s="9"/>
      <c r="B5411" s="15"/>
      <c r="C5411" s="9">
        <f>IFERROR(__xludf.DUMMYFUNCTION("""COMPUTED_VALUE"""),45087.8576222106)</f>
        <v>45087.85762</v>
      </c>
      <c r="D5411" s="15">
        <f>IFERROR(__xludf.DUMMYFUNCTION("""COMPUTED_VALUE"""),1.007)</f>
        <v>1.007</v>
      </c>
      <c r="E5411" s="16">
        <f>IFERROR(__xludf.DUMMYFUNCTION("""COMPUTED_VALUE"""),68.0)</f>
        <v>68</v>
      </c>
      <c r="F5411" s="19" t="str">
        <f>IFERROR(__xludf.DUMMYFUNCTION("""COMPUTED_VALUE"""),"BLACK")</f>
        <v>BLACK</v>
      </c>
      <c r="G5411" s="20" t="str">
        <f>IFERROR(__xludf.DUMMYFUNCTION("""COMPUTED_VALUE"""),"Uncle Sams Cider (04/04/2023)")</f>
        <v>Uncle Sams Cider (04/04/2023)</v>
      </c>
      <c r="H5411" s="19"/>
    </row>
    <row r="5412">
      <c r="A5412" s="9"/>
      <c r="B5412" s="15"/>
      <c r="C5412" s="9">
        <f>IFERROR(__xludf.DUMMYFUNCTION("""COMPUTED_VALUE"""),45087.8472020138)</f>
        <v>45087.8472</v>
      </c>
      <c r="D5412" s="15">
        <f>IFERROR(__xludf.DUMMYFUNCTION("""COMPUTED_VALUE"""),1.007)</f>
        <v>1.007</v>
      </c>
      <c r="E5412" s="16">
        <f>IFERROR(__xludf.DUMMYFUNCTION("""COMPUTED_VALUE"""),68.0)</f>
        <v>68</v>
      </c>
      <c r="F5412" s="19" t="str">
        <f>IFERROR(__xludf.DUMMYFUNCTION("""COMPUTED_VALUE"""),"BLACK")</f>
        <v>BLACK</v>
      </c>
      <c r="G5412" s="20" t="str">
        <f>IFERROR(__xludf.DUMMYFUNCTION("""COMPUTED_VALUE"""),"Uncle Sams Cider (04/04/2023)")</f>
        <v>Uncle Sams Cider (04/04/2023)</v>
      </c>
      <c r="H5412" s="19"/>
    </row>
    <row r="5413">
      <c r="A5413" s="9"/>
      <c r="B5413" s="15"/>
      <c r="C5413" s="9">
        <f>IFERROR(__xludf.DUMMYFUNCTION("""COMPUTED_VALUE"""),45087.8367796643)</f>
        <v>45087.83678</v>
      </c>
      <c r="D5413" s="15">
        <f>IFERROR(__xludf.DUMMYFUNCTION("""COMPUTED_VALUE"""),1.007)</f>
        <v>1.007</v>
      </c>
      <c r="E5413" s="16">
        <f>IFERROR(__xludf.DUMMYFUNCTION("""COMPUTED_VALUE"""),68.0)</f>
        <v>68</v>
      </c>
      <c r="F5413" s="19" t="str">
        <f>IFERROR(__xludf.DUMMYFUNCTION("""COMPUTED_VALUE"""),"BLACK")</f>
        <v>BLACK</v>
      </c>
      <c r="G5413" s="20" t="str">
        <f>IFERROR(__xludf.DUMMYFUNCTION("""COMPUTED_VALUE"""),"Uncle Sams Cider (04/04/2023)")</f>
        <v>Uncle Sams Cider (04/04/2023)</v>
      </c>
      <c r="H5413" s="19"/>
    </row>
    <row r="5414">
      <c r="A5414" s="9"/>
      <c r="B5414" s="15"/>
      <c r="C5414" s="9">
        <f>IFERROR(__xludf.DUMMYFUNCTION("""COMPUTED_VALUE"""),45087.8263350231)</f>
        <v>45087.82634</v>
      </c>
      <c r="D5414" s="15">
        <f>IFERROR(__xludf.DUMMYFUNCTION("""COMPUTED_VALUE"""),1.007)</f>
        <v>1.007</v>
      </c>
      <c r="E5414" s="16">
        <f>IFERROR(__xludf.DUMMYFUNCTION("""COMPUTED_VALUE"""),68.0)</f>
        <v>68</v>
      </c>
      <c r="F5414" s="19" t="str">
        <f>IFERROR(__xludf.DUMMYFUNCTION("""COMPUTED_VALUE"""),"BLACK")</f>
        <v>BLACK</v>
      </c>
      <c r="G5414" s="20" t="str">
        <f>IFERROR(__xludf.DUMMYFUNCTION("""COMPUTED_VALUE"""),"Uncle Sams Cider (04/04/2023)")</f>
        <v>Uncle Sams Cider (04/04/2023)</v>
      </c>
      <c r="H5414" s="19"/>
    </row>
    <row r="5415">
      <c r="A5415" s="9"/>
      <c r="B5415" s="15"/>
      <c r="C5415" s="9">
        <f>IFERROR(__xludf.DUMMYFUNCTION("""COMPUTED_VALUE"""),45087.8071310879)</f>
        <v>45087.80713</v>
      </c>
      <c r="D5415" s="15">
        <f>IFERROR(__xludf.DUMMYFUNCTION("""COMPUTED_VALUE"""),1.007)</f>
        <v>1.007</v>
      </c>
      <c r="E5415" s="16">
        <f>IFERROR(__xludf.DUMMYFUNCTION("""COMPUTED_VALUE"""),68.0)</f>
        <v>68</v>
      </c>
      <c r="F5415" s="19" t="str">
        <f>IFERROR(__xludf.DUMMYFUNCTION("""COMPUTED_VALUE"""),"BLACK")</f>
        <v>BLACK</v>
      </c>
      <c r="G5415" s="20" t="str">
        <f>IFERROR(__xludf.DUMMYFUNCTION("""COMPUTED_VALUE"""),"Uncle Sams Cider (04/04/2023)")</f>
        <v>Uncle Sams Cider (04/04/2023)</v>
      </c>
      <c r="H5415" s="19"/>
    </row>
    <row r="5416">
      <c r="A5416" s="9"/>
      <c r="B5416" s="15"/>
      <c r="C5416" s="9">
        <f>IFERROR(__xludf.DUMMYFUNCTION("""COMPUTED_VALUE"""),45087.7967120833)</f>
        <v>45087.79671</v>
      </c>
      <c r="D5416" s="15">
        <f>IFERROR(__xludf.DUMMYFUNCTION("""COMPUTED_VALUE"""),1.007)</f>
        <v>1.007</v>
      </c>
      <c r="E5416" s="16">
        <f>IFERROR(__xludf.DUMMYFUNCTION("""COMPUTED_VALUE"""),68.0)</f>
        <v>68</v>
      </c>
      <c r="F5416" s="19" t="str">
        <f>IFERROR(__xludf.DUMMYFUNCTION("""COMPUTED_VALUE"""),"BLACK")</f>
        <v>BLACK</v>
      </c>
      <c r="G5416" s="20" t="str">
        <f>IFERROR(__xludf.DUMMYFUNCTION("""COMPUTED_VALUE"""),"Uncle Sams Cider (04/04/2023)")</f>
        <v>Uncle Sams Cider (04/04/2023)</v>
      </c>
      <c r="H5416" s="19"/>
    </row>
    <row r="5417">
      <c r="A5417" s="9"/>
      <c r="B5417" s="15"/>
      <c r="C5417" s="9">
        <f>IFERROR(__xludf.DUMMYFUNCTION("""COMPUTED_VALUE"""),45087.7862897338)</f>
        <v>45087.78629</v>
      </c>
      <c r="D5417" s="15">
        <f>IFERROR(__xludf.DUMMYFUNCTION("""COMPUTED_VALUE"""),1.007)</f>
        <v>1.007</v>
      </c>
      <c r="E5417" s="16">
        <f>IFERROR(__xludf.DUMMYFUNCTION("""COMPUTED_VALUE"""),68.0)</f>
        <v>68</v>
      </c>
      <c r="F5417" s="19" t="str">
        <f>IFERROR(__xludf.DUMMYFUNCTION("""COMPUTED_VALUE"""),"BLACK")</f>
        <v>BLACK</v>
      </c>
      <c r="G5417" s="20" t="str">
        <f>IFERROR(__xludf.DUMMYFUNCTION("""COMPUTED_VALUE"""),"Uncle Sams Cider (04/04/2023)")</f>
        <v>Uncle Sams Cider (04/04/2023)</v>
      </c>
      <c r="H5417" s="19"/>
    </row>
    <row r="5418">
      <c r="A5418" s="9"/>
      <c r="B5418" s="15"/>
      <c r="C5418" s="9">
        <f>IFERROR(__xludf.DUMMYFUNCTION("""COMPUTED_VALUE"""),45087.7758462963)</f>
        <v>45087.77585</v>
      </c>
      <c r="D5418" s="15">
        <f>IFERROR(__xludf.DUMMYFUNCTION("""COMPUTED_VALUE"""),1.007)</f>
        <v>1.007</v>
      </c>
      <c r="E5418" s="16">
        <f>IFERROR(__xludf.DUMMYFUNCTION("""COMPUTED_VALUE"""),68.0)</f>
        <v>68</v>
      </c>
      <c r="F5418" s="19" t="str">
        <f>IFERROR(__xludf.DUMMYFUNCTION("""COMPUTED_VALUE"""),"BLACK")</f>
        <v>BLACK</v>
      </c>
      <c r="G5418" s="20" t="str">
        <f>IFERROR(__xludf.DUMMYFUNCTION("""COMPUTED_VALUE"""),"Uncle Sams Cider (04/04/2023)")</f>
        <v>Uncle Sams Cider (04/04/2023)</v>
      </c>
      <c r="H5418" s="19"/>
    </row>
    <row r="5419">
      <c r="A5419" s="9"/>
      <c r="B5419" s="15"/>
      <c r="C5419" s="9">
        <f>IFERROR(__xludf.DUMMYFUNCTION("""COMPUTED_VALUE"""),45087.7654243287)</f>
        <v>45087.76542</v>
      </c>
      <c r="D5419" s="15">
        <f>IFERROR(__xludf.DUMMYFUNCTION("""COMPUTED_VALUE"""),1.007)</f>
        <v>1.007</v>
      </c>
      <c r="E5419" s="16">
        <f>IFERROR(__xludf.DUMMYFUNCTION("""COMPUTED_VALUE"""),68.0)</f>
        <v>68</v>
      </c>
      <c r="F5419" s="19" t="str">
        <f>IFERROR(__xludf.DUMMYFUNCTION("""COMPUTED_VALUE"""),"BLACK")</f>
        <v>BLACK</v>
      </c>
      <c r="G5419" s="20" t="str">
        <f>IFERROR(__xludf.DUMMYFUNCTION("""COMPUTED_VALUE"""),"Uncle Sams Cider (04/04/2023)")</f>
        <v>Uncle Sams Cider (04/04/2023)</v>
      </c>
      <c r="H5419" s="19"/>
    </row>
    <row r="5420">
      <c r="A5420" s="9"/>
      <c r="B5420" s="15"/>
      <c r="C5420" s="9">
        <f>IFERROR(__xludf.DUMMYFUNCTION("""COMPUTED_VALUE"""),45087.7549926504)</f>
        <v>45087.75499</v>
      </c>
      <c r="D5420" s="15">
        <f>IFERROR(__xludf.DUMMYFUNCTION("""COMPUTED_VALUE"""),1.007)</f>
        <v>1.007</v>
      </c>
      <c r="E5420" s="16">
        <f>IFERROR(__xludf.DUMMYFUNCTION("""COMPUTED_VALUE"""),68.0)</f>
        <v>68</v>
      </c>
      <c r="F5420" s="19" t="str">
        <f>IFERROR(__xludf.DUMMYFUNCTION("""COMPUTED_VALUE"""),"BLACK")</f>
        <v>BLACK</v>
      </c>
      <c r="G5420" s="20" t="str">
        <f>IFERROR(__xludf.DUMMYFUNCTION("""COMPUTED_VALUE"""),"Uncle Sams Cider (04/04/2023)")</f>
        <v>Uncle Sams Cider (04/04/2023)</v>
      </c>
      <c r="H5420" s="19"/>
    </row>
    <row r="5421">
      <c r="A5421" s="9"/>
      <c r="B5421" s="15"/>
      <c r="C5421" s="9">
        <f>IFERROR(__xludf.DUMMYFUNCTION("""COMPUTED_VALUE"""),45087.7445691782)</f>
        <v>45087.74457</v>
      </c>
      <c r="D5421" s="15">
        <f>IFERROR(__xludf.DUMMYFUNCTION("""COMPUTED_VALUE"""),1.007)</f>
        <v>1.007</v>
      </c>
      <c r="E5421" s="16">
        <f>IFERROR(__xludf.DUMMYFUNCTION("""COMPUTED_VALUE"""),68.0)</f>
        <v>68</v>
      </c>
      <c r="F5421" s="19" t="str">
        <f>IFERROR(__xludf.DUMMYFUNCTION("""COMPUTED_VALUE"""),"BLACK")</f>
        <v>BLACK</v>
      </c>
      <c r="G5421" s="20" t="str">
        <f>IFERROR(__xludf.DUMMYFUNCTION("""COMPUTED_VALUE"""),"Uncle Sams Cider (04/04/2023)")</f>
        <v>Uncle Sams Cider (04/04/2023)</v>
      </c>
      <c r="H5421" s="19"/>
    </row>
    <row r="5422">
      <c r="A5422" s="9"/>
      <c r="B5422" s="15"/>
      <c r="C5422" s="9">
        <f>IFERROR(__xludf.DUMMYFUNCTION("""COMPUTED_VALUE"""),45087.7341377662)</f>
        <v>45087.73414</v>
      </c>
      <c r="D5422" s="15">
        <f>IFERROR(__xludf.DUMMYFUNCTION("""COMPUTED_VALUE"""),1.007)</f>
        <v>1.007</v>
      </c>
      <c r="E5422" s="16">
        <f>IFERROR(__xludf.DUMMYFUNCTION("""COMPUTED_VALUE"""),68.0)</f>
        <v>68</v>
      </c>
      <c r="F5422" s="19" t="str">
        <f>IFERROR(__xludf.DUMMYFUNCTION("""COMPUTED_VALUE"""),"BLACK")</f>
        <v>BLACK</v>
      </c>
      <c r="G5422" s="20" t="str">
        <f>IFERROR(__xludf.DUMMYFUNCTION("""COMPUTED_VALUE"""),"Uncle Sams Cider (04/04/2023)")</f>
        <v>Uncle Sams Cider (04/04/2023)</v>
      </c>
      <c r="H5422" s="19"/>
    </row>
    <row r="5423">
      <c r="A5423" s="9"/>
      <c r="B5423" s="15"/>
      <c r="C5423" s="9">
        <f>IFERROR(__xludf.DUMMYFUNCTION("""COMPUTED_VALUE"""),45087.7237164004)</f>
        <v>45087.72372</v>
      </c>
      <c r="D5423" s="15">
        <f>IFERROR(__xludf.DUMMYFUNCTION("""COMPUTED_VALUE"""),1.007)</f>
        <v>1.007</v>
      </c>
      <c r="E5423" s="16">
        <f>IFERROR(__xludf.DUMMYFUNCTION("""COMPUTED_VALUE"""),68.0)</f>
        <v>68</v>
      </c>
      <c r="F5423" s="19" t="str">
        <f>IFERROR(__xludf.DUMMYFUNCTION("""COMPUTED_VALUE"""),"BLACK")</f>
        <v>BLACK</v>
      </c>
      <c r="G5423" s="20" t="str">
        <f>IFERROR(__xludf.DUMMYFUNCTION("""COMPUTED_VALUE"""),"Uncle Sams Cider (04/04/2023)")</f>
        <v>Uncle Sams Cider (04/04/2023)</v>
      </c>
      <c r="H5423" s="19"/>
    </row>
    <row r="5424">
      <c r="A5424" s="9"/>
      <c r="B5424" s="15"/>
      <c r="C5424" s="9">
        <f>IFERROR(__xludf.DUMMYFUNCTION("""COMPUTED_VALUE"""),45087.7132809953)</f>
        <v>45087.71328</v>
      </c>
      <c r="D5424" s="15">
        <f>IFERROR(__xludf.DUMMYFUNCTION("""COMPUTED_VALUE"""),1.007)</f>
        <v>1.007</v>
      </c>
      <c r="E5424" s="16">
        <f>IFERROR(__xludf.DUMMYFUNCTION("""COMPUTED_VALUE"""),68.0)</f>
        <v>68</v>
      </c>
      <c r="F5424" s="19" t="str">
        <f>IFERROR(__xludf.DUMMYFUNCTION("""COMPUTED_VALUE"""),"BLACK")</f>
        <v>BLACK</v>
      </c>
      <c r="G5424" s="20" t="str">
        <f>IFERROR(__xludf.DUMMYFUNCTION("""COMPUTED_VALUE"""),"Uncle Sams Cider (04/04/2023)")</f>
        <v>Uncle Sams Cider (04/04/2023)</v>
      </c>
      <c r="H5424" s="19"/>
    </row>
    <row r="5425">
      <c r="A5425" s="9"/>
      <c r="B5425" s="15"/>
      <c r="C5425" s="9">
        <f>IFERROR(__xludf.DUMMYFUNCTION("""COMPUTED_VALUE"""),45087.7028587037)</f>
        <v>45087.70286</v>
      </c>
      <c r="D5425" s="15">
        <f>IFERROR(__xludf.DUMMYFUNCTION("""COMPUTED_VALUE"""),1.007)</f>
        <v>1.007</v>
      </c>
      <c r="E5425" s="16">
        <f>IFERROR(__xludf.DUMMYFUNCTION("""COMPUTED_VALUE"""),68.0)</f>
        <v>68</v>
      </c>
      <c r="F5425" s="19" t="str">
        <f>IFERROR(__xludf.DUMMYFUNCTION("""COMPUTED_VALUE"""),"BLACK")</f>
        <v>BLACK</v>
      </c>
      <c r="G5425" s="20" t="str">
        <f>IFERROR(__xludf.DUMMYFUNCTION("""COMPUTED_VALUE"""),"Uncle Sams Cider (04/04/2023)")</f>
        <v>Uncle Sams Cider (04/04/2023)</v>
      </c>
      <c r="H5425" s="19"/>
    </row>
    <row r="5426">
      <c r="A5426" s="9"/>
      <c r="B5426" s="15"/>
      <c r="C5426" s="9">
        <f>IFERROR(__xludf.DUMMYFUNCTION("""COMPUTED_VALUE"""),45087.6924369097)</f>
        <v>45087.69244</v>
      </c>
      <c r="D5426" s="15">
        <f>IFERROR(__xludf.DUMMYFUNCTION("""COMPUTED_VALUE"""),1.007)</f>
        <v>1.007</v>
      </c>
      <c r="E5426" s="16">
        <f>IFERROR(__xludf.DUMMYFUNCTION("""COMPUTED_VALUE"""),68.0)</f>
        <v>68</v>
      </c>
      <c r="F5426" s="19" t="str">
        <f>IFERROR(__xludf.DUMMYFUNCTION("""COMPUTED_VALUE"""),"BLACK")</f>
        <v>BLACK</v>
      </c>
      <c r="G5426" s="20" t="str">
        <f>IFERROR(__xludf.DUMMYFUNCTION("""COMPUTED_VALUE"""),"Uncle Sams Cider (04/04/2023)")</f>
        <v>Uncle Sams Cider (04/04/2023)</v>
      </c>
      <c r="H5426" s="19"/>
    </row>
    <row r="5427">
      <c r="A5427" s="9"/>
      <c r="B5427" s="15"/>
      <c r="C5427" s="9">
        <f>IFERROR(__xludf.DUMMYFUNCTION("""COMPUTED_VALUE"""),45087.6820159375)</f>
        <v>45087.68202</v>
      </c>
      <c r="D5427" s="15">
        <f>IFERROR(__xludf.DUMMYFUNCTION("""COMPUTED_VALUE"""),1.007)</f>
        <v>1.007</v>
      </c>
      <c r="E5427" s="16">
        <f>IFERROR(__xludf.DUMMYFUNCTION("""COMPUTED_VALUE"""),68.0)</f>
        <v>68</v>
      </c>
      <c r="F5427" s="19" t="str">
        <f>IFERROR(__xludf.DUMMYFUNCTION("""COMPUTED_VALUE"""),"BLACK")</f>
        <v>BLACK</v>
      </c>
      <c r="G5427" s="20" t="str">
        <f>IFERROR(__xludf.DUMMYFUNCTION("""COMPUTED_VALUE"""),"Uncle Sams Cider (04/04/2023)")</f>
        <v>Uncle Sams Cider (04/04/2023)</v>
      </c>
      <c r="H5427" s="19"/>
    </row>
    <row r="5428">
      <c r="A5428" s="9"/>
      <c r="B5428" s="15"/>
      <c r="C5428" s="9">
        <f>IFERROR(__xludf.DUMMYFUNCTION("""COMPUTED_VALUE"""),45087.6715720949)</f>
        <v>45087.67157</v>
      </c>
      <c r="D5428" s="15">
        <f>IFERROR(__xludf.DUMMYFUNCTION("""COMPUTED_VALUE"""),1.007)</f>
        <v>1.007</v>
      </c>
      <c r="E5428" s="16">
        <f>IFERROR(__xludf.DUMMYFUNCTION("""COMPUTED_VALUE"""),68.0)</f>
        <v>68</v>
      </c>
      <c r="F5428" s="19" t="str">
        <f>IFERROR(__xludf.DUMMYFUNCTION("""COMPUTED_VALUE"""),"BLACK")</f>
        <v>BLACK</v>
      </c>
      <c r="G5428" s="20" t="str">
        <f>IFERROR(__xludf.DUMMYFUNCTION("""COMPUTED_VALUE"""),"Uncle Sams Cider (04/04/2023)")</f>
        <v>Uncle Sams Cider (04/04/2023)</v>
      </c>
      <c r="H5428" s="19"/>
    </row>
    <row r="5429">
      <c r="A5429" s="9"/>
      <c r="B5429" s="15"/>
      <c r="C5429" s="9">
        <f>IFERROR(__xludf.DUMMYFUNCTION("""COMPUTED_VALUE"""),45087.6611505092)</f>
        <v>45087.66115</v>
      </c>
      <c r="D5429" s="15">
        <f>IFERROR(__xludf.DUMMYFUNCTION("""COMPUTED_VALUE"""),1.007)</f>
        <v>1.007</v>
      </c>
      <c r="E5429" s="16">
        <f>IFERROR(__xludf.DUMMYFUNCTION("""COMPUTED_VALUE"""),68.0)</f>
        <v>68</v>
      </c>
      <c r="F5429" s="19" t="str">
        <f>IFERROR(__xludf.DUMMYFUNCTION("""COMPUTED_VALUE"""),"BLACK")</f>
        <v>BLACK</v>
      </c>
      <c r="G5429" s="20" t="str">
        <f>IFERROR(__xludf.DUMMYFUNCTION("""COMPUTED_VALUE"""),"Uncle Sams Cider (04/04/2023)")</f>
        <v>Uncle Sams Cider (04/04/2023)</v>
      </c>
      <c r="H5429" s="19"/>
    </row>
    <row r="5430">
      <c r="A5430" s="9"/>
      <c r="B5430" s="15"/>
      <c r="C5430" s="9">
        <f>IFERROR(__xludf.DUMMYFUNCTION("""COMPUTED_VALUE"""),45087.6507069907)</f>
        <v>45087.65071</v>
      </c>
      <c r="D5430" s="15">
        <f>IFERROR(__xludf.DUMMYFUNCTION("""COMPUTED_VALUE"""),1.007)</f>
        <v>1.007</v>
      </c>
      <c r="E5430" s="16">
        <f>IFERROR(__xludf.DUMMYFUNCTION("""COMPUTED_VALUE"""),68.0)</f>
        <v>68</v>
      </c>
      <c r="F5430" s="19" t="str">
        <f>IFERROR(__xludf.DUMMYFUNCTION("""COMPUTED_VALUE"""),"BLACK")</f>
        <v>BLACK</v>
      </c>
      <c r="G5430" s="20" t="str">
        <f>IFERROR(__xludf.DUMMYFUNCTION("""COMPUTED_VALUE"""),"Uncle Sams Cider (04/04/2023)")</f>
        <v>Uncle Sams Cider (04/04/2023)</v>
      </c>
      <c r="H5430" s="19"/>
    </row>
    <row r="5431">
      <c r="A5431" s="9"/>
      <c r="B5431" s="15"/>
      <c r="C5431" s="9">
        <f>IFERROR(__xludf.DUMMYFUNCTION("""COMPUTED_VALUE"""),45087.6402742476)</f>
        <v>45087.64027</v>
      </c>
      <c r="D5431" s="15">
        <f>IFERROR(__xludf.DUMMYFUNCTION("""COMPUTED_VALUE"""),1.007)</f>
        <v>1.007</v>
      </c>
      <c r="E5431" s="16">
        <f>IFERROR(__xludf.DUMMYFUNCTION("""COMPUTED_VALUE"""),68.0)</f>
        <v>68</v>
      </c>
      <c r="F5431" s="19" t="str">
        <f>IFERROR(__xludf.DUMMYFUNCTION("""COMPUTED_VALUE"""),"BLACK")</f>
        <v>BLACK</v>
      </c>
      <c r="G5431" s="20" t="str">
        <f>IFERROR(__xludf.DUMMYFUNCTION("""COMPUTED_VALUE"""),"Uncle Sams Cider (04/04/2023)")</f>
        <v>Uncle Sams Cider (04/04/2023)</v>
      </c>
      <c r="H5431" s="19"/>
    </row>
    <row r="5432">
      <c r="A5432" s="9"/>
      <c r="B5432" s="15"/>
      <c r="C5432" s="9">
        <f>IFERROR(__xludf.DUMMYFUNCTION("""COMPUTED_VALUE"""),45087.6298527083)</f>
        <v>45087.62985</v>
      </c>
      <c r="D5432" s="15">
        <f>IFERROR(__xludf.DUMMYFUNCTION("""COMPUTED_VALUE"""),1.007)</f>
        <v>1.007</v>
      </c>
      <c r="E5432" s="16">
        <f>IFERROR(__xludf.DUMMYFUNCTION("""COMPUTED_VALUE"""),68.0)</f>
        <v>68</v>
      </c>
      <c r="F5432" s="19" t="str">
        <f>IFERROR(__xludf.DUMMYFUNCTION("""COMPUTED_VALUE"""),"BLACK")</f>
        <v>BLACK</v>
      </c>
      <c r="G5432" s="20" t="str">
        <f>IFERROR(__xludf.DUMMYFUNCTION("""COMPUTED_VALUE"""),"Uncle Sams Cider (04/04/2023)")</f>
        <v>Uncle Sams Cider (04/04/2023)</v>
      </c>
      <c r="H5432" s="19"/>
    </row>
    <row r="5433">
      <c r="A5433" s="9"/>
      <c r="B5433" s="15"/>
      <c r="C5433" s="9">
        <f>IFERROR(__xludf.DUMMYFUNCTION("""COMPUTED_VALUE"""),45087.6194320833)</f>
        <v>45087.61943</v>
      </c>
      <c r="D5433" s="15">
        <f>IFERROR(__xludf.DUMMYFUNCTION("""COMPUTED_VALUE"""),1.007)</f>
        <v>1.007</v>
      </c>
      <c r="E5433" s="16">
        <f>IFERROR(__xludf.DUMMYFUNCTION("""COMPUTED_VALUE"""),68.0)</f>
        <v>68</v>
      </c>
      <c r="F5433" s="19" t="str">
        <f>IFERROR(__xludf.DUMMYFUNCTION("""COMPUTED_VALUE"""),"BLACK")</f>
        <v>BLACK</v>
      </c>
      <c r="G5433" s="20" t="str">
        <f>IFERROR(__xludf.DUMMYFUNCTION("""COMPUTED_VALUE"""),"Uncle Sams Cider (04/04/2023)")</f>
        <v>Uncle Sams Cider (04/04/2023)</v>
      </c>
      <c r="H5433" s="19"/>
    </row>
    <row r="5434">
      <c r="A5434" s="9"/>
      <c r="B5434" s="15"/>
      <c r="C5434" s="9">
        <f>IFERROR(__xludf.DUMMYFUNCTION("""COMPUTED_VALUE"""),45087.6090098495)</f>
        <v>45087.60901</v>
      </c>
      <c r="D5434" s="15">
        <f>IFERROR(__xludf.DUMMYFUNCTION("""COMPUTED_VALUE"""),1.007)</f>
        <v>1.007</v>
      </c>
      <c r="E5434" s="16">
        <f>IFERROR(__xludf.DUMMYFUNCTION("""COMPUTED_VALUE"""),68.0)</f>
        <v>68</v>
      </c>
      <c r="F5434" s="19" t="str">
        <f>IFERROR(__xludf.DUMMYFUNCTION("""COMPUTED_VALUE"""),"BLACK")</f>
        <v>BLACK</v>
      </c>
      <c r="G5434" s="20" t="str">
        <f>IFERROR(__xludf.DUMMYFUNCTION("""COMPUTED_VALUE"""),"Uncle Sams Cider (04/04/2023)")</f>
        <v>Uncle Sams Cider (04/04/2023)</v>
      </c>
      <c r="H5434" s="19"/>
    </row>
    <row r="5435">
      <c r="A5435" s="9"/>
      <c r="B5435" s="15"/>
      <c r="C5435" s="9">
        <f>IFERROR(__xludf.DUMMYFUNCTION("""COMPUTED_VALUE"""),45087.5985652546)</f>
        <v>45087.59857</v>
      </c>
      <c r="D5435" s="15">
        <f>IFERROR(__xludf.DUMMYFUNCTION("""COMPUTED_VALUE"""),1.007)</f>
        <v>1.007</v>
      </c>
      <c r="E5435" s="16">
        <f>IFERROR(__xludf.DUMMYFUNCTION("""COMPUTED_VALUE"""),68.0)</f>
        <v>68</v>
      </c>
      <c r="F5435" s="19" t="str">
        <f>IFERROR(__xludf.DUMMYFUNCTION("""COMPUTED_VALUE"""),"BLACK")</f>
        <v>BLACK</v>
      </c>
      <c r="G5435" s="20" t="str">
        <f>IFERROR(__xludf.DUMMYFUNCTION("""COMPUTED_VALUE"""),"Uncle Sams Cider (04/04/2023)")</f>
        <v>Uncle Sams Cider (04/04/2023)</v>
      </c>
      <c r="H5435" s="19"/>
    </row>
    <row r="5436">
      <c r="A5436" s="9"/>
      <c r="B5436" s="15"/>
      <c r="C5436" s="9">
        <f>IFERROR(__xludf.DUMMYFUNCTION("""COMPUTED_VALUE"""),45087.5881464583)</f>
        <v>45087.58815</v>
      </c>
      <c r="D5436" s="15">
        <f>IFERROR(__xludf.DUMMYFUNCTION("""COMPUTED_VALUE"""),1.007)</f>
        <v>1.007</v>
      </c>
      <c r="E5436" s="16">
        <f>IFERROR(__xludf.DUMMYFUNCTION("""COMPUTED_VALUE"""),68.0)</f>
        <v>68</v>
      </c>
      <c r="F5436" s="19" t="str">
        <f>IFERROR(__xludf.DUMMYFUNCTION("""COMPUTED_VALUE"""),"BLACK")</f>
        <v>BLACK</v>
      </c>
      <c r="G5436" s="20" t="str">
        <f>IFERROR(__xludf.DUMMYFUNCTION("""COMPUTED_VALUE"""),"Uncle Sams Cider (04/04/2023)")</f>
        <v>Uncle Sams Cider (04/04/2023)</v>
      </c>
      <c r="H5436" s="19"/>
    </row>
    <row r="5437">
      <c r="A5437" s="9"/>
      <c r="B5437" s="15"/>
      <c r="C5437" s="9">
        <f>IFERROR(__xludf.DUMMYFUNCTION("""COMPUTED_VALUE"""),45087.577725243)</f>
        <v>45087.57773</v>
      </c>
      <c r="D5437" s="15">
        <f>IFERROR(__xludf.DUMMYFUNCTION("""COMPUTED_VALUE"""),1.007)</f>
        <v>1.007</v>
      </c>
      <c r="E5437" s="16">
        <f>IFERROR(__xludf.DUMMYFUNCTION("""COMPUTED_VALUE"""),68.0)</f>
        <v>68</v>
      </c>
      <c r="F5437" s="19" t="str">
        <f>IFERROR(__xludf.DUMMYFUNCTION("""COMPUTED_VALUE"""),"BLACK")</f>
        <v>BLACK</v>
      </c>
      <c r="G5437" s="20" t="str">
        <f>IFERROR(__xludf.DUMMYFUNCTION("""COMPUTED_VALUE"""),"Uncle Sams Cider (04/04/2023)")</f>
        <v>Uncle Sams Cider (04/04/2023)</v>
      </c>
      <c r="H5437" s="19"/>
    </row>
    <row r="5438">
      <c r="A5438" s="9"/>
      <c r="B5438" s="15"/>
      <c r="C5438" s="9">
        <f>IFERROR(__xludf.DUMMYFUNCTION("""COMPUTED_VALUE"""),45087.5672932638)</f>
        <v>45087.56729</v>
      </c>
      <c r="D5438" s="15">
        <f>IFERROR(__xludf.DUMMYFUNCTION("""COMPUTED_VALUE"""),1.007)</f>
        <v>1.007</v>
      </c>
      <c r="E5438" s="16">
        <f>IFERROR(__xludf.DUMMYFUNCTION("""COMPUTED_VALUE"""),68.0)</f>
        <v>68</v>
      </c>
      <c r="F5438" s="19" t="str">
        <f>IFERROR(__xludf.DUMMYFUNCTION("""COMPUTED_VALUE"""),"BLACK")</f>
        <v>BLACK</v>
      </c>
      <c r="G5438" s="20" t="str">
        <f>IFERROR(__xludf.DUMMYFUNCTION("""COMPUTED_VALUE"""),"Uncle Sams Cider (04/04/2023)")</f>
        <v>Uncle Sams Cider (04/04/2023)</v>
      </c>
      <c r="H5438" s="19"/>
    </row>
    <row r="5439">
      <c r="A5439" s="9"/>
      <c r="B5439" s="15"/>
      <c r="C5439" s="9">
        <f>IFERROR(__xludf.DUMMYFUNCTION("""COMPUTED_VALUE"""),45087.5568378009)</f>
        <v>45087.55684</v>
      </c>
      <c r="D5439" s="15">
        <f>IFERROR(__xludf.DUMMYFUNCTION("""COMPUTED_VALUE"""),1.007)</f>
        <v>1.007</v>
      </c>
      <c r="E5439" s="16">
        <f>IFERROR(__xludf.DUMMYFUNCTION("""COMPUTED_VALUE"""),68.0)</f>
        <v>68</v>
      </c>
      <c r="F5439" s="19" t="str">
        <f>IFERROR(__xludf.DUMMYFUNCTION("""COMPUTED_VALUE"""),"BLACK")</f>
        <v>BLACK</v>
      </c>
      <c r="G5439" s="20" t="str">
        <f>IFERROR(__xludf.DUMMYFUNCTION("""COMPUTED_VALUE"""),"Uncle Sams Cider (04/04/2023)")</f>
        <v>Uncle Sams Cider (04/04/2023)</v>
      </c>
      <c r="H5439" s="19"/>
    </row>
    <row r="5440">
      <c r="A5440" s="9"/>
      <c r="B5440" s="15"/>
      <c r="C5440" s="9">
        <f>IFERROR(__xludf.DUMMYFUNCTION("""COMPUTED_VALUE"""),45087.5464164236)</f>
        <v>45087.54642</v>
      </c>
      <c r="D5440" s="15">
        <f>IFERROR(__xludf.DUMMYFUNCTION("""COMPUTED_VALUE"""),1.007)</f>
        <v>1.007</v>
      </c>
      <c r="E5440" s="16">
        <f>IFERROR(__xludf.DUMMYFUNCTION("""COMPUTED_VALUE"""),68.0)</f>
        <v>68</v>
      </c>
      <c r="F5440" s="19" t="str">
        <f>IFERROR(__xludf.DUMMYFUNCTION("""COMPUTED_VALUE"""),"BLACK")</f>
        <v>BLACK</v>
      </c>
      <c r="G5440" s="20" t="str">
        <f>IFERROR(__xludf.DUMMYFUNCTION("""COMPUTED_VALUE"""),"Uncle Sams Cider (04/04/2023)")</f>
        <v>Uncle Sams Cider (04/04/2023)</v>
      </c>
      <c r="H5440" s="19"/>
    </row>
    <row r="5441">
      <c r="A5441" s="9"/>
      <c r="B5441" s="15"/>
      <c r="C5441" s="9">
        <f>IFERROR(__xludf.DUMMYFUNCTION("""COMPUTED_VALUE"""),45087.535983287)</f>
        <v>45087.53598</v>
      </c>
      <c r="D5441" s="15">
        <f>IFERROR(__xludf.DUMMYFUNCTION("""COMPUTED_VALUE"""),1.007)</f>
        <v>1.007</v>
      </c>
      <c r="E5441" s="16">
        <f>IFERROR(__xludf.DUMMYFUNCTION("""COMPUTED_VALUE"""),68.0)</f>
        <v>68</v>
      </c>
      <c r="F5441" s="19" t="str">
        <f>IFERROR(__xludf.DUMMYFUNCTION("""COMPUTED_VALUE"""),"BLACK")</f>
        <v>BLACK</v>
      </c>
      <c r="G5441" s="20" t="str">
        <f>IFERROR(__xludf.DUMMYFUNCTION("""COMPUTED_VALUE"""),"Uncle Sams Cider (04/04/2023)")</f>
        <v>Uncle Sams Cider (04/04/2023)</v>
      </c>
      <c r="H5441" s="19"/>
    </row>
    <row r="5442">
      <c r="A5442" s="9"/>
      <c r="B5442" s="15"/>
      <c r="C5442" s="9">
        <f>IFERROR(__xludf.DUMMYFUNCTION("""COMPUTED_VALUE"""),45087.5255607754)</f>
        <v>45087.52556</v>
      </c>
      <c r="D5442" s="15">
        <f>IFERROR(__xludf.DUMMYFUNCTION("""COMPUTED_VALUE"""),1.007)</f>
        <v>1.007</v>
      </c>
      <c r="E5442" s="16">
        <f>IFERROR(__xludf.DUMMYFUNCTION("""COMPUTED_VALUE"""),68.0)</f>
        <v>68</v>
      </c>
      <c r="F5442" s="19" t="str">
        <f>IFERROR(__xludf.DUMMYFUNCTION("""COMPUTED_VALUE"""),"BLACK")</f>
        <v>BLACK</v>
      </c>
      <c r="G5442" s="20" t="str">
        <f>IFERROR(__xludf.DUMMYFUNCTION("""COMPUTED_VALUE"""),"Uncle Sams Cider (04/04/2023)")</f>
        <v>Uncle Sams Cider (04/04/2023)</v>
      </c>
      <c r="H5442" s="19"/>
    </row>
    <row r="5443">
      <c r="A5443" s="9"/>
      <c r="B5443" s="15"/>
      <c r="C5443" s="9">
        <f>IFERROR(__xludf.DUMMYFUNCTION("""COMPUTED_VALUE"""),45087.5151378472)</f>
        <v>45087.51514</v>
      </c>
      <c r="D5443" s="15">
        <f>IFERROR(__xludf.DUMMYFUNCTION("""COMPUTED_VALUE"""),1.007)</f>
        <v>1.007</v>
      </c>
      <c r="E5443" s="16">
        <f>IFERROR(__xludf.DUMMYFUNCTION("""COMPUTED_VALUE"""),68.0)</f>
        <v>68</v>
      </c>
      <c r="F5443" s="19" t="str">
        <f>IFERROR(__xludf.DUMMYFUNCTION("""COMPUTED_VALUE"""),"BLACK")</f>
        <v>BLACK</v>
      </c>
      <c r="G5443" s="20" t="str">
        <f>IFERROR(__xludf.DUMMYFUNCTION("""COMPUTED_VALUE"""),"Uncle Sams Cider (04/04/2023)")</f>
        <v>Uncle Sams Cider (04/04/2023)</v>
      </c>
      <c r="H5443" s="19"/>
    </row>
    <row r="5444">
      <c r="A5444" s="9"/>
      <c r="B5444" s="15"/>
      <c r="C5444" s="9">
        <f>IFERROR(__xludf.DUMMYFUNCTION("""COMPUTED_VALUE"""),45087.5046821759)</f>
        <v>45087.50468</v>
      </c>
      <c r="D5444" s="15">
        <f>IFERROR(__xludf.DUMMYFUNCTION("""COMPUTED_VALUE"""),1.007)</f>
        <v>1.007</v>
      </c>
      <c r="E5444" s="16">
        <f>IFERROR(__xludf.DUMMYFUNCTION("""COMPUTED_VALUE"""),68.0)</f>
        <v>68</v>
      </c>
      <c r="F5444" s="19" t="str">
        <f>IFERROR(__xludf.DUMMYFUNCTION("""COMPUTED_VALUE"""),"BLACK")</f>
        <v>BLACK</v>
      </c>
      <c r="G5444" s="20" t="str">
        <f>IFERROR(__xludf.DUMMYFUNCTION("""COMPUTED_VALUE"""),"Uncle Sams Cider (04/04/2023)")</f>
        <v>Uncle Sams Cider (04/04/2023)</v>
      </c>
      <c r="H5444" s="19"/>
    </row>
    <row r="5445">
      <c r="A5445" s="9"/>
      <c r="B5445" s="15"/>
      <c r="C5445" s="9">
        <f>IFERROR(__xludf.DUMMYFUNCTION("""COMPUTED_VALUE"""),45087.4942517708)</f>
        <v>45087.49425</v>
      </c>
      <c r="D5445" s="15">
        <f>IFERROR(__xludf.DUMMYFUNCTION("""COMPUTED_VALUE"""),1.007)</f>
        <v>1.007</v>
      </c>
      <c r="E5445" s="16">
        <f>IFERROR(__xludf.DUMMYFUNCTION("""COMPUTED_VALUE"""),68.0)</f>
        <v>68</v>
      </c>
      <c r="F5445" s="19" t="str">
        <f>IFERROR(__xludf.DUMMYFUNCTION("""COMPUTED_VALUE"""),"BLACK")</f>
        <v>BLACK</v>
      </c>
      <c r="G5445" s="20" t="str">
        <f>IFERROR(__xludf.DUMMYFUNCTION("""COMPUTED_VALUE"""),"Uncle Sams Cider (04/04/2023)")</f>
        <v>Uncle Sams Cider (04/04/2023)</v>
      </c>
      <c r="H5445" s="19"/>
    </row>
    <row r="5446">
      <c r="A5446" s="9"/>
      <c r="B5446" s="15"/>
      <c r="C5446" s="9">
        <f>IFERROR(__xludf.DUMMYFUNCTION("""COMPUTED_VALUE"""),45087.4838310763)</f>
        <v>45087.48383</v>
      </c>
      <c r="D5446" s="15">
        <f>IFERROR(__xludf.DUMMYFUNCTION("""COMPUTED_VALUE"""),1.007)</f>
        <v>1.007</v>
      </c>
      <c r="E5446" s="16">
        <f>IFERROR(__xludf.DUMMYFUNCTION("""COMPUTED_VALUE"""),68.0)</f>
        <v>68</v>
      </c>
      <c r="F5446" s="19" t="str">
        <f>IFERROR(__xludf.DUMMYFUNCTION("""COMPUTED_VALUE"""),"BLACK")</f>
        <v>BLACK</v>
      </c>
      <c r="G5446" s="20" t="str">
        <f>IFERROR(__xludf.DUMMYFUNCTION("""COMPUTED_VALUE"""),"Uncle Sams Cider (04/04/2023)")</f>
        <v>Uncle Sams Cider (04/04/2023)</v>
      </c>
      <c r="H5446" s="19"/>
    </row>
    <row r="5447">
      <c r="A5447" s="9"/>
      <c r="B5447" s="15"/>
      <c r="C5447" s="9">
        <f>IFERROR(__xludf.DUMMYFUNCTION("""COMPUTED_VALUE"""),45087.4733975578)</f>
        <v>45087.4734</v>
      </c>
      <c r="D5447" s="15">
        <f>IFERROR(__xludf.DUMMYFUNCTION("""COMPUTED_VALUE"""),1.007)</f>
        <v>1.007</v>
      </c>
      <c r="E5447" s="16">
        <f>IFERROR(__xludf.DUMMYFUNCTION("""COMPUTED_VALUE"""),68.0)</f>
        <v>68</v>
      </c>
      <c r="F5447" s="19" t="str">
        <f>IFERROR(__xludf.DUMMYFUNCTION("""COMPUTED_VALUE"""),"BLACK")</f>
        <v>BLACK</v>
      </c>
      <c r="G5447" s="20" t="str">
        <f>IFERROR(__xludf.DUMMYFUNCTION("""COMPUTED_VALUE"""),"Uncle Sams Cider (04/04/2023)")</f>
        <v>Uncle Sams Cider (04/04/2023)</v>
      </c>
      <c r="H5447" s="19"/>
    </row>
    <row r="5448">
      <c r="A5448" s="9"/>
      <c r="B5448" s="15"/>
      <c r="C5448" s="9">
        <f>IFERROR(__xludf.DUMMYFUNCTION("""COMPUTED_VALUE"""),45087.462975081)</f>
        <v>45087.46298</v>
      </c>
      <c r="D5448" s="15">
        <f>IFERROR(__xludf.DUMMYFUNCTION("""COMPUTED_VALUE"""),1.007)</f>
        <v>1.007</v>
      </c>
      <c r="E5448" s="16">
        <f>IFERROR(__xludf.DUMMYFUNCTION("""COMPUTED_VALUE"""),68.0)</f>
        <v>68</v>
      </c>
      <c r="F5448" s="19" t="str">
        <f>IFERROR(__xludf.DUMMYFUNCTION("""COMPUTED_VALUE"""),"BLACK")</f>
        <v>BLACK</v>
      </c>
      <c r="G5448" s="20" t="str">
        <f>IFERROR(__xludf.DUMMYFUNCTION("""COMPUTED_VALUE"""),"Uncle Sams Cider (04/04/2023)")</f>
        <v>Uncle Sams Cider (04/04/2023)</v>
      </c>
      <c r="H5448" s="19"/>
    </row>
    <row r="5449">
      <c r="A5449" s="9"/>
      <c r="B5449" s="15"/>
      <c r="C5449" s="9">
        <f>IFERROR(__xludf.DUMMYFUNCTION("""COMPUTED_VALUE"""),45087.452552662)</f>
        <v>45087.45255</v>
      </c>
      <c r="D5449" s="15">
        <f>IFERROR(__xludf.DUMMYFUNCTION("""COMPUTED_VALUE"""),1.007)</f>
        <v>1.007</v>
      </c>
      <c r="E5449" s="16">
        <f>IFERROR(__xludf.DUMMYFUNCTION("""COMPUTED_VALUE"""),68.0)</f>
        <v>68</v>
      </c>
      <c r="F5449" s="19" t="str">
        <f>IFERROR(__xludf.DUMMYFUNCTION("""COMPUTED_VALUE"""),"BLACK")</f>
        <v>BLACK</v>
      </c>
      <c r="G5449" s="20" t="str">
        <f>IFERROR(__xludf.DUMMYFUNCTION("""COMPUTED_VALUE"""),"Uncle Sams Cider (04/04/2023)")</f>
        <v>Uncle Sams Cider (04/04/2023)</v>
      </c>
      <c r="H5449" s="19"/>
    </row>
    <row r="5450">
      <c r="A5450" s="9"/>
      <c r="B5450" s="15"/>
      <c r="C5450" s="9">
        <f>IFERROR(__xludf.DUMMYFUNCTION("""COMPUTED_VALUE"""),45087.4421196759)</f>
        <v>45087.44212</v>
      </c>
      <c r="D5450" s="15">
        <f>IFERROR(__xludf.DUMMYFUNCTION("""COMPUTED_VALUE"""),1.007)</f>
        <v>1.007</v>
      </c>
      <c r="E5450" s="16">
        <f>IFERROR(__xludf.DUMMYFUNCTION("""COMPUTED_VALUE"""),68.0)</f>
        <v>68</v>
      </c>
      <c r="F5450" s="19" t="str">
        <f>IFERROR(__xludf.DUMMYFUNCTION("""COMPUTED_VALUE"""),"BLACK")</f>
        <v>BLACK</v>
      </c>
      <c r="G5450" s="20" t="str">
        <f>IFERROR(__xludf.DUMMYFUNCTION("""COMPUTED_VALUE"""),"Uncle Sams Cider (04/04/2023)")</f>
        <v>Uncle Sams Cider (04/04/2023)</v>
      </c>
      <c r="H5450" s="19"/>
    </row>
    <row r="5451">
      <c r="A5451" s="9"/>
      <c r="B5451" s="15"/>
      <c r="C5451" s="9">
        <f>IFERROR(__xludf.DUMMYFUNCTION("""COMPUTED_VALUE"""),45087.43169853)</f>
        <v>45087.4317</v>
      </c>
      <c r="D5451" s="15">
        <f>IFERROR(__xludf.DUMMYFUNCTION("""COMPUTED_VALUE"""),1.007)</f>
        <v>1.007</v>
      </c>
      <c r="E5451" s="16">
        <f>IFERROR(__xludf.DUMMYFUNCTION("""COMPUTED_VALUE"""),68.0)</f>
        <v>68</v>
      </c>
      <c r="F5451" s="19" t="str">
        <f>IFERROR(__xludf.DUMMYFUNCTION("""COMPUTED_VALUE"""),"BLACK")</f>
        <v>BLACK</v>
      </c>
      <c r="G5451" s="20" t="str">
        <f>IFERROR(__xludf.DUMMYFUNCTION("""COMPUTED_VALUE"""),"Uncle Sams Cider (04/04/2023)")</f>
        <v>Uncle Sams Cider (04/04/2023)</v>
      </c>
      <c r="H5451" s="19"/>
    </row>
    <row r="5452">
      <c r="A5452" s="9"/>
      <c r="B5452" s="15"/>
      <c r="C5452" s="9">
        <f>IFERROR(__xludf.DUMMYFUNCTION("""COMPUTED_VALUE"""),45087.4212758333)</f>
        <v>45087.42128</v>
      </c>
      <c r="D5452" s="15">
        <f>IFERROR(__xludf.DUMMYFUNCTION("""COMPUTED_VALUE"""),1.007)</f>
        <v>1.007</v>
      </c>
      <c r="E5452" s="16">
        <f>IFERROR(__xludf.DUMMYFUNCTION("""COMPUTED_VALUE"""),68.0)</f>
        <v>68</v>
      </c>
      <c r="F5452" s="19" t="str">
        <f>IFERROR(__xludf.DUMMYFUNCTION("""COMPUTED_VALUE"""),"BLACK")</f>
        <v>BLACK</v>
      </c>
      <c r="G5452" s="20" t="str">
        <f>IFERROR(__xludf.DUMMYFUNCTION("""COMPUTED_VALUE"""),"Uncle Sams Cider (04/04/2023)")</f>
        <v>Uncle Sams Cider (04/04/2023)</v>
      </c>
      <c r="H5452" s="19"/>
    </row>
    <row r="5453">
      <c r="A5453" s="9"/>
      <c r="B5453" s="15"/>
      <c r="C5453" s="9">
        <f>IFERROR(__xludf.DUMMYFUNCTION("""COMPUTED_VALUE"""),45087.4108525925)</f>
        <v>45087.41085</v>
      </c>
      <c r="D5453" s="15">
        <f>IFERROR(__xludf.DUMMYFUNCTION("""COMPUTED_VALUE"""),1.007)</f>
        <v>1.007</v>
      </c>
      <c r="E5453" s="16">
        <f>IFERROR(__xludf.DUMMYFUNCTION("""COMPUTED_VALUE"""),68.0)</f>
        <v>68</v>
      </c>
      <c r="F5453" s="19" t="str">
        <f>IFERROR(__xludf.DUMMYFUNCTION("""COMPUTED_VALUE"""),"BLACK")</f>
        <v>BLACK</v>
      </c>
      <c r="G5453" s="20" t="str">
        <f>IFERROR(__xludf.DUMMYFUNCTION("""COMPUTED_VALUE"""),"Uncle Sams Cider (04/04/2023)")</f>
        <v>Uncle Sams Cider (04/04/2023)</v>
      </c>
      <c r="H5453" s="19"/>
    </row>
    <row r="5454">
      <c r="A5454" s="9"/>
      <c r="B5454" s="15"/>
      <c r="C5454" s="9">
        <f>IFERROR(__xludf.DUMMYFUNCTION("""COMPUTED_VALUE"""),45087.4004181365)</f>
        <v>45087.40042</v>
      </c>
      <c r="D5454" s="15">
        <f>IFERROR(__xludf.DUMMYFUNCTION("""COMPUTED_VALUE"""),1.007)</f>
        <v>1.007</v>
      </c>
      <c r="E5454" s="16">
        <f>IFERROR(__xludf.DUMMYFUNCTION("""COMPUTED_VALUE"""),68.0)</f>
        <v>68</v>
      </c>
      <c r="F5454" s="19" t="str">
        <f>IFERROR(__xludf.DUMMYFUNCTION("""COMPUTED_VALUE"""),"BLACK")</f>
        <v>BLACK</v>
      </c>
      <c r="G5454" s="20" t="str">
        <f>IFERROR(__xludf.DUMMYFUNCTION("""COMPUTED_VALUE"""),"Uncle Sams Cider (04/04/2023)")</f>
        <v>Uncle Sams Cider (04/04/2023)</v>
      </c>
      <c r="H5454" s="19"/>
    </row>
    <row r="5455">
      <c r="A5455" s="9"/>
      <c r="B5455" s="15"/>
      <c r="C5455" s="9">
        <f>IFERROR(__xludf.DUMMYFUNCTION("""COMPUTED_VALUE"""),45087.3899729629)</f>
        <v>45087.38997</v>
      </c>
      <c r="D5455" s="15">
        <f>IFERROR(__xludf.DUMMYFUNCTION("""COMPUTED_VALUE"""),1.007)</f>
        <v>1.007</v>
      </c>
      <c r="E5455" s="16">
        <f>IFERROR(__xludf.DUMMYFUNCTION("""COMPUTED_VALUE"""),68.0)</f>
        <v>68</v>
      </c>
      <c r="F5455" s="19" t="str">
        <f>IFERROR(__xludf.DUMMYFUNCTION("""COMPUTED_VALUE"""),"BLACK")</f>
        <v>BLACK</v>
      </c>
      <c r="G5455" s="20" t="str">
        <f>IFERROR(__xludf.DUMMYFUNCTION("""COMPUTED_VALUE"""),"Uncle Sams Cider (04/04/2023)")</f>
        <v>Uncle Sams Cider (04/04/2023)</v>
      </c>
      <c r="H5455" s="19"/>
    </row>
    <row r="5456">
      <c r="A5456" s="9"/>
      <c r="B5456" s="15"/>
      <c r="C5456" s="9">
        <f>IFERROR(__xludf.DUMMYFUNCTION("""COMPUTED_VALUE"""),45087.3795520601)</f>
        <v>45087.37955</v>
      </c>
      <c r="D5456" s="15">
        <f>IFERROR(__xludf.DUMMYFUNCTION("""COMPUTED_VALUE"""),1.007)</f>
        <v>1.007</v>
      </c>
      <c r="E5456" s="16">
        <f>IFERROR(__xludf.DUMMYFUNCTION("""COMPUTED_VALUE"""),68.0)</f>
        <v>68</v>
      </c>
      <c r="F5456" s="19" t="str">
        <f>IFERROR(__xludf.DUMMYFUNCTION("""COMPUTED_VALUE"""),"BLACK")</f>
        <v>BLACK</v>
      </c>
      <c r="G5456" s="20" t="str">
        <f>IFERROR(__xludf.DUMMYFUNCTION("""COMPUTED_VALUE"""),"Uncle Sams Cider (04/04/2023)")</f>
        <v>Uncle Sams Cider (04/04/2023)</v>
      </c>
      <c r="H5456" s="19"/>
    </row>
    <row r="5457">
      <c r="A5457" s="9"/>
      <c r="B5457" s="15"/>
      <c r="C5457" s="9">
        <f>IFERROR(__xludf.DUMMYFUNCTION("""COMPUTED_VALUE"""),45087.3691314699)</f>
        <v>45087.36913</v>
      </c>
      <c r="D5457" s="15">
        <f>IFERROR(__xludf.DUMMYFUNCTION("""COMPUTED_VALUE"""),1.007)</f>
        <v>1.007</v>
      </c>
      <c r="E5457" s="16">
        <f>IFERROR(__xludf.DUMMYFUNCTION("""COMPUTED_VALUE"""),68.0)</f>
        <v>68</v>
      </c>
      <c r="F5457" s="19" t="str">
        <f>IFERROR(__xludf.DUMMYFUNCTION("""COMPUTED_VALUE"""),"BLACK")</f>
        <v>BLACK</v>
      </c>
      <c r="G5457" s="20" t="str">
        <f>IFERROR(__xludf.DUMMYFUNCTION("""COMPUTED_VALUE"""),"Uncle Sams Cider (04/04/2023)")</f>
        <v>Uncle Sams Cider (04/04/2023)</v>
      </c>
      <c r="H5457" s="19"/>
    </row>
    <row r="5458">
      <c r="A5458" s="9"/>
      <c r="B5458" s="15"/>
      <c r="C5458" s="9">
        <f>IFERROR(__xludf.DUMMYFUNCTION("""COMPUTED_VALUE"""),45087.3587109027)</f>
        <v>45087.35871</v>
      </c>
      <c r="D5458" s="15">
        <f>IFERROR(__xludf.DUMMYFUNCTION("""COMPUTED_VALUE"""),1.007)</f>
        <v>1.007</v>
      </c>
      <c r="E5458" s="16">
        <f>IFERROR(__xludf.DUMMYFUNCTION("""COMPUTED_VALUE"""),68.0)</f>
        <v>68</v>
      </c>
      <c r="F5458" s="19" t="str">
        <f>IFERROR(__xludf.DUMMYFUNCTION("""COMPUTED_VALUE"""),"BLACK")</f>
        <v>BLACK</v>
      </c>
      <c r="G5458" s="20" t="str">
        <f>IFERROR(__xludf.DUMMYFUNCTION("""COMPUTED_VALUE"""),"Uncle Sams Cider (04/04/2023)")</f>
        <v>Uncle Sams Cider (04/04/2023)</v>
      </c>
      <c r="H5458" s="19"/>
    </row>
    <row r="5459">
      <c r="A5459" s="9"/>
      <c r="B5459" s="15"/>
      <c r="C5459" s="9">
        <f>IFERROR(__xludf.DUMMYFUNCTION("""COMPUTED_VALUE"""),45087.3482914236)</f>
        <v>45087.34829</v>
      </c>
      <c r="D5459" s="15">
        <f>IFERROR(__xludf.DUMMYFUNCTION("""COMPUTED_VALUE"""),1.007)</f>
        <v>1.007</v>
      </c>
      <c r="E5459" s="16">
        <f>IFERROR(__xludf.DUMMYFUNCTION("""COMPUTED_VALUE"""),68.0)</f>
        <v>68</v>
      </c>
      <c r="F5459" s="19" t="str">
        <f>IFERROR(__xludf.DUMMYFUNCTION("""COMPUTED_VALUE"""),"BLACK")</f>
        <v>BLACK</v>
      </c>
      <c r="G5459" s="20" t="str">
        <f>IFERROR(__xludf.DUMMYFUNCTION("""COMPUTED_VALUE"""),"Uncle Sams Cider (04/04/2023)")</f>
        <v>Uncle Sams Cider (04/04/2023)</v>
      </c>
      <c r="H5459" s="19"/>
    </row>
    <row r="5460">
      <c r="A5460" s="9"/>
      <c r="B5460" s="15"/>
      <c r="C5460" s="9">
        <f>IFERROR(__xludf.DUMMYFUNCTION("""COMPUTED_VALUE"""),45087.3378689236)</f>
        <v>45087.33787</v>
      </c>
      <c r="D5460" s="15">
        <f>IFERROR(__xludf.DUMMYFUNCTION("""COMPUTED_VALUE"""),1.007)</f>
        <v>1.007</v>
      </c>
      <c r="E5460" s="16">
        <f>IFERROR(__xludf.DUMMYFUNCTION("""COMPUTED_VALUE"""),68.0)</f>
        <v>68</v>
      </c>
      <c r="F5460" s="19" t="str">
        <f>IFERROR(__xludf.DUMMYFUNCTION("""COMPUTED_VALUE"""),"BLACK")</f>
        <v>BLACK</v>
      </c>
      <c r="G5460" s="20" t="str">
        <f>IFERROR(__xludf.DUMMYFUNCTION("""COMPUTED_VALUE"""),"Uncle Sams Cider (04/04/2023)")</f>
        <v>Uncle Sams Cider (04/04/2023)</v>
      </c>
      <c r="H5460" s="19"/>
    </row>
    <row r="5461">
      <c r="A5461" s="9"/>
      <c r="B5461" s="15"/>
      <c r="C5461" s="9">
        <f>IFERROR(__xludf.DUMMYFUNCTION("""COMPUTED_VALUE"""),45087.3274480671)</f>
        <v>45087.32745</v>
      </c>
      <c r="D5461" s="15">
        <f>IFERROR(__xludf.DUMMYFUNCTION("""COMPUTED_VALUE"""),1.007)</f>
        <v>1.007</v>
      </c>
      <c r="E5461" s="16">
        <f>IFERROR(__xludf.DUMMYFUNCTION("""COMPUTED_VALUE"""),68.0)</f>
        <v>68</v>
      </c>
      <c r="F5461" s="19" t="str">
        <f>IFERROR(__xludf.DUMMYFUNCTION("""COMPUTED_VALUE"""),"BLACK")</f>
        <v>BLACK</v>
      </c>
      <c r="G5461" s="20" t="str">
        <f>IFERROR(__xludf.DUMMYFUNCTION("""COMPUTED_VALUE"""),"Uncle Sams Cider (04/04/2023)")</f>
        <v>Uncle Sams Cider (04/04/2023)</v>
      </c>
      <c r="H5461" s="19"/>
    </row>
    <row r="5462">
      <c r="A5462" s="9"/>
      <c r="B5462" s="15"/>
      <c r="C5462" s="9">
        <f>IFERROR(__xludf.DUMMYFUNCTION("""COMPUTED_VALUE"""),45087.3170265393)</f>
        <v>45087.31703</v>
      </c>
      <c r="D5462" s="15">
        <f>IFERROR(__xludf.DUMMYFUNCTION("""COMPUTED_VALUE"""),1.007)</f>
        <v>1.007</v>
      </c>
      <c r="E5462" s="16">
        <f>IFERROR(__xludf.DUMMYFUNCTION("""COMPUTED_VALUE"""),68.0)</f>
        <v>68</v>
      </c>
      <c r="F5462" s="19" t="str">
        <f>IFERROR(__xludf.DUMMYFUNCTION("""COMPUTED_VALUE"""),"BLACK")</f>
        <v>BLACK</v>
      </c>
      <c r="G5462" s="20" t="str">
        <f>IFERROR(__xludf.DUMMYFUNCTION("""COMPUTED_VALUE"""),"Uncle Sams Cider (04/04/2023)")</f>
        <v>Uncle Sams Cider (04/04/2023)</v>
      </c>
      <c r="H5462" s="19"/>
    </row>
    <row r="5463">
      <c r="A5463" s="9"/>
      <c r="B5463" s="15"/>
      <c r="C5463" s="9">
        <f>IFERROR(__xludf.DUMMYFUNCTION("""COMPUTED_VALUE"""),45087.3066042476)</f>
        <v>45087.3066</v>
      </c>
      <c r="D5463" s="15">
        <f>IFERROR(__xludf.DUMMYFUNCTION("""COMPUTED_VALUE"""),1.007)</f>
        <v>1.007</v>
      </c>
      <c r="E5463" s="16">
        <f>IFERROR(__xludf.DUMMYFUNCTION("""COMPUTED_VALUE"""),68.0)</f>
        <v>68</v>
      </c>
      <c r="F5463" s="19" t="str">
        <f>IFERROR(__xludf.DUMMYFUNCTION("""COMPUTED_VALUE"""),"BLACK")</f>
        <v>BLACK</v>
      </c>
      <c r="G5463" s="20" t="str">
        <f>IFERROR(__xludf.DUMMYFUNCTION("""COMPUTED_VALUE"""),"Uncle Sams Cider (04/04/2023)")</f>
        <v>Uncle Sams Cider (04/04/2023)</v>
      </c>
      <c r="H5463" s="19"/>
    </row>
    <row r="5464">
      <c r="A5464" s="9"/>
      <c r="B5464" s="15"/>
      <c r="C5464" s="9">
        <f>IFERROR(__xludf.DUMMYFUNCTION("""COMPUTED_VALUE"""),45087.2961724768)</f>
        <v>45087.29617</v>
      </c>
      <c r="D5464" s="15">
        <f>IFERROR(__xludf.DUMMYFUNCTION("""COMPUTED_VALUE"""),1.007)</f>
        <v>1.007</v>
      </c>
      <c r="E5464" s="16">
        <f>IFERROR(__xludf.DUMMYFUNCTION("""COMPUTED_VALUE"""),68.0)</f>
        <v>68</v>
      </c>
      <c r="F5464" s="19" t="str">
        <f>IFERROR(__xludf.DUMMYFUNCTION("""COMPUTED_VALUE"""),"BLACK")</f>
        <v>BLACK</v>
      </c>
      <c r="G5464" s="20" t="str">
        <f>IFERROR(__xludf.DUMMYFUNCTION("""COMPUTED_VALUE"""),"Uncle Sams Cider (04/04/2023)")</f>
        <v>Uncle Sams Cider (04/04/2023)</v>
      </c>
      <c r="H5464" s="19"/>
    </row>
    <row r="5465">
      <c r="A5465" s="9"/>
      <c r="B5465" s="15"/>
      <c r="C5465" s="9">
        <f>IFERROR(__xludf.DUMMYFUNCTION("""COMPUTED_VALUE"""),45087.2857509722)</f>
        <v>45087.28575</v>
      </c>
      <c r="D5465" s="15">
        <f>IFERROR(__xludf.DUMMYFUNCTION("""COMPUTED_VALUE"""),1.007)</f>
        <v>1.007</v>
      </c>
      <c r="E5465" s="16">
        <f>IFERROR(__xludf.DUMMYFUNCTION("""COMPUTED_VALUE"""),68.0)</f>
        <v>68</v>
      </c>
      <c r="F5465" s="19" t="str">
        <f>IFERROR(__xludf.DUMMYFUNCTION("""COMPUTED_VALUE"""),"BLACK")</f>
        <v>BLACK</v>
      </c>
      <c r="G5465" s="20" t="str">
        <f>IFERROR(__xludf.DUMMYFUNCTION("""COMPUTED_VALUE"""),"Uncle Sams Cider (04/04/2023)")</f>
        <v>Uncle Sams Cider (04/04/2023)</v>
      </c>
      <c r="H5465" s="19"/>
    </row>
    <row r="5466">
      <c r="A5466" s="9"/>
      <c r="B5466" s="15"/>
      <c r="C5466" s="9">
        <f>IFERROR(__xludf.DUMMYFUNCTION("""COMPUTED_VALUE"""),45087.2753287384)</f>
        <v>45087.27533</v>
      </c>
      <c r="D5466" s="15">
        <f>IFERROR(__xludf.DUMMYFUNCTION("""COMPUTED_VALUE"""),1.007)</f>
        <v>1.007</v>
      </c>
      <c r="E5466" s="16">
        <f>IFERROR(__xludf.DUMMYFUNCTION("""COMPUTED_VALUE"""),68.0)</f>
        <v>68</v>
      </c>
      <c r="F5466" s="19" t="str">
        <f>IFERROR(__xludf.DUMMYFUNCTION("""COMPUTED_VALUE"""),"BLACK")</f>
        <v>BLACK</v>
      </c>
      <c r="G5466" s="20" t="str">
        <f>IFERROR(__xludf.DUMMYFUNCTION("""COMPUTED_VALUE"""),"Uncle Sams Cider (04/04/2023)")</f>
        <v>Uncle Sams Cider (04/04/2023)</v>
      </c>
      <c r="H5466" s="19"/>
    </row>
    <row r="5467">
      <c r="A5467" s="9"/>
      <c r="B5467" s="15"/>
      <c r="C5467" s="9">
        <f>IFERROR(__xludf.DUMMYFUNCTION("""COMPUTED_VALUE"""),45087.2649064467)</f>
        <v>45087.26491</v>
      </c>
      <c r="D5467" s="15">
        <f>IFERROR(__xludf.DUMMYFUNCTION("""COMPUTED_VALUE"""),1.007)</f>
        <v>1.007</v>
      </c>
      <c r="E5467" s="16">
        <f>IFERROR(__xludf.DUMMYFUNCTION("""COMPUTED_VALUE"""),68.0)</f>
        <v>68</v>
      </c>
      <c r="F5467" s="19" t="str">
        <f>IFERROR(__xludf.DUMMYFUNCTION("""COMPUTED_VALUE"""),"BLACK")</f>
        <v>BLACK</v>
      </c>
      <c r="G5467" s="20" t="str">
        <f>IFERROR(__xludf.DUMMYFUNCTION("""COMPUTED_VALUE"""),"Uncle Sams Cider (04/04/2023)")</f>
        <v>Uncle Sams Cider (04/04/2023)</v>
      </c>
      <c r="H5467" s="19"/>
    </row>
    <row r="5468">
      <c r="A5468" s="9"/>
      <c r="B5468" s="15"/>
      <c r="C5468" s="9">
        <f>IFERROR(__xludf.DUMMYFUNCTION("""COMPUTED_VALUE"""),45087.2544840972)</f>
        <v>45087.25448</v>
      </c>
      <c r="D5468" s="15">
        <f>IFERROR(__xludf.DUMMYFUNCTION("""COMPUTED_VALUE"""),1.007)</f>
        <v>1.007</v>
      </c>
      <c r="E5468" s="16">
        <f>IFERROR(__xludf.DUMMYFUNCTION("""COMPUTED_VALUE"""),68.0)</f>
        <v>68</v>
      </c>
      <c r="F5468" s="19" t="str">
        <f>IFERROR(__xludf.DUMMYFUNCTION("""COMPUTED_VALUE"""),"BLACK")</f>
        <v>BLACK</v>
      </c>
      <c r="G5468" s="20" t="str">
        <f>IFERROR(__xludf.DUMMYFUNCTION("""COMPUTED_VALUE"""),"Uncle Sams Cider (04/04/2023)")</f>
        <v>Uncle Sams Cider (04/04/2023)</v>
      </c>
      <c r="H5468" s="19"/>
    </row>
    <row r="5469">
      <c r="A5469" s="9"/>
      <c r="B5469" s="15"/>
      <c r="C5469" s="9">
        <f>IFERROR(__xludf.DUMMYFUNCTION("""COMPUTED_VALUE"""),45087.2440516319)</f>
        <v>45087.24405</v>
      </c>
      <c r="D5469" s="15">
        <f>IFERROR(__xludf.DUMMYFUNCTION("""COMPUTED_VALUE"""),1.007)</f>
        <v>1.007</v>
      </c>
      <c r="E5469" s="16">
        <f>IFERROR(__xludf.DUMMYFUNCTION("""COMPUTED_VALUE"""),68.0)</f>
        <v>68</v>
      </c>
      <c r="F5469" s="19" t="str">
        <f>IFERROR(__xludf.DUMMYFUNCTION("""COMPUTED_VALUE"""),"BLACK")</f>
        <v>BLACK</v>
      </c>
      <c r="G5469" s="20" t="str">
        <f>IFERROR(__xludf.DUMMYFUNCTION("""COMPUTED_VALUE"""),"Uncle Sams Cider (04/04/2023)")</f>
        <v>Uncle Sams Cider (04/04/2023)</v>
      </c>
      <c r="H5469" s="19"/>
    </row>
    <row r="5470">
      <c r="A5470" s="9"/>
      <c r="B5470" s="15"/>
      <c r="C5470" s="9">
        <f>IFERROR(__xludf.DUMMYFUNCTION("""COMPUTED_VALUE"""),45087.2336317245)</f>
        <v>45087.23363</v>
      </c>
      <c r="D5470" s="15">
        <f>IFERROR(__xludf.DUMMYFUNCTION("""COMPUTED_VALUE"""),1.007)</f>
        <v>1.007</v>
      </c>
      <c r="E5470" s="16">
        <f>IFERROR(__xludf.DUMMYFUNCTION("""COMPUTED_VALUE"""),68.0)</f>
        <v>68</v>
      </c>
      <c r="F5470" s="19" t="str">
        <f>IFERROR(__xludf.DUMMYFUNCTION("""COMPUTED_VALUE"""),"BLACK")</f>
        <v>BLACK</v>
      </c>
      <c r="G5470" s="20" t="str">
        <f>IFERROR(__xludf.DUMMYFUNCTION("""COMPUTED_VALUE"""),"Uncle Sams Cider (04/04/2023)")</f>
        <v>Uncle Sams Cider (04/04/2023)</v>
      </c>
      <c r="H5470" s="19"/>
    </row>
    <row r="5471">
      <c r="A5471" s="9"/>
      <c r="B5471" s="15"/>
      <c r="C5471" s="9">
        <f>IFERROR(__xludf.DUMMYFUNCTION("""COMPUTED_VALUE"""),45087.2232096759)</f>
        <v>45087.22321</v>
      </c>
      <c r="D5471" s="15">
        <f>IFERROR(__xludf.DUMMYFUNCTION("""COMPUTED_VALUE"""),1.007)</f>
        <v>1.007</v>
      </c>
      <c r="E5471" s="16">
        <f>IFERROR(__xludf.DUMMYFUNCTION("""COMPUTED_VALUE"""),68.0)</f>
        <v>68</v>
      </c>
      <c r="F5471" s="19" t="str">
        <f>IFERROR(__xludf.DUMMYFUNCTION("""COMPUTED_VALUE"""),"BLACK")</f>
        <v>BLACK</v>
      </c>
      <c r="G5471" s="20" t="str">
        <f>IFERROR(__xludf.DUMMYFUNCTION("""COMPUTED_VALUE"""),"Uncle Sams Cider (04/04/2023)")</f>
        <v>Uncle Sams Cider (04/04/2023)</v>
      </c>
      <c r="H5471" s="19"/>
    </row>
    <row r="5472">
      <c r="A5472" s="9"/>
      <c r="B5472" s="15"/>
      <c r="C5472" s="9">
        <f>IFERROR(__xludf.DUMMYFUNCTION("""COMPUTED_VALUE"""),45087.2127882407)</f>
        <v>45087.21279</v>
      </c>
      <c r="D5472" s="15">
        <f>IFERROR(__xludf.DUMMYFUNCTION("""COMPUTED_VALUE"""),1.007)</f>
        <v>1.007</v>
      </c>
      <c r="E5472" s="16">
        <f>IFERROR(__xludf.DUMMYFUNCTION("""COMPUTED_VALUE"""),68.0)</f>
        <v>68</v>
      </c>
      <c r="F5472" s="19" t="str">
        <f>IFERROR(__xludf.DUMMYFUNCTION("""COMPUTED_VALUE"""),"BLACK")</f>
        <v>BLACK</v>
      </c>
      <c r="G5472" s="20" t="str">
        <f>IFERROR(__xludf.DUMMYFUNCTION("""COMPUTED_VALUE"""),"Uncle Sams Cider (04/04/2023)")</f>
        <v>Uncle Sams Cider (04/04/2023)</v>
      </c>
      <c r="H5472" s="19"/>
    </row>
    <row r="5473">
      <c r="A5473" s="9"/>
      <c r="B5473" s="15"/>
      <c r="C5473" s="9">
        <f>IFERROR(__xludf.DUMMYFUNCTION("""COMPUTED_VALUE"""),45087.2023674305)</f>
        <v>45087.20237</v>
      </c>
      <c r="D5473" s="15">
        <f>IFERROR(__xludf.DUMMYFUNCTION("""COMPUTED_VALUE"""),1.007)</f>
        <v>1.007</v>
      </c>
      <c r="E5473" s="16">
        <f>IFERROR(__xludf.DUMMYFUNCTION("""COMPUTED_VALUE"""),68.0)</f>
        <v>68</v>
      </c>
      <c r="F5473" s="19" t="str">
        <f>IFERROR(__xludf.DUMMYFUNCTION("""COMPUTED_VALUE"""),"BLACK")</f>
        <v>BLACK</v>
      </c>
      <c r="G5473" s="20" t="str">
        <f>IFERROR(__xludf.DUMMYFUNCTION("""COMPUTED_VALUE"""),"Uncle Sams Cider (04/04/2023)")</f>
        <v>Uncle Sams Cider (04/04/2023)</v>
      </c>
      <c r="H5473" s="19"/>
    </row>
    <row r="5474">
      <c r="A5474" s="9"/>
      <c r="B5474" s="15"/>
      <c r="C5474" s="9">
        <f>IFERROR(__xludf.DUMMYFUNCTION("""COMPUTED_VALUE"""),45087.191947199)</f>
        <v>45087.19195</v>
      </c>
      <c r="D5474" s="15">
        <f>IFERROR(__xludf.DUMMYFUNCTION("""COMPUTED_VALUE"""),1.007)</f>
        <v>1.007</v>
      </c>
      <c r="E5474" s="16">
        <f>IFERROR(__xludf.DUMMYFUNCTION("""COMPUTED_VALUE"""),68.0)</f>
        <v>68</v>
      </c>
      <c r="F5474" s="19" t="str">
        <f>IFERROR(__xludf.DUMMYFUNCTION("""COMPUTED_VALUE"""),"BLACK")</f>
        <v>BLACK</v>
      </c>
      <c r="G5474" s="20" t="str">
        <f>IFERROR(__xludf.DUMMYFUNCTION("""COMPUTED_VALUE"""),"Uncle Sams Cider (04/04/2023)")</f>
        <v>Uncle Sams Cider (04/04/2023)</v>
      </c>
      <c r="H5474" s="19"/>
    </row>
    <row r="5475">
      <c r="A5475" s="9"/>
      <c r="B5475" s="15"/>
      <c r="C5475" s="9">
        <f>IFERROR(__xludf.DUMMYFUNCTION("""COMPUTED_VALUE"""),45087.1815135416)</f>
        <v>45087.18151</v>
      </c>
      <c r="D5475" s="15">
        <f>IFERROR(__xludf.DUMMYFUNCTION("""COMPUTED_VALUE"""),1.007)</f>
        <v>1.007</v>
      </c>
      <c r="E5475" s="16">
        <f>IFERROR(__xludf.DUMMYFUNCTION("""COMPUTED_VALUE"""),68.0)</f>
        <v>68</v>
      </c>
      <c r="F5475" s="19" t="str">
        <f>IFERROR(__xludf.DUMMYFUNCTION("""COMPUTED_VALUE"""),"BLACK")</f>
        <v>BLACK</v>
      </c>
      <c r="G5475" s="20" t="str">
        <f>IFERROR(__xludf.DUMMYFUNCTION("""COMPUTED_VALUE"""),"Uncle Sams Cider (04/04/2023)")</f>
        <v>Uncle Sams Cider (04/04/2023)</v>
      </c>
      <c r="H5475" s="19"/>
    </row>
    <row r="5476">
      <c r="A5476" s="9"/>
      <c r="B5476" s="15"/>
      <c r="C5476" s="9">
        <f>IFERROR(__xludf.DUMMYFUNCTION("""COMPUTED_VALUE"""),45087.1710929051)</f>
        <v>45087.17109</v>
      </c>
      <c r="D5476" s="15">
        <f>IFERROR(__xludf.DUMMYFUNCTION("""COMPUTED_VALUE"""),1.007)</f>
        <v>1.007</v>
      </c>
      <c r="E5476" s="16">
        <f>IFERROR(__xludf.DUMMYFUNCTION("""COMPUTED_VALUE"""),68.0)</f>
        <v>68</v>
      </c>
      <c r="F5476" s="19" t="str">
        <f>IFERROR(__xludf.DUMMYFUNCTION("""COMPUTED_VALUE"""),"BLACK")</f>
        <v>BLACK</v>
      </c>
      <c r="G5476" s="20" t="str">
        <f>IFERROR(__xludf.DUMMYFUNCTION("""COMPUTED_VALUE"""),"Uncle Sams Cider (04/04/2023)")</f>
        <v>Uncle Sams Cider (04/04/2023)</v>
      </c>
      <c r="H5476" s="19"/>
    </row>
    <row r="5477">
      <c r="A5477" s="9"/>
      <c r="B5477" s="15"/>
      <c r="C5477" s="9">
        <f>IFERROR(__xludf.DUMMYFUNCTION("""COMPUTED_VALUE"""),45087.1606721527)</f>
        <v>45087.16067</v>
      </c>
      <c r="D5477" s="15">
        <f>IFERROR(__xludf.DUMMYFUNCTION("""COMPUTED_VALUE"""),1.007)</f>
        <v>1.007</v>
      </c>
      <c r="E5477" s="16">
        <f>IFERROR(__xludf.DUMMYFUNCTION("""COMPUTED_VALUE"""),68.0)</f>
        <v>68</v>
      </c>
      <c r="F5477" s="19" t="str">
        <f>IFERROR(__xludf.DUMMYFUNCTION("""COMPUTED_VALUE"""),"BLACK")</f>
        <v>BLACK</v>
      </c>
      <c r="G5477" s="20" t="str">
        <f>IFERROR(__xludf.DUMMYFUNCTION("""COMPUTED_VALUE"""),"Uncle Sams Cider (04/04/2023)")</f>
        <v>Uncle Sams Cider (04/04/2023)</v>
      </c>
      <c r="H5477" s="19"/>
    </row>
    <row r="5478">
      <c r="A5478" s="9"/>
      <c r="B5478" s="15"/>
      <c r="C5478" s="9">
        <f>IFERROR(__xludf.DUMMYFUNCTION("""COMPUTED_VALUE"""),45087.1502530439)</f>
        <v>45087.15025</v>
      </c>
      <c r="D5478" s="15">
        <f>IFERROR(__xludf.DUMMYFUNCTION("""COMPUTED_VALUE"""),1.007)</f>
        <v>1.007</v>
      </c>
      <c r="E5478" s="16">
        <f>IFERROR(__xludf.DUMMYFUNCTION("""COMPUTED_VALUE"""),68.0)</f>
        <v>68</v>
      </c>
      <c r="F5478" s="19" t="str">
        <f>IFERROR(__xludf.DUMMYFUNCTION("""COMPUTED_VALUE"""),"BLACK")</f>
        <v>BLACK</v>
      </c>
      <c r="G5478" s="20" t="str">
        <f>IFERROR(__xludf.DUMMYFUNCTION("""COMPUTED_VALUE"""),"Uncle Sams Cider (04/04/2023)")</f>
        <v>Uncle Sams Cider (04/04/2023)</v>
      </c>
      <c r="H5478" s="19"/>
    </row>
    <row r="5479">
      <c r="A5479" s="9"/>
      <c r="B5479" s="15"/>
      <c r="C5479" s="9">
        <f>IFERROR(__xludf.DUMMYFUNCTION("""COMPUTED_VALUE"""),45087.1398314814)</f>
        <v>45087.13983</v>
      </c>
      <c r="D5479" s="15">
        <f>IFERROR(__xludf.DUMMYFUNCTION("""COMPUTED_VALUE"""),1.007)</f>
        <v>1.007</v>
      </c>
      <c r="E5479" s="16">
        <f>IFERROR(__xludf.DUMMYFUNCTION("""COMPUTED_VALUE"""),68.0)</f>
        <v>68</v>
      </c>
      <c r="F5479" s="19" t="str">
        <f>IFERROR(__xludf.DUMMYFUNCTION("""COMPUTED_VALUE"""),"BLACK")</f>
        <v>BLACK</v>
      </c>
      <c r="G5479" s="20" t="str">
        <f>IFERROR(__xludf.DUMMYFUNCTION("""COMPUTED_VALUE"""),"Uncle Sams Cider (04/04/2023)")</f>
        <v>Uncle Sams Cider (04/04/2023)</v>
      </c>
      <c r="H5479" s="19"/>
    </row>
    <row r="5480">
      <c r="A5480" s="9"/>
      <c r="B5480" s="15"/>
      <c r="C5480" s="9">
        <f>IFERROR(__xludf.DUMMYFUNCTION("""COMPUTED_VALUE"""),45087.1294002314)</f>
        <v>45087.1294</v>
      </c>
      <c r="D5480" s="15">
        <f>IFERROR(__xludf.DUMMYFUNCTION("""COMPUTED_VALUE"""),1.007)</f>
        <v>1.007</v>
      </c>
      <c r="E5480" s="16">
        <f>IFERROR(__xludf.DUMMYFUNCTION("""COMPUTED_VALUE"""),68.0)</f>
        <v>68</v>
      </c>
      <c r="F5480" s="19" t="str">
        <f>IFERROR(__xludf.DUMMYFUNCTION("""COMPUTED_VALUE"""),"BLACK")</f>
        <v>BLACK</v>
      </c>
      <c r="G5480" s="20" t="str">
        <f>IFERROR(__xludf.DUMMYFUNCTION("""COMPUTED_VALUE"""),"Uncle Sams Cider (04/04/2023)")</f>
        <v>Uncle Sams Cider (04/04/2023)</v>
      </c>
      <c r="H5480" s="19"/>
    </row>
    <row r="5481">
      <c r="A5481" s="9"/>
      <c r="B5481" s="15"/>
      <c r="C5481" s="9">
        <f>IFERROR(__xludf.DUMMYFUNCTION("""COMPUTED_VALUE"""),45087.1189677893)</f>
        <v>45087.11897</v>
      </c>
      <c r="D5481" s="15">
        <f>IFERROR(__xludf.DUMMYFUNCTION("""COMPUTED_VALUE"""),1.007)</f>
        <v>1.007</v>
      </c>
      <c r="E5481" s="16">
        <f>IFERROR(__xludf.DUMMYFUNCTION("""COMPUTED_VALUE"""),68.0)</f>
        <v>68</v>
      </c>
      <c r="F5481" s="19" t="str">
        <f>IFERROR(__xludf.DUMMYFUNCTION("""COMPUTED_VALUE"""),"BLACK")</f>
        <v>BLACK</v>
      </c>
      <c r="G5481" s="20" t="str">
        <f>IFERROR(__xludf.DUMMYFUNCTION("""COMPUTED_VALUE"""),"Uncle Sams Cider (04/04/2023)")</f>
        <v>Uncle Sams Cider (04/04/2023)</v>
      </c>
      <c r="H5481" s="19"/>
    </row>
    <row r="5482">
      <c r="A5482" s="9"/>
      <c r="B5482" s="15"/>
      <c r="C5482" s="9">
        <f>IFERROR(__xludf.DUMMYFUNCTION("""COMPUTED_VALUE"""),45087.1085358449)</f>
        <v>45087.10854</v>
      </c>
      <c r="D5482" s="15">
        <f>IFERROR(__xludf.DUMMYFUNCTION("""COMPUTED_VALUE"""),1.007)</f>
        <v>1.007</v>
      </c>
      <c r="E5482" s="16">
        <f>IFERROR(__xludf.DUMMYFUNCTION("""COMPUTED_VALUE"""),68.0)</f>
        <v>68</v>
      </c>
      <c r="F5482" s="19" t="str">
        <f>IFERROR(__xludf.DUMMYFUNCTION("""COMPUTED_VALUE"""),"BLACK")</f>
        <v>BLACK</v>
      </c>
      <c r="G5482" s="20" t="str">
        <f>IFERROR(__xludf.DUMMYFUNCTION("""COMPUTED_VALUE"""),"Uncle Sams Cider (04/04/2023)")</f>
        <v>Uncle Sams Cider (04/04/2023)</v>
      </c>
      <c r="H5482" s="19"/>
    </row>
    <row r="5483">
      <c r="A5483" s="9"/>
      <c r="B5483" s="15"/>
      <c r="C5483" s="9">
        <f>IFERROR(__xludf.DUMMYFUNCTION("""COMPUTED_VALUE"""),45087.0981156713)</f>
        <v>45087.09812</v>
      </c>
      <c r="D5483" s="15">
        <f>IFERROR(__xludf.DUMMYFUNCTION("""COMPUTED_VALUE"""),1.007)</f>
        <v>1.007</v>
      </c>
      <c r="E5483" s="16">
        <f>IFERROR(__xludf.DUMMYFUNCTION("""COMPUTED_VALUE"""),68.0)</f>
        <v>68</v>
      </c>
      <c r="F5483" s="19" t="str">
        <f>IFERROR(__xludf.DUMMYFUNCTION("""COMPUTED_VALUE"""),"BLACK")</f>
        <v>BLACK</v>
      </c>
      <c r="G5483" s="20" t="str">
        <f>IFERROR(__xludf.DUMMYFUNCTION("""COMPUTED_VALUE"""),"Uncle Sams Cider (04/04/2023)")</f>
        <v>Uncle Sams Cider (04/04/2023)</v>
      </c>
      <c r="H5483" s="19"/>
    </row>
    <row r="5484">
      <c r="A5484" s="9"/>
      <c r="B5484" s="15"/>
      <c r="C5484" s="9">
        <f>IFERROR(__xludf.DUMMYFUNCTION("""COMPUTED_VALUE"""),45087.0876942592)</f>
        <v>45087.08769</v>
      </c>
      <c r="D5484" s="15">
        <f>IFERROR(__xludf.DUMMYFUNCTION("""COMPUTED_VALUE"""),1.007)</f>
        <v>1.007</v>
      </c>
      <c r="E5484" s="16">
        <f>IFERROR(__xludf.DUMMYFUNCTION("""COMPUTED_VALUE"""),68.0)</f>
        <v>68</v>
      </c>
      <c r="F5484" s="19" t="str">
        <f>IFERROR(__xludf.DUMMYFUNCTION("""COMPUTED_VALUE"""),"BLACK")</f>
        <v>BLACK</v>
      </c>
      <c r="G5484" s="20" t="str">
        <f>IFERROR(__xludf.DUMMYFUNCTION("""COMPUTED_VALUE"""),"Uncle Sams Cider (04/04/2023)")</f>
        <v>Uncle Sams Cider (04/04/2023)</v>
      </c>
      <c r="H5484" s="19"/>
    </row>
    <row r="5485">
      <c r="A5485" s="9"/>
      <c r="B5485" s="15"/>
      <c r="C5485" s="9">
        <f>IFERROR(__xludf.DUMMYFUNCTION("""COMPUTED_VALUE"""),45087.0772742476)</f>
        <v>45087.07727</v>
      </c>
      <c r="D5485" s="15">
        <f>IFERROR(__xludf.DUMMYFUNCTION("""COMPUTED_VALUE"""),1.007)</f>
        <v>1.007</v>
      </c>
      <c r="E5485" s="16">
        <f>IFERROR(__xludf.DUMMYFUNCTION("""COMPUTED_VALUE"""),68.0)</f>
        <v>68</v>
      </c>
      <c r="F5485" s="19" t="str">
        <f>IFERROR(__xludf.DUMMYFUNCTION("""COMPUTED_VALUE"""),"BLACK")</f>
        <v>BLACK</v>
      </c>
      <c r="G5485" s="20" t="str">
        <f>IFERROR(__xludf.DUMMYFUNCTION("""COMPUTED_VALUE"""),"Uncle Sams Cider (04/04/2023)")</f>
        <v>Uncle Sams Cider (04/04/2023)</v>
      </c>
      <c r="H5485" s="19"/>
    </row>
    <row r="5486">
      <c r="A5486" s="9"/>
      <c r="B5486" s="15"/>
      <c r="C5486" s="9">
        <f>IFERROR(__xludf.DUMMYFUNCTION("""COMPUTED_VALUE"""),45087.0668389467)</f>
        <v>45087.06684</v>
      </c>
      <c r="D5486" s="15">
        <f>IFERROR(__xludf.DUMMYFUNCTION("""COMPUTED_VALUE"""),1.007)</f>
        <v>1.007</v>
      </c>
      <c r="E5486" s="16">
        <f>IFERROR(__xludf.DUMMYFUNCTION("""COMPUTED_VALUE"""),68.0)</f>
        <v>68</v>
      </c>
      <c r="F5486" s="19" t="str">
        <f>IFERROR(__xludf.DUMMYFUNCTION("""COMPUTED_VALUE"""),"BLACK")</f>
        <v>BLACK</v>
      </c>
      <c r="G5486" s="20" t="str">
        <f>IFERROR(__xludf.DUMMYFUNCTION("""COMPUTED_VALUE"""),"Uncle Sams Cider (04/04/2023)")</f>
        <v>Uncle Sams Cider (04/04/2023)</v>
      </c>
      <c r="H5486" s="19"/>
    </row>
    <row r="5487">
      <c r="A5487" s="9"/>
      <c r="B5487" s="15"/>
      <c r="C5487" s="9">
        <f>IFERROR(__xludf.DUMMYFUNCTION("""COMPUTED_VALUE"""),45087.0564171875)</f>
        <v>45087.05642</v>
      </c>
      <c r="D5487" s="15">
        <f>IFERROR(__xludf.DUMMYFUNCTION("""COMPUTED_VALUE"""),1.007)</f>
        <v>1.007</v>
      </c>
      <c r="E5487" s="16">
        <f>IFERROR(__xludf.DUMMYFUNCTION("""COMPUTED_VALUE"""),68.0)</f>
        <v>68</v>
      </c>
      <c r="F5487" s="19" t="str">
        <f>IFERROR(__xludf.DUMMYFUNCTION("""COMPUTED_VALUE"""),"BLACK")</f>
        <v>BLACK</v>
      </c>
      <c r="G5487" s="20" t="str">
        <f>IFERROR(__xludf.DUMMYFUNCTION("""COMPUTED_VALUE"""),"Uncle Sams Cider (04/04/2023)")</f>
        <v>Uncle Sams Cider (04/04/2023)</v>
      </c>
      <c r="H5487" s="19"/>
    </row>
    <row r="5488">
      <c r="A5488" s="9"/>
      <c r="B5488" s="15"/>
      <c r="C5488" s="9">
        <f>IFERROR(__xludf.DUMMYFUNCTION("""COMPUTED_VALUE"""),45087.0459953009)</f>
        <v>45087.046</v>
      </c>
      <c r="D5488" s="15">
        <f>IFERROR(__xludf.DUMMYFUNCTION("""COMPUTED_VALUE"""),1.007)</f>
        <v>1.007</v>
      </c>
      <c r="E5488" s="16">
        <f>IFERROR(__xludf.DUMMYFUNCTION("""COMPUTED_VALUE"""),68.0)</f>
        <v>68</v>
      </c>
      <c r="F5488" s="19" t="str">
        <f>IFERROR(__xludf.DUMMYFUNCTION("""COMPUTED_VALUE"""),"BLACK")</f>
        <v>BLACK</v>
      </c>
      <c r="G5488" s="20" t="str">
        <f>IFERROR(__xludf.DUMMYFUNCTION("""COMPUTED_VALUE"""),"Uncle Sams Cider (04/04/2023)")</f>
        <v>Uncle Sams Cider (04/04/2023)</v>
      </c>
      <c r="H5488" s="19"/>
    </row>
    <row r="5489">
      <c r="A5489" s="9"/>
      <c r="B5489" s="15"/>
      <c r="C5489" s="9">
        <f>IFERROR(__xludf.DUMMYFUNCTION("""COMPUTED_VALUE"""),45087.0355617708)</f>
        <v>45087.03556</v>
      </c>
      <c r="D5489" s="15">
        <f>IFERROR(__xludf.DUMMYFUNCTION("""COMPUTED_VALUE"""),1.007)</f>
        <v>1.007</v>
      </c>
      <c r="E5489" s="16">
        <f>IFERROR(__xludf.DUMMYFUNCTION("""COMPUTED_VALUE"""),68.0)</f>
        <v>68</v>
      </c>
      <c r="F5489" s="19" t="str">
        <f>IFERROR(__xludf.DUMMYFUNCTION("""COMPUTED_VALUE"""),"BLACK")</f>
        <v>BLACK</v>
      </c>
      <c r="G5489" s="20" t="str">
        <f>IFERROR(__xludf.DUMMYFUNCTION("""COMPUTED_VALUE"""),"Uncle Sams Cider (04/04/2023)")</f>
        <v>Uncle Sams Cider (04/04/2023)</v>
      </c>
      <c r="H5489" s="19"/>
    </row>
    <row r="5490">
      <c r="A5490" s="9"/>
      <c r="B5490" s="15"/>
      <c r="C5490" s="9">
        <f>IFERROR(__xludf.DUMMYFUNCTION("""COMPUTED_VALUE"""),45087.0251173726)</f>
        <v>45087.02512</v>
      </c>
      <c r="D5490" s="15">
        <f>IFERROR(__xludf.DUMMYFUNCTION("""COMPUTED_VALUE"""),1.007)</f>
        <v>1.007</v>
      </c>
      <c r="E5490" s="16">
        <f>IFERROR(__xludf.DUMMYFUNCTION("""COMPUTED_VALUE"""),68.0)</f>
        <v>68</v>
      </c>
      <c r="F5490" s="19" t="str">
        <f>IFERROR(__xludf.DUMMYFUNCTION("""COMPUTED_VALUE"""),"BLACK")</f>
        <v>BLACK</v>
      </c>
      <c r="G5490" s="20" t="str">
        <f>IFERROR(__xludf.DUMMYFUNCTION("""COMPUTED_VALUE"""),"Uncle Sams Cider (04/04/2023)")</f>
        <v>Uncle Sams Cider (04/04/2023)</v>
      </c>
      <c r="H5490" s="19"/>
    </row>
    <row r="5491">
      <c r="A5491" s="9"/>
      <c r="B5491" s="15"/>
      <c r="C5491" s="9">
        <f>IFERROR(__xludf.DUMMYFUNCTION("""COMPUTED_VALUE"""),45087.0146850115)</f>
        <v>45087.01469</v>
      </c>
      <c r="D5491" s="15">
        <f>IFERROR(__xludf.DUMMYFUNCTION("""COMPUTED_VALUE"""),1.007)</f>
        <v>1.007</v>
      </c>
      <c r="E5491" s="16">
        <f>IFERROR(__xludf.DUMMYFUNCTION("""COMPUTED_VALUE"""),68.0)</f>
        <v>68</v>
      </c>
      <c r="F5491" s="19" t="str">
        <f>IFERROR(__xludf.DUMMYFUNCTION("""COMPUTED_VALUE"""),"BLACK")</f>
        <v>BLACK</v>
      </c>
      <c r="G5491" s="20" t="str">
        <f>IFERROR(__xludf.DUMMYFUNCTION("""COMPUTED_VALUE"""),"Uncle Sams Cider (04/04/2023)")</f>
        <v>Uncle Sams Cider (04/04/2023)</v>
      </c>
      <c r="H5491" s="19"/>
    </row>
    <row r="5492">
      <c r="A5492" s="9"/>
      <c r="B5492" s="15"/>
      <c r="C5492" s="9">
        <f>IFERROR(__xludf.DUMMYFUNCTION("""COMPUTED_VALUE"""),45087.0042502662)</f>
        <v>45087.00425</v>
      </c>
      <c r="D5492" s="15">
        <f>IFERROR(__xludf.DUMMYFUNCTION("""COMPUTED_VALUE"""),1.007)</f>
        <v>1.007</v>
      </c>
      <c r="E5492" s="16">
        <f>IFERROR(__xludf.DUMMYFUNCTION("""COMPUTED_VALUE"""),68.0)</f>
        <v>68</v>
      </c>
      <c r="F5492" s="19" t="str">
        <f>IFERROR(__xludf.DUMMYFUNCTION("""COMPUTED_VALUE"""),"BLACK")</f>
        <v>BLACK</v>
      </c>
      <c r="G5492" s="20" t="str">
        <f>IFERROR(__xludf.DUMMYFUNCTION("""COMPUTED_VALUE"""),"Uncle Sams Cider (04/04/2023)")</f>
        <v>Uncle Sams Cider (04/04/2023)</v>
      </c>
      <c r="H5492" s="19"/>
    </row>
    <row r="5493">
      <c r="A5493" s="9"/>
      <c r="B5493" s="15"/>
      <c r="C5493" s="9">
        <f>IFERROR(__xludf.DUMMYFUNCTION("""COMPUTED_VALUE"""),45086.993815706)</f>
        <v>45086.99382</v>
      </c>
      <c r="D5493" s="15">
        <f>IFERROR(__xludf.DUMMYFUNCTION("""COMPUTED_VALUE"""),1.007)</f>
        <v>1.007</v>
      </c>
      <c r="E5493" s="16">
        <f>IFERROR(__xludf.DUMMYFUNCTION("""COMPUTED_VALUE"""),68.0)</f>
        <v>68</v>
      </c>
      <c r="F5493" s="19" t="str">
        <f>IFERROR(__xludf.DUMMYFUNCTION("""COMPUTED_VALUE"""),"BLACK")</f>
        <v>BLACK</v>
      </c>
      <c r="G5493" s="20" t="str">
        <f>IFERROR(__xludf.DUMMYFUNCTION("""COMPUTED_VALUE"""),"Uncle Sams Cider (04/04/2023)")</f>
        <v>Uncle Sams Cider (04/04/2023)</v>
      </c>
      <c r="H5493" s="19"/>
    </row>
    <row r="5494">
      <c r="A5494" s="9"/>
      <c r="B5494" s="15"/>
      <c r="C5494" s="9">
        <f>IFERROR(__xludf.DUMMYFUNCTION("""COMPUTED_VALUE"""),45086.9833832754)</f>
        <v>45086.98338</v>
      </c>
      <c r="D5494" s="15">
        <f>IFERROR(__xludf.DUMMYFUNCTION("""COMPUTED_VALUE"""),1.007)</f>
        <v>1.007</v>
      </c>
      <c r="E5494" s="16">
        <f>IFERROR(__xludf.DUMMYFUNCTION("""COMPUTED_VALUE"""),68.0)</f>
        <v>68</v>
      </c>
      <c r="F5494" s="19" t="str">
        <f>IFERROR(__xludf.DUMMYFUNCTION("""COMPUTED_VALUE"""),"BLACK")</f>
        <v>BLACK</v>
      </c>
      <c r="G5494" s="20" t="str">
        <f>IFERROR(__xludf.DUMMYFUNCTION("""COMPUTED_VALUE"""),"Uncle Sams Cider (04/04/2023)")</f>
        <v>Uncle Sams Cider (04/04/2023)</v>
      </c>
      <c r="H5494" s="19"/>
    </row>
    <row r="5495">
      <c r="A5495" s="9"/>
      <c r="B5495" s="15"/>
      <c r="C5495" s="9">
        <f>IFERROR(__xludf.DUMMYFUNCTION("""COMPUTED_VALUE"""),45086.9729281597)</f>
        <v>45086.97293</v>
      </c>
      <c r="D5495" s="15">
        <f>IFERROR(__xludf.DUMMYFUNCTION("""COMPUTED_VALUE"""),1.007)</f>
        <v>1.007</v>
      </c>
      <c r="E5495" s="16">
        <f>IFERROR(__xludf.DUMMYFUNCTION("""COMPUTED_VALUE"""),68.0)</f>
        <v>68</v>
      </c>
      <c r="F5495" s="19" t="str">
        <f>IFERROR(__xludf.DUMMYFUNCTION("""COMPUTED_VALUE"""),"BLACK")</f>
        <v>BLACK</v>
      </c>
      <c r="G5495" s="20" t="str">
        <f>IFERROR(__xludf.DUMMYFUNCTION("""COMPUTED_VALUE"""),"Uncle Sams Cider (04/04/2023)")</f>
        <v>Uncle Sams Cider (04/04/2023)</v>
      </c>
      <c r="H5495" s="19"/>
    </row>
    <row r="5496">
      <c r="A5496" s="9"/>
      <c r="B5496" s="15"/>
      <c r="C5496" s="9">
        <f>IFERROR(__xludf.DUMMYFUNCTION("""COMPUTED_VALUE"""),45086.9625082754)</f>
        <v>45086.96251</v>
      </c>
      <c r="D5496" s="15">
        <f>IFERROR(__xludf.DUMMYFUNCTION("""COMPUTED_VALUE"""),1.007)</f>
        <v>1.007</v>
      </c>
      <c r="E5496" s="16">
        <f>IFERROR(__xludf.DUMMYFUNCTION("""COMPUTED_VALUE"""),68.0)</f>
        <v>68</v>
      </c>
      <c r="F5496" s="19" t="str">
        <f>IFERROR(__xludf.DUMMYFUNCTION("""COMPUTED_VALUE"""),"BLACK")</f>
        <v>BLACK</v>
      </c>
      <c r="G5496" s="20" t="str">
        <f>IFERROR(__xludf.DUMMYFUNCTION("""COMPUTED_VALUE"""),"Uncle Sams Cider (04/04/2023)")</f>
        <v>Uncle Sams Cider (04/04/2023)</v>
      </c>
      <c r="H5496" s="19"/>
    </row>
    <row r="5497">
      <c r="A5497" s="9"/>
      <c r="B5497" s="15"/>
      <c r="C5497" s="9">
        <f>IFERROR(__xludf.DUMMYFUNCTION("""COMPUTED_VALUE"""),45086.9520865393)</f>
        <v>45086.95209</v>
      </c>
      <c r="D5497" s="15">
        <f>IFERROR(__xludf.DUMMYFUNCTION("""COMPUTED_VALUE"""),1.007)</f>
        <v>1.007</v>
      </c>
      <c r="E5497" s="16">
        <f>IFERROR(__xludf.DUMMYFUNCTION("""COMPUTED_VALUE"""),68.0)</f>
        <v>68</v>
      </c>
      <c r="F5497" s="19" t="str">
        <f>IFERROR(__xludf.DUMMYFUNCTION("""COMPUTED_VALUE"""),"BLACK")</f>
        <v>BLACK</v>
      </c>
      <c r="G5497" s="20" t="str">
        <f>IFERROR(__xludf.DUMMYFUNCTION("""COMPUTED_VALUE"""),"Uncle Sams Cider (04/04/2023)")</f>
        <v>Uncle Sams Cider (04/04/2023)</v>
      </c>
      <c r="H5497" s="19"/>
    </row>
    <row r="5498">
      <c r="A5498" s="9"/>
      <c r="B5498" s="15"/>
      <c r="C5498" s="9">
        <f>IFERROR(__xludf.DUMMYFUNCTION("""COMPUTED_VALUE"""),45086.9416650231)</f>
        <v>45086.94167</v>
      </c>
      <c r="D5498" s="15">
        <f>IFERROR(__xludf.DUMMYFUNCTION("""COMPUTED_VALUE"""),1.007)</f>
        <v>1.007</v>
      </c>
      <c r="E5498" s="16">
        <f>IFERROR(__xludf.DUMMYFUNCTION("""COMPUTED_VALUE"""),68.0)</f>
        <v>68</v>
      </c>
      <c r="F5498" s="19" t="str">
        <f>IFERROR(__xludf.DUMMYFUNCTION("""COMPUTED_VALUE"""),"BLACK")</f>
        <v>BLACK</v>
      </c>
      <c r="G5498" s="20" t="str">
        <f>IFERROR(__xludf.DUMMYFUNCTION("""COMPUTED_VALUE"""),"Uncle Sams Cider (04/04/2023)")</f>
        <v>Uncle Sams Cider (04/04/2023)</v>
      </c>
      <c r="H5498" s="19"/>
    </row>
    <row r="5499">
      <c r="A5499" s="9"/>
      <c r="B5499" s="15"/>
      <c r="C5499" s="9">
        <f>IFERROR(__xludf.DUMMYFUNCTION("""COMPUTED_VALUE"""),45086.9312209953)</f>
        <v>45086.93122</v>
      </c>
      <c r="D5499" s="15">
        <f>IFERROR(__xludf.DUMMYFUNCTION("""COMPUTED_VALUE"""),1.007)</f>
        <v>1.007</v>
      </c>
      <c r="E5499" s="16">
        <f>IFERROR(__xludf.DUMMYFUNCTION("""COMPUTED_VALUE"""),68.0)</f>
        <v>68</v>
      </c>
      <c r="F5499" s="19" t="str">
        <f>IFERROR(__xludf.DUMMYFUNCTION("""COMPUTED_VALUE"""),"BLACK")</f>
        <v>BLACK</v>
      </c>
      <c r="G5499" s="20" t="str">
        <f>IFERROR(__xludf.DUMMYFUNCTION("""COMPUTED_VALUE"""),"Uncle Sams Cider (04/04/2023)")</f>
        <v>Uncle Sams Cider (04/04/2023)</v>
      </c>
      <c r="H5499" s="19"/>
    </row>
    <row r="5500">
      <c r="A5500" s="9"/>
      <c r="B5500" s="15"/>
      <c r="C5500" s="9">
        <f>IFERROR(__xludf.DUMMYFUNCTION("""COMPUTED_VALUE"""),45086.9207995023)</f>
        <v>45086.9208</v>
      </c>
      <c r="D5500" s="15">
        <f>IFERROR(__xludf.DUMMYFUNCTION("""COMPUTED_VALUE"""),1.007)</f>
        <v>1.007</v>
      </c>
      <c r="E5500" s="16">
        <f>IFERROR(__xludf.DUMMYFUNCTION("""COMPUTED_VALUE"""),68.0)</f>
        <v>68</v>
      </c>
      <c r="F5500" s="19" t="str">
        <f>IFERROR(__xludf.DUMMYFUNCTION("""COMPUTED_VALUE"""),"BLACK")</f>
        <v>BLACK</v>
      </c>
      <c r="G5500" s="20" t="str">
        <f>IFERROR(__xludf.DUMMYFUNCTION("""COMPUTED_VALUE"""),"Uncle Sams Cider (04/04/2023)")</f>
        <v>Uncle Sams Cider (04/04/2023)</v>
      </c>
      <c r="H5500" s="19"/>
    </row>
    <row r="5501">
      <c r="A5501" s="9"/>
      <c r="B5501" s="15"/>
      <c r="C5501" s="9">
        <f>IFERROR(__xludf.DUMMYFUNCTION("""COMPUTED_VALUE"""),45086.9103434722)</f>
        <v>45086.91034</v>
      </c>
      <c r="D5501" s="15">
        <f>IFERROR(__xludf.DUMMYFUNCTION("""COMPUTED_VALUE"""),1.007)</f>
        <v>1.007</v>
      </c>
      <c r="E5501" s="16">
        <f>IFERROR(__xludf.DUMMYFUNCTION("""COMPUTED_VALUE"""),68.0)</f>
        <v>68</v>
      </c>
      <c r="F5501" s="19" t="str">
        <f>IFERROR(__xludf.DUMMYFUNCTION("""COMPUTED_VALUE"""),"BLACK")</f>
        <v>BLACK</v>
      </c>
      <c r="G5501" s="20" t="str">
        <f>IFERROR(__xludf.DUMMYFUNCTION("""COMPUTED_VALUE"""),"Uncle Sams Cider (04/04/2023)")</f>
        <v>Uncle Sams Cider (04/04/2023)</v>
      </c>
      <c r="H5501" s="19"/>
    </row>
    <row r="5502">
      <c r="A5502" s="9"/>
      <c r="B5502" s="15"/>
      <c r="C5502" s="9">
        <f>IFERROR(__xludf.DUMMYFUNCTION("""COMPUTED_VALUE"""),45086.8999013194)</f>
        <v>45086.8999</v>
      </c>
      <c r="D5502" s="15">
        <f>IFERROR(__xludf.DUMMYFUNCTION("""COMPUTED_VALUE"""),1.007)</f>
        <v>1.007</v>
      </c>
      <c r="E5502" s="16">
        <f>IFERROR(__xludf.DUMMYFUNCTION("""COMPUTED_VALUE"""),68.0)</f>
        <v>68</v>
      </c>
      <c r="F5502" s="19" t="str">
        <f>IFERROR(__xludf.DUMMYFUNCTION("""COMPUTED_VALUE"""),"BLACK")</f>
        <v>BLACK</v>
      </c>
      <c r="G5502" s="20" t="str">
        <f>IFERROR(__xludf.DUMMYFUNCTION("""COMPUTED_VALUE"""),"Uncle Sams Cider (04/04/2023)")</f>
        <v>Uncle Sams Cider (04/04/2023)</v>
      </c>
      <c r="H5502" s="19"/>
    </row>
    <row r="5503">
      <c r="A5503" s="9"/>
      <c r="B5503" s="15"/>
      <c r="C5503" s="9">
        <f>IFERROR(__xludf.DUMMYFUNCTION("""COMPUTED_VALUE"""),45086.8894779513)</f>
        <v>45086.88948</v>
      </c>
      <c r="D5503" s="15">
        <f>IFERROR(__xludf.DUMMYFUNCTION("""COMPUTED_VALUE"""),1.007)</f>
        <v>1.007</v>
      </c>
      <c r="E5503" s="16">
        <f>IFERROR(__xludf.DUMMYFUNCTION("""COMPUTED_VALUE"""),68.0)</f>
        <v>68</v>
      </c>
      <c r="F5503" s="19" t="str">
        <f>IFERROR(__xludf.DUMMYFUNCTION("""COMPUTED_VALUE"""),"BLACK")</f>
        <v>BLACK</v>
      </c>
      <c r="G5503" s="20" t="str">
        <f>IFERROR(__xludf.DUMMYFUNCTION("""COMPUTED_VALUE"""),"Uncle Sams Cider (04/04/2023)")</f>
        <v>Uncle Sams Cider (04/04/2023)</v>
      </c>
      <c r="H5503" s="19"/>
    </row>
    <row r="5504">
      <c r="A5504" s="9"/>
      <c r="B5504" s="15"/>
      <c r="C5504" s="9">
        <f>IFERROR(__xludf.DUMMYFUNCTION("""COMPUTED_VALUE"""),45086.8790456018)</f>
        <v>45086.87905</v>
      </c>
      <c r="D5504" s="15">
        <f>IFERROR(__xludf.DUMMYFUNCTION("""COMPUTED_VALUE"""),1.007)</f>
        <v>1.007</v>
      </c>
      <c r="E5504" s="16">
        <f>IFERROR(__xludf.DUMMYFUNCTION("""COMPUTED_VALUE"""),68.0)</f>
        <v>68</v>
      </c>
      <c r="F5504" s="19" t="str">
        <f>IFERROR(__xludf.DUMMYFUNCTION("""COMPUTED_VALUE"""),"BLACK")</f>
        <v>BLACK</v>
      </c>
      <c r="G5504" s="20" t="str">
        <f>IFERROR(__xludf.DUMMYFUNCTION("""COMPUTED_VALUE"""),"Uncle Sams Cider (04/04/2023)")</f>
        <v>Uncle Sams Cider (04/04/2023)</v>
      </c>
      <c r="H5504" s="19"/>
    </row>
    <row r="5505">
      <c r="A5505" s="9"/>
      <c r="B5505" s="15"/>
      <c r="C5505" s="9">
        <f>IFERROR(__xludf.DUMMYFUNCTION("""COMPUTED_VALUE"""),45086.8686237037)</f>
        <v>45086.86862</v>
      </c>
      <c r="D5505" s="15">
        <f>IFERROR(__xludf.DUMMYFUNCTION("""COMPUTED_VALUE"""),1.007)</f>
        <v>1.007</v>
      </c>
      <c r="E5505" s="16">
        <f>IFERROR(__xludf.DUMMYFUNCTION("""COMPUTED_VALUE"""),68.0)</f>
        <v>68</v>
      </c>
      <c r="F5505" s="19" t="str">
        <f>IFERROR(__xludf.DUMMYFUNCTION("""COMPUTED_VALUE"""),"BLACK")</f>
        <v>BLACK</v>
      </c>
      <c r="G5505" s="20" t="str">
        <f>IFERROR(__xludf.DUMMYFUNCTION("""COMPUTED_VALUE"""),"Uncle Sams Cider (04/04/2023)")</f>
        <v>Uncle Sams Cider (04/04/2023)</v>
      </c>
      <c r="H5505" s="19"/>
    </row>
    <row r="5506">
      <c r="A5506" s="9"/>
      <c r="B5506" s="15"/>
      <c r="C5506" s="9">
        <f>IFERROR(__xludf.DUMMYFUNCTION("""COMPUTED_VALUE"""),45086.8582028588)</f>
        <v>45086.8582</v>
      </c>
      <c r="D5506" s="15">
        <f>IFERROR(__xludf.DUMMYFUNCTION("""COMPUTED_VALUE"""),1.007)</f>
        <v>1.007</v>
      </c>
      <c r="E5506" s="16">
        <f>IFERROR(__xludf.DUMMYFUNCTION("""COMPUTED_VALUE"""),68.0)</f>
        <v>68</v>
      </c>
      <c r="F5506" s="19" t="str">
        <f>IFERROR(__xludf.DUMMYFUNCTION("""COMPUTED_VALUE"""),"BLACK")</f>
        <v>BLACK</v>
      </c>
      <c r="G5506" s="20" t="str">
        <f>IFERROR(__xludf.DUMMYFUNCTION("""COMPUTED_VALUE"""),"Uncle Sams Cider (04/04/2023)")</f>
        <v>Uncle Sams Cider (04/04/2023)</v>
      </c>
      <c r="H5506" s="19"/>
    </row>
    <row r="5507">
      <c r="A5507" s="9"/>
      <c r="B5507" s="15"/>
      <c r="C5507" s="9">
        <f>IFERROR(__xludf.DUMMYFUNCTION("""COMPUTED_VALUE"""),45086.8477713657)</f>
        <v>45086.84777</v>
      </c>
      <c r="D5507" s="15">
        <f>IFERROR(__xludf.DUMMYFUNCTION("""COMPUTED_VALUE"""),1.007)</f>
        <v>1.007</v>
      </c>
      <c r="E5507" s="16">
        <f>IFERROR(__xludf.DUMMYFUNCTION("""COMPUTED_VALUE"""),68.0)</f>
        <v>68</v>
      </c>
      <c r="F5507" s="19" t="str">
        <f>IFERROR(__xludf.DUMMYFUNCTION("""COMPUTED_VALUE"""),"BLACK")</f>
        <v>BLACK</v>
      </c>
      <c r="G5507" s="20" t="str">
        <f>IFERROR(__xludf.DUMMYFUNCTION("""COMPUTED_VALUE"""),"Uncle Sams Cider (04/04/2023)")</f>
        <v>Uncle Sams Cider (04/04/2023)</v>
      </c>
      <c r="H5507" s="19"/>
    </row>
    <row r="5508">
      <c r="A5508" s="9"/>
      <c r="B5508" s="15"/>
      <c r="C5508" s="9">
        <f>IFERROR(__xludf.DUMMYFUNCTION("""COMPUTED_VALUE"""),45086.8373386342)</f>
        <v>45086.83734</v>
      </c>
      <c r="D5508" s="15">
        <f>IFERROR(__xludf.DUMMYFUNCTION("""COMPUTED_VALUE"""),1.007)</f>
        <v>1.007</v>
      </c>
      <c r="E5508" s="16">
        <f>IFERROR(__xludf.DUMMYFUNCTION("""COMPUTED_VALUE"""),68.0)</f>
        <v>68</v>
      </c>
      <c r="F5508" s="19" t="str">
        <f>IFERROR(__xludf.DUMMYFUNCTION("""COMPUTED_VALUE"""),"BLACK")</f>
        <v>BLACK</v>
      </c>
      <c r="G5508" s="20" t="str">
        <f>IFERROR(__xludf.DUMMYFUNCTION("""COMPUTED_VALUE"""),"Uncle Sams Cider (04/04/2023)")</f>
        <v>Uncle Sams Cider (04/04/2023)</v>
      </c>
      <c r="H5508" s="19"/>
    </row>
    <row r="5509">
      <c r="A5509" s="9"/>
      <c r="B5509" s="15"/>
      <c r="C5509" s="9">
        <f>IFERROR(__xludf.DUMMYFUNCTION("""COMPUTED_VALUE"""),45086.8269151851)</f>
        <v>45086.82692</v>
      </c>
      <c r="D5509" s="15">
        <f>IFERROR(__xludf.DUMMYFUNCTION("""COMPUTED_VALUE"""),1.007)</f>
        <v>1.007</v>
      </c>
      <c r="E5509" s="16">
        <f>IFERROR(__xludf.DUMMYFUNCTION("""COMPUTED_VALUE"""),68.0)</f>
        <v>68</v>
      </c>
      <c r="F5509" s="19" t="str">
        <f>IFERROR(__xludf.DUMMYFUNCTION("""COMPUTED_VALUE"""),"BLACK")</f>
        <v>BLACK</v>
      </c>
      <c r="G5509" s="20" t="str">
        <f>IFERROR(__xludf.DUMMYFUNCTION("""COMPUTED_VALUE"""),"Uncle Sams Cider (04/04/2023)")</f>
        <v>Uncle Sams Cider (04/04/2023)</v>
      </c>
      <c r="H5509" s="19"/>
    </row>
    <row r="5510">
      <c r="A5510" s="9"/>
      <c r="B5510" s="15"/>
      <c r="C5510" s="9">
        <f>IFERROR(__xludf.DUMMYFUNCTION("""COMPUTED_VALUE"""),45086.8164946643)</f>
        <v>45086.81649</v>
      </c>
      <c r="D5510" s="15">
        <f>IFERROR(__xludf.DUMMYFUNCTION("""COMPUTED_VALUE"""),1.007)</f>
        <v>1.007</v>
      </c>
      <c r="E5510" s="16">
        <f>IFERROR(__xludf.DUMMYFUNCTION("""COMPUTED_VALUE"""),68.0)</f>
        <v>68</v>
      </c>
      <c r="F5510" s="19" t="str">
        <f>IFERROR(__xludf.DUMMYFUNCTION("""COMPUTED_VALUE"""),"BLACK")</f>
        <v>BLACK</v>
      </c>
      <c r="G5510" s="20" t="str">
        <f>IFERROR(__xludf.DUMMYFUNCTION("""COMPUTED_VALUE"""),"Uncle Sams Cider (04/04/2023)")</f>
        <v>Uncle Sams Cider (04/04/2023)</v>
      </c>
      <c r="H5510" s="19"/>
    </row>
    <row r="5511">
      <c r="A5511" s="9"/>
      <c r="B5511" s="15"/>
      <c r="C5511" s="9">
        <f>IFERROR(__xludf.DUMMYFUNCTION("""COMPUTED_VALUE"""),45086.8060742708)</f>
        <v>45086.80607</v>
      </c>
      <c r="D5511" s="15">
        <f>IFERROR(__xludf.DUMMYFUNCTION("""COMPUTED_VALUE"""),1.007)</f>
        <v>1.007</v>
      </c>
      <c r="E5511" s="16">
        <f>IFERROR(__xludf.DUMMYFUNCTION("""COMPUTED_VALUE"""),68.0)</f>
        <v>68</v>
      </c>
      <c r="F5511" s="19" t="str">
        <f>IFERROR(__xludf.DUMMYFUNCTION("""COMPUTED_VALUE"""),"BLACK")</f>
        <v>BLACK</v>
      </c>
      <c r="G5511" s="20" t="str">
        <f>IFERROR(__xludf.DUMMYFUNCTION("""COMPUTED_VALUE"""),"Uncle Sams Cider (04/04/2023)")</f>
        <v>Uncle Sams Cider (04/04/2023)</v>
      </c>
      <c r="H5511" s="19"/>
    </row>
    <row r="5512">
      <c r="A5512" s="9"/>
      <c r="B5512" s="15"/>
      <c r="C5512" s="9">
        <f>IFERROR(__xludf.DUMMYFUNCTION("""COMPUTED_VALUE"""),45086.7956546875)</f>
        <v>45086.79565</v>
      </c>
      <c r="D5512" s="15">
        <f>IFERROR(__xludf.DUMMYFUNCTION("""COMPUTED_VALUE"""),1.007)</f>
        <v>1.007</v>
      </c>
      <c r="E5512" s="16">
        <f>IFERROR(__xludf.DUMMYFUNCTION("""COMPUTED_VALUE"""),68.0)</f>
        <v>68</v>
      </c>
      <c r="F5512" s="19" t="str">
        <f>IFERROR(__xludf.DUMMYFUNCTION("""COMPUTED_VALUE"""),"BLACK")</f>
        <v>BLACK</v>
      </c>
      <c r="G5512" s="20" t="str">
        <f>IFERROR(__xludf.DUMMYFUNCTION("""COMPUTED_VALUE"""),"Uncle Sams Cider (04/04/2023)")</f>
        <v>Uncle Sams Cider (04/04/2023)</v>
      </c>
      <c r="H5512" s="19"/>
    </row>
    <row r="5513">
      <c r="A5513" s="9"/>
      <c r="B5513" s="15"/>
      <c r="C5513" s="9">
        <f>IFERROR(__xludf.DUMMYFUNCTION("""COMPUTED_VALUE"""),45086.7852335995)</f>
        <v>45086.78523</v>
      </c>
      <c r="D5513" s="15">
        <f>IFERROR(__xludf.DUMMYFUNCTION("""COMPUTED_VALUE"""),1.007)</f>
        <v>1.007</v>
      </c>
      <c r="E5513" s="16">
        <f>IFERROR(__xludf.DUMMYFUNCTION("""COMPUTED_VALUE"""),68.0)</f>
        <v>68</v>
      </c>
      <c r="F5513" s="19" t="str">
        <f>IFERROR(__xludf.DUMMYFUNCTION("""COMPUTED_VALUE"""),"BLACK")</f>
        <v>BLACK</v>
      </c>
      <c r="G5513" s="20" t="str">
        <f>IFERROR(__xludf.DUMMYFUNCTION("""COMPUTED_VALUE"""),"Uncle Sams Cider (04/04/2023)")</f>
        <v>Uncle Sams Cider (04/04/2023)</v>
      </c>
      <c r="H5513" s="19"/>
    </row>
    <row r="5514">
      <c r="A5514" s="9"/>
      <c r="B5514" s="15"/>
      <c r="C5514" s="9">
        <f>IFERROR(__xludf.DUMMYFUNCTION("""COMPUTED_VALUE"""),45086.7748132291)</f>
        <v>45086.77481</v>
      </c>
      <c r="D5514" s="15">
        <f>IFERROR(__xludf.DUMMYFUNCTION("""COMPUTED_VALUE"""),1.007)</f>
        <v>1.007</v>
      </c>
      <c r="E5514" s="16">
        <f>IFERROR(__xludf.DUMMYFUNCTION("""COMPUTED_VALUE"""),68.0)</f>
        <v>68</v>
      </c>
      <c r="F5514" s="19" t="str">
        <f>IFERROR(__xludf.DUMMYFUNCTION("""COMPUTED_VALUE"""),"BLACK")</f>
        <v>BLACK</v>
      </c>
      <c r="G5514" s="20" t="str">
        <f>IFERROR(__xludf.DUMMYFUNCTION("""COMPUTED_VALUE"""),"Uncle Sams Cider (04/04/2023)")</f>
        <v>Uncle Sams Cider (04/04/2023)</v>
      </c>
      <c r="H5514" s="19"/>
    </row>
    <row r="5515">
      <c r="A5515" s="9"/>
      <c r="B5515" s="15"/>
      <c r="C5515" s="9">
        <f>IFERROR(__xludf.DUMMYFUNCTION("""COMPUTED_VALUE"""),45086.7643919907)</f>
        <v>45086.76439</v>
      </c>
      <c r="D5515" s="15">
        <f>IFERROR(__xludf.DUMMYFUNCTION("""COMPUTED_VALUE"""),1.007)</f>
        <v>1.007</v>
      </c>
      <c r="E5515" s="16">
        <f>IFERROR(__xludf.DUMMYFUNCTION("""COMPUTED_VALUE"""),68.0)</f>
        <v>68</v>
      </c>
      <c r="F5515" s="19" t="str">
        <f>IFERROR(__xludf.DUMMYFUNCTION("""COMPUTED_VALUE"""),"BLACK")</f>
        <v>BLACK</v>
      </c>
      <c r="G5515" s="20" t="str">
        <f>IFERROR(__xludf.DUMMYFUNCTION("""COMPUTED_VALUE"""),"Uncle Sams Cider (04/04/2023)")</f>
        <v>Uncle Sams Cider (04/04/2023)</v>
      </c>
      <c r="H5515" s="19"/>
    </row>
    <row r="5516">
      <c r="A5516" s="9"/>
      <c r="B5516" s="15"/>
      <c r="C5516" s="9">
        <f>IFERROR(__xludf.DUMMYFUNCTION("""COMPUTED_VALUE"""),45086.7539582986)</f>
        <v>45086.75396</v>
      </c>
      <c r="D5516" s="15">
        <f>IFERROR(__xludf.DUMMYFUNCTION("""COMPUTED_VALUE"""),1.007)</f>
        <v>1.007</v>
      </c>
      <c r="E5516" s="16">
        <f>IFERROR(__xludf.DUMMYFUNCTION("""COMPUTED_VALUE"""),68.0)</f>
        <v>68</v>
      </c>
      <c r="F5516" s="19" t="str">
        <f>IFERROR(__xludf.DUMMYFUNCTION("""COMPUTED_VALUE"""),"BLACK")</f>
        <v>BLACK</v>
      </c>
      <c r="G5516" s="20" t="str">
        <f>IFERROR(__xludf.DUMMYFUNCTION("""COMPUTED_VALUE"""),"Uncle Sams Cider (04/04/2023)")</f>
        <v>Uncle Sams Cider (04/04/2023)</v>
      </c>
      <c r="H5516" s="19"/>
    </row>
    <row r="5517">
      <c r="A5517" s="9"/>
      <c r="B5517" s="15"/>
      <c r="C5517" s="9">
        <f>IFERROR(__xludf.DUMMYFUNCTION("""COMPUTED_VALUE"""),45086.7435254513)</f>
        <v>45086.74353</v>
      </c>
      <c r="D5517" s="15">
        <f>IFERROR(__xludf.DUMMYFUNCTION("""COMPUTED_VALUE"""),1.007)</f>
        <v>1.007</v>
      </c>
      <c r="E5517" s="16">
        <f>IFERROR(__xludf.DUMMYFUNCTION("""COMPUTED_VALUE"""),68.0)</f>
        <v>68</v>
      </c>
      <c r="F5517" s="19" t="str">
        <f>IFERROR(__xludf.DUMMYFUNCTION("""COMPUTED_VALUE"""),"BLACK")</f>
        <v>BLACK</v>
      </c>
      <c r="G5517" s="20" t="str">
        <f>IFERROR(__xludf.DUMMYFUNCTION("""COMPUTED_VALUE"""),"Uncle Sams Cider (04/04/2023)")</f>
        <v>Uncle Sams Cider (04/04/2023)</v>
      </c>
      <c r="H5517" s="19"/>
    </row>
    <row r="5518">
      <c r="A5518" s="9"/>
      <c r="B5518" s="15"/>
      <c r="C5518" s="9">
        <f>IFERROR(__xludf.DUMMYFUNCTION("""COMPUTED_VALUE"""),45086.7331041666)</f>
        <v>45086.7331</v>
      </c>
      <c r="D5518" s="15">
        <f>IFERROR(__xludf.DUMMYFUNCTION("""COMPUTED_VALUE"""),1.007)</f>
        <v>1.007</v>
      </c>
      <c r="E5518" s="16">
        <f>IFERROR(__xludf.DUMMYFUNCTION("""COMPUTED_VALUE"""),68.0)</f>
        <v>68</v>
      </c>
      <c r="F5518" s="19" t="str">
        <f>IFERROR(__xludf.DUMMYFUNCTION("""COMPUTED_VALUE"""),"BLACK")</f>
        <v>BLACK</v>
      </c>
      <c r="G5518" s="20" t="str">
        <f>IFERROR(__xludf.DUMMYFUNCTION("""COMPUTED_VALUE"""),"Uncle Sams Cider (04/04/2023)")</f>
        <v>Uncle Sams Cider (04/04/2023)</v>
      </c>
      <c r="H5518" s="19"/>
    </row>
    <row r="5519">
      <c r="A5519" s="9"/>
      <c r="B5519" s="15"/>
      <c r="C5519" s="9">
        <f>IFERROR(__xludf.DUMMYFUNCTION("""COMPUTED_VALUE"""),45086.7226831597)</f>
        <v>45086.72268</v>
      </c>
      <c r="D5519" s="15">
        <f>IFERROR(__xludf.DUMMYFUNCTION("""COMPUTED_VALUE"""),1.007)</f>
        <v>1.007</v>
      </c>
      <c r="E5519" s="16">
        <f>IFERROR(__xludf.DUMMYFUNCTION("""COMPUTED_VALUE"""),68.0)</f>
        <v>68</v>
      </c>
      <c r="F5519" s="19" t="str">
        <f>IFERROR(__xludf.DUMMYFUNCTION("""COMPUTED_VALUE"""),"BLACK")</f>
        <v>BLACK</v>
      </c>
      <c r="G5519" s="20" t="str">
        <f>IFERROR(__xludf.DUMMYFUNCTION("""COMPUTED_VALUE"""),"Uncle Sams Cider (04/04/2023)")</f>
        <v>Uncle Sams Cider (04/04/2023)</v>
      </c>
      <c r="H5519" s="19"/>
    </row>
    <row r="5520">
      <c r="A5520" s="9"/>
      <c r="B5520" s="15"/>
      <c r="C5520" s="9">
        <f>IFERROR(__xludf.DUMMYFUNCTION("""COMPUTED_VALUE"""),45086.712262037)</f>
        <v>45086.71226</v>
      </c>
      <c r="D5520" s="15">
        <f>IFERROR(__xludf.DUMMYFUNCTION("""COMPUTED_VALUE"""),1.007)</f>
        <v>1.007</v>
      </c>
      <c r="E5520" s="16">
        <f>IFERROR(__xludf.DUMMYFUNCTION("""COMPUTED_VALUE"""),68.0)</f>
        <v>68</v>
      </c>
      <c r="F5520" s="19" t="str">
        <f>IFERROR(__xludf.DUMMYFUNCTION("""COMPUTED_VALUE"""),"BLACK")</f>
        <v>BLACK</v>
      </c>
      <c r="G5520" s="20" t="str">
        <f>IFERROR(__xludf.DUMMYFUNCTION("""COMPUTED_VALUE"""),"Uncle Sams Cider (04/04/2023)")</f>
        <v>Uncle Sams Cider (04/04/2023)</v>
      </c>
      <c r="H5520" s="19"/>
    </row>
    <row r="5521">
      <c r="A5521" s="9"/>
      <c r="B5521" s="15"/>
      <c r="C5521" s="9">
        <f>IFERROR(__xludf.DUMMYFUNCTION("""COMPUTED_VALUE"""),45086.7018412615)</f>
        <v>45086.70184</v>
      </c>
      <c r="D5521" s="15">
        <f>IFERROR(__xludf.DUMMYFUNCTION("""COMPUTED_VALUE"""),1.007)</f>
        <v>1.007</v>
      </c>
      <c r="E5521" s="16">
        <f>IFERROR(__xludf.DUMMYFUNCTION("""COMPUTED_VALUE"""),68.0)</f>
        <v>68</v>
      </c>
      <c r="F5521" s="19" t="str">
        <f>IFERROR(__xludf.DUMMYFUNCTION("""COMPUTED_VALUE"""),"BLACK")</f>
        <v>BLACK</v>
      </c>
      <c r="G5521" s="20" t="str">
        <f>IFERROR(__xludf.DUMMYFUNCTION("""COMPUTED_VALUE"""),"Uncle Sams Cider (04/04/2023)")</f>
        <v>Uncle Sams Cider (04/04/2023)</v>
      </c>
      <c r="H5521" s="19"/>
    </row>
    <row r="5522">
      <c r="A5522" s="9"/>
      <c r="B5522" s="15"/>
      <c r="C5522" s="9">
        <f>IFERROR(__xludf.DUMMYFUNCTION("""COMPUTED_VALUE"""),45086.6914084143)</f>
        <v>45086.69141</v>
      </c>
      <c r="D5522" s="15">
        <f>IFERROR(__xludf.DUMMYFUNCTION("""COMPUTED_VALUE"""),1.007)</f>
        <v>1.007</v>
      </c>
      <c r="E5522" s="16">
        <f>IFERROR(__xludf.DUMMYFUNCTION("""COMPUTED_VALUE"""),68.0)</f>
        <v>68</v>
      </c>
      <c r="F5522" s="19" t="str">
        <f>IFERROR(__xludf.DUMMYFUNCTION("""COMPUTED_VALUE"""),"BLACK")</f>
        <v>BLACK</v>
      </c>
      <c r="G5522" s="20" t="str">
        <f>IFERROR(__xludf.DUMMYFUNCTION("""COMPUTED_VALUE"""),"Uncle Sams Cider (04/04/2023)")</f>
        <v>Uncle Sams Cider (04/04/2023)</v>
      </c>
      <c r="H5522" s="19"/>
    </row>
    <row r="5523">
      <c r="A5523" s="9"/>
      <c r="B5523" s="15"/>
      <c r="C5523" s="9">
        <f>IFERROR(__xludf.DUMMYFUNCTION("""COMPUTED_VALUE"""),45086.6809750694)</f>
        <v>45086.68098</v>
      </c>
      <c r="D5523" s="15">
        <f>IFERROR(__xludf.DUMMYFUNCTION("""COMPUTED_VALUE"""),1.007)</f>
        <v>1.007</v>
      </c>
      <c r="E5523" s="16">
        <f>IFERROR(__xludf.DUMMYFUNCTION("""COMPUTED_VALUE"""),68.0)</f>
        <v>68</v>
      </c>
      <c r="F5523" s="19" t="str">
        <f>IFERROR(__xludf.DUMMYFUNCTION("""COMPUTED_VALUE"""),"BLACK")</f>
        <v>BLACK</v>
      </c>
      <c r="G5523" s="20" t="str">
        <f>IFERROR(__xludf.DUMMYFUNCTION("""COMPUTED_VALUE"""),"Uncle Sams Cider (04/04/2023)")</f>
        <v>Uncle Sams Cider (04/04/2023)</v>
      </c>
      <c r="H5523" s="19"/>
    </row>
    <row r="5524">
      <c r="A5524" s="9"/>
      <c r="B5524" s="15"/>
      <c r="C5524" s="9">
        <f>IFERROR(__xludf.DUMMYFUNCTION("""COMPUTED_VALUE"""),45086.6705548148)</f>
        <v>45086.67055</v>
      </c>
      <c r="D5524" s="15">
        <f>IFERROR(__xludf.DUMMYFUNCTION("""COMPUTED_VALUE"""),1.007)</f>
        <v>1.007</v>
      </c>
      <c r="E5524" s="16">
        <f>IFERROR(__xludf.DUMMYFUNCTION("""COMPUTED_VALUE"""),68.0)</f>
        <v>68</v>
      </c>
      <c r="F5524" s="19" t="str">
        <f>IFERROR(__xludf.DUMMYFUNCTION("""COMPUTED_VALUE"""),"BLACK")</f>
        <v>BLACK</v>
      </c>
      <c r="G5524" s="20" t="str">
        <f>IFERROR(__xludf.DUMMYFUNCTION("""COMPUTED_VALUE"""),"Uncle Sams Cider (04/04/2023)")</f>
        <v>Uncle Sams Cider (04/04/2023)</v>
      </c>
      <c r="H5524" s="19"/>
    </row>
    <row r="5525">
      <c r="A5525" s="9"/>
      <c r="B5525" s="15"/>
      <c r="C5525" s="9">
        <f>IFERROR(__xludf.DUMMYFUNCTION("""COMPUTED_VALUE"""),45086.6601217708)</f>
        <v>45086.66012</v>
      </c>
      <c r="D5525" s="15">
        <f>IFERROR(__xludf.DUMMYFUNCTION("""COMPUTED_VALUE"""),1.007)</f>
        <v>1.007</v>
      </c>
      <c r="E5525" s="16">
        <f>IFERROR(__xludf.DUMMYFUNCTION("""COMPUTED_VALUE"""),68.0)</f>
        <v>68</v>
      </c>
      <c r="F5525" s="19" t="str">
        <f>IFERROR(__xludf.DUMMYFUNCTION("""COMPUTED_VALUE"""),"BLACK")</f>
        <v>BLACK</v>
      </c>
      <c r="G5525" s="20" t="str">
        <f>IFERROR(__xludf.DUMMYFUNCTION("""COMPUTED_VALUE"""),"Uncle Sams Cider (04/04/2023)")</f>
        <v>Uncle Sams Cider (04/04/2023)</v>
      </c>
      <c r="H5525" s="19"/>
    </row>
    <row r="5526">
      <c r="A5526" s="9"/>
      <c r="B5526" s="15"/>
      <c r="C5526" s="9">
        <f>IFERROR(__xludf.DUMMYFUNCTION("""COMPUTED_VALUE"""),45086.6496990856)</f>
        <v>45086.6497</v>
      </c>
      <c r="D5526" s="15">
        <f>IFERROR(__xludf.DUMMYFUNCTION("""COMPUTED_VALUE"""),1.007)</f>
        <v>1.007</v>
      </c>
      <c r="E5526" s="16">
        <f>IFERROR(__xludf.DUMMYFUNCTION("""COMPUTED_VALUE"""),68.0)</f>
        <v>68</v>
      </c>
      <c r="F5526" s="19" t="str">
        <f>IFERROR(__xludf.DUMMYFUNCTION("""COMPUTED_VALUE"""),"BLACK")</f>
        <v>BLACK</v>
      </c>
      <c r="G5526" s="20" t="str">
        <f>IFERROR(__xludf.DUMMYFUNCTION("""COMPUTED_VALUE"""),"Uncle Sams Cider (04/04/2023)")</f>
        <v>Uncle Sams Cider (04/04/2023)</v>
      </c>
      <c r="H5526" s="19"/>
    </row>
    <row r="5527">
      <c r="A5527" s="9"/>
      <c r="B5527" s="15"/>
      <c r="C5527" s="9">
        <f>IFERROR(__xludf.DUMMYFUNCTION("""COMPUTED_VALUE"""),45086.6392767013)</f>
        <v>45086.63928</v>
      </c>
      <c r="D5527" s="15">
        <f>IFERROR(__xludf.DUMMYFUNCTION("""COMPUTED_VALUE"""),1.007)</f>
        <v>1.007</v>
      </c>
      <c r="E5527" s="16">
        <f>IFERROR(__xludf.DUMMYFUNCTION("""COMPUTED_VALUE"""),68.0)</f>
        <v>68</v>
      </c>
      <c r="F5527" s="19" t="str">
        <f>IFERROR(__xludf.DUMMYFUNCTION("""COMPUTED_VALUE"""),"BLACK")</f>
        <v>BLACK</v>
      </c>
      <c r="G5527" s="20" t="str">
        <f>IFERROR(__xludf.DUMMYFUNCTION("""COMPUTED_VALUE"""),"Uncle Sams Cider (04/04/2023)")</f>
        <v>Uncle Sams Cider (04/04/2023)</v>
      </c>
      <c r="H5527" s="19"/>
    </row>
    <row r="5528">
      <c r="A5528" s="9"/>
      <c r="B5528" s="15"/>
      <c r="C5528" s="9">
        <f>IFERROR(__xludf.DUMMYFUNCTION("""COMPUTED_VALUE"""),45086.6288544791)</f>
        <v>45086.62885</v>
      </c>
      <c r="D5528" s="15">
        <f>IFERROR(__xludf.DUMMYFUNCTION("""COMPUTED_VALUE"""),1.007)</f>
        <v>1.007</v>
      </c>
      <c r="E5528" s="16">
        <f>IFERROR(__xludf.DUMMYFUNCTION("""COMPUTED_VALUE"""),68.0)</f>
        <v>68</v>
      </c>
      <c r="F5528" s="19" t="str">
        <f>IFERROR(__xludf.DUMMYFUNCTION("""COMPUTED_VALUE"""),"BLACK")</f>
        <v>BLACK</v>
      </c>
      <c r="G5528" s="20" t="str">
        <f>IFERROR(__xludf.DUMMYFUNCTION("""COMPUTED_VALUE"""),"Uncle Sams Cider (04/04/2023)")</f>
        <v>Uncle Sams Cider (04/04/2023)</v>
      </c>
      <c r="H5528" s="19"/>
    </row>
    <row r="5529">
      <c r="A5529" s="9"/>
      <c r="B5529" s="15"/>
      <c r="C5529" s="9">
        <f>IFERROR(__xludf.DUMMYFUNCTION("""COMPUTED_VALUE"""),45086.6184225925)</f>
        <v>45086.61842</v>
      </c>
      <c r="D5529" s="15">
        <f>IFERROR(__xludf.DUMMYFUNCTION("""COMPUTED_VALUE"""),1.007)</f>
        <v>1.007</v>
      </c>
      <c r="E5529" s="16">
        <f>IFERROR(__xludf.DUMMYFUNCTION("""COMPUTED_VALUE"""),68.0)</f>
        <v>68</v>
      </c>
      <c r="F5529" s="19" t="str">
        <f>IFERROR(__xludf.DUMMYFUNCTION("""COMPUTED_VALUE"""),"BLACK")</f>
        <v>BLACK</v>
      </c>
      <c r="G5529" s="20" t="str">
        <f>IFERROR(__xludf.DUMMYFUNCTION("""COMPUTED_VALUE"""),"Uncle Sams Cider (04/04/2023)")</f>
        <v>Uncle Sams Cider (04/04/2023)</v>
      </c>
      <c r="H5529" s="19"/>
    </row>
    <row r="5530">
      <c r="A5530" s="9"/>
      <c r="B5530" s="15"/>
      <c r="C5530" s="9">
        <f>IFERROR(__xludf.DUMMYFUNCTION("""COMPUTED_VALUE"""),45086.6079787384)</f>
        <v>45086.60798</v>
      </c>
      <c r="D5530" s="15">
        <f>IFERROR(__xludf.DUMMYFUNCTION("""COMPUTED_VALUE"""),1.007)</f>
        <v>1.007</v>
      </c>
      <c r="E5530" s="16">
        <f>IFERROR(__xludf.DUMMYFUNCTION("""COMPUTED_VALUE"""),68.0)</f>
        <v>68</v>
      </c>
      <c r="F5530" s="19" t="str">
        <f>IFERROR(__xludf.DUMMYFUNCTION("""COMPUTED_VALUE"""),"BLACK")</f>
        <v>BLACK</v>
      </c>
      <c r="G5530" s="20" t="str">
        <f>IFERROR(__xludf.DUMMYFUNCTION("""COMPUTED_VALUE"""),"Uncle Sams Cider (04/04/2023)")</f>
        <v>Uncle Sams Cider (04/04/2023)</v>
      </c>
      <c r="H5530" s="19"/>
    </row>
    <row r="5531">
      <c r="A5531" s="9"/>
      <c r="B5531" s="15"/>
      <c r="C5531" s="9">
        <f>IFERROR(__xludf.DUMMYFUNCTION("""COMPUTED_VALUE"""),45086.5975579282)</f>
        <v>45086.59756</v>
      </c>
      <c r="D5531" s="15">
        <f>IFERROR(__xludf.DUMMYFUNCTION("""COMPUTED_VALUE"""),1.007)</f>
        <v>1.007</v>
      </c>
      <c r="E5531" s="16">
        <f>IFERROR(__xludf.DUMMYFUNCTION("""COMPUTED_VALUE"""),68.0)</f>
        <v>68</v>
      </c>
      <c r="F5531" s="19" t="str">
        <f>IFERROR(__xludf.DUMMYFUNCTION("""COMPUTED_VALUE"""),"BLACK")</f>
        <v>BLACK</v>
      </c>
      <c r="G5531" s="20" t="str">
        <f>IFERROR(__xludf.DUMMYFUNCTION("""COMPUTED_VALUE"""),"Uncle Sams Cider (04/04/2023)")</f>
        <v>Uncle Sams Cider (04/04/2023)</v>
      </c>
      <c r="H5531" s="19"/>
    </row>
    <row r="5532">
      <c r="A5532" s="9"/>
      <c r="B5532" s="15"/>
      <c r="C5532" s="9">
        <f>IFERROR(__xludf.DUMMYFUNCTION("""COMPUTED_VALUE"""),45086.5871352662)</f>
        <v>45086.58714</v>
      </c>
      <c r="D5532" s="15">
        <f>IFERROR(__xludf.DUMMYFUNCTION("""COMPUTED_VALUE"""),1.007)</f>
        <v>1.007</v>
      </c>
      <c r="E5532" s="16">
        <f>IFERROR(__xludf.DUMMYFUNCTION("""COMPUTED_VALUE"""),68.0)</f>
        <v>68</v>
      </c>
      <c r="F5532" s="19" t="str">
        <f>IFERROR(__xludf.DUMMYFUNCTION("""COMPUTED_VALUE"""),"BLACK")</f>
        <v>BLACK</v>
      </c>
      <c r="G5532" s="20" t="str">
        <f>IFERROR(__xludf.DUMMYFUNCTION("""COMPUTED_VALUE"""),"Uncle Sams Cider (04/04/2023)")</f>
        <v>Uncle Sams Cider (04/04/2023)</v>
      </c>
      <c r="H5532" s="19"/>
    </row>
    <row r="5533">
      <c r="A5533" s="9"/>
      <c r="B5533" s="15"/>
      <c r="C5533" s="9">
        <f>IFERROR(__xludf.DUMMYFUNCTION("""COMPUTED_VALUE"""),45086.5766905671)</f>
        <v>45086.57669</v>
      </c>
      <c r="D5533" s="15">
        <f>IFERROR(__xludf.DUMMYFUNCTION("""COMPUTED_VALUE"""),1.007)</f>
        <v>1.007</v>
      </c>
      <c r="E5533" s="16">
        <f>IFERROR(__xludf.DUMMYFUNCTION("""COMPUTED_VALUE"""),68.0)</f>
        <v>68</v>
      </c>
      <c r="F5533" s="19" t="str">
        <f>IFERROR(__xludf.DUMMYFUNCTION("""COMPUTED_VALUE"""),"BLACK")</f>
        <v>BLACK</v>
      </c>
      <c r="G5533" s="20" t="str">
        <f>IFERROR(__xludf.DUMMYFUNCTION("""COMPUTED_VALUE"""),"Uncle Sams Cider (04/04/2023)")</f>
        <v>Uncle Sams Cider (04/04/2023)</v>
      </c>
      <c r="H5533" s="19"/>
    </row>
    <row r="5534">
      <c r="A5534" s="9"/>
      <c r="B5534" s="15"/>
      <c r="C5534" s="9">
        <f>IFERROR(__xludf.DUMMYFUNCTION("""COMPUTED_VALUE"""),45086.5662682754)</f>
        <v>45086.56627</v>
      </c>
      <c r="D5534" s="15">
        <f>IFERROR(__xludf.DUMMYFUNCTION("""COMPUTED_VALUE"""),1.007)</f>
        <v>1.007</v>
      </c>
      <c r="E5534" s="16">
        <f>IFERROR(__xludf.DUMMYFUNCTION("""COMPUTED_VALUE"""),68.0)</f>
        <v>68</v>
      </c>
      <c r="F5534" s="19" t="str">
        <f>IFERROR(__xludf.DUMMYFUNCTION("""COMPUTED_VALUE"""),"BLACK")</f>
        <v>BLACK</v>
      </c>
      <c r="G5534" s="20" t="str">
        <f>IFERROR(__xludf.DUMMYFUNCTION("""COMPUTED_VALUE"""),"Uncle Sams Cider (04/04/2023)")</f>
        <v>Uncle Sams Cider (04/04/2023)</v>
      </c>
      <c r="H5534" s="19"/>
    </row>
    <row r="5535">
      <c r="A5535" s="9"/>
      <c r="B5535" s="15"/>
      <c r="C5535" s="9">
        <f>IFERROR(__xludf.DUMMYFUNCTION("""COMPUTED_VALUE"""),45086.5558116666)</f>
        <v>45086.55581</v>
      </c>
      <c r="D5535" s="15">
        <f>IFERROR(__xludf.DUMMYFUNCTION("""COMPUTED_VALUE"""),1.007)</f>
        <v>1.007</v>
      </c>
      <c r="E5535" s="16">
        <f>IFERROR(__xludf.DUMMYFUNCTION("""COMPUTED_VALUE"""),68.0)</f>
        <v>68</v>
      </c>
      <c r="F5535" s="19" t="str">
        <f>IFERROR(__xludf.DUMMYFUNCTION("""COMPUTED_VALUE"""),"BLACK")</f>
        <v>BLACK</v>
      </c>
      <c r="G5535" s="20" t="str">
        <f>IFERROR(__xludf.DUMMYFUNCTION("""COMPUTED_VALUE"""),"Uncle Sams Cider (04/04/2023)")</f>
        <v>Uncle Sams Cider (04/04/2023)</v>
      </c>
      <c r="H5535" s="19"/>
    </row>
    <row r="5536">
      <c r="A5536" s="9"/>
      <c r="B5536" s="15"/>
      <c r="C5536" s="9">
        <f>IFERROR(__xludf.DUMMYFUNCTION("""COMPUTED_VALUE"""),45086.545390405)</f>
        <v>45086.54539</v>
      </c>
      <c r="D5536" s="15">
        <f>IFERROR(__xludf.DUMMYFUNCTION("""COMPUTED_VALUE"""),1.007)</f>
        <v>1.007</v>
      </c>
      <c r="E5536" s="16">
        <f>IFERROR(__xludf.DUMMYFUNCTION("""COMPUTED_VALUE"""),68.0)</f>
        <v>68</v>
      </c>
      <c r="F5536" s="19" t="str">
        <f>IFERROR(__xludf.DUMMYFUNCTION("""COMPUTED_VALUE"""),"BLACK")</f>
        <v>BLACK</v>
      </c>
      <c r="G5536" s="20" t="str">
        <f>IFERROR(__xludf.DUMMYFUNCTION("""COMPUTED_VALUE"""),"Uncle Sams Cider (04/04/2023)")</f>
        <v>Uncle Sams Cider (04/04/2023)</v>
      </c>
      <c r="H5536" s="19"/>
    </row>
    <row r="5537">
      <c r="A5537" s="9"/>
      <c r="B5537" s="15"/>
      <c r="C5537" s="9">
        <f>IFERROR(__xludf.DUMMYFUNCTION("""COMPUTED_VALUE"""),45086.5349687268)</f>
        <v>45086.53497</v>
      </c>
      <c r="D5537" s="15">
        <f>IFERROR(__xludf.DUMMYFUNCTION("""COMPUTED_VALUE"""),1.007)</f>
        <v>1.007</v>
      </c>
      <c r="E5537" s="16">
        <f>IFERROR(__xludf.DUMMYFUNCTION("""COMPUTED_VALUE"""),68.0)</f>
        <v>68</v>
      </c>
      <c r="F5537" s="19" t="str">
        <f>IFERROR(__xludf.DUMMYFUNCTION("""COMPUTED_VALUE"""),"BLACK")</f>
        <v>BLACK</v>
      </c>
      <c r="G5537" s="20" t="str">
        <f>IFERROR(__xludf.DUMMYFUNCTION("""COMPUTED_VALUE"""),"Uncle Sams Cider (04/04/2023)")</f>
        <v>Uncle Sams Cider (04/04/2023)</v>
      </c>
      <c r="H5537" s="19"/>
    </row>
    <row r="5538">
      <c r="A5538" s="9"/>
      <c r="B5538" s="15"/>
      <c r="C5538" s="9">
        <f>IFERROR(__xludf.DUMMYFUNCTION("""COMPUTED_VALUE"""),45086.5245475115)</f>
        <v>45086.52455</v>
      </c>
      <c r="D5538" s="15">
        <f>IFERROR(__xludf.DUMMYFUNCTION("""COMPUTED_VALUE"""),1.007)</f>
        <v>1.007</v>
      </c>
      <c r="E5538" s="16">
        <f>IFERROR(__xludf.DUMMYFUNCTION("""COMPUTED_VALUE"""),68.0)</f>
        <v>68</v>
      </c>
      <c r="F5538" s="19" t="str">
        <f>IFERROR(__xludf.DUMMYFUNCTION("""COMPUTED_VALUE"""),"BLACK")</f>
        <v>BLACK</v>
      </c>
      <c r="G5538" s="20" t="str">
        <f>IFERROR(__xludf.DUMMYFUNCTION("""COMPUTED_VALUE"""),"Uncle Sams Cider (04/04/2023)")</f>
        <v>Uncle Sams Cider (04/04/2023)</v>
      </c>
      <c r="H5538" s="19"/>
    </row>
    <row r="5539">
      <c r="A5539" s="9"/>
      <c r="B5539" s="15"/>
      <c r="C5539" s="9">
        <f>IFERROR(__xludf.DUMMYFUNCTION("""COMPUTED_VALUE"""),45086.5141256712)</f>
        <v>45086.51413</v>
      </c>
      <c r="D5539" s="15">
        <f>IFERROR(__xludf.DUMMYFUNCTION("""COMPUTED_VALUE"""),1.007)</f>
        <v>1.007</v>
      </c>
      <c r="E5539" s="16">
        <f>IFERROR(__xludf.DUMMYFUNCTION("""COMPUTED_VALUE"""),68.0)</f>
        <v>68</v>
      </c>
      <c r="F5539" s="19" t="str">
        <f>IFERROR(__xludf.DUMMYFUNCTION("""COMPUTED_VALUE"""),"BLACK")</f>
        <v>BLACK</v>
      </c>
      <c r="G5539" s="20" t="str">
        <f>IFERROR(__xludf.DUMMYFUNCTION("""COMPUTED_VALUE"""),"Uncle Sams Cider (04/04/2023)")</f>
        <v>Uncle Sams Cider (04/04/2023)</v>
      </c>
      <c r="H5539" s="19"/>
    </row>
    <row r="5540">
      <c r="A5540" s="9"/>
      <c r="B5540" s="15"/>
      <c r="C5540" s="9">
        <f>IFERROR(__xludf.DUMMYFUNCTION("""COMPUTED_VALUE"""),45086.5036699074)</f>
        <v>45086.50367</v>
      </c>
      <c r="D5540" s="15">
        <f>IFERROR(__xludf.DUMMYFUNCTION("""COMPUTED_VALUE"""),1.007)</f>
        <v>1.007</v>
      </c>
      <c r="E5540" s="16">
        <f>IFERROR(__xludf.DUMMYFUNCTION("""COMPUTED_VALUE"""),68.0)</f>
        <v>68</v>
      </c>
      <c r="F5540" s="19" t="str">
        <f>IFERROR(__xludf.DUMMYFUNCTION("""COMPUTED_VALUE"""),"BLACK")</f>
        <v>BLACK</v>
      </c>
      <c r="G5540" s="20" t="str">
        <f>IFERROR(__xludf.DUMMYFUNCTION("""COMPUTED_VALUE"""),"Uncle Sams Cider (04/04/2023)")</f>
        <v>Uncle Sams Cider (04/04/2023)</v>
      </c>
      <c r="H5540" s="19"/>
    </row>
    <row r="5541">
      <c r="A5541" s="9"/>
      <c r="B5541" s="15"/>
      <c r="C5541" s="9">
        <f>IFERROR(__xludf.DUMMYFUNCTION("""COMPUTED_VALUE"""),45086.4932476736)</f>
        <v>45086.49325</v>
      </c>
      <c r="D5541" s="15">
        <f>IFERROR(__xludf.DUMMYFUNCTION("""COMPUTED_VALUE"""),1.007)</f>
        <v>1.007</v>
      </c>
      <c r="E5541" s="16">
        <f>IFERROR(__xludf.DUMMYFUNCTION("""COMPUTED_VALUE"""),68.0)</f>
        <v>68</v>
      </c>
      <c r="F5541" s="19" t="str">
        <f>IFERROR(__xludf.DUMMYFUNCTION("""COMPUTED_VALUE"""),"BLACK")</f>
        <v>BLACK</v>
      </c>
      <c r="G5541" s="20" t="str">
        <f>IFERROR(__xludf.DUMMYFUNCTION("""COMPUTED_VALUE"""),"Uncle Sams Cider (04/04/2023)")</f>
        <v>Uncle Sams Cider (04/04/2023)</v>
      </c>
      <c r="H5541" s="19"/>
    </row>
    <row r="5542">
      <c r="A5542" s="9"/>
      <c r="B5542" s="15"/>
      <c r="C5542" s="9">
        <f>IFERROR(__xludf.DUMMYFUNCTION("""COMPUTED_VALUE"""),45086.4828251041)</f>
        <v>45086.48283</v>
      </c>
      <c r="D5542" s="15">
        <f>IFERROR(__xludf.DUMMYFUNCTION("""COMPUTED_VALUE"""),1.007)</f>
        <v>1.007</v>
      </c>
      <c r="E5542" s="16">
        <f>IFERROR(__xludf.DUMMYFUNCTION("""COMPUTED_VALUE"""),68.0)</f>
        <v>68</v>
      </c>
      <c r="F5542" s="19" t="str">
        <f>IFERROR(__xludf.DUMMYFUNCTION("""COMPUTED_VALUE"""),"BLACK")</f>
        <v>BLACK</v>
      </c>
      <c r="G5542" s="20" t="str">
        <f>IFERROR(__xludf.DUMMYFUNCTION("""COMPUTED_VALUE"""),"Uncle Sams Cider (04/04/2023)")</f>
        <v>Uncle Sams Cider (04/04/2023)</v>
      </c>
      <c r="H5542" s="19"/>
    </row>
    <row r="5543">
      <c r="A5543" s="9"/>
      <c r="B5543" s="15"/>
      <c r="C5543" s="9">
        <f>IFERROR(__xludf.DUMMYFUNCTION("""COMPUTED_VALUE"""),45086.472392743)</f>
        <v>45086.47239</v>
      </c>
      <c r="D5543" s="15">
        <f>IFERROR(__xludf.DUMMYFUNCTION("""COMPUTED_VALUE"""),1.007)</f>
        <v>1.007</v>
      </c>
      <c r="E5543" s="16">
        <f>IFERROR(__xludf.DUMMYFUNCTION("""COMPUTED_VALUE"""),68.0)</f>
        <v>68</v>
      </c>
      <c r="F5543" s="19" t="str">
        <f>IFERROR(__xludf.DUMMYFUNCTION("""COMPUTED_VALUE"""),"BLACK")</f>
        <v>BLACK</v>
      </c>
      <c r="G5543" s="20" t="str">
        <f>IFERROR(__xludf.DUMMYFUNCTION("""COMPUTED_VALUE"""),"Uncle Sams Cider (04/04/2023)")</f>
        <v>Uncle Sams Cider (04/04/2023)</v>
      </c>
      <c r="H5543" s="19"/>
    </row>
    <row r="5544">
      <c r="A5544" s="9"/>
      <c r="B5544" s="15"/>
      <c r="C5544" s="9">
        <f>IFERROR(__xludf.DUMMYFUNCTION("""COMPUTED_VALUE"""),45086.461972743)</f>
        <v>45086.46197</v>
      </c>
      <c r="D5544" s="15">
        <f>IFERROR(__xludf.DUMMYFUNCTION("""COMPUTED_VALUE"""),1.007)</f>
        <v>1.007</v>
      </c>
      <c r="E5544" s="16">
        <f>IFERROR(__xludf.DUMMYFUNCTION("""COMPUTED_VALUE"""),68.0)</f>
        <v>68</v>
      </c>
      <c r="F5544" s="19" t="str">
        <f>IFERROR(__xludf.DUMMYFUNCTION("""COMPUTED_VALUE"""),"BLACK")</f>
        <v>BLACK</v>
      </c>
      <c r="G5544" s="20" t="str">
        <f>IFERROR(__xludf.DUMMYFUNCTION("""COMPUTED_VALUE"""),"Uncle Sams Cider (04/04/2023)")</f>
        <v>Uncle Sams Cider (04/04/2023)</v>
      </c>
      <c r="H5544" s="19"/>
    </row>
    <row r="5545">
      <c r="A5545" s="9"/>
      <c r="B5545" s="15"/>
      <c r="C5545" s="9">
        <f>IFERROR(__xludf.DUMMYFUNCTION("""COMPUTED_VALUE"""),45086.4515289467)</f>
        <v>45086.45153</v>
      </c>
      <c r="D5545" s="15">
        <f>IFERROR(__xludf.DUMMYFUNCTION("""COMPUTED_VALUE"""),1.007)</f>
        <v>1.007</v>
      </c>
      <c r="E5545" s="16">
        <f>IFERROR(__xludf.DUMMYFUNCTION("""COMPUTED_VALUE"""),68.0)</f>
        <v>68</v>
      </c>
      <c r="F5545" s="19" t="str">
        <f>IFERROR(__xludf.DUMMYFUNCTION("""COMPUTED_VALUE"""),"BLACK")</f>
        <v>BLACK</v>
      </c>
      <c r="G5545" s="20" t="str">
        <f>IFERROR(__xludf.DUMMYFUNCTION("""COMPUTED_VALUE"""),"Uncle Sams Cider (04/04/2023)")</f>
        <v>Uncle Sams Cider (04/04/2023)</v>
      </c>
      <c r="H5545" s="19"/>
    </row>
    <row r="5546">
      <c r="A5546" s="9"/>
      <c r="B5546" s="15"/>
      <c r="C5546" s="9">
        <f>IFERROR(__xludf.DUMMYFUNCTION("""COMPUTED_VALUE"""),45086.4411081481)</f>
        <v>45086.44111</v>
      </c>
      <c r="D5546" s="15">
        <f>IFERROR(__xludf.DUMMYFUNCTION("""COMPUTED_VALUE"""),1.007)</f>
        <v>1.007</v>
      </c>
      <c r="E5546" s="16">
        <f>IFERROR(__xludf.DUMMYFUNCTION("""COMPUTED_VALUE"""),68.0)</f>
        <v>68</v>
      </c>
      <c r="F5546" s="19" t="str">
        <f>IFERROR(__xludf.DUMMYFUNCTION("""COMPUTED_VALUE"""),"BLACK")</f>
        <v>BLACK</v>
      </c>
      <c r="G5546" s="20" t="str">
        <f>IFERROR(__xludf.DUMMYFUNCTION("""COMPUTED_VALUE"""),"Uncle Sams Cider (04/04/2023)")</f>
        <v>Uncle Sams Cider (04/04/2023)</v>
      </c>
      <c r="H5546" s="19"/>
    </row>
    <row r="5547">
      <c r="A5547" s="9"/>
      <c r="B5547" s="15"/>
      <c r="C5547" s="9">
        <f>IFERROR(__xludf.DUMMYFUNCTION("""COMPUTED_VALUE"""),45086.4306868402)</f>
        <v>45086.43069</v>
      </c>
      <c r="D5547" s="15">
        <f>IFERROR(__xludf.DUMMYFUNCTION("""COMPUTED_VALUE"""),1.007)</f>
        <v>1.007</v>
      </c>
      <c r="E5547" s="16">
        <f>IFERROR(__xludf.DUMMYFUNCTION("""COMPUTED_VALUE"""),68.0)</f>
        <v>68</v>
      </c>
      <c r="F5547" s="19" t="str">
        <f>IFERROR(__xludf.DUMMYFUNCTION("""COMPUTED_VALUE"""),"BLACK")</f>
        <v>BLACK</v>
      </c>
      <c r="G5547" s="20" t="str">
        <f>IFERROR(__xludf.DUMMYFUNCTION("""COMPUTED_VALUE"""),"Uncle Sams Cider (04/04/2023)")</f>
        <v>Uncle Sams Cider (04/04/2023)</v>
      </c>
      <c r="H5547" s="19"/>
    </row>
    <row r="5548">
      <c r="A5548" s="9"/>
      <c r="B5548" s="15"/>
      <c r="C5548" s="9">
        <f>IFERROR(__xludf.DUMMYFUNCTION("""COMPUTED_VALUE"""),45086.4202662963)</f>
        <v>45086.42027</v>
      </c>
      <c r="D5548" s="15">
        <f>IFERROR(__xludf.DUMMYFUNCTION("""COMPUTED_VALUE"""),1.007)</f>
        <v>1.007</v>
      </c>
      <c r="E5548" s="16">
        <f>IFERROR(__xludf.DUMMYFUNCTION("""COMPUTED_VALUE"""),68.0)</f>
        <v>68</v>
      </c>
      <c r="F5548" s="19" t="str">
        <f>IFERROR(__xludf.DUMMYFUNCTION("""COMPUTED_VALUE"""),"BLACK")</f>
        <v>BLACK</v>
      </c>
      <c r="G5548" s="20" t="str">
        <f>IFERROR(__xludf.DUMMYFUNCTION("""COMPUTED_VALUE"""),"Uncle Sams Cider (04/04/2023)")</f>
        <v>Uncle Sams Cider (04/04/2023)</v>
      </c>
      <c r="H5548" s="19"/>
    </row>
    <row r="5549">
      <c r="A5549" s="9"/>
      <c r="B5549" s="15"/>
      <c r="C5549" s="9">
        <f>IFERROR(__xludf.DUMMYFUNCTION("""COMPUTED_VALUE"""),45086.409832662)</f>
        <v>45086.40983</v>
      </c>
      <c r="D5549" s="15">
        <f>IFERROR(__xludf.DUMMYFUNCTION("""COMPUTED_VALUE"""),1.007)</f>
        <v>1.007</v>
      </c>
      <c r="E5549" s="16">
        <f>IFERROR(__xludf.DUMMYFUNCTION("""COMPUTED_VALUE"""),68.0)</f>
        <v>68</v>
      </c>
      <c r="F5549" s="19" t="str">
        <f>IFERROR(__xludf.DUMMYFUNCTION("""COMPUTED_VALUE"""),"BLACK")</f>
        <v>BLACK</v>
      </c>
      <c r="G5549" s="20" t="str">
        <f>IFERROR(__xludf.DUMMYFUNCTION("""COMPUTED_VALUE"""),"Uncle Sams Cider (04/04/2023)")</f>
        <v>Uncle Sams Cider (04/04/2023)</v>
      </c>
      <c r="H5549" s="19"/>
    </row>
    <row r="5550">
      <c r="A5550" s="9"/>
      <c r="B5550" s="15"/>
      <c r="C5550" s="9">
        <f>IFERROR(__xludf.DUMMYFUNCTION("""COMPUTED_VALUE"""),45086.3993877546)</f>
        <v>45086.39939</v>
      </c>
      <c r="D5550" s="15">
        <f>IFERROR(__xludf.DUMMYFUNCTION("""COMPUTED_VALUE"""),1.007)</f>
        <v>1.007</v>
      </c>
      <c r="E5550" s="16">
        <f>IFERROR(__xludf.DUMMYFUNCTION("""COMPUTED_VALUE"""),68.0)</f>
        <v>68</v>
      </c>
      <c r="F5550" s="19" t="str">
        <f>IFERROR(__xludf.DUMMYFUNCTION("""COMPUTED_VALUE"""),"BLACK")</f>
        <v>BLACK</v>
      </c>
      <c r="G5550" s="20" t="str">
        <f>IFERROR(__xludf.DUMMYFUNCTION("""COMPUTED_VALUE"""),"Uncle Sams Cider (04/04/2023)")</f>
        <v>Uncle Sams Cider (04/04/2023)</v>
      </c>
      <c r="H5550" s="19"/>
    </row>
    <row r="5551">
      <c r="A5551" s="9"/>
      <c r="B5551" s="15"/>
      <c r="C5551" s="9">
        <f>IFERROR(__xludf.DUMMYFUNCTION("""COMPUTED_VALUE"""),45086.3889679398)</f>
        <v>45086.38897</v>
      </c>
      <c r="D5551" s="15">
        <f>IFERROR(__xludf.DUMMYFUNCTION("""COMPUTED_VALUE"""),1.007)</f>
        <v>1.007</v>
      </c>
      <c r="E5551" s="16">
        <f>IFERROR(__xludf.DUMMYFUNCTION("""COMPUTED_VALUE"""),68.0)</f>
        <v>68</v>
      </c>
      <c r="F5551" s="19" t="str">
        <f>IFERROR(__xludf.DUMMYFUNCTION("""COMPUTED_VALUE"""),"BLACK")</f>
        <v>BLACK</v>
      </c>
      <c r="G5551" s="20" t="str">
        <f>IFERROR(__xludf.DUMMYFUNCTION("""COMPUTED_VALUE"""),"Uncle Sams Cider (04/04/2023)")</f>
        <v>Uncle Sams Cider (04/04/2023)</v>
      </c>
      <c r="H5551" s="19"/>
    </row>
    <row r="5552">
      <c r="A5552" s="9"/>
      <c r="B5552" s="15"/>
      <c r="C5552" s="9">
        <f>IFERROR(__xludf.DUMMYFUNCTION("""COMPUTED_VALUE"""),45086.3785477893)</f>
        <v>45086.37855</v>
      </c>
      <c r="D5552" s="15">
        <f>IFERROR(__xludf.DUMMYFUNCTION("""COMPUTED_VALUE"""),1.007)</f>
        <v>1.007</v>
      </c>
      <c r="E5552" s="16">
        <f>IFERROR(__xludf.DUMMYFUNCTION("""COMPUTED_VALUE"""),68.0)</f>
        <v>68</v>
      </c>
      <c r="F5552" s="19" t="str">
        <f>IFERROR(__xludf.DUMMYFUNCTION("""COMPUTED_VALUE"""),"BLACK")</f>
        <v>BLACK</v>
      </c>
      <c r="G5552" s="20" t="str">
        <f>IFERROR(__xludf.DUMMYFUNCTION("""COMPUTED_VALUE"""),"Uncle Sams Cider (04/04/2023)")</f>
        <v>Uncle Sams Cider (04/04/2023)</v>
      </c>
      <c r="H5552" s="19"/>
    </row>
    <row r="5553">
      <c r="A5553" s="9"/>
      <c r="B5553" s="15"/>
      <c r="C5553" s="9">
        <f>IFERROR(__xludf.DUMMYFUNCTION("""COMPUTED_VALUE"""),45086.3681140393)</f>
        <v>45086.36811</v>
      </c>
      <c r="D5553" s="15">
        <f>IFERROR(__xludf.DUMMYFUNCTION("""COMPUTED_VALUE"""),1.007)</f>
        <v>1.007</v>
      </c>
      <c r="E5553" s="16">
        <f>IFERROR(__xludf.DUMMYFUNCTION("""COMPUTED_VALUE"""),68.0)</f>
        <v>68</v>
      </c>
      <c r="F5553" s="19" t="str">
        <f>IFERROR(__xludf.DUMMYFUNCTION("""COMPUTED_VALUE"""),"BLACK")</f>
        <v>BLACK</v>
      </c>
      <c r="G5553" s="20" t="str">
        <f>IFERROR(__xludf.DUMMYFUNCTION("""COMPUTED_VALUE"""),"Uncle Sams Cider (04/04/2023)")</f>
        <v>Uncle Sams Cider (04/04/2023)</v>
      </c>
      <c r="H5553" s="19"/>
    </row>
    <row r="5554">
      <c r="A5554" s="9"/>
      <c r="B5554" s="15"/>
      <c r="C5554" s="9">
        <f>IFERROR(__xludf.DUMMYFUNCTION("""COMPUTED_VALUE"""),45086.3576936574)</f>
        <v>45086.35769</v>
      </c>
      <c r="D5554" s="15">
        <f>IFERROR(__xludf.DUMMYFUNCTION("""COMPUTED_VALUE"""),1.007)</f>
        <v>1.007</v>
      </c>
      <c r="E5554" s="16">
        <f>IFERROR(__xludf.DUMMYFUNCTION("""COMPUTED_VALUE"""),68.0)</f>
        <v>68</v>
      </c>
      <c r="F5554" s="19" t="str">
        <f>IFERROR(__xludf.DUMMYFUNCTION("""COMPUTED_VALUE"""),"BLACK")</f>
        <v>BLACK</v>
      </c>
      <c r="G5554" s="20" t="str">
        <f>IFERROR(__xludf.DUMMYFUNCTION("""COMPUTED_VALUE"""),"Uncle Sams Cider (04/04/2023)")</f>
        <v>Uncle Sams Cider (04/04/2023)</v>
      </c>
      <c r="H5554" s="19"/>
    </row>
    <row r="5555">
      <c r="A5555" s="9"/>
      <c r="B5555" s="15"/>
      <c r="C5555" s="9">
        <f>IFERROR(__xludf.DUMMYFUNCTION("""COMPUTED_VALUE"""),45086.3472719212)</f>
        <v>45086.34727</v>
      </c>
      <c r="D5555" s="15">
        <f>IFERROR(__xludf.DUMMYFUNCTION("""COMPUTED_VALUE"""),1.007)</f>
        <v>1.007</v>
      </c>
      <c r="E5555" s="16">
        <f>IFERROR(__xludf.DUMMYFUNCTION("""COMPUTED_VALUE"""),68.0)</f>
        <v>68</v>
      </c>
      <c r="F5555" s="19" t="str">
        <f>IFERROR(__xludf.DUMMYFUNCTION("""COMPUTED_VALUE"""),"BLACK")</f>
        <v>BLACK</v>
      </c>
      <c r="G5555" s="20" t="str">
        <f>IFERROR(__xludf.DUMMYFUNCTION("""COMPUTED_VALUE"""),"Uncle Sams Cider (04/04/2023)")</f>
        <v>Uncle Sams Cider (04/04/2023)</v>
      </c>
      <c r="H5555" s="19"/>
    </row>
    <row r="5556">
      <c r="A5556" s="9"/>
      <c r="B5556" s="15"/>
      <c r="C5556" s="9">
        <f>IFERROR(__xludf.DUMMYFUNCTION("""COMPUTED_VALUE"""),45086.336851956)</f>
        <v>45086.33685</v>
      </c>
      <c r="D5556" s="15">
        <f>IFERROR(__xludf.DUMMYFUNCTION("""COMPUTED_VALUE"""),1.007)</f>
        <v>1.007</v>
      </c>
      <c r="E5556" s="16">
        <f>IFERROR(__xludf.DUMMYFUNCTION("""COMPUTED_VALUE"""),68.0)</f>
        <v>68</v>
      </c>
      <c r="F5556" s="19" t="str">
        <f>IFERROR(__xludf.DUMMYFUNCTION("""COMPUTED_VALUE"""),"BLACK")</f>
        <v>BLACK</v>
      </c>
      <c r="G5556" s="20" t="str">
        <f>IFERROR(__xludf.DUMMYFUNCTION("""COMPUTED_VALUE"""),"Uncle Sams Cider (04/04/2023)")</f>
        <v>Uncle Sams Cider (04/04/2023)</v>
      </c>
      <c r="H5556" s="19"/>
    </row>
    <row r="5557">
      <c r="A5557" s="9"/>
      <c r="B5557" s="15"/>
      <c r="C5557" s="9">
        <f>IFERROR(__xludf.DUMMYFUNCTION("""COMPUTED_VALUE"""),45086.326418206)</f>
        <v>45086.32642</v>
      </c>
      <c r="D5557" s="15">
        <f>IFERROR(__xludf.DUMMYFUNCTION("""COMPUTED_VALUE"""),1.007)</f>
        <v>1.007</v>
      </c>
      <c r="E5557" s="16">
        <f>IFERROR(__xludf.DUMMYFUNCTION("""COMPUTED_VALUE"""),68.0)</f>
        <v>68</v>
      </c>
      <c r="F5557" s="19" t="str">
        <f>IFERROR(__xludf.DUMMYFUNCTION("""COMPUTED_VALUE"""),"BLACK")</f>
        <v>BLACK</v>
      </c>
      <c r="G5557" s="20" t="str">
        <f>IFERROR(__xludf.DUMMYFUNCTION("""COMPUTED_VALUE"""),"Uncle Sams Cider (04/04/2023)")</f>
        <v>Uncle Sams Cider (04/04/2023)</v>
      </c>
      <c r="H5557" s="19"/>
    </row>
    <row r="5558">
      <c r="A5558" s="9"/>
      <c r="B5558" s="15"/>
      <c r="C5558" s="9">
        <f>IFERROR(__xludf.DUMMYFUNCTION("""COMPUTED_VALUE"""),45086.3159956481)</f>
        <v>45086.316</v>
      </c>
      <c r="D5558" s="15">
        <f>IFERROR(__xludf.DUMMYFUNCTION("""COMPUTED_VALUE"""),1.007)</f>
        <v>1.007</v>
      </c>
      <c r="E5558" s="16">
        <f>IFERROR(__xludf.DUMMYFUNCTION("""COMPUTED_VALUE"""),68.0)</f>
        <v>68</v>
      </c>
      <c r="F5558" s="19" t="str">
        <f>IFERROR(__xludf.DUMMYFUNCTION("""COMPUTED_VALUE"""),"BLACK")</f>
        <v>BLACK</v>
      </c>
      <c r="G5558" s="20" t="str">
        <f>IFERROR(__xludf.DUMMYFUNCTION("""COMPUTED_VALUE"""),"Uncle Sams Cider (04/04/2023)")</f>
        <v>Uncle Sams Cider (04/04/2023)</v>
      </c>
      <c r="H5558" s="19"/>
    </row>
    <row r="5559">
      <c r="A5559" s="9"/>
      <c r="B5559" s="15"/>
      <c r="C5559" s="9">
        <f>IFERROR(__xludf.DUMMYFUNCTION("""COMPUTED_VALUE"""),45086.3055740046)</f>
        <v>45086.30557</v>
      </c>
      <c r="D5559" s="15">
        <f>IFERROR(__xludf.DUMMYFUNCTION("""COMPUTED_VALUE"""),1.007)</f>
        <v>1.007</v>
      </c>
      <c r="E5559" s="16">
        <f>IFERROR(__xludf.DUMMYFUNCTION("""COMPUTED_VALUE"""),68.0)</f>
        <v>68</v>
      </c>
      <c r="F5559" s="19" t="str">
        <f>IFERROR(__xludf.DUMMYFUNCTION("""COMPUTED_VALUE"""),"BLACK")</f>
        <v>BLACK</v>
      </c>
      <c r="G5559" s="20" t="str">
        <f>IFERROR(__xludf.DUMMYFUNCTION("""COMPUTED_VALUE"""),"Uncle Sams Cider (04/04/2023)")</f>
        <v>Uncle Sams Cider (04/04/2023)</v>
      </c>
      <c r="H5559" s="19"/>
    </row>
    <row r="5560">
      <c r="A5560" s="9"/>
      <c r="B5560" s="15"/>
      <c r="C5560" s="9">
        <f>IFERROR(__xludf.DUMMYFUNCTION("""COMPUTED_VALUE"""),45086.2951527083)</f>
        <v>45086.29515</v>
      </c>
      <c r="D5560" s="15">
        <f>IFERROR(__xludf.DUMMYFUNCTION("""COMPUTED_VALUE"""),1.007)</f>
        <v>1.007</v>
      </c>
      <c r="E5560" s="16">
        <f>IFERROR(__xludf.DUMMYFUNCTION("""COMPUTED_VALUE"""),68.0)</f>
        <v>68</v>
      </c>
      <c r="F5560" s="19" t="str">
        <f>IFERROR(__xludf.DUMMYFUNCTION("""COMPUTED_VALUE"""),"BLACK")</f>
        <v>BLACK</v>
      </c>
      <c r="G5560" s="20" t="str">
        <f>IFERROR(__xludf.DUMMYFUNCTION("""COMPUTED_VALUE"""),"Uncle Sams Cider (04/04/2023)")</f>
        <v>Uncle Sams Cider (04/04/2023)</v>
      </c>
      <c r="H5560" s="19"/>
    </row>
    <row r="5561">
      <c r="A5561" s="9"/>
      <c r="B5561" s="15"/>
      <c r="C5561" s="9">
        <f>IFERROR(__xludf.DUMMYFUNCTION("""COMPUTED_VALUE"""),45086.2847321064)</f>
        <v>45086.28473</v>
      </c>
      <c r="D5561" s="15">
        <f>IFERROR(__xludf.DUMMYFUNCTION("""COMPUTED_VALUE"""),1.007)</f>
        <v>1.007</v>
      </c>
      <c r="E5561" s="16">
        <f>IFERROR(__xludf.DUMMYFUNCTION("""COMPUTED_VALUE"""),68.0)</f>
        <v>68</v>
      </c>
      <c r="F5561" s="19" t="str">
        <f>IFERROR(__xludf.DUMMYFUNCTION("""COMPUTED_VALUE"""),"BLACK")</f>
        <v>BLACK</v>
      </c>
      <c r="G5561" s="20" t="str">
        <f>IFERROR(__xludf.DUMMYFUNCTION("""COMPUTED_VALUE"""),"Uncle Sams Cider (04/04/2023)")</f>
        <v>Uncle Sams Cider (04/04/2023)</v>
      </c>
      <c r="H5561" s="19"/>
    </row>
    <row r="5562">
      <c r="A5562" s="9"/>
      <c r="B5562" s="15"/>
      <c r="C5562" s="9">
        <f>IFERROR(__xludf.DUMMYFUNCTION("""COMPUTED_VALUE"""),45086.2743099768)</f>
        <v>45086.27431</v>
      </c>
      <c r="D5562" s="15">
        <f>IFERROR(__xludf.DUMMYFUNCTION("""COMPUTED_VALUE"""),1.007)</f>
        <v>1.007</v>
      </c>
      <c r="E5562" s="16">
        <f>IFERROR(__xludf.DUMMYFUNCTION("""COMPUTED_VALUE"""),68.0)</f>
        <v>68</v>
      </c>
      <c r="F5562" s="19" t="str">
        <f>IFERROR(__xludf.DUMMYFUNCTION("""COMPUTED_VALUE"""),"BLACK")</f>
        <v>BLACK</v>
      </c>
      <c r="G5562" s="20" t="str">
        <f>IFERROR(__xludf.DUMMYFUNCTION("""COMPUTED_VALUE"""),"Uncle Sams Cider (04/04/2023)")</f>
        <v>Uncle Sams Cider (04/04/2023)</v>
      </c>
      <c r="H5562" s="19"/>
    </row>
    <row r="5563">
      <c r="A5563" s="9"/>
      <c r="B5563" s="15"/>
      <c r="C5563" s="9">
        <f>IFERROR(__xludf.DUMMYFUNCTION("""COMPUTED_VALUE"""),45086.2638888888)</f>
        <v>45086.26389</v>
      </c>
      <c r="D5563" s="15">
        <f>IFERROR(__xludf.DUMMYFUNCTION("""COMPUTED_VALUE"""),1.007)</f>
        <v>1.007</v>
      </c>
      <c r="E5563" s="16">
        <f>IFERROR(__xludf.DUMMYFUNCTION("""COMPUTED_VALUE"""),68.0)</f>
        <v>68</v>
      </c>
      <c r="F5563" s="19" t="str">
        <f>IFERROR(__xludf.DUMMYFUNCTION("""COMPUTED_VALUE"""),"BLACK")</f>
        <v>BLACK</v>
      </c>
      <c r="G5563" s="20" t="str">
        <f>IFERROR(__xludf.DUMMYFUNCTION("""COMPUTED_VALUE"""),"Uncle Sams Cider (04/04/2023)")</f>
        <v>Uncle Sams Cider (04/04/2023)</v>
      </c>
      <c r="H5563" s="19"/>
    </row>
    <row r="5564">
      <c r="A5564" s="9"/>
      <c r="B5564" s="15"/>
      <c r="C5564" s="9">
        <f>IFERROR(__xludf.DUMMYFUNCTION("""COMPUTED_VALUE"""),45086.2534552083)</f>
        <v>45086.25346</v>
      </c>
      <c r="D5564" s="15">
        <f>IFERROR(__xludf.DUMMYFUNCTION("""COMPUTED_VALUE"""),1.007)</f>
        <v>1.007</v>
      </c>
      <c r="E5564" s="16">
        <f>IFERROR(__xludf.DUMMYFUNCTION("""COMPUTED_VALUE"""),68.0)</f>
        <v>68</v>
      </c>
      <c r="F5564" s="19" t="str">
        <f>IFERROR(__xludf.DUMMYFUNCTION("""COMPUTED_VALUE"""),"BLACK")</f>
        <v>BLACK</v>
      </c>
      <c r="G5564" s="20" t="str">
        <f>IFERROR(__xludf.DUMMYFUNCTION("""COMPUTED_VALUE"""),"Uncle Sams Cider (04/04/2023)")</f>
        <v>Uncle Sams Cider (04/04/2023)</v>
      </c>
      <c r="H5564" s="19"/>
    </row>
    <row r="5565">
      <c r="A5565" s="9"/>
      <c r="B5565" s="15"/>
      <c r="C5565" s="9">
        <f>IFERROR(__xludf.DUMMYFUNCTION("""COMPUTED_VALUE"""),45086.2430356597)</f>
        <v>45086.24304</v>
      </c>
      <c r="D5565" s="15">
        <f>IFERROR(__xludf.DUMMYFUNCTION("""COMPUTED_VALUE"""),1.007)</f>
        <v>1.007</v>
      </c>
      <c r="E5565" s="16">
        <f>IFERROR(__xludf.DUMMYFUNCTION("""COMPUTED_VALUE"""),68.0)</f>
        <v>68</v>
      </c>
      <c r="F5565" s="19" t="str">
        <f>IFERROR(__xludf.DUMMYFUNCTION("""COMPUTED_VALUE"""),"BLACK")</f>
        <v>BLACK</v>
      </c>
      <c r="G5565" s="20" t="str">
        <f>IFERROR(__xludf.DUMMYFUNCTION("""COMPUTED_VALUE"""),"Uncle Sams Cider (04/04/2023)")</f>
        <v>Uncle Sams Cider (04/04/2023)</v>
      </c>
      <c r="H5565" s="19"/>
    </row>
    <row r="5566">
      <c r="A5566" s="9"/>
      <c r="B5566" s="15"/>
      <c r="C5566" s="9">
        <f>IFERROR(__xludf.DUMMYFUNCTION("""COMPUTED_VALUE"""),45086.2326132291)</f>
        <v>45086.23261</v>
      </c>
      <c r="D5566" s="15">
        <f>IFERROR(__xludf.DUMMYFUNCTION("""COMPUTED_VALUE"""),1.007)</f>
        <v>1.007</v>
      </c>
      <c r="E5566" s="16">
        <f>IFERROR(__xludf.DUMMYFUNCTION("""COMPUTED_VALUE"""),68.0)</f>
        <v>68</v>
      </c>
      <c r="F5566" s="19" t="str">
        <f>IFERROR(__xludf.DUMMYFUNCTION("""COMPUTED_VALUE"""),"BLACK")</f>
        <v>BLACK</v>
      </c>
      <c r="G5566" s="20" t="str">
        <f>IFERROR(__xludf.DUMMYFUNCTION("""COMPUTED_VALUE"""),"Uncle Sams Cider (04/04/2023)")</f>
        <v>Uncle Sams Cider (04/04/2023)</v>
      </c>
      <c r="H5566" s="19"/>
    </row>
    <row r="5567">
      <c r="A5567" s="9"/>
      <c r="B5567" s="15"/>
      <c r="C5567" s="9">
        <f>IFERROR(__xludf.DUMMYFUNCTION("""COMPUTED_VALUE"""),45086.2221808796)</f>
        <v>45086.22218</v>
      </c>
      <c r="D5567" s="15">
        <f>IFERROR(__xludf.DUMMYFUNCTION("""COMPUTED_VALUE"""),1.007)</f>
        <v>1.007</v>
      </c>
      <c r="E5567" s="16">
        <f>IFERROR(__xludf.DUMMYFUNCTION("""COMPUTED_VALUE"""),68.0)</f>
        <v>68</v>
      </c>
      <c r="F5567" s="19" t="str">
        <f>IFERROR(__xludf.DUMMYFUNCTION("""COMPUTED_VALUE"""),"BLACK")</f>
        <v>BLACK</v>
      </c>
      <c r="G5567" s="20" t="str">
        <f>IFERROR(__xludf.DUMMYFUNCTION("""COMPUTED_VALUE"""),"Uncle Sams Cider (04/04/2023)")</f>
        <v>Uncle Sams Cider (04/04/2023)</v>
      </c>
      <c r="H5567" s="19"/>
    </row>
    <row r="5568">
      <c r="A5568" s="9"/>
      <c r="B5568" s="15"/>
      <c r="C5568" s="9">
        <f>IFERROR(__xludf.DUMMYFUNCTION("""COMPUTED_VALUE"""),45086.2117587037)</f>
        <v>45086.21176</v>
      </c>
      <c r="D5568" s="15">
        <f>IFERROR(__xludf.DUMMYFUNCTION("""COMPUTED_VALUE"""),1.007)</f>
        <v>1.007</v>
      </c>
      <c r="E5568" s="16">
        <f>IFERROR(__xludf.DUMMYFUNCTION("""COMPUTED_VALUE"""),68.0)</f>
        <v>68</v>
      </c>
      <c r="F5568" s="19" t="str">
        <f>IFERROR(__xludf.DUMMYFUNCTION("""COMPUTED_VALUE"""),"BLACK")</f>
        <v>BLACK</v>
      </c>
      <c r="G5568" s="20" t="str">
        <f>IFERROR(__xludf.DUMMYFUNCTION("""COMPUTED_VALUE"""),"Uncle Sams Cider (04/04/2023)")</f>
        <v>Uncle Sams Cider (04/04/2023)</v>
      </c>
      <c r="H5568" s="19"/>
    </row>
    <row r="5569">
      <c r="A5569" s="9"/>
      <c r="B5569" s="15"/>
      <c r="C5569" s="9">
        <f>IFERROR(__xludf.DUMMYFUNCTION("""COMPUTED_VALUE"""),45086.2013383217)</f>
        <v>45086.20134</v>
      </c>
      <c r="D5569" s="15">
        <f>IFERROR(__xludf.DUMMYFUNCTION("""COMPUTED_VALUE"""),1.007)</f>
        <v>1.007</v>
      </c>
      <c r="E5569" s="16">
        <f>IFERROR(__xludf.DUMMYFUNCTION("""COMPUTED_VALUE"""),68.0)</f>
        <v>68</v>
      </c>
      <c r="F5569" s="19" t="str">
        <f>IFERROR(__xludf.DUMMYFUNCTION("""COMPUTED_VALUE"""),"BLACK")</f>
        <v>BLACK</v>
      </c>
      <c r="G5569" s="20" t="str">
        <f>IFERROR(__xludf.DUMMYFUNCTION("""COMPUTED_VALUE"""),"Uncle Sams Cider (04/04/2023)")</f>
        <v>Uncle Sams Cider (04/04/2023)</v>
      </c>
      <c r="H5569" s="19"/>
    </row>
    <row r="5570">
      <c r="A5570" s="9"/>
      <c r="B5570" s="15"/>
      <c r="C5570" s="9">
        <f>IFERROR(__xludf.DUMMYFUNCTION("""COMPUTED_VALUE"""),45086.1909063541)</f>
        <v>45086.19091</v>
      </c>
      <c r="D5570" s="15">
        <f>IFERROR(__xludf.DUMMYFUNCTION("""COMPUTED_VALUE"""),1.007)</f>
        <v>1.007</v>
      </c>
      <c r="E5570" s="16">
        <f>IFERROR(__xludf.DUMMYFUNCTION("""COMPUTED_VALUE"""),68.0)</f>
        <v>68</v>
      </c>
      <c r="F5570" s="19" t="str">
        <f>IFERROR(__xludf.DUMMYFUNCTION("""COMPUTED_VALUE"""),"BLACK")</f>
        <v>BLACK</v>
      </c>
      <c r="G5570" s="20" t="str">
        <f>IFERROR(__xludf.DUMMYFUNCTION("""COMPUTED_VALUE"""),"Uncle Sams Cider (04/04/2023)")</f>
        <v>Uncle Sams Cider (04/04/2023)</v>
      </c>
      <c r="H5570" s="19"/>
    </row>
    <row r="5571">
      <c r="A5571" s="9"/>
      <c r="B5571" s="15"/>
      <c r="C5571" s="9">
        <f>IFERROR(__xludf.DUMMYFUNCTION("""COMPUTED_VALUE"""),45086.1804380092)</f>
        <v>45086.18044</v>
      </c>
      <c r="D5571" s="15">
        <f>IFERROR(__xludf.DUMMYFUNCTION("""COMPUTED_VALUE"""),1.008)</f>
        <v>1.008</v>
      </c>
      <c r="E5571" s="16">
        <f>IFERROR(__xludf.DUMMYFUNCTION("""COMPUTED_VALUE"""),68.0)</f>
        <v>68</v>
      </c>
      <c r="F5571" s="19" t="str">
        <f>IFERROR(__xludf.DUMMYFUNCTION("""COMPUTED_VALUE"""),"BLACK")</f>
        <v>BLACK</v>
      </c>
      <c r="G5571" s="20" t="str">
        <f>IFERROR(__xludf.DUMMYFUNCTION("""COMPUTED_VALUE"""),"Uncle Sams Cider (04/04/2023)")</f>
        <v>Uncle Sams Cider (04/04/2023)</v>
      </c>
      <c r="H5571" s="19"/>
    </row>
    <row r="5572">
      <c r="A5572" s="9"/>
      <c r="B5572" s="15"/>
      <c r="C5572" s="9">
        <f>IFERROR(__xludf.DUMMYFUNCTION("""COMPUTED_VALUE"""),45086.1700048726)</f>
        <v>45086.17</v>
      </c>
      <c r="D5572" s="15">
        <f>IFERROR(__xludf.DUMMYFUNCTION("""COMPUTED_VALUE"""),1.007)</f>
        <v>1.007</v>
      </c>
      <c r="E5572" s="16">
        <f>IFERROR(__xludf.DUMMYFUNCTION("""COMPUTED_VALUE"""),68.0)</f>
        <v>68</v>
      </c>
      <c r="F5572" s="19" t="str">
        <f>IFERROR(__xludf.DUMMYFUNCTION("""COMPUTED_VALUE"""),"BLACK")</f>
        <v>BLACK</v>
      </c>
      <c r="G5572" s="20" t="str">
        <f>IFERROR(__xludf.DUMMYFUNCTION("""COMPUTED_VALUE"""),"Uncle Sams Cider (04/04/2023)")</f>
        <v>Uncle Sams Cider (04/04/2023)</v>
      </c>
      <c r="H5572" s="19"/>
    </row>
    <row r="5573">
      <c r="A5573" s="9"/>
      <c r="B5573" s="15"/>
      <c r="C5573" s="9">
        <f>IFERROR(__xludf.DUMMYFUNCTION("""COMPUTED_VALUE"""),45086.1595602893)</f>
        <v>45086.15956</v>
      </c>
      <c r="D5573" s="15">
        <f>IFERROR(__xludf.DUMMYFUNCTION("""COMPUTED_VALUE"""),1.007)</f>
        <v>1.007</v>
      </c>
      <c r="E5573" s="16">
        <f>IFERROR(__xludf.DUMMYFUNCTION("""COMPUTED_VALUE"""),68.0)</f>
        <v>68</v>
      </c>
      <c r="F5573" s="19" t="str">
        <f>IFERROR(__xludf.DUMMYFUNCTION("""COMPUTED_VALUE"""),"BLACK")</f>
        <v>BLACK</v>
      </c>
      <c r="G5573" s="20" t="str">
        <f>IFERROR(__xludf.DUMMYFUNCTION("""COMPUTED_VALUE"""),"Uncle Sams Cider (04/04/2023)")</f>
        <v>Uncle Sams Cider (04/04/2023)</v>
      </c>
      <c r="H5573" s="19"/>
    </row>
    <row r="5574">
      <c r="A5574" s="9"/>
      <c r="B5574" s="15"/>
      <c r="C5574" s="9">
        <f>IFERROR(__xludf.DUMMYFUNCTION("""COMPUTED_VALUE"""),45086.1491398148)</f>
        <v>45086.14914</v>
      </c>
      <c r="D5574" s="15">
        <f>IFERROR(__xludf.DUMMYFUNCTION("""COMPUTED_VALUE"""),1.007)</f>
        <v>1.007</v>
      </c>
      <c r="E5574" s="16">
        <f>IFERROR(__xludf.DUMMYFUNCTION("""COMPUTED_VALUE"""),68.0)</f>
        <v>68</v>
      </c>
      <c r="F5574" s="19" t="str">
        <f>IFERROR(__xludf.DUMMYFUNCTION("""COMPUTED_VALUE"""),"BLACK")</f>
        <v>BLACK</v>
      </c>
      <c r="G5574" s="20" t="str">
        <f>IFERROR(__xludf.DUMMYFUNCTION("""COMPUTED_VALUE"""),"Uncle Sams Cider (04/04/2023)")</f>
        <v>Uncle Sams Cider (04/04/2023)</v>
      </c>
      <c r="H5574" s="19"/>
    </row>
    <row r="5575">
      <c r="A5575" s="9"/>
      <c r="B5575" s="15"/>
      <c r="C5575" s="9">
        <f>IFERROR(__xludf.DUMMYFUNCTION("""COMPUTED_VALUE"""),45086.1387170601)</f>
        <v>45086.13872</v>
      </c>
      <c r="D5575" s="15">
        <f>IFERROR(__xludf.DUMMYFUNCTION("""COMPUTED_VALUE"""),1.007)</f>
        <v>1.007</v>
      </c>
      <c r="E5575" s="16">
        <f>IFERROR(__xludf.DUMMYFUNCTION("""COMPUTED_VALUE"""),68.0)</f>
        <v>68</v>
      </c>
      <c r="F5575" s="19" t="str">
        <f>IFERROR(__xludf.DUMMYFUNCTION("""COMPUTED_VALUE"""),"BLACK")</f>
        <v>BLACK</v>
      </c>
      <c r="G5575" s="20" t="str">
        <f>IFERROR(__xludf.DUMMYFUNCTION("""COMPUTED_VALUE"""),"Uncle Sams Cider (04/04/2023)")</f>
        <v>Uncle Sams Cider (04/04/2023)</v>
      </c>
      <c r="H5575" s="19"/>
    </row>
    <row r="5576">
      <c r="A5576" s="9"/>
      <c r="B5576" s="15"/>
      <c r="C5576" s="9">
        <f>IFERROR(__xludf.DUMMYFUNCTION("""COMPUTED_VALUE"""),45086.1282948263)</f>
        <v>45086.12829</v>
      </c>
      <c r="D5576" s="15">
        <f>IFERROR(__xludf.DUMMYFUNCTION("""COMPUTED_VALUE"""),1.007)</f>
        <v>1.007</v>
      </c>
      <c r="E5576" s="16">
        <f>IFERROR(__xludf.DUMMYFUNCTION("""COMPUTED_VALUE"""),68.0)</f>
        <v>68</v>
      </c>
      <c r="F5576" s="19" t="str">
        <f>IFERROR(__xludf.DUMMYFUNCTION("""COMPUTED_VALUE"""),"BLACK")</f>
        <v>BLACK</v>
      </c>
      <c r="G5576" s="20" t="str">
        <f>IFERROR(__xludf.DUMMYFUNCTION("""COMPUTED_VALUE"""),"Uncle Sams Cider (04/04/2023)")</f>
        <v>Uncle Sams Cider (04/04/2023)</v>
      </c>
      <c r="H5576" s="19"/>
    </row>
    <row r="5577">
      <c r="A5577" s="9"/>
      <c r="B5577" s="15"/>
      <c r="C5577" s="9">
        <f>IFERROR(__xludf.DUMMYFUNCTION("""COMPUTED_VALUE"""),45086.1178756713)</f>
        <v>45086.11788</v>
      </c>
      <c r="D5577" s="15">
        <f>IFERROR(__xludf.DUMMYFUNCTION("""COMPUTED_VALUE"""),1.007)</f>
        <v>1.007</v>
      </c>
      <c r="E5577" s="16">
        <f>IFERROR(__xludf.DUMMYFUNCTION("""COMPUTED_VALUE"""),68.0)</f>
        <v>68</v>
      </c>
      <c r="F5577" s="19" t="str">
        <f>IFERROR(__xludf.DUMMYFUNCTION("""COMPUTED_VALUE"""),"BLACK")</f>
        <v>BLACK</v>
      </c>
      <c r="G5577" s="20" t="str">
        <f>IFERROR(__xludf.DUMMYFUNCTION("""COMPUTED_VALUE"""),"Uncle Sams Cider (04/04/2023)")</f>
        <v>Uncle Sams Cider (04/04/2023)</v>
      </c>
      <c r="H5577" s="19"/>
    </row>
    <row r="5578">
      <c r="A5578" s="9"/>
      <c r="B5578" s="15"/>
      <c r="C5578" s="9">
        <f>IFERROR(__xludf.DUMMYFUNCTION("""COMPUTED_VALUE"""),45086.107442743)</f>
        <v>45086.10744</v>
      </c>
      <c r="D5578" s="15">
        <f>IFERROR(__xludf.DUMMYFUNCTION("""COMPUTED_VALUE"""),1.007)</f>
        <v>1.007</v>
      </c>
      <c r="E5578" s="16">
        <f>IFERROR(__xludf.DUMMYFUNCTION("""COMPUTED_VALUE"""),68.0)</f>
        <v>68</v>
      </c>
      <c r="F5578" s="19" t="str">
        <f>IFERROR(__xludf.DUMMYFUNCTION("""COMPUTED_VALUE"""),"BLACK")</f>
        <v>BLACK</v>
      </c>
      <c r="G5578" s="20" t="str">
        <f>IFERROR(__xludf.DUMMYFUNCTION("""COMPUTED_VALUE"""),"Uncle Sams Cider (04/04/2023)")</f>
        <v>Uncle Sams Cider (04/04/2023)</v>
      </c>
      <c r="H5578" s="19"/>
    </row>
    <row r="5579">
      <c r="A5579" s="9"/>
      <c r="B5579" s="15"/>
      <c r="C5579" s="9">
        <f>IFERROR(__xludf.DUMMYFUNCTION("""COMPUTED_VALUE"""),45086.097020625)</f>
        <v>45086.09702</v>
      </c>
      <c r="D5579" s="15">
        <f>IFERROR(__xludf.DUMMYFUNCTION("""COMPUTED_VALUE"""),1.007)</f>
        <v>1.007</v>
      </c>
      <c r="E5579" s="16">
        <f>IFERROR(__xludf.DUMMYFUNCTION("""COMPUTED_VALUE"""),68.0)</f>
        <v>68</v>
      </c>
      <c r="F5579" s="19" t="str">
        <f>IFERROR(__xludf.DUMMYFUNCTION("""COMPUTED_VALUE"""),"BLACK")</f>
        <v>BLACK</v>
      </c>
      <c r="G5579" s="20" t="str">
        <f>IFERROR(__xludf.DUMMYFUNCTION("""COMPUTED_VALUE"""),"Uncle Sams Cider (04/04/2023)")</f>
        <v>Uncle Sams Cider (04/04/2023)</v>
      </c>
      <c r="H5579" s="19"/>
    </row>
    <row r="5580">
      <c r="A5580" s="9"/>
      <c r="B5580" s="15"/>
      <c r="C5580" s="9">
        <f>IFERROR(__xludf.DUMMYFUNCTION("""COMPUTED_VALUE"""),45086.0865896875)</f>
        <v>45086.08659</v>
      </c>
      <c r="D5580" s="15">
        <f>IFERROR(__xludf.DUMMYFUNCTION("""COMPUTED_VALUE"""),1.007)</f>
        <v>1.007</v>
      </c>
      <c r="E5580" s="16">
        <f>IFERROR(__xludf.DUMMYFUNCTION("""COMPUTED_VALUE"""),68.0)</f>
        <v>68</v>
      </c>
      <c r="F5580" s="19" t="str">
        <f>IFERROR(__xludf.DUMMYFUNCTION("""COMPUTED_VALUE"""),"BLACK")</f>
        <v>BLACK</v>
      </c>
      <c r="G5580" s="20" t="str">
        <f>IFERROR(__xludf.DUMMYFUNCTION("""COMPUTED_VALUE"""),"Uncle Sams Cider (04/04/2023)")</f>
        <v>Uncle Sams Cider (04/04/2023)</v>
      </c>
      <c r="H5580" s="19"/>
    </row>
    <row r="5581">
      <c r="A5581" s="9"/>
      <c r="B5581" s="15"/>
      <c r="C5581" s="9">
        <f>IFERROR(__xludf.DUMMYFUNCTION("""COMPUTED_VALUE"""),45086.0761688425)</f>
        <v>45086.07617</v>
      </c>
      <c r="D5581" s="15">
        <f>IFERROR(__xludf.DUMMYFUNCTION("""COMPUTED_VALUE"""),1.007)</f>
        <v>1.007</v>
      </c>
      <c r="E5581" s="16">
        <f>IFERROR(__xludf.DUMMYFUNCTION("""COMPUTED_VALUE"""),68.0)</f>
        <v>68</v>
      </c>
      <c r="F5581" s="19" t="str">
        <f>IFERROR(__xludf.DUMMYFUNCTION("""COMPUTED_VALUE"""),"BLACK")</f>
        <v>BLACK</v>
      </c>
      <c r="G5581" s="20" t="str">
        <f>IFERROR(__xludf.DUMMYFUNCTION("""COMPUTED_VALUE"""),"Uncle Sams Cider (04/04/2023)")</f>
        <v>Uncle Sams Cider (04/04/2023)</v>
      </c>
      <c r="H5581" s="19"/>
    </row>
    <row r="5582">
      <c r="A5582" s="9"/>
      <c r="B5582" s="15"/>
      <c r="C5582" s="9">
        <f>IFERROR(__xludf.DUMMYFUNCTION("""COMPUTED_VALUE"""),45086.0657478588)</f>
        <v>45086.06575</v>
      </c>
      <c r="D5582" s="15">
        <f>IFERROR(__xludf.DUMMYFUNCTION("""COMPUTED_VALUE"""),1.007)</f>
        <v>1.007</v>
      </c>
      <c r="E5582" s="16">
        <f>IFERROR(__xludf.DUMMYFUNCTION("""COMPUTED_VALUE"""),68.0)</f>
        <v>68</v>
      </c>
      <c r="F5582" s="19" t="str">
        <f>IFERROR(__xludf.DUMMYFUNCTION("""COMPUTED_VALUE"""),"BLACK")</f>
        <v>BLACK</v>
      </c>
      <c r="G5582" s="20" t="str">
        <f>IFERROR(__xludf.DUMMYFUNCTION("""COMPUTED_VALUE"""),"Uncle Sams Cider (04/04/2023)")</f>
        <v>Uncle Sams Cider (04/04/2023)</v>
      </c>
      <c r="H5582" s="19"/>
    </row>
    <row r="5583">
      <c r="A5583" s="9"/>
      <c r="B5583" s="15"/>
      <c r="C5583" s="9">
        <f>IFERROR(__xludf.DUMMYFUNCTION("""COMPUTED_VALUE"""),45086.0553255787)</f>
        <v>45086.05533</v>
      </c>
      <c r="D5583" s="15">
        <f>IFERROR(__xludf.DUMMYFUNCTION("""COMPUTED_VALUE"""),1.007)</f>
        <v>1.007</v>
      </c>
      <c r="E5583" s="16">
        <f>IFERROR(__xludf.DUMMYFUNCTION("""COMPUTED_VALUE"""),68.0)</f>
        <v>68</v>
      </c>
      <c r="F5583" s="19" t="str">
        <f>IFERROR(__xludf.DUMMYFUNCTION("""COMPUTED_VALUE"""),"BLACK")</f>
        <v>BLACK</v>
      </c>
      <c r="G5583" s="20" t="str">
        <f>IFERROR(__xludf.DUMMYFUNCTION("""COMPUTED_VALUE"""),"Uncle Sams Cider (04/04/2023)")</f>
        <v>Uncle Sams Cider (04/04/2023)</v>
      </c>
      <c r="H5583" s="19"/>
    </row>
    <row r="5584">
      <c r="A5584" s="9"/>
      <c r="B5584" s="15"/>
      <c r="C5584" s="9">
        <f>IFERROR(__xludf.DUMMYFUNCTION("""COMPUTED_VALUE"""),45086.0449054282)</f>
        <v>45086.04491</v>
      </c>
      <c r="D5584" s="15">
        <f>IFERROR(__xludf.DUMMYFUNCTION("""COMPUTED_VALUE"""),1.007)</f>
        <v>1.007</v>
      </c>
      <c r="E5584" s="16">
        <f>IFERROR(__xludf.DUMMYFUNCTION("""COMPUTED_VALUE"""),68.0)</f>
        <v>68</v>
      </c>
      <c r="F5584" s="19" t="str">
        <f>IFERROR(__xludf.DUMMYFUNCTION("""COMPUTED_VALUE"""),"BLACK")</f>
        <v>BLACK</v>
      </c>
      <c r="G5584" s="20" t="str">
        <f>IFERROR(__xludf.DUMMYFUNCTION("""COMPUTED_VALUE"""),"Uncle Sams Cider (04/04/2023)")</f>
        <v>Uncle Sams Cider (04/04/2023)</v>
      </c>
      <c r="H5584" s="19"/>
    </row>
    <row r="5585">
      <c r="A5585" s="9"/>
      <c r="B5585" s="15"/>
      <c r="C5585" s="9">
        <f>IFERROR(__xludf.DUMMYFUNCTION("""COMPUTED_VALUE"""),45086.0344828472)</f>
        <v>45086.03448</v>
      </c>
      <c r="D5585" s="15">
        <f>IFERROR(__xludf.DUMMYFUNCTION("""COMPUTED_VALUE"""),1.007)</f>
        <v>1.007</v>
      </c>
      <c r="E5585" s="16">
        <f>IFERROR(__xludf.DUMMYFUNCTION("""COMPUTED_VALUE"""),68.0)</f>
        <v>68</v>
      </c>
      <c r="F5585" s="19" t="str">
        <f>IFERROR(__xludf.DUMMYFUNCTION("""COMPUTED_VALUE"""),"BLACK")</f>
        <v>BLACK</v>
      </c>
      <c r="G5585" s="20" t="str">
        <f>IFERROR(__xludf.DUMMYFUNCTION("""COMPUTED_VALUE"""),"Uncle Sams Cider (04/04/2023)")</f>
        <v>Uncle Sams Cider (04/04/2023)</v>
      </c>
      <c r="H5585" s="19"/>
    </row>
    <row r="5586">
      <c r="A5586" s="9"/>
      <c r="B5586" s="15"/>
      <c r="C5586" s="9">
        <f>IFERROR(__xludf.DUMMYFUNCTION("""COMPUTED_VALUE"""),45086.0240622453)</f>
        <v>45086.02406</v>
      </c>
      <c r="D5586" s="15">
        <f>IFERROR(__xludf.DUMMYFUNCTION("""COMPUTED_VALUE"""),1.007)</f>
        <v>1.007</v>
      </c>
      <c r="E5586" s="16">
        <f>IFERROR(__xludf.DUMMYFUNCTION("""COMPUTED_VALUE"""),68.0)</f>
        <v>68</v>
      </c>
      <c r="F5586" s="19" t="str">
        <f>IFERROR(__xludf.DUMMYFUNCTION("""COMPUTED_VALUE"""),"BLACK")</f>
        <v>BLACK</v>
      </c>
      <c r="G5586" s="20" t="str">
        <f>IFERROR(__xludf.DUMMYFUNCTION("""COMPUTED_VALUE"""),"Uncle Sams Cider (04/04/2023)")</f>
        <v>Uncle Sams Cider (04/04/2023)</v>
      </c>
      <c r="H5586" s="19"/>
    </row>
    <row r="5587">
      <c r="A5587" s="9"/>
      <c r="B5587" s="15"/>
      <c r="C5587" s="9">
        <f>IFERROR(__xludf.DUMMYFUNCTION("""COMPUTED_VALUE"""),45086.0136286226)</f>
        <v>45086.01363</v>
      </c>
      <c r="D5587" s="15">
        <f>IFERROR(__xludf.DUMMYFUNCTION("""COMPUTED_VALUE"""),1.007)</f>
        <v>1.007</v>
      </c>
      <c r="E5587" s="16">
        <f>IFERROR(__xludf.DUMMYFUNCTION("""COMPUTED_VALUE"""),68.0)</f>
        <v>68</v>
      </c>
      <c r="F5587" s="19" t="str">
        <f>IFERROR(__xludf.DUMMYFUNCTION("""COMPUTED_VALUE"""),"BLACK")</f>
        <v>BLACK</v>
      </c>
      <c r="G5587" s="20" t="str">
        <f>IFERROR(__xludf.DUMMYFUNCTION("""COMPUTED_VALUE"""),"Uncle Sams Cider (04/04/2023)")</f>
        <v>Uncle Sams Cider (04/04/2023)</v>
      </c>
      <c r="H5587" s="19"/>
    </row>
    <row r="5588">
      <c r="A5588" s="9"/>
      <c r="B5588" s="15"/>
      <c r="C5588" s="9">
        <f>IFERROR(__xludf.DUMMYFUNCTION("""COMPUTED_VALUE"""),45086.00320728)</f>
        <v>45086.00321</v>
      </c>
      <c r="D5588" s="15">
        <f>IFERROR(__xludf.DUMMYFUNCTION("""COMPUTED_VALUE"""),1.007)</f>
        <v>1.007</v>
      </c>
      <c r="E5588" s="16">
        <f>IFERROR(__xludf.DUMMYFUNCTION("""COMPUTED_VALUE"""),68.0)</f>
        <v>68</v>
      </c>
      <c r="F5588" s="19" t="str">
        <f>IFERROR(__xludf.DUMMYFUNCTION("""COMPUTED_VALUE"""),"BLACK")</f>
        <v>BLACK</v>
      </c>
      <c r="G5588" s="20" t="str">
        <f>IFERROR(__xludf.DUMMYFUNCTION("""COMPUTED_VALUE"""),"Uncle Sams Cider (04/04/2023)")</f>
        <v>Uncle Sams Cider (04/04/2023)</v>
      </c>
      <c r="H5588" s="19"/>
    </row>
    <row r="5589">
      <c r="A5589" s="9"/>
      <c r="B5589" s="15"/>
      <c r="C5589" s="9">
        <f>IFERROR(__xludf.DUMMYFUNCTION("""COMPUTED_VALUE"""),45085.9927732986)</f>
        <v>45085.99277</v>
      </c>
      <c r="D5589" s="15">
        <f>IFERROR(__xludf.DUMMYFUNCTION("""COMPUTED_VALUE"""),1.007)</f>
        <v>1.007</v>
      </c>
      <c r="E5589" s="16">
        <f>IFERROR(__xludf.DUMMYFUNCTION("""COMPUTED_VALUE"""),68.0)</f>
        <v>68</v>
      </c>
      <c r="F5589" s="19" t="str">
        <f>IFERROR(__xludf.DUMMYFUNCTION("""COMPUTED_VALUE"""),"BLACK")</f>
        <v>BLACK</v>
      </c>
      <c r="G5589" s="20" t="str">
        <f>IFERROR(__xludf.DUMMYFUNCTION("""COMPUTED_VALUE"""),"Uncle Sams Cider (04/04/2023)")</f>
        <v>Uncle Sams Cider (04/04/2023)</v>
      </c>
      <c r="H5589" s="19"/>
    </row>
    <row r="5590">
      <c r="A5590" s="9"/>
      <c r="B5590" s="15"/>
      <c r="C5590" s="9">
        <f>IFERROR(__xludf.DUMMYFUNCTION("""COMPUTED_VALUE"""),45085.9823519675)</f>
        <v>45085.98235</v>
      </c>
      <c r="D5590" s="15">
        <f>IFERROR(__xludf.DUMMYFUNCTION("""COMPUTED_VALUE"""),1.007)</f>
        <v>1.007</v>
      </c>
      <c r="E5590" s="16">
        <f>IFERROR(__xludf.DUMMYFUNCTION("""COMPUTED_VALUE"""),68.0)</f>
        <v>68</v>
      </c>
      <c r="F5590" s="19" t="str">
        <f>IFERROR(__xludf.DUMMYFUNCTION("""COMPUTED_VALUE"""),"BLACK")</f>
        <v>BLACK</v>
      </c>
      <c r="G5590" s="20" t="str">
        <f>IFERROR(__xludf.DUMMYFUNCTION("""COMPUTED_VALUE"""),"Uncle Sams Cider (04/04/2023)")</f>
        <v>Uncle Sams Cider (04/04/2023)</v>
      </c>
      <c r="H5590" s="19"/>
    </row>
    <row r="5591">
      <c r="A5591" s="9"/>
      <c r="B5591" s="15"/>
      <c r="C5591" s="9">
        <f>IFERROR(__xludf.DUMMYFUNCTION("""COMPUTED_VALUE"""),45085.9719302314)</f>
        <v>45085.97193</v>
      </c>
      <c r="D5591" s="15">
        <f>IFERROR(__xludf.DUMMYFUNCTION("""COMPUTED_VALUE"""),1.007)</f>
        <v>1.007</v>
      </c>
      <c r="E5591" s="16">
        <f>IFERROR(__xludf.DUMMYFUNCTION("""COMPUTED_VALUE"""),68.0)</f>
        <v>68</v>
      </c>
      <c r="F5591" s="19" t="str">
        <f>IFERROR(__xludf.DUMMYFUNCTION("""COMPUTED_VALUE"""),"BLACK")</f>
        <v>BLACK</v>
      </c>
      <c r="G5591" s="20" t="str">
        <f>IFERROR(__xludf.DUMMYFUNCTION("""COMPUTED_VALUE"""),"Uncle Sams Cider (04/04/2023)")</f>
        <v>Uncle Sams Cider (04/04/2023)</v>
      </c>
      <c r="H5591" s="19"/>
    </row>
    <row r="5592">
      <c r="A5592" s="9"/>
      <c r="B5592" s="15"/>
      <c r="C5592" s="9">
        <f>IFERROR(__xludf.DUMMYFUNCTION("""COMPUTED_VALUE"""),45085.9614982175)</f>
        <v>45085.9615</v>
      </c>
      <c r="D5592" s="15">
        <f>IFERROR(__xludf.DUMMYFUNCTION("""COMPUTED_VALUE"""),1.007)</f>
        <v>1.007</v>
      </c>
      <c r="E5592" s="16">
        <f>IFERROR(__xludf.DUMMYFUNCTION("""COMPUTED_VALUE"""),68.0)</f>
        <v>68</v>
      </c>
      <c r="F5592" s="19" t="str">
        <f>IFERROR(__xludf.DUMMYFUNCTION("""COMPUTED_VALUE"""),"BLACK")</f>
        <v>BLACK</v>
      </c>
      <c r="G5592" s="20" t="str">
        <f>IFERROR(__xludf.DUMMYFUNCTION("""COMPUTED_VALUE"""),"Uncle Sams Cider (04/04/2023)")</f>
        <v>Uncle Sams Cider (04/04/2023)</v>
      </c>
      <c r="H5592" s="19"/>
    </row>
    <row r="5593">
      <c r="A5593" s="9"/>
      <c r="B5593" s="15"/>
      <c r="C5593" s="9">
        <f>IFERROR(__xludf.DUMMYFUNCTION("""COMPUTED_VALUE"""),45085.9510773611)</f>
        <v>45085.95108</v>
      </c>
      <c r="D5593" s="15">
        <f>IFERROR(__xludf.DUMMYFUNCTION("""COMPUTED_VALUE"""),1.007)</f>
        <v>1.007</v>
      </c>
      <c r="E5593" s="16">
        <f>IFERROR(__xludf.DUMMYFUNCTION("""COMPUTED_VALUE"""),68.0)</f>
        <v>68</v>
      </c>
      <c r="F5593" s="19" t="str">
        <f>IFERROR(__xludf.DUMMYFUNCTION("""COMPUTED_VALUE"""),"BLACK")</f>
        <v>BLACK</v>
      </c>
      <c r="G5593" s="20" t="str">
        <f>IFERROR(__xludf.DUMMYFUNCTION("""COMPUTED_VALUE"""),"Uncle Sams Cider (04/04/2023)")</f>
        <v>Uncle Sams Cider (04/04/2023)</v>
      </c>
      <c r="H5593" s="19"/>
    </row>
    <row r="5594">
      <c r="A5594" s="9"/>
      <c r="B5594" s="15"/>
      <c r="C5594" s="9">
        <f>IFERROR(__xludf.DUMMYFUNCTION("""COMPUTED_VALUE"""),45085.9406558217)</f>
        <v>45085.94066</v>
      </c>
      <c r="D5594" s="15">
        <f>IFERROR(__xludf.DUMMYFUNCTION("""COMPUTED_VALUE"""),1.007)</f>
        <v>1.007</v>
      </c>
      <c r="E5594" s="16">
        <f>IFERROR(__xludf.DUMMYFUNCTION("""COMPUTED_VALUE"""),68.0)</f>
        <v>68</v>
      </c>
      <c r="F5594" s="19" t="str">
        <f>IFERROR(__xludf.DUMMYFUNCTION("""COMPUTED_VALUE"""),"BLACK")</f>
        <v>BLACK</v>
      </c>
      <c r="G5594" s="20" t="str">
        <f>IFERROR(__xludf.DUMMYFUNCTION("""COMPUTED_VALUE"""),"Uncle Sams Cider (04/04/2023)")</f>
        <v>Uncle Sams Cider (04/04/2023)</v>
      </c>
      <c r="H5594" s="19"/>
    </row>
    <row r="5595">
      <c r="A5595" s="9"/>
      <c r="B5595" s="15"/>
      <c r="C5595" s="9">
        <f>IFERROR(__xludf.DUMMYFUNCTION("""COMPUTED_VALUE"""),45085.9302223148)</f>
        <v>45085.93022</v>
      </c>
      <c r="D5595" s="15">
        <f>IFERROR(__xludf.DUMMYFUNCTION("""COMPUTED_VALUE"""),1.007)</f>
        <v>1.007</v>
      </c>
      <c r="E5595" s="16">
        <f>IFERROR(__xludf.DUMMYFUNCTION("""COMPUTED_VALUE"""),68.0)</f>
        <v>68</v>
      </c>
      <c r="F5595" s="19" t="str">
        <f>IFERROR(__xludf.DUMMYFUNCTION("""COMPUTED_VALUE"""),"BLACK")</f>
        <v>BLACK</v>
      </c>
      <c r="G5595" s="20" t="str">
        <f>IFERROR(__xludf.DUMMYFUNCTION("""COMPUTED_VALUE"""),"Uncle Sams Cider (04/04/2023)")</f>
        <v>Uncle Sams Cider (04/04/2023)</v>
      </c>
      <c r="H5595" s="19"/>
    </row>
    <row r="5596">
      <c r="A5596" s="9"/>
      <c r="B5596" s="15"/>
      <c r="C5596" s="9">
        <f>IFERROR(__xludf.DUMMYFUNCTION("""COMPUTED_VALUE"""),45085.9197900694)</f>
        <v>45085.91979</v>
      </c>
      <c r="D5596" s="15">
        <f>IFERROR(__xludf.DUMMYFUNCTION("""COMPUTED_VALUE"""),1.007)</f>
        <v>1.007</v>
      </c>
      <c r="E5596" s="16">
        <f>IFERROR(__xludf.DUMMYFUNCTION("""COMPUTED_VALUE"""),68.0)</f>
        <v>68</v>
      </c>
      <c r="F5596" s="19" t="str">
        <f>IFERROR(__xludf.DUMMYFUNCTION("""COMPUTED_VALUE"""),"BLACK")</f>
        <v>BLACK</v>
      </c>
      <c r="G5596" s="20" t="str">
        <f>IFERROR(__xludf.DUMMYFUNCTION("""COMPUTED_VALUE"""),"Uncle Sams Cider (04/04/2023)")</f>
        <v>Uncle Sams Cider (04/04/2023)</v>
      </c>
      <c r="H5596" s="19"/>
    </row>
    <row r="5597">
      <c r="A5597" s="9"/>
      <c r="B5597" s="15"/>
      <c r="C5597" s="9">
        <f>IFERROR(__xludf.DUMMYFUNCTION("""COMPUTED_VALUE"""),45085.9093562963)</f>
        <v>45085.90936</v>
      </c>
      <c r="D5597" s="15">
        <f>IFERROR(__xludf.DUMMYFUNCTION("""COMPUTED_VALUE"""),1.007)</f>
        <v>1.007</v>
      </c>
      <c r="E5597" s="16">
        <f>IFERROR(__xludf.DUMMYFUNCTION("""COMPUTED_VALUE"""),68.0)</f>
        <v>68</v>
      </c>
      <c r="F5597" s="19" t="str">
        <f>IFERROR(__xludf.DUMMYFUNCTION("""COMPUTED_VALUE"""),"BLACK")</f>
        <v>BLACK</v>
      </c>
      <c r="G5597" s="20" t="str">
        <f>IFERROR(__xludf.DUMMYFUNCTION("""COMPUTED_VALUE"""),"Uncle Sams Cider (04/04/2023)")</f>
        <v>Uncle Sams Cider (04/04/2023)</v>
      </c>
      <c r="H5597" s="19"/>
    </row>
    <row r="5598">
      <c r="A5598" s="9"/>
      <c r="B5598" s="15"/>
      <c r="C5598" s="9">
        <f>IFERROR(__xludf.DUMMYFUNCTION("""COMPUTED_VALUE"""),45085.8989348842)</f>
        <v>45085.89893</v>
      </c>
      <c r="D5598" s="15">
        <f>IFERROR(__xludf.DUMMYFUNCTION("""COMPUTED_VALUE"""),1.007)</f>
        <v>1.007</v>
      </c>
      <c r="E5598" s="16">
        <f>IFERROR(__xludf.DUMMYFUNCTION("""COMPUTED_VALUE"""),68.0)</f>
        <v>68</v>
      </c>
      <c r="F5598" s="19" t="str">
        <f>IFERROR(__xludf.DUMMYFUNCTION("""COMPUTED_VALUE"""),"BLACK")</f>
        <v>BLACK</v>
      </c>
      <c r="G5598" s="20" t="str">
        <f>IFERROR(__xludf.DUMMYFUNCTION("""COMPUTED_VALUE"""),"Uncle Sams Cider (04/04/2023)")</f>
        <v>Uncle Sams Cider (04/04/2023)</v>
      </c>
      <c r="H5598" s="19"/>
    </row>
    <row r="5599">
      <c r="A5599" s="9"/>
      <c r="B5599" s="15"/>
      <c r="C5599" s="9">
        <f>IFERROR(__xludf.DUMMYFUNCTION("""COMPUTED_VALUE"""),45085.8885031713)</f>
        <v>45085.8885</v>
      </c>
      <c r="D5599" s="15">
        <f>IFERROR(__xludf.DUMMYFUNCTION("""COMPUTED_VALUE"""),1.007)</f>
        <v>1.007</v>
      </c>
      <c r="E5599" s="16">
        <f>IFERROR(__xludf.DUMMYFUNCTION("""COMPUTED_VALUE"""),68.0)</f>
        <v>68</v>
      </c>
      <c r="F5599" s="19" t="str">
        <f>IFERROR(__xludf.DUMMYFUNCTION("""COMPUTED_VALUE"""),"BLACK")</f>
        <v>BLACK</v>
      </c>
      <c r="G5599" s="20" t="str">
        <f>IFERROR(__xludf.DUMMYFUNCTION("""COMPUTED_VALUE"""),"Uncle Sams Cider (04/04/2023)")</f>
        <v>Uncle Sams Cider (04/04/2023)</v>
      </c>
      <c r="H5599" s="19"/>
    </row>
    <row r="5600">
      <c r="A5600" s="9"/>
      <c r="B5600" s="15"/>
      <c r="C5600" s="9">
        <f>IFERROR(__xludf.DUMMYFUNCTION("""COMPUTED_VALUE"""),45085.8780703009)</f>
        <v>45085.87807</v>
      </c>
      <c r="D5600" s="15">
        <f>IFERROR(__xludf.DUMMYFUNCTION("""COMPUTED_VALUE"""),1.007)</f>
        <v>1.007</v>
      </c>
      <c r="E5600" s="16">
        <f>IFERROR(__xludf.DUMMYFUNCTION("""COMPUTED_VALUE"""),68.0)</f>
        <v>68</v>
      </c>
      <c r="F5600" s="19" t="str">
        <f>IFERROR(__xludf.DUMMYFUNCTION("""COMPUTED_VALUE"""),"BLACK")</f>
        <v>BLACK</v>
      </c>
      <c r="G5600" s="20" t="str">
        <f>IFERROR(__xludf.DUMMYFUNCTION("""COMPUTED_VALUE"""),"Uncle Sams Cider (04/04/2023)")</f>
        <v>Uncle Sams Cider (04/04/2023)</v>
      </c>
      <c r="H5600" s="19"/>
    </row>
    <row r="5601">
      <c r="A5601" s="9"/>
      <c r="B5601" s="15"/>
      <c r="C5601" s="9">
        <f>IFERROR(__xludf.DUMMYFUNCTION("""COMPUTED_VALUE"""),45085.8676505671)</f>
        <v>45085.86765</v>
      </c>
      <c r="D5601" s="15">
        <f>IFERROR(__xludf.DUMMYFUNCTION("""COMPUTED_VALUE"""),1.007)</f>
        <v>1.007</v>
      </c>
      <c r="E5601" s="16">
        <f>IFERROR(__xludf.DUMMYFUNCTION("""COMPUTED_VALUE"""),68.0)</f>
        <v>68</v>
      </c>
      <c r="F5601" s="19" t="str">
        <f>IFERROR(__xludf.DUMMYFUNCTION("""COMPUTED_VALUE"""),"BLACK")</f>
        <v>BLACK</v>
      </c>
      <c r="G5601" s="20" t="str">
        <f>IFERROR(__xludf.DUMMYFUNCTION("""COMPUTED_VALUE"""),"Uncle Sams Cider (04/04/2023)")</f>
        <v>Uncle Sams Cider (04/04/2023)</v>
      </c>
      <c r="H5601" s="19"/>
    </row>
    <row r="5602">
      <c r="A5602" s="9"/>
      <c r="B5602" s="15"/>
      <c r="C5602" s="9">
        <f>IFERROR(__xludf.DUMMYFUNCTION("""COMPUTED_VALUE"""),45085.8572292129)</f>
        <v>45085.85723</v>
      </c>
      <c r="D5602" s="15">
        <f>IFERROR(__xludf.DUMMYFUNCTION("""COMPUTED_VALUE"""),1.007)</f>
        <v>1.007</v>
      </c>
      <c r="E5602" s="16">
        <f>IFERROR(__xludf.DUMMYFUNCTION("""COMPUTED_VALUE"""),68.0)</f>
        <v>68</v>
      </c>
      <c r="F5602" s="19" t="str">
        <f>IFERROR(__xludf.DUMMYFUNCTION("""COMPUTED_VALUE"""),"BLACK")</f>
        <v>BLACK</v>
      </c>
      <c r="G5602" s="20" t="str">
        <f>IFERROR(__xludf.DUMMYFUNCTION("""COMPUTED_VALUE"""),"Uncle Sams Cider (04/04/2023)")</f>
        <v>Uncle Sams Cider (04/04/2023)</v>
      </c>
      <c r="H5602" s="19"/>
    </row>
    <row r="5603">
      <c r="A5603" s="9"/>
      <c r="B5603" s="15"/>
      <c r="C5603" s="9">
        <f>IFERROR(__xludf.DUMMYFUNCTION("""COMPUTED_VALUE"""),45085.8468083564)</f>
        <v>45085.84681</v>
      </c>
      <c r="D5603" s="15">
        <f>IFERROR(__xludf.DUMMYFUNCTION("""COMPUTED_VALUE"""),1.007)</f>
        <v>1.007</v>
      </c>
      <c r="E5603" s="16">
        <f>IFERROR(__xludf.DUMMYFUNCTION("""COMPUTED_VALUE"""),68.0)</f>
        <v>68</v>
      </c>
      <c r="F5603" s="19" t="str">
        <f>IFERROR(__xludf.DUMMYFUNCTION("""COMPUTED_VALUE"""),"BLACK")</f>
        <v>BLACK</v>
      </c>
      <c r="G5603" s="20" t="str">
        <f>IFERROR(__xludf.DUMMYFUNCTION("""COMPUTED_VALUE"""),"Uncle Sams Cider (04/04/2023)")</f>
        <v>Uncle Sams Cider (04/04/2023)</v>
      </c>
      <c r="H5603" s="19"/>
    </row>
    <row r="5604">
      <c r="A5604" s="9"/>
      <c r="B5604" s="15"/>
      <c r="C5604" s="9">
        <f>IFERROR(__xludf.DUMMYFUNCTION("""COMPUTED_VALUE"""),45085.836342118)</f>
        <v>45085.83634</v>
      </c>
      <c r="D5604" s="15">
        <f>IFERROR(__xludf.DUMMYFUNCTION("""COMPUTED_VALUE"""),1.007)</f>
        <v>1.007</v>
      </c>
      <c r="E5604" s="16">
        <f>IFERROR(__xludf.DUMMYFUNCTION("""COMPUTED_VALUE"""),68.0)</f>
        <v>68</v>
      </c>
      <c r="F5604" s="19" t="str">
        <f>IFERROR(__xludf.DUMMYFUNCTION("""COMPUTED_VALUE"""),"BLACK")</f>
        <v>BLACK</v>
      </c>
      <c r="G5604" s="20" t="str">
        <f>IFERROR(__xludf.DUMMYFUNCTION("""COMPUTED_VALUE"""),"Uncle Sams Cider (04/04/2023)")</f>
        <v>Uncle Sams Cider (04/04/2023)</v>
      </c>
      <c r="H5604" s="19"/>
    </row>
    <row r="5605">
      <c r="A5605" s="9"/>
      <c r="B5605" s="15"/>
      <c r="C5605" s="9">
        <f>IFERROR(__xludf.DUMMYFUNCTION("""COMPUTED_VALUE"""),45085.8259212847)</f>
        <v>45085.82592</v>
      </c>
      <c r="D5605" s="15">
        <f>IFERROR(__xludf.DUMMYFUNCTION("""COMPUTED_VALUE"""),1.007)</f>
        <v>1.007</v>
      </c>
      <c r="E5605" s="16">
        <f>IFERROR(__xludf.DUMMYFUNCTION("""COMPUTED_VALUE"""),68.0)</f>
        <v>68</v>
      </c>
      <c r="F5605" s="19" t="str">
        <f>IFERROR(__xludf.DUMMYFUNCTION("""COMPUTED_VALUE"""),"BLACK")</f>
        <v>BLACK</v>
      </c>
      <c r="G5605" s="20" t="str">
        <f>IFERROR(__xludf.DUMMYFUNCTION("""COMPUTED_VALUE"""),"Uncle Sams Cider (04/04/2023)")</f>
        <v>Uncle Sams Cider (04/04/2023)</v>
      </c>
      <c r="H5605" s="19"/>
    </row>
    <row r="5606">
      <c r="A5606" s="9"/>
      <c r="B5606" s="15"/>
      <c r="C5606" s="9">
        <f>IFERROR(__xludf.DUMMYFUNCTION("""COMPUTED_VALUE"""),45085.8154769791)</f>
        <v>45085.81548</v>
      </c>
      <c r="D5606" s="15">
        <f>IFERROR(__xludf.DUMMYFUNCTION("""COMPUTED_VALUE"""),1.007)</f>
        <v>1.007</v>
      </c>
      <c r="E5606" s="16">
        <f>IFERROR(__xludf.DUMMYFUNCTION("""COMPUTED_VALUE"""),68.0)</f>
        <v>68</v>
      </c>
      <c r="F5606" s="19" t="str">
        <f>IFERROR(__xludf.DUMMYFUNCTION("""COMPUTED_VALUE"""),"BLACK")</f>
        <v>BLACK</v>
      </c>
      <c r="G5606" s="20" t="str">
        <f>IFERROR(__xludf.DUMMYFUNCTION("""COMPUTED_VALUE"""),"Uncle Sams Cider (04/04/2023)")</f>
        <v>Uncle Sams Cider (04/04/2023)</v>
      </c>
      <c r="H5606" s="19"/>
    </row>
    <row r="5607">
      <c r="A5607" s="9"/>
      <c r="B5607" s="15"/>
      <c r="C5607" s="9">
        <f>IFERROR(__xludf.DUMMYFUNCTION("""COMPUTED_VALUE"""),45085.8050546643)</f>
        <v>45085.80505</v>
      </c>
      <c r="D5607" s="15">
        <f>IFERROR(__xludf.DUMMYFUNCTION("""COMPUTED_VALUE"""),1.007)</f>
        <v>1.007</v>
      </c>
      <c r="E5607" s="16">
        <f>IFERROR(__xludf.DUMMYFUNCTION("""COMPUTED_VALUE"""),68.0)</f>
        <v>68</v>
      </c>
      <c r="F5607" s="19" t="str">
        <f>IFERROR(__xludf.DUMMYFUNCTION("""COMPUTED_VALUE"""),"BLACK")</f>
        <v>BLACK</v>
      </c>
      <c r="G5607" s="20" t="str">
        <f>IFERROR(__xludf.DUMMYFUNCTION("""COMPUTED_VALUE"""),"Uncle Sams Cider (04/04/2023)")</f>
        <v>Uncle Sams Cider (04/04/2023)</v>
      </c>
      <c r="H5607" s="19"/>
    </row>
    <row r="5608">
      <c r="A5608" s="9"/>
      <c r="B5608" s="15"/>
      <c r="C5608" s="9">
        <f>IFERROR(__xludf.DUMMYFUNCTION("""COMPUTED_VALUE"""),45085.794633125)</f>
        <v>45085.79463</v>
      </c>
      <c r="D5608" s="15">
        <f>IFERROR(__xludf.DUMMYFUNCTION("""COMPUTED_VALUE"""),1.007)</f>
        <v>1.007</v>
      </c>
      <c r="E5608" s="16">
        <f>IFERROR(__xludf.DUMMYFUNCTION("""COMPUTED_VALUE"""),68.0)</f>
        <v>68</v>
      </c>
      <c r="F5608" s="19" t="str">
        <f>IFERROR(__xludf.DUMMYFUNCTION("""COMPUTED_VALUE"""),"BLACK")</f>
        <v>BLACK</v>
      </c>
      <c r="G5608" s="20" t="str">
        <f>IFERROR(__xludf.DUMMYFUNCTION("""COMPUTED_VALUE"""),"Uncle Sams Cider (04/04/2023)")</f>
        <v>Uncle Sams Cider (04/04/2023)</v>
      </c>
      <c r="H5608" s="19"/>
    </row>
    <row r="5609">
      <c r="A5609" s="9"/>
      <c r="B5609" s="15"/>
      <c r="C5609" s="9">
        <f>IFERROR(__xludf.DUMMYFUNCTION("""COMPUTED_VALUE"""),45085.7842126273)</f>
        <v>45085.78421</v>
      </c>
      <c r="D5609" s="15">
        <f>IFERROR(__xludf.DUMMYFUNCTION("""COMPUTED_VALUE"""),1.007)</f>
        <v>1.007</v>
      </c>
      <c r="E5609" s="16">
        <f>IFERROR(__xludf.DUMMYFUNCTION("""COMPUTED_VALUE"""),68.0)</f>
        <v>68</v>
      </c>
      <c r="F5609" s="19" t="str">
        <f>IFERROR(__xludf.DUMMYFUNCTION("""COMPUTED_VALUE"""),"BLACK")</f>
        <v>BLACK</v>
      </c>
      <c r="G5609" s="20" t="str">
        <f>IFERROR(__xludf.DUMMYFUNCTION("""COMPUTED_VALUE"""),"Uncle Sams Cider (04/04/2023)")</f>
        <v>Uncle Sams Cider (04/04/2023)</v>
      </c>
      <c r="H5609" s="19"/>
    </row>
    <row r="5610">
      <c r="A5610" s="9"/>
      <c r="B5610" s="15"/>
      <c r="C5610" s="9">
        <f>IFERROR(__xludf.DUMMYFUNCTION("""COMPUTED_VALUE"""),45085.7737798495)</f>
        <v>45085.77378</v>
      </c>
      <c r="D5610" s="15">
        <f>IFERROR(__xludf.DUMMYFUNCTION("""COMPUTED_VALUE"""),1.007)</f>
        <v>1.007</v>
      </c>
      <c r="E5610" s="16">
        <f>IFERROR(__xludf.DUMMYFUNCTION("""COMPUTED_VALUE"""),68.0)</f>
        <v>68</v>
      </c>
      <c r="F5610" s="19" t="str">
        <f>IFERROR(__xludf.DUMMYFUNCTION("""COMPUTED_VALUE"""),"BLACK")</f>
        <v>BLACK</v>
      </c>
      <c r="G5610" s="20" t="str">
        <f>IFERROR(__xludf.DUMMYFUNCTION("""COMPUTED_VALUE"""),"Uncle Sams Cider (04/04/2023)")</f>
        <v>Uncle Sams Cider (04/04/2023)</v>
      </c>
      <c r="H5610" s="19"/>
    </row>
    <row r="5611">
      <c r="A5611" s="9"/>
      <c r="B5611" s="15"/>
      <c r="C5611" s="9">
        <f>IFERROR(__xludf.DUMMYFUNCTION("""COMPUTED_VALUE"""),45085.7633451388)</f>
        <v>45085.76335</v>
      </c>
      <c r="D5611" s="15">
        <f>IFERROR(__xludf.DUMMYFUNCTION("""COMPUTED_VALUE"""),1.007)</f>
        <v>1.007</v>
      </c>
      <c r="E5611" s="16">
        <f>IFERROR(__xludf.DUMMYFUNCTION("""COMPUTED_VALUE"""),68.0)</f>
        <v>68</v>
      </c>
      <c r="F5611" s="19" t="str">
        <f>IFERROR(__xludf.DUMMYFUNCTION("""COMPUTED_VALUE"""),"BLACK")</f>
        <v>BLACK</v>
      </c>
      <c r="G5611" s="20" t="str">
        <f>IFERROR(__xludf.DUMMYFUNCTION("""COMPUTED_VALUE"""),"Uncle Sams Cider (04/04/2023)")</f>
        <v>Uncle Sams Cider (04/04/2023)</v>
      </c>
      <c r="H5611" s="19"/>
    </row>
    <row r="5612">
      <c r="A5612" s="9"/>
      <c r="B5612" s="15"/>
      <c r="C5612" s="9">
        <f>IFERROR(__xludf.DUMMYFUNCTION("""COMPUTED_VALUE"""),45085.752923287)</f>
        <v>45085.75292</v>
      </c>
      <c r="D5612" s="15">
        <f>IFERROR(__xludf.DUMMYFUNCTION("""COMPUTED_VALUE"""),1.007)</f>
        <v>1.007</v>
      </c>
      <c r="E5612" s="16">
        <f>IFERROR(__xludf.DUMMYFUNCTION("""COMPUTED_VALUE"""),68.0)</f>
        <v>68</v>
      </c>
      <c r="F5612" s="19" t="str">
        <f>IFERROR(__xludf.DUMMYFUNCTION("""COMPUTED_VALUE"""),"BLACK")</f>
        <v>BLACK</v>
      </c>
      <c r="G5612" s="20" t="str">
        <f>IFERROR(__xludf.DUMMYFUNCTION("""COMPUTED_VALUE"""),"Uncle Sams Cider (04/04/2023)")</f>
        <v>Uncle Sams Cider (04/04/2023)</v>
      </c>
      <c r="H5612" s="19"/>
    </row>
    <row r="5613">
      <c r="A5613" s="9"/>
      <c r="B5613" s="15"/>
      <c r="C5613" s="9">
        <f>IFERROR(__xludf.DUMMYFUNCTION("""COMPUTED_VALUE"""),45085.7425015277)</f>
        <v>45085.7425</v>
      </c>
      <c r="D5613" s="15">
        <f>IFERROR(__xludf.DUMMYFUNCTION("""COMPUTED_VALUE"""),1.007)</f>
        <v>1.007</v>
      </c>
      <c r="E5613" s="16">
        <f>IFERROR(__xludf.DUMMYFUNCTION("""COMPUTED_VALUE"""),68.0)</f>
        <v>68</v>
      </c>
      <c r="F5613" s="19" t="str">
        <f>IFERROR(__xludf.DUMMYFUNCTION("""COMPUTED_VALUE"""),"BLACK")</f>
        <v>BLACK</v>
      </c>
      <c r="G5613" s="20" t="str">
        <f>IFERROR(__xludf.DUMMYFUNCTION("""COMPUTED_VALUE"""),"Uncle Sams Cider (04/04/2023)")</f>
        <v>Uncle Sams Cider (04/04/2023)</v>
      </c>
      <c r="H5613" s="19"/>
    </row>
    <row r="5614">
      <c r="A5614" s="9"/>
      <c r="B5614" s="15"/>
      <c r="C5614" s="9">
        <f>IFERROR(__xludf.DUMMYFUNCTION("""COMPUTED_VALUE"""),45085.7320803472)</f>
        <v>45085.73208</v>
      </c>
      <c r="D5614" s="15">
        <f>IFERROR(__xludf.DUMMYFUNCTION("""COMPUTED_VALUE"""),1.007)</f>
        <v>1.007</v>
      </c>
      <c r="E5614" s="16">
        <f>IFERROR(__xludf.DUMMYFUNCTION("""COMPUTED_VALUE"""),68.0)</f>
        <v>68</v>
      </c>
      <c r="F5614" s="19" t="str">
        <f>IFERROR(__xludf.DUMMYFUNCTION("""COMPUTED_VALUE"""),"BLACK")</f>
        <v>BLACK</v>
      </c>
      <c r="G5614" s="20" t="str">
        <f>IFERROR(__xludf.DUMMYFUNCTION("""COMPUTED_VALUE"""),"Uncle Sams Cider (04/04/2023)")</f>
        <v>Uncle Sams Cider (04/04/2023)</v>
      </c>
      <c r="H5614" s="19"/>
    </row>
    <row r="5615">
      <c r="A5615" s="9"/>
      <c r="B5615" s="15"/>
      <c r="C5615" s="9">
        <f>IFERROR(__xludf.DUMMYFUNCTION("""COMPUTED_VALUE"""),45085.7216594675)</f>
        <v>45085.72166</v>
      </c>
      <c r="D5615" s="15">
        <f>IFERROR(__xludf.DUMMYFUNCTION("""COMPUTED_VALUE"""),1.007)</f>
        <v>1.007</v>
      </c>
      <c r="E5615" s="16">
        <f>IFERROR(__xludf.DUMMYFUNCTION("""COMPUTED_VALUE"""),68.0)</f>
        <v>68</v>
      </c>
      <c r="F5615" s="19" t="str">
        <f>IFERROR(__xludf.DUMMYFUNCTION("""COMPUTED_VALUE"""),"BLACK")</f>
        <v>BLACK</v>
      </c>
      <c r="G5615" s="20" t="str">
        <f>IFERROR(__xludf.DUMMYFUNCTION("""COMPUTED_VALUE"""),"Uncle Sams Cider (04/04/2023)")</f>
        <v>Uncle Sams Cider (04/04/2023)</v>
      </c>
      <c r="H5615" s="19"/>
    </row>
    <row r="5616">
      <c r="A5616" s="9"/>
      <c r="B5616" s="15"/>
      <c r="C5616" s="9">
        <f>IFERROR(__xludf.DUMMYFUNCTION("""COMPUTED_VALUE"""),45085.7112383101)</f>
        <v>45085.71124</v>
      </c>
      <c r="D5616" s="15">
        <f>IFERROR(__xludf.DUMMYFUNCTION("""COMPUTED_VALUE"""),1.008)</f>
        <v>1.008</v>
      </c>
      <c r="E5616" s="16">
        <f>IFERROR(__xludf.DUMMYFUNCTION("""COMPUTED_VALUE"""),68.0)</f>
        <v>68</v>
      </c>
      <c r="F5616" s="19" t="str">
        <f>IFERROR(__xludf.DUMMYFUNCTION("""COMPUTED_VALUE"""),"BLACK")</f>
        <v>BLACK</v>
      </c>
      <c r="G5616" s="20" t="str">
        <f>IFERROR(__xludf.DUMMYFUNCTION("""COMPUTED_VALUE"""),"Uncle Sams Cider (04/04/2023)")</f>
        <v>Uncle Sams Cider (04/04/2023)</v>
      </c>
      <c r="H5616" s="19"/>
    </row>
    <row r="5617">
      <c r="A5617" s="9"/>
      <c r="B5617" s="15"/>
      <c r="C5617" s="9">
        <f>IFERROR(__xludf.DUMMYFUNCTION("""COMPUTED_VALUE"""),45085.7008049189)</f>
        <v>45085.7008</v>
      </c>
      <c r="D5617" s="15">
        <f>IFERROR(__xludf.DUMMYFUNCTION("""COMPUTED_VALUE"""),1.007)</f>
        <v>1.007</v>
      </c>
      <c r="E5617" s="16">
        <f>IFERROR(__xludf.DUMMYFUNCTION("""COMPUTED_VALUE"""),68.0)</f>
        <v>68</v>
      </c>
      <c r="F5617" s="19" t="str">
        <f>IFERROR(__xludf.DUMMYFUNCTION("""COMPUTED_VALUE"""),"BLACK")</f>
        <v>BLACK</v>
      </c>
      <c r="G5617" s="20" t="str">
        <f>IFERROR(__xludf.DUMMYFUNCTION("""COMPUTED_VALUE"""),"Uncle Sams Cider (04/04/2023)")</f>
        <v>Uncle Sams Cider (04/04/2023)</v>
      </c>
      <c r="H5617" s="19"/>
    </row>
    <row r="5618">
      <c r="A5618" s="9"/>
      <c r="B5618" s="15"/>
      <c r="C5618" s="9">
        <f>IFERROR(__xludf.DUMMYFUNCTION("""COMPUTED_VALUE"""),45085.6903843865)</f>
        <v>45085.69038</v>
      </c>
      <c r="D5618" s="15">
        <f>IFERROR(__xludf.DUMMYFUNCTION("""COMPUTED_VALUE"""),1.007)</f>
        <v>1.007</v>
      </c>
      <c r="E5618" s="16">
        <f>IFERROR(__xludf.DUMMYFUNCTION("""COMPUTED_VALUE"""),68.0)</f>
        <v>68</v>
      </c>
      <c r="F5618" s="19" t="str">
        <f>IFERROR(__xludf.DUMMYFUNCTION("""COMPUTED_VALUE"""),"BLACK")</f>
        <v>BLACK</v>
      </c>
      <c r="G5618" s="20" t="str">
        <f>IFERROR(__xludf.DUMMYFUNCTION("""COMPUTED_VALUE"""),"Uncle Sams Cider (04/04/2023)")</f>
        <v>Uncle Sams Cider (04/04/2023)</v>
      </c>
      <c r="H5618" s="19"/>
    </row>
    <row r="5619">
      <c r="A5619" s="9"/>
      <c r="B5619" s="15"/>
      <c r="C5619" s="9">
        <f>IFERROR(__xludf.DUMMYFUNCTION("""COMPUTED_VALUE"""),45085.6799631828)</f>
        <v>45085.67996</v>
      </c>
      <c r="D5619" s="15">
        <f>IFERROR(__xludf.DUMMYFUNCTION("""COMPUTED_VALUE"""),1.007)</f>
        <v>1.007</v>
      </c>
      <c r="E5619" s="16">
        <f>IFERROR(__xludf.DUMMYFUNCTION("""COMPUTED_VALUE"""),68.0)</f>
        <v>68</v>
      </c>
      <c r="F5619" s="19" t="str">
        <f>IFERROR(__xludf.DUMMYFUNCTION("""COMPUTED_VALUE"""),"BLACK")</f>
        <v>BLACK</v>
      </c>
      <c r="G5619" s="20" t="str">
        <f>IFERROR(__xludf.DUMMYFUNCTION("""COMPUTED_VALUE"""),"Uncle Sams Cider (04/04/2023)")</f>
        <v>Uncle Sams Cider (04/04/2023)</v>
      </c>
      <c r="H5619" s="19"/>
    </row>
    <row r="5620">
      <c r="A5620" s="9"/>
      <c r="B5620" s="15"/>
      <c r="C5620" s="9">
        <f>IFERROR(__xludf.DUMMYFUNCTION("""COMPUTED_VALUE"""),45085.66954)</f>
        <v>45085.66954</v>
      </c>
      <c r="D5620" s="15">
        <f>IFERROR(__xludf.DUMMYFUNCTION("""COMPUTED_VALUE"""),1.007)</f>
        <v>1.007</v>
      </c>
      <c r="E5620" s="16">
        <f>IFERROR(__xludf.DUMMYFUNCTION("""COMPUTED_VALUE"""),68.0)</f>
        <v>68</v>
      </c>
      <c r="F5620" s="19" t="str">
        <f>IFERROR(__xludf.DUMMYFUNCTION("""COMPUTED_VALUE"""),"BLACK")</f>
        <v>BLACK</v>
      </c>
      <c r="G5620" s="20" t="str">
        <f>IFERROR(__xludf.DUMMYFUNCTION("""COMPUTED_VALUE"""),"Uncle Sams Cider (04/04/2023)")</f>
        <v>Uncle Sams Cider (04/04/2023)</v>
      </c>
      <c r="H5620" s="19"/>
    </row>
    <row r="5621">
      <c r="A5621" s="9"/>
      <c r="B5621" s="15"/>
      <c r="C5621" s="9">
        <f>IFERROR(__xludf.DUMMYFUNCTION("""COMPUTED_VALUE"""),45085.6591194791)</f>
        <v>45085.65912</v>
      </c>
      <c r="D5621" s="15">
        <f>IFERROR(__xludf.DUMMYFUNCTION("""COMPUTED_VALUE"""),1.007)</f>
        <v>1.007</v>
      </c>
      <c r="E5621" s="16">
        <f>IFERROR(__xludf.DUMMYFUNCTION("""COMPUTED_VALUE"""),68.0)</f>
        <v>68</v>
      </c>
      <c r="F5621" s="19" t="str">
        <f>IFERROR(__xludf.DUMMYFUNCTION("""COMPUTED_VALUE"""),"BLACK")</f>
        <v>BLACK</v>
      </c>
      <c r="G5621" s="20" t="str">
        <f>IFERROR(__xludf.DUMMYFUNCTION("""COMPUTED_VALUE"""),"Uncle Sams Cider (04/04/2023)")</f>
        <v>Uncle Sams Cider (04/04/2023)</v>
      </c>
      <c r="H5621" s="19"/>
    </row>
    <row r="5622">
      <c r="A5622" s="9"/>
      <c r="B5622" s="15"/>
      <c r="C5622" s="9">
        <f>IFERROR(__xludf.DUMMYFUNCTION("""COMPUTED_VALUE"""),45085.6486981597)</f>
        <v>45085.6487</v>
      </c>
      <c r="D5622" s="15">
        <f>IFERROR(__xludf.DUMMYFUNCTION("""COMPUTED_VALUE"""),1.008)</f>
        <v>1.008</v>
      </c>
      <c r="E5622" s="16">
        <f>IFERROR(__xludf.DUMMYFUNCTION("""COMPUTED_VALUE"""),68.0)</f>
        <v>68</v>
      </c>
      <c r="F5622" s="19" t="str">
        <f>IFERROR(__xludf.DUMMYFUNCTION("""COMPUTED_VALUE"""),"BLACK")</f>
        <v>BLACK</v>
      </c>
      <c r="G5622" s="20" t="str">
        <f>IFERROR(__xludf.DUMMYFUNCTION("""COMPUTED_VALUE"""),"Uncle Sams Cider (04/04/2023)")</f>
        <v>Uncle Sams Cider (04/04/2023)</v>
      </c>
      <c r="H5622" s="19"/>
    </row>
    <row r="5623">
      <c r="A5623" s="9"/>
      <c r="B5623" s="15"/>
      <c r="C5623" s="9">
        <f>IFERROR(__xludf.DUMMYFUNCTION("""COMPUTED_VALUE"""),45085.6382779513)</f>
        <v>45085.63828</v>
      </c>
      <c r="D5623" s="15">
        <f>IFERROR(__xludf.DUMMYFUNCTION("""COMPUTED_VALUE"""),1.007)</f>
        <v>1.007</v>
      </c>
      <c r="E5623" s="16">
        <f>IFERROR(__xludf.DUMMYFUNCTION("""COMPUTED_VALUE"""),68.0)</f>
        <v>68</v>
      </c>
      <c r="F5623" s="19" t="str">
        <f>IFERROR(__xludf.DUMMYFUNCTION("""COMPUTED_VALUE"""),"BLACK")</f>
        <v>BLACK</v>
      </c>
      <c r="G5623" s="20" t="str">
        <f>IFERROR(__xludf.DUMMYFUNCTION("""COMPUTED_VALUE"""),"Uncle Sams Cider (04/04/2023)")</f>
        <v>Uncle Sams Cider (04/04/2023)</v>
      </c>
      <c r="H5623" s="19"/>
    </row>
    <row r="5624">
      <c r="A5624" s="9"/>
      <c r="B5624" s="15"/>
      <c r="C5624" s="9">
        <f>IFERROR(__xludf.DUMMYFUNCTION("""COMPUTED_VALUE"""),45085.627846655)</f>
        <v>45085.62785</v>
      </c>
      <c r="D5624" s="15">
        <f>IFERROR(__xludf.DUMMYFUNCTION("""COMPUTED_VALUE"""),1.007)</f>
        <v>1.007</v>
      </c>
      <c r="E5624" s="16">
        <f>IFERROR(__xludf.DUMMYFUNCTION("""COMPUTED_VALUE"""),68.0)</f>
        <v>68</v>
      </c>
      <c r="F5624" s="19" t="str">
        <f>IFERROR(__xludf.DUMMYFUNCTION("""COMPUTED_VALUE"""),"BLACK")</f>
        <v>BLACK</v>
      </c>
      <c r="G5624" s="20" t="str">
        <f>IFERROR(__xludf.DUMMYFUNCTION("""COMPUTED_VALUE"""),"Uncle Sams Cider (04/04/2023)")</f>
        <v>Uncle Sams Cider (04/04/2023)</v>
      </c>
      <c r="H5624" s="19"/>
    </row>
    <row r="5625">
      <c r="A5625" s="9"/>
      <c r="B5625" s="15"/>
      <c r="C5625" s="9">
        <f>IFERROR(__xludf.DUMMYFUNCTION("""COMPUTED_VALUE"""),45085.6174251736)</f>
        <v>45085.61743</v>
      </c>
      <c r="D5625" s="15">
        <f>IFERROR(__xludf.DUMMYFUNCTION("""COMPUTED_VALUE"""),1.007)</f>
        <v>1.007</v>
      </c>
      <c r="E5625" s="16">
        <f>IFERROR(__xludf.DUMMYFUNCTION("""COMPUTED_VALUE"""),68.0)</f>
        <v>68</v>
      </c>
      <c r="F5625" s="19" t="str">
        <f>IFERROR(__xludf.DUMMYFUNCTION("""COMPUTED_VALUE"""),"BLACK")</f>
        <v>BLACK</v>
      </c>
      <c r="G5625" s="20" t="str">
        <f>IFERROR(__xludf.DUMMYFUNCTION("""COMPUTED_VALUE"""),"Uncle Sams Cider (04/04/2023)")</f>
        <v>Uncle Sams Cider (04/04/2023)</v>
      </c>
      <c r="H5625" s="19"/>
    </row>
    <row r="5626">
      <c r="A5626" s="9"/>
      <c r="B5626" s="15"/>
      <c r="C5626" s="9">
        <f>IFERROR(__xludf.DUMMYFUNCTION("""COMPUTED_VALUE"""),45085.6069924768)</f>
        <v>45085.60699</v>
      </c>
      <c r="D5626" s="15">
        <f>IFERROR(__xludf.DUMMYFUNCTION("""COMPUTED_VALUE"""),1.007)</f>
        <v>1.007</v>
      </c>
      <c r="E5626" s="16">
        <f>IFERROR(__xludf.DUMMYFUNCTION("""COMPUTED_VALUE"""),68.0)</f>
        <v>68</v>
      </c>
      <c r="F5626" s="19" t="str">
        <f>IFERROR(__xludf.DUMMYFUNCTION("""COMPUTED_VALUE"""),"BLACK")</f>
        <v>BLACK</v>
      </c>
      <c r="G5626" s="20" t="str">
        <f>IFERROR(__xludf.DUMMYFUNCTION("""COMPUTED_VALUE"""),"Uncle Sams Cider (04/04/2023)")</f>
        <v>Uncle Sams Cider (04/04/2023)</v>
      </c>
      <c r="H5626" s="19"/>
    </row>
    <row r="5627">
      <c r="A5627" s="9"/>
      <c r="B5627" s="15"/>
      <c r="C5627" s="9">
        <f>IFERROR(__xludf.DUMMYFUNCTION("""COMPUTED_VALUE"""),45085.5965710532)</f>
        <v>45085.59657</v>
      </c>
      <c r="D5627" s="15">
        <f>IFERROR(__xludf.DUMMYFUNCTION("""COMPUTED_VALUE"""),1.007)</f>
        <v>1.007</v>
      </c>
      <c r="E5627" s="16">
        <f>IFERROR(__xludf.DUMMYFUNCTION("""COMPUTED_VALUE"""),68.0)</f>
        <v>68</v>
      </c>
      <c r="F5627" s="19" t="str">
        <f>IFERROR(__xludf.DUMMYFUNCTION("""COMPUTED_VALUE"""),"BLACK")</f>
        <v>BLACK</v>
      </c>
      <c r="G5627" s="20" t="str">
        <f>IFERROR(__xludf.DUMMYFUNCTION("""COMPUTED_VALUE"""),"Uncle Sams Cider (04/04/2023)")</f>
        <v>Uncle Sams Cider (04/04/2023)</v>
      </c>
      <c r="H5627" s="19"/>
    </row>
    <row r="5628">
      <c r="A5628" s="9"/>
      <c r="B5628" s="15"/>
      <c r="C5628" s="9">
        <f>IFERROR(__xludf.DUMMYFUNCTION("""COMPUTED_VALUE"""),45085.5861253703)</f>
        <v>45085.58613</v>
      </c>
      <c r="D5628" s="15">
        <f>IFERROR(__xludf.DUMMYFUNCTION("""COMPUTED_VALUE"""),1.008)</f>
        <v>1.008</v>
      </c>
      <c r="E5628" s="16">
        <f>IFERROR(__xludf.DUMMYFUNCTION("""COMPUTED_VALUE"""),68.0)</f>
        <v>68</v>
      </c>
      <c r="F5628" s="19" t="str">
        <f>IFERROR(__xludf.DUMMYFUNCTION("""COMPUTED_VALUE"""),"BLACK")</f>
        <v>BLACK</v>
      </c>
      <c r="G5628" s="20" t="str">
        <f>IFERROR(__xludf.DUMMYFUNCTION("""COMPUTED_VALUE"""),"Uncle Sams Cider (04/04/2023)")</f>
        <v>Uncle Sams Cider (04/04/2023)</v>
      </c>
      <c r="H5628" s="19"/>
    </row>
    <row r="5629">
      <c r="A5629" s="9"/>
      <c r="B5629" s="15"/>
      <c r="C5629" s="9">
        <f>IFERROR(__xludf.DUMMYFUNCTION("""COMPUTED_VALUE"""),45085.5757028356)</f>
        <v>45085.5757</v>
      </c>
      <c r="D5629" s="15">
        <f>IFERROR(__xludf.DUMMYFUNCTION("""COMPUTED_VALUE"""),1.007)</f>
        <v>1.007</v>
      </c>
      <c r="E5629" s="16">
        <f>IFERROR(__xludf.DUMMYFUNCTION("""COMPUTED_VALUE"""),68.0)</f>
        <v>68</v>
      </c>
      <c r="F5629" s="19" t="str">
        <f>IFERROR(__xludf.DUMMYFUNCTION("""COMPUTED_VALUE"""),"BLACK")</f>
        <v>BLACK</v>
      </c>
      <c r="G5629" s="20" t="str">
        <f>IFERROR(__xludf.DUMMYFUNCTION("""COMPUTED_VALUE"""),"Uncle Sams Cider (04/04/2023)")</f>
        <v>Uncle Sams Cider (04/04/2023)</v>
      </c>
      <c r="H5629" s="19"/>
    </row>
    <row r="5630">
      <c r="A5630" s="9"/>
      <c r="B5630" s="15"/>
      <c r="C5630" s="9">
        <f>IFERROR(__xludf.DUMMYFUNCTION("""COMPUTED_VALUE"""),45085.5652710532)</f>
        <v>45085.56527</v>
      </c>
      <c r="D5630" s="15">
        <f>IFERROR(__xludf.DUMMYFUNCTION("""COMPUTED_VALUE"""),1.008)</f>
        <v>1.008</v>
      </c>
      <c r="E5630" s="16">
        <f>IFERROR(__xludf.DUMMYFUNCTION("""COMPUTED_VALUE"""),68.0)</f>
        <v>68</v>
      </c>
      <c r="F5630" s="19" t="str">
        <f>IFERROR(__xludf.DUMMYFUNCTION("""COMPUTED_VALUE"""),"BLACK")</f>
        <v>BLACK</v>
      </c>
      <c r="G5630" s="20" t="str">
        <f>IFERROR(__xludf.DUMMYFUNCTION("""COMPUTED_VALUE"""),"Uncle Sams Cider (04/04/2023)")</f>
        <v>Uncle Sams Cider (04/04/2023)</v>
      </c>
      <c r="H5630" s="19"/>
    </row>
    <row r="5631">
      <c r="A5631" s="9"/>
      <c r="B5631" s="15"/>
      <c r="C5631" s="9">
        <f>IFERROR(__xludf.DUMMYFUNCTION("""COMPUTED_VALUE"""),45085.5548388773)</f>
        <v>45085.55484</v>
      </c>
      <c r="D5631" s="15">
        <f>IFERROR(__xludf.DUMMYFUNCTION("""COMPUTED_VALUE"""),1.007)</f>
        <v>1.007</v>
      </c>
      <c r="E5631" s="16">
        <f>IFERROR(__xludf.DUMMYFUNCTION("""COMPUTED_VALUE"""),68.0)</f>
        <v>68</v>
      </c>
      <c r="F5631" s="19" t="str">
        <f>IFERROR(__xludf.DUMMYFUNCTION("""COMPUTED_VALUE"""),"BLACK")</f>
        <v>BLACK</v>
      </c>
      <c r="G5631" s="20" t="str">
        <f>IFERROR(__xludf.DUMMYFUNCTION("""COMPUTED_VALUE"""),"Uncle Sams Cider (04/04/2023)")</f>
        <v>Uncle Sams Cider (04/04/2023)</v>
      </c>
      <c r="H5631" s="19"/>
    </row>
    <row r="5632">
      <c r="A5632" s="9"/>
      <c r="B5632" s="15"/>
      <c r="C5632" s="9">
        <f>IFERROR(__xludf.DUMMYFUNCTION("""COMPUTED_VALUE"""),45085.544418287)</f>
        <v>45085.54442</v>
      </c>
      <c r="D5632" s="15">
        <f>IFERROR(__xludf.DUMMYFUNCTION("""COMPUTED_VALUE"""),1.008)</f>
        <v>1.008</v>
      </c>
      <c r="E5632" s="16">
        <f>IFERROR(__xludf.DUMMYFUNCTION("""COMPUTED_VALUE"""),68.0)</f>
        <v>68</v>
      </c>
      <c r="F5632" s="19" t="str">
        <f>IFERROR(__xludf.DUMMYFUNCTION("""COMPUTED_VALUE"""),"BLACK")</f>
        <v>BLACK</v>
      </c>
      <c r="G5632" s="20" t="str">
        <f>IFERROR(__xludf.DUMMYFUNCTION("""COMPUTED_VALUE"""),"Uncle Sams Cider (04/04/2023)")</f>
        <v>Uncle Sams Cider (04/04/2023)</v>
      </c>
      <c r="H5632" s="19"/>
    </row>
    <row r="5633">
      <c r="A5633" s="9"/>
      <c r="B5633" s="15"/>
      <c r="C5633" s="9">
        <f>IFERROR(__xludf.DUMMYFUNCTION("""COMPUTED_VALUE"""),45085.5339980555)</f>
        <v>45085.534</v>
      </c>
      <c r="D5633" s="15">
        <f>IFERROR(__xludf.DUMMYFUNCTION("""COMPUTED_VALUE"""),1.007)</f>
        <v>1.007</v>
      </c>
      <c r="E5633" s="16">
        <f>IFERROR(__xludf.DUMMYFUNCTION("""COMPUTED_VALUE"""),68.0)</f>
        <v>68</v>
      </c>
      <c r="F5633" s="19" t="str">
        <f>IFERROR(__xludf.DUMMYFUNCTION("""COMPUTED_VALUE"""),"BLACK")</f>
        <v>BLACK</v>
      </c>
      <c r="G5633" s="20" t="str">
        <f>IFERROR(__xludf.DUMMYFUNCTION("""COMPUTED_VALUE"""),"Uncle Sams Cider (04/04/2023)")</f>
        <v>Uncle Sams Cider (04/04/2023)</v>
      </c>
      <c r="H5633" s="19"/>
    </row>
    <row r="5634">
      <c r="A5634" s="9"/>
      <c r="B5634" s="15"/>
      <c r="C5634" s="9">
        <f>IFERROR(__xludf.DUMMYFUNCTION("""COMPUTED_VALUE"""),45085.5235639236)</f>
        <v>45085.52356</v>
      </c>
      <c r="D5634" s="15">
        <f>IFERROR(__xludf.DUMMYFUNCTION("""COMPUTED_VALUE"""),1.007)</f>
        <v>1.007</v>
      </c>
      <c r="E5634" s="16">
        <f>IFERROR(__xludf.DUMMYFUNCTION("""COMPUTED_VALUE"""),68.0)</f>
        <v>68</v>
      </c>
      <c r="F5634" s="19" t="str">
        <f>IFERROR(__xludf.DUMMYFUNCTION("""COMPUTED_VALUE"""),"BLACK")</f>
        <v>BLACK</v>
      </c>
      <c r="G5634" s="20" t="str">
        <f>IFERROR(__xludf.DUMMYFUNCTION("""COMPUTED_VALUE"""),"Uncle Sams Cider (04/04/2023)")</f>
        <v>Uncle Sams Cider (04/04/2023)</v>
      </c>
      <c r="H5634" s="19"/>
    </row>
    <row r="5635">
      <c r="A5635" s="9"/>
      <c r="B5635" s="15"/>
      <c r="C5635" s="9">
        <f>IFERROR(__xludf.DUMMYFUNCTION("""COMPUTED_VALUE"""),45085.51313)</f>
        <v>45085.51313</v>
      </c>
      <c r="D5635" s="15">
        <f>IFERROR(__xludf.DUMMYFUNCTION("""COMPUTED_VALUE"""),1.007)</f>
        <v>1.007</v>
      </c>
      <c r="E5635" s="16">
        <f>IFERROR(__xludf.DUMMYFUNCTION("""COMPUTED_VALUE"""),68.0)</f>
        <v>68</v>
      </c>
      <c r="F5635" s="19" t="str">
        <f>IFERROR(__xludf.DUMMYFUNCTION("""COMPUTED_VALUE"""),"BLACK")</f>
        <v>BLACK</v>
      </c>
      <c r="G5635" s="20" t="str">
        <f>IFERROR(__xludf.DUMMYFUNCTION("""COMPUTED_VALUE"""),"Uncle Sams Cider (04/04/2023)")</f>
        <v>Uncle Sams Cider (04/04/2023)</v>
      </c>
      <c r="H5635" s="19"/>
    </row>
    <row r="5636">
      <c r="A5636" s="9"/>
      <c r="B5636" s="15"/>
      <c r="C5636" s="9">
        <f>IFERROR(__xludf.DUMMYFUNCTION("""COMPUTED_VALUE"""),45085.5026958101)</f>
        <v>45085.5027</v>
      </c>
      <c r="D5636" s="15">
        <f>IFERROR(__xludf.DUMMYFUNCTION("""COMPUTED_VALUE"""),1.007)</f>
        <v>1.007</v>
      </c>
      <c r="E5636" s="16">
        <f>IFERROR(__xludf.DUMMYFUNCTION("""COMPUTED_VALUE"""),68.0)</f>
        <v>68</v>
      </c>
      <c r="F5636" s="19" t="str">
        <f>IFERROR(__xludf.DUMMYFUNCTION("""COMPUTED_VALUE"""),"BLACK")</f>
        <v>BLACK</v>
      </c>
      <c r="G5636" s="20" t="str">
        <f>IFERROR(__xludf.DUMMYFUNCTION("""COMPUTED_VALUE"""),"Uncle Sams Cider (04/04/2023)")</f>
        <v>Uncle Sams Cider (04/04/2023)</v>
      </c>
      <c r="H5636" s="19"/>
    </row>
    <row r="5637">
      <c r="A5637" s="9"/>
      <c r="B5637" s="15"/>
      <c r="C5637" s="9">
        <f>IFERROR(__xludf.DUMMYFUNCTION("""COMPUTED_VALUE"""),45085.4922518402)</f>
        <v>45085.49225</v>
      </c>
      <c r="D5637" s="15">
        <f>IFERROR(__xludf.DUMMYFUNCTION("""COMPUTED_VALUE"""),1.008)</f>
        <v>1.008</v>
      </c>
      <c r="E5637" s="16">
        <f>IFERROR(__xludf.DUMMYFUNCTION("""COMPUTED_VALUE"""),68.0)</f>
        <v>68</v>
      </c>
      <c r="F5637" s="19" t="str">
        <f>IFERROR(__xludf.DUMMYFUNCTION("""COMPUTED_VALUE"""),"BLACK")</f>
        <v>BLACK</v>
      </c>
      <c r="G5637" s="20" t="str">
        <f>IFERROR(__xludf.DUMMYFUNCTION("""COMPUTED_VALUE"""),"Uncle Sams Cider (04/04/2023)")</f>
        <v>Uncle Sams Cider (04/04/2023)</v>
      </c>
      <c r="H5637" s="19"/>
    </row>
    <row r="5638">
      <c r="A5638" s="9"/>
      <c r="B5638" s="15"/>
      <c r="C5638" s="9">
        <f>IFERROR(__xludf.DUMMYFUNCTION("""COMPUTED_VALUE"""),45085.48181728)</f>
        <v>45085.48182</v>
      </c>
      <c r="D5638" s="15">
        <f>IFERROR(__xludf.DUMMYFUNCTION("""COMPUTED_VALUE"""),1.007)</f>
        <v>1.007</v>
      </c>
      <c r="E5638" s="16">
        <f>IFERROR(__xludf.DUMMYFUNCTION("""COMPUTED_VALUE"""),68.0)</f>
        <v>68</v>
      </c>
      <c r="F5638" s="19" t="str">
        <f>IFERROR(__xludf.DUMMYFUNCTION("""COMPUTED_VALUE"""),"BLACK")</f>
        <v>BLACK</v>
      </c>
      <c r="G5638" s="20" t="str">
        <f>IFERROR(__xludf.DUMMYFUNCTION("""COMPUTED_VALUE"""),"Uncle Sams Cider (04/04/2023)")</f>
        <v>Uncle Sams Cider (04/04/2023)</v>
      </c>
      <c r="H5638" s="19"/>
    </row>
    <row r="5639">
      <c r="A5639" s="9"/>
      <c r="B5639" s="15"/>
      <c r="C5639" s="9">
        <f>IFERROR(__xludf.DUMMYFUNCTION("""COMPUTED_VALUE"""),45085.4713952199)</f>
        <v>45085.4714</v>
      </c>
      <c r="D5639" s="15">
        <f>IFERROR(__xludf.DUMMYFUNCTION("""COMPUTED_VALUE"""),1.007)</f>
        <v>1.007</v>
      </c>
      <c r="E5639" s="16">
        <f>IFERROR(__xludf.DUMMYFUNCTION("""COMPUTED_VALUE"""),68.0)</f>
        <v>68</v>
      </c>
      <c r="F5639" s="19" t="str">
        <f>IFERROR(__xludf.DUMMYFUNCTION("""COMPUTED_VALUE"""),"BLACK")</f>
        <v>BLACK</v>
      </c>
      <c r="G5639" s="20" t="str">
        <f>IFERROR(__xludf.DUMMYFUNCTION("""COMPUTED_VALUE"""),"Uncle Sams Cider (04/04/2023)")</f>
        <v>Uncle Sams Cider (04/04/2023)</v>
      </c>
      <c r="H5639" s="19"/>
    </row>
    <row r="5640">
      <c r="A5640" s="9"/>
      <c r="B5640" s="15"/>
      <c r="C5640" s="9">
        <f>IFERROR(__xludf.DUMMYFUNCTION("""COMPUTED_VALUE"""),45085.4609733796)</f>
        <v>45085.46097</v>
      </c>
      <c r="D5640" s="15">
        <f>IFERROR(__xludf.DUMMYFUNCTION("""COMPUTED_VALUE"""),1.007)</f>
        <v>1.007</v>
      </c>
      <c r="E5640" s="16">
        <f>IFERROR(__xludf.DUMMYFUNCTION("""COMPUTED_VALUE"""),68.0)</f>
        <v>68</v>
      </c>
      <c r="F5640" s="19" t="str">
        <f>IFERROR(__xludf.DUMMYFUNCTION("""COMPUTED_VALUE"""),"BLACK")</f>
        <v>BLACK</v>
      </c>
      <c r="G5640" s="20" t="str">
        <f>IFERROR(__xludf.DUMMYFUNCTION("""COMPUTED_VALUE"""),"Uncle Sams Cider (04/04/2023)")</f>
        <v>Uncle Sams Cider (04/04/2023)</v>
      </c>
      <c r="H5640" s="19"/>
    </row>
    <row r="5641">
      <c r="A5641" s="9"/>
      <c r="B5641" s="15"/>
      <c r="C5641" s="9">
        <f>IFERROR(__xludf.DUMMYFUNCTION("""COMPUTED_VALUE"""),45085.4505514583)</f>
        <v>45085.45055</v>
      </c>
      <c r="D5641" s="15">
        <f>IFERROR(__xludf.DUMMYFUNCTION("""COMPUTED_VALUE"""),1.007)</f>
        <v>1.007</v>
      </c>
      <c r="E5641" s="16">
        <f>IFERROR(__xludf.DUMMYFUNCTION("""COMPUTED_VALUE"""),68.0)</f>
        <v>68</v>
      </c>
      <c r="F5641" s="19" t="str">
        <f>IFERROR(__xludf.DUMMYFUNCTION("""COMPUTED_VALUE"""),"BLACK")</f>
        <v>BLACK</v>
      </c>
      <c r="G5641" s="20" t="str">
        <f>IFERROR(__xludf.DUMMYFUNCTION("""COMPUTED_VALUE"""),"Uncle Sams Cider (04/04/2023)")</f>
        <v>Uncle Sams Cider (04/04/2023)</v>
      </c>
      <c r="H5641" s="19"/>
    </row>
    <row r="5642">
      <c r="A5642" s="9"/>
      <c r="B5642" s="15"/>
      <c r="C5642" s="9">
        <f>IFERROR(__xludf.DUMMYFUNCTION("""COMPUTED_VALUE"""),45085.4400955324)</f>
        <v>45085.4401</v>
      </c>
      <c r="D5642" s="15">
        <f>IFERROR(__xludf.DUMMYFUNCTION("""COMPUTED_VALUE"""),1.008)</f>
        <v>1.008</v>
      </c>
      <c r="E5642" s="16">
        <f>IFERROR(__xludf.DUMMYFUNCTION("""COMPUTED_VALUE"""),68.0)</f>
        <v>68</v>
      </c>
      <c r="F5642" s="19" t="str">
        <f>IFERROR(__xludf.DUMMYFUNCTION("""COMPUTED_VALUE"""),"BLACK")</f>
        <v>BLACK</v>
      </c>
      <c r="G5642" s="20" t="str">
        <f>IFERROR(__xludf.DUMMYFUNCTION("""COMPUTED_VALUE"""),"Uncle Sams Cider (04/04/2023)")</f>
        <v>Uncle Sams Cider (04/04/2023)</v>
      </c>
      <c r="H5642" s="19"/>
    </row>
    <row r="5643">
      <c r="A5643" s="9"/>
      <c r="B5643" s="15"/>
      <c r="C5643" s="9">
        <f>IFERROR(__xludf.DUMMYFUNCTION("""COMPUTED_VALUE"""),45085.4296518865)</f>
        <v>45085.42965</v>
      </c>
      <c r="D5643" s="15">
        <f>IFERROR(__xludf.DUMMYFUNCTION("""COMPUTED_VALUE"""),1.008)</f>
        <v>1.008</v>
      </c>
      <c r="E5643" s="16">
        <f>IFERROR(__xludf.DUMMYFUNCTION("""COMPUTED_VALUE"""),68.0)</f>
        <v>68</v>
      </c>
      <c r="F5643" s="19" t="str">
        <f>IFERROR(__xludf.DUMMYFUNCTION("""COMPUTED_VALUE"""),"BLACK")</f>
        <v>BLACK</v>
      </c>
      <c r="G5643" s="20" t="str">
        <f>IFERROR(__xludf.DUMMYFUNCTION("""COMPUTED_VALUE"""),"Uncle Sams Cider (04/04/2023)")</f>
        <v>Uncle Sams Cider (04/04/2023)</v>
      </c>
      <c r="H5643" s="19"/>
    </row>
    <row r="5644">
      <c r="A5644" s="9"/>
      <c r="B5644" s="15"/>
      <c r="C5644" s="9">
        <f>IFERROR(__xludf.DUMMYFUNCTION("""COMPUTED_VALUE"""),45085.4192190393)</f>
        <v>45085.41922</v>
      </c>
      <c r="D5644" s="15">
        <f>IFERROR(__xludf.DUMMYFUNCTION("""COMPUTED_VALUE"""),1.007)</f>
        <v>1.007</v>
      </c>
      <c r="E5644" s="16">
        <f>IFERROR(__xludf.DUMMYFUNCTION("""COMPUTED_VALUE"""),68.0)</f>
        <v>68</v>
      </c>
      <c r="F5644" s="19" t="str">
        <f>IFERROR(__xludf.DUMMYFUNCTION("""COMPUTED_VALUE"""),"BLACK")</f>
        <v>BLACK</v>
      </c>
      <c r="G5644" s="20" t="str">
        <f>IFERROR(__xludf.DUMMYFUNCTION("""COMPUTED_VALUE"""),"Uncle Sams Cider (04/04/2023)")</f>
        <v>Uncle Sams Cider (04/04/2023)</v>
      </c>
      <c r="H5644" s="19"/>
    </row>
    <row r="5645">
      <c r="A5645" s="9"/>
      <c r="B5645" s="15"/>
      <c r="C5645" s="9">
        <f>IFERROR(__xludf.DUMMYFUNCTION("""COMPUTED_VALUE"""),45085.4087859606)</f>
        <v>45085.40879</v>
      </c>
      <c r="D5645" s="15">
        <f>IFERROR(__xludf.DUMMYFUNCTION("""COMPUTED_VALUE"""),1.008)</f>
        <v>1.008</v>
      </c>
      <c r="E5645" s="16">
        <f>IFERROR(__xludf.DUMMYFUNCTION("""COMPUTED_VALUE"""),68.0)</f>
        <v>68</v>
      </c>
      <c r="F5645" s="19" t="str">
        <f>IFERROR(__xludf.DUMMYFUNCTION("""COMPUTED_VALUE"""),"BLACK")</f>
        <v>BLACK</v>
      </c>
      <c r="G5645" s="20" t="str">
        <f>IFERROR(__xludf.DUMMYFUNCTION("""COMPUTED_VALUE"""),"Uncle Sams Cider (04/04/2023)")</f>
        <v>Uncle Sams Cider (04/04/2023)</v>
      </c>
      <c r="H5645" s="19"/>
    </row>
    <row r="5646">
      <c r="A5646" s="9"/>
      <c r="B5646" s="15"/>
      <c r="C5646" s="9">
        <f>IFERROR(__xludf.DUMMYFUNCTION("""COMPUTED_VALUE"""),45085.3983536342)</f>
        <v>45085.39835</v>
      </c>
      <c r="D5646" s="15">
        <f>IFERROR(__xludf.DUMMYFUNCTION("""COMPUTED_VALUE"""),1.007)</f>
        <v>1.007</v>
      </c>
      <c r="E5646" s="16">
        <f>IFERROR(__xludf.DUMMYFUNCTION("""COMPUTED_VALUE"""),68.0)</f>
        <v>68</v>
      </c>
      <c r="F5646" s="19" t="str">
        <f>IFERROR(__xludf.DUMMYFUNCTION("""COMPUTED_VALUE"""),"BLACK")</f>
        <v>BLACK</v>
      </c>
      <c r="G5646" s="20" t="str">
        <f>IFERROR(__xludf.DUMMYFUNCTION("""COMPUTED_VALUE"""),"Uncle Sams Cider (04/04/2023)")</f>
        <v>Uncle Sams Cider (04/04/2023)</v>
      </c>
      <c r="H5646" s="19"/>
    </row>
    <row r="5647">
      <c r="A5647" s="9"/>
      <c r="B5647" s="15"/>
      <c r="C5647" s="9">
        <f>IFERROR(__xludf.DUMMYFUNCTION("""COMPUTED_VALUE"""),45085.3879195254)</f>
        <v>45085.38792</v>
      </c>
      <c r="D5647" s="15">
        <f>IFERROR(__xludf.DUMMYFUNCTION("""COMPUTED_VALUE"""),1.007)</f>
        <v>1.007</v>
      </c>
      <c r="E5647" s="16">
        <f>IFERROR(__xludf.DUMMYFUNCTION("""COMPUTED_VALUE"""),68.0)</f>
        <v>68</v>
      </c>
      <c r="F5647" s="19" t="str">
        <f>IFERROR(__xludf.DUMMYFUNCTION("""COMPUTED_VALUE"""),"BLACK")</f>
        <v>BLACK</v>
      </c>
      <c r="G5647" s="20" t="str">
        <f>IFERROR(__xludf.DUMMYFUNCTION("""COMPUTED_VALUE"""),"Uncle Sams Cider (04/04/2023)")</f>
        <v>Uncle Sams Cider (04/04/2023)</v>
      </c>
      <c r="H5647" s="19"/>
    </row>
    <row r="5648">
      <c r="A5648" s="9"/>
      <c r="B5648" s="15"/>
      <c r="C5648" s="9">
        <f>IFERROR(__xludf.DUMMYFUNCTION("""COMPUTED_VALUE"""),45085.3774871412)</f>
        <v>45085.37749</v>
      </c>
      <c r="D5648" s="15">
        <f>IFERROR(__xludf.DUMMYFUNCTION("""COMPUTED_VALUE"""),1.007)</f>
        <v>1.007</v>
      </c>
      <c r="E5648" s="16">
        <f>IFERROR(__xludf.DUMMYFUNCTION("""COMPUTED_VALUE"""),68.0)</f>
        <v>68</v>
      </c>
      <c r="F5648" s="19" t="str">
        <f>IFERROR(__xludf.DUMMYFUNCTION("""COMPUTED_VALUE"""),"BLACK")</f>
        <v>BLACK</v>
      </c>
      <c r="G5648" s="20" t="str">
        <f>IFERROR(__xludf.DUMMYFUNCTION("""COMPUTED_VALUE"""),"Uncle Sams Cider (04/04/2023)")</f>
        <v>Uncle Sams Cider (04/04/2023)</v>
      </c>
      <c r="H5648" s="19"/>
    </row>
    <row r="5649">
      <c r="A5649" s="9"/>
      <c r="B5649" s="15"/>
      <c r="C5649" s="9">
        <f>IFERROR(__xludf.DUMMYFUNCTION("""COMPUTED_VALUE"""),45085.3670662384)</f>
        <v>45085.36707</v>
      </c>
      <c r="D5649" s="15">
        <f>IFERROR(__xludf.DUMMYFUNCTION("""COMPUTED_VALUE"""),1.007)</f>
        <v>1.007</v>
      </c>
      <c r="E5649" s="16">
        <f>IFERROR(__xludf.DUMMYFUNCTION("""COMPUTED_VALUE"""),68.0)</f>
        <v>68</v>
      </c>
      <c r="F5649" s="19" t="str">
        <f>IFERROR(__xludf.DUMMYFUNCTION("""COMPUTED_VALUE"""),"BLACK")</f>
        <v>BLACK</v>
      </c>
      <c r="G5649" s="20" t="str">
        <f>IFERROR(__xludf.DUMMYFUNCTION("""COMPUTED_VALUE"""),"Uncle Sams Cider (04/04/2023)")</f>
        <v>Uncle Sams Cider (04/04/2023)</v>
      </c>
      <c r="H5649" s="19"/>
    </row>
    <row r="5650">
      <c r="A5650" s="9"/>
      <c r="B5650" s="15"/>
      <c r="C5650" s="9">
        <f>IFERROR(__xludf.DUMMYFUNCTION("""COMPUTED_VALUE"""),45085.3566444907)</f>
        <v>45085.35664</v>
      </c>
      <c r="D5650" s="15">
        <f>IFERROR(__xludf.DUMMYFUNCTION("""COMPUTED_VALUE"""),1.007)</f>
        <v>1.007</v>
      </c>
      <c r="E5650" s="16">
        <f>IFERROR(__xludf.DUMMYFUNCTION("""COMPUTED_VALUE"""),68.0)</f>
        <v>68</v>
      </c>
      <c r="F5650" s="19" t="str">
        <f>IFERROR(__xludf.DUMMYFUNCTION("""COMPUTED_VALUE"""),"BLACK")</f>
        <v>BLACK</v>
      </c>
      <c r="G5650" s="20" t="str">
        <f>IFERROR(__xludf.DUMMYFUNCTION("""COMPUTED_VALUE"""),"Uncle Sams Cider (04/04/2023)")</f>
        <v>Uncle Sams Cider (04/04/2023)</v>
      </c>
      <c r="H5650" s="19"/>
    </row>
    <row r="5651">
      <c r="A5651" s="9"/>
      <c r="B5651" s="15"/>
      <c r="C5651" s="9">
        <f>IFERROR(__xludf.DUMMYFUNCTION("""COMPUTED_VALUE"""),45085.3462133564)</f>
        <v>45085.34621</v>
      </c>
      <c r="D5651" s="15">
        <f>IFERROR(__xludf.DUMMYFUNCTION("""COMPUTED_VALUE"""),1.008)</f>
        <v>1.008</v>
      </c>
      <c r="E5651" s="16">
        <f>IFERROR(__xludf.DUMMYFUNCTION("""COMPUTED_VALUE"""),68.0)</f>
        <v>68</v>
      </c>
      <c r="F5651" s="19" t="str">
        <f>IFERROR(__xludf.DUMMYFUNCTION("""COMPUTED_VALUE"""),"BLACK")</f>
        <v>BLACK</v>
      </c>
      <c r="G5651" s="20" t="str">
        <f>IFERROR(__xludf.DUMMYFUNCTION("""COMPUTED_VALUE"""),"Uncle Sams Cider (04/04/2023)")</f>
        <v>Uncle Sams Cider (04/04/2023)</v>
      </c>
      <c r="H5651" s="19"/>
    </row>
    <row r="5652">
      <c r="A5652" s="9"/>
      <c r="B5652" s="15"/>
      <c r="C5652" s="9">
        <f>IFERROR(__xludf.DUMMYFUNCTION("""COMPUTED_VALUE"""),45085.3357785185)</f>
        <v>45085.33578</v>
      </c>
      <c r="D5652" s="15">
        <f>IFERROR(__xludf.DUMMYFUNCTION("""COMPUTED_VALUE"""),1.008)</f>
        <v>1.008</v>
      </c>
      <c r="E5652" s="16">
        <f>IFERROR(__xludf.DUMMYFUNCTION("""COMPUTED_VALUE"""),68.0)</f>
        <v>68</v>
      </c>
      <c r="F5652" s="19" t="str">
        <f>IFERROR(__xludf.DUMMYFUNCTION("""COMPUTED_VALUE"""),"BLACK")</f>
        <v>BLACK</v>
      </c>
      <c r="G5652" s="20" t="str">
        <f>IFERROR(__xludf.DUMMYFUNCTION("""COMPUTED_VALUE"""),"Uncle Sams Cider (04/04/2023)")</f>
        <v>Uncle Sams Cider (04/04/2023)</v>
      </c>
      <c r="H5652" s="19"/>
    </row>
    <row r="5653">
      <c r="A5653" s="9"/>
      <c r="B5653" s="15"/>
      <c r="C5653" s="9">
        <f>IFERROR(__xludf.DUMMYFUNCTION("""COMPUTED_VALUE"""),45085.3253470023)</f>
        <v>45085.32535</v>
      </c>
      <c r="D5653" s="15">
        <f>IFERROR(__xludf.DUMMYFUNCTION("""COMPUTED_VALUE"""),1.007)</f>
        <v>1.007</v>
      </c>
      <c r="E5653" s="16">
        <f>IFERROR(__xludf.DUMMYFUNCTION("""COMPUTED_VALUE"""),68.0)</f>
        <v>68</v>
      </c>
      <c r="F5653" s="19" t="str">
        <f>IFERROR(__xludf.DUMMYFUNCTION("""COMPUTED_VALUE"""),"BLACK")</f>
        <v>BLACK</v>
      </c>
      <c r="G5653" s="20" t="str">
        <f>IFERROR(__xludf.DUMMYFUNCTION("""COMPUTED_VALUE"""),"Uncle Sams Cider (04/04/2023)")</f>
        <v>Uncle Sams Cider (04/04/2023)</v>
      </c>
      <c r="H5653" s="19"/>
    </row>
    <row r="5654">
      <c r="A5654" s="9"/>
      <c r="B5654" s="15"/>
      <c r="C5654" s="9">
        <f>IFERROR(__xludf.DUMMYFUNCTION("""COMPUTED_VALUE"""),45085.3149151157)</f>
        <v>45085.31492</v>
      </c>
      <c r="D5654" s="15">
        <f>IFERROR(__xludf.DUMMYFUNCTION("""COMPUTED_VALUE"""),1.008)</f>
        <v>1.008</v>
      </c>
      <c r="E5654" s="16">
        <f>IFERROR(__xludf.DUMMYFUNCTION("""COMPUTED_VALUE"""),68.0)</f>
        <v>68</v>
      </c>
      <c r="F5654" s="19" t="str">
        <f>IFERROR(__xludf.DUMMYFUNCTION("""COMPUTED_VALUE"""),"BLACK")</f>
        <v>BLACK</v>
      </c>
      <c r="G5654" s="20" t="str">
        <f>IFERROR(__xludf.DUMMYFUNCTION("""COMPUTED_VALUE"""),"Uncle Sams Cider (04/04/2023)")</f>
        <v>Uncle Sams Cider (04/04/2023)</v>
      </c>
      <c r="H5654" s="19"/>
    </row>
    <row r="5655">
      <c r="A5655" s="9"/>
      <c r="B5655" s="15"/>
      <c r="C5655" s="9">
        <f>IFERROR(__xludf.DUMMYFUNCTION("""COMPUTED_VALUE"""),45085.3044933449)</f>
        <v>45085.30449</v>
      </c>
      <c r="D5655" s="15">
        <f>IFERROR(__xludf.DUMMYFUNCTION("""COMPUTED_VALUE"""),1.007)</f>
        <v>1.007</v>
      </c>
      <c r="E5655" s="16">
        <f>IFERROR(__xludf.DUMMYFUNCTION("""COMPUTED_VALUE"""),68.0)</f>
        <v>68</v>
      </c>
      <c r="F5655" s="19" t="str">
        <f>IFERROR(__xludf.DUMMYFUNCTION("""COMPUTED_VALUE"""),"BLACK")</f>
        <v>BLACK</v>
      </c>
      <c r="G5655" s="20" t="str">
        <f>IFERROR(__xludf.DUMMYFUNCTION("""COMPUTED_VALUE"""),"Uncle Sams Cider (04/04/2023)")</f>
        <v>Uncle Sams Cider (04/04/2023)</v>
      </c>
      <c r="H5655" s="19"/>
    </row>
    <row r="5656">
      <c r="A5656" s="9"/>
      <c r="B5656" s="15"/>
      <c r="C5656" s="9">
        <f>IFERROR(__xludf.DUMMYFUNCTION("""COMPUTED_VALUE"""),45085.2940719907)</f>
        <v>45085.29407</v>
      </c>
      <c r="D5656" s="15">
        <f>IFERROR(__xludf.DUMMYFUNCTION("""COMPUTED_VALUE"""),1.007)</f>
        <v>1.007</v>
      </c>
      <c r="E5656" s="16">
        <f>IFERROR(__xludf.DUMMYFUNCTION("""COMPUTED_VALUE"""),68.0)</f>
        <v>68</v>
      </c>
      <c r="F5656" s="19" t="str">
        <f>IFERROR(__xludf.DUMMYFUNCTION("""COMPUTED_VALUE"""),"BLACK")</f>
        <v>BLACK</v>
      </c>
      <c r="G5656" s="20" t="str">
        <f>IFERROR(__xludf.DUMMYFUNCTION("""COMPUTED_VALUE"""),"Uncle Sams Cider (04/04/2023)")</f>
        <v>Uncle Sams Cider (04/04/2023)</v>
      </c>
      <c r="H5656" s="19"/>
    </row>
    <row r="5657">
      <c r="A5657" s="9"/>
      <c r="B5657" s="15"/>
      <c r="C5657" s="9">
        <f>IFERROR(__xludf.DUMMYFUNCTION("""COMPUTED_VALUE"""),45085.2836496643)</f>
        <v>45085.28365</v>
      </c>
      <c r="D5657" s="15">
        <f>IFERROR(__xludf.DUMMYFUNCTION("""COMPUTED_VALUE"""),1.008)</f>
        <v>1.008</v>
      </c>
      <c r="E5657" s="16">
        <f>IFERROR(__xludf.DUMMYFUNCTION("""COMPUTED_VALUE"""),68.0)</f>
        <v>68</v>
      </c>
      <c r="F5657" s="19" t="str">
        <f>IFERROR(__xludf.DUMMYFUNCTION("""COMPUTED_VALUE"""),"BLACK")</f>
        <v>BLACK</v>
      </c>
      <c r="G5657" s="20" t="str">
        <f>IFERROR(__xludf.DUMMYFUNCTION("""COMPUTED_VALUE"""),"Uncle Sams Cider (04/04/2023)")</f>
        <v>Uncle Sams Cider (04/04/2023)</v>
      </c>
      <c r="H5657" s="19"/>
    </row>
    <row r="5658">
      <c r="A5658" s="9"/>
      <c r="B5658" s="15"/>
      <c r="C5658" s="9">
        <f>IFERROR(__xludf.DUMMYFUNCTION("""COMPUTED_VALUE"""),45085.2732183333)</f>
        <v>45085.27322</v>
      </c>
      <c r="D5658" s="15">
        <f>IFERROR(__xludf.DUMMYFUNCTION("""COMPUTED_VALUE"""),1.007)</f>
        <v>1.007</v>
      </c>
      <c r="E5658" s="16">
        <f>IFERROR(__xludf.DUMMYFUNCTION("""COMPUTED_VALUE"""),68.0)</f>
        <v>68</v>
      </c>
      <c r="F5658" s="19" t="str">
        <f>IFERROR(__xludf.DUMMYFUNCTION("""COMPUTED_VALUE"""),"BLACK")</f>
        <v>BLACK</v>
      </c>
      <c r="G5658" s="20" t="str">
        <f>IFERROR(__xludf.DUMMYFUNCTION("""COMPUTED_VALUE"""),"Uncle Sams Cider (04/04/2023)")</f>
        <v>Uncle Sams Cider (04/04/2023)</v>
      </c>
      <c r="H5658" s="19"/>
    </row>
    <row r="5659">
      <c r="A5659" s="9"/>
      <c r="B5659" s="15"/>
      <c r="C5659" s="9">
        <f>IFERROR(__xludf.DUMMYFUNCTION("""COMPUTED_VALUE"""),45085.2627971527)</f>
        <v>45085.2628</v>
      </c>
      <c r="D5659" s="15">
        <f>IFERROR(__xludf.DUMMYFUNCTION("""COMPUTED_VALUE"""),1.007)</f>
        <v>1.007</v>
      </c>
      <c r="E5659" s="16">
        <f>IFERROR(__xludf.DUMMYFUNCTION("""COMPUTED_VALUE"""),68.0)</f>
        <v>68</v>
      </c>
      <c r="F5659" s="19" t="str">
        <f>IFERROR(__xludf.DUMMYFUNCTION("""COMPUTED_VALUE"""),"BLACK")</f>
        <v>BLACK</v>
      </c>
      <c r="G5659" s="20" t="str">
        <f>IFERROR(__xludf.DUMMYFUNCTION("""COMPUTED_VALUE"""),"Uncle Sams Cider (04/04/2023)")</f>
        <v>Uncle Sams Cider (04/04/2023)</v>
      </c>
      <c r="H5659" s="19"/>
    </row>
    <row r="5660">
      <c r="A5660" s="9"/>
      <c r="B5660" s="15"/>
      <c r="C5660" s="9">
        <f>IFERROR(__xludf.DUMMYFUNCTION("""COMPUTED_VALUE"""),45085.2523776851)</f>
        <v>45085.25238</v>
      </c>
      <c r="D5660" s="15">
        <f>IFERROR(__xludf.DUMMYFUNCTION("""COMPUTED_VALUE"""),1.008)</f>
        <v>1.008</v>
      </c>
      <c r="E5660" s="16">
        <f>IFERROR(__xludf.DUMMYFUNCTION("""COMPUTED_VALUE"""),68.0)</f>
        <v>68</v>
      </c>
      <c r="F5660" s="19" t="str">
        <f>IFERROR(__xludf.DUMMYFUNCTION("""COMPUTED_VALUE"""),"BLACK")</f>
        <v>BLACK</v>
      </c>
      <c r="G5660" s="20" t="str">
        <f>IFERROR(__xludf.DUMMYFUNCTION("""COMPUTED_VALUE"""),"Uncle Sams Cider (04/04/2023)")</f>
        <v>Uncle Sams Cider (04/04/2023)</v>
      </c>
      <c r="H5660" s="19"/>
    </row>
    <row r="5661">
      <c r="A5661" s="9"/>
      <c r="B5661" s="15"/>
      <c r="C5661" s="9">
        <f>IFERROR(__xludf.DUMMYFUNCTION("""COMPUTED_VALUE"""),45085.2419583217)</f>
        <v>45085.24196</v>
      </c>
      <c r="D5661" s="15">
        <f>IFERROR(__xludf.DUMMYFUNCTION("""COMPUTED_VALUE"""),1.007)</f>
        <v>1.007</v>
      </c>
      <c r="E5661" s="16">
        <f>IFERROR(__xludf.DUMMYFUNCTION("""COMPUTED_VALUE"""),68.0)</f>
        <v>68</v>
      </c>
      <c r="F5661" s="19" t="str">
        <f>IFERROR(__xludf.DUMMYFUNCTION("""COMPUTED_VALUE"""),"BLACK")</f>
        <v>BLACK</v>
      </c>
      <c r="G5661" s="20" t="str">
        <f>IFERROR(__xludf.DUMMYFUNCTION("""COMPUTED_VALUE"""),"Uncle Sams Cider (04/04/2023)")</f>
        <v>Uncle Sams Cider (04/04/2023)</v>
      </c>
      <c r="H5661" s="19"/>
    </row>
    <row r="5662">
      <c r="A5662" s="9"/>
      <c r="B5662" s="15"/>
      <c r="C5662" s="9">
        <f>IFERROR(__xludf.DUMMYFUNCTION("""COMPUTED_VALUE"""),45085.2315378935)</f>
        <v>45085.23154</v>
      </c>
      <c r="D5662" s="15">
        <f>IFERROR(__xludf.DUMMYFUNCTION("""COMPUTED_VALUE"""),1.007)</f>
        <v>1.007</v>
      </c>
      <c r="E5662" s="16">
        <f>IFERROR(__xludf.DUMMYFUNCTION("""COMPUTED_VALUE"""),68.0)</f>
        <v>68</v>
      </c>
      <c r="F5662" s="19" t="str">
        <f>IFERROR(__xludf.DUMMYFUNCTION("""COMPUTED_VALUE"""),"BLACK")</f>
        <v>BLACK</v>
      </c>
      <c r="G5662" s="20" t="str">
        <f>IFERROR(__xludf.DUMMYFUNCTION("""COMPUTED_VALUE"""),"Uncle Sams Cider (04/04/2023)")</f>
        <v>Uncle Sams Cider (04/04/2023)</v>
      </c>
      <c r="H5662" s="19"/>
    </row>
    <row r="5663">
      <c r="A5663" s="9"/>
      <c r="B5663" s="15"/>
      <c r="C5663" s="9">
        <f>IFERROR(__xludf.DUMMYFUNCTION("""COMPUTED_VALUE"""),45085.221104699)</f>
        <v>45085.2211</v>
      </c>
      <c r="D5663" s="15">
        <f>IFERROR(__xludf.DUMMYFUNCTION("""COMPUTED_VALUE"""),1.007)</f>
        <v>1.007</v>
      </c>
      <c r="E5663" s="16">
        <f>IFERROR(__xludf.DUMMYFUNCTION("""COMPUTED_VALUE"""),68.0)</f>
        <v>68</v>
      </c>
      <c r="F5663" s="19" t="str">
        <f>IFERROR(__xludf.DUMMYFUNCTION("""COMPUTED_VALUE"""),"BLACK")</f>
        <v>BLACK</v>
      </c>
      <c r="G5663" s="20" t="str">
        <f>IFERROR(__xludf.DUMMYFUNCTION("""COMPUTED_VALUE"""),"Uncle Sams Cider (04/04/2023)")</f>
        <v>Uncle Sams Cider (04/04/2023)</v>
      </c>
      <c r="H5663" s="19"/>
    </row>
    <row r="5664">
      <c r="A5664" s="9"/>
      <c r="B5664" s="15"/>
      <c r="C5664" s="9">
        <f>IFERROR(__xludf.DUMMYFUNCTION("""COMPUTED_VALUE"""),45085.2106597337)</f>
        <v>45085.21066</v>
      </c>
      <c r="D5664" s="15">
        <f>IFERROR(__xludf.DUMMYFUNCTION("""COMPUTED_VALUE"""),1.007)</f>
        <v>1.007</v>
      </c>
      <c r="E5664" s="16">
        <f>IFERROR(__xludf.DUMMYFUNCTION("""COMPUTED_VALUE"""),68.0)</f>
        <v>68</v>
      </c>
      <c r="F5664" s="19" t="str">
        <f>IFERROR(__xludf.DUMMYFUNCTION("""COMPUTED_VALUE"""),"BLACK")</f>
        <v>BLACK</v>
      </c>
      <c r="G5664" s="20" t="str">
        <f>IFERROR(__xludf.DUMMYFUNCTION("""COMPUTED_VALUE"""),"Uncle Sams Cider (04/04/2023)")</f>
        <v>Uncle Sams Cider (04/04/2023)</v>
      </c>
      <c r="H5664" s="19"/>
    </row>
    <row r="5665">
      <c r="A5665" s="9"/>
      <c r="B5665" s="15"/>
      <c r="C5665" s="9">
        <f>IFERROR(__xludf.DUMMYFUNCTION("""COMPUTED_VALUE"""),45085.2002360532)</f>
        <v>45085.20024</v>
      </c>
      <c r="D5665" s="15">
        <f>IFERROR(__xludf.DUMMYFUNCTION("""COMPUTED_VALUE"""),1.007)</f>
        <v>1.007</v>
      </c>
      <c r="E5665" s="16">
        <f>IFERROR(__xludf.DUMMYFUNCTION("""COMPUTED_VALUE"""),68.0)</f>
        <v>68</v>
      </c>
      <c r="F5665" s="19" t="str">
        <f>IFERROR(__xludf.DUMMYFUNCTION("""COMPUTED_VALUE"""),"BLACK")</f>
        <v>BLACK</v>
      </c>
      <c r="G5665" s="20" t="str">
        <f>IFERROR(__xludf.DUMMYFUNCTION("""COMPUTED_VALUE"""),"Uncle Sams Cider (04/04/2023)")</f>
        <v>Uncle Sams Cider (04/04/2023)</v>
      </c>
      <c r="H5665" s="19"/>
    </row>
    <row r="5666">
      <c r="A5666" s="9"/>
      <c r="B5666" s="15"/>
      <c r="C5666" s="9">
        <f>IFERROR(__xludf.DUMMYFUNCTION("""COMPUTED_VALUE"""),45085.189815324)</f>
        <v>45085.18982</v>
      </c>
      <c r="D5666" s="15">
        <f>IFERROR(__xludf.DUMMYFUNCTION("""COMPUTED_VALUE"""),1.007)</f>
        <v>1.007</v>
      </c>
      <c r="E5666" s="16">
        <f>IFERROR(__xludf.DUMMYFUNCTION("""COMPUTED_VALUE"""),68.0)</f>
        <v>68</v>
      </c>
      <c r="F5666" s="19" t="str">
        <f>IFERROR(__xludf.DUMMYFUNCTION("""COMPUTED_VALUE"""),"BLACK")</f>
        <v>BLACK</v>
      </c>
      <c r="G5666" s="20" t="str">
        <f>IFERROR(__xludf.DUMMYFUNCTION("""COMPUTED_VALUE"""),"Uncle Sams Cider (04/04/2023)")</f>
        <v>Uncle Sams Cider (04/04/2023)</v>
      </c>
      <c r="H5666" s="19"/>
    </row>
    <row r="5667">
      <c r="A5667" s="9"/>
      <c r="B5667" s="15"/>
      <c r="C5667" s="9">
        <f>IFERROR(__xludf.DUMMYFUNCTION("""COMPUTED_VALUE"""),45085.1793937731)</f>
        <v>45085.17939</v>
      </c>
      <c r="D5667" s="15">
        <f>IFERROR(__xludf.DUMMYFUNCTION("""COMPUTED_VALUE"""),1.008)</f>
        <v>1.008</v>
      </c>
      <c r="E5667" s="16">
        <f>IFERROR(__xludf.DUMMYFUNCTION("""COMPUTED_VALUE"""),68.0)</f>
        <v>68</v>
      </c>
      <c r="F5667" s="19" t="str">
        <f>IFERROR(__xludf.DUMMYFUNCTION("""COMPUTED_VALUE"""),"BLACK")</f>
        <v>BLACK</v>
      </c>
      <c r="G5667" s="20" t="str">
        <f>IFERROR(__xludf.DUMMYFUNCTION("""COMPUTED_VALUE"""),"Uncle Sams Cider (04/04/2023)")</f>
        <v>Uncle Sams Cider (04/04/2023)</v>
      </c>
      <c r="H5667" s="19"/>
    </row>
    <row r="5668">
      <c r="A5668" s="9"/>
      <c r="B5668" s="15"/>
      <c r="C5668" s="9">
        <f>IFERROR(__xludf.DUMMYFUNCTION("""COMPUTED_VALUE"""),45085.168949699)</f>
        <v>45085.16895</v>
      </c>
      <c r="D5668" s="15">
        <f>IFERROR(__xludf.DUMMYFUNCTION("""COMPUTED_VALUE"""),1.007)</f>
        <v>1.007</v>
      </c>
      <c r="E5668" s="16">
        <f>IFERROR(__xludf.DUMMYFUNCTION("""COMPUTED_VALUE"""),68.0)</f>
        <v>68</v>
      </c>
      <c r="F5668" s="19" t="str">
        <f>IFERROR(__xludf.DUMMYFUNCTION("""COMPUTED_VALUE"""),"BLACK")</f>
        <v>BLACK</v>
      </c>
      <c r="G5668" s="20" t="str">
        <f>IFERROR(__xludf.DUMMYFUNCTION("""COMPUTED_VALUE"""),"Uncle Sams Cider (04/04/2023)")</f>
        <v>Uncle Sams Cider (04/04/2023)</v>
      </c>
      <c r="H5668" s="19"/>
    </row>
    <row r="5669">
      <c r="A5669" s="9"/>
      <c r="B5669" s="15"/>
      <c r="C5669" s="9">
        <f>IFERROR(__xludf.DUMMYFUNCTION("""COMPUTED_VALUE"""),45085.1585298148)</f>
        <v>45085.15853</v>
      </c>
      <c r="D5669" s="15">
        <f>IFERROR(__xludf.DUMMYFUNCTION("""COMPUTED_VALUE"""),1.008)</f>
        <v>1.008</v>
      </c>
      <c r="E5669" s="16">
        <f>IFERROR(__xludf.DUMMYFUNCTION("""COMPUTED_VALUE"""),68.0)</f>
        <v>68</v>
      </c>
      <c r="F5669" s="19" t="str">
        <f>IFERROR(__xludf.DUMMYFUNCTION("""COMPUTED_VALUE"""),"BLACK")</f>
        <v>BLACK</v>
      </c>
      <c r="G5669" s="20" t="str">
        <f>IFERROR(__xludf.DUMMYFUNCTION("""COMPUTED_VALUE"""),"Uncle Sams Cider (04/04/2023)")</f>
        <v>Uncle Sams Cider (04/04/2023)</v>
      </c>
      <c r="H5669" s="19"/>
    </row>
    <row r="5670">
      <c r="A5670" s="9"/>
      <c r="B5670" s="15"/>
      <c r="C5670" s="9">
        <f>IFERROR(__xludf.DUMMYFUNCTION("""COMPUTED_VALUE"""),45085.1480733796)</f>
        <v>45085.14807</v>
      </c>
      <c r="D5670" s="15">
        <f>IFERROR(__xludf.DUMMYFUNCTION("""COMPUTED_VALUE"""),1.008)</f>
        <v>1.008</v>
      </c>
      <c r="E5670" s="16">
        <f>IFERROR(__xludf.DUMMYFUNCTION("""COMPUTED_VALUE"""),68.0)</f>
        <v>68</v>
      </c>
      <c r="F5670" s="19" t="str">
        <f>IFERROR(__xludf.DUMMYFUNCTION("""COMPUTED_VALUE"""),"BLACK")</f>
        <v>BLACK</v>
      </c>
      <c r="G5670" s="20" t="str">
        <f>IFERROR(__xludf.DUMMYFUNCTION("""COMPUTED_VALUE"""),"Uncle Sams Cider (04/04/2023)")</f>
        <v>Uncle Sams Cider (04/04/2023)</v>
      </c>
      <c r="H5670" s="19"/>
    </row>
    <row r="5671">
      <c r="A5671" s="9"/>
      <c r="B5671" s="15"/>
      <c r="C5671" s="9">
        <f>IFERROR(__xludf.DUMMYFUNCTION("""COMPUTED_VALUE"""),45085.1376526273)</f>
        <v>45085.13765</v>
      </c>
      <c r="D5671" s="15">
        <f>IFERROR(__xludf.DUMMYFUNCTION("""COMPUTED_VALUE"""),1.008)</f>
        <v>1.008</v>
      </c>
      <c r="E5671" s="16">
        <f>IFERROR(__xludf.DUMMYFUNCTION("""COMPUTED_VALUE"""),68.0)</f>
        <v>68</v>
      </c>
      <c r="F5671" s="19" t="str">
        <f>IFERROR(__xludf.DUMMYFUNCTION("""COMPUTED_VALUE"""),"BLACK")</f>
        <v>BLACK</v>
      </c>
      <c r="G5671" s="20" t="str">
        <f>IFERROR(__xludf.DUMMYFUNCTION("""COMPUTED_VALUE"""),"Uncle Sams Cider (04/04/2023)")</f>
        <v>Uncle Sams Cider (04/04/2023)</v>
      </c>
      <c r="H5671" s="19"/>
    </row>
    <row r="5672">
      <c r="A5672" s="9"/>
      <c r="B5672" s="15"/>
      <c r="C5672" s="9">
        <f>IFERROR(__xludf.DUMMYFUNCTION("""COMPUTED_VALUE"""),45085.127231412)</f>
        <v>45085.12723</v>
      </c>
      <c r="D5672" s="15">
        <f>IFERROR(__xludf.DUMMYFUNCTION("""COMPUTED_VALUE"""),1.007)</f>
        <v>1.007</v>
      </c>
      <c r="E5672" s="16">
        <f>IFERROR(__xludf.DUMMYFUNCTION("""COMPUTED_VALUE"""),68.0)</f>
        <v>68</v>
      </c>
      <c r="F5672" s="19" t="str">
        <f>IFERROR(__xludf.DUMMYFUNCTION("""COMPUTED_VALUE"""),"BLACK")</f>
        <v>BLACK</v>
      </c>
      <c r="G5672" s="20" t="str">
        <f>IFERROR(__xludf.DUMMYFUNCTION("""COMPUTED_VALUE"""),"Uncle Sams Cider (04/04/2023)")</f>
        <v>Uncle Sams Cider (04/04/2023)</v>
      </c>
      <c r="H5672" s="19"/>
    </row>
    <row r="5673">
      <c r="A5673" s="9"/>
      <c r="B5673" s="15"/>
      <c r="C5673" s="9">
        <f>IFERROR(__xludf.DUMMYFUNCTION("""COMPUTED_VALUE"""),45085.1168084953)</f>
        <v>45085.11681</v>
      </c>
      <c r="D5673" s="15">
        <f>IFERROR(__xludf.DUMMYFUNCTION("""COMPUTED_VALUE"""),1.008)</f>
        <v>1.008</v>
      </c>
      <c r="E5673" s="16">
        <f>IFERROR(__xludf.DUMMYFUNCTION("""COMPUTED_VALUE"""),68.0)</f>
        <v>68</v>
      </c>
      <c r="F5673" s="19" t="str">
        <f>IFERROR(__xludf.DUMMYFUNCTION("""COMPUTED_VALUE"""),"BLACK")</f>
        <v>BLACK</v>
      </c>
      <c r="G5673" s="20" t="str">
        <f>IFERROR(__xludf.DUMMYFUNCTION("""COMPUTED_VALUE"""),"Uncle Sams Cider (04/04/2023)")</f>
        <v>Uncle Sams Cider (04/04/2023)</v>
      </c>
      <c r="H5673" s="19"/>
    </row>
    <row r="5674">
      <c r="A5674" s="9"/>
      <c r="B5674" s="15"/>
      <c r="C5674" s="9">
        <f>IFERROR(__xludf.DUMMYFUNCTION("""COMPUTED_VALUE"""),45085.1063881597)</f>
        <v>45085.10639</v>
      </c>
      <c r="D5674" s="15">
        <f>IFERROR(__xludf.DUMMYFUNCTION("""COMPUTED_VALUE"""),1.007)</f>
        <v>1.007</v>
      </c>
      <c r="E5674" s="16">
        <f>IFERROR(__xludf.DUMMYFUNCTION("""COMPUTED_VALUE"""),68.0)</f>
        <v>68</v>
      </c>
      <c r="F5674" s="19" t="str">
        <f>IFERROR(__xludf.DUMMYFUNCTION("""COMPUTED_VALUE"""),"BLACK")</f>
        <v>BLACK</v>
      </c>
      <c r="G5674" s="20" t="str">
        <f>IFERROR(__xludf.DUMMYFUNCTION("""COMPUTED_VALUE"""),"Uncle Sams Cider (04/04/2023)")</f>
        <v>Uncle Sams Cider (04/04/2023)</v>
      </c>
      <c r="H5674" s="19"/>
    </row>
    <row r="5675">
      <c r="A5675" s="9"/>
      <c r="B5675" s="15"/>
      <c r="C5675" s="9">
        <f>IFERROR(__xludf.DUMMYFUNCTION("""COMPUTED_VALUE"""),45085.0959675)</f>
        <v>45085.09597</v>
      </c>
      <c r="D5675" s="15">
        <f>IFERROR(__xludf.DUMMYFUNCTION("""COMPUTED_VALUE"""),1.008)</f>
        <v>1.008</v>
      </c>
      <c r="E5675" s="16">
        <f>IFERROR(__xludf.DUMMYFUNCTION("""COMPUTED_VALUE"""),68.0)</f>
        <v>68</v>
      </c>
      <c r="F5675" s="19" t="str">
        <f>IFERROR(__xludf.DUMMYFUNCTION("""COMPUTED_VALUE"""),"BLACK")</f>
        <v>BLACK</v>
      </c>
      <c r="G5675" s="20" t="str">
        <f>IFERROR(__xludf.DUMMYFUNCTION("""COMPUTED_VALUE"""),"Uncle Sams Cider (04/04/2023)")</f>
        <v>Uncle Sams Cider (04/04/2023)</v>
      </c>
      <c r="H5675" s="19"/>
    </row>
    <row r="5676">
      <c r="A5676" s="9"/>
      <c r="B5676" s="15"/>
      <c r="C5676" s="9">
        <f>IFERROR(__xludf.DUMMYFUNCTION("""COMPUTED_VALUE"""),45085.0855479282)</f>
        <v>45085.08555</v>
      </c>
      <c r="D5676" s="15">
        <f>IFERROR(__xludf.DUMMYFUNCTION("""COMPUTED_VALUE"""),1.008)</f>
        <v>1.008</v>
      </c>
      <c r="E5676" s="16">
        <f>IFERROR(__xludf.DUMMYFUNCTION("""COMPUTED_VALUE"""),68.0)</f>
        <v>68</v>
      </c>
      <c r="F5676" s="19" t="str">
        <f>IFERROR(__xludf.DUMMYFUNCTION("""COMPUTED_VALUE"""),"BLACK")</f>
        <v>BLACK</v>
      </c>
      <c r="G5676" s="20" t="str">
        <f>IFERROR(__xludf.DUMMYFUNCTION("""COMPUTED_VALUE"""),"Uncle Sams Cider (04/04/2023)")</f>
        <v>Uncle Sams Cider (04/04/2023)</v>
      </c>
      <c r="H5676" s="19"/>
    </row>
    <row r="5677">
      <c r="A5677" s="9"/>
      <c r="B5677" s="15"/>
      <c r="C5677" s="9">
        <f>IFERROR(__xludf.DUMMYFUNCTION("""COMPUTED_VALUE"""),45085.0751154166)</f>
        <v>45085.07512</v>
      </c>
      <c r="D5677" s="15">
        <f>IFERROR(__xludf.DUMMYFUNCTION("""COMPUTED_VALUE"""),1.007)</f>
        <v>1.007</v>
      </c>
      <c r="E5677" s="16">
        <f>IFERROR(__xludf.DUMMYFUNCTION("""COMPUTED_VALUE"""),68.0)</f>
        <v>68</v>
      </c>
      <c r="F5677" s="19" t="str">
        <f>IFERROR(__xludf.DUMMYFUNCTION("""COMPUTED_VALUE"""),"BLACK")</f>
        <v>BLACK</v>
      </c>
      <c r="G5677" s="20" t="str">
        <f>IFERROR(__xludf.DUMMYFUNCTION("""COMPUTED_VALUE"""),"Uncle Sams Cider (04/04/2023)")</f>
        <v>Uncle Sams Cider (04/04/2023)</v>
      </c>
      <c r="H5677" s="19"/>
    </row>
    <row r="5678">
      <c r="A5678" s="9"/>
      <c r="B5678" s="15"/>
      <c r="C5678" s="9">
        <f>IFERROR(__xludf.DUMMYFUNCTION("""COMPUTED_VALUE"""),45085.0646965625)</f>
        <v>45085.0647</v>
      </c>
      <c r="D5678" s="15">
        <f>IFERROR(__xludf.DUMMYFUNCTION("""COMPUTED_VALUE"""),1.008)</f>
        <v>1.008</v>
      </c>
      <c r="E5678" s="16">
        <f>IFERROR(__xludf.DUMMYFUNCTION("""COMPUTED_VALUE"""),68.0)</f>
        <v>68</v>
      </c>
      <c r="F5678" s="19" t="str">
        <f>IFERROR(__xludf.DUMMYFUNCTION("""COMPUTED_VALUE"""),"BLACK")</f>
        <v>BLACK</v>
      </c>
      <c r="G5678" s="20" t="str">
        <f>IFERROR(__xludf.DUMMYFUNCTION("""COMPUTED_VALUE"""),"Uncle Sams Cider (04/04/2023)")</f>
        <v>Uncle Sams Cider (04/04/2023)</v>
      </c>
      <c r="H5678" s="19"/>
    </row>
    <row r="5679">
      <c r="A5679" s="9"/>
      <c r="B5679" s="15"/>
      <c r="C5679" s="9">
        <f>IFERROR(__xludf.DUMMYFUNCTION("""COMPUTED_VALUE"""),45085.054263368)</f>
        <v>45085.05426</v>
      </c>
      <c r="D5679" s="15">
        <f>IFERROR(__xludf.DUMMYFUNCTION("""COMPUTED_VALUE"""),1.008)</f>
        <v>1.008</v>
      </c>
      <c r="E5679" s="16">
        <f>IFERROR(__xludf.DUMMYFUNCTION("""COMPUTED_VALUE"""),68.0)</f>
        <v>68</v>
      </c>
      <c r="F5679" s="19" t="str">
        <f>IFERROR(__xludf.DUMMYFUNCTION("""COMPUTED_VALUE"""),"BLACK")</f>
        <v>BLACK</v>
      </c>
      <c r="G5679" s="20" t="str">
        <f>IFERROR(__xludf.DUMMYFUNCTION("""COMPUTED_VALUE"""),"Uncle Sams Cider (04/04/2023)")</f>
        <v>Uncle Sams Cider (04/04/2023)</v>
      </c>
      <c r="H5679" s="19"/>
    </row>
    <row r="5680">
      <c r="A5680" s="9"/>
      <c r="B5680" s="15"/>
      <c r="C5680" s="9">
        <f>IFERROR(__xludf.DUMMYFUNCTION("""COMPUTED_VALUE"""),45085.0438195486)</f>
        <v>45085.04382</v>
      </c>
      <c r="D5680" s="15">
        <f>IFERROR(__xludf.DUMMYFUNCTION("""COMPUTED_VALUE"""),1.007)</f>
        <v>1.007</v>
      </c>
      <c r="E5680" s="16">
        <f>IFERROR(__xludf.DUMMYFUNCTION("""COMPUTED_VALUE"""),68.0)</f>
        <v>68</v>
      </c>
      <c r="F5680" s="19" t="str">
        <f>IFERROR(__xludf.DUMMYFUNCTION("""COMPUTED_VALUE"""),"BLACK")</f>
        <v>BLACK</v>
      </c>
      <c r="G5680" s="20" t="str">
        <f>IFERROR(__xludf.DUMMYFUNCTION("""COMPUTED_VALUE"""),"Uncle Sams Cider (04/04/2023)")</f>
        <v>Uncle Sams Cider (04/04/2023)</v>
      </c>
      <c r="H5680" s="19"/>
    </row>
    <row r="5681">
      <c r="A5681" s="9"/>
      <c r="B5681" s="15"/>
      <c r="C5681" s="9">
        <f>IFERROR(__xludf.DUMMYFUNCTION("""COMPUTED_VALUE"""),45085.0333989351)</f>
        <v>45085.0334</v>
      </c>
      <c r="D5681" s="15">
        <f>IFERROR(__xludf.DUMMYFUNCTION("""COMPUTED_VALUE"""),1.007)</f>
        <v>1.007</v>
      </c>
      <c r="E5681" s="16">
        <f>IFERROR(__xludf.DUMMYFUNCTION("""COMPUTED_VALUE"""),68.0)</f>
        <v>68</v>
      </c>
      <c r="F5681" s="19" t="str">
        <f>IFERROR(__xludf.DUMMYFUNCTION("""COMPUTED_VALUE"""),"BLACK")</f>
        <v>BLACK</v>
      </c>
      <c r="G5681" s="20" t="str">
        <f>IFERROR(__xludf.DUMMYFUNCTION("""COMPUTED_VALUE"""),"Uncle Sams Cider (04/04/2023)")</f>
        <v>Uncle Sams Cider (04/04/2023)</v>
      </c>
      <c r="H5681" s="19"/>
    </row>
    <row r="5682">
      <c r="A5682" s="9"/>
      <c r="B5682" s="15"/>
      <c r="C5682" s="9">
        <f>IFERROR(__xludf.DUMMYFUNCTION("""COMPUTED_VALUE"""),45085.0229783912)</f>
        <v>45085.02298</v>
      </c>
      <c r="D5682" s="15">
        <f>IFERROR(__xludf.DUMMYFUNCTION("""COMPUTED_VALUE"""),1.008)</f>
        <v>1.008</v>
      </c>
      <c r="E5682" s="16">
        <f>IFERROR(__xludf.DUMMYFUNCTION("""COMPUTED_VALUE"""),68.0)</f>
        <v>68</v>
      </c>
      <c r="F5682" s="19" t="str">
        <f>IFERROR(__xludf.DUMMYFUNCTION("""COMPUTED_VALUE"""),"BLACK")</f>
        <v>BLACK</v>
      </c>
      <c r="G5682" s="20" t="str">
        <f>IFERROR(__xludf.DUMMYFUNCTION("""COMPUTED_VALUE"""),"Uncle Sams Cider (04/04/2023)")</f>
        <v>Uncle Sams Cider (04/04/2023)</v>
      </c>
      <c r="H5682" s="19"/>
    </row>
    <row r="5683">
      <c r="A5683" s="9"/>
      <c r="B5683" s="15"/>
      <c r="C5683" s="9">
        <f>IFERROR(__xludf.DUMMYFUNCTION("""COMPUTED_VALUE"""),45085.0125576851)</f>
        <v>45085.01256</v>
      </c>
      <c r="D5683" s="15">
        <f>IFERROR(__xludf.DUMMYFUNCTION("""COMPUTED_VALUE"""),1.008)</f>
        <v>1.008</v>
      </c>
      <c r="E5683" s="16">
        <f>IFERROR(__xludf.DUMMYFUNCTION("""COMPUTED_VALUE"""),68.0)</f>
        <v>68</v>
      </c>
      <c r="F5683" s="19" t="str">
        <f>IFERROR(__xludf.DUMMYFUNCTION("""COMPUTED_VALUE"""),"BLACK")</f>
        <v>BLACK</v>
      </c>
      <c r="G5683" s="20" t="str">
        <f>IFERROR(__xludf.DUMMYFUNCTION("""COMPUTED_VALUE"""),"Uncle Sams Cider (04/04/2023)")</f>
        <v>Uncle Sams Cider (04/04/2023)</v>
      </c>
      <c r="H5683" s="19"/>
    </row>
    <row r="5684">
      <c r="A5684" s="9"/>
      <c r="B5684" s="15"/>
      <c r="C5684" s="9">
        <f>IFERROR(__xludf.DUMMYFUNCTION("""COMPUTED_VALUE"""),45085.0021376041)</f>
        <v>45085.00214</v>
      </c>
      <c r="D5684" s="15">
        <f>IFERROR(__xludf.DUMMYFUNCTION("""COMPUTED_VALUE"""),1.008)</f>
        <v>1.008</v>
      </c>
      <c r="E5684" s="16">
        <f>IFERROR(__xludf.DUMMYFUNCTION("""COMPUTED_VALUE"""),68.0)</f>
        <v>68</v>
      </c>
      <c r="F5684" s="19" t="str">
        <f>IFERROR(__xludf.DUMMYFUNCTION("""COMPUTED_VALUE"""),"BLACK")</f>
        <v>BLACK</v>
      </c>
      <c r="G5684" s="20" t="str">
        <f>IFERROR(__xludf.DUMMYFUNCTION("""COMPUTED_VALUE"""),"Uncle Sams Cider (04/04/2023)")</f>
        <v>Uncle Sams Cider (04/04/2023)</v>
      </c>
      <c r="H5684" s="19"/>
    </row>
    <row r="5685">
      <c r="A5685" s="9"/>
      <c r="B5685" s="15"/>
      <c r="C5685" s="9">
        <f>IFERROR(__xludf.DUMMYFUNCTION("""COMPUTED_VALUE"""),45084.9917156018)</f>
        <v>45084.99172</v>
      </c>
      <c r="D5685" s="15">
        <f>IFERROR(__xludf.DUMMYFUNCTION("""COMPUTED_VALUE"""),1.008)</f>
        <v>1.008</v>
      </c>
      <c r="E5685" s="16">
        <f>IFERROR(__xludf.DUMMYFUNCTION("""COMPUTED_VALUE"""),68.0)</f>
        <v>68</v>
      </c>
      <c r="F5685" s="19" t="str">
        <f>IFERROR(__xludf.DUMMYFUNCTION("""COMPUTED_VALUE"""),"BLACK")</f>
        <v>BLACK</v>
      </c>
      <c r="G5685" s="20" t="str">
        <f>IFERROR(__xludf.DUMMYFUNCTION("""COMPUTED_VALUE"""),"Uncle Sams Cider (04/04/2023)")</f>
        <v>Uncle Sams Cider (04/04/2023)</v>
      </c>
      <c r="H5685" s="19"/>
    </row>
    <row r="5686">
      <c r="A5686" s="9"/>
      <c r="B5686" s="15"/>
      <c r="C5686" s="9">
        <f>IFERROR(__xludf.DUMMYFUNCTION("""COMPUTED_VALUE"""),45084.9812952662)</f>
        <v>45084.9813</v>
      </c>
      <c r="D5686" s="15">
        <f>IFERROR(__xludf.DUMMYFUNCTION("""COMPUTED_VALUE"""),1.007)</f>
        <v>1.007</v>
      </c>
      <c r="E5686" s="16">
        <f>IFERROR(__xludf.DUMMYFUNCTION("""COMPUTED_VALUE"""),68.0)</f>
        <v>68</v>
      </c>
      <c r="F5686" s="19" t="str">
        <f>IFERROR(__xludf.DUMMYFUNCTION("""COMPUTED_VALUE"""),"BLACK")</f>
        <v>BLACK</v>
      </c>
      <c r="G5686" s="20" t="str">
        <f>IFERROR(__xludf.DUMMYFUNCTION("""COMPUTED_VALUE"""),"Uncle Sams Cider (04/04/2023)")</f>
        <v>Uncle Sams Cider (04/04/2023)</v>
      </c>
      <c r="H5686" s="19"/>
    </row>
    <row r="5687">
      <c r="A5687" s="9"/>
      <c r="B5687" s="15"/>
      <c r="C5687" s="9">
        <f>IFERROR(__xludf.DUMMYFUNCTION("""COMPUTED_VALUE"""),45084.970873206)</f>
        <v>45084.97087</v>
      </c>
      <c r="D5687" s="15">
        <f>IFERROR(__xludf.DUMMYFUNCTION("""COMPUTED_VALUE"""),1.008)</f>
        <v>1.008</v>
      </c>
      <c r="E5687" s="16">
        <f>IFERROR(__xludf.DUMMYFUNCTION("""COMPUTED_VALUE"""),68.0)</f>
        <v>68</v>
      </c>
      <c r="F5687" s="19" t="str">
        <f>IFERROR(__xludf.DUMMYFUNCTION("""COMPUTED_VALUE"""),"BLACK")</f>
        <v>BLACK</v>
      </c>
      <c r="G5687" s="20" t="str">
        <f>IFERROR(__xludf.DUMMYFUNCTION("""COMPUTED_VALUE"""),"Uncle Sams Cider (04/04/2023)")</f>
        <v>Uncle Sams Cider (04/04/2023)</v>
      </c>
      <c r="H5687" s="19"/>
    </row>
    <row r="5688">
      <c r="A5688" s="9"/>
      <c r="B5688" s="15"/>
      <c r="C5688" s="9">
        <f>IFERROR(__xludf.DUMMYFUNCTION("""COMPUTED_VALUE"""),45084.9604413888)</f>
        <v>45084.96044</v>
      </c>
      <c r="D5688" s="15">
        <f>IFERROR(__xludf.DUMMYFUNCTION("""COMPUTED_VALUE"""),1.007)</f>
        <v>1.007</v>
      </c>
      <c r="E5688" s="16">
        <f>IFERROR(__xludf.DUMMYFUNCTION("""COMPUTED_VALUE"""),68.0)</f>
        <v>68</v>
      </c>
      <c r="F5688" s="19" t="str">
        <f>IFERROR(__xludf.DUMMYFUNCTION("""COMPUTED_VALUE"""),"BLACK")</f>
        <v>BLACK</v>
      </c>
      <c r="G5688" s="20" t="str">
        <f>IFERROR(__xludf.DUMMYFUNCTION("""COMPUTED_VALUE"""),"Uncle Sams Cider (04/04/2023)")</f>
        <v>Uncle Sams Cider (04/04/2023)</v>
      </c>
      <c r="H5688" s="19"/>
    </row>
    <row r="5689">
      <c r="A5689" s="9"/>
      <c r="B5689" s="15"/>
      <c r="C5689" s="9">
        <f>IFERROR(__xludf.DUMMYFUNCTION("""COMPUTED_VALUE"""),45084.9500093287)</f>
        <v>45084.95001</v>
      </c>
      <c r="D5689" s="15">
        <f>IFERROR(__xludf.DUMMYFUNCTION("""COMPUTED_VALUE"""),1.008)</f>
        <v>1.008</v>
      </c>
      <c r="E5689" s="16">
        <f>IFERROR(__xludf.DUMMYFUNCTION("""COMPUTED_VALUE"""),68.0)</f>
        <v>68</v>
      </c>
      <c r="F5689" s="19" t="str">
        <f>IFERROR(__xludf.DUMMYFUNCTION("""COMPUTED_VALUE"""),"BLACK")</f>
        <v>BLACK</v>
      </c>
      <c r="G5689" s="20" t="str">
        <f>IFERROR(__xludf.DUMMYFUNCTION("""COMPUTED_VALUE"""),"Uncle Sams Cider (04/04/2023)")</f>
        <v>Uncle Sams Cider (04/04/2023)</v>
      </c>
      <c r="H5689" s="19"/>
    </row>
    <row r="5690">
      <c r="A5690" s="9"/>
      <c r="B5690" s="15"/>
      <c r="C5690" s="9">
        <f>IFERROR(__xludf.DUMMYFUNCTION("""COMPUTED_VALUE"""),45084.9395879976)</f>
        <v>45084.93959</v>
      </c>
      <c r="D5690" s="15">
        <f>IFERROR(__xludf.DUMMYFUNCTION("""COMPUTED_VALUE"""),1.007)</f>
        <v>1.007</v>
      </c>
      <c r="E5690" s="16">
        <f>IFERROR(__xludf.DUMMYFUNCTION("""COMPUTED_VALUE"""),68.0)</f>
        <v>68</v>
      </c>
      <c r="F5690" s="19" t="str">
        <f>IFERROR(__xludf.DUMMYFUNCTION("""COMPUTED_VALUE"""),"BLACK")</f>
        <v>BLACK</v>
      </c>
      <c r="G5690" s="20" t="str">
        <f>IFERROR(__xludf.DUMMYFUNCTION("""COMPUTED_VALUE"""),"Uncle Sams Cider (04/04/2023)")</f>
        <v>Uncle Sams Cider (04/04/2023)</v>
      </c>
      <c r="H5690" s="19"/>
    </row>
    <row r="5691">
      <c r="A5691" s="9"/>
      <c r="B5691" s="15"/>
      <c r="C5691" s="9">
        <f>IFERROR(__xludf.DUMMYFUNCTION("""COMPUTED_VALUE"""),45084.9291545138)</f>
        <v>45084.92915</v>
      </c>
      <c r="D5691" s="15">
        <f>IFERROR(__xludf.DUMMYFUNCTION("""COMPUTED_VALUE"""),1.008)</f>
        <v>1.008</v>
      </c>
      <c r="E5691" s="16">
        <f>IFERROR(__xludf.DUMMYFUNCTION("""COMPUTED_VALUE"""),68.0)</f>
        <v>68</v>
      </c>
      <c r="F5691" s="19" t="str">
        <f>IFERROR(__xludf.DUMMYFUNCTION("""COMPUTED_VALUE"""),"BLACK")</f>
        <v>BLACK</v>
      </c>
      <c r="G5691" s="20" t="str">
        <f>IFERROR(__xludf.DUMMYFUNCTION("""COMPUTED_VALUE"""),"Uncle Sams Cider (04/04/2023)")</f>
        <v>Uncle Sams Cider (04/04/2023)</v>
      </c>
      <c r="H5691" s="19"/>
    </row>
    <row r="5692">
      <c r="A5692" s="9"/>
      <c r="B5692" s="15"/>
      <c r="C5692" s="9">
        <f>IFERROR(__xludf.DUMMYFUNCTION("""COMPUTED_VALUE"""),45084.9187332986)</f>
        <v>45084.91873</v>
      </c>
      <c r="D5692" s="15">
        <f>IFERROR(__xludf.DUMMYFUNCTION("""COMPUTED_VALUE"""),1.007)</f>
        <v>1.007</v>
      </c>
      <c r="E5692" s="16">
        <f>IFERROR(__xludf.DUMMYFUNCTION("""COMPUTED_VALUE"""),68.0)</f>
        <v>68</v>
      </c>
      <c r="F5692" s="19" t="str">
        <f>IFERROR(__xludf.DUMMYFUNCTION("""COMPUTED_VALUE"""),"BLACK")</f>
        <v>BLACK</v>
      </c>
      <c r="G5692" s="20" t="str">
        <f>IFERROR(__xludf.DUMMYFUNCTION("""COMPUTED_VALUE"""),"Uncle Sams Cider (04/04/2023)")</f>
        <v>Uncle Sams Cider (04/04/2023)</v>
      </c>
      <c r="H5692" s="19"/>
    </row>
    <row r="5693">
      <c r="A5693" s="9"/>
      <c r="B5693" s="15"/>
      <c r="C5693" s="9">
        <f>IFERROR(__xludf.DUMMYFUNCTION("""COMPUTED_VALUE"""),45084.9082991782)</f>
        <v>45084.9083</v>
      </c>
      <c r="D5693" s="15">
        <f>IFERROR(__xludf.DUMMYFUNCTION("""COMPUTED_VALUE"""),1.008)</f>
        <v>1.008</v>
      </c>
      <c r="E5693" s="16">
        <f>IFERROR(__xludf.DUMMYFUNCTION("""COMPUTED_VALUE"""),68.0)</f>
        <v>68</v>
      </c>
      <c r="F5693" s="19" t="str">
        <f>IFERROR(__xludf.DUMMYFUNCTION("""COMPUTED_VALUE"""),"BLACK")</f>
        <v>BLACK</v>
      </c>
      <c r="G5693" s="20" t="str">
        <f>IFERROR(__xludf.DUMMYFUNCTION("""COMPUTED_VALUE"""),"Uncle Sams Cider (04/04/2023)")</f>
        <v>Uncle Sams Cider (04/04/2023)</v>
      </c>
      <c r="H5693" s="19"/>
    </row>
    <row r="5694">
      <c r="A5694" s="9"/>
      <c r="B5694" s="15"/>
      <c r="C5694" s="9">
        <f>IFERROR(__xludf.DUMMYFUNCTION("""COMPUTED_VALUE"""),45084.8978649189)</f>
        <v>45084.89786</v>
      </c>
      <c r="D5694" s="15">
        <f>IFERROR(__xludf.DUMMYFUNCTION("""COMPUTED_VALUE"""),1.007)</f>
        <v>1.007</v>
      </c>
      <c r="E5694" s="16">
        <f>IFERROR(__xludf.DUMMYFUNCTION("""COMPUTED_VALUE"""),68.0)</f>
        <v>68</v>
      </c>
      <c r="F5694" s="19" t="str">
        <f>IFERROR(__xludf.DUMMYFUNCTION("""COMPUTED_VALUE"""),"BLACK")</f>
        <v>BLACK</v>
      </c>
      <c r="G5694" s="20" t="str">
        <f>IFERROR(__xludf.DUMMYFUNCTION("""COMPUTED_VALUE"""),"Uncle Sams Cider (04/04/2023)")</f>
        <v>Uncle Sams Cider (04/04/2023)</v>
      </c>
      <c r="H5694" s="19"/>
    </row>
    <row r="5695">
      <c r="A5695" s="9"/>
      <c r="B5695" s="15"/>
      <c r="C5695" s="9">
        <f>IFERROR(__xludf.DUMMYFUNCTION("""COMPUTED_VALUE"""),45084.8874440972)</f>
        <v>45084.88744</v>
      </c>
      <c r="D5695" s="15">
        <f>IFERROR(__xludf.DUMMYFUNCTION("""COMPUTED_VALUE"""),1.007)</f>
        <v>1.007</v>
      </c>
      <c r="E5695" s="16">
        <f>IFERROR(__xludf.DUMMYFUNCTION("""COMPUTED_VALUE"""),68.0)</f>
        <v>68</v>
      </c>
      <c r="F5695" s="19" t="str">
        <f>IFERROR(__xludf.DUMMYFUNCTION("""COMPUTED_VALUE"""),"BLACK")</f>
        <v>BLACK</v>
      </c>
      <c r="G5695" s="20" t="str">
        <f>IFERROR(__xludf.DUMMYFUNCTION("""COMPUTED_VALUE"""),"Uncle Sams Cider (04/04/2023)")</f>
        <v>Uncle Sams Cider (04/04/2023)</v>
      </c>
      <c r="H5695" s="19"/>
    </row>
    <row r="5696">
      <c r="A5696" s="9"/>
      <c r="B5696" s="15"/>
      <c r="C5696" s="9">
        <f>IFERROR(__xludf.DUMMYFUNCTION("""COMPUTED_VALUE"""),45084.8770007754)</f>
        <v>45084.877</v>
      </c>
      <c r="D5696" s="15">
        <f>IFERROR(__xludf.DUMMYFUNCTION("""COMPUTED_VALUE"""),1.008)</f>
        <v>1.008</v>
      </c>
      <c r="E5696" s="16">
        <f>IFERROR(__xludf.DUMMYFUNCTION("""COMPUTED_VALUE"""),68.0)</f>
        <v>68</v>
      </c>
      <c r="F5696" s="19" t="str">
        <f>IFERROR(__xludf.DUMMYFUNCTION("""COMPUTED_VALUE"""),"BLACK")</f>
        <v>BLACK</v>
      </c>
      <c r="G5696" s="20" t="str">
        <f>IFERROR(__xludf.DUMMYFUNCTION("""COMPUTED_VALUE"""),"Uncle Sams Cider (04/04/2023)")</f>
        <v>Uncle Sams Cider (04/04/2023)</v>
      </c>
      <c r="H5696" s="19"/>
    </row>
    <row r="5697">
      <c r="A5697" s="9"/>
      <c r="B5697" s="15"/>
      <c r="C5697" s="9">
        <f>IFERROR(__xludf.DUMMYFUNCTION("""COMPUTED_VALUE"""),45084.8665786226)</f>
        <v>45084.86658</v>
      </c>
      <c r="D5697" s="15">
        <f>IFERROR(__xludf.DUMMYFUNCTION("""COMPUTED_VALUE"""),1.008)</f>
        <v>1.008</v>
      </c>
      <c r="E5697" s="16">
        <f>IFERROR(__xludf.DUMMYFUNCTION("""COMPUTED_VALUE"""),68.0)</f>
        <v>68</v>
      </c>
      <c r="F5697" s="19" t="str">
        <f>IFERROR(__xludf.DUMMYFUNCTION("""COMPUTED_VALUE"""),"BLACK")</f>
        <v>BLACK</v>
      </c>
      <c r="G5697" s="20" t="str">
        <f>IFERROR(__xludf.DUMMYFUNCTION("""COMPUTED_VALUE"""),"Uncle Sams Cider (04/04/2023)")</f>
        <v>Uncle Sams Cider (04/04/2023)</v>
      </c>
      <c r="H5697" s="19"/>
    </row>
    <row r="5698">
      <c r="A5698" s="9"/>
      <c r="B5698" s="15"/>
      <c r="C5698" s="9">
        <f>IFERROR(__xludf.DUMMYFUNCTION("""COMPUTED_VALUE"""),45084.856157581)</f>
        <v>45084.85616</v>
      </c>
      <c r="D5698" s="15">
        <f>IFERROR(__xludf.DUMMYFUNCTION("""COMPUTED_VALUE"""),1.008)</f>
        <v>1.008</v>
      </c>
      <c r="E5698" s="16">
        <f>IFERROR(__xludf.DUMMYFUNCTION("""COMPUTED_VALUE"""),68.0)</f>
        <v>68</v>
      </c>
      <c r="F5698" s="19" t="str">
        <f>IFERROR(__xludf.DUMMYFUNCTION("""COMPUTED_VALUE"""),"BLACK")</f>
        <v>BLACK</v>
      </c>
      <c r="G5698" s="20" t="str">
        <f>IFERROR(__xludf.DUMMYFUNCTION("""COMPUTED_VALUE"""),"Uncle Sams Cider (04/04/2023)")</f>
        <v>Uncle Sams Cider (04/04/2023)</v>
      </c>
      <c r="H5698" s="19"/>
    </row>
    <row r="5699">
      <c r="A5699" s="9"/>
      <c r="B5699" s="15"/>
      <c r="C5699" s="9">
        <f>IFERROR(__xludf.DUMMYFUNCTION("""COMPUTED_VALUE"""),45084.8457362731)</f>
        <v>45084.84574</v>
      </c>
      <c r="D5699" s="15">
        <f>IFERROR(__xludf.DUMMYFUNCTION("""COMPUTED_VALUE"""),1.008)</f>
        <v>1.008</v>
      </c>
      <c r="E5699" s="16">
        <f>IFERROR(__xludf.DUMMYFUNCTION("""COMPUTED_VALUE"""),68.0)</f>
        <v>68</v>
      </c>
      <c r="F5699" s="19" t="str">
        <f>IFERROR(__xludf.DUMMYFUNCTION("""COMPUTED_VALUE"""),"BLACK")</f>
        <v>BLACK</v>
      </c>
      <c r="G5699" s="20" t="str">
        <f>IFERROR(__xludf.DUMMYFUNCTION("""COMPUTED_VALUE"""),"Uncle Sams Cider (04/04/2023)")</f>
        <v>Uncle Sams Cider (04/04/2023)</v>
      </c>
      <c r="H5699" s="19"/>
    </row>
    <row r="5700">
      <c r="A5700" s="9"/>
      <c r="B5700" s="15"/>
      <c r="C5700" s="9">
        <f>IFERROR(__xludf.DUMMYFUNCTION("""COMPUTED_VALUE"""),45084.8352801041)</f>
        <v>45084.83528</v>
      </c>
      <c r="D5700" s="15">
        <f>IFERROR(__xludf.DUMMYFUNCTION("""COMPUTED_VALUE"""),1.008)</f>
        <v>1.008</v>
      </c>
      <c r="E5700" s="16">
        <f>IFERROR(__xludf.DUMMYFUNCTION("""COMPUTED_VALUE"""),68.0)</f>
        <v>68</v>
      </c>
      <c r="F5700" s="19" t="str">
        <f>IFERROR(__xludf.DUMMYFUNCTION("""COMPUTED_VALUE"""),"BLACK")</f>
        <v>BLACK</v>
      </c>
      <c r="G5700" s="20" t="str">
        <f>IFERROR(__xludf.DUMMYFUNCTION("""COMPUTED_VALUE"""),"Uncle Sams Cider (04/04/2023)")</f>
        <v>Uncle Sams Cider (04/04/2023)</v>
      </c>
      <c r="H5700" s="19"/>
    </row>
    <row r="5701">
      <c r="A5701" s="9"/>
      <c r="B5701" s="15"/>
      <c r="C5701" s="9">
        <f>IFERROR(__xludf.DUMMYFUNCTION("""COMPUTED_VALUE"""),45084.8248593287)</f>
        <v>45084.82486</v>
      </c>
      <c r="D5701" s="15">
        <f>IFERROR(__xludf.DUMMYFUNCTION("""COMPUTED_VALUE"""),1.008)</f>
        <v>1.008</v>
      </c>
      <c r="E5701" s="16">
        <f>IFERROR(__xludf.DUMMYFUNCTION("""COMPUTED_VALUE"""),68.0)</f>
        <v>68</v>
      </c>
      <c r="F5701" s="19" t="str">
        <f>IFERROR(__xludf.DUMMYFUNCTION("""COMPUTED_VALUE"""),"BLACK")</f>
        <v>BLACK</v>
      </c>
      <c r="G5701" s="20" t="str">
        <f>IFERROR(__xludf.DUMMYFUNCTION("""COMPUTED_VALUE"""),"Uncle Sams Cider (04/04/2023)")</f>
        <v>Uncle Sams Cider (04/04/2023)</v>
      </c>
      <c r="H5701" s="19"/>
    </row>
    <row r="5702">
      <c r="A5702" s="9"/>
      <c r="B5702" s="15"/>
      <c r="C5702" s="9">
        <f>IFERROR(__xludf.DUMMYFUNCTION("""COMPUTED_VALUE"""),45084.8144256944)</f>
        <v>45084.81443</v>
      </c>
      <c r="D5702" s="15">
        <f>IFERROR(__xludf.DUMMYFUNCTION("""COMPUTED_VALUE"""),1.008)</f>
        <v>1.008</v>
      </c>
      <c r="E5702" s="16">
        <f>IFERROR(__xludf.DUMMYFUNCTION("""COMPUTED_VALUE"""),68.0)</f>
        <v>68</v>
      </c>
      <c r="F5702" s="19" t="str">
        <f>IFERROR(__xludf.DUMMYFUNCTION("""COMPUTED_VALUE"""),"BLACK")</f>
        <v>BLACK</v>
      </c>
      <c r="G5702" s="20" t="str">
        <f>IFERROR(__xludf.DUMMYFUNCTION("""COMPUTED_VALUE"""),"Uncle Sams Cider (04/04/2023)")</f>
        <v>Uncle Sams Cider (04/04/2023)</v>
      </c>
      <c r="H5702" s="19"/>
    </row>
    <row r="5703">
      <c r="A5703" s="9"/>
      <c r="B5703" s="15"/>
      <c r="C5703" s="9">
        <f>IFERROR(__xludf.DUMMYFUNCTION("""COMPUTED_VALUE"""),45084.8040039351)</f>
        <v>45084.804</v>
      </c>
      <c r="D5703" s="15">
        <f>IFERROR(__xludf.DUMMYFUNCTION("""COMPUTED_VALUE"""),1.007)</f>
        <v>1.007</v>
      </c>
      <c r="E5703" s="16">
        <f>IFERROR(__xludf.DUMMYFUNCTION("""COMPUTED_VALUE"""),68.0)</f>
        <v>68</v>
      </c>
      <c r="F5703" s="19" t="str">
        <f>IFERROR(__xludf.DUMMYFUNCTION("""COMPUTED_VALUE"""),"BLACK")</f>
        <v>BLACK</v>
      </c>
      <c r="G5703" s="20" t="str">
        <f>IFERROR(__xludf.DUMMYFUNCTION("""COMPUTED_VALUE"""),"Uncle Sams Cider (04/04/2023)")</f>
        <v>Uncle Sams Cider (04/04/2023)</v>
      </c>
      <c r="H5703" s="19"/>
    </row>
    <row r="5704">
      <c r="A5704" s="9"/>
      <c r="B5704" s="15"/>
      <c r="C5704" s="9">
        <f>IFERROR(__xludf.DUMMYFUNCTION("""COMPUTED_VALUE"""),45084.7935475)</f>
        <v>45084.79355</v>
      </c>
      <c r="D5704" s="15">
        <f>IFERROR(__xludf.DUMMYFUNCTION("""COMPUTED_VALUE"""),1.008)</f>
        <v>1.008</v>
      </c>
      <c r="E5704" s="16">
        <f>IFERROR(__xludf.DUMMYFUNCTION("""COMPUTED_VALUE"""),68.0)</f>
        <v>68</v>
      </c>
      <c r="F5704" s="19" t="str">
        <f>IFERROR(__xludf.DUMMYFUNCTION("""COMPUTED_VALUE"""),"BLACK")</f>
        <v>BLACK</v>
      </c>
      <c r="G5704" s="20" t="str">
        <f>IFERROR(__xludf.DUMMYFUNCTION("""COMPUTED_VALUE"""),"Uncle Sams Cider (04/04/2023)")</f>
        <v>Uncle Sams Cider (04/04/2023)</v>
      </c>
      <c r="H5704" s="19"/>
    </row>
    <row r="5705">
      <c r="A5705" s="9"/>
      <c r="B5705" s="15"/>
      <c r="C5705" s="9">
        <f>IFERROR(__xludf.DUMMYFUNCTION("""COMPUTED_VALUE"""),45084.78310375)</f>
        <v>45084.7831</v>
      </c>
      <c r="D5705" s="15">
        <f>IFERROR(__xludf.DUMMYFUNCTION("""COMPUTED_VALUE"""),1.008)</f>
        <v>1.008</v>
      </c>
      <c r="E5705" s="16">
        <f>IFERROR(__xludf.DUMMYFUNCTION("""COMPUTED_VALUE"""),68.0)</f>
        <v>68</v>
      </c>
      <c r="F5705" s="19" t="str">
        <f>IFERROR(__xludf.DUMMYFUNCTION("""COMPUTED_VALUE"""),"BLACK")</f>
        <v>BLACK</v>
      </c>
      <c r="G5705" s="20" t="str">
        <f>IFERROR(__xludf.DUMMYFUNCTION("""COMPUTED_VALUE"""),"Uncle Sams Cider (04/04/2023)")</f>
        <v>Uncle Sams Cider (04/04/2023)</v>
      </c>
      <c r="H5705" s="19"/>
    </row>
    <row r="5706">
      <c r="A5706" s="9"/>
      <c r="B5706" s="15"/>
      <c r="C5706" s="9">
        <f>IFERROR(__xludf.DUMMYFUNCTION("""COMPUTED_VALUE"""),45084.7726839814)</f>
        <v>45084.77268</v>
      </c>
      <c r="D5706" s="15">
        <f>IFERROR(__xludf.DUMMYFUNCTION("""COMPUTED_VALUE"""),1.008)</f>
        <v>1.008</v>
      </c>
      <c r="E5706" s="16">
        <f>IFERROR(__xludf.DUMMYFUNCTION("""COMPUTED_VALUE"""),68.0)</f>
        <v>68</v>
      </c>
      <c r="F5706" s="19" t="str">
        <f>IFERROR(__xludf.DUMMYFUNCTION("""COMPUTED_VALUE"""),"BLACK")</f>
        <v>BLACK</v>
      </c>
      <c r="G5706" s="20" t="str">
        <f>IFERROR(__xludf.DUMMYFUNCTION("""COMPUTED_VALUE"""),"Uncle Sams Cider (04/04/2023)")</f>
        <v>Uncle Sams Cider (04/04/2023)</v>
      </c>
      <c r="H5706" s="19"/>
    </row>
    <row r="5707">
      <c r="A5707" s="9"/>
      <c r="B5707" s="15"/>
      <c r="C5707" s="9">
        <f>IFERROR(__xludf.DUMMYFUNCTION("""COMPUTED_VALUE"""),45084.76226353)</f>
        <v>45084.76226</v>
      </c>
      <c r="D5707" s="15">
        <f>IFERROR(__xludf.DUMMYFUNCTION("""COMPUTED_VALUE"""),1.007)</f>
        <v>1.007</v>
      </c>
      <c r="E5707" s="16">
        <f>IFERROR(__xludf.DUMMYFUNCTION("""COMPUTED_VALUE"""),68.0)</f>
        <v>68</v>
      </c>
      <c r="F5707" s="19" t="str">
        <f>IFERROR(__xludf.DUMMYFUNCTION("""COMPUTED_VALUE"""),"BLACK")</f>
        <v>BLACK</v>
      </c>
      <c r="G5707" s="20" t="str">
        <f>IFERROR(__xludf.DUMMYFUNCTION("""COMPUTED_VALUE"""),"Uncle Sams Cider (04/04/2023)")</f>
        <v>Uncle Sams Cider (04/04/2023)</v>
      </c>
      <c r="H5707" s="19"/>
    </row>
    <row r="5708">
      <c r="A5708" s="9"/>
      <c r="B5708" s="15"/>
      <c r="C5708" s="9">
        <f>IFERROR(__xludf.DUMMYFUNCTION("""COMPUTED_VALUE"""),45084.7518296643)</f>
        <v>45084.75183</v>
      </c>
      <c r="D5708" s="15">
        <f>IFERROR(__xludf.DUMMYFUNCTION("""COMPUTED_VALUE"""),1.007)</f>
        <v>1.007</v>
      </c>
      <c r="E5708" s="16">
        <f>IFERROR(__xludf.DUMMYFUNCTION("""COMPUTED_VALUE"""),68.0)</f>
        <v>68</v>
      </c>
      <c r="F5708" s="19" t="str">
        <f>IFERROR(__xludf.DUMMYFUNCTION("""COMPUTED_VALUE"""),"BLACK")</f>
        <v>BLACK</v>
      </c>
      <c r="G5708" s="20" t="str">
        <f>IFERROR(__xludf.DUMMYFUNCTION("""COMPUTED_VALUE"""),"Uncle Sams Cider (04/04/2023)")</f>
        <v>Uncle Sams Cider (04/04/2023)</v>
      </c>
      <c r="H5708" s="19"/>
    </row>
    <row r="5709">
      <c r="A5709" s="9"/>
      <c r="B5709" s="15"/>
      <c r="C5709" s="9">
        <f>IFERROR(__xludf.DUMMYFUNCTION("""COMPUTED_VALUE"""),45084.7414089814)</f>
        <v>45084.74141</v>
      </c>
      <c r="D5709" s="15">
        <f>IFERROR(__xludf.DUMMYFUNCTION("""COMPUTED_VALUE"""),1.008)</f>
        <v>1.008</v>
      </c>
      <c r="E5709" s="16">
        <f>IFERROR(__xludf.DUMMYFUNCTION("""COMPUTED_VALUE"""),68.0)</f>
        <v>68</v>
      </c>
      <c r="F5709" s="19" t="str">
        <f>IFERROR(__xludf.DUMMYFUNCTION("""COMPUTED_VALUE"""),"BLACK")</f>
        <v>BLACK</v>
      </c>
      <c r="G5709" s="20" t="str">
        <f>IFERROR(__xludf.DUMMYFUNCTION("""COMPUTED_VALUE"""),"Uncle Sams Cider (04/04/2023)")</f>
        <v>Uncle Sams Cider (04/04/2023)</v>
      </c>
      <c r="H5709" s="19"/>
    </row>
    <row r="5710">
      <c r="A5710" s="9"/>
      <c r="B5710" s="15"/>
      <c r="C5710" s="9">
        <f>IFERROR(__xludf.DUMMYFUNCTION("""COMPUTED_VALUE"""),45084.7309535763)</f>
        <v>45084.73095</v>
      </c>
      <c r="D5710" s="15">
        <f>IFERROR(__xludf.DUMMYFUNCTION("""COMPUTED_VALUE"""),1.007)</f>
        <v>1.007</v>
      </c>
      <c r="E5710" s="16">
        <f>IFERROR(__xludf.DUMMYFUNCTION("""COMPUTED_VALUE"""),68.0)</f>
        <v>68</v>
      </c>
      <c r="F5710" s="19" t="str">
        <f>IFERROR(__xludf.DUMMYFUNCTION("""COMPUTED_VALUE"""),"BLACK")</f>
        <v>BLACK</v>
      </c>
      <c r="G5710" s="20" t="str">
        <f>IFERROR(__xludf.DUMMYFUNCTION("""COMPUTED_VALUE"""),"Uncle Sams Cider (04/04/2023)")</f>
        <v>Uncle Sams Cider (04/04/2023)</v>
      </c>
      <c r="H5710" s="19"/>
    </row>
    <row r="5711">
      <c r="A5711" s="9"/>
      <c r="B5711" s="15"/>
      <c r="C5711" s="9">
        <f>IFERROR(__xludf.DUMMYFUNCTION("""COMPUTED_VALUE"""),45084.7205327893)</f>
        <v>45084.72053</v>
      </c>
      <c r="D5711" s="15">
        <f>IFERROR(__xludf.DUMMYFUNCTION("""COMPUTED_VALUE"""),1.008)</f>
        <v>1.008</v>
      </c>
      <c r="E5711" s="16">
        <f>IFERROR(__xludf.DUMMYFUNCTION("""COMPUTED_VALUE"""),68.0)</f>
        <v>68</v>
      </c>
      <c r="F5711" s="19" t="str">
        <f>IFERROR(__xludf.DUMMYFUNCTION("""COMPUTED_VALUE"""),"BLACK")</f>
        <v>BLACK</v>
      </c>
      <c r="G5711" s="20" t="str">
        <f>IFERROR(__xludf.DUMMYFUNCTION("""COMPUTED_VALUE"""),"Uncle Sams Cider (04/04/2023)")</f>
        <v>Uncle Sams Cider (04/04/2023)</v>
      </c>
      <c r="H5711" s="19"/>
    </row>
    <row r="5712">
      <c r="A5712" s="9"/>
      <c r="B5712" s="15"/>
      <c r="C5712" s="9">
        <f>IFERROR(__xludf.DUMMYFUNCTION("""COMPUTED_VALUE"""),45084.7101000694)</f>
        <v>45084.7101</v>
      </c>
      <c r="D5712" s="15">
        <f>IFERROR(__xludf.DUMMYFUNCTION("""COMPUTED_VALUE"""),1.008)</f>
        <v>1.008</v>
      </c>
      <c r="E5712" s="16">
        <f>IFERROR(__xludf.DUMMYFUNCTION("""COMPUTED_VALUE"""),68.0)</f>
        <v>68</v>
      </c>
      <c r="F5712" s="19" t="str">
        <f>IFERROR(__xludf.DUMMYFUNCTION("""COMPUTED_VALUE"""),"BLACK")</f>
        <v>BLACK</v>
      </c>
      <c r="G5712" s="20" t="str">
        <f>IFERROR(__xludf.DUMMYFUNCTION("""COMPUTED_VALUE"""),"Uncle Sams Cider (04/04/2023)")</f>
        <v>Uncle Sams Cider (04/04/2023)</v>
      </c>
      <c r="H5712" s="19"/>
    </row>
    <row r="5713">
      <c r="A5713" s="9"/>
      <c r="B5713" s="15"/>
      <c r="C5713" s="9">
        <f>IFERROR(__xludf.DUMMYFUNCTION("""COMPUTED_VALUE"""),45084.6996679282)</f>
        <v>45084.69967</v>
      </c>
      <c r="D5713" s="15">
        <f>IFERROR(__xludf.DUMMYFUNCTION("""COMPUTED_VALUE"""),1.007)</f>
        <v>1.007</v>
      </c>
      <c r="E5713" s="16">
        <f>IFERROR(__xludf.DUMMYFUNCTION("""COMPUTED_VALUE"""),68.0)</f>
        <v>68</v>
      </c>
      <c r="F5713" s="19" t="str">
        <f>IFERROR(__xludf.DUMMYFUNCTION("""COMPUTED_VALUE"""),"BLACK")</f>
        <v>BLACK</v>
      </c>
      <c r="G5713" s="20" t="str">
        <f>IFERROR(__xludf.DUMMYFUNCTION("""COMPUTED_VALUE"""),"Uncle Sams Cider (04/04/2023)")</f>
        <v>Uncle Sams Cider (04/04/2023)</v>
      </c>
      <c r="H5713" s="19"/>
    </row>
    <row r="5714">
      <c r="A5714" s="9"/>
      <c r="B5714" s="15"/>
      <c r="C5714" s="9">
        <f>IFERROR(__xludf.DUMMYFUNCTION("""COMPUTED_VALUE"""),45084.6892467708)</f>
        <v>45084.68925</v>
      </c>
      <c r="D5714" s="15">
        <f>IFERROR(__xludf.DUMMYFUNCTION("""COMPUTED_VALUE"""),1.008)</f>
        <v>1.008</v>
      </c>
      <c r="E5714" s="16">
        <f>IFERROR(__xludf.DUMMYFUNCTION("""COMPUTED_VALUE"""),68.0)</f>
        <v>68</v>
      </c>
      <c r="F5714" s="19" t="str">
        <f>IFERROR(__xludf.DUMMYFUNCTION("""COMPUTED_VALUE"""),"BLACK")</f>
        <v>BLACK</v>
      </c>
      <c r="G5714" s="20" t="str">
        <f>IFERROR(__xludf.DUMMYFUNCTION("""COMPUTED_VALUE"""),"Uncle Sams Cider (04/04/2023)")</f>
        <v>Uncle Sams Cider (04/04/2023)</v>
      </c>
      <c r="H5714" s="19"/>
    </row>
    <row r="5715">
      <c r="A5715" s="9"/>
      <c r="B5715" s="15"/>
      <c r="C5715" s="9">
        <f>IFERROR(__xludf.DUMMYFUNCTION("""COMPUTED_VALUE"""),45084.678825)</f>
        <v>45084.67883</v>
      </c>
      <c r="D5715" s="15">
        <f>IFERROR(__xludf.DUMMYFUNCTION("""COMPUTED_VALUE"""),1.008)</f>
        <v>1.008</v>
      </c>
      <c r="E5715" s="16">
        <f>IFERROR(__xludf.DUMMYFUNCTION("""COMPUTED_VALUE"""),68.0)</f>
        <v>68</v>
      </c>
      <c r="F5715" s="19" t="str">
        <f>IFERROR(__xludf.DUMMYFUNCTION("""COMPUTED_VALUE"""),"BLACK")</f>
        <v>BLACK</v>
      </c>
      <c r="G5715" s="20" t="str">
        <f>IFERROR(__xludf.DUMMYFUNCTION("""COMPUTED_VALUE"""),"Uncle Sams Cider (04/04/2023)")</f>
        <v>Uncle Sams Cider (04/04/2023)</v>
      </c>
      <c r="H5715" s="19"/>
    </row>
    <row r="5716">
      <c r="A5716" s="9"/>
      <c r="B5716" s="15"/>
      <c r="C5716" s="9">
        <f>IFERROR(__xludf.DUMMYFUNCTION("""COMPUTED_VALUE"""),45084.6684035185)</f>
        <v>45084.6684</v>
      </c>
      <c r="D5716" s="15">
        <f>IFERROR(__xludf.DUMMYFUNCTION("""COMPUTED_VALUE"""),1.008)</f>
        <v>1.008</v>
      </c>
      <c r="E5716" s="16">
        <f>IFERROR(__xludf.DUMMYFUNCTION("""COMPUTED_VALUE"""),68.0)</f>
        <v>68</v>
      </c>
      <c r="F5716" s="19" t="str">
        <f>IFERROR(__xludf.DUMMYFUNCTION("""COMPUTED_VALUE"""),"BLACK")</f>
        <v>BLACK</v>
      </c>
      <c r="G5716" s="20" t="str">
        <f>IFERROR(__xludf.DUMMYFUNCTION("""COMPUTED_VALUE"""),"Uncle Sams Cider (04/04/2023)")</f>
        <v>Uncle Sams Cider (04/04/2023)</v>
      </c>
      <c r="H5716" s="19"/>
    </row>
    <row r="5717">
      <c r="A5717" s="9"/>
      <c r="B5717" s="15"/>
      <c r="C5717" s="9">
        <f>IFERROR(__xludf.DUMMYFUNCTION("""COMPUTED_VALUE"""),45084.6579788773)</f>
        <v>45084.65798</v>
      </c>
      <c r="D5717" s="15">
        <f>IFERROR(__xludf.DUMMYFUNCTION("""COMPUTED_VALUE"""),1.008)</f>
        <v>1.008</v>
      </c>
      <c r="E5717" s="16">
        <f>IFERROR(__xludf.DUMMYFUNCTION("""COMPUTED_VALUE"""),68.0)</f>
        <v>68</v>
      </c>
      <c r="F5717" s="19" t="str">
        <f>IFERROR(__xludf.DUMMYFUNCTION("""COMPUTED_VALUE"""),"BLACK")</f>
        <v>BLACK</v>
      </c>
      <c r="G5717" s="20" t="str">
        <f>IFERROR(__xludf.DUMMYFUNCTION("""COMPUTED_VALUE"""),"Uncle Sams Cider (04/04/2023)")</f>
        <v>Uncle Sams Cider (04/04/2023)</v>
      </c>
      <c r="H5717" s="19"/>
    </row>
    <row r="5718">
      <c r="A5718" s="9"/>
      <c r="B5718" s="15"/>
      <c r="C5718" s="9">
        <f>IFERROR(__xludf.DUMMYFUNCTION("""COMPUTED_VALUE"""),45084.6475471759)</f>
        <v>45084.64755</v>
      </c>
      <c r="D5718" s="15">
        <f>IFERROR(__xludf.DUMMYFUNCTION("""COMPUTED_VALUE"""),1.008)</f>
        <v>1.008</v>
      </c>
      <c r="E5718" s="16">
        <f>IFERROR(__xludf.DUMMYFUNCTION("""COMPUTED_VALUE"""),68.0)</f>
        <v>68</v>
      </c>
      <c r="F5718" s="19" t="str">
        <f>IFERROR(__xludf.DUMMYFUNCTION("""COMPUTED_VALUE"""),"BLACK")</f>
        <v>BLACK</v>
      </c>
      <c r="G5718" s="20" t="str">
        <f>IFERROR(__xludf.DUMMYFUNCTION("""COMPUTED_VALUE"""),"Uncle Sams Cider (04/04/2023)")</f>
        <v>Uncle Sams Cider (04/04/2023)</v>
      </c>
      <c r="H5718" s="19"/>
    </row>
    <row r="5719">
      <c r="A5719" s="9"/>
      <c r="B5719" s="15"/>
      <c r="C5719" s="9">
        <f>IFERROR(__xludf.DUMMYFUNCTION("""COMPUTED_VALUE"""),45084.6371274189)</f>
        <v>45084.63713</v>
      </c>
      <c r="D5719" s="15">
        <f>IFERROR(__xludf.DUMMYFUNCTION("""COMPUTED_VALUE"""),1.008)</f>
        <v>1.008</v>
      </c>
      <c r="E5719" s="16">
        <f>IFERROR(__xludf.DUMMYFUNCTION("""COMPUTED_VALUE"""),68.0)</f>
        <v>68</v>
      </c>
      <c r="F5719" s="19" t="str">
        <f>IFERROR(__xludf.DUMMYFUNCTION("""COMPUTED_VALUE"""),"BLACK")</f>
        <v>BLACK</v>
      </c>
      <c r="G5719" s="20" t="str">
        <f>IFERROR(__xludf.DUMMYFUNCTION("""COMPUTED_VALUE"""),"Uncle Sams Cider (04/04/2023)")</f>
        <v>Uncle Sams Cider (04/04/2023)</v>
      </c>
      <c r="H5719" s="19"/>
    </row>
    <row r="5720">
      <c r="A5720" s="9"/>
      <c r="B5720" s="15"/>
      <c r="C5720" s="9">
        <f>IFERROR(__xludf.DUMMYFUNCTION("""COMPUTED_VALUE"""),45084.6266943518)</f>
        <v>45084.62669</v>
      </c>
      <c r="D5720" s="15">
        <f>IFERROR(__xludf.DUMMYFUNCTION("""COMPUTED_VALUE"""),1.008)</f>
        <v>1.008</v>
      </c>
      <c r="E5720" s="16">
        <f>IFERROR(__xludf.DUMMYFUNCTION("""COMPUTED_VALUE"""),68.0)</f>
        <v>68</v>
      </c>
      <c r="F5720" s="19" t="str">
        <f>IFERROR(__xludf.DUMMYFUNCTION("""COMPUTED_VALUE"""),"BLACK")</f>
        <v>BLACK</v>
      </c>
      <c r="G5720" s="20" t="str">
        <f>IFERROR(__xludf.DUMMYFUNCTION("""COMPUTED_VALUE"""),"Uncle Sams Cider (04/04/2023)")</f>
        <v>Uncle Sams Cider (04/04/2023)</v>
      </c>
      <c r="H5720" s="19"/>
    </row>
    <row r="5721">
      <c r="A5721" s="9"/>
      <c r="B5721" s="15"/>
      <c r="C5721" s="9">
        <f>IFERROR(__xludf.DUMMYFUNCTION("""COMPUTED_VALUE"""),45084.6162606365)</f>
        <v>45084.61626</v>
      </c>
      <c r="D5721" s="15">
        <f>IFERROR(__xludf.DUMMYFUNCTION("""COMPUTED_VALUE"""),1.008)</f>
        <v>1.008</v>
      </c>
      <c r="E5721" s="16">
        <f>IFERROR(__xludf.DUMMYFUNCTION("""COMPUTED_VALUE"""),68.0)</f>
        <v>68</v>
      </c>
      <c r="F5721" s="19" t="str">
        <f>IFERROR(__xludf.DUMMYFUNCTION("""COMPUTED_VALUE"""),"BLACK")</f>
        <v>BLACK</v>
      </c>
      <c r="G5721" s="20" t="str">
        <f>IFERROR(__xludf.DUMMYFUNCTION("""COMPUTED_VALUE"""),"Uncle Sams Cider (04/04/2023)")</f>
        <v>Uncle Sams Cider (04/04/2023)</v>
      </c>
      <c r="H5721" s="19"/>
    </row>
    <row r="5722">
      <c r="A5722" s="9"/>
      <c r="B5722" s="15"/>
      <c r="C5722" s="9">
        <f>IFERROR(__xludf.DUMMYFUNCTION("""COMPUTED_VALUE"""),45084.6058263194)</f>
        <v>45084.60583</v>
      </c>
      <c r="D5722" s="15">
        <f>IFERROR(__xludf.DUMMYFUNCTION("""COMPUTED_VALUE"""),1.008)</f>
        <v>1.008</v>
      </c>
      <c r="E5722" s="16">
        <f>IFERROR(__xludf.DUMMYFUNCTION("""COMPUTED_VALUE"""),68.0)</f>
        <v>68</v>
      </c>
      <c r="F5722" s="19" t="str">
        <f>IFERROR(__xludf.DUMMYFUNCTION("""COMPUTED_VALUE"""),"BLACK")</f>
        <v>BLACK</v>
      </c>
      <c r="G5722" s="20" t="str">
        <f>IFERROR(__xludf.DUMMYFUNCTION("""COMPUTED_VALUE"""),"Uncle Sams Cider (04/04/2023)")</f>
        <v>Uncle Sams Cider (04/04/2023)</v>
      </c>
      <c r="H5722" s="19"/>
    </row>
    <row r="5723">
      <c r="A5723" s="9"/>
      <c r="B5723" s="15"/>
      <c r="C5723" s="9">
        <f>IFERROR(__xludf.DUMMYFUNCTION("""COMPUTED_VALUE"""),45084.595404699)</f>
        <v>45084.5954</v>
      </c>
      <c r="D5723" s="15">
        <f>IFERROR(__xludf.DUMMYFUNCTION("""COMPUTED_VALUE"""),1.008)</f>
        <v>1.008</v>
      </c>
      <c r="E5723" s="16">
        <f>IFERROR(__xludf.DUMMYFUNCTION("""COMPUTED_VALUE"""),68.0)</f>
        <v>68</v>
      </c>
      <c r="F5723" s="19" t="str">
        <f>IFERROR(__xludf.DUMMYFUNCTION("""COMPUTED_VALUE"""),"BLACK")</f>
        <v>BLACK</v>
      </c>
      <c r="G5723" s="20" t="str">
        <f>IFERROR(__xludf.DUMMYFUNCTION("""COMPUTED_VALUE"""),"Uncle Sams Cider (04/04/2023)")</f>
        <v>Uncle Sams Cider (04/04/2023)</v>
      </c>
      <c r="H5723" s="19"/>
    </row>
    <row r="5724">
      <c r="A5724" s="9"/>
      <c r="B5724" s="15"/>
      <c r="C5724" s="9">
        <f>IFERROR(__xludf.DUMMYFUNCTION("""COMPUTED_VALUE"""),45084.5849714236)</f>
        <v>45084.58497</v>
      </c>
      <c r="D5724" s="15">
        <f>IFERROR(__xludf.DUMMYFUNCTION("""COMPUTED_VALUE"""),1.008)</f>
        <v>1.008</v>
      </c>
      <c r="E5724" s="16">
        <f>IFERROR(__xludf.DUMMYFUNCTION("""COMPUTED_VALUE"""),68.0)</f>
        <v>68</v>
      </c>
      <c r="F5724" s="19" t="str">
        <f>IFERROR(__xludf.DUMMYFUNCTION("""COMPUTED_VALUE"""),"BLACK")</f>
        <v>BLACK</v>
      </c>
      <c r="G5724" s="20" t="str">
        <f>IFERROR(__xludf.DUMMYFUNCTION("""COMPUTED_VALUE"""),"Uncle Sams Cider (04/04/2023)")</f>
        <v>Uncle Sams Cider (04/04/2023)</v>
      </c>
      <c r="H5724" s="19"/>
    </row>
    <row r="5725">
      <c r="A5725" s="9"/>
      <c r="B5725" s="15"/>
      <c r="C5725" s="9">
        <f>IFERROR(__xludf.DUMMYFUNCTION("""COMPUTED_VALUE"""),45084.5745509722)</f>
        <v>45084.57455</v>
      </c>
      <c r="D5725" s="15">
        <f>IFERROR(__xludf.DUMMYFUNCTION("""COMPUTED_VALUE"""),1.008)</f>
        <v>1.008</v>
      </c>
      <c r="E5725" s="16">
        <f>IFERROR(__xludf.DUMMYFUNCTION("""COMPUTED_VALUE"""),68.0)</f>
        <v>68</v>
      </c>
      <c r="F5725" s="19" t="str">
        <f>IFERROR(__xludf.DUMMYFUNCTION("""COMPUTED_VALUE"""),"BLACK")</f>
        <v>BLACK</v>
      </c>
      <c r="G5725" s="20" t="str">
        <f>IFERROR(__xludf.DUMMYFUNCTION("""COMPUTED_VALUE"""),"Uncle Sams Cider (04/04/2023)")</f>
        <v>Uncle Sams Cider (04/04/2023)</v>
      </c>
      <c r="H5725" s="19"/>
    </row>
    <row r="5726">
      <c r="A5726" s="9"/>
      <c r="B5726" s="15"/>
      <c r="C5726" s="9">
        <f>IFERROR(__xludf.DUMMYFUNCTION("""COMPUTED_VALUE"""),45084.5641302777)</f>
        <v>45084.56413</v>
      </c>
      <c r="D5726" s="15">
        <f>IFERROR(__xludf.DUMMYFUNCTION("""COMPUTED_VALUE"""),1.008)</f>
        <v>1.008</v>
      </c>
      <c r="E5726" s="16">
        <f>IFERROR(__xludf.DUMMYFUNCTION("""COMPUTED_VALUE"""),68.0)</f>
        <v>68</v>
      </c>
      <c r="F5726" s="19" t="str">
        <f>IFERROR(__xludf.DUMMYFUNCTION("""COMPUTED_VALUE"""),"BLACK")</f>
        <v>BLACK</v>
      </c>
      <c r="G5726" s="20" t="str">
        <f>IFERROR(__xludf.DUMMYFUNCTION("""COMPUTED_VALUE"""),"Uncle Sams Cider (04/04/2023)")</f>
        <v>Uncle Sams Cider (04/04/2023)</v>
      </c>
      <c r="H5726" s="19"/>
    </row>
    <row r="5727">
      <c r="A5727" s="9"/>
      <c r="B5727" s="15"/>
      <c r="C5727" s="9">
        <f>IFERROR(__xludf.DUMMYFUNCTION("""COMPUTED_VALUE"""),45084.5536865046)</f>
        <v>45084.55369</v>
      </c>
      <c r="D5727" s="15">
        <f>IFERROR(__xludf.DUMMYFUNCTION("""COMPUTED_VALUE"""),1.008)</f>
        <v>1.008</v>
      </c>
      <c r="E5727" s="16">
        <f>IFERROR(__xludf.DUMMYFUNCTION("""COMPUTED_VALUE"""),68.0)</f>
        <v>68</v>
      </c>
      <c r="F5727" s="19" t="str">
        <f>IFERROR(__xludf.DUMMYFUNCTION("""COMPUTED_VALUE"""),"BLACK")</f>
        <v>BLACK</v>
      </c>
      <c r="G5727" s="20" t="str">
        <f>IFERROR(__xludf.DUMMYFUNCTION("""COMPUTED_VALUE"""),"Uncle Sams Cider (04/04/2023)")</f>
        <v>Uncle Sams Cider (04/04/2023)</v>
      </c>
      <c r="H5727" s="19"/>
    </row>
    <row r="5728">
      <c r="A5728" s="9"/>
      <c r="B5728" s="15"/>
      <c r="C5728" s="9">
        <f>IFERROR(__xludf.DUMMYFUNCTION("""COMPUTED_VALUE"""),45084.5432648263)</f>
        <v>45084.54326</v>
      </c>
      <c r="D5728" s="15">
        <f>IFERROR(__xludf.DUMMYFUNCTION("""COMPUTED_VALUE"""),1.008)</f>
        <v>1.008</v>
      </c>
      <c r="E5728" s="16">
        <f>IFERROR(__xludf.DUMMYFUNCTION("""COMPUTED_VALUE"""),68.0)</f>
        <v>68</v>
      </c>
      <c r="F5728" s="19" t="str">
        <f>IFERROR(__xludf.DUMMYFUNCTION("""COMPUTED_VALUE"""),"BLACK")</f>
        <v>BLACK</v>
      </c>
      <c r="G5728" s="20" t="str">
        <f>IFERROR(__xludf.DUMMYFUNCTION("""COMPUTED_VALUE"""),"Uncle Sams Cider (04/04/2023)")</f>
        <v>Uncle Sams Cider (04/04/2023)</v>
      </c>
      <c r="H5728" s="19"/>
    </row>
    <row r="5729">
      <c r="A5729" s="9"/>
      <c r="B5729" s="15"/>
      <c r="C5729" s="9">
        <f>IFERROR(__xludf.DUMMYFUNCTION("""COMPUTED_VALUE"""),45084.5328428125)</f>
        <v>45084.53284</v>
      </c>
      <c r="D5729" s="15">
        <f>IFERROR(__xludf.DUMMYFUNCTION("""COMPUTED_VALUE"""),1.008)</f>
        <v>1.008</v>
      </c>
      <c r="E5729" s="16">
        <f>IFERROR(__xludf.DUMMYFUNCTION("""COMPUTED_VALUE"""),68.0)</f>
        <v>68</v>
      </c>
      <c r="F5729" s="19" t="str">
        <f>IFERROR(__xludf.DUMMYFUNCTION("""COMPUTED_VALUE"""),"BLACK")</f>
        <v>BLACK</v>
      </c>
      <c r="G5729" s="20" t="str">
        <f>IFERROR(__xludf.DUMMYFUNCTION("""COMPUTED_VALUE"""),"Uncle Sams Cider (04/04/2023)")</f>
        <v>Uncle Sams Cider (04/04/2023)</v>
      </c>
      <c r="H5729" s="19"/>
    </row>
    <row r="5730">
      <c r="A5730" s="9"/>
      <c r="B5730" s="15"/>
      <c r="C5730" s="9">
        <f>IFERROR(__xludf.DUMMYFUNCTION("""COMPUTED_VALUE"""),45084.522421331)</f>
        <v>45084.52242</v>
      </c>
      <c r="D5730" s="15">
        <f>IFERROR(__xludf.DUMMYFUNCTION("""COMPUTED_VALUE"""),1.008)</f>
        <v>1.008</v>
      </c>
      <c r="E5730" s="16">
        <f>IFERROR(__xludf.DUMMYFUNCTION("""COMPUTED_VALUE"""),68.0)</f>
        <v>68</v>
      </c>
      <c r="F5730" s="19" t="str">
        <f>IFERROR(__xludf.DUMMYFUNCTION("""COMPUTED_VALUE"""),"BLACK")</f>
        <v>BLACK</v>
      </c>
      <c r="G5730" s="20" t="str">
        <f>IFERROR(__xludf.DUMMYFUNCTION("""COMPUTED_VALUE"""),"Uncle Sams Cider (04/04/2023)")</f>
        <v>Uncle Sams Cider (04/04/2023)</v>
      </c>
      <c r="H5730" s="19"/>
    </row>
    <row r="5731">
      <c r="A5731" s="9"/>
      <c r="B5731" s="15"/>
      <c r="C5731" s="9">
        <f>IFERROR(__xludf.DUMMYFUNCTION("""COMPUTED_VALUE"""),45084.5120000694)</f>
        <v>45084.512</v>
      </c>
      <c r="D5731" s="15">
        <f>IFERROR(__xludf.DUMMYFUNCTION("""COMPUTED_VALUE"""),1.008)</f>
        <v>1.008</v>
      </c>
      <c r="E5731" s="16">
        <f>IFERROR(__xludf.DUMMYFUNCTION("""COMPUTED_VALUE"""),68.0)</f>
        <v>68</v>
      </c>
      <c r="F5731" s="19" t="str">
        <f>IFERROR(__xludf.DUMMYFUNCTION("""COMPUTED_VALUE"""),"BLACK")</f>
        <v>BLACK</v>
      </c>
      <c r="G5731" s="20" t="str">
        <f>IFERROR(__xludf.DUMMYFUNCTION("""COMPUTED_VALUE"""),"Uncle Sams Cider (04/04/2023)")</f>
        <v>Uncle Sams Cider (04/04/2023)</v>
      </c>
      <c r="H5731" s="19"/>
    </row>
    <row r="5732">
      <c r="A5732" s="9"/>
      <c r="B5732" s="15"/>
      <c r="C5732" s="9">
        <f>IFERROR(__xludf.DUMMYFUNCTION("""COMPUTED_VALUE"""),45084.5015776851)</f>
        <v>45084.50158</v>
      </c>
      <c r="D5732" s="15">
        <f>IFERROR(__xludf.DUMMYFUNCTION("""COMPUTED_VALUE"""),1.008)</f>
        <v>1.008</v>
      </c>
      <c r="E5732" s="16">
        <f>IFERROR(__xludf.DUMMYFUNCTION("""COMPUTED_VALUE"""),68.0)</f>
        <v>68</v>
      </c>
      <c r="F5732" s="19" t="str">
        <f>IFERROR(__xludf.DUMMYFUNCTION("""COMPUTED_VALUE"""),"BLACK")</f>
        <v>BLACK</v>
      </c>
      <c r="G5732" s="20" t="str">
        <f>IFERROR(__xludf.DUMMYFUNCTION("""COMPUTED_VALUE"""),"Uncle Sams Cider (04/04/2023)")</f>
        <v>Uncle Sams Cider (04/04/2023)</v>
      </c>
      <c r="H5732" s="19"/>
    </row>
    <row r="5733">
      <c r="A5733" s="9"/>
      <c r="B5733" s="15"/>
      <c r="C5733" s="9">
        <f>IFERROR(__xludf.DUMMYFUNCTION("""COMPUTED_VALUE"""),45084.4911565856)</f>
        <v>45084.49116</v>
      </c>
      <c r="D5733" s="15">
        <f>IFERROR(__xludf.DUMMYFUNCTION("""COMPUTED_VALUE"""),1.007)</f>
        <v>1.007</v>
      </c>
      <c r="E5733" s="16">
        <f>IFERROR(__xludf.DUMMYFUNCTION("""COMPUTED_VALUE"""),68.0)</f>
        <v>68</v>
      </c>
      <c r="F5733" s="19" t="str">
        <f>IFERROR(__xludf.DUMMYFUNCTION("""COMPUTED_VALUE"""),"BLACK")</f>
        <v>BLACK</v>
      </c>
      <c r="G5733" s="20" t="str">
        <f>IFERROR(__xludf.DUMMYFUNCTION("""COMPUTED_VALUE"""),"Uncle Sams Cider (04/04/2023)")</f>
        <v>Uncle Sams Cider (04/04/2023)</v>
      </c>
      <c r="H5733" s="19"/>
    </row>
    <row r="5734">
      <c r="A5734" s="9"/>
      <c r="B5734" s="15"/>
      <c r="C5734" s="9">
        <f>IFERROR(__xludf.DUMMYFUNCTION("""COMPUTED_VALUE"""),45084.4807333912)</f>
        <v>45084.48073</v>
      </c>
      <c r="D5734" s="15">
        <f>IFERROR(__xludf.DUMMYFUNCTION("""COMPUTED_VALUE"""),1.008)</f>
        <v>1.008</v>
      </c>
      <c r="E5734" s="16">
        <f>IFERROR(__xludf.DUMMYFUNCTION("""COMPUTED_VALUE"""),68.0)</f>
        <v>68</v>
      </c>
      <c r="F5734" s="19" t="str">
        <f>IFERROR(__xludf.DUMMYFUNCTION("""COMPUTED_VALUE"""),"BLACK")</f>
        <v>BLACK</v>
      </c>
      <c r="G5734" s="20" t="str">
        <f>IFERROR(__xludf.DUMMYFUNCTION("""COMPUTED_VALUE"""),"Uncle Sams Cider (04/04/2023)")</f>
        <v>Uncle Sams Cider (04/04/2023)</v>
      </c>
      <c r="H5734" s="19"/>
    </row>
    <row r="5735">
      <c r="A5735" s="9"/>
      <c r="B5735" s="15"/>
      <c r="C5735" s="9">
        <f>IFERROR(__xludf.DUMMYFUNCTION("""COMPUTED_VALUE"""),45084.4703134722)</f>
        <v>45084.47031</v>
      </c>
      <c r="D5735" s="15">
        <f>IFERROR(__xludf.DUMMYFUNCTION("""COMPUTED_VALUE"""),1.008)</f>
        <v>1.008</v>
      </c>
      <c r="E5735" s="16">
        <f>IFERROR(__xludf.DUMMYFUNCTION("""COMPUTED_VALUE"""),68.0)</f>
        <v>68</v>
      </c>
      <c r="F5735" s="19" t="str">
        <f>IFERROR(__xludf.DUMMYFUNCTION("""COMPUTED_VALUE"""),"BLACK")</f>
        <v>BLACK</v>
      </c>
      <c r="G5735" s="20" t="str">
        <f>IFERROR(__xludf.DUMMYFUNCTION("""COMPUTED_VALUE"""),"Uncle Sams Cider (04/04/2023)")</f>
        <v>Uncle Sams Cider (04/04/2023)</v>
      </c>
      <c r="H5735" s="19"/>
    </row>
    <row r="5736">
      <c r="A5736" s="9"/>
      <c r="B5736" s="15"/>
      <c r="C5736" s="9">
        <f>IFERROR(__xludf.DUMMYFUNCTION("""COMPUTED_VALUE"""),45084.459882743)</f>
        <v>45084.45988</v>
      </c>
      <c r="D5736" s="15">
        <f>IFERROR(__xludf.DUMMYFUNCTION("""COMPUTED_VALUE"""),1.008)</f>
        <v>1.008</v>
      </c>
      <c r="E5736" s="16">
        <f>IFERROR(__xludf.DUMMYFUNCTION("""COMPUTED_VALUE"""),68.0)</f>
        <v>68</v>
      </c>
      <c r="F5736" s="19" t="str">
        <f>IFERROR(__xludf.DUMMYFUNCTION("""COMPUTED_VALUE"""),"BLACK")</f>
        <v>BLACK</v>
      </c>
      <c r="G5736" s="20" t="str">
        <f>IFERROR(__xludf.DUMMYFUNCTION("""COMPUTED_VALUE"""),"Uncle Sams Cider (04/04/2023)")</f>
        <v>Uncle Sams Cider (04/04/2023)</v>
      </c>
      <c r="H5736" s="19"/>
    </row>
    <row r="5737">
      <c r="A5737" s="9"/>
      <c r="B5737" s="15"/>
      <c r="C5737" s="9">
        <f>IFERROR(__xludf.DUMMYFUNCTION("""COMPUTED_VALUE"""),45084.4494521759)</f>
        <v>45084.44945</v>
      </c>
      <c r="D5737" s="15">
        <f>IFERROR(__xludf.DUMMYFUNCTION("""COMPUTED_VALUE"""),1.008)</f>
        <v>1.008</v>
      </c>
      <c r="E5737" s="16">
        <f>IFERROR(__xludf.DUMMYFUNCTION("""COMPUTED_VALUE"""),68.0)</f>
        <v>68</v>
      </c>
      <c r="F5737" s="19" t="str">
        <f>IFERROR(__xludf.DUMMYFUNCTION("""COMPUTED_VALUE"""),"BLACK")</f>
        <v>BLACK</v>
      </c>
      <c r="G5737" s="20" t="str">
        <f>IFERROR(__xludf.DUMMYFUNCTION("""COMPUTED_VALUE"""),"Uncle Sams Cider (04/04/2023)")</f>
        <v>Uncle Sams Cider (04/04/2023)</v>
      </c>
      <c r="H5737" s="19"/>
    </row>
    <row r="5738">
      <c r="A5738" s="9"/>
      <c r="B5738" s="15"/>
      <c r="C5738" s="9">
        <f>IFERROR(__xludf.DUMMYFUNCTION("""COMPUTED_VALUE"""),45084.4390298611)</f>
        <v>45084.43903</v>
      </c>
      <c r="D5738" s="15">
        <f>IFERROR(__xludf.DUMMYFUNCTION("""COMPUTED_VALUE"""),1.008)</f>
        <v>1.008</v>
      </c>
      <c r="E5738" s="16">
        <f>IFERROR(__xludf.DUMMYFUNCTION("""COMPUTED_VALUE"""),68.0)</f>
        <v>68</v>
      </c>
      <c r="F5738" s="19" t="str">
        <f>IFERROR(__xludf.DUMMYFUNCTION("""COMPUTED_VALUE"""),"BLACK")</f>
        <v>BLACK</v>
      </c>
      <c r="G5738" s="20" t="str">
        <f>IFERROR(__xludf.DUMMYFUNCTION("""COMPUTED_VALUE"""),"Uncle Sams Cider (04/04/2023)")</f>
        <v>Uncle Sams Cider (04/04/2023)</v>
      </c>
      <c r="H5738" s="19"/>
    </row>
    <row r="5739">
      <c r="A5739" s="9"/>
      <c r="B5739" s="15"/>
      <c r="C5739" s="9">
        <f>IFERROR(__xludf.DUMMYFUNCTION("""COMPUTED_VALUE"""),45084.428609375)</f>
        <v>45084.42861</v>
      </c>
      <c r="D5739" s="15">
        <f>IFERROR(__xludf.DUMMYFUNCTION("""COMPUTED_VALUE"""),1.008)</f>
        <v>1.008</v>
      </c>
      <c r="E5739" s="16">
        <f>IFERROR(__xludf.DUMMYFUNCTION("""COMPUTED_VALUE"""),68.0)</f>
        <v>68</v>
      </c>
      <c r="F5739" s="19" t="str">
        <f>IFERROR(__xludf.DUMMYFUNCTION("""COMPUTED_VALUE"""),"BLACK")</f>
        <v>BLACK</v>
      </c>
      <c r="G5739" s="20" t="str">
        <f>IFERROR(__xludf.DUMMYFUNCTION("""COMPUTED_VALUE"""),"Uncle Sams Cider (04/04/2023)")</f>
        <v>Uncle Sams Cider (04/04/2023)</v>
      </c>
      <c r="H5739" s="19"/>
    </row>
    <row r="5740">
      <c r="A5740" s="9"/>
      <c r="B5740" s="15"/>
      <c r="C5740" s="9">
        <f>IFERROR(__xludf.DUMMYFUNCTION("""COMPUTED_VALUE"""),45084.4181533217)</f>
        <v>45084.41815</v>
      </c>
      <c r="D5740" s="15">
        <f>IFERROR(__xludf.DUMMYFUNCTION("""COMPUTED_VALUE"""),1.008)</f>
        <v>1.008</v>
      </c>
      <c r="E5740" s="16">
        <f>IFERROR(__xludf.DUMMYFUNCTION("""COMPUTED_VALUE"""),68.0)</f>
        <v>68</v>
      </c>
      <c r="F5740" s="19" t="str">
        <f>IFERROR(__xludf.DUMMYFUNCTION("""COMPUTED_VALUE"""),"BLACK")</f>
        <v>BLACK</v>
      </c>
      <c r="G5740" s="20" t="str">
        <f>IFERROR(__xludf.DUMMYFUNCTION("""COMPUTED_VALUE"""),"Uncle Sams Cider (04/04/2023)")</f>
        <v>Uncle Sams Cider (04/04/2023)</v>
      </c>
      <c r="H5740" s="19"/>
    </row>
    <row r="5741">
      <c r="A5741" s="9"/>
      <c r="B5741" s="15"/>
      <c r="C5741" s="9">
        <f>IFERROR(__xludf.DUMMYFUNCTION("""COMPUTED_VALUE"""),45084.4077329282)</f>
        <v>45084.40773</v>
      </c>
      <c r="D5741" s="15">
        <f>IFERROR(__xludf.DUMMYFUNCTION("""COMPUTED_VALUE"""),1.008)</f>
        <v>1.008</v>
      </c>
      <c r="E5741" s="16">
        <f>IFERROR(__xludf.DUMMYFUNCTION("""COMPUTED_VALUE"""),68.0)</f>
        <v>68</v>
      </c>
      <c r="F5741" s="19" t="str">
        <f>IFERROR(__xludf.DUMMYFUNCTION("""COMPUTED_VALUE"""),"BLACK")</f>
        <v>BLACK</v>
      </c>
      <c r="G5741" s="20" t="str">
        <f>IFERROR(__xludf.DUMMYFUNCTION("""COMPUTED_VALUE"""),"Uncle Sams Cider (04/04/2023)")</f>
        <v>Uncle Sams Cider (04/04/2023)</v>
      </c>
      <c r="H5741" s="19"/>
    </row>
    <row r="5742">
      <c r="A5742" s="9"/>
      <c r="B5742" s="15"/>
      <c r="C5742" s="9">
        <f>IFERROR(__xludf.DUMMYFUNCTION("""COMPUTED_VALUE"""),45084.3973123958)</f>
        <v>45084.39731</v>
      </c>
      <c r="D5742" s="15">
        <f>IFERROR(__xludf.DUMMYFUNCTION("""COMPUTED_VALUE"""),1.008)</f>
        <v>1.008</v>
      </c>
      <c r="E5742" s="16">
        <f>IFERROR(__xludf.DUMMYFUNCTION("""COMPUTED_VALUE"""),68.0)</f>
        <v>68</v>
      </c>
      <c r="F5742" s="19" t="str">
        <f>IFERROR(__xludf.DUMMYFUNCTION("""COMPUTED_VALUE"""),"BLACK")</f>
        <v>BLACK</v>
      </c>
      <c r="G5742" s="20" t="str">
        <f>IFERROR(__xludf.DUMMYFUNCTION("""COMPUTED_VALUE"""),"Uncle Sams Cider (04/04/2023)")</f>
        <v>Uncle Sams Cider (04/04/2023)</v>
      </c>
      <c r="H5742" s="19"/>
    </row>
    <row r="5743">
      <c r="A5743" s="9"/>
      <c r="B5743" s="15"/>
      <c r="C5743" s="9">
        <f>IFERROR(__xludf.DUMMYFUNCTION("""COMPUTED_VALUE"""),45084.3868910763)</f>
        <v>45084.38689</v>
      </c>
      <c r="D5743" s="15">
        <f>IFERROR(__xludf.DUMMYFUNCTION("""COMPUTED_VALUE"""),1.008)</f>
        <v>1.008</v>
      </c>
      <c r="E5743" s="16">
        <f>IFERROR(__xludf.DUMMYFUNCTION("""COMPUTED_VALUE"""),68.0)</f>
        <v>68</v>
      </c>
      <c r="F5743" s="19" t="str">
        <f>IFERROR(__xludf.DUMMYFUNCTION("""COMPUTED_VALUE"""),"BLACK")</f>
        <v>BLACK</v>
      </c>
      <c r="G5743" s="20" t="str">
        <f>IFERROR(__xludf.DUMMYFUNCTION("""COMPUTED_VALUE"""),"Uncle Sams Cider (04/04/2023)")</f>
        <v>Uncle Sams Cider (04/04/2023)</v>
      </c>
      <c r="H5743" s="19"/>
    </row>
    <row r="5744">
      <c r="A5744" s="9"/>
      <c r="B5744" s="15"/>
      <c r="C5744" s="9">
        <f>IFERROR(__xludf.DUMMYFUNCTION("""COMPUTED_VALUE"""),45084.3764703935)</f>
        <v>45084.37647</v>
      </c>
      <c r="D5744" s="15">
        <f>IFERROR(__xludf.DUMMYFUNCTION("""COMPUTED_VALUE"""),1.008)</f>
        <v>1.008</v>
      </c>
      <c r="E5744" s="16">
        <f>IFERROR(__xludf.DUMMYFUNCTION("""COMPUTED_VALUE"""),68.0)</f>
        <v>68</v>
      </c>
      <c r="F5744" s="19" t="str">
        <f>IFERROR(__xludf.DUMMYFUNCTION("""COMPUTED_VALUE"""),"BLACK")</f>
        <v>BLACK</v>
      </c>
      <c r="G5744" s="20" t="str">
        <f>IFERROR(__xludf.DUMMYFUNCTION("""COMPUTED_VALUE"""),"Uncle Sams Cider (04/04/2023)")</f>
        <v>Uncle Sams Cider (04/04/2023)</v>
      </c>
      <c r="H5744" s="19"/>
    </row>
    <row r="5745">
      <c r="A5745" s="9"/>
      <c r="B5745" s="15"/>
      <c r="C5745" s="9">
        <f>IFERROR(__xludf.DUMMYFUNCTION("""COMPUTED_VALUE"""),45084.3660370601)</f>
        <v>45084.36604</v>
      </c>
      <c r="D5745" s="15">
        <f>IFERROR(__xludf.DUMMYFUNCTION("""COMPUTED_VALUE"""),1.008)</f>
        <v>1.008</v>
      </c>
      <c r="E5745" s="16">
        <f>IFERROR(__xludf.DUMMYFUNCTION("""COMPUTED_VALUE"""),68.0)</f>
        <v>68</v>
      </c>
      <c r="F5745" s="19" t="str">
        <f>IFERROR(__xludf.DUMMYFUNCTION("""COMPUTED_VALUE"""),"BLACK")</f>
        <v>BLACK</v>
      </c>
      <c r="G5745" s="20" t="str">
        <f>IFERROR(__xludf.DUMMYFUNCTION("""COMPUTED_VALUE"""),"Uncle Sams Cider (04/04/2023)")</f>
        <v>Uncle Sams Cider (04/04/2023)</v>
      </c>
      <c r="H5745" s="19"/>
    </row>
    <row r="5746">
      <c r="A5746" s="9"/>
      <c r="B5746" s="15"/>
      <c r="C5746" s="9">
        <f>IFERROR(__xludf.DUMMYFUNCTION("""COMPUTED_VALUE"""),45084.3555914583)</f>
        <v>45084.35559</v>
      </c>
      <c r="D5746" s="15">
        <f>IFERROR(__xludf.DUMMYFUNCTION("""COMPUTED_VALUE"""),1.008)</f>
        <v>1.008</v>
      </c>
      <c r="E5746" s="16">
        <f>IFERROR(__xludf.DUMMYFUNCTION("""COMPUTED_VALUE"""),68.0)</f>
        <v>68</v>
      </c>
      <c r="F5746" s="19" t="str">
        <f>IFERROR(__xludf.DUMMYFUNCTION("""COMPUTED_VALUE"""),"BLACK")</f>
        <v>BLACK</v>
      </c>
      <c r="G5746" s="20" t="str">
        <f>IFERROR(__xludf.DUMMYFUNCTION("""COMPUTED_VALUE"""),"Uncle Sams Cider (04/04/2023)")</f>
        <v>Uncle Sams Cider (04/04/2023)</v>
      </c>
      <c r="H5746" s="19"/>
    </row>
    <row r="5747">
      <c r="A5747" s="9"/>
      <c r="B5747" s="15"/>
      <c r="C5747" s="9">
        <f>IFERROR(__xludf.DUMMYFUNCTION("""COMPUTED_VALUE"""),45084.3451588425)</f>
        <v>45084.34516</v>
      </c>
      <c r="D5747" s="15">
        <f>IFERROR(__xludf.DUMMYFUNCTION("""COMPUTED_VALUE"""),1.008)</f>
        <v>1.008</v>
      </c>
      <c r="E5747" s="16">
        <f>IFERROR(__xludf.DUMMYFUNCTION("""COMPUTED_VALUE"""),68.0)</f>
        <v>68</v>
      </c>
      <c r="F5747" s="19" t="str">
        <f>IFERROR(__xludf.DUMMYFUNCTION("""COMPUTED_VALUE"""),"BLACK")</f>
        <v>BLACK</v>
      </c>
      <c r="G5747" s="20" t="str">
        <f>IFERROR(__xludf.DUMMYFUNCTION("""COMPUTED_VALUE"""),"Uncle Sams Cider (04/04/2023)")</f>
        <v>Uncle Sams Cider (04/04/2023)</v>
      </c>
      <c r="H5747" s="19"/>
    </row>
    <row r="5748">
      <c r="A5748" s="9"/>
      <c r="B5748" s="15"/>
      <c r="C5748" s="9">
        <f>IFERROR(__xludf.DUMMYFUNCTION("""COMPUTED_VALUE"""),45084.3347389699)</f>
        <v>45084.33474</v>
      </c>
      <c r="D5748" s="15">
        <f>IFERROR(__xludf.DUMMYFUNCTION("""COMPUTED_VALUE"""),1.008)</f>
        <v>1.008</v>
      </c>
      <c r="E5748" s="16">
        <f>IFERROR(__xludf.DUMMYFUNCTION("""COMPUTED_VALUE"""),68.0)</f>
        <v>68</v>
      </c>
      <c r="F5748" s="19" t="str">
        <f>IFERROR(__xludf.DUMMYFUNCTION("""COMPUTED_VALUE"""),"BLACK")</f>
        <v>BLACK</v>
      </c>
      <c r="G5748" s="20" t="str">
        <f>IFERROR(__xludf.DUMMYFUNCTION("""COMPUTED_VALUE"""),"Uncle Sams Cider (04/04/2023)")</f>
        <v>Uncle Sams Cider (04/04/2023)</v>
      </c>
      <c r="H5748" s="19"/>
    </row>
    <row r="5749">
      <c r="A5749" s="9"/>
      <c r="B5749" s="15"/>
      <c r="C5749" s="9">
        <f>IFERROR(__xludf.DUMMYFUNCTION("""COMPUTED_VALUE"""),45084.3243176273)</f>
        <v>45084.32432</v>
      </c>
      <c r="D5749" s="15">
        <f>IFERROR(__xludf.DUMMYFUNCTION("""COMPUTED_VALUE"""),1.008)</f>
        <v>1.008</v>
      </c>
      <c r="E5749" s="16">
        <f>IFERROR(__xludf.DUMMYFUNCTION("""COMPUTED_VALUE"""),68.0)</f>
        <v>68</v>
      </c>
      <c r="F5749" s="19" t="str">
        <f>IFERROR(__xludf.DUMMYFUNCTION("""COMPUTED_VALUE"""),"BLACK")</f>
        <v>BLACK</v>
      </c>
      <c r="G5749" s="20" t="str">
        <f>IFERROR(__xludf.DUMMYFUNCTION("""COMPUTED_VALUE"""),"Uncle Sams Cider (04/04/2023)")</f>
        <v>Uncle Sams Cider (04/04/2023)</v>
      </c>
      <c r="H5749" s="19"/>
    </row>
    <row r="5750">
      <c r="A5750" s="9"/>
      <c r="B5750" s="15"/>
      <c r="C5750" s="9">
        <f>IFERROR(__xludf.DUMMYFUNCTION("""COMPUTED_VALUE"""),45084.3138852546)</f>
        <v>45084.31389</v>
      </c>
      <c r="D5750" s="15">
        <f>IFERROR(__xludf.DUMMYFUNCTION("""COMPUTED_VALUE"""),1.008)</f>
        <v>1.008</v>
      </c>
      <c r="E5750" s="16">
        <f>IFERROR(__xludf.DUMMYFUNCTION("""COMPUTED_VALUE"""),68.0)</f>
        <v>68</v>
      </c>
      <c r="F5750" s="19" t="str">
        <f>IFERROR(__xludf.DUMMYFUNCTION("""COMPUTED_VALUE"""),"BLACK")</f>
        <v>BLACK</v>
      </c>
      <c r="G5750" s="20" t="str">
        <f>IFERROR(__xludf.DUMMYFUNCTION("""COMPUTED_VALUE"""),"Uncle Sams Cider (04/04/2023)")</f>
        <v>Uncle Sams Cider (04/04/2023)</v>
      </c>
      <c r="H5750" s="19"/>
    </row>
    <row r="5751">
      <c r="A5751" s="9"/>
      <c r="B5751" s="15"/>
      <c r="C5751" s="9">
        <f>IFERROR(__xludf.DUMMYFUNCTION("""COMPUTED_VALUE"""),45084.3034637731)</f>
        <v>45084.30346</v>
      </c>
      <c r="D5751" s="15">
        <f>IFERROR(__xludf.DUMMYFUNCTION("""COMPUTED_VALUE"""),1.008)</f>
        <v>1.008</v>
      </c>
      <c r="E5751" s="16">
        <f>IFERROR(__xludf.DUMMYFUNCTION("""COMPUTED_VALUE"""),68.0)</f>
        <v>68</v>
      </c>
      <c r="F5751" s="19" t="str">
        <f>IFERROR(__xludf.DUMMYFUNCTION("""COMPUTED_VALUE"""),"BLACK")</f>
        <v>BLACK</v>
      </c>
      <c r="G5751" s="20" t="str">
        <f>IFERROR(__xludf.DUMMYFUNCTION("""COMPUTED_VALUE"""),"Uncle Sams Cider (04/04/2023)")</f>
        <v>Uncle Sams Cider (04/04/2023)</v>
      </c>
      <c r="H5751" s="19"/>
    </row>
    <row r="5752">
      <c r="A5752" s="9"/>
      <c r="B5752" s="15"/>
      <c r="C5752" s="9">
        <f>IFERROR(__xludf.DUMMYFUNCTION("""COMPUTED_VALUE"""),45084.2930328703)</f>
        <v>45084.29303</v>
      </c>
      <c r="D5752" s="15">
        <f>IFERROR(__xludf.DUMMYFUNCTION("""COMPUTED_VALUE"""),1.008)</f>
        <v>1.008</v>
      </c>
      <c r="E5752" s="16">
        <f>IFERROR(__xludf.DUMMYFUNCTION("""COMPUTED_VALUE"""),68.0)</f>
        <v>68</v>
      </c>
      <c r="F5752" s="19" t="str">
        <f>IFERROR(__xludf.DUMMYFUNCTION("""COMPUTED_VALUE"""),"BLACK")</f>
        <v>BLACK</v>
      </c>
      <c r="G5752" s="20" t="str">
        <f>IFERROR(__xludf.DUMMYFUNCTION("""COMPUTED_VALUE"""),"Uncle Sams Cider (04/04/2023)")</f>
        <v>Uncle Sams Cider (04/04/2023)</v>
      </c>
      <c r="H5752" s="19"/>
    </row>
    <row r="5753">
      <c r="A5753" s="9"/>
      <c r="B5753" s="15"/>
      <c r="C5753" s="9">
        <f>IFERROR(__xludf.DUMMYFUNCTION("""COMPUTED_VALUE"""),45084.2826118518)</f>
        <v>45084.28261</v>
      </c>
      <c r="D5753" s="15">
        <f>IFERROR(__xludf.DUMMYFUNCTION("""COMPUTED_VALUE"""),1.008)</f>
        <v>1.008</v>
      </c>
      <c r="E5753" s="16">
        <f>IFERROR(__xludf.DUMMYFUNCTION("""COMPUTED_VALUE"""),68.0)</f>
        <v>68</v>
      </c>
      <c r="F5753" s="19" t="str">
        <f>IFERROR(__xludf.DUMMYFUNCTION("""COMPUTED_VALUE"""),"BLACK")</f>
        <v>BLACK</v>
      </c>
      <c r="G5753" s="20" t="str">
        <f>IFERROR(__xludf.DUMMYFUNCTION("""COMPUTED_VALUE"""),"Uncle Sams Cider (04/04/2023)")</f>
        <v>Uncle Sams Cider (04/04/2023)</v>
      </c>
      <c r="H5753" s="19"/>
    </row>
    <row r="5754">
      <c r="A5754" s="9"/>
      <c r="B5754" s="15"/>
      <c r="C5754" s="9">
        <f>IFERROR(__xludf.DUMMYFUNCTION("""COMPUTED_VALUE"""),45084.2721776157)</f>
        <v>45084.27218</v>
      </c>
      <c r="D5754" s="15">
        <f>IFERROR(__xludf.DUMMYFUNCTION("""COMPUTED_VALUE"""),1.008)</f>
        <v>1.008</v>
      </c>
      <c r="E5754" s="16">
        <f>IFERROR(__xludf.DUMMYFUNCTION("""COMPUTED_VALUE"""),68.0)</f>
        <v>68</v>
      </c>
      <c r="F5754" s="19" t="str">
        <f>IFERROR(__xludf.DUMMYFUNCTION("""COMPUTED_VALUE"""),"BLACK")</f>
        <v>BLACK</v>
      </c>
      <c r="G5754" s="20" t="str">
        <f>IFERROR(__xludf.DUMMYFUNCTION("""COMPUTED_VALUE"""),"Uncle Sams Cider (04/04/2023)")</f>
        <v>Uncle Sams Cider (04/04/2023)</v>
      </c>
      <c r="H5754" s="19"/>
    </row>
    <row r="5755">
      <c r="A5755" s="9"/>
      <c r="B5755" s="15"/>
      <c r="C5755" s="9">
        <f>IFERROR(__xludf.DUMMYFUNCTION("""COMPUTED_VALUE"""),45084.2617559143)</f>
        <v>45084.26176</v>
      </c>
      <c r="D5755" s="15">
        <f>IFERROR(__xludf.DUMMYFUNCTION("""COMPUTED_VALUE"""),1.008)</f>
        <v>1.008</v>
      </c>
      <c r="E5755" s="16">
        <f>IFERROR(__xludf.DUMMYFUNCTION("""COMPUTED_VALUE"""),68.0)</f>
        <v>68</v>
      </c>
      <c r="F5755" s="19" t="str">
        <f>IFERROR(__xludf.DUMMYFUNCTION("""COMPUTED_VALUE"""),"BLACK")</f>
        <v>BLACK</v>
      </c>
      <c r="G5755" s="20" t="str">
        <f>IFERROR(__xludf.DUMMYFUNCTION("""COMPUTED_VALUE"""),"Uncle Sams Cider (04/04/2023)")</f>
        <v>Uncle Sams Cider (04/04/2023)</v>
      </c>
      <c r="H5755" s="19"/>
    </row>
    <row r="5756">
      <c r="A5756" s="9"/>
      <c r="B5756" s="15"/>
      <c r="C5756" s="9">
        <f>IFERROR(__xludf.DUMMYFUNCTION("""COMPUTED_VALUE"""),45084.2513334143)</f>
        <v>45084.25133</v>
      </c>
      <c r="D5756" s="15">
        <f>IFERROR(__xludf.DUMMYFUNCTION("""COMPUTED_VALUE"""),1.008)</f>
        <v>1.008</v>
      </c>
      <c r="E5756" s="16">
        <f>IFERROR(__xludf.DUMMYFUNCTION("""COMPUTED_VALUE"""),68.0)</f>
        <v>68</v>
      </c>
      <c r="F5756" s="19" t="str">
        <f>IFERROR(__xludf.DUMMYFUNCTION("""COMPUTED_VALUE"""),"BLACK")</f>
        <v>BLACK</v>
      </c>
      <c r="G5756" s="20" t="str">
        <f>IFERROR(__xludf.DUMMYFUNCTION("""COMPUTED_VALUE"""),"Uncle Sams Cider (04/04/2023)")</f>
        <v>Uncle Sams Cider (04/04/2023)</v>
      </c>
      <c r="H5756" s="19"/>
    </row>
    <row r="5757">
      <c r="A5757" s="9"/>
      <c r="B5757" s="15"/>
      <c r="C5757" s="9">
        <f>IFERROR(__xludf.DUMMYFUNCTION("""COMPUTED_VALUE"""),45084.2409136111)</f>
        <v>45084.24091</v>
      </c>
      <c r="D5757" s="15">
        <f>IFERROR(__xludf.DUMMYFUNCTION("""COMPUTED_VALUE"""),1.008)</f>
        <v>1.008</v>
      </c>
      <c r="E5757" s="16">
        <f>IFERROR(__xludf.DUMMYFUNCTION("""COMPUTED_VALUE"""),68.0)</f>
        <v>68</v>
      </c>
      <c r="F5757" s="19" t="str">
        <f>IFERROR(__xludf.DUMMYFUNCTION("""COMPUTED_VALUE"""),"BLACK")</f>
        <v>BLACK</v>
      </c>
      <c r="G5757" s="20" t="str">
        <f>IFERROR(__xludf.DUMMYFUNCTION("""COMPUTED_VALUE"""),"Uncle Sams Cider (04/04/2023)")</f>
        <v>Uncle Sams Cider (04/04/2023)</v>
      </c>
      <c r="H5757" s="19"/>
    </row>
    <row r="5758">
      <c r="A5758" s="9"/>
      <c r="B5758" s="15"/>
      <c r="C5758" s="9">
        <f>IFERROR(__xludf.DUMMYFUNCTION("""COMPUTED_VALUE"""),45084.2304808101)</f>
        <v>45084.23048</v>
      </c>
      <c r="D5758" s="15">
        <f>IFERROR(__xludf.DUMMYFUNCTION("""COMPUTED_VALUE"""),1.008)</f>
        <v>1.008</v>
      </c>
      <c r="E5758" s="16">
        <f>IFERROR(__xludf.DUMMYFUNCTION("""COMPUTED_VALUE"""),68.0)</f>
        <v>68</v>
      </c>
      <c r="F5758" s="19" t="str">
        <f>IFERROR(__xludf.DUMMYFUNCTION("""COMPUTED_VALUE"""),"BLACK")</f>
        <v>BLACK</v>
      </c>
      <c r="G5758" s="20" t="str">
        <f>IFERROR(__xludf.DUMMYFUNCTION("""COMPUTED_VALUE"""),"Uncle Sams Cider (04/04/2023)")</f>
        <v>Uncle Sams Cider (04/04/2023)</v>
      </c>
      <c r="H5758" s="19"/>
    </row>
    <row r="5759">
      <c r="A5759" s="9"/>
      <c r="B5759" s="15"/>
      <c r="C5759" s="9">
        <f>IFERROR(__xludf.DUMMYFUNCTION("""COMPUTED_VALUE"""),45084.2200484722)</f>
        <v>45084.22005</v>
      </c>
      <c r="D5759" s="15">
        <f>IFERROR(__xludf.DUMMYFUNCTION("""COMPUTED_VALUE"""),1.008)</f>
        <v>1.008</v>
      </c>
      <c r="E5759" s="16">
        <f>IFERROR(__xludf.DUMMYFUNCTION("""COMPUTED_VALUE"""),68.0)</f>
        <v>68</v>
      </c>
      <c r="F5759" s="19" t="str">
        <f>IFERROR(__xludf.DUMMYFUNCTION("""COMPUTED_VALUE"""),"BLACK")</f>
        <v>BLACK</v>
      </c>
      <c r="G5759" s="20" t="str">
        <f>IFERROR(__xludf.DUMMYFUNCTION("""COMPUTED_VALUE"""),"Uncle Sams Cider (04/04/2023)")</f>
        <v>Uncle Sams Cider (04/04/2023)</v>
      </c>
      <c r="H5759" s="19"/>
    </row>
    <row r="5760">
      <c r="A5760" s="9"/>
      <c r="B5760" s="15"/>
      <c r="C5760" s="9">
        <f>IFERROR(__xludf.DUMMYFUNCTION("""COMPUTED_VALUE"""),45084.2096268518)</f>
        <v>45084.20963</v>
      </c>
      <c r="D5760" s="15">
        <f>IFERROR(__xludf.DUMMYFUNCTION("""COMPUTED_VALUE"""),1.008)</f>
        <v>1.008</v>
      </c>
      <c r="E5760" s="16">
        <f>IFERROR(__xludf.DUMMYFUNCTION("""COMPUTED_VALUE"""),68.0)</f>
        <v>68</v>
      </c>
      <c r="F5760" s="19" t="str">
        <f>IFERROR(__xludf.DUMMYFUNCTION("""COMPUTED_VALUE"""),"BLACK")</f>
        <v>BLACK</v>
      </c>
      <c r="G5760" s="20" t="str">
        <f>IFERROR(__xludf.DUMMYFUNCTION("""COMPUTED_VALUE"""),"Uncle Sams Cider (04/04/2023)")</f>
        <v>Uncle Sams Cider (04/04/2023)</v>
      </c>
      <c r="H5760" s="19"/>
    </row>
    <row r="5761">
      <c r="A5761" s="9"/>
      <c r="B5761" s="15"/>
      <c r="C5761" s="9">
        <f>IFERROR(__xludf.DUMMYFUNCTION("""COMPUTED_VALUE"""),45084.1992047685)</f>
        <v>45084.1992</v>
      </c>
      <c r="D5761" s="15">
        <f>IFERROR(__xludf.DUMMYFUNCTION("""COMPUTED_VALUE"""),1.008)</f>
        <v>1.008</v>
      </c>
      <c r="E5761" s="16">
        <f>IFERROR(__xludf.DUMMYFUNCTION("""COMPUTED_VALUE"""),68.0)</f>
        <v>68</v>
      </c>
      <c r="F5761" s="19" t="str">
        <f>IFERROR(__xludf.DUMMYFUNCTION("""COMPUTED_VALUE"""),"BLACK")</f>
        <v>BLACK</v>
      </c>
      <c r="G5761" s="20" t="str">
        <f>IFERROR(__xludf.DUMMYFUNCTION("""COMPUTED_VALUE"""),"Uncle Sams Cider (04/04/2023)")</f>
        <v>Uncle Sams Cider (04/04/2023)</v>
      </c>
      <c r="H5761" s="19"/>
    </row>
    <row r="5762">
      <c r="A5762" s="9"/>
      <c r="B5762" s="15"/>
      <c r="C5762" s="9">
        <f>IFERROR(__xludf.DUMMYFUNCTION("""COMPUTED_VALUE"""),45084.1887836805)</f>
        <v>45084.18878</v>
      </c>
      <c r="D5762" s="15">
        <f>IFERROR(__xludf.DUMMYFUNCTION("""COMPUTED_VALUE"""),1.008)</f>
        <v>1.008</v>
      </c>
      <c r="E5762" s="16">
        <f>IFERROR(__xludf.DUMMYFUNCTION("""COMPUTED_VALUE"""),68.0)</f>
        <v>68</v>
      </c>
      <c r="F5762" s="19" t="str">
        <f>IFERROR(__xludf.DUMMYFUNCTION("""COMPUTED_VALUE"""),"BLACK")</f>
        <v>BLACK</v>
      </c>
      <c r="G5762" s="20" t="str">
        <f>IFERROR(__xludf.DUMMYFUNCTION("""COMPUTED_VALUE"""),"Uncle Sams Cider (04/04/2023)")</f>
        <v>Uncle Sams Cider (04/04/2023)</v>
      </c>
      <c r="H5762" s="19"/>
    </row>
    <row r="5763">
      <c r="A5763" s="9"/>
      <c r="B5763" s="15"/>
      <c r="C5763" s="9">
        <f>IFERROR(__xludf.DUMMYFUNCTION("""COMPUTED_VALUE"""),45084.1783279513)</f>
        <v>45084.17833</v>
      </c>
      <c r="D5763" s="15">
        <f>IFERROR(__xludf.DUMMYFUNCTION("""COMPUTED_VALUE"""),1.008)</f>
        <v>1.008</v>
      </c>
      <c r="E5763" s="16">
        <f>IFERROR(__xludf.DUMMYFUNCTION("""COMPUTED_VALUE"""),68.0)</f>
        <v>68</v>
      </c>
      <c r="F5763" s="19" t="str">
        <f>IFERROR(__xludf.DUMMYFUNCTION("""COMPUTED_VALUE"""),"BLACK")</f>
        <v>BLACK</v>
      </c>
      <c r="G5763" s="20" t="str">
        <f>IFERROR(__xludf.DUMMYFUNCTION("""COMPUTED_VALUE"""),"Uncle Sams Cider (04/04/2023)")</f>
        <v>Uncle Sams Cider (04/04/2023)</v>
      </c>
      <c r="H5763" s="19"/>
    </row>
    <row r="5764">
      <c r="A5764" s="9"/>
      <c r="B5764" s="15"/>
      <c r="C5764" s="9">
        <f>IFERROR(__xludf.DUMMYFUNCTION("""COMPUTED_VALUE"""),45084.1678953703)</f>
        <v>45084.1679</v>
      </c>
      <c r="D5764" s="15">
        <f>IFERROR(__xludf.DUMMYFUNCTION("""COMPUTED_VALUE"""),1.008)</f>
        <v>1.008</v>
      </c>
      <c r="E5764" s="16">
        <f>IFERROR(__xludf.DUMMYFUNCTION("""COMPUTED_VALUE"""),68.0)</f>
        <v>68</v>
      </c>
      <c r="F5764" s="19" t="str">
        <f>IFERROR(__xludf.DUMMYFUNCTION("""COMPUTED_VALUE"""),"BLACK")</f>
        <v>BLACK</v>
      </c>
      <c r="G5764" s="20" t="str">
        <f>IFERROR(__xludf.DUMMYFUNCTION("""COMPUTED_VALUE"""),"Uncle Sams Cider (04/04/2023)")</f>
        <v>Uncle Sams Cider (04/04/2023)</v>
      </c>
      <c r="H5764" s="19"/>
    </row>
    <row r="5765">
      <c r="A5765" s="9"/>
      <c r="B5765" s="15"/>
      <c r="C5765" s="9">
        <f>IFERROR(__xludf.DUMMYFUNCTION("""COMPUTED_VALUE"""),45084.1574618865)</f>
        <v>45084.15746</v>
      </c>
      <c r="D5765" s="15">
        <f>IFERROR(__xludf.DUMMYFUNCTION("""COMPUTED_VALUE"""),1.008)</f>
        <v>1.008</v>
      </c>
      <c r="E5765" s="16">
        <f>IFERROR(__xludf.DUMMYFUNCTION("""COMPUTED_VALUE"""),68.0)</f>
        <v>68</v>
      </c>
      <c r="F5765" s="19" t="str">
        <f>IFERROR(__xludf.DUMMYFUNCTION("""COMPUTED_VALUE"""),"BLACK")</f>
        <v>BLACK</v>
      </c>
      <c r="G5765" s="20" t="str">
        <f>IFERROR(__xludf.DUMMYFUNCTION("""COMPUTED_VALUE"""),"Uncle Sams Cider (04/04/2023)")</f>
        <v>Uncle Sams Cider (04/04/2023)</v>
      </c>
      <c r="H5765" s="19"/>
    </row>
    <row r="5766">
      <c r="A5766" s="9"/>
      <c r="B5766" s="15"/>
      <c r="C5766" s="9">
        <f>IFERROR(__xludf.DUMMYFUNCTION("""COMPUTED_VALUE"""),45084.1470418518)</f>
        <v>45084.14704</v>
      </c>
      <c r="D5766" s="15">
        <f>IFERROR(__xludf.DUMMYFUNCTION("""COMPUTED_VALUE"""),1.008)</f>
        <v>1.008</v>
      </c>
      <c r="E5766" s="16">
        <f>IFERROR(__xludf.DUMMYFUNCTION("""COMPUTED_VALUE"""),68.0)</f>
        <v>68</v>
      </c>
      <c r="F5766" s="19" t="str">
        <f>IFERROR(__xludf.DUMMYFUNCTION("""COMPUTED_VALUE"""),"BLACK")</f>
        <v>BLACK</v>
      </c>
      <c r="G5766" s="20" t="str">
        <f>IFERROR(__xludf.DUMMYFUNCTION("""COMPUTED_VALUE"""),"Uncle Sams Cider (04/04/2023)")</f>
        <v>Uncle Sams Cider (04/04/2023)</v>
      </c>
      <c r="H5766" s="19"/>
    </row>
    <row r="5767">
      <c r="A5767" s="9"/>
      <c r="B5767" s="15"/>
      <c r="C5767" s="9">
        <f>IFERROR(__xludf.DUMMYFUNCTION("""COMPUTED_VALUE"""),45084.1366198148)</f>
        <v>45084.13662</v>
      </c>
      <c r="D5767" s="15">
        <f>IFERROR(__xludf.DUMMYFUNCTION("""COMPUTED_VALUE"""),1.008)</f>
        <v>1.008</v>
      </c>
      <c r="E5767" s="16">
        <f>IFERROR(__xludf.DUMMYFUNCTION("""COMPUTED_VALUE"""),68.0)</f>
        <v>68</v>
      </c>
      <c r="F5767" s="19" t="str">
        <f>IFERROR(__xludf.DUMMYFUNCTION("""COMPUTED_VALUE"""),"BLACK")</f>
        <v>BLACK</v>
      </c>
      <c r="G5767" s="20" t="str">
        <f>IFERROR(__xludf.DUMMYFUNCTION("""COMPUTED_VALUE"""),"Uncle Sams Cider (04/04/2023)")</f>
        <v>Uncle Sams Cider (04/04/2023)</v>
      </c>
      <c r="H5767" s="19"/>
    </row>
    <row r="5768">
      <c r="A5768" s="9"/>
      <c r="B5768" s="15"/>
      <c r="C5768" s="9">
        <f>IFERROR(__xludf.DUMMYFUNCTION("""COMPUTED_VALUE"""),45084.1261981828)</f>
        <v>45084.1262</v>
      </c>
      <c r="D5768" s="15">
        <f>IFERROR(__xludf.DUMMYFUNCTION("""COMPUTED_VALUE"""),1.008)</f>
        <v>1.008</v>
      </c>
      <c r="E5768" s="16">
        <f>IFERROR(__xludf.DUMMYFUNCTION("""COMPUTED_VALUE"""),68.0)</f>
        <v>68</v>
      </c>
      <c r="F5768" s="19" t="str">
        <f>IFERROR(__xludf.DUMMYFUNCTION("""COMPUTED_VALUE"""),"BLACK")</f>
        <v>BLACK</v>
      </c>
      <c r="G5768" s="20" t="str">
        <f>IFERROR(__xludf.DUMMYFUNCTION("""COMPUTED_VALUE"""),"Uncle Sams Cider (04/04/2023)")</f>
        <v>Uncle Sams Cider (04/04/2023)</v>
      </c>
      <c r="H5768" s="19"/>
    </row>
    <row r="5769">
      <c r="A5769" s="9"/>
      <c r="B5769" s="15"/>
      <c r="C5769" s="9">
        <f>IFERROR(__xludf.DUMMYFUNCTION("""COMPUTED_VALUE"""),45084.115777824)</f>
        <v>45084.11578</v>
      </c>
      <c r="D5769" s="15">
        <f>IFERROR(__xludf.DUMMYFUNCTION("""COMPUTED_VALUE"""),1.008)</f>
        <v>1.008</v>
      </c>
      <c r="E5769" s="16">
        <f>IFERROR(__xludf.DUMMYFUNCTION("""COMPUTED_VALUE"""),68.0)</f>
        <v>68</v>
      </c>
      <c r="F5769" s="19" t="str">
        <f>IFERROR(__xludf.DUMMYFUNCTION("""COMPUTED_VALUE"""),"BLACK")</f>
        <v>BLACK</v>
      </c>
      <c r="G5769" s="20" t="str">
        <f>IFERROR(__xludf.DUMMYFUNCTION("""COMPUTED_VALUE"""),"Uncle Sams Cider (04/04/2023)")</f>
        <v>Uncle Sams Cider (04/04/2023)</v>
      </c>
      <c r="H5769" s="19"/>
    </row>
    <row r="5770">
      <c r="A5770" s="9"/>
      <c r="B5770" s="15"/>
      <c r="C5770" s="9">
        <f>IFERROR(__xludf.DUMMYFUNCTION("""COMPUTED_VALUE"""),45084.1053567129)</f>
        <v>45084.10536</v>
      </c>
      <c r="D5770" s="15">
        <f>IFERROR(__xludf.DUMMYFUNCTION("""COMPUTED_VALUE"""),1.008)</f>
        <v>1.008</v>
      </c>
      <c r="E5770" s="16">
        <f>IFERROR(__xludf.DUMMYFUNCTION("""COMPUTED_VALUE"""),68.0)</f>
        <v>68</v>
      </c>
      <c r="F5770" s="19" t="str">
        <f>IFERROR(__xludf.DUMMYFUNCTION("""COMPUTED_VALUE"""),"BLACK")</f>
        <v>BLACK</v>
      </c>
      <c r="G5770" s="20" t="str">
        <f>IFERROR(__xludf.DUMMYFUNCTION("""COMPUTED_VALUE"""),"Uncle Sams Cider (04/04/2023)")</f>
        <v>Uncle Sams Cider (04/04/2023)</v>
      </c>
      <c r="H5770" s="19"/>
    </row>
    <row r="5771">
      <c r="A5771" s="9"/>
      <c r="B5771" s="15"/>
      <c r="C5771" s="9">
        <f>IFERROR(__xludf.DUMMYFUNCTION("""COMPUTED_VALUE"""),45084.094935243)</f>
        <v>45084.09494</v>
      </c>
      <c r="D5771" s="15">
        <f>IFERROR(__xludf.DUMMYFUNCTION("""COMPUTED_VALUE"""),1.008)</f>
        <v>1.008</v>
      </c>
      <c r="E5771" s="16">
        <f>IFERROR(__xludf.DUMMYFUNCTION("""COMPUTED_VALUE"""),68.0)</f>
        <v>68</v>
      </c>
      <c r="F5771" s="19" t="str">
        <f>IFERROR(__xludf.DUMMYFUNCTION("""COMPUTED_VALUE"""),"BLACK")</f>
        <v>BLACK</v>
      </c>
      <c r="G5771" s="20" t="str">
        <f>IFERROR(__xludf.DUMMYFUNCTION("""COMPUTED_VALUE"""),"Uncle Sams Cider (04/04/2023)")</f>
        <v>Uncle Sams Cider (04/04/2023)</v>
      </c>
      <c r="H5771" s="19"/>
    </row>
    <row r="5772">
      <c r="A5772" s="9"/>
      <c r="B5772" s="15"/>
      <c r="C5772" s="9">
        <f>IFERROR(__xludf.DUMMYFUNCTION("""COMPUTED_VALUE"""),45084.0845139236)</f>
        <v>45084.08451</v>
      </c>
      <c r="D5772" s="15">
        <f>IFERROR(__xludf.DUMMYFUNCTION("""COMPUTED_VALUE"""),1.008)</f>
        <v>1.008</v>
      </c>
      <c r="E5772" s="16">
        <f>IFERROR(__xludf.DUMMYFUNCTION("""COMPUTED_VALUE"""),68.0)</f>
        <v>68</v>
      </c>
      <c r="F5772" s="19" t="str">
        <f>IFERROR(__xludf.DUMMYFUNCTION("""COMPUTED_VALUE"""),"BLACK")</f>
        <v>BLACK</v>
      </c>
      <c r="G5772" s="20" t="str">
        <f>IFERROR(__xludf.DUMMYFUNCTION("""COMPUTED_VALUE"""),"Uncle Sams Cider (04/04/2023)")</f>
        <v>Uncle Sams Cider (04/04/2023)</v>
      </c>
      <c r="H5772" s="19"/>
    </row>
    <row r="5773">
      <c r="A5773" s="9"/>
      <c r="B5773" s="15"/>
      <c r="C5773" s="9">
        <f>IFERROR(__xludf.DUMMYFUNCTION("""COMPUTED_VALUE"""),45084.0740933101)</f>
        <v>45084.07409</v>
      </c>
      <c r="D5773" s="15">
        <f>IFERROR(__xludf.DUMMYFUNCTION("""COMPUTED_VALUE"""),1.008)</f>
        <v>1.008</v>
      </c>
      <c r="E5773" s="16">
        <f>IFERROR(__xludf.DUMMYFUNCTION("""COMPUTED_VALUE"""),68.0)</f>
        <v>68</v>
      </c>
      <c r="F5773" s="19" t="str">
        <f>IFERROR(__xludf.DUMMYFUNCTION("""COMPUTED_VALUE"""),"BLACK")</f>
        <v>BLACK</v>
      </c>
      <c r="G5773" s="20" t="str">
        <f>IFERROR(__xludf.DUMMYFUNCTION("""COMPUTED_VALUE"""),"Uncle Sams Cider (04/04/2023)")</f>
        <v>Uncle Sams Cider (04/04/2023)</v>
      </c>
      <c r="H5773" s="19"/>
    </row>
    <row r="5774">
      <c r="A5774" s="9"/>
      <c r="B5774" s="15"/>
      <c r="C5774" s="9">
        <f>IFERROR(__xludf.DUMMYFUNCTION("""COMPUTED_VALUE"""),45084.0636616666)</f>
        <v>45084.06366</v>
      </c>
      <c r="D5774" s="15">
        <f>IFERROR(__xludf.DUMMYFUNCTION("""COMPUTED_VALUE"""),1.008)</f>
        <v>1.008</v>
      </c>
      <c r="E5774" s="16">
        <f>IFERROR(__xludf.DUMMYFUNCTION("""COMPUTED_VALUE"""),68.0)</f>
        <v>68</v>
      </c>
      <c r="F5774" s="19" t="str">
        <f>IFERROR(__xludf.DUMMYFUNCTION("""COMPUTED_VALUE"""),"BLACK")</f>
        <v>BLACK</v>
      </c>
      <c r="G5774" s="20" t="str">
        <f>IFERROR(__xludf.DUMMYFUNCTION("""COMPUTED_VALUE"""),"Uncle Sams Cider (04/04/2023)")</f>
        <v>Uncle Sams Cider (04/04/2023)</v>
      </c>
      <c r="H5774" s="19"/>
    </row>
    <row r="5775">
      <c r="A5775" s="9"/>
      <c r="B5775" s="15"/>
      <c r="C5775" s="9">
        <f>IFERROR(__xludf.DUMMYFUNCTION("""COMPUTED_VALUE"""),45084.0532404166)</f>
        <v>45084.05324</v>
      </c>
      <c r="D5775" s="15">
        <f>IFERROR(__xludf.DUMMYFUNCTION("""COMPUTED_VALUE"""),1.007)</f>
        <v>1.007</v>
      </c>
      <c r="E5775" s="16">
        <f>IFERROR(__xludf.DUMMYFUNCTION("""COMPUTED_VALUE"""),68.0)</f>
        <v>68</v>
      </c>
      <c r="F5775" s="19" t="str">
        <f>IFERROR(__xludf.DUMMYFUNCTION("""COMPUTED_VALUE"""),"BLACK")</f>
        <v>BLACK</v>
      </c>
      <c r="G5775" s="20" t="str">
        <f>IFERROR(__xludf.DUMMYFUNCTION("""COMPUTED_VALUE"""),"Uncle Sams Cider (04/04/2023)")</f>
        <v>Uncle Sams Cider (04/04/2023)</v>
      </c>
      <c r="H5775" s="19"/>
    </row>
    <row r="5776">
      <c r="A5776" s="9"/>
      <c r="B5776" s="15"/>
      <c r="C5776" s="9">
        <f>IFERROR(__xludf.DUMMYFUNCTION("""COMPUTED_VALUE"""),45084.0428203588)</f>
        <v>45084.04282</v>
      </c>
      <c r="D5776" s="15">
        <f>IFERROR(__xludf.DUMMYFUNCTION("""COMPUTED_VALUE"""),1.008)</f>
        <v>1.008</v>
      </c>
      <c r="E5776" s="16">
        <f>IFERROR(__xludf.DUMMYFUNCTION("""COMPUTED_VALUE"""),68.0)</f>
        <v>68</v>
      </c>
      <c r="F5776" s="19" t="str">
        <f>IFERROR(__xludf.DUMMYFUNCTION("""COMPUTED_VALUE"""),"BLACK")</f>
        <v>BLACK</v>
      </c>
      <c r="G5776" s="20" t="str">
        <f>IFERROR(__xludf.DUMMYFUNCTION("""COMPUTED_VALUE"""),"Uncle Sams Cider (04/04/2023)")</f>
        <v>Uncle Sams Cider (04/04/2023)</v>
      </c>
      <c r="H5776" s="19"/>
    </row>
    <row r="5777">
      <c r="A5777" s="9"/>
      <c r="B5777" s="15"/>
      <c r="C5777" s="9">
        <f>IFERROR(__xludf.DUMMYFUNCTION("""COMPUTED_VALUE"""),45084.0324009606)</f>
        <v>45084.0324</v>
      </c>
      <c r="D5777" s="15">
        <f>IFERROR(__xludf.DUMMYFUNCTION("""COMPUTED_VALUE"""),1.008)</f>
        <v>1.008</v>
      </c>
      <c r="E5777" s="16">
        <f>IFERROR(__xludf.DUMMYFUNCTION("""COMPUTED_VALUE"""),68.0)</f>
        <v>68</v>
      </c>
      <c r="F5777" s="19" t="str">
        <f>IFERROR(__xludf.DUMMYFUNCTION("""COMPUTED_VALUE"""),"BLACK")</f>
        <v>BLACK</v>
      </c>
      <c r="G5777" s="20" t="str">
        <f>IFERROR(__xludf.DUMMYFUNCTION("""COMPUTED_VALUE"""),"Uncle Sams Cider (04/04/2023)")</f>
        <v>Uncle Sams Cider (04/04/2023)</v>
      </c>
      <c r="H5777" s="19"/>
    </row>
    <row r="5778">
      <c r="A5778" s="9"/>
      <c r="B5778" s="15"/>
      <c r="C5778" s="9">
        <f>IFERROR(__xludf.DUMMYFUNCTION("""COMPUTED_VALUE"""),45084.0219786921)</f>
        <v>45084.02198</v>
      </c>
      <c r="D5778" s="15">
        <f>IFERROR(__xludf.DUMMYFUNCTION("""COMPUTED_VALUE"""),1.008)</f>
        <v>1.008</v>
      </c>
      <c r="E5778" s="16">
        <f>IFERROR(__xludf.DUMMYFUNCTION("""COMPUTED_VALUE"""),68.0)</f>
        <v>68</v>
      </c>
      <c r="F5778" s="19" t="str">
        <f>IFERROR(__xludf.DUMMYFUNCTION("""COMPUTED_VALUE"""),"BLACK")</f>
        <v>BLACK</v>
      </c>
      <c r="G5778" s="20" t="str">
        <f>IFERROR(__xludf.DUMMYFUNCTION("""COMPUTED_VALUE"""),"Uncle Sams Cider (04/04/2023)")</f>
        <v>Uncle Sams Cider (04/04/2023)</v>
      </c>
      <c r="H5778" s="19"/>
    </row>
    <row r="5779">
      <c r="A5779" s="9"/>
      <c r="B5779" s="15"/>
      <c r="C5779" s="9">
        <f>IFERROR(__xludf.DUMMYFUNCTION("""COMPUTED_VALUE"""),45084.0115590625)</f>
        <v>45084.01156</v>
      </c>
      <c r="D5779" s="15">
        <f>IFERROR(__xludf.DUMMYFUNCTION("""COMPUTED_VALUE"""),1.008)</f>
        <v>1.008</v>
      </c>
      <c r="E5779" s="16">
        <f>IFERROR(__xludf.DUMMYFUNCTION("""COMPUTED_VALUE"""),68.0)</f>
        <v>68</v>
      </c>
      <c r="F5779" s="19" t="str">
        <f>IFERROR(__xludf.DUMMYFUNCTION("""COMPUTED_VALUE"""),"BLACK")</f>
        <v>BLACK</v>
      </c>
      <c r="G5779" s="20" t="str">
        <f>IFERROR(__xludf.DUMMYFUNCTION("""COMPUTED_VALUE"""),"Uncle Sams Cider (04/04/2023)")</f>
        <v>Uncle Sams Cider (04/04/2023)</v>
      </c>
      <c r="H5779" s="19"/>
    </row>
    <row r="5780">
      <c r="A5780" s="9"/>
      <c r="B5780" s="15"/>
      <c r="C5780" s="9">
        <f>IFERROR(__xludf.DUMMYFUNCTION("""COMPUTED_VALUE"""),45084.0011369328)</f>
        <v>45084.00114</v>
      </c>
      <c r="D5780" s="15">
        <f>IFERROR(__xludf.DUMMYFUNCTION("""COMPUTED_VALUE"""),1.008)</f>
        <v>1.008</v>
      </c>
      <c r="E5780" s="16">
        <f>IFERROR(__xludf.DUMMYFUNCTION("""COMPUTED_VALUE"""),68.0)</f>
        <v>68</v>
      </c>
      <c r="F5780" s="19" t="str">
        <f>IFERROR(__xludf.DUMMYFUNCTION("""COMPUTED_VALUE"""),"BLACK")</f>
        <v>BLACK</v>
      </c>
      <c r="G5780" s="20" t="str">
        <f>IFERROR(__xludf.DUMMYFUNCTION("""COMPUTED_VALUE"""),"Uncle Sams Cider (04/04/2023)")</f>
        <v>Uncle Sams Cider (04/04/2023)</v>
      </c>
      <c r="H5780" s="19"/>
    </row>
    <row r="5781">
      <c r="A5781" s="9"/>
      <c r="B5781" s="15"/>
      <c r="C5781" s="9">
        <f>IFERROR(__xludf.DUMMYFUNCTION("""COMPUTED_VALUE"""),45083.9907136226)</f>
        <v>45083.99071</v>
      </c>
      <c r="D5781" s="15">
        <f>IFERROR(__xludf.DUMMYFUNCTION("""COMPUTED_VALUE"""),1.008)</f>
        <v>1.008</v>
      </c>
      <c r="E5781" s="16">
        <f>IFERROR(__xludf.DUMMYFUNCTION("""COMPUTED_VALUE"""),68.0)</f>
        <v>68</v>
      </c>
      <c r="F5781" s="19" t="str">
        <f>IFERROR(__xludf.DUMMYFUNCTION("""COMPUTED_VALUE"""),"BLACK")</f>
        <v>BLACK</v>
      </c>
      <c r="G5781" s="20" t="str">
        <f>IFERROR(__xludf.DUMMYFUNCTION("""COMPUTED_VALUE"""),"Uncle Sams Cider (04/04/2023)")</f>
        <v>Uncle Sams Cider (04/04/2023)</v>
      </c>
      <c r="H5781" s="19"/>
    </row>
    <row r="5782">
      <c r="A5782" s="9"/>
      <c r="B5782" s="15"/>
      <c r="C5782" s="9">
        <f>IFERROR(__xludf.DUMMYFUNCTION("""COMPUTED_VALUE"""),45083.9802915625)</f>
        <v>45083.98029</v>
      </c>
      <c r="D5782" s="15">
        <f>IFERROR(__xludf.DUMMYFUNCTION("""COMPUTED_VALUE"""),1.008)</f>
        <v>1.008</v>
      </c>
      <c r="E5782" s="16">
        <f>IFERROR(__xludf.DUMMYFUNCTION("""COMPUTED_VALUE"""),68.0)</f>
        <v>68</v>
      </c>
      <c r="F5782" s="19" t="str">
        <f>IFERROR(__xludf.DUMMYFUNCTION("""COMPUTED_VALUE"""),"BLACK")</f>
        <v>BLACK</v>
      </c>
      <c r="G5782" s="20" t="str">
        <f>IFERROR(__xludf.DUMMYFUNCTION("""COMPUTED_VALUE"""),"Uncle Sams Cider (04/04/2023)")</f>
        <v>Uncle Sams Cider (04/04/2023)</v>
      </c>
      <c r="H5782" s="19"/>
    </row>
    <row r="5783">
      <c r="A5783" s="9"/>
      <c r="B5783" s="15"/>
      <c r="C5783" s="9">
        <f>IFERROR(__xludf.DUMMYFUNCTION("""COMPUTED_VALUE"""),45083.9698708333)</f>
        <v>45083.96987</v>
      </c>
      <c r="D5783" s="15">
        <f>IFERROR(__xludf.DUMMYFUNCTION("""COMPUTED_VALUE"""),1.008)</f>
        <v>1.008</v>
      </c>
      <c r="E5783" s="16">
        <f>IFERROR(__xludf.DUMMYFUNCTION("""COMPUTED_VALUE"""),68.0)</f>
        <v>68</v>
      </c>
      <c r="F5783" s="19" t="str">
        <f>IFERROR(__xludf.DUMMYFUNCTION("""COMPUTED_VALUE"""),"BLACK")</f>
        <v>BLACK</v>
      </c>
      <c r="G5783" s="20" t="str">
        <f>IFERROR(__xludf.DUMMYFUNCTION("""COMPUTED_VALUE"""),"Uncle Sams Cider (04/04/2023)")</f>
        <v>Uncle Sams Cider (04/04/2023)</v>
      </c>
      <c r="H5783" s="19"/>
    </row>
    <row r="5784">
      <c r="A5784" s="9"/>
      <c r="B5784" s="15"/>
      <c r="C5784" s="9">
        <f>IFERROR(__xludf.DUMMYFUNCTION("""COMPUTED_VALUE"""),45083.95944875)</f>
        <v>45083.95945</v>
      </c>
      <c r="D5784" s="15">
        <f>IFERROR(__xludf.DUMMYFUNCTION("""COMPUTED_VALUE"""),1.008)</f>
        <v>1.008</v>
      </c>
      <c r="E5784" s="16">
        <f>IFERROR(__xludf.DUMMYFUNCTION("""COMPUTED_VALUE"""),68.0)</f>
        <v>68</v>
      </c>
      <c r="F5784" s="19" t="str">
        <f>IFERROR(__xludf.DUMMYFUNCTION("""COMPUTED_VALUE"""),"BLACK")</f>
        <v>BLACK</v>
      </c>
      <c r="G5784" s="20" t="str">
        <f>IFERROR(__xludf.DUMMYFUNCTION("""COMPUTED_VALUE"""),"Uncle Sams Cider (04/04/2023)")</f>
        <v>Uncle Sams Cider (04/04/2023)</v>
      </c>
      <c r="H5784" s="19"/>
    </row>
    <row r="5785">
      <c r="A5785" s="9"/>
      <c r="B5785" s="15"/>
      <c r="C5785" s="9">
        <f>IFERROR(__xludf.DUMMYFUNCTION("""COMPUTED_VALUE"""),45083.9490267476)</f>
        <v>45083.94903</v>
      </c>
      <c r="D5785" s="15">
        <f>IFERROR(__xludf.DUMMYFUNCTION("""COMPUTED_VALUE"""),1.008)</f>
        <v>1.008</v>
      </c>
      <c r="E5785" s="16">
        <f>IFERROR(__xludf.DUMMYFUNCTION("""COMPUTED_VALUE"""),68.0)</f>
        <v>68</v>
      </c>
      <c r="F5785" s="19" t="str">
        <f>IFERROR(__xludf.DUMMYFUNCTION("""COMPUTED_VALUE"""),"BLACK")</f>
        <v>BLACK</v>
      </c>
      <c r="G5785" s="20" t="str">
        <f>IFERROR(__xludf.DUMMYFUNCTION("""COMPUTED_VALUE"""),"Uncle Sams Cider (04/04/2023)")</f>
        <v>Uncle Sams Cider (04/04/2023)</v>
      </c>
      <c r="H5785" s="19"/>
    </row>
    <row r="5786">
      <c r="A5786" s="9"/>
      <c r="B5786" s="15"/>
      <c r="C5786" s="9">
        <f>IFERROR(__xludf.DUMMYFUNCTION("""COMPUTED_VALUE"""),45083.9386069676)</f>
        <v>45083.93861</v>
      </c>
      <c r="D5786" s="15">
        <f>IFERROR(__xludf.DUMMYFUNCTION("""COMPUTED_VALUE"""),1.008)</f>
        <v>1.008</v>
      </c>
      <c r="E5786" s="16">
        <f>IFERROR(__xludf.DUMMYFUNCTION("""COMPUTED_VALUE"""),68.0)</f>
        <v>68</v>
      </c>
      <c r="F5786" s="19" t="str">
        <f>IFERROR(__xludf.DUMMYFUNCTION("""COMPUTED_VALUE"""),"BLACK")</f>
        <v>BLACK</v>
      </c>
      <c r="G5786" s="20" t="str">
        <f>IFERROR(__xludf.DUMMYFUNCTION("""COMPUTED_VALUE"""),"Uncle Sams Cider (04/04/2023)")</f>
        <v>Uncle Sams Cider (04/04/2023)</v>
      </c>
      <c r="H5786" s="19"/>
    </row>
    <row r="5787">
      <c r="A5787" s="9"/>
      <c r="B5787" s="15"/>
      <c r="C5787" s="9">
        <f>IFERROR(__xludf.DUMMYFUNCTION("""COMPUTED_VALUE"""),45083.9281743981)</f>
        <v>45083.92817</v>
      </c>
      <c r="D5787" s="15">
        <f>IFERROR(__xludf.DUMMYFUNCTION("""COMPUTED_VALUE"""),1.008)</f>
        <v>1.008</v>
      </c>
      <c r="E5787" s="16">
        <f>IFERROR(__xludf.DUMMYFUNCTION("""COMPUTED_VALUE"""),68.0)</f>
        <v>68</v>
      </c>
      <c r="F5787" s="19" t="str">
        <f>IFERROR(__xludf.DUMMYFUNCTION("""COMPUTED_VALUE"""),"BLACK")</f>
        <v>BLACK</v>
      </c>
      <c r="G5787" s="20" t="str">
        <f>IFERROR(__xludf.DUMMYFUNCTION("""COMPUTED_VALUE"""),"Uncle Sams Cider (04/04/2023)")</f>
        <v>Uncle Sams Cider (04/04/2023)</v>
      </c>
      <c r="H5787" s="19"/>
    </row>
    <row r="5788">
      <c r="A5788" s="9"/>
      <c r="B5788" s="15"/>
      <c r="C5788" s="9">
        <f>IFERROR(__xludf.DUMMYFUNCTION("""COMPUTED_VALUE"""),45083.9177535185)</f>
        <v>45083.91775</v>
      </c>
      <c r="D5788" s="15">
        <f>IFERROR(__xludf.DUMMYFUNCTION("""COMPUTED_VALUE"""),1.008)</f>
        <v>1.008</v>
      </c>
      <c r="E5788" s="16">
        <f>IFERROR(__xludf.DUMMYFUNCTION("""COMPUTED_VALUE"""),68.0)</f>
        <v>68</v>
      </c>
      <c r="F5788" s="19" t="str">
        <f>IFERROR(__xludf.DUMMYFUNCTION("""COMPUTED_VALUE"""),"BLACK")</f>
        <v>BLACK</v>
      </c>
      <c r="G5788" s="20" t="str">
        <f>IFERROR(__xludf.DUMMYFUNCTION("""COMPUTED_VALUE"""),"Uncle Sams Cider (04/04/2023)")</f>
        <v>Uncle Sams Cider (04/04/2023)</v>
      </c>
      <c r="H5788" s="19"/>
    </row>
    <row r="5789">
      <c r="A5789" s="9"/>
      <c r="B5789" s="15"/>
      <c r="C5789" s="9">
        <f>IFERROR(__xludf.DUMMYFUNCTION("""COMPUTED_VALUE"""),45083.9073189583)</f>
        <v>45083.90732</v>
      </c>
      <c r="D5789" s="15">
        <f>IFERROR(__xludf.DUMMYFUNCTION("""COMPUTED_VALUE"""),1.008)</f>
        <v>1.008</v>
      </c>
      <c r="E5789" s="16">
        <f>IFERROR(__xludf.DUMMYFUNCTION("""COMPUTED_VALUE"""),68.0)</f>
        <v>68</v>
      </c>
      <c r="F5789" s="19" t="str">
        <f>IFERROR(__xludf.DUMMYFUNCTION("""COMPUTED_VALUE"""),"BLACK")</f>
        <v>BLACK</v>
      </c>
      <c r="G5789" s="20" t="str">
        <f>IFERROR(__xludf.DUMMYFUNCTION("""COMPUTED_VALUE"""),"Uncle Sams Cider (04/04/2023)")</f>
        <v>Uncle Sams Cider (04/04/2023)</v>
      </c>
      <c r="H5789" s="19"/>
    </row>
    <row r="5790">
      <c r="A5790" s="9"/>
      <c r="B5790" s="15"/>
      <c r="C5790" s="9">
        <f>IFERROR(__xludf.DUMMYFUNCTION("""COMPUTED_VALUE"""),45083.8968968287)</f>
        <v>45083.8969</v>
      </c>
      <c r="D5790" s="15">
        <f>IFERROR(__xludf.DUMMYFUNCTION("""COMPUTED_VALUE"""),1.008)</f>
        <v>1.008</v>
      </c>
      <c r="E5790" s="16">
        <f>IFERROR(__xludf.DUMMYFUNCTION("""COMPUTED_VALUE"""),68.0)</f>
        <v>68</v>
      </c>
      <c r="F5790" s="19" t="str">
        <f>IFERROR(__xludf.DUMMYFUNCTION("""COMPUTED_VALUE"""),"BLACK")</f>
        <v>BLACK</v>
      </c>
      <c r="G5790" s="20" t="str">
        <f>IFERROR(__xludf.DUMMYFUNCTION("""COMPUTED_VALUE"""),"Uncle Sams Cider (04/04/2023)")</f>
        <v>Uncle Sams Cider (04/04/2023)</v>
      </c>
      <c r="H5790" s="19"/>
    </row>
    <row r="5791">
      <c r="A5791" s="9"/>
      <c r="B5791" s="15"/>
      <c r="C5791" s="9">
        <f>IFERROR(__xludf.DUMMYFUNCTION("""COMPUTED_VALUE"""),45083.8864767245)</f>
        <v>45083.88648</v>
      </c>
      <c r="D5791" s="15">
        <f>IFERROR(__xludf.DUMMYFUNCTION("""COMPUTED_VALUE"""),1.008)</f>
        <v>1.008</v>
      </c>
      <c r="E5791" s="16">
        <f>IFERROR(__xludf.DUMMYFUNCTION("""COMPUTED_VALUE"""),68.0)</f>
        <v>68</v>
      </c>
      <c r="F5791" s="19" t="str">
        <f>IFERROR(__xludf.DUMMYFUNCTION("""COMPUTED_VALUE"""),"BLACK")</f>
        <v>BLACK</v>
      </c>
      <c r="G5791" s="20" t="str">
        <f>IFERROR(__xludf.DUMMYFUNCTION("""COMPUTED_VALUE"""),"Uncle Sams Cider (04/04/2023)")</f>
        <v>Uncle Sams Cider (04/04/2023)</v>
      </c>
      <c r="H5791" s="19"/>
    </row>
    <row r="5792">
      <c r="A5792" s="9"/>
      <c r="B5792" s="15"/>
      <c r="C5792" s="9">
        <f>IFERROR(__xludf.DUMMYFUNCTION("""COMPUTED_VALUE"""),45083.8760576736)</f>
        <v>45083.87606</v>
      </c>
      <c r="D5792" s="15">
        <f>IFERROR(__xludf.DUMMYFUNCTION("""COMPUTED_VALUE"""),1.008)</f>
        <v>1.008</v>
      </c>
      <c r="E5792" s="16">
        <f>IFERROR(__xludf.DUMMYFUNCTION("""COMPUTED_VALUE"""),68.0)</f>
        <v>68</v>
      </c>
      <c r="F5792" s="19" t="str">
        <f>IFERROR(__xludf.DUMMYFUNCTION("""COMPUTED_VALUE"""),"BLACK")</f>
        <v>BLACK</v>
      </c>
      <c r="G5792" s="20" t="str">
        <f>IFERROR(__xludf.DUMMYFUNCTION("""COMPUTED_VALUE"""),"Uncle Sams Cider (04/04/2023)")</f>
        <v>Uncle Sams Cider (04/04/2023)</v>
      </c>
      <c r="H5792" s="19"/>
    </row>
    <row r="5793">
      <c r="A5793" s="9"/>
      <c r="B5793" s="15"/>
      <c r="C5793" s="9">
        <f>IFERROR(__xludf.DUMMYFUNCTION("""COMPUTED_VALUE"""),45083.8656258333)</f>
        <v>45083.86563</v>
      </c>
      <c r="D5793" s="15">
        <f>IFERROR(__xludf.DUMMYFUNCTION("""COMPUTED_VALUE"""),1.008)</f>
        <v>1.008</v>
      </c>
      <c r="E5793" s="16">
        <f>IFERROR(__xludf.DUMMYFUNCTION("""COMPUTED_VALUE"""),68.0)</f>
        <v>68</v>
      </c>
      <c r="F5793" s="19" t="str">
        <f>IFERROR(__xludf.DUMMYFUNCTION("""COMPUTED_VALUE"""),"BLACK")</f>
        <v>BLACK</v>
      </c>
      <c r="G5793" s="20" t="str">
        <f>IFERROR(__xludf.DUMMYFUNCTION("""COMPUTED_VALUE"""),"Uncle Sams Cider (04/04/2023)")</f>
        <v>Uncle Sams Cider (04/04/2023)</v>
      </c>
      <c r="H5793" s="19"/>
    </row>
    <row r="5794">
      <c r="A5794" s="9"/>
      <c r="B5794" s="15"/>
      <c r="C5794" s="9">
        <f>IFERROR(__xludf.DUMMYFUNCTION("""COMPUTED_VALUE"""),45083.8552047222)</f>
        <v>45083.8552</v>
      </c>
      <c r="D5794" s="15">
        <f>IFERROR(__xludf.DUMMYFUNCTION("""COMPUTED_VALUE"""),1.008)</f>
        <v>1.008</v>
      </c>
      <c r="E5794" s="16">
        <f>IFERROR(__xludf.DUMMYFUNCTION("""COMPUTED_VALUE"""),68.0)</f>
        <v>68</v>
      </c>
      <c r="F5794" s="19" t="str">
        <f>IFERROR(__xludf.DUMMYFUNCTION("""COMPUTED_VALUE"""),"BLACK")</f>
        <v>BLACK</v>
      </c>
      <c r="G5794" s="20" t="str">
        <f>IFERROR(__xludf.DUMMYFUNCTION("""COMPUTED_VALUE"""),"Uncle Sams Cider (04/04/2023)")</f>
        <v>Uncle Sams Cider (04/04/2023)</v>
      </c>
      <c r="H5794" s="19"/>
    </row>
    <row r="5795">
      <c r="A5795" s="9"/>
      <c r="B5795" s="15"/>
      <c r="C5795" s="9">
        <f>IFERROR(__xludf.DUMMYFUNCTION("""COMPUTED_VALUE"""),45083.8447841666)</f>
        <v>45083.84478</v>
      </c>
      <c r="D5795" s="15">
        <f>IFERROR(__xludf.DUMMYFUNCTION("""COMPUTED_VALUE"""),1.008)</f>
        <v>1.008</v>
      </c>
      <c r="E5795" s="16">
        <f>IFERROR(__xludf.DUMMYFUNCTION("""COMPUTED_VALUE"""),68.0)</f>
        <v>68</v>
      </c>
      <c r="F5795" s="19" t="str">
        <f>IFERROR(__xludf.DUMMYFUNCTION("""COMPUTED_VALUE"""),"BLACK")</f>
        <v>BLACK</v>
      </c>
      <c r="G5795" s="20" t="str">
        <f>IFERROR(__xludf.DUMMYFUNCTION("""COMPUTED_VALUE"""),"Uncle Sams Cider (04/04/2023)")</f>
        <v>Uncle Sams Cider (04/04/2023)</v>
      </c>
      <c r="H5795" s="19"/>
    </row>
    <row r="5796">
      <c r="A5796" s="9"/>
      <c r="B5796" s="15"/>
      <c r="C5796" s="9">
        <f>IFERROR(__xludf.DUMMYFUNCTION("""COMPUTED_VALUE"""),45083.8343619791)</f>
        <v>45083.83436</v>
      </c>
      <c r="D5796" s="15">
        <f>IFERROR(__xludf.DUMMYFUNCTION("""COMPUTED_VALUE"""),1.008)</f>
        <v>1.008</v>
      </c>
      <c r="E5796" s="16">
        <f>IFERROR(__xludf.DUMMYFUNCTION("""COMPUTED_VALUE"""),68.0)</f>
        <v>68</v>
      </c>
      <c r="F5796" s="19" t="str">
        <f>IFERROR(__xludf.DUMMYFUNCTION("""COMPUTED_VALUE"""),"BLACK")</f>
        <v>BLACK</v>
      </c>
      <c r="G5796" s="20" t="str">
        <f>IFERROR(__xludf.DUMMYFUNCTION("""COMPUTED_VALUE"""),"Uncle Sams Cider (04/04/2023)")</f>
        <v>Uncle Sams Cider (04/04/2023)</v>
      </c>
      <c r="H5796" s="19"/>
    </row>
    <row r="5797">
      <c r="A5797" s="9"/>
      <c r="B5797" s="15"/>
      <c r="C5797" s="9">
        <f>IFERROR(__xludf.DUMMYFUNCTION("""COMPUTED_VALUE"""),45083.8239407407)</f>
        <v>45083.82394</v>
      </c>
      <c r="D5797" s="15">
        <f>IFERROR(__xludf.DUMMYFUNCTION("""COMPUTED_VALUE"""),1.008)</f>
        <v>1.008</v>
      </c>
      <c r="E5797" s="16">
        <f>IFERROR(__xludf.DUMMYFUNCTION("""COMPUTED_VALUE"""),68.0)</f>
        <v>68</v>
      </c>
      <c r="F5797" s="19" t="str">
        <f>IFERROR(__xludf.DUMMYFUNCTION("""COMPUTED_VALUE"""),"BLACK")</f>
        <v>BLACK</v>
      </c>
      <c r="G5797" s="20" t="str">
        <f>IFERROR(__xludf.DUMMYFUNCTION("""COMPUTED_VALUE"""),"Uncle Sams Cider (04/04/2023)")</f>
        <v>Uncle Sams Cider (04/04/2023)</v>
      </c>
      <c r="H5797" s="19"/>
    </row>
    <row r="5798">
      <c r="A5798" s="9"/>
      <c r="B5798" s="15"/>
      <c r="C5798" s="9">
        <f>IFERROR(__xludf.DUMMYFUNCTION("""COMPUTED_VALUE"""),45083.8135067361)</f>
        <v>45083.81351</v>
      </c>
      <c r="D5798" s="15">
        <f>IFERROR(__xludf.DUMMYFUNCTION("""COMPUTED_VALUE"""),1.008)</f>
        <v>1.008</v>
      </c>
      <c r="E5798" s="16">
        <f>IFERROR(__xludf.DUMMYFUNCTION("""COMPUTED_VALUE"""),68.0)</f>
        <v>68</v>
      </c>
      <c r="F5798" s="19" t="str">
        <f>IFERROR(__xludf.DUMMYFUNCTION("""COMPUTED_VALUE"""),"BLACK")</f>
        <v>BLACK</v>
      </c>
      <c r="G5798" s="20" t="str">
        <f>IFERROR(__xludf.DUMMYFUNCTION("""COMPUTED_VALUE"""),"Uncle Sams Cider (04/04/2023)")</f>
        <v>Uncle Sams Cider (04/04/2023)</v>
      </c>
      <c r="H5798" s="19"/>
    </row>
    <row r="5799">
      <c r="A5799" s="9"/>
      <c r="B5799" s="15"/>
      <c r="C5799" s="9">
        <f>IFERROR(__xludf.DUMMYFUNCTION("""COMPUTED_VALUE"""),45083.8030723726)</f>
        <v>45083.80307</v>
      </c>
      <c r="D5799" s="15">
        <f>IFERROR(__xludf.DUMMYFUNCTION("""COMPUTED_VALUE"""),1.008)</f>
        <v>1.008</v>
      </c>
      <c r="E5799" s="16">
        <f>IFERROR(__xludf.DUMMYFUNCTION("""COMPUTED_VALUE"""),68.0)</f>
        <v>68</v>
      </c>
      <c r="F5799" s="19" t="str">
        <f>IFERROR(__xludf.DUMMYFUNCTION("""COMPUTED_VALUE"""),"BLACK")</f>
        <v>BLACK</v>
      </c>
      <c r="G5799" s="20" t="str">
        <f>IFERROR(__xludf.DUMMYFUNCTION("""COMPUTED_VALUE"""),"Uncle Sams Cider (04/04/2023)")</f>
        <v>Uncle Sams Cider (04/04/2023)</v>
      </c>
      <c r="H5799" s="19"/>
    </row>
    <row r="5800">
      <c r="A5800" s="9"/>
      <c r="B5800" s="15"/>
      <c r="C5800" s="9">
        <f>IFERROR(__xludf.DUMMYFUNCTION("""COMPUTED_VALUE"""),45083.792640949)</f>
        <v>45083.79264</v>
      </c>
      <c r="D5800" s="15">
        <f>IFERROR(__xludf.DUMMYFUNCTION("""COMPUTED_VALUE"""),1.008)</f>
        <v>1.008</v>
      </c>
      <c r="E5800" s="16">
        <f>IFERROR(__xludf.DUMMYFUNCTION("""COMPUTED_VALUE"""),68.0)</f>
        <v>68</v>
      </c>
      <c r="F5800" s="19" t="str">
        <f>IFERROR(__xludf.DUMMYFUNCTION("""COMPUTED_VALUE"""),"BLACK")</f>
        <v>BLACK</v>
      </c>
      <c r="G5800" s="20" t="str">
        <f>IFERROR(__xludf.DUMMYFUNCTION("""COMPUTED_VALUE"""),"Uncle Sams Cider (04/04/2023)")</f>
        <v>Uncle Sams Cider (04/04/2023)</v>
      </c>
      <c r="H5800" s="19"/>
    </row>
    <row r="5801">
      <c r="A5801" s="9"/>
      <c r="B5801" s="15"/>
      <c r="C5801" s="9">
        <f>IFERROR(__xludf.DUMMYFUNCTION("""COMPUTED_VALUE"""),45083.7822072453)</f>
        <v>45083.78221</v>
      </c>
      <c r="D5801" s="15">
        <f>IFERROR(__xludf.DUMMYFUNCTION("""COMPUTED_VALUE"""),1.008)</f>
        <v>1.008</v>
      </c>
      <c r="E5801" s="16">
        <f>IFERROR(__xludf.DUMMYFUNCTION("""COMPUTED_VALUE"""),68.0)</f>
        <v>68</v>
      </c>
      <c r="F5801" s="19" t="str">
        <f>IFERROR(__xludf.DUMMYFUNCTION("""COMPUTED_VALUE"""),"BLACK")</f>
        <v>BLACK</v>
      </c>
      <c r="G5801" s="20" t="str">
        <f>IFERROR(__xludf.DUMMYFUNCTION("""COMPUTED_VALUE"""),"Uncle Sams Cider (04/04/2023)")</f>
        <v>Uncle Sams Cider (04/04/2023)</v>
      </c>
      <c r="H5801" s="19"/>
    </row>
    <row r="5802">
      <c r="A5802" s="9"/>
      <c r="B5802" s="15"/>
      <c r="C5802" s="9">
        <f>IFERROR(__xludf.DUMMYFUNCTION("""COMPUTED_VALUE"""),45083.7717863657)</f>
        <v>45083.77179</v>
      </c>
      <c r="D5802" s="15">
        <f>IFERROR(__xludf.DUMMYFUNCTION("""COMPUTED_VALUE"""),1.008)</f>
        <v>1.008</v>
      </c>
      <c r="E5802" s="16">
        <f>IFERROR(__xludf.DUMMYFUNCTION("""COMPUTED_VALUE"""),68.0)</f>
        <v>68</v>
      </c>
      <c r="F5802" s="19" t="str">
        <f>IFERROR(__xludf.DUMMYFUNCTION("""COMPUTED_VALUE"""),"BLACK")</f>
        <v>BLACK</v>
      </c>
      <c r="G5802" s="20" t="str">
        <f>IFERROR(__xludf.DUMMYFUNCTION("""COMPUTED_VALUE"""),"Uncle Sams Cider (04/04/2023)")</f>
        <v>Uncle Sams Cider (04/04/2023)</v>
      </c>
      <c r="H5802" s="19"/>
    </row>
    <row r="5803">
      <c r="A5803" s="9"/>
      <c r="B5803" s="15"/>
      <c r="C5803" s="9">
        <f>IFERROR(__xludf.DUMMYFUNCTION("""COMPUTED_VALUE"""),45083.7613680439)</f>
        <v>45083.76137</v>
      </c>
      <c r="D5803" s="15">
        <f>IFERROR(__xludf.DUMMYFUNCTION("""COMPUTED_VALUE"""),1.008)</f>
        <v>1.008</v>
      </c>
      <c r="E5803" s="16">
        <f>IFERROR(__xludf.DUMMYFUNCTION("""COMPUTED_VALUE"""),68.0)</f>
        <v>68</v>
      </c>
      <c r="F5803" s="19" t="str">
        <f>IFERROR(__xludf.DUMMYFUNCTION("""COMPUTED_VALUE"""),"BLACK")</f>
        <v>BLACK</v>
      </c>
      <c r="G5803" s="20" t="str">
        <f>IFERROR(__xludf.DUMMYFUNCTION("""COMPUTED_VALUE"""),"Uncle Sams Cider (04/04/2023)")</f>
        <v>Uncle Sams Cider (04/04/2023)</v>
      </c>
      <c r="H5803" s="19"/>
    </row>
    <row r="5804">
      <c r="A5804" s="9"/>
      <c r="B5804" s="15"/>
      <c r="C5804" s="9">
        <f>IFERROR(__xludf.DUMMYFUNCTION("""COMPUTED_VALUE"""),45083.7509471527)</f>
        <v>45083.75095</v>
      </c>
      <c r="D5804" s="15">
        <f>IFERROR(__xludf.DUMMYFUNCTION("""COMPUTED_VALUE"""),1.008)</f>
        <v>1.008</v>
      </c>
      <c r="E5804" s="16">
        <f>IFERROR(__xludf.DUMMYFUNCTION("""COMPUTED_VALUE"""),68.0)</f>
        <v>68</v>
      </c>
      <c r="F5804" s="19" t="str">
        <f>IFERROR(__xludf.DUMMYFUNCTION("""COMPUTED_VALUE"""),"BLACK")</f>
        <v>BLACK</v>
      </c>
      <c r="G5804" s="20" t="str">
        <f>IFERROR(__xludf.DUMMYFUNCTION("""COMPUTED_VALUE"""),"Uncle Sams Cider (04/04/2023)")</f>
        <v>Uncle Sams Cider (04/04/2023)</v>
      </c>
      <c r="H5804" s="19"/>
    </row>
    <row r="5805">
      <c r="A5805" s="9"/>
      <c r="B5805" s="15"/>
      <c r="C5805" s="9">
        <f>IFERROR(__xludf.DUMMYFUNCTION("""COMPUTED_VALUE"""),45083.7405280671)</f>
        <v>45083.74053</v>
      </c>
      <c r="D5805" s="15">
        <f>IFERROR(__xludf.DUMMYFUNCTION("""COMPUTED_VALUE"""),1.008)</f>
        <v>1.008</v>
      </c>
      <c r="E5805" s="16">
        <f>IFERROR(__xludf.DUMMYFUNCTION("""COMPUTED_VALUE"""),68.0)</f>
        <v>68</v>
      </c>
      <c r="F5805" s="19" t="str">
        <f>IFERROR(__xludf.DUMMYFUNCTION("""COMPUTED_VALUE"""),"BLACK")</f>
        <v>BLACK</v>
      </c>
      <c r="G5805" s="20" t="str">
        <f>IFERROR(__xludf.DUMMYFUNCTION("""COMPUTED_VALUE"""),"Uncle Sams Cider (04/04/2023)")</f>
        <v>Uncle Sams Cider (04/04/2023)</v>
      </c>
      <c r="H5805" s="19"/>
    </row>
    <row r="5806">
      <c r="A5806" s="9"/>
      <c r="B5806" s="15"/>
      <c r="C5806" s="9">
        <f>IFERROR(__xludf.DUMMYFUNCTION("""COMPUTED_VALUE"""),45083.7301071527)</f>
        <v>45083.73011</v>
      </c>
      <c r="D5806" s="15">
        <f>IFERROR(__xludf.DUMMYFUNCTION("""COMPUTED_VALUE"""),1.008)</f>
        <v>1.008</v>
      </c>
      <c r="E5806" s="16">
        <f>IFERROR(__xludf.DUMMYFUNCTION("""COMPUTED_VALUE"""),68.0)</f>
        <v>68</v>
      </c>
      <c r="F5806" s="19" t="str">
        <f>IFERROR(__xludf.DUMMYFUNCTION("""COMPUTED_VALUE"""),"BLACK")</f>
        <v>BLACK</v>
      </c>
      <c r="G5806" s="20" t="str">
        <f>IFERROR(__xludf.DUMMYFUNCTION("""COMPUTED_VALUE"""),"Uncle Sams Cider (04/04/2023)")</f>
        <v>Uncle Sams Cider (04/04/2023)</v>
      </c>
      <c r="H5806" s="19"/>
    </row>
    <row r="5807">
      <c r="A5807" s="9"/>
      <c r="B5807" s="15"/>
      <c r="C5807" s="9">
        <f>IFERROR(__xludf.DUMMYFUNCTION("""COMPUTED_VALUE"""),45083.7196849652)</f>
        <v>45083.71968</v>
      </c>
      <c r="D5807" s="15">
        <f>IFERROR(__xludf.DUMMYFUNCTION("""COMPUTED_VALUE"""),1.008)</f>
        <v>1.008</v>
      </c>
      <c r="E5807" s="16">
        <f>IFERROR(__xludf.DUMMYFUNCTION("""COMPUTED_VALUE"""),68.0)</f>
        <v>68</v>
      </c>
      <c r="F5807" s="19" t="str">
        <f>IFERROR(__xludf.DUMMYFUNCTION("""COMPUTED_VALUE"""),"BLACK")</f>
        <v>BLACK</v>
      </c>
      <c r="G5807" s="20" t="str">
        <f>IFERROR(__xludf.DUMMYFUNCTION("""COMPUTED_VALUE"""),"Uncle Sams Cider (04/04/2023)")</f>
        <v>Uncle Sams Cider (04/04/2023)</v>
      </c>
      <c r="H5807" s="19"/>
    </row>
    <row r="5808">
      <c r="A5808" s="9"/>
      <c r="B5808" s="15"/>
      <c r="C5808" s="9">
        <f>IFERROR(__xludf.DUMMYFUNCTION("""COMPUTED_VALUE"""),45083.70923875)</f>
        <v>45083.70924</v>
      </c>
      <c r="D5808" s="15">
        <f>IFERROR(__xludf.DUMMYFUNCTION("""COMPUTED_VALUE"""),1.008)</f>
        <v>1.008</v>
      </c>
      <c r="E5808" s="16">
        <f>IFERROR(__xludf.DUMMYFUNCTION("""COMPUTED_VALUE"""),68.0)</f>
        <v>68</v>
      </c>
      <c r="F5808" s="19" t="str">
        <f>IFERROR(__xludf.DUMMYFUNCTION("""COMPUTED_VALUE"""),"BLACK")</f>
        <v>BLACK</v>
      </c>
      <c r="G5808" s="20" t="str">
        <f>IFERROR(__xludf.DUMMYFUNCTION("""COMPUTED_VALUE"""),"Uncle Sams Cider (04/04/2023)")</f>
        <v>Uncle Sams Cider (04/04/2023)</v>
      </c>
      <c r="H5808" s="19"/>
    </row>
    <row r="5809">
      <c r="A5809" s="9"/>
      <c r="B5809" s="15"/>
      <c r="C5809" s="9">
        <f>IFERROR(__xludf.DUMMYFUNCTION("""COMPUTED_VALUE"""),45083.6988049074)</f>
        <v>45083.6988</v>
      </c>
      <c r="D5809" s="15">
        <f>IFERROR(__xludf.DUMMYFUNCTION("""COMPUTED_VALUE"""),1.008)</f>
        <v>1.008</v>
      </c>
      <c r="E5809" s="16">
        <f>IFERROR(__xludf.DUMMYFUNCTION("""COMPUTED_VALUE"""),68.0)</f>
        <v>68</v>
      </c>
      <c r="F5809" s="19" t="str">
        <f>IFERROR(__xludf.DUMMYFUNCTION("""COMPUTED_VALUE"""),"BLACK")</f>
        <v>BLACK</v>
      </c>
      <c r="G5809" s="20" t="str">
        <f>IFERROR(__xludf.DUMMYFUNCTION("""COMPUTED_VALUE"""),"Uncle Sams Cider (04/04/2023)")</f>
        <v>Uncle Sams Cider (04/04/2023)</v>
      </c>
      <c r="H5809" s="19"/>
    </row>
    <row r="5810">
      <c r="A5810" s="9"/>
      <c r="B5810" s="15"/>
      <c r="C5810" s="9">
        <f>IFERROR(__xludf.DUMMYFUNCTION("""COMPUTED_VALUE"""),45083.6883736921)</f>
        <v>45083.68837</v>
      </c>
      <c r="D5810" s="15">
        <f>IFERROR(__xludf.DUMMYFUNCTION("""COMPUTED_VALUE"""),1.008)</f>
        <v>1.008</v>
      </c>
      <c r="E5810" s="16">
        <f>IFERROR(__xludf.DUMMYFUNCTION("""COMPUTED_VALUE"""),68.0)</f>
        <v>68</v>
      </c>
      <c r="F5810" s="19" t="str">
        <f>IFERROR(__xludf.DUMMYFUNCTION("""COMPUTED_VALUE"""),"BLACK")</f>
        <v>BLACK</v>
      </c>
      <c r="G5810" s="20" t="str">
        <f>IFERROR(__xludf.DUMMYFUNCTION("""COMPUTED_VALUE"""),"Uncle Sams Cider (04/04/2023)")</f>
        <v>Uncle Sams Cider (04/04/2023)</v>
      </c>
      <c r="H5810" s="19"/>
    </row>
    <row r="5811">
      <c r="A5811" s="9"/>
      <c r="B5811" s="15"/>
      <c r="C5811" s="9">
        <f>IFERROR(__xludf.DUMMYFUNCTION("""COMPUTED_VALUE"""),45083.6779517013)</f>
        <v>45083.67795</v>
      </c>
      <c r="D5811" s="15">
        <f>IFERROR(__xludf.DUMMYFUNCTION("""COMPUTED_VALUE"""),1.008)</f>
        <v>1.008</v>
      </c>
      <c r="E5811" s="16">
        <f>IFERROR(__xludf.DUMMYFUNCTION("""COMPUTED_VALUE"""),68.0)</f>
        <v>68</v>
      </c>
      <c r="F5811" s="19" t="str">
        <f>IFERROR(__xludf.DUMMYFUNCTION("""COMPUTED_VALUE"""),"BLACK")</f>
        <v>BLACK</v>
      </c>
      <c r="G5811" s="20" t="str">
        <f>IFERROR(__xludf.DUMMYFUNCTION("""COMPUTED_VALUE"""),"Uncle Sams Cider (04/04/2023)")</f>
        <v>Uncle Sams Cider (04/04/2023)</v>
      </c>
      <c r="H5811" s="19"/>
    </row>
    <row r="5812">
      <c r="A5812" s="9"/>
      <c r="B5812" s="15"/>
      <c r="C5812" s="9">
        <f>IFERROR(__xludf.DUMMYFUNCTION("""COMPUTED_VALUE"""),45083.6675303703)</f>
        <v>45083.66753</v>
      </c>
      <c r="D5812" s="15">
        <f>IFERROR(__xludf.DUMMYFUNCTION("""COMPUTED_VALUE"""),1.008)</f>
        <v>1.008</v>
      </c>
      <c r="E5812" s="16">
        <f>IFERROR(__xludf.DUMMYFUNCTION("""COMPUTED_VALUE"""),68.0)</f>
        <v>68</v>
      </c>
      <c r="F5812" s="19" t="str">
        <f>IFERROR(__xludf.DUMMYFUNCTION("""COMPUTED_VALUE"""),"BLACK")</f>
        <v>BLACK</v>
      </c>
      <c r="G5812" s="20" t="str">
        <f>IFERROR(__xludf.DUMMYFUNCTION("""COMPUTED_VALUE"""),"Uncle Sams Cider (04/04/2023)")</f>
        <v>Uncle Sams Cider (04/04/2023)</v>
      </c>
      <c r="H5812" s="19"/>
    </row>
    <row r="5813">
      <c r="A5813" s="9"/>
      <c r="B5813" s="15"/>
      <c r="C5813" s="9">
        <f>IFERROR(__xludf.DUMMYFUNCTION("""COMPUTED_VALUE"""),45083.6571086805)</f>
        <v>45083.65711</v>
      </c>
      <c r="D5813" s="15">
        <f>IFERROR(__xludf.DUMMYFUNCTION("""COMPUTED_VALUE"""),1.008)</f>
        <v>1.008</v>
      </c>
      <c r="E5813" s="16">
        <f>IFERROR(__xludf.DUMMYFUNCTION("""COMPUTED_VALUE"""),68.0)</f>
        <v>68</v>
      </c>
      <c r="F5813" s="19" t="str">
        <f>IFERROR(__xludf.DUMMYFUNCTION("""COMPUTED_VALUE"""),"BLACK")</f>
        <v>BLACK</v>
      </c>
      <c r="G5813" s="20" t="str">
        <f>IFERROR(__xludf.DUMMYFUNCTION("""COMPUTED_VALUE"""),"Uncle Sams Cider (04/04/2023)")</f>
        <v>Uncle Sams Cider (04/04/2023)</v>
      </c>
      <c r="H5813" s="19"/>
    </row>
    <row r="5814">
      <c r="A5814" s="9"/>
      <c r="B5814" s="15"/>
      <c r="C5814" s="9">
        <f>IFERROR(__xludf.DUMMYFUNCTION("""COMPUTED_VALUE"""),45083.6466867939)</f>
        <v>45083.64669</v>
      </c>
      <c r="D5814" s="15">
        <f>IFERROR(__xludf.DUMMYFUNCTION("""COMPUTED_VALUE"""),1.008)</f>
        <v>1.008</v>
      </c>
      <c r="E5814" s="16">
        <f>IFERROR(__xludf.DUMMYFUNCTION("""COMPUTED_VALUE"""),68.0)</f>
        <v>68</v>
      </c>
      <c r="F5814" s="19" t="str">
        <f>IFERROR(__xludf.DUMMYFUNCTION("""COMPUTED_VALUE"""),"BLACK")</f>
        <v>BLACK</v>
      </c>
      <c r="G5814" s="20" t="str">
        <f>IFERROR(__xludf.DUMMYFUNCTION("""COMPUTED_VALUE"""),"Uncle Sams Cider (04/04/2023)")</f>
        <v>Uncle Sams Cider (04/04/2023)</v>
      </c>
      <c r="H5814" s="19"/>
    </row>
    <row r="5815">
      <c r="A5815" s="9"/>
      <c r="B5815" s="15"/>
      <c r="C5815" s="9">
        <f>IFERROR(__xludf.DUMMYFUNCTION("""COMPUTED_VALUE"""),45083.6362661921)</f>
        <v>45083.63627</v>
      </c>
      <c r="D5815" s="15">
        <f>IFERROR(__xludf.DUMMYFUNCTION("""COMPUTED_VALUE"""),1.008)</f>
        <v>1.008</v>
      </c>
      <c r="E5815" s="16">
        <f>IFERROR(__xludf.DUMMYFUNCTION("""COMPUTED_VALUE"""),68.0)</f>
        <v>68</v>
      </c>
      <c r="F5815" s="19" t="str">
        <f>IFERROR(__xludf.DUMMYFUNCTION("""COMPUTED_VALUE"""),"BLACK")</f>
        <v>BLACK</v>
      </c>
      <c r="G5815" s="20" t="str">
        <f>IFERROR(__xludf.DUMMYFUNCTION("""COMPUTED_VALUE"""),"Uncle Sams Cider (04/04/2023)")</f>
        <v>Uncle Sams Cider (04/04/2023)</v>
      </c>
      <c r="H5815" s="19"/>
    </row>
    <row r="5816">
      <c r="A5816" s="9"/>
      <c r="B5816" s="15"/>
      <c r="C5816" s="9">
        <f>IFERROR(__xludf.DUMMYFUNCTION("""COMPUTED_VALUE"""),45083.6258330208)</f>
        <v>45083.62583</v>
      </c>
      <c r="D5816" s="15">
        <f>IFERROR(__xludf.DUMMYFUNCTION("""COMPUTED_VALUE"""),1.008)</f>
        <v>1.008</v>
      </c>
      <c r="E5816" s="16">
        <f>IFERROR(__xludf.DUMMYFUNCTION("""COMPUTED_VALUE"""),68.0)</f>
        <v>68</v>
      </c>
      <c r="F5816" s="19" t="str">
        <f>IFERROR(__xludf.DUMMYFUNCTION("""COMPUTED_VALUE"""),"BLACK")</f>
        <v>BLACK</v>
      </c>
      <c r="G5816" s="20" t="str">
        <f>IFERROR(__xludf.DUMMYFUNCTION("""COMPUTED_VALUE"""),"Uncle Sams Cider (04/04/2023)")</f>
        <v>Uncle Sams Cider (04/04/2023)</v>
      </c>
      <c r="H5816" s="19"/>
    </row>
    <row r="5817">
      <c r="A5817" s="9"/>
      <c r="B5817" s="15"/>
      <c r="C5817" s="9">
        <f>IFERROR(__xludf.DUMMYFUNCTION("""COMPUTED_VALUE"""),45083.6154126736)</f>
        <v>45083.61541</v>
      </c>
      <c r="D5817" s="15">
        <f>IFERROR(__xludf.DUMMYFUNCTION("""COMPUTED_VALUE"""),1.008)</f>
        <v>1.008</v>
      </c>
      <c r="E5817" s="16">
        <f>IFERROR(__xludf.DUMMYFUNCTION("""COMPUTED_VALUE"""),68.0)</f>
        <v>68</v>
      </c>
      <c r="F5817" s="19" t="str">
        <f>IFERROR(__xludf.DUMMYFUNCTION("""COMPUTED_VALUE"""),"BLACK")</f>
        <v>BLACK</v>
      </c>
      <c r="G5817" s="20" t="str">
        <f>IFERROR(__xludf.DUMMYFUNCTION("""COMPUTED_VALUE"""),"Uncle Sams Cider (04/04/2023)")</f>
        <v>Uncle Sams Cider (04/04/2023)</v>
      </c>
      <c r="H5817" s="19"/>
    </row>
    <row r="5818">
      <c r="A5818" s="9"/>
      <c r="B5818" s="15"/>
      <c r="C5818" s="9">
        <f>IFERROR(__xludf.DUMMYFUNCTION("""COMPUTED_VALUE"""),45083.604990243)</f>
        <v>45083.60499</v>
      </c>
      <c r="D5818" s="15">
        <f>IFERROR(__xludf.DUMMYFUNCTION("""COMPUTED_VALUE"""),1.008)</f>
        <v>1.008</v>
      </c>
      <c r="E5818" s="16">
        <f>IFERROR(__xludf.DUMMYFUNCTION("""COMPUTED_VALUE"""),68.0)</f>
        <v>68</v>
      </c>
      <c r="F5818" s="19" t="str">
        <f>IFERROR(__xludf.DUMMYFUNCTION("""COMPUTED_VALUE"""),"BLACK")</f>
        <v>BLACK</v>
      </c>
      <c r="G5818" s="20" t="str">
        <f>IFERROR(__xludf.DUMMYFUNCTION("""COMPUTED_VALUE"""),"Uncle Sams Cider (04/04/2023)")</f>
        <v>Uncle Sams Cider (04/04/2023)</v>
      </c>
      <c r="H5818" s="19"/>
    </row>
    <row r="5819">
      <c r="A5819" s="9"/>
      <c r="B5819" s="15"/>
      <c r="C5819" s="9">
        <f>IFERROR(__xludf.DUMMYFUNCTION("""COMPUTED_VALUE"""),45083.5945688541)</f>
        <v>45083.59457</v>
      </c>
      <c r="D5819" s="15">
        <f>IFERROR(__xludf.DUMMYFUNCTION("""COMPUTED_VALUE"""),1.008)</f>
        <v>1.008</v>
      </c>
      <c r="E5819" s="16">
        <f>IFERROR(__xludf.DUMMYFUNCTION("""COMPUTED_VALUE"""),68.0)</f>
        <v>68</v>
      </c>
      <c r="F5819" s="19" t="str">
        <f>IFERROR(__xludf.DUMMYFUNCTION("""COMPUTED_VALUE"""),"BLACK")</f>
        <v>BLACK</v>
      </c>
      <c r="G5819" s="20" t="str">
        <f>IFERROR(__xludf.DUMMYFUNCTION("""COMPUTED_VALUE"""),"Uncle Sams Cider (04/04/2023)")</f>
        <v>Uncle Sams Cider (04/04/2023)</v>
      </c>
      <c r="H5819" s="19"/>
    </row>
    <row r="5820">
      <c r="A5820" s="9"/>
      <c r="B5820" s="15"/>
      <c r="C5820" s="9">
        <f>IFERROR(__xludf.DUMMYFUNCTION("""COMPUTED_VALUE"""),45083.5841465509)</f>
        <v>45083.58415</v>
      </c>
      <c r="D5820" s="15">
        <f>IFERROR(__xludf.DUMMYFUNCTION("""COMPUTED_VALUE"""),1.008)</f>
        <v>1.008</v>
      </c>
      <c r="E5820" s="16">
        <f>IFERROR(__xludf.DUMMYFUNCTION("""COMPUTED_VALUE"""),68.0)</f>
        <v>68</v>
      </c>
      <c r="F5820" s="19" t="str">
        <f>IFERROR(__xludf.DUMMYFUNCTION("""COMPUTED_VALUE"""),"BLACK")</f>
        <v>BLACK</v>
      </c>
      <c r="G5820" s="20" t="str">
        <f>IFERROR(__xludf.DUMMYFUNCTION("""COMPUTED_VALUE"""),"Uncle Sams Cider (04/04/2023)")</f>
        <v>Uncle Sams Cider (04/04/2023)</v>
      </c>
      <c r="H5820" s="19"/>
    </row>
    <row r="5821">
      <c r="A5821" s="9"/>
      <c r="B5821" s="15"/>
      <c r="C5821" s="9">
        <f>IFERROR(__xludf.DUMMYFUNCTION("""COMPUTED_VALUE"""),45083.573725162)</f>
        <v>45083.57373</v>
      </c>
      <c r="D5821" s="15">
        <f>IFERROR(__xludf.DUMMYFUNCTION("""COMPUTED_VALUE"""),1.008)</f>
        <v>1.008</v>
      </c>
      <c r="E5821" s="16">
        <f>IFERROR(__xludf.DUMMYFUNCTION("""COMPUTED_VALUE"""),68.0)</f>
        <v>68</v>
      </c>
      <c r="F5821" s="19" t="str">
        <f>IFERROR(__xludf.DUMMYFUNCTION("""COMPUTED_VALUE"""),"BLACK")</f>
        <v>BLACK</v>
      </c>
      <c r="G5821" s="20" t="str">
        <f>IFERROR(__xludf.DUMMYFUNCTION("""COMPUTED_VALUE"""),"Uncle Sams Cider (04/04/2023)")</f>
        <v>Uncle Sams Cider (04/04/2023)</v>
      </c>
      <c r="H5821" s="19"/>
    </row>
    <row r="5822">
      <c r="A5822" s="9"/>
      <c r="B5822" s="15"/>
      <c r="C5822" s="9">
        <f>IFERROR(__xludf.DUMMYFUNCTION("""COMPUTED_VALUE"""),45083.5633032523)</f>
        <v>45083.5633</v>
      </c>
      <c r="D5822" s="15">
        <f>IFERROR(__xludf.DUMMYFUNCTION("""COMPUTED_VALUE"""),1.008)</f>
        <v>1.008</v>
      </c>
      <c r="E5822" s="16">
        <f>IFERROR(__xludf.DUMMYFUNCTION("""COMPUTED_VALUE"""),68.0)</f>
        <v>68</v>
      </c>
      <c r="F5822" s="19" t="str">
        <f>IFERROR(__xludf.DUMMYFUNCTION("""COMPUTED_VALUE"""),"BLACK")</f>
        <v>BLACK</v>
      </c>
      <c r="G5822" s="20" t="str">
        <f>IFERROR(__xludf.DUMMYFUNCTION("""COMPUTED_VALUE"""),"Uncle Sams Cider (04/04/2023)")</f>
        <v>Uncle Sams Cider (04/04/2023)</v>
      </c>
      <c r="H5822" s="19"/>
    </row>
    <row r="5823">
      <c r="A5823" s="9"/>
      <c r="B5823" s="15"/>
      <c r="C5823" s="9">
        <f>IFERROR(__xludf.DUMMYFUNCTION("""COMPUTED_VALUE"""),45083.5528819328)</f>
        <v>45083.55288</v>
      </c>
      <c r="D5823" s="15">
        <f>IFERROR(__xludf.DUMMYFUNCTION("""COMPUTED_VALUE"""),1.008)</f>
        <v>1.008</v>
      </c>
      <c r="E5823" s="16">
        <f>IFERROR(__xludf.DUMMYFUNCTION("""COMPUTED_VALUE"""),68.0)</f>
        <v>68</v>
      </c>
      <c r="F5823" s="19" t="str">
        <f>IFERROR(__xludf.DUMMYFUNCTION("""COMPUTED_VALUE"""),"BLACK")</f>
        <v>BLACK</v>
      </c>
      <c r="G5823" s="20" t="str">
        <f>IFERROR(__xludf.DUMMYFUNCTION("""COMPUTED_VALUE"""),"Uncle Sams Cider (04/04/2023)")</f>
        <v>Uncle Sams Cider (04/04/2023)</v>
      </c>
      <c r="H5823" s="19"/>
    </row>
    <row r="5824">
      <c r="A5824" s="9"/>
      <c r="B5824" s="15"/>
      <c r="C5824" s="9">
        <f>IFERROR(__xludf.DUMMYFUNCTION("""COMPUTED_VALUE"""),45083.5424621527)</f>
        <v>45083.54246</v>
      </c>
      <c r="D5824" s="15">
        <f>IFERROR(__xludf.DUMMYFUNCTION("""COMPUTED_VALUE"""),1.008)</f>
        <v>1.008</v>
      </c>
      <c r="E5824" s="16">
        <f>IFERROR(__xludf.DUMMYFUNCTION("""COMPUTED_VALUE"""),68.0)</f>
        <v>68</v>
      </c>
      <c r="F5824" s="19" t="str">
        <f>IFERROR(__xludf.DUMMYFUNCTION("""COMPUTED_VALUE"""),"BLACK")</f>
        <v>BLACK</v>
      </c>
      <c r="G5824" s="20" t="str">
        <f>IFERROR(__xludf.DUMMYFUNCTION("""COMPUTED_VALUE"""),"Uncle Sams Cider (04/04/2023)")</f>
        <v>Uncle Sams Cider (04/04/2023)</v>
      </c>
      <c r="H5824" s="19"/>
    </row>
    <row r="5825">
      <c r="A5825" s="9"/>
      <c r="B5825" s="15"/>
      <c r="C5825" s="9">
        <f>IFERROR(__xludf.DUMMYFUNCTION("""COMPUTED_VALUE"""),45083.5320416203)</f>
        <v>45083.53204</v>
      </c>
      <c r="D5825" s="15">
        <f>IFERROR(__xludf.DUMMYFUNCTION("""COMPUTED_VALUE"""),1.008)</f>
        <v>1.008</v>
      </c>
      <c r="E5825" s="16">
        <f>IFERROR(__xludf.DUMMYFUNCTION("""COMPUTED_VALUE"""),68.0)</f>
        <v>68</v>
      </c>
      <c r="F5825" s="19" t="str">
        <f>IFERROR(__xludf.DUMMYFUNCTION("""COMPUTED_VALUE"""),"BLACK")</f>
        <v>BLACK</v>
      </c>
      <c r="G5825" s="20" t="str">
        <f>IFERROR(__xludf.DUMMYFUNCTION("""COMPUTED_VALUE"""),"Uncle Sams Cider (04/04/2023)")</f>
        <v>Uncle Sams Cider (04/04/2023)</v>
      </c>
      <c r="H5825" s="19"/>
    </row>
    <row r="5826">
      <c r="A5826" s="9"/>
      <c r="B5826" s="15"/>
      <c r="C5826" s="9">
        <f>IFERROR(__xludf.DUMMYFUNCTION("""COMPUTED_VALUE"""),45083.5216082754)</f>
        <v>45083.52161</v>
      </c>
      <c r="D5826" s="15">
        <f>IFERROR(__xludf.DUMMYFUNCTION("""COMPUTED_VALUE"""),1.008)</f>
        <v>1.008</v>
      </c>
      <c r="E5826" s="16">
        <f>IFERROR(__xludf.DUMMYFUNCTION("""COMPUTED_VALUE"""),68.0)</f>
        <v>68</v>
      </c>
      <c r="F5826" s="19" t="str">
        <f>IFERROR(__xludf.DUMMYFUNCTION("""COMPUTED_VALUE"""),"BLACK")</f>
        <v>BLACK</v>
      </c>
      <c r="G5826" s="20" t="str">
        <f>IFERROR(__xludf.DUMMYFUNCTION("""COMPUTED_VALUE"""),"Uncle Sams Cider (04/04/2023)")</f>
        <v>Uncle Sams Cider (04/04/2023)</v>
      </c>
      <c r="H5826" s="19"/>
    </row>
    <row r="5827">
      <c r="A5827" s="9"/>
      <c r="B5827" s="15"/>
      <c r="C5827" s="9">
        <f>IFERROR(__xludf.DUMMYFUNCTION("""COMPUTED_VALUE"""),45083.5111868865)</f>
        <v>45083.51119</v>
      </c>
      <c r="D5827" s="15">
        <f>IFERROR(__xludf.DUMMYFUNCTION("""COMPUTED_VALUE"""),1.008)</f>
        <v>1.008</v>
      </c>
      <c r="E5827" s="16">
        <f>IFERROR(__xludf.DUMMYFUNCTION("""COMPUTED_VALUE"""),68.0)</f>
        <v>68</v>
      </c>
      <c r="F5827" s="19" t="str">
        <f>IFERROR(__xludf.DUMMYFUNCTION("""COMPUTED_VALUE"""),"BLACK")</f>
        <v>BLACK</v>
      </c>
      <c r="G5827" s="20" t="str">
        <f>IFERROR(__xludf.DUMMYFUNCTION("""COMPUTED_VALUE"""),"Uncle Sams Cider (04/04/2023)")</f>
        <v>Uncle Sams Cider (04/04/2023)</v>
      </c>
      <c r="H5827" s="19"/>
    </row>
    <row r="5828">
      <c r="A5828" s="9"/>
      <c r="B5828" s="15"/>
      <c r="C5828" s="9">
        <f>IFERROR(__xludf.DUMMYFUNCTION("""COMPUTED_VALUE"""),45083.5007677314)</f>
        <v>45083.50077</v>
      </c>
      <c r="D5828" s="15">
        <f>IFERROR(__xludf.DUMMYFUNCTION("""COMPUTED_VALUE"""),1.008)</f>
        <v>1.008</v>
      </c>
      <c r="E5828" s="16">
        <f>IFERROR(__xludf.DUMMYFUNCTION("""COMPUTED_VALUE"""),68.0)</f>
        <v>68</v>
      </c>
      <c r="F5828" s="19" t="str">
        <f>IFERROR(__xludf.DUMMYFUNCTION("""COMPUTED_VALUE"""),"BLACK")</f>
        <v>BLACK</v>
      </c>
      <c r="G5828" s="20" t="str">
        <f>IFERROR(__xludf.DUMMYFUNCTION("""COMPUTED_VALUE"""),"Uncle Sams Cider (04/04/2023)")</f>
        <v>Uncle Sams Cider (04/04/2023)</v>
      </c>
      <c r="H5828" s="19"/>
    </row>
    <row r="5829">
      <c r="A5829" s="9"/>
      <c r="B5829" s="15"/>
      <c r="C5829" s="9">
        <f>IFERROR(__xludf.DUMMYFUNCTION("""COMPUTED_VALUE"""),45083.4903474189)</f>
        <v>45083.49035</v>
      </c>
      <c r="D5829" s="15">
        <f>IFERROR(__xludf.DUMMYFUNCTION("""COMPUTED_VALUE"""),1.008)</f>
        <v>1.008</v>
      </c>
      <c r="E5829" s="16">
        <f>IFERROR(__xludf.DUMMYFUNCTION("""COMPUTED_VALUE"""),68.0)</f>
        <v>68</v>
      </c>
      <c r="F5829" s="19" t="str">
        <f>IFERROR(__xludf.DUMMYFUNCTION("""COMPUTED_VALUE"""),"BLACK")</f>
        <v>BLACK</v>
      </c>
      <c r="G5829" s="20" t="str">
        <f>IFERROR(__xludf.DUMMYFUNCTION("""COMPUTED_VALUE"""),"Uncle Sams Cider (04/04/2023)")</f>
        <v>Uncle Sams Cider (04/04/2023)</v>
      </c>
      <c r="H5829" s="19"/>
    </row>
    <row r="5830">
      <c r="A5830" s="9"/>
      <c r="B5830" s="15"/>
      <c r="C5830" s="9">
        <f>IFERROR(__xludf.DUMMYFUNCTION("""COMPUTED_VALUE"""),45083.4799154282)</f>
        <v>45083.47992</v>
      </c>
      <c r="D5830" s="15">
        <f>IFERROR(__xludf.DUMMYFUNCTION("""COMPUTED_VALUE"""),1.008)</f>
        <v>1.008</v>
      </c>
      <c r="E5830" s="16">
        <f>IFERROR(__xludf.DUMMYFUNCTION("""COMPUTED_VALUE"""),68.0)</f>
        <v>68</v>
      </c>
      <c r="F5830" s="19" t="str">
        <f>IFERROR(__xludf.DUMMYFUNCTION("""COMPUTED_VALUE"""),"BLACK")</f>
        <v>BLACK</v>
      </c>
      <c r="G5830" s="20" t="str">
        <f>IFERROR(__xludf.DUMMYFUNCTION("""COMPUTED_VALUE"""),"Uncle Sams Cider (04/04/2023)")</f>
        <v>Uncle Sams Cider (04/04/2023)</v>
      </c>
      <c r="H5830" s="19"/>
    </row>
    <row r="5831">
      <c r="A5831" s="9"/>
      <c r="B5831" s="15"/>
      <c r="C5831" s="9">
        <f>IFERROR(__xludf.DUMMYFUNCTION("""COMPUTED_VALUE"""),45083.469482037)</f>
        <v>45083.46948</v>
      </c>
      <c r="D5831" s="15">
        <f>IFERROR(__xludf.DUMMYFUNCTION("""COMPUTED_VALUE"""),1.008)</f>
        <v>1.008</v>
      </c>
      <c r="E5831" s="16">
        <f>IFERROR(__xludf.DUMMYFUNCTION("""COMPUTED_VALUE"""),68.0)</f>
        <v>68</v>
      </c>
      <c r="F5831" s="19" t="str">
        <f>IFERROR(__xludf.DUMMYFUNCTION("""COMPUTED_VALUE"""),"BLACK")</f>
        <v>BLACK</v>
      </c>
      <c r="G5831" s="20" t="str">
        <f>IFERROR(__xludf.DUMMYFUNCTION("""COMPUTED_VALUE"""),"Uncle Sams Cider (04/04/2023)")</f>
        <v>Uncle Sams Cider (04/04/2023)</v>
      </c>
      <c r="H5831" s="19"/>
    </row>
    <row r="5832">
      <c r="A5832" s="9"/>
      <c r="B5832" s="15"/>
      <c r="C5832" s="9">
        <f>IFERROR(__xludf.DUMMYFUNCTION("""COMPUTED_VALUE"""),45083.4590613541)</f>
        <v>45083.45906</v>
      </c>
      <c r="D5832" s="15">
        <f>IFERROR(__xludf.DUMMYFUNCTION("""COMPUTED_VALUE"""),1.008)</f>
        <v>1.008</v>
      </c>
      <c r="E5832" s="16">
        <f>IFERROR(__xludf.DUMMYFUNCTION("""COMPUTED_VALUE"""),68.0)</f>
        <v>68</v>
      </c>
      <c r="F5832" s="19" t="str">
        <f>IFERROR(__xludf.DUMMYFUNCTION("""COMPUTED_VALUE"""),"BLACK")</f>
        <v>BLACK</v>
      </c>
      <c r="G5832" s="20" t="str">
        <f>IFERROR(__xludf.DUMMYFUNCTION("""COMPUTED_VALUE"""),"Uncle Sams Cider (04/04/2023)")</f>
        <v>Uncle Sams Cider (04/04/2023)</v>
      </c>
      <c r="H5832" s="19"/>
    </row>
    <row r="5833">
      <c r="A5833" s="9"/>
      <c r="B5833" s="15"/>
      <c r="C5833" s="9">
        <f>IFERROR(__xludf.DUMMYFUNCTION("""COMPUTED_VALUE"""),45083.448639537)</f>
        <v>45083.44864</v>
      </c>
      <c r="D5833" s="15">
        <f>IFERROR(__xludf.DUMMYFUNCTION("""COMPUTED_VALUE"""),1.008)</f>
        <v>1.008</v>
      </c>
      <c r="E5833" s="16">
        <f>IFERROR(__xludf.DUMMYFUNCTION("""COMPUTED_VALUE"""),68.0)</f>
        <v>68</v>
      </c>
      <c r="F5833" s="19" t="str">
        <f>IFERROR(__xludf.DUMMYFUNCTION("""COMPUTED_VALUE"""),"BLACK")</f>
        <v>BLACK</v>
      </c>
      <c r="G5833" s="20" t="str">
        <f>IFERROR(__xludf.DUMMYFUNCTION("""COMPUTED_VALUE"""),"Uncle Sams Cider (04/04/2023)")</f>
        <v>Uncle Sams Cider (04/04/2023)</v>
      </c>
      <c r="H5833" s="19"/>
    </row>
    <row r="5834">
      <c r="A5834" s="9"/>
      <c r="B5834" s="15"/>
      <c r="C5834" s="9">
        <f>IFERROR(__xludf.DUMMYFUNCTION("""COMPUTED_VALUE"""),45083.4382176967)</f>
        <v>45083.43822</v>
      </c>
      <c r="D5834" s="15">
        <f>IFERROR(__xludf.DUMMYFUNCTION("""COMPUTED_VALUE"""),1.008)</f>
        <v>1.008</v>
      </c>
      <c r="E5834" s="16">
        <f>IFERROR(__xludf.DUMMYFUNCTION("""COMPUTED_VALUE"""),68.0)</f>
        <v>68</v>
      </c>
      <c r="F5834" s="19" t="str">
        <f>IFERROR(__xludf.DUMMYFUNCTION("""COMPUTED_VALUE"""),"BLACK")</f>
        <v>BLACK</v>
      </c>
      <c r="G5834" s="20" t="str">
        <f>IFERROR(__xludf.DUMMYFUNCTION("""COMPUTED_VALUE"""),"Uncle Sams Cider (04/04/2023)")</f>
        <v>Uncle Sams Cider (04/04/2023)</v>
      </c>
      <c r="H5834" s="19"/>
    </row>
    <row r="5835">
      <c r="A5835" s="9"/>
      <c r="B5835" s="15"/>
      <c r="C5835" s="9">
        <f>IFERROR(__xludf.DUMMYFUNCTION("""COMPUTED_VALUE"""),45083.4277980671)</f>
        <v>45083.4278</v>
      </c>
      <c r="D5835" s="15">
        <f>IFERROR(__xludf.DUMMYFUNCTION("""COMPUTED_VALUE"""),1.008)</f>
        <v>1.008</v>
      </c>
      <c r="E5835" s="16">
        <f>IFERROR(__xludf.DUMMYFUNCTION("""COMPUTED_VALUE"""),68.0)</f>
        <v>68</v>
      </c>
      <c r="F5835" s="19" t="str">
        <f>IFERROR(__xludf.DUMMYFUNCTION("""COMPUTED_VALUE"""),"BLACK")</f>
        <v>BLACK</v>
      </c>
      <c r="G5835" s="20" t="str">
        <f>IFERROR(__xludf.DUMMYFUNCTION("""COMPUTED_VALUE"""),"Uncle Sams Cider (04/04/2023)")</f>
        <v>Uncle Sams Cider (04/04/2023)</v>
      </c>
      <c r="H5835" s="19"/>
    </row>
    <row r="5836">
      <c r="A5836" s="9"/>
      <c r="B5836" s="15"/>
      <c r="C5836" s="9">
        <f>IFERROR(__xludf.DUMMYFUNCTION("""COMPUTED_VALUE"""),45083.4173785763)</f>
        <v>45083.41738</v>
      </c>
      <c r="D5836" s="15">
        <f>IFERROR(__xludf.DUMMYFUNCTION("""COMPUTED_VALUE"""),1.008)</f>
        <v>1.008</v>
      </c>
      <c r="E5836" s="16">
        <f>IFERROR(__xludf.DUMMYFUNCTION("""COMPUTED_VALUE"""),68.0)</f>
        <v>68</v>
      </c>
      <c r="F5836" s="19" t="str">
        <f>IFERROR(__xludf.DUMMYFUNCTION("""COMPUTED_VALUE"""),"BLACK")</f>
        <v>BLACK</v>
      </c>
      <c r="G5836" s="20" t="str">
        <f>IFERROR(__xludf.DUMMYFUNCTION("""COMPUTED_VALUE"""),"Uncle Sams Cider (04/04/2023)")</f>
        <v>Uncle Sams Cider (04/04/2023)</v>
      </c>
      <c r="H5836" s="19"/>
    </row>
    <row r="5837">
      <c r="A5837" s="9"/>
      <c r="B5837" s="15"/>
      <c r="C5837" s="9">
        <f>IFERROR(__xludf.DUMMYFUNCTION("""COMPUTED_VALUE"""),45083.4069579166)</f>
        <v>45083.40696</v>
      </c>
      <c r="D5837" s="15">
        <f>IFERROR(__xludf.DUMMYFUNCTION("""COMPUTED_VALUE"""),1.008)</f>
        <v>1.008</v>
      </c>
      <c r="E5837" s="16">
        <f>IFERROR(__xludf.DUMMYFUNCTION("""COMPUTED_VALUE"""),68.0)</f>
        <v>68</v>
      </c>
      <c r="F5837" s="19" t="str">
        <f>IFERROR(__xludf.DUMMYFUNCTION("""COMPUTED_VALUE"""),"BLACK")</f>
        <v>BLACK</v>
      </c>
      <c r="G5837" s="20" t="str">
        <f>IFERROR(__xludf.DUMMYFUNCTION("""COMPUTED_VALUE"""),"Uncle Sams Cider (04/04/2023)")</f>
        <v>Uncle Sams Cider (04/04/2023)</v>
      </c>
      <c r="H5837" s="19"/>
    </row>
    <row r="5838">
      <c r="A5838" s="9"/>
      <c r="B5838" s="15"/>
      <c r="C5838" s="9">
        <f>IFERROR(__xludf.DUMMYFUNCTION("""COMPUTED_VALUE"""),45083.3965378356)</f>
        <v>45083.39654</v>
      </c>
      <c r="D5838" s="15">
        <f>IFERROR(__xludf.DUMMYFUNCTION("""COMPUTED_VALUE"""),1.008)</f>
        <v>1.008</v>
      </c>
      <c r="E5838" s="16">
        <f>IFERROR(__xludf.DUMMYFUNCTION("""COMPUTED_VALUE"""),68.0)</f>
        <v>68</v>
      </c>
      <c r="F5838" s="19" t="str">
        <f>IFERROR(__xludf.DUMMYFUNCTION("""COMPUTED_VALUE"""),"BLACK")</f>
        <v>BLACK</v>
      </c>
      <c r="G5838" s="20" t="str">
        <f>IFERROR(__xludf.DUMMYFUNCTION("""COMPUTED_VALUE"""),"Uncle Sams Cider (04/04/2023)")</f>
        <v>Uncle Sams Cider (04/04/2023)</v>
      </c>
      <c r="H5838" s="19"/>
    </row>
    <row r="5839">
      <c r="A5839" s="9"/>
      <c r="B5839" s="15"/>
      <c r="C5839" s="9">
        <f>IFERROR(__xludf.DUMMYFUNCTION("""COMPUTED_VALUE"""),45083.3861051736)</f>
        <v>45083.38611</v>
      </c>
      <c r="D5839" s="15">
        <f>IFERROR(__xludf.DUMMYFUNCTION("""COMPUTED_VALUE"""),1.008)</f>
        <v>1.008</v>
      </c>
      <c r="E5839" s="16">
        <f>IFERROR(__xludf.DUMMYFUNCTION("""COMPUTED_VALUE"""),68.0)</f>
        <v>68</v>
      </c>
      <c r="F5839" s="19" t="str">
        <f>IFERROR(__xludf.DUMMYFUNCTION("""COMPUTED_VALUE"""),"BLACK")</f>
        <v>BLACK</v>
      </c>
      <c r="G5839" s="20" t="str">
        <f>IFERROR(__xludf.DUMMYFUNCTION("""COMPUTED_VALUE"""),"Uncle Sams Cider (04/04/2023)")</f>
        <v>Uncle Sams Cider (04/04/2023)</v>
      </c>
      <c r="H5839" s="19"/>
    </row>
    <row r="5840">
      <c r="A5840" s="9"/>
      <c r="B5840" s="15"/>
      <c r="C5840" s="9">
        <f>IFERROR(__xludf.DUMMYFUNCTION("""COMPUTED_VALUE"""),45083.3756826157)</f>
        <v>45083.37568</v>
      </c>
      <c r="D5840" s="15">
        <f>IFERROR(__xludf.DUMMYFUNCTION("""COMPUTED_VALUE"""),1.008)</f>
        <v>1.008</v>
      </c>
      <c r="E5840" s="16">
        <f>IFERROR(__xludf.DUMMYFUNCTION("""COMPUTED_VALUE"""),68.0)</f>
        <v>68</v>
      </c>
      <c r="F5840" s="19" t="str">
        <f>IFERROR(__xludf.DUMMYFUNCTION("""COMPUTED_VALUE"""),"BLACK")</f>
        <v>BLACK</v>
      </c>
      <c r="G5840" s="20" t="str">
        <f>IFERROR(__xludf.DUMMYFUNCTION("""COMPUTED_VALUE"""),"Uncle Sams Cider (04/04/2023)")</f>
        <v>Uncle Sams Cider (04/04/2023)</v>
      </c>
      <c r="H5840" s="19"/>
    </row>
    <row r="5841">
      <c r="A5841" s="9"/>
      <c r="B5841" s="15"/>
      <c r="C5841" s="9">
        <f>IFERROR(__xludf.DUMMYFUNCTION("""COMPUTED_VALUE"""),45083.3652613194)</f>
        <v>45083.36526</v>
      </c>
      <c r="D5841" s="15">
        <f>IFERROR(__xludf.DUMMYFUNCTION("""COMPUTED_VALUE"""),1.008)</f>
        <v>1.008</v>
      </c>
      <c r="E5841" s="16">
        <f>IFERROR(__xludf.DUMMYFUNCTION("""COMPUTED_VALUE"""),68.0)</f>
        <v>68</v>
      </c>
      <c r="F5841" s="19" t="str">
        <f>IFERROR(__xludf.DUMMYFUNCTION("""COMPUTED_VALUE"""),"BLACK")</f>
        <v>BLACK</v>
      </c>
      <c r="G5841" s="20" t="str">
        <f>IFERROR(__xludf.DUMMYFUNCTION("""COMPUTED_VALUE"""),"Uncle Sams Cider (04/04/2023)")</f>
        <v>Uncle Sams Cider (04/04/2023)</v>
      </c>
      <c r="H5841" s="19"/>
    </row>
    <row r="5842">
      <c r="A5842" s="9"/>
      <c r="B5842" s="15"/>
      <c r="C5842" s="9">
        <f>IFERROR(__xludf.DUMMYFUNCTION("""COMPUTED_VALUE"""),45083.3548415625)</f>
        <v>45083.35484</v>
      </c>
      <c r="D5842" s="15">
        <f>IFERROR(__xludf.DUMMYFUNCTION("""COMPUTED_VALUE"""),1.008)</f>
        <v>1.008</v>
      </c>
      <c r="E5842" s="16">
        <f>IFERROR(__xludf.DUMMYFUNCTION("""COMPUTED_VALUE"""),68.0)</f>
        <v>68</v>
      </c>
      <c r="F5842" s="19" t="str">
        <f>IFERROR(__xludf.DUMMYFUNCTION("""COMPUTED_VALUE"""),"BLACK")</f>
        <v>BLACK</v>
      </c>
      <c r="G5842" s="20" t="str">
        <f>IFERROR(__xludf.DUMMYFUNCTION("""COMPUTED_VALUE"""),"Uncle Sams Cider (04/04/2023)")</f>
        <v>Uncle Sams Cider (04/04/2023)</v>
      </c>
      <c r="H5842" s="19"/>
    </row>
    <row r="5843">
      <c r="A5843" s="9"/>
      <c r="B5843" s="15"/>
      <c r="C5843" s="9">
        <f>IFERROR(__xludf.DUMMYFUNCTION("""COMPUTED_VALUE"""),45083.3444193518)</f>
        <v>45083.34442</v>
      </c>
      <c r="D5843" s="15">
        <f>IFERROR(__xludf.DUMMYFUNCTION("""COMPUTED_VALUE"""),1.008)</f>
        <v>1.008</v>
      </c>
      <c r="E5843" s="16">
        <f>IFERROR(__xludf.DUMMYFUNCTION("""COMPUTED_VALUE"""),68.0)</f>
        <v>68</v>
      </c>
      <c r="F5843" s="19" t="str">
        <f>IFERROR(__xludf.DUMMYFUNCTION("""COMPUTED_VALUE"""),"BLACK")</f>
        <v>BLACK</v>
      </c>
      <c r="G5843" s="20" t="str">
        <f>IFERROR(__xludf.DUMMYFUNCTION("""COMPUTED_VALUE"""),"Uncle Sams Cider (04/04/2023)")</f>
        <v>Uncle Sams Cider (04/04/2023)</v>
      </c>
      <c r="H5843" s="19"/>
    </row>
    <row r="5844">
      <c r="A5844" s="9"/>
      <c r="B5844" s="15"/>
      <c r="C5844" s="9">
        <f>IFERROR(__xludf.DUMMYFUNCTION("""COMPUTED_VALUE"""),45083.3339855208)</f>
        <v>45083.33399</v>
      </c>
      <c r="D5844" s="15">
        <f>IFERROR(__xludf.DUMMYFUNCTION("""COMPUTED_VALUE"""),1.008)</f>
        <v>1.008</v>
      </c>
      <c r="E5844" s="16">
        <f>IFERROR(__xludf.DUMMYFUNCTION("""COMPUTED_VALUE"""),68.0)</f>
        <v>68</v>
      </c>
      <c r="F5844" s="19" t="str">
        <f>IFERROR(__xludf.DUMMYFUNCTION("""COMPUTED_VALUE"""),"BLACK")</f>
        <v>BLACK</v>
      </c>
      <c r="G5844" s="20" t="str">
        <f>IFERROR(__xludf.DUMMYFUNCTION("""COMPUTED_VALUE"""),"Uncle Sams Cider (04/04/2023)")</f>
        <v>Uncle Sams Cider (04/04/2023)</v>
      </c>
      <c r="H5844" s="19"/>
    </row>
    <row r="5845">
      <c r="A5845" s="9"/>
      <c r="B5845" s="15"/>
      <c r="C5845" s="9">
        <f>IFERROR(__xludf.DUMMYFUNCTION("""COMPUTED_VALUE"""),45083.3235629629)</f>
        <v>45083.32356</v>
      </c>
      <c r="D5845" s="15">
        <f>IFERROR(__xludf.DUMMYFUNCTION("""COMPUTED_VALUE"""),1.008)</f>
        <v>1.008</v>
      </c>
      <c r="E5845" s="16">
        <f>IFERROR(__xludf.DUMMYFUNCTION("""COMPUTED_VALUE"""),68.0)</f>
        <v>68</v>
      </c>
      <c r="F5845" s="19" t="str">
        <f>IFERROR(__xludf.DUMMYFUNCTION("""COMPUTED_VALUE"""),"BLACK")</f>
        <v>BLACK</v>
      </c>
      <c r="G5845" s="20" t="str">
        <f>IFERROR(__xludf.DUMMYFUNCTION("""COMPUTED_VALUE"""),"Uncle Sams Cider (04/04/2023)")</f>
        <v>Uncle Sams Cider (04/04/2023)</v>
      </c>
      <c r="H5845" s="19"/>
    </row>
    <row r="5846">
      <c r="A5846" s="9"/>
      <c r="B5846" s="15"/>
      <c r="C5846" s="9">
        <f>IFERROR(__xludf.DUMMYFUNCTION("""COMPUTED_VALUE"""),45083.3131406134)</f>
        <v>45083.31314</v>
      </c>
      <c r="D5846" s="15">
        <f>IFERROR(__xludf.DUMMYFUNCTION("""COMPUTED_VALUE"""),1.008)</f>
        <v>1.008</v>
      </c>
      <c r="E5846" s="16">
        <f>IFERROR(__xludf.DUMMYFUNCTION("""COMPUTED_VALUE"""),68.0)</f>
        <v>68</v>
      </c>
      <c r="F5846" s="19" t="str">
        <f>IFERROR(__xludf.DUMMYFUNCTION("""COMPUTED_VALUE"""),"BLACK")</f>
        <v>BLACK</v>
      </c>
      <c r="G5846" s="20" t="str">
        <f>IFERROR(__xludf.DUMMYFUNCTION("""COMPUTED_VALUE"""),"Uncle Sams Cider (04/04/2023)")</f>
        <v>Uncle Sams Cider (04/04/2023)</v>
      </c>
      <c r="H5846" s="19"/>
    </row>
    <row r="5847">
      <c r="A5847" s="9"/>
      <c r="B5847" s="15"/>
      <c r="C5847" s="9">
        <f>IFERROR(__xludf.DUMMYFUNCTION("""COMPUTED_VALUE"""),45083.3027193171)</f>
        <v>45083.30272</v>
      </c>
      <c r="D5847" s="15">
        <f>IFERROR(__xludf.DUMMYFUNCTION("""COMPUTED_VALUE"""),1.008)</f>
        <v>1.008</v>
      </c>
      <c r="E5847" s="16">
        <f>IFERROR(__xludf.DUMMYFUNCTION("""COMPUTED_VALUE"""),68.0)</f>
        <v>68</v>
      </c>
      <c r="F5847" s="19" t="str">
        <f>IFERROR(__xludf.DUMMYFUNCTION("""COMPUTED_VALUE"""),"BLACK")</f>
        <v>BLACK</v>
      </c>
      <c r="G5847" s="20" t="str">
        <f>IFERROR(__xludf.DUMMYFUNCTION("""COMPUTED_VALUE"""),"Uncle Sams Cider (04/04/2023)")</f>
        <v>Uncle Sams Cider (04/04/2023)</v>
      </c>
      <c r="H5847" s="19"/>
    </row>
    <row r="5848">
      <c r="A5848" s="9"/>
      <c r="B5848" s="15"/>
      <c r="C5848" s="9">
        <f>IFERROR(__xludf.DUMMYFUNCTION("""COMPUTED_VALUE"""),45083.2922993402)</f>
        <v>45083.2923</v>
      </c>
      <c r="D5848" s="15">
        <f>IFERROR(__xludf.DUMMYFUNCTION("""COMPUTED_VALUE"""),1.008)</f>
        <v>1.008</v>
      </c>
      <c r="E5848" s="16">
        <f>IFERROR(__xludf.DUMMYFUNCTION("""COMPUTED_VALUE"""),68.0)</f>
        <v>68</v>
      </c>
      <c r="F5848" s="19" t="str">
        <f>IFERROR(__xludf.DUMMYFUNCTION("""COMPUTED_VALUE"""),"BLACK")</f>
        <v>BLACK</v>
      </c>
      <c r="G5848" s="20" t="str">
        <f>IFERROR(__xludf.DUMMYFUNCTION("""COMPUTED_VALUE"""),"Uncle Sams Cider (04/04/2023)")</f>
        <v>Uncle Sams Cider (04/04/2023)</v>
      </c>
      <c r="H5848" s="19"/>
    </row>
    <row r="5849">
      <c r="A5849" s="9"/>
      <c r="B5849" s="15"/>
      <c r="C5849" s="9">
        <f>IFERROR(__xludf.DUMMYFUNCTION("""COMPUTED_VALUE"""),45083.2818771643)</f>
        <v>45083.28188</v>
      </c>
      <c r="D5849" s="15">
        <f>IFERROR(__xludf.DUMMYFUNCTION("""COMPUTED_VALUE"""),1.008)</f>
        <v>1.008</v>
      </c>
      <c r="E5849" s="16">
        <f>IFERROR(__xludf.DUMMYFUNCTION("""COMPUTED_VALUE"""),68.0)</f>
        <v>68</v>
      </c>
      <c r="F5849" s="19" t="str">
        <f>IFERROR(__xludf.DUMMYFUNCTION("""COMPUTED_VALUE"""),"BLACK")</f>
        <v>BLACK</v>
      </c>
      <c r="G5849" s="20" t="str">
        <f>IFERROR(__xludf.DUMMYFUNCTION("""COMPUTED_VALUE"""),"Uncle Sams Cider (04/04/2023)")</f>
        <v>Uncle Sams Cider (04/04/2023)</v>
      </c>
      <c r="H5849" s="19"/>
    </row>
    <row r="5850">
      <c r="A5850" s="9"/>
      <c r="B5850" s="15"/>
      <c r="C5850" s="9">
        <f>IFERROR(__xludf.DUMMYFUNCTION("""COMPUTED_VALUE"""),45083.271444699)</f>
        <v>45083.27144</v>
      </c>
      <c r="D5850" s="15">
        <f>IFERROR(__xludf.DUMMYFUNCTION("""COMPUTED_VALUE"""),1.008)</f>
        <v>1.008</v>
      </c>
      <c r="E5850" s="16">
        <f>IFERROR(__xludf.DUMMYFUNCTION("""COMPUTED_VALUE"""),68.0)</f>
        <v>68</v>
      </c>
      <c r="F5850" s="19" t="str">
        <f>IFERROR(__xludf.DUMMYFUNCTION("""COMPUTED_VALUE"""),"BLACK")</f>
        <v>BLACK</v>
      </c>
      <c r="G5850" s="20" t="str">
        <f>IFERROR(__xludf.DUMMYFUNCTION("""COMPUTED_VALUE"""),"Uncle Sams Cider (04/04/2023)")</f>
        <v>Uncle Sams Cider (04/04/2023)</v>
      </c>
      <c r="H5850" s="19"/>
    </row>
    <row r="5851">
      <c r="A5851" s="9"/>
      <c r="B5851" s="15"/>
      <c r="C5851" s="9">
        <f>IFERROR(__xludf.DUMMYFUNCTION("""COMPUTED_VALUE"""),45083.2610243171)</f>
        <v>45083.26102</v>
      </c>
      <c r="D5851" s="15">
        <f>IFERROR(__xludf.DUMMYFUNCTION("""COMPUTED_VALUE"""),1.008)</f>
        <v>1.008</v>
      </c>
      <c r="E5851" s="16">
        <f>IFERROR(__xludf.DUMMYFUNCTION("""COMPUTED_VALUE"""),68.0)</f>
        <v>68</v>
      </c>
      <c r="F5851" s="19" t="str">
        <f>IFERROR(__xludf.DUMMYFUNCTION("""COMPUTED_VALUE"""),"BLACK")</f>
        <v>BLACK</v>
      </c>
      <c r="G5851" s="20" t="str">
        <f>IFERROR(__xludf.DUMMYFUNCTION("""COMPUTED_VALUE"""),"Uncle Sams Cider (04/04/2023)")</f>
        <v>Uncle Sams Cider (04/04/2023)</v>
      </c>
      <c r="H5851" s="19"/>
    </row>
    <row r="5852">
      <c r="A5852" s="9"/>
      <c r="B5852" s="15"/>
      <c r="C5852" s="9">
        <f>IFERROR(__xludf.DUMMYFUNCTION("""COMPUTED_VALUE"""),45083.2505909259)</f>
        <v>45083.25059</v>
      </c>
      <c r="D5852" s="15">
        <f>IFERROR(__xludf.DUMMYFUNCTION("""COMPUTED_VALUE"""),1.008)</f>
        <v>1.008</v>
      </c>
      <c r="E5852" s="16">
        <f>IFERROR(__xludf.DUMMYFUNCTION("""COMPUTED_VALUE"""),68.0)</f>
        <v>68</v>
      </c>
      <c r="F5852" s="19" t="str">
        <f>IFERROR(__xludf.DUMMYFUNCTION("""COMPUTED_VALUE"""),"BLACK")</f>
        <v>BLACK</v>
      </c>
      <c r="G5852" s="20" t="str">
        <f>IFERROR(__xludf.DUMMYFUNCTION("""COMPUTED_VALUE"""),"Uncle Sams Cider (04/04/2023)")</f>
        <v>Uncle Sams Cider (04/04/2023)</v>
      </c>
      <c r="H5852" s="19"/>
    </row>
    <row r="5853">
      <c r="A5853" s="9"/>
      <c r="B5853" s="15"/>
      <c r="C5853" s="9">
        <f>IFERROR(__xludf.DUMMYFUNCTION("""COMPUTED_VALUE"""),45083.2401695486)</f>
        <v>45083.24017</v>
      </c>
      <c r="D5853" s="15">
        <f>IFERROR(__xludf.DUMMYFUNCTION("""COMPUTED_VALUE"""),1.008)</f>
        <v>1.008</v>
      </c>
      <c r="E5853" s="16">
        <f>IFERROR(__xludf.DUMMYFUNCTION("""COMPUTED_VALUE"""),68.0)</f>
        <v>68</v>
      </c>
      <c r="F5853" s="19" t="str">
        <f>IFERROR(__xludf.DUMMYFUNCTION("""COMPUTED_VALUE"""),"BLACK")</f>
        <v>BLACK</v>
      </c>
      <c r="G5853" s="20" t="str">
        <f>IFERROR(__xludf.DUMMYFUNCTION("""COMPUTED_VALUE"""),"Uncle Sams Cider (04/04/2023)")</f>
        <v>Uncle Sams Cider (04/04/2023)</v>
      </c>
      <c r="H5853" s="19"/>
    </row>
    <row r="5854">
      <c r="A5854" s="9"/>
      <c r="B5854" s="15"/>
      <c r="C5854" s="9">
        <f>IFERROR(__xludf.DUMMYFUNCTION("""COMPUTED_VALUE"""),45083.2297492014)</f>
        <v>45083.22975</v>
      </c>
      <c r="D5854" s="15">
        <f>IFERROR(__xludf.DUMMYFUNCTION("""COMPUTED_VALUE"""),1.008)</f>
        <v>1.008</v>
      </c>
      <c r="E5854" s="16">
        <f>IFERROR(__xludf.DUMMYFUNCTION("""COMPUTED_VALUE"""),68.0)</f>
        <v>68</v>
      </c>
      <c r="F5854" s="19" t="str">
        <f>IFERROR(__xludf.DUMMYFUNCTION("""COMPUTED_VALUE"""),"BLACK")</f>
        <v>BLACK</v>
      </c>
      <c r="G5854" s="20" t="str">
        <f>IFERROR(__xludf.DUMMYFUNCTION("""COMPUTED_VALUE"""),"Uncle Sams Cider (04/04/2023)")</f>
        <v>Uncle Sams Cider (04/04/2023)</v>
      </c>
      <c r="H5854" s="19"/>
    </row>
    <row r="5855">
      <c r="A5855" s="9"/>
      <c r="B5855" s="15"/>
      <c r="C5855" s="9">
        <f>IFERROR(__xludf.DUMMYFUNCTION("""COMPUTED_VALUE"""),45083.2193275926)</f>
        <v>45083.21933</v>
      </c>
      <c r="D5855" s="15">
        <f>IFERROR(__xludf.DUMMYFUNCTION("""COMPUTED_VALUE"""),1.008)</f>
        <v>1.008</v>
      </c>
      <c r="E5855" s="16">
        <f>IFERROR(__xludf.DUMMYFUNCTION("""COMPUTED_VALUE"""),68.0)</f>
        <v>68</v>
      </c>
      <c r="F5855" s="19" t="str">
        <f>IFERROR(__xludf.DUMMYFUNCTION("""COMPUTED_VALUE"""),"BLACK")</f>
        <v>BLACK</v>
      </c>
      <c r="G5855" s="20" t="str">
        <f>IFERROR(__xludf.DUMMYFUNCTION("""COMPUTED_VALUE"""),"Uncle Sams Cider (04/04/2023)")</f>
        <v>Uncle Sams Cider (04/04/2023)</v>
      </c>
      <c r="H5855" s="19"/>
    </row>
    <row r="5856">
      <c r="A5856" s="9"/>
      <c r="B5856" s="15"/>
      <c r="C5856" s="9">
        <f>IFERROR(__xludf.DUMMYFUNCTION("""COMPUTED_VALUE"""),45083.2088942245)</f>
        <v>45083.20889</v>
      </c>
      <c r="D5856" s="15">
        <f>IFERROR(__xludf.DUMMYFUNCTION("""COMPUTED_VALUE"""),1.008)</f>
        <v>1.008</v>
      </c>
      <c r="E5856" s="16">
        <f>IFERROR(__xludf.DUMMYFUNCTION("""COMPUTED_VALUE"""),68.0)</f>
        <v>68</v>
      </c>
      <c r="F5856" s="19" t="str">
        <f>IFERROR(__xludf.DUMMYFUNCTION("""COMPUTED_VALUE"""),"BLACK")</f>
        <v>BLACK</v>
      </c>
      <c r="G5856" s="20" t="str">
        <f>IFERROR(__xludf.DUMMYFUNCTION("""COMPUTED_VALUE"""),"Uncle Sams Cider (04/04/2023)")</f>
        <v>Uncle Sams Cider (04/04/2023)</v>
      </c>
      <c r="H5856" s="19"/>
    </row>
    <row r="5857">
      <c r="A5857" s="9"/>
      <c r="B5857" s="15"/>
      <c r="C5857" s="9">
        <f>IFERROR(__xludf.DUMMYFUNCTION("""COMPUTED_VALUE"""),45083.1984610879)</f>
        <v>45083.19846</v>
      </c>
      <c r="D5857" s="15">
        <f>IFERROR(__xludf.DUMMYFUNCTION("""COMPUTED_VALUE"""),1.008)</f>
        <v>1.008</v>
      </c>
      <c r="E5857" s="16">
        <f>IFERROR(__xludf.DUMMYFUNCTION("""COMPUTED_VALUE"""),68.0)</f>
        <v>68</v>
      </c>
      <c r="F5857" s="19" t="str">
        <f>IFERROR(__xludf.DUMMYFUNCTION("""COMPUTED_VALUE"""),"BLACK")</f>
        <v>BLACK</v>
      </c>
      <c r="G5857" s="20" t="str">
        <f>IFERROR(__xludf.DUMMYFUNCTION("""COMPUTED_VALUE"""),"Uncle Sams Cider (04/04/2023)")</f>
        <v>Uncle Sams Cider (04/04/2023)</v>
      </c>
      <c r="H5857" s="19"/>
    </row>
    <row r="5858">
      <c r="A5858" s="9"/>
      <c r="B5858" s="15"/>
      <c r="C5858" s="9">
        <f>IFERROR(__xludf.DUMMYFUNCTION("""COMPUTED_VALUE"""),45083.188039375)</f>
        <v>45083.18804</v>
      </c>
      <c r="D5858" s="15">
        <f>IFERROR(__xludf.DUMMYFUNCTION("""COMPUTED_VALUE"""),1.008)</f>
        <v>1.008</v>
      </c>
      <c r="E5858" s="16">
        <f>IFERROR(__xludf.DUMMYFUNCTION("""COMPUTED_VALUE"""),68.0)</f>
        <v>68</v>
      </c>
      <c r="F5858" s="19" t="str">
        <f>IFERROR(__xludf.DUMMYFUNCTION("""COMPUTED_VALUE"""),"BLACK")</f>
        <v>BLACK</v>
      </c>
      <c r="G5858" s="20" t="str">
        <f>IFERROR(__xludf.DUMMYFUNCTION("""COMPUTED_VALUE"""),"Uncle Sams Cider (04/04/2023)")</f>
        <v>Uncle Sams Cider (04/04/2023)</v>
      </c>
      <c r="H5858" s="19"/>
    </row>
    <row r="5859">
      <c r="A5859" s="9"/>
      <c r="B5859" s="15"/>
      <c r="C5859" s="9">
        <f>IFERROR(__xludf.DUMMYFUNCTION("""COMPUTED_VALUE"""),45083.1776183449)</f>
        <v>45083.17762</v>
      </c>
      <c r="D5859" s="15">
        <f>IFERROR(__xludf.DUMMYFUNCTION("""COMPUTED_VALUE"""),1.008)</f>
        <v>1.008</v>
      </c>
      <c r="E5859" s="16">
        <f>IFERROR(__xludf.DUMMYFUNCTION("""COMPUTED_VALUE"""),68.0)</f>
        <v>68</v>
      </c>
      <c r="F5859" s="19" t="str">
        <f>IFERROR(__xludf.DUMMYFUNCTION("""COMPUTED_VALUE"""),"BLACK")</f>
        <v>BLACK</v>
      </c>
      <c r="G5859" s="20" t="str">
        <f>IFERROR(__xludf.DUMMYFUNCTION("""COMPUTED_VALUE"""),"Uncle Sams Cider (04/04/2023)")</f>
        <v>Uncle Sams Cider (04/04/2023)</v>
      </c>
      <c r="H5859" s="19"/>
    </row>
    <row r="5860">
      <c r="A5860" s="9"/>
      <c r="B5860" s="15"/>
      <c r="C5860" s="9">
        <f>IFERROR(__xludf.DUMMYFUNCTION("""COMPUTED_VALUE"""),45083.1671970833)</f>
        <v>45083.1672</v>
      </c>
      <c r="D5860" s="15">
        <f>IFERROR(__xludf.DUMMYFUNCTION("""COMPUTED_VALUE"""),1.008)</f>
        <v>1.008</v>
      </c>
      <c r="E5860" s="16">
        <f>IFERROR(__xludf.DUMMYFUNCTION("""COMPUTED_VALUE"""),68.0)</f>
        <v>68</v>
      </c>
      <c r="F5860" s="19" t="str">
        <f>IFERROR(__xludf.DUMMYFUNCTION("""COMPUTED_VALUE"""),"BLACK")</f>
        <v>BLACK</v>
      </c>
      <c r="G5860" s="20" t="str">
        <f>IFERROR(__xludf.DUMMYFUNCTION("""COMPUTED_VALUE"""),"Uncle Sams Cider (04/04/2023)")</f>
        <v>Uncle Sams Cider (04/04/2023)</v>
      </c>
      <c r="H5860" s="19"/>
    </row>
    <row r="5861">
      <c r="A5861" s="9"/>
      <c r="B5861" s="15"/>
      <c r="C5861" s="9">
        <f>IFERROR(__xludf.DUMMYFUNCTION("""COMPUTED_VALUE"""),45083.1567757175)</f>
        <v>45083.15678</v>
      </c>
      <c r="D5861" s="15">
        <f>IFERROR(__xludf.DUMMYFUNCTION("""COMPUTED_VALUE"""),1.008)</f>
        <v>1.008</v>
      </c>
      <c r="E5861" s="16">
        <f>IFERROR(__xludf.DUMMYFUNCTION("""COMPUTED_VALUE"""),68.0)</f>
        <v>68</v>
      </c>
      <c r="F5861" s="19" t="str">
        <f>IFERROR(__xludf.DUMMYFUNCTION("""COMPUTED_VALUE"""),"BLACK")</f>
        <v>BLACK</v>
      </c>
      <c r="G5861" s="20" t="str">
        <f>IFERROR(__xludf.DUMMYFUNCTION("""COMPUTED_VALUE"""),"Uncle Sams Cider (04/04/2023)")</f>
        <v>Uncle Sams Cider (04/04/2023)</v>
      </c>
      <c r="H5861" s="19"/>
    </row>
    <row r="5862">
      <c r="A5862" s="9"/>
      <c r="B5862" s="15"/>
      <c r="C5862" s="9">
        <f>IFERROR(__xludf.DUMMYFUNCTION("""COMPUTED_VALUE"""),45083.1463573726)</f>
        <v>45083.14636</v>
      </c>
      <c r="D5862" s="15">
        <f>IFERROR(__xludf.DUMMYFUNCTION("""COMPUTED_VALUE"""),1.008)</f>
        <v>1.008</v>
      </c>
      <c r="E5862" s="16">
        <f>IFERROR(__xludf.DUMMYFUNCTION("""COMPUTED_VALUE"""),68.0)</f>
        <v>68</v>
      </c>
      <c r="F5862" s="19" t="str">
        <f>IFERROR(__xludf.DUMMYFUNCTION("""COMPUTED_VALUE"""),"BLACK")</f>
        <v>BLACK</v>
      </c>
      <c r="G5862" s="20" t="str">
        <f>IFERROR(__xludf.DUMMYFUNCTION("""COMPUTED_VALUE"""),"Uncle Sams Cider (04/04/2023)")</f>
        <v>Uncle Sams Cider (04/04/2023)</v>
      </c>
      <c r="H5862" s="19"/>
    </row>
    <row r="5863">
      <c r="A5863" s="9"/>
      <c r="B5863" s="15"/>
      <c r="C5863" s="9">
        <f>IFERROR(__xludf.DUMMYFUNCTION("""COMPUTED_VALUE"""),45083.1359133564)</f>
        <v>45083.13591</v>
      </c>
      <c r="D5863" s="15">
        <f>IFERROR(__xludf.DUMMYFUNCTION("""COMPUTED_VALUE"""),1.008)</f>
        <v>1.008</v>
      </c>
      <c r="E5863" s="16">
        <f>IFERROR(__xludf.DUMMYFUNCTION("""COMPUTED_VALUE"""),68.0)</f>
        <v>68</v>
      </c>
      <c r="F5863" s="19" t="str">
        <f>IFERROR(__xludf.DUMMYFUNCTION("""COMPUTED_VALUE"""),"BLACK")</f>
        <v>BLACK</v>
      </c>
      <c r="G5863" s="20" t="str">
        <f>IFERROR(__xludf.DUMMYFUNCTION("""COMPUTED_VALUE"""),"Uncle Sams Cider (04/04/2023)")</f>
        <v>Uncle Sams Cider (04/04/2023)</v>
      </c>
      <c r="H5863" s="19"/>
    </row>
    <row r="5864">
      <c r="A5864" s="9"/>
      <c r="B5864" s="15"/>
      <c r="C5864" s="9">
        <f>IFERROR(__xludf.DUMMYFUNCTION("""COMPUTED_VALUE"""),45083.1254930671)</f>
        <v>45083.12549</v>
      </c>
      <c r="D5864" s="15">
        <f>IFERROR(__xludf.DUMMYFUNCTION("""COMPUTED_VALUE"""),1.008)</f>
        <v>1.008</v>
      </c>
      <c r="E5864" s="16">
        <f>IFERROR(__xludf.DUMMYFUNCTION("""COMPUTED_VALUE"""),68.0)</f>
        <v>68</v>
      </c>
      <c r="F5864" s="19" t="str">
        <f>IFERROR(__xludf.DUMMYFUNCTION("""COMPUTED_VALUE"""),"BLACK")</f>
        <v>BLACK</v>
      </c>
      <c r="G5864" s="20" t="str">
        <f>IFERROR(__xludf.DUMMYFUNCTION("""COMPUTED_VALUE"""),"Uncle Sams Cider (04/04/2023)")</f>
        <v>Uncle Sams Cider (04/04/2023)</v>
      </c>
      <c r="H5864" s="19"/>
    </row>
    <row r="5865">
      <c r="A5865" s="9"/>
      <c r="B5865" s="15"/>
      <c r="C5865" s="9">
        <f>IFERROR(__xludf.DUMMYFUNCTION("""COMPUTED_VALUE"""),45083.1150720138)</f>
        <v>45083.11507</v>
      </c>
      <c r="D5865" s="15">
        <f>IFERROR(__xludf.DUMMYFUNCTION("""COMPUTED_VALUE"""),1.008)</f>
        <v>1.008</v>
      </c>
      <c r="E5865" s="16">
        <f>IFERROR(__xludf.DUMMYFUNCTION("""COMPUTED_VALUE"""),68.0)</f>
        <v>68</v>
      </c>
      <c r="F5865" s="19" t="str">
        <f>IFERROR(__xludf.DUMMYFUNCTION("""COMPUTED_VALUE"""),"BLACK")</f>
        <v>BLACK</v>
      </c>
      <c r="G5865" s="20" t="str">
        <f>IFERROR(__xludf.DUMMYFUNCTION("""COMPUTED_VALUE"""),"Uncle Sams Cider (04/04/2023)")</f>
        <v>Uncle Sams Cider (04/04/2023)</v>
      </c>
      <c r="H5865" s="19"/>
    </row>
    <row r="5866">
      <c r="A5866" s="9"/>
      <c r="B5866" s="15"/>
      <c r="C5866" s="9">
        <f>IFERROR(__xludf.DUMMYFUNCTION("""COMPUTED_VALUE"""),45083.1046505787)</f>
        <v>45083.10465</v>
      </c>
      <c r="D5866" s="15">
        <f>IFERROR(__xludf.DUMMYFUNCTION("""COMPUTED_VALUE"""),1.008)</f>
        <v>1.008</v>
      </c>
      <c r="E5866" s="16">
        <f>IFERROR(__xludf.DUMMYFUNCTION("""COMPUTED_VALUE"""),68.0)</f>
        <v>68</v>
      </c>
      <c r="F5866" s="19" t="str">
        <f>IFERROR(__xludf.DUMMYFUNCTION("""COMPUTED_VALUE"""),"BLACK")</f>
        <v>BLACK</v>
      </c>
      <c r="G5866" s="20" t="str">
        <f>IFERROR(__xludf.DUMMYFUNCTION("""COMPUTED_VALUE"""),"Uncle Sams Cider (04/04/2023)")</f>
        <v>Uncle Sams Cider (04/04/2023)</v>
      </c>
      <c r="H5866" s="19"/>
    </row>
    <row r="5867">
      <c r="A5867" s="9"/>
      <c r="B5867" s="15"/>
      <c r="C5867" s="9">
        <f>IFERROR(__xludf.DUMMYFUNCTION("""COMPUTED_VALUE"""),45083.0941946875)</f>
        <v>45083.09419</v>
      </c>
      <c r="D5867" s="15">
        <f>IFERROR(__xludf.DUMMYFUNCTION("""COMPUTED_VALUE"""),1.008)</f>
        <v>1.008</v>
      </c>
      <c r="E5867" s="16">
        <f>IFERROR(__xludf.DUMMYFUNCTION("""COMPUTED_VALUE"""),68.0)</f>
        <v>68</v>
      </c>
      <c r="F5867" s="19" t="str">
        <f>IFERROR(__xludf.DUMMYFUNCTION("""COMPUTED_VALUE"""),"BLACK")</f>
        <v>BLACK</v>
      </c>
      <c r="G5867" s="20" t="str">
        <f>IFERROR(__xludf.DUMMYFUNCTION("""COMPUTED_VALUE"""),"Uncle Sams Cider (04/04/2023)")</f>
        <v>Uncle Sams Cider (04/04/2023)</v>
      </c>
      <c r="H5867" s="19"/>
    </row>
    <row r="5868">
      <c r="A5868" s="9"/>
      <c r="B5868" s="15"/>
      <c r="C5868" s="9">
        <f>IFERROR(__xludf.DUMMYFUNCTION("""COMPUTED_VALUE"""),45083.0837741087)</f>
        <v>45083.08377</v>
      </c>
      <c r="D5868" s="15">
        <f>IFERROR(__xludf.DUMMYFUNCTION("""COMPUTED_VALUE"""),1.008)</f>
        <v>1.008</v>
      </c>
      <c r="E5868" s="16">
        <f>IFERROR(__xludf.DUMMYFUNCTION("""COMPUTED_VALUE"""),68.0)</f>
        <v>68</v>
      </c>
      <c r="F5868" s="19" t="str">
        <f>IFERROR(__xludf.DUMMYFUNCTION("""COMPUTED_VALUE"""),"BLACK")</f>
        <v>BLACK</v>
      </c>
      <c r="G5868" s="20" t="str">
        <f>IFERROR(__xludf.DUMMYFUNCTION("""COMPUTED_VALUE"""),"Uncle Sams Cider (04/04/2023)")</f>
        <v>Uncle Sams Cider (04/04/2023)</v>
      </c>
      <c r="H5868" s="19"/>
    </row>
    <row r="5869">
      <c r="A5869" s="9"/>
      <c r="B5869" s="15"/>
      <c r="C5869" s="9">
        <f>IFERROR(__xludf.DUMMYFUNCTION("""COMPUTED_VALUE"""),45083.0733545717)</f>
        <v>45083.07335</v>
      </c>
      <c r="D5869" s="15">
        <f>IFERROR(__xludf.DUMMYFUNCTION("""COMPUTED_VALUE"""),1.008)</f>
        <v>1.008</v>
      </c>
      <c r="E5869" s="16">
        <f>IFERROR(__xludf.DUMMYFUNCTION("""COMPUTED_VALUE"""),68.0)</f>
        <v>68</v>
      </c>
      <c r="F5869" s="19" t="str">
        <f>IFERROR(__xludf.DUMMYFUNCTION("""COMPUTED_VALUE"""),"BLACK")</f>
        <v>BLACK</v>
      </c>
      <c r="G5869" s="20" t="str">
        <f>IFERROR(__xludf.DUMMYFUNCTION("""COMPUTED_VALUE"""),"Uncle Sams Cider (04/04/2023)")</f>
        <v>Uncle Sams Cider (04/04/2023)</v>
      </c>
      <c r="H5869" s="19"/>
    </row>
    <row r="5870">
      <c r="A5870" s="9"/>
      <c r="B5870" s="15"/>
      <c r="C5870" s="9">
        <f>IFERROR(__xludf.DUMMYFUNCTION("""COMPUTED_VALUE"""),45083.0629201157)</f>
        <v>45083.06292</v>
      </c>
      <c r="D5870" s="15">
        <f>IFERROR(__xludf.DUMMYFUNCTION("""COMPUTED_VALUE"""),1.008)</f>
        <v>1.008</v>
      </c>
      <c r="E5870" s="16">
        <f>IFERROR(__xludf.DUMMYFUNCTION("""COMPUTED_VALUE"""),68.0)</f>
        <v>68</v>
      </c>
      <c r="F5870" s="19" t="str">
        <f>IFERROR(__xludf.DUMMYFUNCTION("""COMPUTED_VALUE"""),"BLACK")</f>
        <v>BLACK</v>
      </c>
      <c r="G5870" s="20" t="str">
        <f>IFERROR(__xludf.DUMMYFUNCTION("""COMPUTED_VALUE"""),"Uncle Sams Cider (04/04/2023)")</f>
        <v>Uncle Sams Cider (04/04/2023)</v>
      </c>
      <c r="H5870" s="19"/>
    </row>
    <row r="5871">
      <c r="A5871" s="9"/>
      <c r="B5871" s="15"/>
      <c r="C5871" s="9">
        <f>IFERROR(__xludf.DUMMYFUNCTION("""COMPUTED_VALUE"""),45083.0524994907)</f>
        <v>45083.0525</v>
      </c>
      <c r="D5871" s="15">
        <f>IFERROR(__xludf.DUMMYFUNCTION("""COMPUTED_VALUE"""),1.008)</f>
        <v>1.008</v>
      </c>
      <c r="E5871" s="16">
        <f>IFERROR(__xludf.DUMMYFUNCTION("""COMPUTED_VALUE"""),68.0)</f>
        <v>68</v>
      </c>
      <c r="F5871" s="19" t="str">
        <f>IFERROR(__xludf.DUMMYFUNCTION("""COMPUTED_VALUE"""),"BLACK")</f>
        <v>BLACK</v>
      </c>
      <c r="G5871" s="20" t="str">
        <f>IFERROR(__xludf.DUMMYFUNCTION("""COMPUTED_VALUE"""),"Uncle Sams Cider (04/04/2023)")</f>
        <v>Uncle Sams Cider (04/04/2023)</v>
      </c>
      <c r="H5871" s="19"/>
    </row>
    <row r="5872">
      <c r="A5872" s="9"/>
      <c r="B5872" s="15"/>
      <c r="C5872" s="9">
        <f>IFERROR(__xludf.DUMMYFUNCTION("""COMPUTED_VALUE"""),45083.0420782754)</f>
        <v>45083.04208</v>
      </c>
      <c r="D5872" s="15">
        <f>IFERROR(__xludf.DUMMYFUNCTION("""COMPUTED_VALUE"""),1.008)</f>
        <v>1.008</v>
      </c>
      <c r="E5872" s="16">
        <f>IFERROR(__xludf.DUMMYFUNCTION("""COMPUTED_VALUE"""),68.0)</f>
        <v>68</v>
      </c>
      <c r="F5872" s="19" t="str">
        <f>IFERROR(__xludf.DUMMYFUNCTION("""COMPUTED_VALUE"""),"BLACK")</f>
        <v>BLACK</v>
      </c>
      <c r="G5872" s="20" t="str">
        <f>IFERROR(__xludf.DUMMYFUNCTION("""COMPUTED_VALUE"""),"Uncle Sams Cider (04/04/2023)")</f>
        <v>Uncle Sams Cider (04/04/2023)</v>
      </c>
      <c r="H5872" s="19"/>
    </row>
    <row r="5873">
      <c r="A5873" s="9"/>
      <c r="B5873" s="15"/>
      <c r="C5873" s="9">
        <f>IFERROR(__xludf.DUMMYFUNCTION("""COMPUTED_VALUE"""),45083.0316445949)</f>
        <v>45083.03164</v>
      </c>
      <c r="D5873" s="15">
        <f>IFERROR(__xludf.DUMMYFUNCTION("""COMPUTED_VALUE"""),1.008)</f>
        <v>1.008</v>
      </c>
      <c r="E5873" s="16">
        <f>IFERROR(__xludf.DUMMYFUNCTION("""COMPUTED_VALUE"""),68.0)</f>
        <v>68</v>
      </c>
      <c r="F5873" s="19" t="str">
        <f>IFERROR(__xludf.DUMMYFUNCTION("""COMPUTED_VALUE"""),"BLACK")</f>
        <v>BLACK</v>
      </c>
      <c r="G5873" s="20" t="str">
        <f>IFERROR(__xludf.DUMMYFUNCTION("""COMPUTED_VALUE"""),"Uncle Sams Cider (04/04/2023)")</f>
        <v>Uncle Sams Cider (04/04/2023)</v>
      </c>
      <c r="H5873" s="19"/>
    </row>
    <row r="5874">
      <c r="A5874" s="9"/>
      <c r="B5874" s="15"/>
      <c r="C5874" s="9">
        <f>IFERROR(__xludf.DUMMYFUNCTION("""COMPUTED_VALUE"""),45083.021213125)</f>
        <v>45083.02121</v>
      </c>
      <c r="D5874" s="15">
        <f>IFERROR(__xludf.DUMMYFUNCTION("""COMPUTED_VALUE"""),1.008)</f>
        <v>1.008</v>
      </c>
      <c r="E5874" s="16">
        <f>IFERROR(__xludf.DUMMYFUNCTION("""COMPUTED_VALUE"""),68.0)</f>
        <v>68</v>
      </c>
      <c r="F5874" s="19" t="str">
        <f>IFERROR(__xludf.DUMMYFUNCTION("""COMPUTED_VALUE"""),"BLACK")</f>
        <v>BLACK</v>
      </c>
      <c r="G5874" s="20" t="str">
        <f>IFERROR(__xludf.DUMMYFUNCTION("""COMPUTED_VALUE"""),"Uncle Sams Cider (04/04/2023)")</f>
        <v>Uncle Sams Cider (04/04/2023)</v>
      </c>
      <c r="H5874" s="19"/>
    </row>
    <row r="5875">
      <c r="A5875" s="9"/>
      <c r="B5875" s="15"/>
      <c r="C5875" s="9">
        <f>IFERROR(__xludf.DUMMYFUNCTION("""COMPUTED_VALUE"""),45083.0107925231)</f>
        <v>45083.01079</v>
      </c>
      <c r="D5875" s="15">
        <f>IFERROR(__xludf.DUMMYFUNCTION("""COMPUTED_VALUE"""),1.008)</f>
        <v>1.008</v>
      </c>
      <c r="E5875" s="16">
        <f>IFERROR(__xludf.DUMMYFUNCTION("""COMPUTED_VALUE"""),68.0)</f>
        <v>68</v>
      </c>
      <c r="F5875" s="19" t="str">
        <f>IFERROR(__xludf.DUMMYFUNCTION("""COMPUTED_VALUE"""),"BLACK")</f>
        <v>BLACK</v>
      </c>
      <c r="G5875" s="20" t="str">
        <f>IFERROR(__xludf.DUMMYFUNCTION("""COMPUTED_VALUE"""),"Uncle Sams Cider (04/04/2023)")</f>
        <v>Uncle Sams Cider (04/04/2023)</v>
      </c>
      <c r="H5875" s="19"/>
    </row>
    <row r="5876">
      <c r="A5876" s="9"/>
      <c r="B5876" s="15"/>
      <c r="C5876" s="9">
        <f>IFERROR(__xludf.DUMMYFUNCTION("""COMPUTED_VALUE"""),45083.0003731944)</f>
        <v>45083.00037</v>
      </c>
      <c r="D5876" s="15">
        <f>IFERROR(__xludf.DUMMYFUNCTION("""COMPUTED_VALUE"""),1.008)</f>
        <v>1.008</v>
      </c>
      <c r="E5876" s="16">
        <f>IFERROR(__xludf.DUMMYFUNCTION("""COMPUTED_VALUE"""),68.0)</f>
        <v>68</v>
      </c>
      <c r="F5876" s="19" t="str">
        <f>IFERROR(__xludf.DUMMYFUNCTION("""COMPUTED_VALUE"""),"BLACK")</f>
        <v>BLACK</v>
      </c>
      <c r="G5876" s="20" t="str">
        <f>IFERROR(__xludf.DUMMYFUNCTION("""COMPUTED_VALUE"""),"Uncle Sams Cider (04/04/2023)")</f>
        <v>Uncle Sams Cider (04/04/2023)</v>
      </c>
      <c r="H5876" s="19"/>
    </row>
    <row r="5877">
      <c r="A5877" s="9"/>
      <c r="B5877" s="15"/>
      <c r="C5877" s="9">
        <f>IFERROR(__xludf.DUMMYFUNCTION("""COMPUTED_VALUE"""),45082.9899518865)</f>
        <v>45082.98995</v>
      </c>
      <c r="D5877" s="15">
        <f>IFERROR(__xludf.DUMMYFUNCTION("""COMPUTED_VALUE"""),1.008)</f>
        <v>1.008</v>
      </c>
      <c r="E5877" s="16">
        <f>IFERROR(__xludf.DUMMYFUNCTION("""COMPUTED_VALUE"""),68.0)</f>
        <v>68</v>
      </c>
      <c r="F5877" s="19" t="str">
        <f>IFERROR(__xludf.DUMMYFUNCTION("""COMPUTED_VALUE"""),"BLACK")</f>
        <v>BLACK</v>
      </c>
      <c r="G5877" s="20" t="str">
        <f>IFERROR(__xludf.DUMMYFUNCTION("""COMPUTED_VALUE"""),"Uncle Sams Cider (04/04/2023)")</f>
        <v>Uncle Sams Cider (04/04/2023)</v>
      </c>
      <c r="H5877" s="19"/>
    </row>
    <row r="5878">
      <c r="A5878" s="9"/>
      <c r="B5878" s="15"/>
      <c r="C5878" s="9">
        <f>IFERROR(__xludf.DUMMYFUNCTION("""COMPUTED_VALUE"""),45082.9795081944)</f>
        <v>45082.97951</v>
      </c>
      <c r="D5878" s="15">
        <f>IFERROR(__xludf.DUMMYFUNCTION("""COMPUTED_VALUE"""),1.008)</f>
        <v>1.008</v>
      </c>
      <c r="E5878" s="16">
        <f>IFERROR(__xludf.DUMMYFUNCTION("""COMPUTED_VALUE"""),68.0)</f>
        <v>68</v>
      </c>
      <c r="F5878" s="19" t="str">
        <f>IFERROR(__xludf.DUMMYFUNCTION("""COMPUTED_VALUE"""),"BLACK")</f>
        <v>BLACK</v>
      </c>
      <c r="G5878" s="20" t="str">
        <f>IFERROR(__xludf.DUMMYFUNCTION("""COMPUTED_VALUE"""),"Uncle Sams Cider (04/04/2023)")</f>
        <v>Uncle Sams Cider (04/04/2023)</v>
      </c>
      <c r="H5878" s="19"/>
    </row>
    <row r="5879">
      <c r="A5879" s="9"/>
      <c r="B5879" s="15"/>
      <c r="C5879" s="9">
        <f>IFERROR(__xludf.DUMMYFUNCTION("""COMPUTED_VALUE"""),45082.9690749305)</f>
        <v>45082.96907</v>
      </c>
      <c r="D5879" s="15">
        <f>IFERROR(__xludf.DUMMYFUNCTION("""COMPUTED_VALUE"""),1.008)</f>
        <v>1.008</v>
      </c>
      <c r="E5879" s="16">
        <f>IFERROR(__xludf.DUMMYFUNCTION("""COMPUTED_VALUE"""),68.0)</f>
        <v>68</v>
      </c>
      <c r="F5879" s="19" t="str">
        <f>IFERROR(__xludf.DUMMYFUNCTION("""COMPUTED_VALUE"""),"BLACK")</f>
        <v>BLACK</v>
      </c>
      <c r="G5879" s="20" t="str">
        <f>IFERROR(__xludf.DUMMYFUNCTION("""COMPUTED_VALUE"""),"Uncle Sams Cider (04/04/2023)")</f>
        <v>Uncle Sams Cider (04/04/2023)</v>
      </c>
      <c r="H5879" s="19"/>
    </row>
    <row r="5880">
      <c r="A5880" s="9"/>
      <c r="B5880" s="15"/>
      <c r="C5880" s="9">
        <f>IFERROR(__xludf.DUMMYFUNCTION("""COMPUTED_VALUE"""),45082.9586547685)</f>
        <v>45082.95865</v>
      </c>
      <c r="D5880" s="15">
        <f>IFERROR(__xludf.DUMMYFUNCTION("""COMPUTED_VALUE"""),1.008)</f>
        <v>1.008</v>
      </c>
      <c r="E5880" s="16">
        <f>IFERROR(__xludf.DUMMYFUNCTION("""COMPUTED_VALUE"""),68.0)</f>
        <v>68</v>
      </c>
      <c r="F5880" s="19" t="str">
        <f>IFERROR(__xludf.DUMMYFUNCTION("""COMPUTED_VALUE"""),"BLACK")</f>
        <v>BLACK</v>
      </c>
      <c r="G5880" s="20" t="str">
        <f>IFERROR(__xludf.DUMMYFUNCTION("""COMPUTED_VALUE"""),"Uncle Sams Cider (04/04/2023)")</f>
        <v>Uncle Sams Cider (04/04/2023)</v>
      </c>
      <c r="H5880" s="19"/>
    </row>
    <row r="5881">
      <c r="A5881" s="9"/>
      <c r="B5881" s="15"/>
      <c r="C5881" s="9">
        <f>IFERROR(__xludf.DUMMYFUNCTION("""COMPUTED_VALUE"""),45082.9482333912)</f>
        <v>45082.94823</v>
      </c>
      <c r="D5881" s="15">
        <f>IFERROR(__xludf.DUMMYFUNCTION("""COMPUTED_VALUE"""),1.008)</f>
        <v>1.008</v>
      </c>
      <c r="E5881" s="16">
        <f>IFERROR(__xludf.DUMMYFUNCTION("""COMPUTED_VALUE"""),68.0)</f>
        <v>68</v>
      </c>
      <c r="F5881" s="19" t="str">
        <f>IFERROR(__xludf.DUMMYFUNCTION("""COMPUTED_VALUE"""),"BLACK")</f>
        <v>BLACK</v>
      </c>
      <c r="G5881" s="20" t="str">
        <f>IFERROR(__xludf.DUMMYFUNCTION("""COMPUTED_VALUE"""),"Uncle Sams Cider (04/04/2023)")</f>
        <v>Uncle Sams Cider (04/04/2023)</v>
      </c>
      <c r="H5881" s="19"/>
    </row>
    <row r="5882">
      <c r="A5882" s="9"/>
      <c r="B5882" s="15"/>
      <c r="C5882" s="9">
        <f>IFERROR(__xludf.DUMMYFUNCTION("""COMPUTED_VALUE"""),45082.9377981713)</f>
        <v>45082.9378</v>
      </c>
      <c r="D5882" s="15">
        <f>IFERROR(__xludf.DUMMYFUNCTION("""COMPUTED_VALUE"""),1.008)</f>
        <v>1.008</v>
      </c>
      <c r="E5882" s="16">
        <f>IFERROR(__xludf.DUMMYFUNCTION("""COMPUTED_VALUE"""),68.0)</f>
        <v>68</v>
      </c>
      <c r="F5882" s="19" t="str">
        <f>IFERROR(__xludf.DUMMYFUNCTION("""COMPUTED_VALUE"""),"BLACK")</f>
        <v>BLACK</v>
      </c>
      <c r="G5882" s="20" t="str">
        <f>IFERROR(__xludf.DUMMYFUNCTION("""COMPUTED_VALUE"""),"Uncle Sams Cider (04/04/2023)")</f>
        <v>Uncle Sams Cider (04/04/2023)</v>
      </c>
      <c r="H5882" s="19"/>
    </row>
    <row r="5883">
      <c r="A5883" s="9"/>
      <c r="B5883" s="15"/>
      <c r="C5883" s="9">
        <f>IFERROR(__xludf.DUMMYFUNCTION("""COMPUTED_VALUE"""),45082.9273789583)</f>
        <v>45082.92738</v>
      </c>
      <c r="D5883" s="15">
        <f>IFERROR(__xludf.DUMMYFUNCTION("""COMPUTED_VALUE"""),1.008)</f>
        <v>1.008</v>
      </c>
      <c r="E5883" s="16">
        <f>IFERROR(__xludf.DUMMYFUNCTION("""COMPUTED_VALUE"""),68.0)</f>
        <v>68</v>
      </c>
      <c r="F5883" s="19" t="str">
        <f>IFERROR(__xludf.DUMMYFUNCTION("""COMPUTED_VALUE"""),"BLACK")</f>
        <v>BLACK</v>
      </c>
      <c r="G5883" s="20" t="str">
        <f>IFERROR(__xludf.DUMMYFUNCTION("""COMPUTED_VALUE"""),"Uncle Sams Cider (04/04/2023)")</f>
        <v>Uncle Sams Cider (04/04/2023)</v>
      </c>
      <c r="H5883" s="19"/>
    </row>
    <row r="5884">
      <c r="A5884" s="9"/>
      <c r="B5884" s="15"/>
      <c r="C5884" s="9">
        <f>IFERROR(__xludf.DUMMYFUNCTION("""COMPUTED_VALUE"""),45082.9169463541)</f>
        <v>45082.91695</v>
      </c>
      <c r="D5884" s="15">
        <f>IFERROR(__xludf.DUMMYFUNCTION("""COMPUTED_VALUE"""),1.008)</f>
        <v>1.008</v>
      </c>
      <c r="E5884" s="16">
        <f>IFERROR(__xludf.DUMMYFUNCTION("""COMPUTED_VALUE"""),68.0)</f>
        <v>68</v>
      </c>
      <c r="F5884" s="19" t="str">
        <f>IFERROR(__xludf.DUMMYFUNCTION("""COMPUTED_VALUE"""),"BLACK")</f>
        <v>BLACK</v>
      </c>
      <c r="G5884" s="20" t="str">
        <f>IFERROR(__xludf.DUMMYFUNCTION("""COMPUTED_VALUE"""),"Uncle Sams Cider (04/04/2023)")</f>
        <v>Uncle Sams Cider (04/04/2023)</v>
      </c>
      <c r="H5884" s="19"/>
    </row>
    <row r="5885">
      <c r="A5885" s="9"/>
      <c r="B5885" s="15"/>
      <c r="C5885" s="9">
        <f>IFERROR(__xludf.DUMMYFUNCTION("""COMPUTED_VALUE"""),45082.9065128125)</f>
        <v>45082.90651</v>
      </c>
      <c r="D5885" s="15">
        <f>IFERROR(__xludf.DUMMYFUNCTION("""COMPUTED_VALUE"""),1.008)</f>
        <v>1.008</v>
      </c>
      <c r="E5885" s="16">
        <f>IFERROR(__xludf.DUMMYFUNCTION("""COMPUTED_VALUE"""),68.0)</f>
        <v>68</v>
      </c>
      <c r="F5885" s="19" t="str">
        <f>IFERROR(__xludf.DUMMYFUNCTION("""COMPUTED_VALUE"""),"BLACK")</f>
        <v>BLACK</v>
      </c>
      <c r="G5885" s="20" t="str">
        <f>IFERROR(__xludf.DUMMYFUNCTION("""COMPUTED_VALUE"""),"Uncle Sams Cider (04/04/2023)")</f>
        <v>Uncle Sams Cider (04/04/2023)</v>
      </c>
      <c r="H5885" s="19"/>
    </row>
    <row r="5886">
      <c r="A5886" s="9"/>
      <c r="B5886" s="15"/>
      <c r="C5886" s="9">
        <f>IFERROR(__xludf.DUMMYFUNCTION("""COMPUTED_VALUE"""),45082.8960900463)</f>
        <v>45082.89609</v>
      </c>
      <c r="D5886" s="15">
        <f>IFERROR(__xludf.DUMMYFUNCTION("""COMPUTED_VALUE"""),1.008)</f>
        <v>1.008</v>
      </c>
      <c r="E5886" s="16">
        <f>IFERROR(__xludf.DUMMYFUNCTION("""COMPUTED_VALUE"""),68.0)</f>
        <v>68</v>
      </c>
      <c r="F5886" s="19" t="str">
        <f>IFERROR(__xludf.DUMMYFUNCTION("""COMPUTED_VALUE"""),"BLACK")</f>
        <v>BLACK</v>
      </c>
      <c r="G5886" s="20" t="str">
        <f>IFERROR(__xludf.DUMMYFUNCTION("""COMPUTED_VALUE"""),"Uncle Sams Cider (04/04/2023)")</f>
        <v>Uncle Sams Cider (04/04/2023)</v>
      </c>
      <c r="H5886" s="19"/>
    </row>
    <row r="5887">
      <c r="A5887" s="9"/>
      <c r="B5887" s="15"/>
      <c r="C5887" s="9">
        <f>IFERROR(__xludf.DUMMYFUNCTION("""COMPUTED_VALUE"""),45082.8856703125)</f>
        <v>45082.88567</v>
      </c>
      <c r="D5887" s="15">
        <f>IFERROR(__xludf.DUMMYFUNCTION("""COMPUTED_VALUE"""),1.008)</f>
        <v>1.008</v>
      </c>
      <c r="E5887" s="16">
        <f>IFERROR(__xludf.DUMMYFUNCTION("""COMPUTED_VALUE"""),68.0)</f>
        <v>68</v>
      </c>
      <c r="F5887" s="19" t="str">
        <f>IFERROR(__xludf.DUMMYFUNCTION("""COMPUTED_VALUE"""),"BLACK")</f>
        <v>BLACK</v>
      </c>
      <c r="G5887" s="20" t="str">
        <f>IFERROR(__xludf.DUMMYFUNCTION("""COMPUTED_VALUE"""),"Uncle Sams Cider (04/04/2023)")</f>
        <v>Uncle Sams Cider (04/04/2023)</v>
      </c>
      <c r="H5887" s="19"/>
    </row>
    <row r="5888">
      <c r="A5888" s="9"/>
      <c r="B5888" s="15"/>
      <c r="C5888" s="9">
        <f>IFERROR(__xludf.DUMMYFUNCTION("""COMPUTED_VALUE"""),45082.8752031365)</f>
        <v>45082.8752</v>
      </c>
      <c r="D5888" s="15">
        <f>IFERROR(__xludf.DUMMYFUNCTION("""COMPUTED_VALUE"""),1.008)</f>
        <v>1.008</v>
      </c>
      <c r="E5888" s="16">
        <f>IFERROR(__xludf.DUMMYFUNCTION("""COMPUTED_VALUE"""),68.0)</f>
        <v>68</v>
      </c>
      <c r="F5888" s="19" t="str">
        <f>IFERROR(__xludf.DUMMYFUNCTION("""COMPUTED_VALUE"""),"BLACK")</f>
        <v>BLACK</v>
      </c>
      <c r="G5888" s="20" t="str">
        <f>IFERROR(__xludf.DUMMYFUNCTION("""COMPUTED_VALUE"""),"Uncle Sams Cider (04/04/2023)")</f>
        <v>Uncle Sams Cider (04/04/2023)</v>
      </c>
      <c r="H5888" s="19"/>
    </row>
    <row r="5889">
      <c r="A5889" s="9"/>
      <c r="B5889" s="15"/>
      <c r="C5889" s="9">
        <f>IFERROR(__xludf.DUMMYFUNCTION("""COMPUTED_VALUE"""),45082.8647575231)</f>
        <v>45082.86476</v>
      </c>
      <c r="D5889" s="15">
        <f>IFERROR(__xludf.DUMMYFUNCTION("""COMPUTED_VALUE"""),1.008)</f>
        <v>1.008</v>
      </c>
      <c r="E5889" s="16">
        <f>IFERROR(__xludf.DUMMYFUNCTION("""COMPUTED_VALUE"""),68.0)</f>
        <v>68</v>
      </c>
      <c r="F5889" s="19" t="str">
        <f>IFERROR(__xludf.DUMMYFUNCTION("""COMPUTED_VALUE"""),"BLACK")</f>
        <v>BLACK</v>
      </c>
      <c r="G5889" s="20" t="str">
        <f>IFERROR(__xludf.DUMMYFUNCTION("""COMPUTED_VALUE"""),"Uncle Sams Cider (04/04/2023)")</f>
        <v>Uncle Sams Cider (04/04/2023)</v>
      </c>
      <c r="H5889" s="19"/>
    </row>
    <row r="5890">
      <c r="A5890" s="9"/>
      <c r="B5890" s="15"/>
      <c r="C5890" s="9">
        <f>IFERROR(__xludf.DUMMYFUNCTION("""COMPUTED_VALUE"""),45082.8543375463)</f>
        <v>45082.85434</v>
      </c>
      <c r="D5890" s="15">
        <f>IFERROR(__xludf.DUMMYFUNCTION("""COMPUTED_VALUE"""),1.008)</f>
        <v>1.008</v>
      </c>
      <c r="E5890" s="16">
        <f>IFERROR(__xludf.DUMMYFUNCTION("""COMPUTED_VALUE"""),68.0)</f>
        <v>68</v>
      </c>
      <c r="F5890" s="19" t="str">
        <f>IFERROR(__xludf.DUMMYFUNCTION("""COMPUTED_VALUE"""),"BLACK")</f>
        <v>BLACK</v>
      </c>
      <c r="G5890" s="20" t="str">
        <f>IFERROR(__xludf.DUMMYFUNCTION("""COMPUTED_VALUE"""),"Uncle Sams Cider (04/04/2023)")</f>
        <v>Uncle Sams Cider (04/04/2023)</v>
      </c>
      <c r="H5890" s="19"/>
    </row>
    <row r="5891">
      <c r="A5891" s="9"/>
      <c r="B5891" s="15"/>
      <c r="C5891" s="9">
        <f>IFERROR(__xludf.DUMMYFUNCTION("""COMPUTED_VALUE"""),45082.8439163888)</f>
        <v>45082.84392</v>
      </c>
      <c r="D5891" s="15">
        <f>IFERROR(__xludf.DUMMYFUNCTION("""COMPUTED_VALUE"""),1.008)</f>
        <v>1.008</v>
      </c>
      <c r="E5891" s="16">
        <f>IFERROR(__xludf.DUMMYFUNCTION("""COMPUTED_VALUE"""),68.0)</f>
        <v>68</v>
      </c>
      <c r="F5891" s="19" t="str">
        <f>IFERROR(__xludf.DUMMYFUNCTION("""COMPUTED_VALUE"""),"BLACK")</f>
        <v>BLACK</v>
      </c>
      <c r="G5891" s="20" t="str">
        <f>IFERROR(__xludf.DUMMYFUNCTION("""COMPUTED_VALUE"""),"Uncle Sams Cider (04/04/2023)")</f>
        <v>Uncle Sams Cider (04/04/2023)</v>
      </c>
      <c r="H5891" s="19"/>
    </row>
    <row r="5892">
      <c r="A5892" s="9"/>
      <c r="B5892" s="15"/>
      <c r="C5892" s="9">
        <f>IFERROR(__xludf.DUMMYFUNCTION("""COMPUTED_VALUE"""),45082.8334952199)</f>
        <v>45082.8335</v>
      </c>
      <c r="D5892" s="15">
        <f>IFERROR(__xludf.DUMMYFUNCTION("""COMPUTED_VALUE"""),1.008)</f>
        <v>1.008</v>
      </c>
      <c r="E5892" s="16">
        <f>IFERROR(__xludf.DUMMYFUNCTION("""COMPUTED_VALUE"""),68.0)</f>
        <v>68</v>
      </c>
      <c r="F5892" s="19" t="str">
        <f>IFERROR(__xludf.DUMMYFUNCTION("""COMPUTED_VALUE"""),"BLACK")</f>
        <v>BLACK</v>
      </c>
      <c r="G5892" s="20" t="str">
        <f>IFERROR(__xludf.DUMMYFUNCTION("""COMPUTED_VALUE"""),"Uncle Sams Cider (04/04/2023)")</f>
        <v>Uncle Sams Cider (04/04/2023)</v>
      </c>
      <c r="H5892" s="19"/>
    </row>
    <row r="5893">
      <c r="A5893" s="9"/>
      <c r="B5893" s="15"/>
      <c r="C5893" s="9">
        <f>IFERROR(__xludf.DUMMYFUNCTION("""COMPUTED_VALUE"""),45082.8230631018)</f>
        <v>45082.82306</v>
      </c>
      <c r="D5893" s="15">
        <f>IFERROR(__xludf.DUMMYFUNCTION("""COMPUTED_VALUE"""),1.008)</f>
        <v>1.008</v>
      </c>
      <c r="E5893" s="16">
        <f>IFERROR(__xludf.DUMMYFUNCTION("""COMPUTED_VALUE"""),68.0)</f>
        <v>68</v>
      </c>
      <c r="F5893" s="19" t="str">
        <f>IFERROR(__xludf.DUMMYFUNCTION("""COMPUTED_VALUE"""),"BLACK")</f>
        <v>BLACK</v>
      </c>
      <c r="G5893" s="20" t="str">
        <f>IFERROR(__xludf.DUMMYFUNCTION("""COMPUTED_VALUE"""),"Uncle Sams Cider (04/04/2023)")</f>
        <v>Uncle Sams Cider (04/04/2023)</v>
      </c>
      <c r="H5893" s="19"/>
    </row>
    <row r="5894">
      <c r="A5894" s="9"/>
      <c r="B5894" s="15"/>
      <c r="C5894" s="9">
        <f>IFERROR(__xludf.DUMMYFUNCTION("""COMPUTED_VALUE"""),45082.8126396643)</f>
        <v>45082.81264</v>
      </c>
      <c r="D5894" s="15">
        <f>IFERROR(__xludf.DUMMYFUNCTION("""COMPUTED_VALUE"""),1.008)</f>
        <v>1.008</v>
      </c>
      <c r="E5894" s="16">
        <f>IFERROR(__xludf.DUMMYFUNCTION("""COMPUTED_VALUE"""),68.0)</f>
        <v>68</v>
      </c>
      <c r="F5894" s="19" t="str">
        <f>IFERROR(__xludf.DUMMYFUNCTION("""COMPUTED_VALUE"""),"BLACK")</f>
        <v>BLACK</v>
      </c>
      <c r="G5894" s="20" t="str">
        <f>IFERROR(__xludf.DUMMYFUNCTION("""COMPUTED_VALUE"""),"Uncle Sams Cider (04/04/2023)")</f>
        <v>Uncle Sams Cider (04/04/2023)</v>
      </c>
      <c r="H5894" s="19"/>
    </row>
    <row r="5895">
      <c r="A5895" s="9"/>
      <c r="B5895" s="15"/>
      <c r="C5895" s="9">
        <f>IFERROR(__xludf.DUMMYFUNCTION("""COMPUTED_VALUE"""),45082.8022175115)</f>
        <v>45082.80222</v>
      </c>
      <c r="D5895" s="15">
        <f>IFERROR(__xludf.DUMMYFUNCTION("""COMPUTED_VALUE"""),1.008)</f>
        <v>1.008</v>
      </c>
      <c r="E5895" s="16">
        <f>IFERROR(__xludf.DUMMYFUNCTION("""COMPUTED_VALUE"""),68.0)</f>
        <v>68</v>
      </c>
      <c r="F5895" s="19" t="str">
        <f>IFERROR(__xludf.DUMMYFUNCTION("""COMPUTED_VALUE"""),"BLACK")</f>
        <v>BLACK</v>
      </c>
      <c r="G5895" s="20" t="str">
        <f>IFERROR(__xludf.DUMMYFUNCTION("""COMPUTED_VALUE"""),"Uncle Sams Cider (04/04/2023)")</f>
        <v>Uncle Sams Cider (04/04/2023)</v>
      </c>
      <c r="H5895" s="19"/>
    </row>
    <row r="5896">
      <c r="A5896" s="9"/>
      <c r="B5896" s="15"/>
      <c r="C5896" s="9">
        <f>IFERROR(__xludf.DUMMYFUNCTION("""COMPUTED_VALUE"""),45082.791771493)</f>
        <v>45082.79177</v>
      </c>
      <c r="D5896" s="15">
        <f>IFERROR(__xludf.DUMMYFUNCTION("""COMPUTED_VALUE"""),1.008)</f>
        <v>1.008</v>
      </c>
      <c r="E5896" s="16">
        <f>IFERROR(__xludf.DUMMYFUNCTION("""COMPUTED_VALUE"""),68.0)</f>
        <v>68</v>
      </c>
      <c r="F5896" s="19" t="str">
        <f>IFERROR(__xludf.DUMMYFUNCTION("""COMPUTED_VALUE"""),"BLACK")</f>
        <v>BLACK</v>
      </c>
      <c r="G5896" s="20" t="str">
        <f>IFERROR(__xludf.DUMMYFUNCTION("""COMPUTED_VALUE"""),"Uncle Sams Cider (04/04/2023)")</f>
        <v>Uncle Sams Cider (04/04/2023)</v>
      </c>
      <c r="H5896" s="19"/>
    </row>
    <row r="5897">
      <c r="A5897" s="9"/>
      <c r="B5897" s="15"/>
      <c r="C5897" s="9">
        <f>IFERROR(__xludf.DUMMYFUNCTION("""COMPUTED_VALUE"""),45082.7813502199)</f>
        <v>45082.78135</v>
      </c>
      <c r="D5897" s="15">
        <f>IFERROR(__xludf.DUMMYFUNCTION("""COMPUTED_VALUE"""),1.008)</f>
        <v>1.008</v>
      </c>
      <c r="E5897" s="16">
        <f>IFERROR(__xludf.DUMMYFUNCTION("""COMPUTED_VALUE"""),68.0)</f>
        <v>68</v>
      </c>
      <c r="F5897" s="19" t="str">
        <f>IFERROR(__xludf.DUMMYFUNCTION("""COMPUTED_VALUE"""),"BLACK")</f>
        <v>BLACK</v>
      </c>
      <c r="G5897" s="20" t="str">
        <f>IFERROR(__xludf.DUMMYFUNCTION("""COMPUTED_VALUE"""),"Uncle Sams Cider (04/04/2023)")</f>
        <v>Uncle Sams Cider (04/04/2023)</v>
      </c>
      <c r="H5897" s="19"/>
    </row>
    <row r="5898">
      <c r="A5898" s="9"/>
      <c r="B5898" s="15"/>
      <c r="C5898" s="9">
        <f>IFERROR(__xludf.DUMMYFUNCTION("""COMPUTED_VALUE"""),45082.7709292476)</f>
        <v>45082.77093</v>
      </c>
      <c r="D5898" s="15">
        <f>IFERROR(__xludf.DUMMYFUNCTION("""COMPUTED_VALUE"""),1.008)</f>
        <v>1.008</v>
      </c>
      <c r="E5898" s="16">
        <f>IFERROR(__xludf.DUMMYFUNCTION("""COMPUTED_VALUE"""),68.0)</f>
        <v>68</v>
      </c>
      <c r="F5898" s="19" t="str">
        <f>IFERROR(__xludf.DUMMYFUNCTION("""COMPUTED_VALUE"""),"BLACK")</f>
        <v>BLACK</v>
      </c>
      <c r="G5898" s="20" t="str">
        <f>IFERROR(__xludf.DUMMYFUNCTION("""COMPUTED_VALUE"""),"Uncle Sams Cider (04/04/2023)")</f>
        <v>Uncle Sams Cider (04/04/2023)</v>
      </c>
      <c r="H5898" s="19"/>
    </row>
    <row r="5899">
      <c r="A5899" s="9"/>
      <c r="B5899" s="15"/>
      <c r="C5899" s="9">
        <f>IFERROR(__xludf.DUMMYFUNCTION("""COMPUTED_VALUE"""),45082.7605087037)</f>
        <v>45082.76051</v>
      </c>
      <c r="D5899" s="15">
        <f>IFERROR(__xludf.DUMMYFUNCTION("""COMPUTED_VALUE"""),1.008)</f>
        <v>1.008</v>
      </c>
      <c r="E5899" s="16">
        <f>IFERROR(__xludf.DUMMYFUNCTION("""COMPUTED_VALUE"""),68.0)</f>
        <v>68</v>
      </c>
      <c r="F5899" s="19" t="str">
        <f>IFERROR(__xludf.DUMMYFUNCTION("""COMPUTED_VALUE"""),"BLACK")</f>
        <v>BLACK</v>
      </c>
      <c r="G5899" s="20" t="str">
        <f>IFERROR(__xludf.DUMMYFUNCTION("""COMPUTED_VALUE"""),"Uncle Sams Cider (04/04/2023)")</f>
        <v>Uncle Sams Cider (04/04/2023)</v>
      </c>
      <c r="H5899" s="19"/>
    </row>
    <row r="5900">
      <c r="A5900" s="9"/>
      <c r="B5900" s="15"/>
      <c r="C5900" s="9">
        <f>IFERROR(__xludf.DUMMYFUNCTION("""COMPUTED_VALUE"""),45082.750089456)</f>
        <v>45082.75009</v>
      </c>
      <c r="D5900" s="15">
        <f>IFERROR(__xludf.DUMMYFUNCTION("""COMPUTED_VALUE"""),1.008)</f>
        <v>1.008</v>
      </c>
      <c r="E5900" s="16">
        <f>IFERROR(__xludf.DUMMYFUNCTION("""COMPUTED_VALUE"""),68.0)</f>
        <v>68</v>
      </c>
      <c r="F5900" s="19" t="str">
        <f>IFERROR(__xludf.DUMMYFUNCTION("""COMPUTED_VALUE"""),"BLACK")</f>
        <v>BLACK</v>
      </c>
      <c r="G5900" s="20" t="str">
        <f>IFERROR(__xludf.DUMMYFUNCTION("""COMPUTED_VALUE"""),"Uncle Sams Cider (04/04/2023)")</f>
        <v>Uncle Sams Cider (04/04/2023)</v>
      </c>
      <c r="H5900" s="19"/>
    </row>
    <row r="5901">
      <c r="A5901" s="9"/>
      <c r="B5901" s="15"/>
      <c r="C5901" s="9">
        <f>IFERROR(__xludf.DUMMYFUNCTION("""COMPUTED_VALUE"""),45082.739668912)</f>
        <v>45082.73967</v>
      </c>
      <c r="D5901" s="15">
        <f>IFERROR(__xludf.DUMMYFUNCTION("""COMPUTED_VALUE"""),1.008)</f>
        <v>1.008</v>
      </c>
      <c r="E5901" s="16">
        <f>IFERROR(__xludf.DUMMYFUNCTION("""COMPUTED_VALUE"""),68.0)</f>
        <v>68</v>
      </c>
      <c r="F5901" s="19" t="str">
        <f>IFERROR(__xludf.DUMMYFUNCTION("""COMPUTED_VALUE"""),"BLACK")</f>
        <v>BLACK</v>
      </c>
      <c r="G5901" s="20" t="str">
        <f>IFERROR(__xludf.DUMMYFUNCTION("""COMPUTED_VALUE"""),"Uncle Sams Cider (04/04/2023)")</f>
        <v>Uncle Sams Cider (04/04/2023)</v>
      </c>
      <c r="H5901" s="19"/>
    </row>
    <row r="5902">
      <c r="A5902" s="9"/>
      <c r="B5902" s="15"/>
      <c r="C5902" s="9">
        <f>IFERROR(__xludf.DUMMYFUNCTION("""COMPUTED_VALUE"""),45082.7292479861)</f>
        <v>45082.72925</v>
      </c>
      <c r="D5902" s="15">
        <f>IFERROR(__xludf.DUMMYFUNCTION("""COMPUTED_VALUE"""),1.008)</f>
        <v>1.008</v>
      </c>
      <c r="E5902" s="16">
        <f>IFERROR(__xludf.DUMMYFUNCTION("""COMPUTED_VALUE"""),68.0)</f>
        <v>68</v>
      </c>
      <c r="F5902" s="19" t="str">
        <f>IFERROR(__xludf.DUMMYFUNCTION("""COMPUTED_VALUE"""),"BLACK")</f>
        <v>BLACK</v>
      </c>
      <c r="G5902" s="20" t="str">
        <f>IFERROR(__xludf.DUMMYFUNCTION("""COMPUTED_VALUE"""),"Uncle Sams Cider (04/04/2023)")</f>
        <v>Uncle Sams Cider (04/04/2023)</v>
      </c>
      <c r="H5902" s="19"/>
    </row>
    <row r="5903">
      <c r="A5903" s="9"/>
      <c r="B5903" s="15"/>
      <c r="C5903" s="9">
        <f>IFERROR(__xludf.DUMMYFUNCTION("""COMPUTED_VALUE"""),45082.7188144212)</f>
        <v>45082.71881</v>
      </c>
      <c r="D5903" s="15">
        <f>IFERROR(__xludf.DUMMYFUNCTION("""COMPUTED_VALUE"""),1.008)</f>
        <v>1.008</v>
      </c>
      <c r="E5903" s="16">
        <f>IFERROR(__xludf.DUMMYFUNCTION("""COMPUTED_VALUE"""),68.0)</f>
        <v>68</v>
      </c>
      <c r="F5903" s="19" t="str">
        <f>IFERROR(__xludf.DUMMYFUNCTION("""COMPUTED_VALUE"""),"BLACK")</f>
        <v>BLACK</v>
      </c>
      <c r="G5903" s="20" t="str">
        <f>IFERROR(__xludf.DUMMYFUNCTION("""COMPUTED_VALUE"""),"Uncle Sams Cider (04/04/2023)")</f>
        <v>Uncle Sams Cider (04/04/2023)</v>
      </c>
      <c r="H5903" s="19"/>
    </row>
    <row r="5904">
      <c r="A5904" s="9"/>
      <c r="B5904" s="15"/>
      <c r="C5904" s="9">
        <f>IFERROR(__xludf.DUMMYFUNCTION("""COMPUTED_VALUE"""),45082.70839228)</f>
        <v>45082.70839</v>
      </c>
      <c r="D5904" s="15">
        <f>IFERROR(__xludf.DUMMYFUNCTION("""COMPUTED_VALUE"""),1.008)</f>
        <v>1.008</v>
      </c>
      <c r="E5904" s="16">
        <f>IFERROR(__xludf.DUMMYFUNCTION("""COMPUTED_VALUE"""),68.0)</f>
        <v>68</v>
      </c>
      <c r="F5904" s="19" t="str">
        <f>IFERROR(__xludf.DUMMYFUNCTION("""COMPUTED_VALUE"""),"BLACK")</f>
        <v>BLACK</v>
      </c>
      <c r="G5904" s="20" t="str">
        <f>IFERROR(__xludf.DUMMYFUNCTION("""COMPUTED_VALUE"""),"Uncle Sams Cider (04/04/2023)")</f>
        <v>Uncle Sams Cider (04/04/2023)</v>
      </c>
      <c r="H5904" s="19"/>
    </row>
    <row r="5905">
      <c r="A5905" s="9"/>
      <c r="B5905" s="15"/>
      <c r="C5905" s="9">
        <f>IFERROR(__xludf.DUMMYFUNCTION("""COMPUTED_VALUE"""),45082.6979697222)</f>
        <v>45082.69797</v>
      </c>
      <c r="D5905" s="15">
        <f>IFERROR(__xludf.DUMMYFUNCTION("""COMPUTED_VALUE"""),1.008)</f>
        <v>1.008</v>
      </c>
      <c r="E5905" s="16">
        <f>IFERROR(__xludf.DUMMYFUNCTION("""COMPUTED_VALUE"""),68.0)</f>
        <v>68</v>
      </c>
      <c r="F5905" s="19" t="str">
        <f>IFERROR(__xludf.DUMMYFUNCTION("""COMPUTED_VALUE"""),"BLACK")</f>
        <v>BLACK</v>
      </c>
      <c r="G5905" s="20" t="str">
        <f>IFERROR(__xludf.DUMMYFUNCTION("""COMPUTED_VALUE"""),"Uncle Sams Cider (04/04/2023)")</f>
        <v>Uncle Sams Cider (04/04/2023)</v>
      </c>
      <c r="H5905" s="19"/>
    </row>
    <row r="5906">
      <c r="A5906" s="9"/>
      <c r="B5906" s="15"/>
      <c r="C5906" s="9">
        <f>IFERROR(__xludf.DUMMYFUNCTION("""COMPUTED_VALUE"""),45082.6875492129)</f>
        <v>45082.68755</v>
      </c>
      <c r="D5906" s="15">
        <f>IFERROR(__xludf.DUMMYFUNCTION("""COMPUTED_VALUE"""),1.008)</f>
        <v>1.008</v>
      </c>
      <c r="E5906" s="16">
        <f>IFERROR(__xludf.DUMMYFUNCTION("""COMPUTED_VALUE"""),68.0)</f>
        <v>68</v>
      </c>
      <c r="F5906" s="19" t="str">
        <f>IFERROR(__xludf.DUMMYFUNCTION("""COMPUTED_VALUE"""),"BLACK")</f>
        <v>BLACK</v>
      </c>
      <c r="G5906" s="20" t="str">
        <f>IFERROR(__xludf.DUMMYFUNCTION("""COMPUTED_VALUE"""),"Uncle Sams Cider (04/04/2023)")</f>
        <v>Uncle Sams Cider (04/04/2023)</v>
      </c>
      <c r="H5906" s="19"/>
    </row>
    <row r="5907">
      <c r="A5907" s="9"/>
      <c r="B5907" s="15"/>
      <c r="C5907" s="9">
        <f>IFERROR(__xludf.DUMMYFUNCTION("""COMPUTED_VALUE"""),45082.677128206)</f>
        <v>45082.67713</v>
      </c>
      <c r="D5907" s="15">
        <f>IFERROR(__xludf.DUMMYFUNCTION("""COMPUTED_VALUE"""),1.008)</f>
        <v>1.008</v>
      </c>
      <c r="E5907" s="16">
        <f>IFERROR(__xludf.DUMMYFUNCTION("""COMPUTED_VALUE"""),68.0)</f>
        <v>68</v>
      </c>
      <c r="F5907" s="19" t="str">
        <f>IFERROR(__xludf.DUMMYFUNCTION("""COMPUTED_VALUE"""),"BLACK")</f>
        <v>BLACK</v>
      </c>
      <c r="G5907" s="20" t="str">
        <f>IFERROR(__xludf.DUMMYFUNCTION("""COMPUTED_VALUE"""),"Uncle Sams Cider (04/04/2023)")</f>
        <v>Uncle Sams Cider (04/04/2023)</v>
      </c>
      <c r="H5907" s="19"/>
    </row>
    <row r="5908">
      <c r="A5908" s="9"/>
      <c r="B5908" s="15"/>
      <c r="C5908" s="9">
        <f>IFERROR(__xludf.DUMMYFUNCTION("""COMPUTED_VALUE"""),45082.6666940856)</f>
        <v>45082.66669</v>
      </c>
      <c r="D5908" s="15">
        <f>IFERROR(__xludf.DUMMYFUNCTION("""COMPUTED_VALUE"""),1.008)</f>
        <v>1.008</v>
      </c>
      <c r="E5908" s="16">
        <f>IFERROR(__xludf.DUMMYFUNCTION("""COMPUTED_VALUE"""),68.0)</f>
        <v>68</v>
      </c>
      <c r="F5908" s="19" t="str">
        <f>IFERROR(__xludf.DUMMYFUNCTION("""COMPUTED_VALUE"""),"BLACK")</f>
        <v>BLACK</v>
      </c>
      <c r="G5908" s="20" t="str">
        <f>IFERROR(__xludf.DUMMYFUNCTION("""COMPUTED_VALUE"""),"Uncle Sams Cider (04/04/2023)")</f>
        <v>Uncle Sams Cider (04/04/2023)</v>
      </c>
      <c r="H5908" s="19"/>
    </row>
    <row r="5909">
      <c r="A5909" s="9"/>
      <c r="B5909" s="15"/>
      <c r="C5909" s="9">
        <f>IFERROR(__xludf.DUMMYFUNCTION("""COMPUTED_VALUE"""),45082.6562624305)</f>
        <v>45082.65626</v>
      </c>
      <c r="D5909" s="15">
        <f>IFERROR(__xludf.DUMMYFUNCTION("""COMPUTED_VALUE"""),1.008)</f>
        <v>1.008</v>
      </c>
      <c r="E5909" s="16">
        <f>IFERROR(__xludf.DUMMYFUNCTION("""COMPUTED_VALUE"""),68.0)</f>
        <v>68</v>
      </c>
      <c r="F5909" s="19" t="str">
        <f>IFERROR(__xludf.DUMMYFUNCTION("""COMPUTED_VALUE"""),"BLACK")</f>
        <v>BLACK</v>
      </c>
      <c r="G5909" s="20" t="str">
        <f>IFERROR(__xludf.DUMMYFUNCTION("""COMPUTED_VALUE"""),"Uncle Sams Cider (04/04/2023)")</f>
        <v>Uncle Sams Cider (04/04/2023)</v>
      </c>
      <c r="H5909" s="19"/>
    </row>
    <row r="5910">
      <c r="A5910" s="9"/>
      <c r="B5910" s="15"/>
      <c r="C5910" s="9">
        <f>IFERROR(__xludf.DUMMYFUNCTION("""COMPUTED_VALUE"""),45082.6458412615)</f>
        <v>45082.64584</v>
      </c>
      <c r="D5910" s="15">
        <f>IFERROR(__xludf.DUMMYFUNCTION("""COMPUTED_VALUE"""),1.008)</f>
        <v>1.008</v>
      </c>
      <c r="E5910" s="16">
        <f>IFERROR(__xludf.DUMMYFUNCTION("""COMPUTED_VALUE"""),68.0)</f>
        <v>68</v>
      </c>
      <c r="F5910" s="19" t="str">
        <f>IFERROR(__xludf.DUMMYFUNCTION("""COMPUTED_VALUE"""),"BLACK")</f>
        <v>BLACK</v>
      </c>
      <c r="G5910" s="20" t="str">
        <f>IFERROR(__xludf.DUMMYFUNCTION("""COMPUTED_VALUE"""),"Uncle Sams Cider (04/04/2023)")</f>
        <v>Uncle Sams Cider (04/04/2023)</v>
      </c>
      <c r="H5910" s="19"/>
    </row>
    <row r="5911">
      <c r="A5911" s="9"/>
      <c r="B5911" s="15"/>
      <c r="C5911" s="9">
        <f>IFERROR(__xludf.DUMMYFUNCTION("""COMPUTED_VALUE"""),45082.6354197106)</f>
        <v>45082.63542</v>
      </c>
      <c r="D5911" s="15">
        <f>IFERROR(__xludf.DUMMYFUNCTION("""COMPUTED_VALUE"""),1.008)</f>
        <v>1.008</v>
      </c>
      <c r="E5911" s="16">
        <f>IFERROR(__xludf.DUMMYFUNCTION("""COMPUTED_VALUE"""),68.0)</f>
        <v>68</v>
      </c>
      <c r="F5911" s="19" t="str">
        <f>IFERROR(__xludf.DUMMYFUNCTION("""COMPUTED_VALUE"""),"BLACK")</f>
        <v>BLACK</v>
      </c>
      <c r="G5911" s="20" t="str">
        <f>IFERROR(__xludf.DUMMYFUNCTION("""COMPUTED_VALUE"""),"Uncle Sams Cider (04/04/2023)")</f>
        <v>Uncle Sams Cider (04/04/2023)</v>
      </c>
      <c r="H5911" s="19"/>
    </row>
    <row r="5912">
      <c r="A5912" s="9"/>
      <c r="B5912" s="15"/>
      <c r="C5912" s="9">
        <f>IFERROR(__xludf.DUMMYFUNCTION("""COMPUTED_VALUE"""),45082.6249977546)</f>
        <v>45082.625</v>
      </c>
      <c r="D5912" s="15">
        <f>IFERROR(__xludf.DUMMYFUNCTION("""COMPUTED_VALUE"""),1.008)</f>
        <v>1.008</v>
      </c>
      <c r="E5912" s="16">
        <f>IFERROR(__xludf.DUMMYFUNCTION("""COMPUTED_VALUE"""),68.0)</f>
        <v>68</v>
      </c>
      <c r="F5912" s="19" t="str">
        <f>IFERROR(__xludf.DUMMYFUNCTION("""COMPUTED_VALUE"""),"BLACK")</f>
        <v>BLACK</v>
      </c>
      <c r="G5912" s="20" t="str">
        <f>IFERROR(__xludf.DUMMYFUNCTION("""COMPUTED_VALUE"""),"Uncle Sams Cider (04/04/2023)")</f>
        <v>Uncle Sams Cider (04/04/2023)</v>
      </c>
      <c r="H5912" s="19"/>
    </row>
    <row r="5913">
      <c r="A5913" s="9"/>
      <c r="B5913" s="15"/>
      <c r="C5913" s="9">
        <f>IFERROR(__xludf.DUMMYFUNCTION("""COMPUTED_VALUE"""),45082.6145770833)</f>
        <v>45082.61458</v>
      </c>
      <c r="D5913" s="15">
        <f>IFERROR(__xludf.DUMMYFUNCTION("""COMPUTED_VALUE"""),1.008)</f>
        <v>1.008</v>
      </c>
      <c r="E5913" s="16">
        <f>IFERROR(__xludf.DUMMYFUNCTION("""COMPUTED_VALUE"""),68.0)</f>
        <v>68</v>
      </c>
      <c r="F5913" s="19" t="str">
        <f>IFERROR(__xludf.DUMMYFUNCTION("""COMPUTED_VALUE"""),"BLACK")</f>
        <v>BLACK</v>
      </c>
      <c r="G5913" s="20" t="str">
        <f>IFERROR(__xludf.DUMMYFUNCTION("""COMPUTED_VALUE"""),"Uncle Sams Cider (04/04/2023)")</f>
        <v>Uncle Sams Cider (04/04/2023)</v>
      </c>
      <c r="H5913" s="19"/>
    </row>
    <row r="5914">
      <c r="A5914" s="9"/>
      <c r="B5914" s="15"/>
      <c r="C5914" s="9">
        <f>IFERROR(__xludf.DUMMYFUNCTION("""COMPUTED_VALUE"""),45082.6041573958)</f>
        <v>45082.60416</v>
      </c>
      <c r="D5914" s="15">
        <f>IFERROR(__xludf.DUMMYFUNCTION("""COMPUTED_VALUE"""),1.008)</f>
        <v>1.008</v>
      </c>
      <c r="E5914" s="16">
        <f>IFERROR(__xludf.DUMMYFUNCTION("""COMPUTED_VALUE"""),68.0)</f>
        <v>68</v>
      </c>
      <c r="F5914" s="19" t="str">
        <f>IFERROR(__xludf.DUMMYFUNCTION("""COMPUTED_VALUE"""),"BLACK")</f>
        <v>BLACK</v>
      </c>
      <c r="G5914" s="20" t="str">
        <f>IFERROR(__xludf.DUMMYFUNCTION("""COMPUTED_VALUE"""),"Uncle Sams Cider (04/04/2023)")</f>
        <v>Uncle Sams Cider (04/04/2023)</v>
      </c>
      <c r="H5914" s="19"/>
    </row>
    <row r="5915">
      <c r="A5915" s="9"/>
      <c r="B5915" s="15"/>
      <c r="C5915" s="9">
        <f>IFERROR(__xludf.DUMMYFUNCTION("""COMPUTED_VALUE"""),45082.5937346412)</f>
        <v>45082.59373</v>
      </c>
      <c r="D5915" s="15">
        <f>IFERROR(__xludf.DUMMYFUNCTION("""COMPUTED_VALUE"""),1.008)</f>
        <v>1.008</v>
      </c>
      <c r="E5915" s="16">
        <f>IFERROR(__xludf.DUMMYFUNCTION("""COMPUTED_VALUE"""),68.0)</f>
        <v>68</v>
      </c>
      <c r="F5915" s="19" t="str">
        <f>IFERROR(__xludf.DUMMYFUNCTION("""COMPUTED_VALUE"""),"BLACK")</f>
        <v>BLACK</v>
      </c>
      <c r="G5915" s="20" t="str">
        <f>IFERROR(__xludf.DUMMYFUNCTION("""COMPUTED_VALUE"""),"Uncle Sams Cider (04/04/2023)")</f>
        <v>Uncle Sams Cider (04/04/2023)</v>
      </c>
      <c r="H5915" s="19"/>
    </row>
    <row r="5916">
      <c r="A5916" s="9"/>
      <c r="B5916" s="15"/>
      <c r="C5916" s="9">
        <f>IFERROR(__xludf.DUMMYFUNCTION("""COMPUTED_VALUE"""),45082.5833132176)</f>
        <v>45082.58331</v>
      </c>
      <c r="D5916" s="15">
        <f>IFERROR(__xludf.DUMMYFUNCTION("""COMPUTED_VALUE"""),1.008)</f>
        <v>1.008</v>
      </c>
      <c r="E5916" s="16">
        <f>IFERROR(__xludf.DUMMYFUNCTION("""COMPUTED_VALUE"""),68.0)</f>
        <v>68</v>
      </c>
      <c r="F5916" s="19" t="str">
        <f>IFERROR(__xludf.DUMMYFUNCTION("""COMPUTED_VALUE"""),"BLACK")</f>
        <v>BLACK</v>
      </c>
      <c r="G5916" s="20" t="str">
        <f>IFERROR(__xludf.DUMMYFUNCTION("""COMPUTED_VALUE"""),"Uncle Sams Cider (04/04/2023)")</f>
        <v>Uncle Sams Cider (04/04/2023)</v>
      </c>
      <c r="H5916" s="19"/>
    </row>
    <row r="5917">
      <c r="A5917" s="9"/>
      <c r="B5917" s="15"/>
      <c r="C5917" s="9">
        <f>IFERROR(__xludf.DUMMYFUNCTION("""COMPUTED_VALUE"""),45082.5728915393)</f>
        <v>45082.57289</v>
      </c>
      <c r="D5917" s="15">
        <f>IFERROR(__xludf.DUMMYFUNCTION("""COMPUTED_VALUE"""),1.008)</f>
        <v>1.008</v>
      </c>
      <c r="E5917" s="16">
        <f>IFERROR(__xludf.DUMMYFUNCTION("""COMPUTED_VALUE"""),68.0)</f>
        <v>68</v>
      </c>
      <c r="F5917" s="19" t="str">
        <f>IFERROR(__xludf.DUMMYFUNCTION("""COMPUTED_VALUE"""),"BLACK")</f>
        <v>BLACK</v>
      </c>
      <c r="G5917" s="20" t="str">
        <f>IFERROR(__xludf.DUMMYFUNCTION("""COMPUTED_VALUE"""),"Uncle Sams Cider (04/04/2023)")</f>
        <v>Uncle Sams Cider (04/04/2023)</v>
      </c>
      <c r="H5917" s="19"/>
    </row>
    <row r="5918">
      <c r="A5918" s="9"/>
      <c r="B5918" s="15"/>
      <c r="C5918" s="9">
        <f>IFERROR(__xludf.DUMMYFUNCTION("""COMPUTED_VALUE"""),45082.5624593402)</f>
        <v>45082.56246</v>
      </c>
      <c r="D5918" s="15">
        <f>IFERROR(__xludf.DUMMYFUNCTION("""COMPUTED_VALUE"""),1.008)</f>
        <v>1.008</v>
      </c>
      <c r="E5918" s="16">
        <f>IFERROR(__xludf.DUMMYFUNCTION("""COMPUTED_VALUE"""),68.0)</f>
        <v>68</v>
      </c>
      <c r="F5918" s="19" t="str">
        <f>IFERROR(__xludf.DUMMYFUNCTION("""COMPUTED_VALUE"""),"BLACK")</f>
        <v>BLACK</v>
      </c>
      <c r="G5918" s="20" t="str">
        <f>IFERROR(__xludf.DUMMYFUNCTION("""COMPUTED_VALUE"""),"Uncle Sams Cider (04/04/2023)")</f>
        <v>Uncle Sams Cider (04/04/2023)</v>
      </c>
      <c r="H5918" s="19"/>
    </row>
    <row r="5919">
      <c r="A5919" s="9"/>
      <c r="B5919" s="15"/>
      <c r="C5919" s="9">
        <f>IFERROR(__xludf.DUMMYFUNCTION("""COMPUTED_VALUE"""),45082.5520379398)</f>
        <v>45082.55204</v>
      </c>
      <c r="D5919" s="15">
        <f>IFERROR(__xludf.DUMMYFUNCTION("""COMPUTED_VALUE"""),1.008)</f>
        <v>1.008</v>
      </c>
      <c r="E5919" s="16">
        <f>IFERROR(__xludf.DUMMYFUNCTION("""COMPUTED_VALUE"""),68.0)</f>
        <v>68</v>
      </c>
      <c r="F5919" s="19" t="str">
        <f>IFERROR(__xludf.DUMMYFUNCTION("""COMPUTED_VALUE"""),"BLACK")</f>
        <v>BLACK</v>
      </c>
      <c r="G5919" s="20" t="str">
        <f>IFERROR(__xludf.DUMMYFUNCTION("""COMPUTED_VALUE"""),"Uncle Sams Cider (04/04/2023)")</f>
        <v>Uncle Sams Cider (04/04/2023)</v>
      </c>
      <c r="H5919" s="19"/>
    </row>
    <row r="5920">
      <c r="A5920" s="9"/>
      <c r="B5920" s="15"/>
      <c r="C5920" s="9">
        <f>IFERROR(__xludf.DUMMYFUNCTION("""COMPUTED_VALUE"""),45082.5416170601)</f>
        <v>45082.54162</v>
      </c>
      <c r="D5920" s="15">
        <f>IFERROR(__xludf.DUMMYFUNCTION("""COMPUTED_VALUE"""),1.008)</f>
        <v>1.008</v>
      </c>
      <c r="E5920" s="16">
        <f>IFERROR(__xludf.DUMMYFUNCTION("""COMPUTED_VALUE"""),68.0)</f>
        <v>68</v>
      </c>
      <c r="F5920" s="19" t="str">
        <f>IFERROR(__xludf.DUMMYFUNCTION("""COMPUTED_VALUE"""),"BLACK")</f>
        <v>BLACK</v>
      </c>
      <c r="G5920" s="20" t="str">
        <f>IFERROR(__xludf.DUMMYFUNCTION("""COMPUTED_VALUE"""),"Uncle Sams Cider (04/04/2023)")</f>
        <v>Uncle Sams Cider (04/04/2023)</v>
      </c>
      <c r="H5920" s="19"/>
    </row>
    <row r="5921">
      <c r="A5921" s="9"/>
      <c r="B5921" s="15"/>
      <c r="C5921" s="9">
        <f>IFERROR(__xludf.DUMMYFUNCTION("""COMPUTED_VALUE"""),45082.5311868865)</f>
        <v>45082.53119</v>
      </c>
      <c r="D5921" s="15">
        <f>IFERROR(__xludf.DUMMYFUNCTION("""COMPUTED_VALUE"""),1.008)</f>
        <v>1.008</v>
      </c>
      <c r="E5921" s="16">
        <f>IFERROR(__xludf.DUMMYFUNCTION("""COMPUTED_VALUE"""),68.0)</f>
        <v>68</v>
      </c>
      <c r="F5921" s="19" t="str">
        <f>IFERROR(__xludf.DUMMYFUNCTION("""COMPUTED_VALUE"""),"BLACK")</f>
        <v>BLACK</v>
      </c>
      <c r="G5921" s="20" t="str">
        <f>IFERROR(__xludf.DUMMYFUNCTION("""COMPUTED_VALUE"""),"Uncle Sams Cider (04/04/2023)")</f>
        <v>Uncle Sams Cider (04/04/2023)</v>
      </c>
      <c r="H5921" s="19"/>
    </row>
    <row r="5922">
      <c r="A5922" s="9"/>
      <c r="B5922" s="15"/>
      <c r="C5922" s="9">
        <f>IFERROR(__xludf.DUMMYFUNCTION("""COMPUTED_VALUE"""),45082.520753912)</f>
        <v>45082.52075</v>
      </c>
      <c r="D5922" s="15">
        <f>IFERROR(__xludf.DUMMYFUNCTION("""COMPUTED_VALUE"""),1.008)</f>
        <v>1.008</v>
      </c>
      <c r="E5922" s="16">
        <f>IFERROR(__xludf.DUMMYFUNCTION("""COMPUTED_VALUE"""),68.0)</f>
        <v>68</v>
      </c>
      <c r="F5922" s="19" t="str">
        <f>IFERROR(__xludf.DUMMYFUNCTION("""COMPUTED_VALUE"""),"BLACK")</f>
        <v>BLACK</v>
      </c>
      <c r="G5922" s="20" t="str">
        <f>IFERROR(__xludf.DUMMYFUNCTION("""COMPUTED_VALUE"""),"Uncle Sams Cider (04/04/2023)")</f>
        <v>Uncle Sams Cider (04/04/2023)</v>
      </c>
      <c r="H5922" s="19"/>
    </row>
    <row r="5923">
      <c r="A5923" s="9"/>
      <c r="B5923" s="15"/>
      <c r="C5923" s="9">
        <f>IFERROR(__xludf.DUMMYFUNCTION("""COMPUTED_VALUE"""),45082.5103346296)</f>
        <v>45082.51033</v>
      </c>
      <c r="D5923" s="15">
        <f>IFERROR(__xludf.DUMMYFUNCTION("""COMPUTED_VALUE"""),1.008)</f>
        <v>1.008</v>
      </c>
      <c r="E5923" s="16">
        <f>IFERROR(__xludf.DUMMYFUNCTION("""COMPUTED_VALUE"""),68.0)</f>
        <v>68</v>
      </c>
      <c r="F5923" s="19" t="str">
        <f>IFERROR(__xludf.DUMMYFUNCTION("""COMPUTED_VALUE"""),"BLACK")</f>
        <v>BLACK</v>
      </c>
      <c r="G5923" s="20" t="str">
        <f>IFERROR(__xludf.DUMMYFUNCTION("""COMPUTED_VALUE"""),"Uncle Sams Cider (04/04/2023)")</f>
        <v>Uncle Sams Cider (04/04/2023)</v>
      </c>
      <c r="H5923" s="19"/>
    </row>
    <row r="5924">
      <c r="A5924" s="9"/>
      <c r="B5924" s="15"/>
      <c r="C5924" s="9">
        <f>IFERROR(__xludf.DUMMYFUNCTION("""COMPUTED_VALUE"""),45082.4998888657)</f>
        <v>45082.49989</v>
      </c>
      <c r="D5924" s="15">
        <f>IFERROR(__xludf.DUMMYFUNCTION("""COMPUTED_VALUE"""),1.008)</f>
        <v>1.008</v>
      </c>
      <c r="E5924" s="16">
        <f>IFERROR(__xludf.DUMMYFUNCTION("""COMPUTED_VALUE"""),68.0)</f>
        <v>68</v>
      </c>
      <c r="F5924" s="19" t="str">
        <f>IFERROR(__xludf.DUMMYFUNCTION("""COMPUTED_VALUE"""),"BLACK")</f>
        <v>BLACK</v>
      </c>
      <c r="G5924" s="20" t="str">
        <f>IFERROR(__xludf.DUMMYFUNCTION("""COMPUTED_VALUE"""),"Uncle Sams Cider (04/04/2023)")</f>
        <v>Uncle Sams Cider (04/04/2023)</v>
      </c>
      <c r="H5924" s="19"/>
    </row>
    <row r="5925">
      <c r="A5925" s="9"/>
      <c r="B5925" s="15"/>
      <c r="C5925" s="9">
        <f>IFERROR(__xludf.DUMMYFUNCTION("""COMPUTED_VALUE"""),45082.4894679051)</f>
        <v>45082.48947</v>
      </c>
      <c r="D5925" s="15">
        <f>IFERROR(__xludf.DUMMYFUNCTION("""COMPUTED_VALUE"""),1.008)</f>
        <v>1.008</v>
      </c>
      <c r="E5925" s="16">
        <f>IFERROR(__xludf.DUMMYFUNCTION("""COMPUTED_VALUE"""),68.0)</f>
        <v>68</v>
      </c>
      <c r="F5925" s="19" t="str">
        <f>IFERROR(__xludf.DUMMYFUNCTION("""COMPUTED_VALUE"""),"BLACK")</f>
        <v>BLACK</v>
      </c>
      <c r="G5925" s="20" t="str">
        <f>IFERROR(__xludf.DUMMYFUNCTION("""COMPUTED_VALUE"""),"Uncle Sams Cider (04/04/2023)")</f>
        <v>Uncle Sams Cider (04/04/2023)</v>
      </c>
      <c r="H5925" s="19"/>
    </row>
    <row r="5926">
      <c r="A5926" s="9"/>
      <c r="B5926" s="15"/>
      <c r="C5926" s="9">
        <f>IFERROR(__xludf.DUMMYFUNCTION("""COMPUTED_VALUE"""),45082.4790451388)</f>
        <v>45082.47905</v>
      </c>
      <c r="D5926" s="15">
        <f>IFERROR(__xludf.DUMMYFUNCTION("""COMPUTED_VALUE"""),1.008)</f>
        <v>1.008</v>
      </c>
      <c r="E5926" s="16">
        <f>IFERROR(__xludf.DUMMYFUNCTION("""COMPUTED_VALUE"""),68.0)</f>
        <v>68</v>
      </c>
      <c r="F5926" s="19" t="str">
        <f>IFERROR(__xludf.DUMMYFUNCTION("""COMPUTED_VALUE"""),"BLACK")</f>
        <v>BLACK</v>
      </c>
      <c r="G5926" s="20" t="str">
        <f>IFERROR(__xludf.DUMMYFUNCTION("""COMPUTED_VALUE"""),"Uncle Sams Cider (04/04/2023)")</f>
        <v>Uncle Sams Cider (04/04/2023)</v>
      </c>
      <c r="H5926" s="19"/>
    </row>
    <row r="5927">
      <c r="A5927" s="9"/>
      <c r="B5927" s="15"/>
      <c r="C5927" s="9">
        <f>IFERROR(__xludf.DUMMYFUNCTION("""COMPUTED_VALUE"""),45082.4686235416)</f>
        <v>45082.46862</v>
      </c>
      <c r="D5927" s="15">
        <f>IFERROR(__xludf.DUMMYFUNCTION("""COMPUTED_VALUE"""),1.008)</f>
        <v>1.008</v>
      </c>
      <c r="E5927" s="16">
        <f>IFERROR(__xludf.DUMMYFUNCTION("""COMPUTED_VALUE"""),68.0)</f>
        <v>68</v>
      </c>
      <c r="F5927" s="19" t="str">
        <f>IFERROR(__xludf.DUMMYFUNCTION("""COMPUTED_VALUE"""),"BLACK")</f>
        <v>BLACK</v>
      </c>
      <c r="G5927" s="20" t="str">
        <f>IFERROR(__xludf.DUMMYFUNCTION("""COMPUTED_VALUE"""),"Uncle Sams Cider (04/04/2023)")</f>
        <v>Uncle Sams Cider (04/04/2023)</v>
      </c>
      <c r="H5927" s="19"/>
    </row>
    <row r="5928">
      <c r="A5928" s="9"/>
      <c r="B5928" s="15"/>
      <c r="C5928" s="9">
        <f>IFERROR(__xludf.DUMMYFUNCTION("""COMPUTED_VALUE"""),45082.4582015625)</f>
        <v>45082.4582</v>
      </c>
      <c r="D5928" s="15">
        <f>IFERROR(__xludf.DUMMYFUNCTION("""COMPUTED_VALUE"""),1.008)</f>
        <v>1.008</v>
      </c>
      <c r="E5928" s="16">
        <f>IFERROR(__xludf.DUMMYFUNCTION("""COMPUTED_VALUE"""),68.0)</f>
        <v>68</v>
      </c>
      <c r="F5928" s="19" t="str">
        <f>IFERROR(__xludf.DUMMYFUNCTION("""COMPUTED_VALUE"""),"BLACK")</f>
        <v>BLACK</v>
      </c>
      <c r="G5928" s="20" t="str">
        <f>IFERROR(__xludf.DUMMYFUNCTION("""COMPUTED_VALUE"""),"Uncle Sams Cider (04/04/2023)")</f>
        <v>Uncle Sams Cider (04/04/2023)</v>
      </c>
      <c r="H5928" s="19"/>
    </row>
    <row r="5929">
      <c r="A5929" s="9"/>
      <c r="B5929" s="15"/>
      <c r="C5929" s="9">
        <f>IFERROR(__xludf.DUMMYFUNCTION("""COMPUTED_VALUE"""),45082.4477686111)</f>
        <v>45082.44777</v>
      </c>
      <c r="D5929" s="15">
        <f>IFERROR(__xludf.DUMMYFUNCTION("""COMPUTED_VALUE"""),1.008)</f>
        <v>1.008</v>
      </c>
      <c r="E5929" s="16">
        <f>IFERROR(__xludf.DUMMYFUNCTION("""COMPUTED_VALUE"""),68.0)</f>
        <v>68</v>
      </c>
      <c r="F5929" s="19" t="str">
        <f>IFERROR(__xludf.DUMMYFUNCTION("""COMPUTED_VALUE"""),"BLACK")</f>
        <v>BLACK</v>
      </c>
      <c r="G5929" s="20" t="str">
        <f>IFERROR(__xludf.DUMMYFUNCTION("""COMPUTED_VALUE"""),"Uncle Sams Cider (04/04/2023)")</f>
        <v>Uncle Sams Cider (04/04/2023)</v>
      </c>
      <c r="H5929" s="19"/>
    </row>
    <row r="5930">
      <c r="A5930" s="9"/>
      <c r="B5930" s="15"/>
      <c r="C5930" s="9">
        <f>IFERROR(__xludf.DUMMYFUNCTION("""COMPUTED_VALUE"""),45082.437348206)</f>
        <v>45082.43735</v>
      </c>
      <c r="D5930" s="15">
        <f>IFERROR(__xludf.DUMMYFUNCTION("""COMPUTED_VALUE"""),1.008)</f>
        <v>1.008</v>
      </c>
      <c r="E5930" s="16">
        <f>IFERROR(__xludf.DUMMYFUNCTION("""COMPUTED_VALUE"""),68.0)</f>
        <v>68</v>
      </c>
      <c r="F5930" s="19" t="str">
        <f>IFERROR(__xludf.DUMMYFUNCTION("""COMPUTED_VALUE"""),"BLACK")</f>
        <v>BLACK</v>
      </c>
      <c r="G5930" s="20" t="str">
        <f>IFERROR(__xludf.DUMMYFUNCTION("""COMPUTED_VALUE"""),"Uncle Sams Cider (04/04/2023)")</f>
        <v>Uncle Sams Cider (04/04/2023)</v>
      </c>
      <c r="H5930" s="19"/>
    </row>
    <row r="5931">
      <c r="A5931" s="9"/>
      <c r="B5931" s="15"/>
      <c r="C5931" s="9">
        <f>IFERROR(__xludf.DUMMYFUNCTION("""COMPUTED_VALUE"""),45082.4269260648)</f>
        <v>45082.42693</v>
      </c>
      <c r="D5931" s="15">
        <f>IFERROR(__xludf.DUMMYFUNCTION("""COMPUTED_VALUE"""),1.008)</f>
        <v>1.008</v>
      </c>
      <c r="E5931" s="16">
        <f>IFERROR(__xludf.DUMMYFUNCTION("""COMPUTED_VALUE"""),68.0)</f>
        <v>68</v>
      </c>
      <c r="F5931" s="19" t="str">
        <f>IFERROR(__xludf.DUMMYFUNCTION("""COMPUTED_VALUE"""),"BLACK")</f>
        <v>BLACK</v>
      </c>
      <c r="G5931" s="20" t="str">
        <f>IFERROR(__xludf.DUMMYFUNCTION("""COMPUTED_VALUE"""),"Uncle Sams Cider (04/04/2023)")</f>
        <v>Uncle Sams Cider (04/04/2023)</v>
      </c>
      <c r="H5931" s="19"/>
    </row>
    <row r="5932">
      <c r="A5932" s="9"/>
      <c r="B5932" s="15"/>
      <c r="C5932" s="9">
        <f>IFERROR(__xludf.DUMMYFUNCTION("""COMPUTED_VALUE"""),45082.4165058449)</f>
        <v>45082.41651</v>
      </c>
      <c r="D5932" s="15">
        <f>IFERROR(__xludf.DUMMYFUNCTION("""COMPUTED_VALUE"""),1.008)</f>
        <v>1.008</v>
      </c>
      <c r="E5932" s="16">
        <f>IFERROR(__xludf.DUMMYFUNCTION("""COMPUTED_VALUE"""),68.0)</f>
        <v>68</v>
      </c>
      <c r="F5932" s="19" t="str">
        <f>IFERROR(__xludf.DUMMYFUNCTION("""COMPUTED_VALUE"""),"BLACK")</f>
        <v>BLACK</v>
      </c>
      <c r="G5932" s="20" t="str">
        <f>IFERROR(__xludf.DUMMYFUNCTION("""COMPUTED_VALUE"""),"Uncle Sams Cider (04/04/2023)")</f>
        <v>Uncle Sams Cider (04/04/2023)</v>
      </c>
      <c r="H5932" s="19"/>
    </row>
    <row r="5933">
      <c r="A5933" s="9"/>
      <c r="B5933" s="15"/>
      <c r="C5933" s="9">
        <f>IFERROR(__xludf.DUMMYFUNCTION("""COMPUTED_VALUE"""),45082.4060858101)</f>
        <v>45082.40609</v>
      </c>
      <c r="D5933" s="15">
        <f>IFERROR(__xludf.DUMMYFUNCTION("""COMPUTED_VALUE"""),1.008)</f>
        <v>1.008</v>
      </c>
      <c r="E5933" s="16">
        <f>IFERROR(__xludf.DUMMYFUNCTION("""COMPUTED_VALUE"""),68.0)</f>
        <v>68</v>
      </c>
      <c r="F5933" s="19" t="str">
        <f>IFERROR(__xludf.DUMMYFUNCTION("""COMPUTED_VALUE"""),"BLACK")</f>
        <v>BLACK</v>
      </c>
      <c r="G5933" s="20" t="str">
        <f>IFERROR(__xludf.DUMMYFUNCTION("""COMPUTED_VALUE"""),"Uncle Sams Cider (04/04/2023)")</f>
        <v>Uncle Sams Cider (04/04/2023)</v>
      </c>
      <c r="H5933" s="19"/>
    </row>
    <row r="5934">
      <c r="A5934" s="9"/>
      <c r="B5934" s="15"/>
      <c r="C5934" s="9">
        <f>IFERROR(__xludf.DUMMYFUNCTION("""COMPUTED_VALUE"""),45082.3956533912)</f>
        <v>45082.39565</v>
      </c>
      <c r="D5934" s="15">
        <f>IFERROR(__xludf.DUMMYFUNCTION("""COMPUTED_VALUE"""),1.008)</f>
        <v>1.008</v>
      </c>
      <c r="E5934" s="16">
        <f>IFERROR(__xludf.DUMMYFUNCTION("""COMPUTED_VALUE"""),68.0)</f>
        <v>68</v>
      </c>
      <c r="F5934" s="19" t="str">
        <f>IFERROR(__xludf.DUMMYFUNCTION("""COMPUTED_VALUE"""),"BLACK")</f>
        <v>BLACK</v>
      </c>
      <c r="G5934" s="20" t="str">
        <f>IFERROR(__xludf.DUMMYFUNCTION("""COMPUTED_VALUE"""),"Uncle Sams Cider (04/04/2023)")</f>
        <v>Uncle Sams Cider (04/04/2023)</v>
      </c>
      <c r="H5934" s="19"/>
    </row>
    <row r="5935">
      <c r="A5935" s="9"/>
      <c r="B5935" s="15"/>
      <c r="C5935" s="9">
        <f>IFERROR(__xludf.DUMMYFUNCTION("""COMPUTED_VALUE"""),45082.3852216319)</f>
        <v>45082.38522</v>
      </c>
      <c r="D5935" s="15">
        <f>IFERROR(__xludf.DUMMYFUNCTION("""COMPUTED_VALUE"""),1.008)</f>
        <v>1.008</v>
      </c>
      <c r="E5935" s="16">
        <f>IFERROR(__xludf.DUMMYFUNCTION("""COMPUTED_VALUE"""),68.0)</f>
        <v>68</v>
      </c>
      <c r="F5935" s="19" t="str">
        <f>IFERROR(__xludf.DUMMYFUNCTION("""COMPUTED_VALUE"""),"BLACK")</f>
        <v>BLACK</v>
      </c>
      <c r="G5935" s="20" t="str">
        <f>IFERROR(__xludf.DUMMYFUNCTION("""COMPUTED_VALUE"""),"Uncle Sams Cider (04/04/2023)")</f>
        <v>Uncle Sams Cider (04/04/2023)</v>
      </c>
      <c r="H5935" s="19"/>
    </row>
    <row r="5936">
      <c r="A5936" s="9"/>
      <c r="B5936" s="15"/>
      <c r="C5936" s="9">
        <f>IFERROR(__xludf.DUMMYFUNCTION("""COMPUTED_VALUE"""),45082.3747897106)</f>
        <v>45082.37479</v>
      </c>
      <c r="D5936" s="15">
        <f>IFERROR(__xludf.DUMMYFUNCTION("""COMPUTED_VALUE"""),1.008)</f>
        <v>1.008</v>
      </c>
      <c r="E5936" s="16">
        <f>IFERROR(__xludf.DUMMYFUNCTION("""COMPUTED_VALUE"""),68.0)</f>
        <v>68</v>
      </c>
      <c r="F5936" s="19" t="str">
        <f>IFERROR(__xludf.DUMMYFUNCTION("""COMPUTED_VALUE"""),"BLACK")</f>
        <v>BLACK</v>
      </c>
      <c r="G5936" s="20" t="str">
        <f>IFERROR(__xludf.DUMMYFUNCTION("""COMPUTED_VALUE"""),"Uncle Sams Cider (04/04/2023)")</f>
        <v>Uncle Sams Cider (04/04/2023)</v>
      </c>
      <c r="H5936" s="19"/>
    </row>
    <row r="5937">
      <c r="A5937" s="9"/>
      <c r="B5937" s="15"/>
      <c r="C5937" s="9">
        <f>IFERROR(__xludf.DUMMYFUNCTION("""COMPUTED_VALUE"""),45082.3643681944)</f>
        <v>45082.36437</v>
      </c>
      <c r="D5937" s="15">
        <f>IFERROR(__xludf.DUMMYFUNCTION("""COMPUTED_VALUE"""),1.008)</f>
        <v>1.008</v>
      </c>
      <c r="E5937" s="16">
        <f>IFERROR(__xludf.DUMMYFUNCTION("""COMPUTED_VALUE"""),68.0)</f>
        <v>68</v>
      </c>
      <c r="F5937" s="19" t="str">
        <f>IFERROR(__xludf.DUMMYFUNCTION("""COMPUTED_VALUE"""),"BLACK")</f>
        <v>BLACK</v>
      </c>
      <c r="G5937" s="20" t="str">
        <f>IFERROR(__xludf.DUMMYFUNCTION("""COMPUTED_VALUE"""),"Uncle Sams Cider (04/04/2023)")</f>
        <v>Uncle Sams Cider (04/04/2023)</v>
      </c>
      <c r="H5937" s="19"/>
    </row>
    <row r="5938">
      <c r="A5938" s="9"/>
      <c r="B5938" s="15"/>
      <c r="C5938" s="9">
        <f>IFERROR(__xludf.DUMMYFUNCTION("""COMPUTED_VALUE"""),45082.3539479629)</f>
        <v>45082.35395</v>
      </c>
      <c r="D5938" s="15">
        <f>IFERROR(__xludf.DUMMYFUNCTION("""COMPUTED_VALUE"""),1.008)</f>
        <v>1.008</v>
      </c>
      <c r="E5938" s="16">
        <f>IFERROR(__xludf.DUMMYFUNCTION("""COMPUTED_VALUE"""),68.0)</f>
        <v>68</v>
      </c>
      <c r="F5938" s="19" t="str">
        <f>IFERROR(__xludf.DUMMYFUNCTION("""COMPUTED_VALUE"""),"BLACK")</f>
        <v>BLACK</v>
      </c>
      <c r="G5938" s="20" t="str">
        <f>IFERROR(__xludf.DUMMYFUNCTION("""COMPUTED_VALUE"""),"Uncle Sams Cider (04/04/2023)")</f>
        <v>Uncle Sams Cider (04/04/2023)</v>
      </c>
      <c r="H5938" s="19"/>
    </row>
    <row r="5939">
      <c r="A5939" s="9"/>
      <c r="B5939" s="15"/>
      <c r="C5939" s="9">
        <f>IFERROR(__xludf.DUMMYFUNCTION("""COMPUTED_VALUE"""),45082.3435245833)</f>
        <v>45082.34352</v>
      </c>
      <c r="D5939" s="15">
        <f>IFERROR(__xludf.DUMMYFUNCTION("""COMPUTED_VALUE"""),1.008)</f>
        <v>1.008</v>
      </c>
      <c r="E5939" s="16">
        <f>IFERROR(__xludf.DUMMYFUNCTION("""COMPUTED_VALUE"""),68.0)</f>
        <v>68</v>
      </c>
      <c r="F5939" s="19" t="str">
        <f>IFERROR(__xludf.DUMMYFUNCTION("""COMPUTED_VALUE"""),"BLACK")</f>
        <v>BLACK</v>
      </c>
      <c r="G5939" s="20" t="str">
        <f>IFERROR(__xludf.DUMMYFUNCTION("""COMPUTED_VALUE"""),"Uncle Sams Cider (04/04/2023)")</f>
        <v>Uncle Sams Cider (04/04/2023)</v>
      </c>
      <c r="H5939" s="19"/>
    </row>
    <row r="5940">
      <c r="A5940" s="9"/>
      <c r="B5940" s="15"/>
      <c r="C5940" s="9">
        <f>IFERROR(__xludf.DUMMYFUNCTION("""COMPUTED_VALUE"""),45082.3331032986)</f>
        <v>45082.3331</v>
      </c>
      <c r="D5940" s="15">
        <f>IFERROR(__xludf.DUMMYFUNCTION("""COMPUTED_VALUE"""),1.008)</f>
        <v>1.008</v>
      </c>
      <c r="E5940" s="16">
        <f>IFERROR(__xludf.DUMMYFUNCTION("""COMPUTED_VALUE"""),68.0)</f>
        <v>68</v>
      </c>
      <c r="F5940" s="19" t="str">
        <f>IFERROR(__xludf.DUMMYFUNCTION("""COMPUTED_VALUE"""),"BLACK")</f>
        <v>BLACK</v>
      </c>
      <c r="G5940" s="20" t="str">
        <f>IFERROR(__xludf.DUMMYFUNCTION("""COMPUTED_VALUE"""),"Uncle Sams Cider (04/04/2023)")</f>
        <v>Uncle Sams Cider (04/04/2023)</v>
      </c>
      <c r="H5940" s="19"/>
    </row>
    <row r="5941">
      <c r="A5941" s="9"/>
      <c r="B5941" s="15"/>
      <c r="C5941" s="9">
        <f>IFERROR(__xludf.DUMMYFUNCTION("""COMPUTED_VALUE"""),45082.3226706018)</f>
        <v>45082.32267</v>
      </c>
      <c r="D5941" s="15">
        <f>IFERROR(__xludf.DUMMYFUNCTION("""COMPUTED_VALUE"""),1.008)</f>
        <v>1.008</v>
      </c>
      <c r="E5941" s="16">
        <f>IFERROR(__xludf.DUMMYFUNCTION("""COMPUTED_VALUE"""),68.0)</f>
        <v>68</v>
      </c>
      <c r="F5941" s="19" t="str">
        <f>IFERROR(__xludf.DUMMYFUNCTION("""COMPUTED_VALUE"""),"BLACK")</f>
        <v>BLACK</v>
      </c>
      <c r="G5941" s="20" t="str">
        <f>IFERROR(__xludf.DUMMYFUNCTION("""COMPUTED_VALUE"""),"Uncle Sams Cider (04/04/2023)")</f>
        <v>Uncle Sams Cider (04/04/2023)</v>
      </c>
      <c r="H5941" s="19"/>
    </row>
    <row r="5942">
      <c r="A5942" s="9"/>
      <c r="B5942" s="15"/>
      <c r="C5942" s="9">
        <f>IFERROR(__xludf.DUMMYFUNCTION("""COMPUTED_VALUE"""),45082.3122500231)</f>
        <v>45082.31225</v>
      </c>
      <c r="D5942" s="15">
        <f>IFERROR(__xludf.DUMMYFUNCTION("""COMPUTED_VALUE"""),1.008)</f>
        <v>1.008</v>
      </c>
      <c r="E5942" s="16">
        <f>IFERROR(__xludf.DUMMYFUNCTION("""COMPUTED_VALUE"""),68.0)</f>
        <v>68</v>
      </c>
      <c r="F5942" s="19" t="str">
        <f>IFERROR(__xludf.DUMMYFUNCTION("""COMPUTED_VALUE"""),"BLACK")</f>
        <v>BLACK</v>
      </c>
      <c r="G5942" s="20" t="str">
        <f>IFERROR(__xludf.DUMMYFUNCTION("""COMPUTED_VALUE"""),"Uncle Sams Cider (04/04/2023)")</f>
        <v>Uncle Sams Cider (04/04/2023)</v>
      </c>
      <c r="H5942" s="19"/>
    </row>
    <row r="5943">
      <c r="A5943" s="9"/>
      <c r="B5943" s="15"/>
      <c r="C5943" s="9">
        <f>IFERROR(__xludf.DUMMYFUNCTION("""COMPUTED_VALUE"""),45082.3018173958)</f>
        <v>45082.30182</v>
      </c>
      <c r="D5943" s="15">
        <f>IFERROR(__xludf.DUMMYFUNCTION("""COMPUTED_VALUE"""),1.008)</f>
        <v>1.008</v>
      </c>
      <c r="E5943" s="16">
        <f>IFERROR(__xludf.DUMMYFUNCTION("""COMPUTED_VALUE"""),68.0)</f>
        <v>68</v>
      </c>
      <c r="F5943" s="19" t="str">
        <f>IFERROR(__xludf.DUMMYFUNCTION("""COMPUTED_VALUE"""),"BLACK")</f>
        <v>BLACK</v>
      </c>
      <c r="G5943" s="20" t="str">
        <f>IFERROR(__xludf.DUMMYFUNCTION("""COMPUTED_VALUE"""),"Uncle Sams Cider (04/04/2023)")</f>
        <v>Uncle Sams Cider (04/04/2023)</v>
      </c>
      <c r="H5943" s="19"/>
    </row>
    <row r="5944">
      <c r="A5944" s="9"/>
      <c r="B5944" s="15"/>
      <c r="C5944" s="9">
        <f>IFERROR(__xludf.DUMMYFUNCTION("""COMPUTED_VALUE"""),45082.2913956828)</f>
        <v>45082.2914</v>
      </c>
      <c r="D5944" s="15">
        <f>IFERROR(__xludf.DUMMYFUNCTION("""COMPUTED_VALUE"""),1.008)</f>
        <v>1.008</v>
      </c>
      <c r="E5944" s="16">
        <f>IFERROR(__xludf.DUMMYFUNCTION("""COMPUTED_VALUE"""),68.0)</f>
        <v>68</v>
      </c>
      <c r="F5944" s="19" t="str">
        <f>IFERROR(__xludf.DUMMYFUNCTION("""COMPUTED_VALUE"""),"BLACK")</f>
        <v>BLACK</v>
      </c>
      <c r="G5944" s="20" t="str">
        <f>IFERROR(__xludf.DUMMYFUNCTION("""COMPUTED_VALUE"""),"Uncle Sams Cider (04/04/2023)")</f>
        <v>Uncle Sams Cider (04/04/2023)</v>
      </c>
      <c r="H5944" s="19"/>
    </row>
    <row r="5945">
      <c r="A5945" s="9"/>
      <c r="B5945" s="15"/>
      <c r="C5945" s="9">
        <f>IFERROR(__xludf.DUMMYFUNCTION("""COMPUTED_VALUE"""),45082.2809626851)</f>
        <v>45082.28096</v>
      </c>
      <c r="D5945" s="15">
        <f>IFERROR(__xludf.DUMMYFUNCTION("""COMPUTED_VALUE"""),1.008)</f>
        <v>1.008</v>
      </c>
      <c r="E5945" s="16">
        <f>IFERROR(__xludf.DUMMYFUNCTION("""COMPUTED_VALUE"""),68.0)</f>
        <v>68</v>
      </c>
      <c r="F5945" s="19" t="str">
        <f>IFERROR(__xludf.DUMMYFUNCTION("""COMPUTED_VALUE"""),"BLACK")</f>
        <v>BLACK</v>
      </c>
      <c r="G5945" s="20" t="str">
        <f>IFERROR(__xludf.DUMMYFUNCTION("""COMPUTED_VALUE"""),"Uncle Sams Cider (04/04/2023)")</f>
        <v>Uncle Sams Cider (04/04/2023)</v>
      </c>
      <c r="H5945" s="19"/>
    </row>
    <row r="5946">
      <c r="A5946" s="9"/>
      <c r="B5946" s="15"/>
      <c r="C5946" s="9">
        <f>IFERROR(__xludf.DUMMYFUNCTION("""COMPUTED_VALUE"""),45082.2705433217)</f>
        <v>45082.27054</v>
      </c>
      <c r="D5946" s="15">
        <f>IFERROR(__xludf.DUMMYFUNCTION("""COMPUTED_VALUE"""),1.008)</f>
        <v>1.008</v>
      </c>
      <c r="E5946" s="16">
        <f>IFERROR(__xludf.DUMMYFUNCTION("""COMPUTED_VALUE"""),68.0)</f>
        <v>68</v>
      </c>
      <c r="F5946" s="19" t="str">
        <f>IFERROR(__xludf.DUMMYFUNCTION("""COMPUTED_VALUE"""),"BLACK")</f>
        <v>BLACK</v>
      </c>
      <c r="G5946" s="20" t="str">
        <f>IFERROR(__xludf.DUMMYFUNCTION("""COMPUTED_VALUE"""),"Uncle Sams Cider (04/04/2023)")</f>
        <v>Uncle Sams Cider (04/04/2023)</v>
      </c>
      <c r="H5946" s="19"/>
    </row>
    <row r="5947">
      <c r="A5947" s="9"/>
      <c r="B5947" s="15"/>
      <c r="C5947" s="9">
        <f>IFERROR(__xludf.DUMMYFUNCTION("""COMPUTED_VALUE"""),45082.2601211458)</f>
        <v>45082.26012</v>
      </c>
      <c r="D5947" s="15">
        <f>IFERROR(__xludf.DUMMYFUNCTION("""COMPUTED_VALUE"""),1.008)</f>
        <v>1.008</v>
      </c>
      <c r="E5947" s="16">
        <f>IFERROR(__xludf.DUMMYFUNCTION("""COMPUTED_VALUE"""),68.0)</f>
        <v>68</v>
      </c>
      <c r="F5947" s="19" t="str">
        <f>IFERROR(__xludf.DUMMYFUNCTION("""COMPUTED_VALUE"""),"BLACK")</f>
        <v>BLACK</v>
      </c>
      <c r="G5947" s="20" t="str">
        <f>IFERROR(__xludf.DUMMYFUNCTION("""COMPUTED_VALUE"""),"Uncle Sams Cider (04/04/2023)")</f>
        <v>Uncle Sams Cider (04/04/2023)</v>
      </c>
      <c r="H5947" s="19"/>
    </row>
    <row r="5948">
      <c r="A5948" s="9"/>
      <c r="B5948" s="15"/>
      <c r="C5948" s="9">
        <f>IFERROR(__xludf.DUMMYFUNCTION("""COMPUTED_VALUE"""),45082.2496892129)</f>
        <v>45082.24969</v>
      </c>
      <c r="D5948" s="15">
        <f>IFERROR(__xludf.DUMMYFUNCTION("""COMPUTED_VALUE"""),1.008)</f>
        <v>1.008</v>
      </c>
      <c r="E5948" s="16">
        <f>IFERROR(__xludf.DUMMYFUNCTION("""COMPUTED_VALUE"""),68.0)</f>
        <v>68</v>
      </c>
      <c r="F5948" s="19" t="str">
        <f>IFERROR(__xludf.DUMMYFUNCTION("""COMPUTED_VALUE"""),"BLACK")</f>
        <v>BLACK</v>
      </c>
      <c r="G5948" s="20" t="str">
        <f>IFERROR(__xludf.DUMMYFUNCTION("""COMPUTED_VALUE"""),"Uncle Sams Cider (04/04/2023)")</f>
        <v>Uncle Sams Cider (04/04/2023)</v>
      </c>
      <c r="H5948" s="19"/>
    </row>
    <row r="5949">
      <c r="A5949" s="9"/>
      <c r="B5949" s="15"/>
      <c r="C5949" s="9">
        <f>IFERROR(__xludf.DUMMYFUNCTION("""COMPUTED_VALUE"""),45082.2392667824)</f>
        <v>45082.23927</v>
      </c>
      <c r="D5949" s="15">
        <f>IFERROR(__xludf.DUMMYFUNCTION("""COMPUTED_VALUE"""),1.008)</f>
        <v>1.008</v>
      </c>
      <c r="E5949" s="16">
        <f>IFERROR(__xludf.DUMMYFUNCTION("""COMPUTED_VALUE"""),68.0)</f>
        <v>68</v>
      </c>
      <c r="F5949" s="19" t="str">
        <f>IFERROR(__xludf.DUMMYFUNCTION("""COMPUTED_VALUE"""),"BLACK")</f>
        <v>BLACK</v>
      </c>
      <c r="G5949" s="20" t="str">
        <f>IFERROR(__xludf.DUMMYFUNCTION("""COMPUTED_VALUE"""),"Uncle Sams Cider (04/04/2023)")</f>
        <v>Uncle Sams Cider (04/04/2023)</v>
      </c>
      <c r="H5949" s="19"/>
    </row>
    <row r="5950">
      <c r="A5950" s="9"/>
      <c r="B5950" s="15"/>
      <c r="C5950" s="9">
        <f>IFERROR(__xludf.DUMMYFUNCTION("""COMPUTED_VALUE"""),45082.2288453125)</f>
        <v>45082.22885</v>
      </c>
      <c r="D5950" s="15">
        <f>IFERROR(__xludf.DUMMYFUNCTION("""COMPUTED_VALUE"""),1.008)</f>
        <v>1.008</v>
      </c>
      <c r="E5950" s="16">
        <f>IFERROR(__xludf.DUMMYFUNCTION("""COMPUTED_VALUE"""),68.0)</f>
        <v>68</v>
      </c>
      <c r="F5950" s="19" t="str">
        <f>IFERROR(__xludf.DUMMYFUNCTION("""COMPUTED_VALUE"""),"BLACK")</f>
        <v>BLACK</v>
      </c>
      <c r="G5950" s="20" t="str">
        <f>IFERROR(__xludf.DUMMYFUNCTION("""COMPUTED_VALUE"""),"Uncle Sams Cider (04/04/2023)")</f>
        <v>Uncle Sams Cider (04/04/2023)</v>
      </c>
      <c r="H5950" s="19"/>
    </row>
    <row r="5951">
      <c r="A5951" s="9"/>
      <c r="B5951" s="15"/>
      <c r="C5951" s="9">
        <f>IFERROR(__xludf.DUMMYFUNCTION("""COMPUTED_VALUE"""),45082.2184241782)</f>
        <v>45082.21842</v>
      </c>
      <c r="D5951" s="15">
        <f>IFERROR(__xludf.DUMMYFUNCTION("""COMPUTED_VALUE"""),1.008)</f>
        <v>1.008</v>
      </c>
      <c r="E5951" s="16">
        <f>IFERROR(__xludf.DUMMYFUNCTION("""COMPUTED_VALUE"""),68.0)</f>
        <v>68</v>
      </c>
      <c r="F5951" s="19" t="str">
        <f>IFERROR(__xludf.DUMMYFUNCTION("""COMPUTED_VALUE"""),"BLACK")</f>
        <v>BLACK</v>
      </c>
      <c r="G5951" s="20" t="str">
        <f>IFERROR(__xludf.DUMMYFUNCTION("""COMPUTED_VALUE"""),"Uncle Sams Cider (04/04/2023)")</f>
        <v>Uncle Sams Cider (04/04/2023)</v>
      </c>
      <c r="H5951" s="19"/>
    </row>
    <row r="5952">
      <c r="A5952" s="9"/>
      <c r="B5952" s="15"/>
      <c r="C5952" s="9">
        <f>IFERROR(__xludf.DUMMYFUNCTION("""COMPUTED_VALUE"""),45082.2079923726)</f>
        <v>45082.20799</v>
      </c>
      <c r="D5952" s="15">
        <f>IFERROR(__xludf.DUMMYFUNCTION("""COMPUTED_VALUE"""),1.008)</f>
        <v>1.008</v>
      </c>
      <c r="E5952" s="16">
        <f>IFERROR(__xludf.DUMMYFUNCTION("""COMPUTED_VALUE"""),68.0)</f>
        <v>68</v>
      </c>
      <c r="F5952" s="19" t="str">
        <f>IFERROR(__xludf.DUMMYFUNCTION("""COMPUTED_VALUE"""),"BLACK")</f>
        <v>BLACK</v>
      </c>
      <c r="G5952" s="20" t="str">
        <f>IFERROR(__xludf.DUMMYFUNCTION("""COMPUTED_VALUE"""),"Uncle Sams Cider (04/04/2023)")</f>
        <v>Uncle Sams Cider (04/04/2023)</v>
      </c>
      <c r="H5952" s="19"/>
    </row>
    <row r="5953">
      <c r="A5953" s="9"/>
      <c r="B5953" s="15"/>
      <c r="C5953" s="9">
        <f>IFERROR(__xludf.DUMMYFUNCTION("""COMPUTED_VALUE"""),45082.1975726736)</f>
        <v>45082.19757</v>
      </c>
      <c r="D5953" s="15">
        <f>IFERROR(__xludf.DUMMYFUNCTION("""COMPUTED_VALUE"""),1.008)</f>
        <v>1.008</v>
      </c>
      <c r="E5953" s="16">
        <f>IFERROR(__xludf.DUMMYFUNCTION("""COMPUTED_VALUE"""),68.0)</f>
        <v>68</v>
      </c>
      <c r="F5953" s="19" t="str">
        <f>IFERROR(__xludf.DUMMYFUNCTION("""COMPUTED_VALUE"""),"BLACK")</f>
        <v>BLACK</v>
      </c>
      <c r="G5953" s="20" t="str">
        <f>IFERROR(__xludf.DUMMYFUNCTION("""COMPUTED_VALUE"""),"Uncle Sams Cider (04/04/2023)")</f>
        <v>Uncle Sams Cider (04/04/2023)</v>
      </c>
      <c r="H5953" s="19"/>
    </row>
    <row r="5954">
      <c r="A5954" s="9"/>
      <c r="B5954" s="15"/>
      <c r="C5954" s="9">
        <f>IFERROR(__xludf.DUMMYFUNCTION("""COMPUTED_VALUE"""),45082.1871397453)</f>
        <v>45082.18714</v>
      </c>
      <c r="D5954" s="15">
        <f>IFERROR(__xludf.DUMMYFUNCTION("""COMPUTED_VALUE"""),1.008)</f>
        <v>1.008</v>
      </c>
      <c r="E5954" s="16">
        <f>IFERROR(__xludf.DUMMYFUNCTION("""COMPUTED_VALUE"""),68.0)</f>
        <v>68</v>
      </c>
      <c r="F5954" s="19" t="str">
        <f>IFERROR(__xludf.DUMMYFUNCTION("""COMPUTED_VALUE"""),"BLACK")</f>
        <v>BLACK</v>
      </c>
      <c r="G5954" s="20" t="str">
        <f>IFERROR(__xludf.DUMMYFUNCTION("""COMPUTED_VALUE"""),"Uncle Sams Cider (04/04/2023)")</f>
        <v>Uncle Sams Cider (04/04/2023)</v>
      </c>
      <c r="H5954" s="19"/>
    </row>
    <row r="5955">
      <c r="A5955" s="9"/>
      <c r="B5955" s="15"/>
      <c r="C5955" s="9">
        <f>IFERROR(__xludf.DUMMYFUNCTION("""COMPUTED_VALUE"""),45082.176720405)</f>
        <v>45082.17672</v>
      </c>
      <c r="D5955" s="15">
        <f>IFERROR(__xludf.DUMMYFUNCTION("""COMPUTED_VALUE"""),1.008)</f>
        <v>1.008</v>
      </c>
      <c r="E5955" s="16">
        <f>IFERROR(__xludf.DUMMYFUNCTION("""COMPUTED_VALUE"""),68.0)</f>
        <v>68</v>
      </c>
      <c r="F5955" s="19" t="str">
        <f>IFERROR(__xludf.DUMMYFUNCTION("""COMPUTED_VALUE"""),"BLACK")</f>
        <v>BLACK</v>
      </c>
      <c r="G5955" s="20" t="str">
        <f>IFERROR(__xludf.DUMMYFUNCTION("""COMPUTED_VALUE"""),"Uncle Sams Cider (04/04/2023)")</f>
        <v>Uncle Sams Cider (04/04/2023)</v>
      </c>
      <c r="H5955" s="19"/>
    </row>
    <row r="5956">
      <c r="A5956" s="9"/>
      <c r="B5956" s="15"/>
      <c r="C5956" s="9">
        <f>IFERROR(__xludf.DUMMYFUNCTION("""COMPUTED_VALUE"""),45082.1663002546)</f>
        <v>45082.1663</v>
      </c>
      <c r="D5956" s="15">
        <f>IFERROR(__xludf.DUMMYFUNCTION("""COMPUTED_VALUE"""),1.008)</f>
        <v>1.008</v>
      </c>
      <c r="E5956" s="16">
        <f>IFERROR(__xludf.DUMMYFUNCTION("""COMPUTED_VALUE"""),68.0)</f>
        <v>68</v>
      </c>
      <c r="F5956" s="19" t="str">
        <f>IFERROR(__xludf.DUMMYFUNCTION("""COMPUTED_VALUE"""),"BLACK")</f>
        <v>BLACK</v>
      </c>
      <c r="G5956" s="20" t="str">
        <f>IFERROR(__xludf.DUMMYFUNCTION("""COMPUTED_VALUE"""),"Uncle Sams Cider (04/04/2023)")</f>
        <v>Uncle Sams Cider (04/04/2023)</v>
      </c>
      <c r="H5956" s="19"/>
    </row>
    <row r="5957">
      <c r="A5957" s="9"/>
      <c r="B5957" s="15"/>
      <c r="C5957" s="9">
        <f>IFERROR(__xludf.DUMMYFUNCTION("""COMPUTED_VALUE"""),45082.1558798263)</f>
        <v>45082.15588</v>
      </c>
      <c r="D5957" s="15">
        <f>IFERROR(__xludf.DUMMYFUNCTION("""COMPUTED_VALUE"""),1.008)</f>
        <v>1.008</v>
      </c>
      <c r="E5957" s="16">
        <f>IFERROR(__xludf.DUMMYFUNCTION("""COMPUTED_VALUE"""),68.0)</f>
        <v>68</v>
      </c>
      <c r="F5957" s="19" t="str">
        <f>IFERROR(__xludf.DUMMYFUNCTION("""COMPUTED_VALUE"""),"BLACK")</f>
        <v>BLACK</v>
      </c>
      <c r="G5957" s="20" t="str">
        <f>IFERROR(__xludf.DUMMYFUNCTION("""COMPUTED_VALUE"""),"Uncle Sams Cider (04/04/2023)")</f>
        <v>Uncle Sams Cider (04/04/2023)</v>
      </c>
      <c r="H5957" s="19"/>
    </row>
    <row r="5958">
      <c r="A5958" s="9"/>
      <c r="B5958" s="15"/>
      <c r="C5958" s="9">
        <f>IFERROR(__xludf.DUMMYFUNCTION("""COMPUTED_VALUE"""),45082.1454590277)</f>
        <v>45082.14546</v>
      </c>
      <c r="D5958" s="15">
        <f>IFERROR(__xludf.DUMMYFUNCTION("""COMPUTED_VALUE"""),1.008)</f>
        <v>1.008</v>
      </c>
      <c r="E5958" s="16">
        <f>IFERROR(__xludf.DUMMYFUNCTION("""COMPUTED_VALUE"""),68.0)</f>
        <v>68</v>
      </c>
      <c r="F5958" s="19" t="str">
        <f>IFERROR(__xludf.DUMMYFUNCTION("""COMPUTED_VALUE"""),"BLACK")</f>
        <v>BLACK</v>
      </c>
      <c r="G5958" s="20" t="str">
        <f>IFERROR(__xludf.DUMMYFUNCTION("""COMPUTED_VALUE"""),"Uncle Sams Cider (04/04/2023)")</f>
        <v>Uncle Sams Cider (04/04/2023)</v>
      </c>
      <c r="H5958" s="19"/>
    </row>
    <row r="5959">
      <c r="A5959" s="9"/>
      <c r="B5959" s="15"/>
      <c r="C5959" s="9">
        <f>IFERROR(__xludf.DUMMYFUNCTION("""COMPUTED_VALUE"""),45082.1350249189)</f>
        <v>45082.13502</v>
      </c>
      <c r="D5959" s="15">
        <f>IFERROR(__xludf.DUMMYFUNCTION("""COMPUTED_VALUE"""),1.008)</f>
        <v>1.008</v>
      </c>
      <c r="E5959" s="16">
        <f>IFERROR(__xludf.DUMMYFUNCTION("""COMPUTED_VALUE"""),68.0)</f>
        <v>68</v>
      </c>
      <c r="F5959" s="19" t="str">
        <f>IFERROR(__xludf.DUMMYFUNCTION("""COMPUTED_VALUE"""),"BLACK")</f>
        <v>BLACK</v>
      </c>
      <c r="G5959" s="20" t="str">
        <f>IFERROR(__xludf.DUMMYFUNCTION("""COMPUTED_VALUE"""),"Uncle Sams Cider (04/04/2023)")</f>
        <v>Uncle Sams Cider (04/04/2023)</v>
      </c>
      <c r="H5959" s="19"/>
    </row>
    <row r="5960">
      <c r="A5960" s="9"/>
      <c r="B5960" s="15"/>
      <c r="C5960" s="9">
        <f>IFERROR(__xludf.DUMMYFUNCTION("""COMPUTED_VALUE"""),45082.1246030671)</f>
        <v>45082.1246</v>
      </c>
      <c r="D5960" s="15">
        <f>IFERROR(__xludf.DUMMYFUNCTION("""COMPUTED_VALUE"""),1.008)</f>
        <v>1.008</v>
      </c>
      <c r="E5960" s="16">
        <f>IFERROR(__xludf.DUMMYFUNCTION("""COMPUTED_VALUE"""),68.0)</f>
        <v>68</v>
      </c>
      <c r="F5960" s="19" t="str">
        <f>IFERROR(__xludf.DUMMYFUNCTION("""COMPUTED_VALUE"""),"BLACK")</f>
        <v>BLACK</v>
      </c>
      <c r="G5960" s="20" t="str">
        <f>IFERROR(__xludf.DUMMYFUNCTION("""COMPUTED_VALUE"""),"Uncle Sams Cider (04/04/2023)")</f>
        <v>Uncle Sams Cider (04/04/2023)</v>
      </c>
      <c r="H5960" s="19"/>
    </row>
    <row r="5961">
      <c r="A5961" s="9"/>
      <c r="B5961" s="15"/>
      <c r="C5961" s="9">
        <f>IFERROR(__xludf.DUMMYFUNCTION("""COMPUTED_VALUE"""),45082.1141825347)</f>
        <v>45082.11418</v>
      </c>
      <c r="D5961" s="15">
        <f>IFERROR(__xludf.DUMMYFUNCTION("""COMPUTED_VALUE"""),1.008)</f>
        <v>1.008</v>
      </c>
      <c r="E5961" s="16">
        <f>IFERROR(__xludf.DUMMYFUNCTION("""COMPUTED_VALUE"""),68.0)</f>
        <v>68</v>
      </c>
      <c r="F5961" s="19" t="str">
        <f>IFERROR(__xludf.DUMMYFUNCTION("""COMPUTED_VALUE"""),"BLACK")</f>
        <v>BLACK</v>
      </c>
      <c r="G5961" s="20" t="str">
        <f>IFERROR(__xludf.DUMMYFUNCTION("""COMPUTED_VALUE"""),"Uncle Sams Cider (04/04/2023)")</f>
        <v>Uncle Sams Cider (04/04/2023)</v>
      </c>
      <c r="H5961" s="19"/>
    </row>
    <row r="5962">
      <c r="A5962" s="9"/>
      <c r="B5962" s="15"/>
      <c r="C5962" s="9">
        <f>IFERROR(__xludf.DUMMYFUNCTION("""COMPUTED_VALUE"""),45082.1037391898)</f>
        <v>45082.10374</v>
      </c>
      <c r="D5962" s="15">
        <f>IFERROR(__xludf.DUMMYFUNCTION("""COMPUTED_VALUE"""),1.008)</f>
        <v>1.008</v>
      </c>
      <c r="E5962" s="16">
        <f>IFERROR(__xludf.DUMMYFUNCTION("""COMPUTED_VALUE"""),68.0)</f>
        <v>68</v>
      </c>
      <c r="F5962" s="19" t="str">
        <f>IFERROR(__xludf.DUMMYFUNCTION("""COMPUTED_VALUE"""),"BLACK")</f>
        <v>BLACK</v>
      </c>
      <c r="G5962" s="20" t="str">
        <f>IFERROR(__xludf.DUMMYFUNCTION("""COMPUTED_VALUE"""),"Uncle Sams Cider (04/04/2023)")</f>
        <v>Uncle Sams Cider (04/04/2023)</v>
      </c>
      <c r="H5962" s="19"/>
    </row>
    <row r="5963">
      <c r="A5963" s="9"/>
      <c r="B5963" s="15"/>
      <c r="C5963" s="9">
        <f>IFERROR(__xludf.DUMMYFUNCTION("""COMPUTED_VALUE"""),45082.0933207638)</f>
        <v>45082.09332</v>
      </c>
      <c r="D5963" s="15">
        <f>IFERROR(__xludf.DUMMYFUNCTION("""COMPUTED_VALUE"""),1.008)</f>
        <v>1.008</v>
      </c>
      <c r="E5963" s="16">
        <f>IFERROR(__xludf.DUMMYFUNCTION("""COMPUTED_VALUE"""),68.0)</f>
        <v>68</v>
      </c>
      <c r="F5963" s="19" t="str">
        <f>IFERROR(__xludf.DUMMYFUNCTION("""COMPUTED_VALUE"""),"BLACK")</f>
        <v>BLACK</v>
      </c>
      <c r="G5963" s="20" t="str">
        <f>IFERROR(__xludf.DUMMYFUNCTION("""COMPUTED_VALUE"""),"Uncle Sams Cider (04/04/2023)")</f>
        <v>Uncle Sams Cider (04/04/2023)</v>
      </c>
      <c r="H5963" s="19"/>
    </row>
    <row r="5964">
      <c r="A5964" s="9"/>
      <c r="B5964" s="15"/>
      <c r="C5964" s="9">
        <f>IFERROR(__xludf.DUMMYFUNCTION("""COMPUTED_VALUE"""),45082.0828993981)</f>
        <v>45082.0829</v>
      </c>
      <c r="D5964" s="15">
        <f>IFERROR(__xludf.DUMMYFUNCTION("""COMPUTED_VALUE"""),1.008)</f>
        <v>1.008</v>
      </c>
      <c r="E5964" s="16">
        <f>IFERROR(__xludf.DUMMYFUNCTION("""COMPUTED_VALUE"""),68.0)</f>
        <v>68</v>
      </c>
      <c r="F5964" s="19" t="str">
        <f>IFERROR(__xludf.DUMMYFUNCTION("""COMPUTED_VALUE"""),"BLACK")</f>
        <v>BLACK</v>
      </c>
      <c r="G5964" s="20" t="str">
        <f>IFERROR(__xludf.DUMMYFUNCTION("""COMPUTED_VALUE"""),"Uncle Sams Cider (04/04/2023)")</f>
        <v>Uncle Sams Cider (04/04/2023)</v>
      </c>
      <c r="H5964" s="19"/>
    </row>
    <row r="5965">
      <c r="A5965" s="9"/>
      <c r="B5965" s="15"/>
      <c r="C5965" s="9">
        <f>IFERROR(__xludf.DUMMYFUNCTION("""COMPUTED_VALUE"""),45082.0724556018)</f>
        <v>45082.07246</v>
      </c>
      <c r="D5965" s="15">
        <f>IFERROR(__xludf.DUMMYFUNCTION("""COMPUTED_VALUE"""),1.008)</f>
        <v>1.008</v>
      </c>
      <c r="E5965" s="16">
        <f>IFERROR(__xludf.DUMMYFUNCTION("""COMPUTED_VALUE"""),68.0)</f>
        <v>68</v>
      </c>
      <c r="F5965" s="19" t="str">
        <f>IFERROR(__xludf.DUMMYFUNCTION("""COMPUTED_VALUE"""),"BLACK")</f>
        <v>BLACK</v>
      </c>
      <c r="G5965" s="20" t="str">
        <f>IFERROR(__xludf.DUMMYFUNCTION("""COMPUTED_VALUE"""),"Uncle Sams Cider (04/04/2023)")</f>
        <v>Uncle Sams Cider (04/04/2023)</v>
      </c>
      <c r="H5965" s="19"/>
    </row>
    <row r="5966">
      <c r="A5966" s="9"/>
      <c r="B5966" s="15"/>
      <c r="C5966" s="9">
        <f>IFERROR(__xludf.DUMMYFUNCTION("""COMPUTED_VALUE"""),45082.0620230439)</f>
        <v>45082.06202</v>
      </c>
      <c r="D5966" s="15">
        <f>IFERROR(__xludf.DUMMYFUNCTION("""COMPUTED_VALUE"""),1.008)</f>
        <v>1.008</v>
      </c>
      <c r="E5966" s="16">
        <f>IFERROR(__xludf.DUMMYFUNCTION("""COMPUTED_VALUE"""),68.0)</f>
        <v>68</v>
      </c>
      <c r="F5966" s="19" t="str">
        <f>IFERROR(__xludf.DUMMYFUNCTION("""COMPUTED_VALUE"""),"BLACK")</f>
        <v>BLACK</v>
      </c>
      <c r="G5966" s="20" t="str">
        <f>IFERROR(__xludf.DUMMYFUNCTION("""COMPUTED_VALUE"""),"Uncle Sams Cider (04/04/2023)")</f>
        <v>Uncle Sams Cider (04/04/2023)</v>
      </c>
      <c r="H5966" s="19"/>
    </row>
    <row r="5967">
      <c r="A5967" s="9"/>
      <c r="B5967" s="15"/>
      <c r="C5967" s="9">
        <f>IFERROR(__xludf.DUMMYFUNCTION("""COMPUTED_VALUE"""),45082.051602199)</f>
        <v>45082.0516</v>
      </c>
      <c r="D5967" s="15">
        <f>IFERROR(__xludf.DUMMYFUNCTION("""COMPUTED_VALUE"""),1.008)</f>
        <v>1.008</v>
      </c>
      <c r="E5967" s="16">
        <f>IFERROR(__xludf.DUMMYFUNCTION("""COMPUTED_VALUE"""),68.0)</f>
        <v>68</v>
      </c>
      <c r="F5967" s="19" t="str">
        <f>IFERROR(__xludf.DUMMYFUNCTION("""COMPUTED_VALUE"""),"BLACK")</f>
        <v>BLACK</v>
      </c>
      <c r="G5967" s="20" t="str">
        <f>IFERROR(__xludf.DUMMYFUNCTION("""COMPUTED_VALUE"""),"Uncle Sams Cider (04/04/2023)")</f>
        <v>Uncle Sams Cider (04/04/2023)</v>
      </c>
      <c r="H5967" s="19"/>
    </row>
    <row r="5968">
      <c r="A5968" s="9"/>
      <c r="B5968" s="15"/>
      <c r="C5968" s="9">
        <f>IFERROR(__xludf.DUMMYFUNCTION("""COMPUTED_VALUE"""),45082.0411796643)</f>
        <v>45082.04118</v>
      </c>
      <c r="D5968" s="15">
        <f>IFERROR(__xludf.DUMMYFUNCTION("""COMPUTED_VALUE"""),1.008)</f>
        <v>1.008</v>
      </c>
      <c r="E5968" s="16">
        <f>IFERROR(__xludf.DUMMYFUNCTION("""COMPUTED_VALUE"""),68.0)</f>
        <v>68</v>
      </c>
      <c r="F5968" s="19" t="str">
        <f>IFERROR(__xludf.DUMMYFUNCTION("""COMPUTED_VALUE"""),"BLACK")</f>
        <v>BLACK</v>
      </c>
      <c r="G5968" s="20" t="str">
        <f>IFERROR(__xludf.DUMMYFUNCTION("""COMPUTED_VALUE"""),"Uncle Sams Cider (04/04/2023)")</f>
        <v>Uncle Sams Cider (04/04/2023)</v>
      </c>
      <c r="H5968" s="19"/>
    </row>
    <row r="5969">
      <c r="A5969" s="9"/>
      <c r="B5969" s="15"/>
      <c r="C5969" s="9">
        <f>IFERROR(__xludf.DUMMYFUNCTION("""COMPUTED_VALUE"""),45082.0307590972)</f>
        <v>45082.03076</v>
      </c>
      <c r="D5969" s="15">
        <f>IFERROR(__xludf.DUMMYFUNCTION("""COMPUTED_VALUE"""),1.008)</f>
        <v>1.008</v>
      </c>
      <c r="E5969" s="16">
        <f>IFERROR(__xludf.DUMMYFUNCTION("""COMPUTED_VALUE"""),68.0)</f>
        <v>68</v>
      </c>
      <c r="F5969" s="19" t="str">
        <f>IFERROR(__xludf.DUMMYFUNCTION("""COMPUTED_VALUE"""),"BLACK")</f>
        <v>BLACK</v>
      </c>
      <c r="G5969" s="20" t="str">
        <f>IFERROR(__xludf.DUMMYFUNCTION("""COMPUTED_VALUE"""),"Uncle Sams Cider (04/04/2023)")</f>
        <v>Uncle Sams Cider (04/04/2023)</v>
      </c>
      <c r="H5969" s="19"/>
    </row>
    <row r="5970">
      <c r="A5970" s="9"/>
      <c r="B5970" s="15"/>
      <c r="C5970" s="9">
        <f>IFERROR(__xludf.DUMMYFUNCTION("""COMPUTED_VALUE"""),45082.020327199)</f>
        <v>45082.02033</v>
      </c>
      <c r="D5970" s="15">
        <f>IFERROR(__xludf.DUMMYFUNCTION("""COMPUTED_VALUE"""),1.008)</f>
        <v>1.008</v>
      </c>
      <c r="E5970" s="16">
        <f>IFERROR(__xludf.DUMMYFUNCTION("""COMPUTED_VALUE"""),68.0)</f>
        <v>68</v>
      </c>
      <c r="F5970" s="19" t="str">
        <f>IFERROR(__xludf.DUMMYFUNCTION("""COMPUTED_VALUE"""),"BLACK")</f>
        <v>BLACK</v>
      </c>
      <c r="G5970" s="20" t="str">
        <f>IFERROR(__xludf.DUMMYFUNCTION("""COMPUTED_VALUE"""),"Uncle Sams Cider (04/04/2023)")</f>
        <v>Uncle Sams Cider (04/04/2023)</v>
      </c>
      <c r="H5970" s="19"/>
    </row>
    <row r="5971">
      <c r="A5971" s="9"/>
      <c r="B5971" s="15"/>
      <c r="C5971" s="9">
        <f>IFERROR(__xludf.DUMMYFUNCTION("""COMPUTED_VALUE"""),45082.0099065046)</f>
        <v>45082.00991</v>
      </c>
      <c r="D5971" s="15">
        <f>IFERROR(__xludf.DUMMYFUNCTION("""COMPUTED_VALUE"""),1.008)</f>
        <v>1.008</v>
      </c>
      <c r="E5971" s="16">
        <f>IFERROR(__xludf.DUMMYFUNCTION("""COMPUTED_VALUE"""),68.0)</f>
        <v>68</v>
      </c>
      <c r="F5971" s="19" t="str">
        <f>IFERROR(__xludf.DUMMYFUNCTION("""COMPUTED_VALUE"""),"BLACK")</f>
        <v>BLACK</v>
      </c>
      <c r="G5971" s="20" t="str">
        <f>IFERROR(__xludf.DUMMYFUNCTION("""COMPUTED_VALUE"""),"Uncle Sams Cider (04/04/2023)")</f>
        <v>Uncle Sams Cider (04/04/2023)</v>
      </c>
      <c r="H5971" s="19"/>
    </row>
    <row r="5972">
      <c r="A5972" s="9"/>
      <c r="B5972" s="15"/>
      <c r="C5972" s="9">
        <f>IFERROR(__xludf.DUMMYFUNCTION("""COMPUTED_VALUE"""),45081.9994853935)</f>
        <v>45081.99949</v>
      </c>
      <c r="D5972" s="15">
        <f>IFERROR(__xludf.DUMMYFUNCTION("""COMPUTED_VALUE"""),1.008)</f>
        <v>1.008</v>
      </c>
      <c r="E5972" s="16">
        <f>IFERROR(__xludf.DUMMYFUNCTION("""COMPUTED_VALUE"""),68.0)</f>
        <v>68</v>
      </c>
      <c r="F5972" s="19" t="str">
        <f>IFERROR(__xludf.DUMMYFUNCTION("""COMPUTED_VALUE"""),"BLACK")</f>
        <v>BLACK</v>
      </c>
      <c r="G5972" s="20" t="str">
        <f>IFERROR(__xludf.DUMMYFUNCTION("""COMPUTED_VALUE"""),"Uncle Sams Cider (04/04/2023)")</f>
        <v>Uncle Sams Cider (04/04/2023)</v>
      </c>
      <c r="H5972" s="19"/>
    </row>
    <row r="5973">
      <c r="A5973" s="9"/>
      <c r="B5973" s="15"/>
      <c r="C5973" s="9">
        <f>IFERROR(__xludf.DUMMYFUNCTION("""COMPUTED_VALUE"""),45081.9890656365)</f>
        <v>45081.98907</v>
      </c>
      <c r="D5973" s="15">
        <f>IFERROR(__xludf.DUMMYFUNCTION("""COMPUTED_VALUE"""),1.008)</f>
        <v>1.008</v>
      </c>
      <c r="E5973" s="16">
        <f>IFERROR(__xludf.DUMMYFUNCTION("""COMPUTED_VALUE"""),68.0)</f>
        <v>68</v>
      </c>
      <c r="F5973" s="19" t="str">
        <f>IFERROR(__xludf.DUMMYFUNCTION("""COMPUTED_VALUE"""),"BLACK")</f>
        <v>BLACK</v>
      </c>
      <c r="G5973" s="20" t="str">
        <f>IFERROR(__xludf.DUMMYFUNCTION("""COMPUTED_VALUE"""),"Uncle Sams Cider (04/04/2023)")</f>
        <v>Uncle Sams Cider (04/04/2023)</v>
      </c>
      <c r="H5973" s="19"/>
    </row>
    <row r="5974">
      <c r="A5974" s="9"/>
      <c r="B5974" s="15"/>
      <c r="C5974" s="9">
        <f>IFERROR(__xludf.DUMMYFUNCTION("""COMPUTED_VALUE"""),45081.9786453472)</f>
        <v>45081.97865</v>
      </c>
      <c r="D5974" s="15">
        <f>IFERROR(__xludf.DUMMYFUNCTION("""COMPUTED_VALUE"""),1.008)</f>
        <v>1.008</v>
      </c>
      <c r="E5974" s="16">
        <f>IFERROR(__xludf.DUMMYFUNCTION("""COMPUTED_VALUE"""),68.0)</f>
        <v>68</v>
      </c>
      <c r="F5974" s="19" t="str">
        <f>IFERROR(__xludf.DUMMYFUNCTION("""COMPUTED_VALUE"""),"BLACK")</f>
        <v>BLACK</v>
      </c>
      <c r="G5974" s="20" t="str">
        <f>IFERROR(__xludf.DUMMYFUNCTION("""COMPUTED_VALUE"""),"Uncle Sams Cider (04/04/2023)")</f>
        <v>Uncle Sams Cider (04/04/2023)</v>
      </c>
      <c r="H5974" s="19"/>
    </row>
    <row r="5975">
      <c r="A5975" s="9"/>
      <c r="B5975" s="15"/>
      <c r="C5975" s="9">
        <f>IFERROR(__xludf.DUMMYFUNCTION("""COMPUTED_VALUE"""),45081.9682223958)</f>
        <v>45081.96822</v>
      </c>
      <c r="D5975" s="15">
        <f>IFERROR(__xludf.DUMMYFUNCTION("""COMPUTED_VALUE"""),1.008)</f>
        <v>1.008</v>
      </c>
      <c r="E5975" s="16">
        <f>IFERROR(__xludf.DUMMYFUNCTION("""COMPUTED_VALUE"""),68.0)</f>
        <v>68</v>
      </c>
      <c r="F5975" s="19" t="str">
        <f>IFERROR(__xludf.DUMMYFUNCTION("""COMPUTED_VALUE"""),"BLACK")</f>
        <v>BLACK</v>
      </c>
      <c r="G5975" s="20" t="str">
        <f>IFERROR(__xludf.DUMMYFUNCTION("""COMPUTED_VALUE"""),"Uncle Sams Cider (04/04/2023)")</f>
        <v>Uncle Sams Cider (04/04/2023)</v>
      </c>
      <c r="H5975" s="19"/>
    </row>
    <row r="5976">
      <c r="A5976" s="9"/>
      <c r="B5976" s="15"/>
      <c r="C5976" s="9">
        <f>IFERROR(__xludf.DUMMYFUNCTION("""COMPUTED_VALUE"""),45081.9577888888)</f>
        <v>45081.95779</v>
      </c>
      <c r="D5976" s="15">
        <f>IFERROR(__xludf.DUMMYFUNCTION("""COMPUTED_VALUE"""),1.008)</f>
        <v>1.008</v>
      </c>
      <c r="E5976" s="16">
        <f>IFERROR(__xludf.DUMMYFUNCTION("""COMPUTED_VALUE"""),68.0)</f>
        <v>68</v>
      </c>
      <c r="F5976" s="19" t="str">
        <f>IFERROR(__xludf.DUMMYFUNCTION("""COMPUTED_VALUE"""),"BLACK")</f>
        <v>BLACK</v>
      </c>
      <c r="G5976" s="20" t="str">
        <f>IFERROR(__xludf.DUMMYFUNCTION("""COMPUTED_VALUE"""),"Uncle Sams Cider (04/04/2023)")</f>
        <v>Uncle Sams Cider (04/04/2023)</v>
      </c>
      <c r="H5976" s="19"/>
    </row>
    <row r="5977">
      <c r="A5977" s="9"/>
      <c r="B5977" s="15"/>
      <c r="C5977" s="9">
        <f>IFERROR(__xludf.DUMMYFUNCTION("""COMPUTED_VALUE"""),45081.947367037)</f>
        <v>45081.94737</v>
      </c>
      <c r="D5977" s="15">
        <f>IFERROR(__xludf.DUMMYFUNCTION("""COMPUTED_VALUE"""),1.008)</f>
        <v>1.008</v>
      </c>
      <c r="E5977" s="16">
        <f>IFERROR(__xludf.DUMMYFUNCTION("""COMPUTED_VALUE"""),68.0)</f>
        <v>68</v>
      </c>
      <c r="F5977" s="19" t="str">
        <f>IFERROR(__xludf.DUMMYFUNCTION("""COMPUTED_VALUE"""),"BLACK")</f>
        <v>BLACK</v>
      </c>
      <c r="G5977" s="20" t="str">
        <f>IFERROR(__xludf.DUMMYFUNCTION("""COMPUTED_VALUE"""),"Uncle Sams Cider (04/04/2023)")</f>
        <v>Uncle Sams Cider (04/04/2023)</v>
      </c>
      <c r="H5977" s="19"/>
    </row>
    <row r="5978">
      <c r="A5978" s="9"/>
      <c r="B5978" s="15"/>
      <c r="C5978" s="9">
        <f>IFERROR(__xludf.DUMMYFUNCTION("""COMPUTED_VALUE"""),45081.936944155)</f>
        <v>45081.93694</v>
      </c>
      <c r="D5978" s="15">
        <f>IFERROR(__xludf.DUMMYFUNCTION("""COMPUTED_VALUE"""),1.008)</f>
        <v>1.008</v>
      </c>
      <c r="E5978" s="16">
        <f>IFERROR(__xludf.DUMMYFUNCTION("""COMPUTED_VALUE"""),68.0)</f>
        <v>68</v>
      </c>
      <c r="F5978" s="19" t="str">
        <f>IFERROR(__xludf.DUMMYFUNCTION("""COMPUTED_VALUE"""),"BLACK")</f>
        <v>BLACK</v>
      </c>
      <c r="G5978" s="20" t="str">
        <f>IFERROR(__xludf.DUMMYFUNCTION("""COMPUTED_VALUE"""),"Uncle Sams Cider (04/04/2023)")</f>
        <v>Uncle Sams Cider (04/04/2023)</v>
      </c>
      <c r="H5978" s="19"/>
    </row>
    <row r="5979">
      <c r="A5979" s="9"/>
      <c r="B5979" s="15"/>
      <c r="C5979" s="9">
        <f>IFERROR(__xludf.DUMMYFUNCTION("""COMPUTED_VALUE"""),45081.926500162)</f>
        <v>45081.9265</v>
      </c>
      <c r="D5979" s="15">
        <f>IFERROR(__xludf.DUMMYFUNCTION("""COMPUTED_VALUE"""),1.008)</f>
        <v>1.008</v>
      </c>
      <c r="E5979" s="16">
        <f>IFERROR(__xludf.DUMMYFUNCTION("""COMPUTED_VALUE"""),68.0)</f>
        <v>68</v>
      </c>
      <c r="F5979" s="19" t="str">
        <f>IFERROR(__xludf.DUMMYFUNCTION("""COMPUTED_VALUE"""),"BLACK")</f>
        <v>BLACK</v>
      </c>
      <c r="G5979" s="20" t="str">
        <f>IFERROR(__xludf.DUMMYFUNCTION("""COMPUTED_VALUE"""),"Uncle Sams Cider (04/04/2023)")</f>
        <v>Uncle Sams Cider (04/04/2023)</v>
      </c>
      <c r="H5979" s="19"/>
    </row>
    <row r="5980">
      <c r="A5980" s="9"/>
      <c r="B5980" s="15"/>
      <c r="C5980" s="9">
        <f>IFERROR(__xludf.DUMMYFUNCTION("""COMPUTED_VALUE"""),45081.9160795023)</f>
        <v>45081.91608</v>
      </c>
      <c r="D5980" s="15">
        <f>IFERROR(__xludf.DUMMYFUNCTION("""COMPUTED_VALUE"""),1.008)</f>
        <v>1.008</v>
      </c>
      <c r="E5980" s="16">
        <f>IFERROR(__xludf.DUMMYFUNCTION("""COMPUTED_VALUE"""),68.0)</f>
        <v>68</v>
      </c>
      <c r="F5980" s="19" t="str">
        <f>IFERROR(__xludf.DUMMYFUNCTION("""COMPUTED_VALUE"""),"BLACK")</f>
        <v>BLACK</v>
      </c>
      <c r="G5980" s="20" t="str">
        <f>IFERROR(__xludf.DUMMYFUNCTION("""COMPUTED_VALUE"""),"Uncle Sams Cider (04/04/2023)")</f>
        <v>Uncle Sams Cider (04/04/2023)</v>
      </c>
      <c r="H5980" s="19"/>
    </row>
    <row r="5981">
      <c r="A5981" s="9"/>
      <c r="B5981" s="15"/>
      <c r="C5981" s="9">
        <f>IFERROR(__xludf.DUMMYFUNCTION("""COMPUTED_VALUE"""),45081.9056612847)</f>
        <v>45081.90566</v>
      </c>
      <c r="D5981" s="15">
        <f>IFERROR(__xludf.DUMMYFUNCTION("""COMPUTED_VALUE"""),1.008)</f>
        <v>1.008</v>
      </c>
      <c r="E5981" s="16">
        <f>IFERROR(__xludf.DUMMYFUNCTION("""COMPUTED_VALUE"""),68.0)</f>
        <v>68</v>
      </c>
      <c r="F5981" s="19" t="str">
        <f>IFERROR(__xludf.DUMMYFUNCTION("""COMPUTED_VALUE"""),"BLACK")</f>
        <v>BLACK</v>
      </c>
      <c r="G5981" s="20" t="str">
        <f>IFERROR(__xludf.DUMMYFUNCTION("""COMPUTED_VALUE"""),"Uncle Sams Cider (04/04/2023)")</f>
        <v>Uncle Sams Cider (04/04/2023)</v>
      </c>
      <c r="H5981" s="19"/>
    </row>
    <row r="5982">
      <c r="A5982" s="9"/>
      <c r="B5982" s="15"/>
      <c r="C5982" s="9">
        <f>IFERROR(__xludf.DUMMYFUNCTION("""COMPUTED_VALUE"""),45081.8952410763)</f>
        <v>45081.89524</v>
      </c>
      <c r="D5982" s="15">
        <f>IFERROR(__xludf.DUMMYFUNCTION("""COMPUTED_VALUE"""),1.008)</f>
        <v>1.008</v>
      </c>
      <c r="E5982" s="16">
        <f>IFERROR(__xludf.DUMMYFUNCTION("""COMPUTED_VALUE"""),68.0)</f>
        <v>68</v>
      </c>
      <c r="F5982" s="19" t="str">
        <f>IFERROR(__xludf.DUMMYFUNCTION("""COMPUTED_VALUE"""),"BLACK")</f>
        <v>BLACK</v>
      </c>
      <c r="G5982" s="20" t="str">
        <f>IFERROR(__xludf.DUMMYFUNCTION("""COMPUTED_VALUE"""),"Uncle Sams Cider (04/04/2023)")</f>
        <v>Uncle Sams Cider (04/04/2023)</v>
      </c>
      <c r="H5982" s="19"/>
    </row>
    <row r="5983">
      <c r="A5983" s="9"/>
      <c r="B5983" s="15"/>
      <c r="C5983" s="9">
        <f>IFERROR(__xludf.DUMMYFUNCTION("""COMPUTED_VALUE"""),45081.8848208564)</f>
        <v>45081.88482</v>
      </c>
      <c r="D5983" s="15">
        <f>IFERROR(__xludf.DUMMYFUNCTION("""COMPUTED_VALUE"""),1.008)</f>
        <v>1.008</v>
      </c>
      <c r="E5983" s="16">
        <f>IFERROR(__xludf.DUMMYFUNCTION("""COMPUTED_VALUE"""),68.0)</f>
        <v>68</v>
      </c>
      <c r="F5983" s="19" t="str">
        <f>IFERROR(__xludf.DUMMYFUNCTION("""COMPUTED_VALUE"""),"BLACK")</f>
        <v>BLACK</v>
      </c>
      <c r="G5983" s="20" t="str">
        <f>IFERROR(__xludf.DUMMYFUNCTION("""COMPUTED_VALUE"""),"Uncle Sams Cider (04/04/2023)")</f>
        <v>Uncle Sams Cider (04/04/2023)</v>
      </c>
      <c r="H5983" s="19"/>
    </row>
    <row r="5984">
      <c r="A5984" s="9"/>
      <c r="B5984" s="15"/>
      <c r="C5984" s="9">
        <f>IFERROR(__xludf.DUMMYFUNCTION("""COMPUTED_VALUE"""),45081.8743987384)</f>
        <v>45081.8744</v>
      </c>
      <c r="D5984" s="15">
        <f>IFERROR(__xludf.DUMMYFUNCTION("""COMPUTED_VALUE"""),1.008)</f>
        <v>1.008</v>
      </c>
      <c r="E5984" s="16">
        <f>IFERROR(__xludf.DUMMYFUNCTION("""COMPUTED_VALUE"""),68.0)</f>
        <v>68</v>
      </c>
      <c r="F5984" s="19" t="str">
        <f>IFERROR(__xludf.DUMMYFUNCTION("""COMPUTED_VALUE"""),"BLACK")</f>
        <v>BLACK</v>
      </c>
      <c r="G5984" s="20" t="str">
        <f>IFERROR(__xludf.DUMMYFUNCTION("""COMPUTED_VALUE"""),"Uncle Sams Cider (04/04/2023)")</f>
        <v>Uncle Sams Cider (04/04/2023)</v>
      </c>
      <c r="H5984" s="19"/>
    </row>
    <row r="5985">
      <c r="A5985" s="9"/>
      <c r="B5985" s="15"/>
      <c r="C5985" s="9">
        <f>IFERROR(__xludf.DUMMYFUNCTION("""COMPUTED_VALUE"""),45081.8639786574)</f>
        <v>45081.86398</v>
      </c>
      <c r="D5985" s="15">
        <f>IFERROR(__xludf.DUMMYFUNCTION("""COMPUTED_VALUE"""),1.008)</f>
        <v>1.008</v>
      </c>
      <c r="E5985" s="16">
        <f>IFERROR(__xludf.DUMMYFUNCTION("""COMPUTED_VALUE"""),68.0)</f>
        <v>68</v>
      </c>
      <c r="F5985" s="19" t="str">
        <f>IFERROR(__xludf.DUMMYFUNCTION("""COMPUTED_VALUE"""),"BLACK")</f>
        <v>BLACK</v>
      </c>
      <c r="G5985" s="20" t="str">
        <f>IFERROR(__xludf.DUMMYFUNCTION("""COMPUTED_VALUE"""),"Uncle Sams Cider (04/04/2023)")</f>
        <v>Uncle Sams Cider (04/04/2023)</v>
      </c>
      <c r="H5985" s="19"/>
    </row>
    <row r="5986">
      <c r="A5986" s="9"/>
      <c r="B5986" s="15"/>
      <c r="C5986" s="9">
        <f>IFERROR(__xludf.DUMMYFUNCTION("""COMPUTED_VALUE"""),45081.8535465162)</f>
        <v>45081.85355</v>
      </c>
      <c r="D5986" s="15">
        <f>IFERROR(__xludf.DUMMYFUNCTION("""COMPUTED_VALUE"""),1.008)</f>
        <v>1.008</v>
      </c>
      <c r="E5986" s="16">
        <f>IFERROR(__xludf.DUMMYFUNCTION("""COMPUTED_VALUE"""),68.0)</f>
        <v>68</v>
      </c>
      <c r="F5986" s="19" t="str">
        <f>IFERROR(__xludf.DUMMYFUNCTION("""COMPUTED_VALUE"""),"BLACK")</f>
        <v>BLACK</v>
      </c>
      <c r="G5986" s="20" t="str">
        <f>IFERROR(__xludf.DUMMYFUNCTION("""COMPUTED_VALUE"""),"Uncle Sams Cider (04/04/2023)")</f>
        <v>Uncle Sams Cider (04/04/2023)</v>
      </c>
      <c r="H5986" s="19"/>
    </row>
    <row r="5987">
      <c r="A5987" s="9"/>
      <c r="B5987" s="15"/>
      <c r="C5987" s="9">
        <f>IFERROR(__xludf.DUMMYFUNCTION("""COMPUTED_VALUE"""),45081.8431243171)</f>
        <v>45081.84312</v>
      </c>
      <c r="D5987" s="15">
        <f>IFERROR(__xludf.DUMMYFUNCTION("""COMPUTED_VALUE"""),1.008)</f>
        <v>1.008</v>
      </c>
      <c r="E5987" s="16">
        <f>IFERROR(__xludf.DUMMYFUNCTION("""COMPUTED_VALUE"""),68.0)</f>
        <v>68</v>
      </c>
      <c r="F5987" s="19" t="str">
        <f>IFERROR(__xludf.DUMMYFUNCTION("""COMPUTED_VALUE"""),"BLACK")</f>
        <v>BLACK</v>
      </c>
      <c r="G5987" s="20" t="str">
        <f>IFERROR(__xludf.DUMMYFUNCTION("""COMPUTED_VALUE"""),"Uncle Sams Cider (04/04/2023)")</f>
        <v>Uncle Sams Cider (04/04/2023)</v>
      </c>
      <c r="H5987" s="19"/>
    </row>
    <row r="5988">
      <c r="A5988" s="9"/>
      <c r="B5988" s="15"/>
      <c r="C5988" s="9">
        <f>IFERROR(__xludf.DUMMYFUNCTION("""COMPUTED_VALUE"""),45081.8326904051)</f>
        <v>45081.83269</v>
      </c>
      <c r="D5988" s="15">
        <f>IFERROR(__xludf.DUMMYFUNCTION("""COMPUTED_VALUE"""),1.008)</f>
        <v>1.008</v>
      </c>
      <c r="E5988" s="16">
        <f>IFERROR(__xludf.DUMMYFUNCTION("""COMPUTED_VALUE"""),68.0)</f>
        <v>68</v>
      </c>
      <c r="F5988" s="19" t="str">
        <f>IFERROR(__xludf.DUMMYFUNCTION("""COMPUTED_VALUE"""),"BLACK")</f>
        <v>BLACK</v>
      </c>
      <c r="G5988" s="20" t="str">
        <f>IFERROR(__xludf.DUMMYFUNCTION("""COMPUTED_VALUE"""),"Uncle Sams Cider (04/04/2023)")</f>
        <v>Uncle Sams Cider (04/04/2023)</v>
      </c>
      <c r="H5988" s="19"/>
    </row>
    <row r="5989">
      <c r="A5989" s="9"/>
      <c r="B5989" s="15"/>
      <c r="C5989" s="9">
        <f>IFERROR(__xludf.DUMMYFUNCTION("""COMPUTED_VALUE"""),45081.8222693518)</f>
        <v>45081.82227</v>
      </c>
      <c r="D5989" s="15">
        <f>IFERROR(__xludf.DUMMYFUNCTION("""COMPUTED_VALUE"""),1.008)</f>
        <v>1.008</v>
      </c>
      <c r="E5989" s="16">
        <f>IFERROR(__xludf.DUMMYFUNCTION("""COMPUTED_VALUE"""),68.0)</f>
        <v>68</v>
      </c>
      <c r="F5989" s="19" t="str">
        <f>IFERROR(__xludf.DUMMYFUNCTION("""COMPUTED_VALUE"""),"BLACK")</f>
        <v>BLACK</v>
      </c>
      <c r="G5989" s="20" t="str">
        <f>IFERROR(__xludf.DUMMYFUNCTION("""COMPUTED_VALUE"""),"Uncle Sams Cider (04/04/2023)")</f>
        <v>Uncle Sams Cider (04/04/2023)</v>
      </c>
      <c r="H5989" s="19"/>
    </row>
    <row r="5990">
      <c r="A5990" s="9"/>
      <c r="B5990" s="15"/>
      <c r="C5990" s="9">
        <f>IFERROR(__xludf.DUMMYFUNCTION("""COMPUTED_VALUE"""),45081.8118466551)</f>
        <v>45081.81185</v>
      </c>
      <c r="D5990" s="15">
        <f>IFERROR(__xludf.DUMMYFUNCTION("""COMPUTED_VALUE"""),1.008)</f>
        <v>1.008</v>
      </c>
      <c r="E5990" s="16">
        <f>IFERROR(__xludf.DUMMYFUNCTION("""COMPUTED_VALUE"""),68.0)</f>
        <v>68</v>
      </c>
      <c r="F5990" s="19" t="str">
        <f>IFERROR(__xludf.DUMMYFUNCTION("""COMPUTED_VALUE"""),"BLACK")</f>
        <v>BLACK</v>
      </c>
      <c r="G5990" s="20" t="str">
        <f>IFERROR(__xludf.DUMMYFUNCTION("""COMPUTED_VALUE"""),"Uncle Sams Cider (04/04/2023)")</f>
        <v>Uncle Sams Cider (04/04/2023)</v>
      </c>
      <c r="H5990" s="19"/>
    </row>
    <row r="5991">
      <c r="A5991" s="9"/>
      <c r="B5991" s="15"/>
      <c r="C5991" s="9">
        <f>IFERROR(__xludf.DUMMYFUNCTION("""COMPUTED_VALUE"""),45081.8014256481)</f>
        <v>45081.80143</v>
      </c>
      <c r="D5991" s="15">
        <f>IFERROR(__xludf.DUMMYFUNCTION("""COMPUTED_VALUE"""),1.008)</f>
        <v>1.008</v>
      </c>
      <c r="E5991" s="16">
        <f>IFERROR(__xludf.DUMMYFUNCTION("""COMPUTED_VALUE"""),68.0)</f>
        <v>68</v>
      </c>
      <c r="F5991" s="19" t="str">
        <f>IFERROR(__xludf.DUMMYFUNCTION("""COMPUTED_VALUE"""),"BLACK")</f>
        <v>BLACK</v>
      </c>
      <c r="G5991" s="20" t="str">
        <f>IFERROR(__xludf.DUMMYFUNCTION("""COMPUTED_VALUE"""),"Uncle Sams Cider (04/04/2023)")</f>
        <v>Uncle Sams Cider (04/04/2023)</v>
      </c>
      <c r="H5991" s="19"/>
    </row>
    <row r="5992">
      <c r="A5992" s="9"/>
      <c r="B5992" s="15"/>
      <c r="C5992" s="9">
        <f>IFERROR(__xludf.DUMMYFUNCTION("""COMPUTED_VALUE"""),45081.7910050463)</f>
        <v>45081.79101</v>
      </c>
      <c r="D5992" s="15">
        <f>IFERROR(__xludf.DUMMYFUNCTION("""COMPUTED_VALUE"""),1.008)</f>
        <v>1.008</v>
      </c>
      <c r="E5992" s="16">
        <f>IFERROR(__xludf.DUMMYFUNCTION("""COMPUTED_VALUE"""),68.0)</f>
        <v>68</v>
      </c>
      <c r="F5992" s="19" t="str">
        <f>IFERROR(__xludf.DUMMYFUNCTION("""COMPUTED_VALUE"""),"BLACK")</f>
        <v>BLACK</v>
      </c>
      <c r="G5992" s="20" t="str">
        <f>IFERROR(__xludf.DUMMYFUNCTION("""COMPUTED_VALUE"""),"Uncle Sams Cider (04/04/2023)")</f>
        <v>Uncle Sams Cider (04/04/2023)</v>
      </c>
      <c r="H5992" s="19"/>
    </row>
    <row r="5993">
      <c r="A5993" s="9"/>
      <c r="B5993" s="15"/>
      <c r="C5993" s="9">
        <f>IFERROR(__xludf.DUMMYFUNCTION("""COMPUTED_VALUE"""),45081.7805841666)</f>
        <v>45081.78058</v>
      </c>
      <c r="D5993" s="15">
        <f>IFERROR(__xludf.DUMMYFUNCTION("""COMPUTED_VALUE"""),1.008)</f>
        <v>1.008</v>
      </c>
      <c r="E5993" s="16">
        <f>IFERROR(__xludf.DUMMYFUNCTION("""COMPUTED_VALUE"""),68.0)</f>
        <v>68</v>
      </c>
      <c r="F5993" s="19" t="str">
        <f>IFERROR(__xludf.DUMMYFUNCTION("""COMPUTED_VALUE"""),"BLACK")</f>
        <v>BLACK</v>
      </c>
      <c r="G5993" s="20" t="str">
        <f>IFERROR(__xludf.DUMMYFUNCTION("""COMPUTED_VALUE"""),"Uncle Sams Cider (04/04/2023)")</f>
        <v>Uncle Sams Cider (04/04/2023)</v>
      </c>
      <c r="H5993" s="19"/>
    </row>
    <row r="5994">
      <c r="A5994" s="9"/>
      <c r="B5994" s="15"/>
      <c r="C5994" s="9">
        <f>IFERROR(__xludf.DUMMYFUNCTION("""COMPUTED_VALUE"""),45081.7701635416)</f>
        <v>45081.77016</v>
      </c>
      <c r="D5994" s="15">
        <f>IFERROR(__xludf.DUMMYFUNCTION("""COMPUTED_VALUE"""),1.008)</f>
        <v>1.008</v>
      </c>
      <c r="E5994" s="16">
        <f>IFERROR(__xludf.DUMMYFUNCTION("""COMPUTED_VALUE"""),68.0)</f>
        <v>68</v>
      </c>
      <c r="F5994" s="19" t="str">
        <f>IFERROR(__xludf.DUMMYFUNCTION("""COMPUTED_VALUE"""),"BLACK")</f>
        <v>BLACK</v>
      </c>
      <c r="G5994" s="20" t="str">
        <f>IFERROR(__xludf.DUMMYFUNCTION("""COMPUTED_VALUE"""),"Uncle Sams Cider (04/04/2023)")</f>
        <v>Uncle Sams Cider (04/04/2023)</v>
      </c>
      <c r="H5994" s="19"/>
    </row>
    <row r="5995">
      <c r="A5995" s="9"/>
      <c r="B5995" s="15"/>
      <c r="C5995" s="9">
        <f>IFERROR(__xludf.DUMMYFUNCTION("""COMPUTED_VALUE"""),45081.7597415277)</f>
        <v>45081.75974</v>
      </c>
      <c r="D5995" s="15">
        <f>IFERROR(__xludf.DUMMYFUNCTION("""COMPUTED_VALUE"""),1.008)</f>
        <v>1.008</v>
      </c>
      <c r="E5995" s="16">
        <f>IFERROR(__xludf.DUMMYFUNCTION("""COMPUTED_VALUE"""),68.0)</f>
        <v>68</v>
      </c>
      <c r="F5995" s="19" t="str">
        <f>IFERROR(__xludf.DUMMYFUNCTION("""COMPUTED_VALUE"""),"BLACK")</f>
        <v>BLACK</v>
      </c>
      <c r="G5995" s="20" t="str">
        <f>IFERROR(__xludf.DUMMYFUNCTION("""COMPUTED_VALUE"""),"Uncle Sams Cider (04/04/2023)")</f>
        <v>Uncle Sams Cider (04/04/2023)</v>
      </c>
      <c r="H5995" s="19"/>
    </row>
    <row r="5996">
      <c r="A5996" s="9"/>
      <c r="B5996" s="15"/>
      <c r="C5996" s="9">
        <f>IFERROR(__xludf.DUMMYFUNCTION("""COMPUTED_VALUE"""),45081.7493192939)</f>
        <v>45081.74932</v>
      </c>
      <c r="D5996" s="15">
        <f>IFERROR(__xludf.DUMMYFUNCTION("""COMPUTED_VALUE"""),1.009)</f>
        <v>1.009</v>
      </c>
      <c r="E5996" s="16">
        <f>IFERROR(__xludf.DUMMYFUNCTION("""COMPUTED_VALUE"""),68.0)</f>
        <v>68</v>
      </c>
      <c r="F5996" s="19" t="str">
        <f>IFERROR(__xludf.DUMMYFUNCTION("""COMPUTED_VALUE"""),"BLACK")</f>
        <v>BLACK</v>
      </c>
      <c r="G5996" s="20" t="str">
        <f>IFERROR(__xludf.DUMMYFUNCTION("""COMPUTED_VALUE"""),"Uncle Sams Cider (04/04/2023)")</f>
        <v>Uncle Sams Cider (04/04/2023)</v>
      </c>
      <c r="H5996" s="19"/>
    </row>
    <row r="5997">
      <c r="A5997" s="9"/>
      <c r="B5997" s="15"/>
      <c r="C5997" s="9">
        <f>IFERROR(__xludf.DUMMYFUNCTION("""COMPUTED_VALUE"""),45081.7388974768)</f>
        <v>45081.7389</v>
      </c>
      <c r="D5997" s="15">
        <f>IFERROR(__xludf.DUMMYFUNCTION("""COMPUTED_VALUE"""),1.008)</f>
        <v>1.008</v>
      </c>
      <c r="E5997" s="16">
        <f>IFERROR(__xludf.DUMMYFUNCTION("""COMPUTED_VALUE"""),68.0)</f>
        <v>68</v>
      </c>
      <c r="F5997" s="19" t="str">
        <f>IFERROR(__xludf.DUMMYFUNCTION("""COMPUTED_VALUE"""),"BLACK")</f>
        <v>BLACK</v>
      </c>
      <c r="G5997" s="20" t="str">
        <f>IFERROR(__xludf.DUMMYFUNCTION("""COMPUTED_VALUE"""),"Uncle Sams Cider (04/04/2023)")</f>
        <v>Uncle Sams Cider (04/04/2023)</v>
      </c>
      <c r="H5997" s="19"/>
    </row>
    <row r="5998">
      <c r="A5998" s="9"/>
      <c r="B5998" s="15"/>
      <c r="C5998" s="9">
        <f>IFERROR(__xludf.DUMMYFUNCTION("""COMPUTED_VALUE"""),45081.7284764004)</f>
        <v>45081.72848</v>
      </c>
      <c r="D5998" s="15">
        <f>IFERROR(__xludf.DUMMYFUNCTION("""COMPUTED_VALUE"""),1.008)</f>
        <v>1.008</v>
      </c>
      <c r="E5998" s="16">
        <f>IFERROR(__xludf.DUMMYFUNCTION("""COMPUTED_VALUE"""),68.0)</f>
        <v>68</v>
      </c>
      <c r="F5998" s="19" t="str">
        <f>IFERROR(__xludf.DUMMYFUNCTION("""COMPUTED_VALUE"""),"BLACK")</f>
        <v>BLACK</v>
      </c>
      <c r="G5998" s="20" t="str">
        <f>IFERROR(__xludf.DUMMYFUNCTION("""COMPUTED_VALUE"""),"Uncle Sams Cider (04/04/2023)")</f>
        <v>Uncle Sams Cider (04/04/2023)</v>
      </c>
      <c r="H5998" s="19"/>
    </row>
    <row r="5999">
      <c r="A5999" s="9"/>
      <c r="B5999" s="15"/>
      <c r="C5999" s="9">
        <f>IFERROR(__xludf.DUMMYFUNCTION("""COMPUTED_VALUE"""),45081.7180550347)</f>
        <v>45081.71806</v>
      </c>
      <c r="D5999" s="15">
        <f>IFERROR(__xludf.DUMMYFUNCTION("""COMPUTED_VALUE"""),1.008)</f>
        <v>1.008</v>
      </c>
      <c r="E5999" s="16">
        <f>IFERROR(__xludf.DUMMYFUNCTION("""COMPUTED_VALUE"""),68.0)</f>
        <v>68</v>
      </c>
      <c r="F5999" s="19" t="str">
        <f>IFERROR(__xludf.DUMMYFUNCTION("""COMPUTED_VALUE"""),"BLACK")</f>
        <v>BLACK</v>
      </c>
      <c r="G5999" s="20" t="str">
        <f>IFERROR(__xludf.DUMMYFUNCTION("""COMPUTED_VALUE"""),"Uncle Sams Cider (04/04/2023)")</f>
        <v>Uncle Sams Cider (04/04/2023)</v>
      </c>
      <c r="H5999" s="19"/>
    </row>
    <row r="6000">
      <c r="A6000" s="9"/>
      <c r="B6000" s="15"/>
      <c r="C6000" s="9">
        <f>IFERROR(__xludf.DUMMYFUNCTION("""COMPUTED_VALUE"""),45081.7076339351)</f>
        <v>45081.70763</v>
      </c>
      <c r="D6000" s="15">
        <f>IFERROR(__xludf.DUMMYFUNCTION("""COMPUTED_VALUE"""),1.008)</f>
        <v>1.008</v>
      </c>
      <c r="E6000" s="16">
        <f>IFERROR(__xludf.DUMMYFUNCTION("""COMPUTED_VALUE"""),68.0)</f>
        <v>68</v>
      </c>
      <c r="F6000" s="19" t="str">
        <f>IFERROR(__xludf.DUMMYFUNCTION("""COMPUTED_VALUE"""),"BLACK")</f>
        <v>BLACK</v>
      </c>
      <c r="G6000" s="20" t="str">
        <f>IFERROR(__xludf.DUMMYFUNCTION("""COMPUTED_VALUE"""),"Uncle Sams Cider (04/04/2023)")</f>
        <v>Uncle Sams Cider (04/04/2023)</v>
      </c>
      <c r="H6000" s="19"/>
    </row>
    <row r="6001">
      <c r="A6001" s="9"/>
      <c r="B6001" s="15"/>
      <c r="C6001" s="9">
        <f>IFERROR(__xludf.DUMMYFUNCTION("""COMPUTED_VALUE"""),45081.6971997338)</f>
        <v>45081.6972</v>
      </c>
      <c r="D6001" s="15">
        <f>IFERROR(__xludf.DUMMYFUNCTION("""COMPUTED_VALUE"""),1.008)</f>
        <v>1.008</v>
      </c>
      <c r="E6001" s="16">
        <f>IFERROR(__xludf.DUMMYFUNCTION("""COMPUTED_VALUE"""),68.0)</f>
        <v>68</v>
      </c>
      <c r="F6001" s="19" t="str">
        <f>IFERROR(__xludf.DUMMYFUNCTION("""COMPUTED_VALUE"""),"BLACK")</f>
        <v>BLACK</v>
      </c>
      <c r="G6001" s="20" t="str">
        <f>IFERROR(__xludf.DUMMYFUNCTION("""COMPUTED_VALUE"""),"Uncle Sams Cider (04/04/2023)")</f>
        <v>Uncle Sams Cider (04/04/2023)</v>
      </c>
      <c r="H6001" s="19"/>
    </row>
    <row r="6002">
      <c r="A6002" s="9"/>
      <c r="B6002" s="15"/>
      <c r="C6002" s="9">
        <f>IFERROR(__xludf.DUMMYFUNCTION("""COMPUTED_VALUE"""),45081.6867779166)</f>
        <v>45081.68678</v>
      </c>
      <c r="D6002" s="15">
        <f>IFERROR(__xludf.DUMMYFUNCTION("""COMPUTED_VALUE"""),1.008)</f>
        <v>1.008</v>
      </c>
      <c r="E6002" s="16">
        <f>IFERROR(__xludf.DUMMYFUNCTION("""COMPUTED_VALUE"""),68.0)</f>
        <v>68</v>
      </c>
      <c r="F6002" s="19" t="str">
        <f>IFERROR(__xludf.DUMMYFUNCTION("""COMPUTED_VALUE"""),"BLACK")</f>
        <v>BLACK</v>
      </c>
      <c r="G6002" s="20" t="str">
        <f>IFERROR(__xludf.DUMMYFUNCTION("""COMPUTED_VALUE"""),"Uncle Sams Cider (04/04/2023)")</f>
        <v>Uncle Sams Cider (04/04/2023)</v>
      </c>
      <c r="H6002" s="19"/>
    </row>
    <row r="6003">
      <c r="A6003" s="9"/>
      <c r="B6003" s="15"/>
      <c r="C6003" s="9">
        <f>IFERROR(__xludf.DUMMYFUNCTION("""COMPUTED_VALUE"""),45081.6763451388)</f>
        <v>45081.67635</v>
      </c>
      <c r="D6003" s="15">
        <f>IFERROR(__xludf.DUMMYFUNCTION("""COMPUTED_VALUE"""),1.008)</f>
        <v>1.008</v>
      </c>
      <c r="E6003" s="16">
        <f>IFERROR(__xludf.DUMMYFUNCTION("""COMPUTED_VALUE"""),68.0)</f>
        <v>68</v>
      </c>
      <c r="F6003" s="19" t="str">
        <f>IFERROR(__xludf.DUMMYFUNCTION("""COMPUTED_VALUE"""),"BLACK")</f>
        <v>BLACK</v>
      </c>
      <c r="G6003" s="20" t="str">
        <f>IFERROR(__xludf.DUMMYFUNCTION("""COMPUTED_VALUE"""),"Uncle Sams Cider (04/04/2023)")</f>
        <v>Uncle Sams Cider (04/04/2023)</v>
      </c>
      <c r="H6003" s="19"/>
    </row>
    <row r="6004">
      <c r="A6004" s="9"/>
      <c r="B6004" s="15"/>
      <c r="C6004" s="9">
        <f>IFERROR(__xludf.DUMMYFUNCTION("""COMPUTED_VALUE"""),45081.665923993)</f>
        <v>45081.66592</v>
      </c>
      <c r="D6004" s="15">
        <f>IFERROR(__xludf.DUMMYFUNCTION("""COMPUTED_VALUE"""),1.008)</f>
        <v>1.008</v>
      </c>
      <c r="E6004" s="16">
        <f>IFERROR(__xludf.DUMMYFUNCTION("""COMPUTED_VALUE"""),68.0)</f>
        <v>68</v>
      </c>
      <c r="F6004" s="19" t="str">
        <f>IFERROR(__xludf.DUMMYFUNCTION("""COMPUTED_VALUE"""),"BLACK")</f>
        <v>BLACK</v>
      </c>
      <c r="G6004" s="20" t="str">
        <f>IFERROR(__xludf.DUMMYFUNCTION("""COMPUTED_VALUE"""),"Uncle Sams Cider (04/04/2023)")</f>
        <v>Uncle Sams Cider (04/04/2023)</v>
      </c>
      <c r="H6004" s="19"/>
    </row>
    <row r="6005">
      <c r="A6005" s="9"/>
      <c r="B6005" s="15"/>
      <c r="C6005" s="9">
        <f>IFERROR(__xludf.DUMMYFUNCTION("""COMPUTED_VALUE"""),45081.655503912)</f>
        <v>45081.6555</v>
      </c>
      <c r="D6005" s="15">
        <f>IFERROR(__xludf.DUMMYFUNCTION("""COMPUTED_VALUE"""),1.008)</f>
        <v>1.008</v>
      </c>
      <c r="E6005" s="16">
        <f>IFERROR(__xludf.DUMMYFUNCTION("""COMPUTED_VALUE"""),68.0)</f>
        <v>68</v>
      </c>
      <c r="F6005" s="19" t="str">
        <f>IFERROR(__xludf.DUMMYFUNCTION("""COMPUTED_VALUE"""),"BLACK")</f>
        <v>BLACK</v>
      </c>
      <c r="G6005" s="20" t="str">
        <f>IFERROR(__xludf.DUMMYFUNCTION("""COMPUTED_VALUE"""),"Uncle Sams Cider (04/04/2023)")</f>
        <v>Uncle Sams Cider (04/04/2023)</v>
      </c>
      <c r="H6005" s="19"/>
    </row>
    <row r="6006">
      <c r="A6006" s="9"/>
      <c r="B6006" s="15"/>
      <c r="C6006" s="9">
        <f>IFERROR(__xludf.DUMMYFUNCTION("""COMPUTED_VALUE"""),45081.6450826504)</f>
        <v>45081.64508</v>
      </c>
      <c r="D6006" s="15">
        <f>IFERROR(__xludf.DUMMYFUNCTION("""COMPUTED_VALUE"""),1.008)</f>
        <v>1.008</v>
      </c>
      <c r="E6006" s="16">
        <f>IFERROR(__xludf.DUMMYFUNCTION("""COMPUTED_VALUE"""),68.0)</f>
        <v>68</v>
      </c>
      <c r="F6006" s="19" t="str">
        <f>IFERROR(__xludf.DUMMYFUNCTION("""COMPUTED_VALUE"""),"BLACK")</f>
        <v>BLACK</v>
      </c>
      <c r="G6006" s="20" t="str">
        <f>IFERROR(__xludf.DUMMYFUNCTION("""COMPUTED_VALUE"""),"Uncle Sams Cider (04/04/2023)")</f>
        <v>Uncle Sams Cider (04/04/2023)</v>
      </c>
      <c r="H6006" s="19"/>
    </row>
    <row r="6007">
      <c r="A6007" s="9"/>
      <c r="B6007" s="15"/>
      <c r="C6007" s="9">
        <f>IFERROR(__xludf.DUMMYFUNCTION("""COMPUTED_VALUE"""),45081.6346504513)</f>
        <v>45081.63465</v>
      </c>
      <c r="D6007" s="15">
        <f>IFERROR(__xludf.DUMMYFUNCTION("""COMPUTED_VALUE"""),1.008)</f>
        <v>1.008</v>
      </c>
      <c r="E6007" s="16">
        <f>IFERROR(__xludf.DUMMYFUNCTION("""COMPUTED_VALUE"""),68.0)</f>
        <v>68</v>
      </c>
      <c r="F6007" s="19" t="str">
        <f>IFERROR(__xludf.DUMMYFUNCTION("""COMPUTED_VALUE"""),"BLACK")</f>
        <v>BLACK</v>
      </c>
      <c r="G6007" s="20" t="str">
        <f>IFERROR(__xludf.DUMMYFUNCTION("""COMPUTED_VALUE"""),"Uncle Sams Cider (04/04/2023)")</f>
        <v>Uncle Sams Cider (04/04/2023)</v>
      </c>
      <c r="H6007" s="19"/>
    </row>
    <row r="6008">
      <c r="A6008" s="9"/>
      <c r="B6008" s="15"/>
      <c r="C6008" s="9">
        <f>IFERROR(__xludf.DUMMYFUNCTION("""COMPUTED_VALUE"""),45081.6242289814)</f>
        <v>45081.62423</v>
      </c>
      <c r="D6008" s="15">
        <f>IFERROR(__xludf.DUMMYFUNCTION("""COMPUTED_VALUE"""),1.008)</f>
        <v>1.008</v>
      </c>
      <c r="E6008" s="16">
        <f>IFERROR(__xludf.DUMMYFUNCTION("""COMPUTED_VALUE"""),68.0)</f>
        <v>68</v>
      </c>
      <c r="F6008" s="19" t="str">
        <f>IFERROR(__xludf.DUMMYFUNCTION("""COMPUTED_VALUE"""),"BLACK")</f>
        <v>BLACK</v>
      </c>
      <c r="G6008" s="20" t="str">
        <f>IFERROR(__xludf.DUMMYFUNCTION("""COMPUTED_VALUE"""),"Uncle Sams Cider (04/04/2023)")</f>
        <v>Uncle Sams Cider (04/04/2023)</v>
      </c>
      <c r="H6008" s="19"/>
    </row>
    <row r="6009">
      <c r="A6009" s="9"/>
      <c r="B6009" s="15"/>
      <c r="C6009" s="9">
        <f>IFERROR(__xludf.DUMMYFUNCTION("""COMPUTED_VALUE"""),45081.6138090277)</f>
        <v>45081.61381</v>
      </c>
      <c r="D6009" s="15">
        <f>IFERROR(__xludf.DUMMYFUNCTION("""COMPUTED_VALUE"""),1.008)</f>
        <v>1.008</v>
      </c>
      <c r="E6009" s="16">
        <f>IFERROR(__xludf.DUMMYFUNCTION("""COMPUTED_VALUE"""),68.0)</f>
        <v>68</v>
      </c>
      <c r="F6009" s="19" t="str">
        <f>IFERROR(__xludf.DUMMYFUNCTION("""COMPUTED_VALUE"""),"BLACK")</f>
        <v>BLACK</v>
      </c>
      <c r="G6009" s="20" t="str">
        <f>IFERROR(__xludf.DUMMYFUNCTION("""COMPUTED_VALUE"""),"Uncle Sams Cider (04/04/2023)")</f>
        <v>Uncle Sams Cider (04/04/2023)</v>
      </c>
      <c r="H6009" s="19"/>
    </row>
    <row r="6010">
      <c r="A6010" s="9"/>
      <c r="B6010" s="15"/>
      <c r="C6010" s="9">
        <f>IFERROR(__xludf.DUMMYFUNCTION("""COMPUTED_VALUE"""),45081.6033744213)</f>
        <v>45081.60337</v>
      </c>
      <c r="D6010" s="15">
        <f>IFERROR(__xludf.DUMMYFUNCTION("""COMPUTED_VALUE"""),1.008)</f>
        <v>1.008</v>
      </c>
      <c r="E6010" s="16">
        <f>IFERROR(__xludf.DUMMYFUNCTION("""COMPUTED_VALUE"""),68.0)</f>
        <v>68</v>
      </c>
      <c r="F6010" s="19" t="str">
        <f>IFERROR(__xludf.DUMMYFUNCTION("""COMPUTED_VALUE"""),"BLACK")</f>
        <v>BLACK</v>
      </c>
      <c r="G6010" s="20" t="str">
        <f>IFERROR(__xludf.DUMMYFUNCTION("""COMPUTED_VALUE"""),"Uncle Sams Cider (04/04/2023)")</f>
        <v>Uncle Sams Cider (04/04/2023)</v>
      </c>
      <c r="H6010" s="19"/>
    </row>
    <row r="6011">
      <c r="A6011" s="9"/>
      <c r="B6011" s="15"/>
      <c r="C6011" s="9">
        <f>IFERROR(__xludf.DUMMYFUNCTION("""COMPUTED_VALUE"""),45081.5929556365)</f>
        <v>45081.59296</v>
      </c>
      <c r="D6011" s="15">
        <f>IFERROR(__xludf.DUMMYFUNCTION("""COMPUTED_VALUE"""),1.008)</f>
        <v>1.008</v>
      </c>
      <c r="E6011" s="16">
        <f>IFERROR(__xludf.DUMMYFUNCTION("""COMPUTED_VALUE"""),68.0)</f>
        <v>68</v>
      </c>
      <c r="F6011" s="19" t="str">
        <f>IFERROR(__xludf.DUMMYFUNCTION("""COMPUTED_VALUE"""),"BLACK")</f>
        <v>BLACK</v>
      </c>
      <c r="G6011" s="20" t="str">
        <f>IFERROR(__xludf.DUMMYFUNCTION("""COMPUTED_VALUE"""),"Uncle Sams Cider (04/04/2023)")</f>
        <v>Uncle Sams Cider (04/04/2023)</v>
      </c>
      <c r="H6011" s="19"/>
    </row>
    <row r="6012">
      <c r="A6012" s="9"/>
      <c r="B6012" s="15"/>
      <c r="C6012" s="9">
        <f>IFERROR(__xludf.DUMMYFUNCTION("""COMPUTED_VALUE"""),45081.5825374074)</f>
        <v>45081.58254</v>
      </c>
      <c r="D6012" s="15">
        <f>IFERROR(__xludf.DUMMYFUNCTION("""COMPUTED_VALUE"""),1.008)</f>
        <v>1.008</v>
      </c>
      <c r="E6012" s="16">
        <f>IFERROR(__xludf.DUMMYFUNCTION("""COMPUTED_VALUE"""),68.0)</f>
        <v>68</v>
      </c>
      <c r="F6012" s="19" t="str">
        <f>IFERROR(__xludf.DUMMYFUNCTION("""COMPUTED_VALUE"""),"BLACK")</f>
        <v>BLACK</v>
      </c>
      <c r="G6012" s="20" t="str">
        <f>IFERROR(__xludf.DUMMYFUNCTION("""COMPUTED_VALUE"""),"Uncle Sams Cider (04/04/2023)")</f>
        <v>Uncle Sams Cider (04/04/2023)</v>
      </c>
      <c r="H6012" s="19"/>
    </row>
    <row r="6013">
      <c r="A6013" s="9"/>
      <c r="B6013" s="15"/>
      <c r="C6013" s="9">
        <f>IFERROR(__xludf.DUMMYFUNCTION("""COMPUTED_VALUE"""),45081.572116331)</f>
        <v>45081.57212</v>
      </c>
      <c r="D6013" s="15">
        <f>IFERROR(__xludf.DUMMYFUNCTION("""COMPUTED_VALUE"""),1.009)</f>
        <v>1.009</v>
      </c>
      <c r="E6013" s="16">
        <f>IFERROR(__xludf.DUMMYFUNCTION("""COMPUTED_VALUE"""),68.0)</f>
        <v>68</v>
      </c>
      <c r="F6013" s="19" t="str">
        <f>IFERROR(__xludf.DUMMYFUNCTION("""COMPUTED_VALUE"""),"BLACK")</f>
        <v>BLACK</v>
      </c>
      <c r="G6013" s="20" t="str">
        <f>IFERROR(__xludf.DUMMYFUNCTION("""COMPUTED_VALUE"""),"Uncle Sams Cider (04/04/2023)")</f>
        <v>Uncle Sams Cider (04/04/2023)</v>
      </c>
      <c r="H6013" s="19"/>
    </row>
    <row r="6014">
      <c r="A6014" s="9"/>
      <c r="B6014" s="15"/>
      <c r="C6014" s="9">
        <f>IFERROR(__xludf.DUMMYFUNCTION("""COMPUTED_VALUE"""),45081.5616943865)</f>
        <v>45081.56169</v>
      </c>
      <c r="D6014" s="15">
        <f>IFERROR(__xludf.DUMMYFUNCTION("""COMPUTED_VALUE"""),1.008)</f>
        <v>1.008</v>
      </c>
      <c r="E6014" s="16">
        <f>IFERROR(__xludf.DUMMYFUNCTION("""COMPUTED_VALUE"""),68.0)</f>
        <v>68</v>
      </c>
      <c r="F6014" s="19" t="str">
        <f>IFERROR(__xludf.DUMMYFUNCTION("""COMPUTED_VALUE"""),"BLACK")</f>
        <v>BLACK</v>
      </c>
      <c r="G6014" s="20" t="str">
        <f>IFERROR(__xludf.DUMMYFUNCTION("""COMPUTED_VALUE"""),"Uncle Sams Cider (04/04/2023)")</f>
        <v>Uncle Sams Cider (04/04/2023)</v>
      </c>
      <c r="H6014" s="19"/>
    </row>
    <row r="6015">
      <c r="A6015" s="9"/>
      <c r="B6015" s="15"/>
      <c r="C6015" s="9">
        <f>IFERROR(__xludf.DUMMYFUNCTION("""COMPUTED_VALUE"""),45081.5512723148)</f>
        <v>45081.55127</v>
      </c>
      <c r="D6015" s="15">
        <f>IFERROR(__xludf.DUMMYFUNCTION("""COMPUTED_VALUE"""),1.009)</f>
        <v>1.009</v>
      </c>
      <c r="E6015" s="16">
        <f>IFERROR(__xludf.DUMMYFUNCTION("""COMPUTED_VALUE"""),68.0)</f>
        <v>68</v>
      </c>
      <c r="F6015" s="19" t="str">
        <f>IFERROR(__xludf.DUMMYFUNCTION("""COMPUTED_VALUE"""),"BLACK")</f>
        <v>BLACK</v>
      </c>
      <c r="G6015" s="20" t="str">
        <f>IFERROR(__xludf.DUMMYFUNCTION("""COMPUTED_VALUE"""),"Uncle Sams Cider (04/04/2023)")</f>
        <v>Uncle Sams Cider (04/04/2023)</v>
      </c>
      <c r="H6015" s="19"/>
    </row>
    <row r="6016">
      <c r="A6016" s="9"/>
      <c r="B6016" s="15"/>
      <c r="C6016" s="9">
        <f>IFERROR(__xludf.DUMMYFUNCTION("""COMPUTED_VALUE"""),45081.5408510648)</f>
        <v>45081.54085</v>
      </c>
      <c r="D6016" s="15">
        <f>IFERROR(__xludf.DUMMYFUNCTION("""COMPUTED_VALUE"""),1.008)</f>
        <v>1.008</v>
      </c>
      <c r="E6016" s="16">
        <f>IFERROR(__xludf.DUMMYFUNCTION("""COMPUTED_VALUE"""),68.0)</f>
        <v>68</v>
      </c>
      <c r="F6016" s="19" t="str">
        <f>IFERROR(__xludf.DUMMYFUNCTION("""COMPUTED_VALUE"""),"BLACK")</f>
        <v>BLACK</v>
      </c>
      <c r="G6016" s="20" t="str">
        <f>IFERROR(__xludf.DUMMYFUNCTION("""COMPUTED_VALUE"""),"Uncle Sams Cider (04/04/2023)")</f>
        <v>Uncle Sams Cider (04/04/2023)</v>
      </c>
      <c r="H6016" s="19"/>
    </row>
    <row r="6017">
      <c r="A6017" s="9"/>
      <c r="B6017" s="15"/>
      <c r="C6017" s="9">
        <f>IFERROR(__xludf.DUMMYFUNCTION("""COMPUTED_VALUE"""),45081.5304297222)</f>
        <v>45081.53043</v>
      </c>
      <c r="D6017" s="15">
        <f>IFERROR(__xludf.DUMMYFUNCTION("""COMPUTED_VALUE"""),1.008)</f>
        <v>1.008</v>
      </c>
      <c r="E6017" s="16">
        <f>IFERROR(__xludf.DUMMYFUNCTION("""COMPUTED_VALUE"""),68.0)</f>
        <v>68</v>
      </c>
      <c r="F6017" s="19" t="str">
        <f>IFERROR(__xludf.DUMMYFUNCTION("""COMPUTED_VALUE"""),"BLACK")</f>
        <v>BLACK</v>
      </c>
      <c r="G6017" s="20" t="str">
        <f>IFERROR(__xludf.DUMMYFUNCTION("""COMPUTED_VALUE"""),"Uncle Sams Cider (04/04/2023)")</f>
        <v>Uncle Sams Cider (04/04/2023)</v>
      </c>
      <c r="H6017" s="19"/>
    </row>
    <row r="6018">
      <c r="A6018" s="9"/>
      <c r="B6018" s="15"/>
      <c r="C6018" s="9">
        <f>IFERROR(__xludf.DUMMYFUNCTION("""COMPUTED_VALUE"""),45081.5200080092)</f>
        <v>45081.52001</v>
      </c>
      <c r="D6018" s="15">
        <f>IFERROR(__xludf.DUMMYFUNCTION("""COMPUTED_VALUE"""),1.008)</f>
        <v>1.008</v>
      </c>
      <c r="E6018" s="16">
        <f>IFERROR(__xludf.DUMMYFUNCTION("""COMPUTED_VALUE"""),68.0)</f>
        <v>68</v>
      </c>
      <c r="F6018" s="19" t="str">
        <f>IFERROR(__xludf.DUMMYFUNCTION("""COMPUTED_VALUE"""),"BLACK")</f>
        <v>BLACK</v>
      </c>
      <c r="G6018" s="20" t="str">
        <f>IFERROR(__xludf.DUMMYFUNCTION("""COMPUTED_VALUE"""),"Uncle Sams Cider (04/04/2023)")</f>
        <v>Uncle Sams Cider (04/04/2023)</v>
      </c>
      <c r="H6018" s="19"/>
    </row>
    <row r="6019">
      <c r="A6019" s="9"/>
      <c r="B6019" s="15"/>
      <c r="C6019" s="9">
        <f>IFERROR(__xludf.DUMMYFUNCTION("""COMPUTED_VALUE"""),45081.5095877777)</f>
        <v>45081.50959</v>
      </c>
      <c r="D6019" s="15">
        <f>IFERROR(__xludf.DUMMYFUNCTION("""COMPUTED_VALUE"""),1.008)</f>
        <v>1.008</v>
      </c>
      <c r="E6019" s="16">
        <f>IFERROR(__xludf.DUMMYFUNCTION("""COMPUTED_VALUE"""),68.0)</f>
        <v>68</v>
      </c>
      <c r="F6019" s="19" t="str">
        <f>IFERROR(__xludf.DUMMYFUNCTION("""COMPUTED_VALUE"""),"BLACK")</f>
        <v>BLACK</v>
      </c>
      <c r="G6019" s="20" t="str">
        <f>IFERROR(__xludf.DUMMYFUNCTION("""COMPUTED_VALUE"""),"Uncle Sams Cider (04/04/2023)")</f>
        <v>Uncle Sams Cider (04/04/2023)</v>
      </c>
      <c r="H6019" s="19"/>
    </row>
    <row r="6020">
      <c r="A6020" s="9"/>
      <c r="B6020" s="15"/>
      <c r="C6020" s="9">
        <f>IFERROR(__xludf.DUMMYFUNCTION("""COMPUTED_VALUE"""),45081.499165625)</f>
        <v>45081.49917</v>
      </c>
      <c r="D6020" s="15">
        <f>IFERROR(__xludf.DUMMYFUNCTION("""COMPUTED_VALUE"""),1.008)</f>
        <v>1.008</v>
      </c>
      <c r="E6020" s="16">
        <f>IFERROR(__xludf.DUMMYFUNCTION("""COMPUTED_VALUE"""),68.0)</f>
        <v>68</v>
      </c>
      <c r="F6020" s="19" t="str">
        <f>IFERROR(__xludf.DUMMYFUNCTION("""COMPUTED_VALUE"""),"BLACK")</f>
        <v>BLACK</v>
      </c>
      <c r="G6020" s="20" t="str">
        <f>IFERROR(__xludf.DUMMYFUNCTION("""COMPUTED_VALUE"""),"Uncle Sams Cider (04/04/2023)")</f>
        <v>Uncle Sams Cider (04/04/2023)</v>
      </c>
      <c r="H6020" s="19"/>
    </row>
    <row r="6021">
      <c r="A6021" s="9"/>
      <c r="B6021" s="15"/>
      <c r="C6021" s="9">
        <f>IFERROR(__xludf.DUMMYFUNCTION("""COMPUTED_VALUE"""),45081.4887438541)</f>
        <v>45081.48874</v>
      </c>
      <c r="D6021" s="15">
        <f>IFERROR(__xludf.DUMMYFUNCTION("""COMPUTED_VALUE"""),1.008)</f>
        <v>1.008</v>
      </c>
      <c r="E6021" s="16">
        <f>IFERROR(__xludf.DUMMYFUNCTION("""COMPUTED_VALUE"""),68.0)</f>
        <v>68</v>
      </c>
      <c r="F6021" s="19" t="str">
        <f>IFERROR(__xludf.DUMMYFUNCTION("""COMPUTED_VALUE"""),"BLACK")</f>
        <v>BLACK</v>
      </c>
      <c r="G6021" s="20" t="str">
        <f>IFERROR(__xludf.DUMMYFUNCTION("""COMPUTED_VALUE"""),"Uncle Sams Cider (04/04/2023)")</f>
        <v>Uncle Sams Cider (04/04/2023)</v>
      </c>
      <c r="H6021" s="19"/>
    </row>
    <row r="6022">
      <c r="A6022" s="9"/>
      <c r="B6022" s="15"/>
      <c r="C6022" s="9">
        <f>IFERROR(__xludf.DUMMYFUNCTION("""COMPUTED_VALUE"""),45081.4783218865)</f>
        <v>45081.47832</v>
      </c>
      <c r="D6022" s="15">
        <f>IFERROR(__xludf.DUMMYFUNCTION("""COMPUTED_VALUE"""),1.008)</f>
        <v>1.008</v>
      </c>
      <c r="E6022" s="16">
        <f>IFERROR(__xludf.DUMMYFUNCTION("""COMPUTED_VALUE"""),68.0)</f>
        <v>68</v>
      </c>
      <c r="F6022" s="19" t="str">
        <f>IFERROR(__xludf.DUMMYFUNCTION("""COMPUTED_VALUE"""),"BLACK")</f>
        <v>BLACK</v>
      </c>
      <c r="G6022" s="20" t="str">
        <f>IFERROR(__xludf.DUMMYFUNCTION("""COMPUTED_VALUE"""),"Uncle Sams Cider (04/04/2023)")</f>
        <v>Uncle Sams Cider (04/04/2023)</v>
      </c>
      <c r="H6022" s="19"/>
    </row>
    <row r="6023">
      <c r="A6023" s="9"/>
      <c r="B6023" s="15"/>
      <c r="C6023" s="9">
        <f>IFERROR(__xludf.DUMMYFUNCTION("""COMPUTED_VALUE"""),45081.4678999537)</f>
        <v>45081.4679</v>
      </c>
      <c r="D6023" s="15">
        <f>IFERROR(__xludf.DUMMYFUNCTION("""COMPUTED_VALUE"""),1.008)</f>
        <v>1.008</v>
      </c>
      <c r="E6023" s="16">
        <f>IFERROR(__xludf.DUMMYFUNCTION("""COMPUTED_VALUE"""),68.0)</f>
        <v>68</v>
      </c>
      <c r="F6023" s="19" t="str">
        <f>IFERROR(__xludf.DUMMYFUNCTION("""COMPUTED_VALUE"""),"BLACK")</f>
        <v>BLACK</v>
      </c>
      <c r="G6023" s="20" t="str">
        <f>IFERROR(__xludf.DUMMYFUNCTION("""COMPUTED_VALUE"""),"Uncle Sams Cider (04/04/2023)")</f>
        <v>Uncle Sams Cider (04/04/2023)</v>
      </c>
      <c r="H6023" s="19"/>
    </row>
    <row r="6024">
      <c r="A6024" s="9"/>
      <c r="B6024" s="15"/>
      <c r="C6024" s="9">
        <f>IFERROR(__xludf.DUMMYFUNCTION("""COMPUTED_VALUE"""),45081.4574558333)</f>
        <v>45081.45746</v>
      </c>
      <c r="D6024" s="15">
        <f>IFERROR(__xludf.DUMMYFUNCTION("""COMPUTED_VALUE"""),1.008)</f>
        <v>1.008</v>
      </c>
      <c r="E6024" s="16">
        <f>IFERROR(__xludf.DUMMYFUNCTION("""COMPUTED_VALUE"""),68.0)</f>
        <v>68</v>
      </c>
      <c r="F6024" s="19" t="str">
        <f>IFERROR(__xludf.DUMMYFUNCTION("""COMPUTED_VALUE"""),"BLACK")</f>
        <v>BLACK</v>
      </c>
      <c r="G6024" s="20" t="str">
        <f>IFERROR(__xludf.DUMMYFUNCTION("""COMPUTED_VALUE"""),"Uncle Sams Cider (04/04/2023)")</f>
        <v>Uncle Sams Cider (04/04/2023)</v>
      </c>
      <c r="H6024" s="19"/>
    </row>
    <row r="6025">
      <c r="A6025" s="9"/>
      <c r="B6025" s="15"/>
      <c r="C6025" s="9">
        <f>IFERROR(__xludf.DUMMYFUNCTION("""COMPUTED_VALUE"""),45081.4470333217)</f>
        <v>45081.44703</v>
      </c>
      <c r="D6025" s="15">
        <f>IFERROR(__xludf.DUMMYFUNCTION("""COMPUTED_VALUE"""),1.008)</f>
        <v>1.008</v>
      </c>
      <c r="E6025" s="16">
        <f>IFERROR(__xludf.DUMMYFUNCTION("""COMPUTED_VALUE"""),68.0)</f>
        <v>68</v>
      </c>
      <c r="F6025" s="19" t="str">
        <f>IFERROR(__xludf.DUMMYFUNCTION("""COMPUTED_VALUE"""),"BLACK")</f>
        <v>BLACK</v>
      </c>
      <c r="G6025" s="20" t="str">
        <f>IFERROR(__xludf.DUMMYFUNCTION("""COMPUTED_VALUE"""),"Uncle Sams Cider (04/04/2023)")</f>
        <v>Uncle Sams Cider (04/04/2023)</v>
      </c>
      <c r="H6025" s="19"/>
    </row>
    <row r="6026">
      <c r="A6026" s="9"/>
      <c r="B6026" s="15"/>
      <c r="C6026" s="9">
        <f>IFERROR(__xludf.DUMMYFUNCTION("""COMPUTED_VALUE"""),45081.4366102777)</f>
        <v>45081.43661</v>
      </c>
      <c r="D6026" s="15">
        <f>IFERROR(__xludf.DUMMYFUNCTION("""COMPUTED_VALUE"""),1.008)</f>
        <v>1.008</v>
      </c>
      <c r="E6026" s="16">
        <f>IFERROR(__xludf.DUMMYFUNCTION("""COMPUTED_VALUE"""),68.0)</f>
        <v>68</v>
      </c>
      <c r="F6026" s="19" t="str">
        <f>IFERROR(__xludf.DUMMYFUNCTION("""COMPUTED_VALUE"""),"BLACK")</f>
        <v>BLACK</v>
      </c>
      <c r="G6026" s="20" t="str">
        <f>IFERROR(__xludf.DUMMYFUNCTION("""COMPUTED_VALUE"""),"Uncle Sams Cider (04/04/2023)")</f>
        <v>Uncle Sams Cider (04/04/2023)</v>
      </c>
      <c r="H6026" s="19"/>
    </row>
    <row r="6027">
      <c r="A6027" s="9"/>
      <c r="B6027" s="15"/>
      <c r="C6027" s="9">
        <f>IFERROR(__xludf.DUMMYFUNCTION("""COMPUTED_VALUE"""),45081.4261898495)</f>
        <v>45081.42619</v>
      </c>
      <c r="D6027" s="15">
        <f>IFERROR(__xludf.DUMMYFUNCTION("""COMPUTED_VALUE"""),1.008)</f>
        <v>1.008</v>
      </c>
      <c r="E6027" s="16">
        <f>IFERROR(__xludf.DUMMYFUNCTION("""COMPUTED_VALUE"""),68.0)</f>
        <v>68</v>
      </c>
      <c r="F6027" s="19" t="str">
        <f>IFERROR(__xludf.DUMMYFUNCTION("""COMPUTED_VALUE"""),"BLACK")</f>
        <v>BLACK</v>
      </c>
      <c r="G6027" s="20" t="str">
        <f>IFERROR(__xludf.DUMMYFUNCTION("""COMPUTED_VALUE"""),"Uncle Sams Cider (04/04/2023)")</f>
        <v>Uncle Sams Cider (04/04/2023)</v>
      </c>
      <c r="H6027" s="19"/>
    </row>
    <row r="6028">
      <c r="A6028" s="9"/>
      <c r="B6028" s="15"/>
      <c r="C6028" s="9">
        <f>IFERROR(__xludf.DUMMYFUNCTION("""COMPUTED_VALUE"""),45081.4157682175)</f>
        <v>45081.41577</v>
      </c>
      <c r="D6028" s="15">
        <f>IFERROR(__xludf.DUMMYFUNCTION("""COMPUTED_VALUE"""),1.008)</f>
        <v>1.008</v>
      </c>
      <c r="E6028" s="16">
        <f>IFERROR(__xludf.DUMMYFUNCTION("""COMPUTED_VALUE"""),68.0)</f>
        <v>68</v>
      </c>
      <c r="F6028" s="19" t="str">
        <f>IFERROR(__xludf.DUMMYFUNCTION("""COMPUTED_VALUE"""),"BLACK")</f>
        <v>BLACK</v>
      </c>
      <c r="G6028" s="20" t="str">
        <f>IFERROR(__xludf.DUMMYFUNCTION("""COMPUTED_VALUE"""),"Uncle Sams Cider (04/04/2023)")</f>
        <v>Uncle Sams Cider (04/04/2023)</v>
      </c>
      <c r="H6028" s="19"/>
    </row>
    <row r="6029">
      <c r="A6029" s="9"/>
      <c r="B6029" s="15"/>
      <c r="C6029" s="9">
        <f>IFERROR(__xludf.DUMMYFUNCTION("""COMPUTED_VALUE"""),45081.4053492708)</f>
        <v>45081.40535</v>
      </c>
      <c r="D6029" s="15">
        <f>IFERROR(__xludf.DUMMYFUNCTION("""COMPUTED_VALUE"""),1.008)</f>
        <v>1.008</v>
      </c>
      <c r="E6029" s="16">
        <f>IFERROR(__xludf.DUMMYFUNCTION("""COMPUTED_VALUE"""),68.0)</f>
        <v>68</v>
      </c>
      <c r="F6029" s="19" t="str">
        <f>IFERROR(__xludf.DUMMYFUNCTION("""COMPUTED_VALUE"""),"BLACK")</f>
        <v>BLACK</v>
      </c>
      <c r="G6029" s="20" t="str">
        <f>IFERROR(__xludf.DUMMYFUNCTION("""COMPUTED_VALUE"""),"Uncle Sams Cider (04/04/2023)")</f>
        <v>Uncle Sams Cider (04/04/2023)</v>
      </c>
      <c r="H6029" s="19"/>
    </row>
    <row r="6030">
      <c r="A6030" s="9"/>
      <c r="B6030" s="15"/>
      <c r="C6030" s="9">
        <f>IFERROR(__xludf.DUMMYFUNCTION("""COMPUTED_VALUE"""),45081.3949055555)</f>
        <v>45081.39491</v>
      </c>
      <c r="D6030" s="15">
        <f>IFERROR(__xludf.DUMMYFUNCTION("""COMPUTED_VALUE"""),1.008)</f>
        <v>1.008</v>
      </c>
      <c r="E6030" s="16">
        <f>IFERROR(__xludf.DUMMYFUNCTION("""COMPUTED_VALUE"""),68.0)</f>
        <v>68</v>
      </c>
      <c r="F6030" s="19" t="str">
        <f>IFERROR(__xludf.DUMMYFUNCTION("""COMPUTED_VALUE"""),"BLACK")</f>
        <v>BLACK</v>
      </c>
      <c r="G6030" s="20" t="str">
        <f>IFERROR(__xludf.DUMMYFUNCTION("""COMPUTED_VALUE"""),"Uncle Sams Cider (04/04/2023)")</f>
        <v>Uncle Sams Cider (04/04/2023)</v>
      </c>
      <c r="H6030" s="19"/>
    </row>
    <row r="6031">
      <c r="A6031" s="9"/>
      <c r="B6031" s="15"/>
      <c r="C6031" s="9">
        <f>IFERROR(__xludf.DUMMYFUNCTION("""COMPUTED_VALUE"""),45081.3844831713)</f>
        <v>45081.38448</v>
      </c>
      <c r="D6031" s="15">
        <f>IFERROR(__xludf.DUMMYFUNCTION("""COMPUTED_VALUE"""),1.009)</f>
        <v>1.009</v>
      </c>
      <c r="E6031" s="16">
        <f>IFERROR(__xludf.DUMMYFUNCTION("""COMPUTED_VALUE"""),68.0)</f>
        <v>68</v>
      </c>
      <c r="F6031" s="19" t="str">
        <f>IFERROR(__xludf.DUMMYFUNCTION("""COMPUTED_VALUE"""),"BLACK")</f>
        <v>BLACK</v>
      </c>
      <c r="G6031" s="20" t="str">
        <f>IFERROR(__xludf.DUMMYFUNCTION("""COMPUTED_VALUE"""),"Uncle Sams Cider (04/04/2023)")</f>
        <v>Uncle Sams Cider (04/04/2023)</v>
      </c>
      <c r="H6031" s="19"/>
    </row>
    <row r="6032">
      <c r="A6032" s="9"/>
      <c r="B6032" s="15"/>
      <c r="C6032" s="9">
        <f>IFERROR(__xludf.DUMMYFUNCTION("""COMPUTED_VALUE"""),45081.3740248842)</f>
        <v>45081.37402</v>
      </c>
      <c r="D6032" s="15">
        <f>IFERROR(__xludf.DUMMYFUNCTION("""COMPUTED_VALUE"""),1.008)</f>
        <v>1.008</v>
      </c>
      <c r="E6032" s="16">
        <f>IFERROR(__xludf.DUMMYFUNCTION("""COMPUTED_VALUE"""),68.0)</f>
        <v>68</v>
      </c>
      <c r="F6032" s="19" t="str">
        <f>IFERROR(__xludf.DUMMYFUNCTION("""COMPUTED_VALUE"""),"BLACK")</f>
        <v>BLACK</v>
      </c>
      <c r="G6032" s="20" t="str">
        <f>IFERROR(__xludf.DUMMYFUNCTION("""COMPUTED_VALUE"""),"Uncle Sams Cider (04/04/2023)")</f>
        <v>Uncle Sams Cider (04/04/2023)</v>
      </c>
      <c r="H6032" s="19"/>
    </row>
    <row r="6033">
      <c r="A6033" s="9"/>
      <c r="B6033" s="15"/>
      <c r="C6033" s="9">
        <f>IFERROR(__xludf.DUMMYFUNCTION("""COMPUTED_VALUE"""),45081.363604618)</f>
        <v>45081.3636</v>
      </c>
      <c r="D6033" s="15">
        <f>IFERROR(__xludf.DUMMYFUNCTION("""COMPUTED_VALUE"""),1.008)</f>
        <v>1.008</v>
      </c>
      <c r="E6033" s="16">
        <f>IFERROR(__xludf.DUMMYFUNCTION("""COMPUTED_VALUE"""),68.0)</f>
        <v>68</v>
      </c>
      <c r="F6033" s="19" t="str">
        <f>IFERROR(__xludf.DUMMYFUNCTION("""COMPUTED_VALUE"""),"BLACK")</f>
        <v>BLACK</v>
      </c>
      <c r="G6033" s="20" t="str">
        <f>IFERROR(__xludf.DUMMYFUNCTION("""COMPUTED_VALUE"""),"Uncle Sams Cider (04/04/2023)")</f>
        <v>Uncle Sams Cider (04/04/2023)</v>
      </c>
      <c r="H6033" s="19"/>
    </row>
    <row r="6034">
      <c r="A6034" s="9"/>
      <c r="B6034" s="15"/>
      <c r="C6034" s="9">
        <f>IFERROR(__xludf.DUMMYFUNCTION("""COMPUTED_VALUE"""),45081.3531715046)</f>
        <v>45081.35317</v>
      </c>
      <c r="D6034" s="15">
        <f>IFERROR(__xludf.DUMMYFUNCTION("""COMPUTED_VALUE"""),1.008)</f>
        <v>1.008</v>
      </c>
      <c r="E6034" s="16">
        <f>IFERROR(__xludf.DUMMYFUNCTION("""COMPUTED_VALUE"""),68.0)</f>
        <v>68</v>
      </c>
      <c r="F6034" s="19" t="str">
        <f>IFERROR(__xludf.DUMMYFUNCTION("""COMPUTED_VALUE"""),"BLACK")</f>
        <v>BLACK</v>
      </c>
      <c r="G6034" s="20" t="str">
        <f>IFERROR(__xludf.DUMMYFUNCTION("""COMPUTED_VALUE"""),"Uncle Sams Cider (04/04/2023)")</f>
        <v>Uncle Sams Cider (04/04/2023)</v>
      </c>
      <c r="H6034" s="19"/>
    </row>
    <row r="6035">
      <c r="A6035" s="9"/>
      <c r="B6035" s="15"/>
      <c r="C6035" s="9">
        <f>IFERROR(__xludf.DUMMYFUNCTION("""COMPUTED_VALUE"""),45081.3427504861)</f>
        <v>45081.34275</v>
      </c>
      <c r="D6035" s="15">
        <f>IFERROR(__xludf.DUMMYFUNCTION("""COMPUTED_VALUE"""),1.008)</f>
        <v>1.008</v>
      </c>
      <c r="E6035" s="16">
        <f>IFERROR(__xludf.DUMMYFUNCTION("""COMPUTED_VALUE"""),68.0)</f>
        <v>68</v>
      </c>
      <c r="F6035" s="19" t="str">
        <f>IFERROR(__xludf.DUMMYFUNCTION("""COMPUTED_VALUE"""),"BLACK")</f>
        <v>BLACK</v>
      </c>
      <c r="G6035" s="20" t="str">
        <f>IFERROR(__xludf.DUMMYFUNCTION("""COMPUTED_VALUE"""),"Uncle Sams Cider (04/04/2023)")</f>
        <v>Uncle Sams Cider (04/04/2023)</v>
      </c>
      <c r="H6035" s="19"/>
    </row>
    <row r="6036">
      <c r="A6036" s="9"/>
      <c r="B6036" s="15"/>
      <c r="C6036" s="9">
        <f>IFERROR(__xludf.DUMMYFUNCTION("""COMPUTED_VALUE"""),45081.3323307291)</f>
        <v>45081.33233</v>
      </c>
      <c r="D6036" s="15">
        <f>IFERROR(__xludf.DUMMYFUNCTION("""COMPUTED_VALUE"""),1.008)</f>
        <v>1.008</v>
      </c>
      <c r="E6036" s="16">
        <f>IFERROR(__xludf.DUMMYFUNCTION("""COMPUTED_VALUE"""),68.0)</f>
        <v>68</v>
      </c>
      <c r="F6036" s="19" t="str">
        <f>IFERROR(__xludf.DUMMYFUNCTION("""COMPUTED_VALUE"""),"BLACK")</f>
        <v>BLACK</v>
      </c>
      <c r="G6036" s="20" t="str">
        <f>IFERROR(__xludf.DUMMYFUNCTION("""COMPUTED_VALUE"""),"Uncle Sams Cider (04/04/2023)")</f>
        <v>Uncle Sams Cider (04/04/2023)</v>
      </c>
      <c r="H6036" s="19"/>
    </row>
    <row r="6037">
      <c r="A6037" s="9"/>
      <c r="B6037" s="15"/>
      <c r="C6037" s="9">
        <f>IFERROR(__xludf.DUMMYFUNCTION("""COMPUTED_VALUE"""),45081.3218868287)</f>
        <v>45081.32189</v>
      </c>
      <c r="D6037" s="15">
        <f>IFERROR(__xludf.DUMMYFUNCTION("""COMPUTED_VALUE"""),1.009)</f>
        <v>1.009</v>
      </c>
      <c r="E6037" s="16">
        <f>IFERROR(__xludf.DUMMYFUNCTION("""COMPUTED_VALUE"""),68.0)</f>
        <v>68</v>
      </c>
      <c r="F6037" s="19" t="str">
        <f>IFERROR(__xludf.DUMMYFUNCTION("""COMPUTED_VALUE"""),"BLACK")</f>
        <v>BLACK</v>
      </c>
      <c r="G6037" s="20" t="str">
        <f>IFERROR(__xludf.DUMMYFUNCTION("""COMPUTED_VALUE"""),"Uncle Sams Cider (04/04/2023)")</f>
        <v>Uncle Sams Cider (04/04/2023)</v>
      </c>
      <c r="H6037" s="19"/>
    </row>
    <row r="6038">
      <c r="A6038" s="9"/>
      <c r="B6038" s="15"/>
      <c r="C6038" s="9">
        <f>IFERROR(__xludf.DUMMYFUNCTION("""COMPUTED_VALUE"""),45081.3114668287)</f>
        <v>45081.31147</v>
      </c>
      <c r="D6038" s="15">
        <f>IFERROR(__xludf.DUMMYFUNCTION("""COMPUTED_VALUE"""),1.009)</f>
        <v>1.009</v>
      </c>
      <c r="E6038" s="16">
        <f>IFERROR(__xludf.DUMMYFUNCTION("""COMPUTED_VALUE"""),68.0)</f>
        <v>68</v>
      </c>
      <c r="F6038" s="19" t="str">
        <f>IFERROR(__xludf.DUMMYFUNCTION("""COMPUTED_VALUE"""),"BLACK")</f>
        <v>BLACK</v>
      </c>
      <c r="G6038" s="20" t="str">
        <f>IFERROR(__xludf.DUMMYFUNCTION("""COMPUTED_VALUE"""),"Uncle Sams Cider (04/04/2023)")</f>
        <v>Uncle Sams Cider (04/04/2023)</v>
      </c>
      <c r="H6038" s="19"/>
    </row>
    <row r="6039">
      <c r="A6039" s="9"/>
      <c r="B6039" s="15"/>
      <c r="C6039" s="9">
        <f>IFERROR(__xludf.DUMMYFUNCTION("""COMPUTED_VALUE"""),45081.301047199)</f>
        <v>45081.30105</v>
      </c>
      <c r="D6039" s="15">
        <f>IFERROR(__xludf.DUMMYFUNCTION("""COMPUTED_VALUE"""),1.009)</f>
        <v>1.009</v>
      </c>
      <c r="E6039" s="16">
        <f>IFERROR(__xludf.DUMMYFUNCTION("""COMPUTED_VALUE"""),68.0)</f>
        <v>68</v>
      </c>
      <c r="F6039" s="19" t="str">
        <f>IFERROR(__xludf.DUMMYFUNCTION("""COMPUTED_VALUE"""),"BLACK")</f>
        <v>BLACK</v>
      </c>
      <c r="G6039" s="20" t="str">
        <f>IFERROR(__xludf.DUMMYFUNCTION("""COMPUTED_VALUE"""),"Uncle Sams Cider (04/04/2023)")</f>
        <v>Uncle Sams Cider (04/04/2023)</v>
      </c>
      <c r="H6039" s="19"/>
    </row>
    <row r="6040">
      <c r="A6040" s="9"/>
      <c r="B6040" s="15"/>
      <c r="C6040" s="9">
        <f>IFERROR(__xludf.DUMMYFUNCTION("""COMPUTED_VALUE"""),45081.2906255902)</f>
        <v>45081.29063</v>
      </c>
      <c r="D6040" s="15">
        <f>IFERROR(__xludf.DUMMYFUNCTION("""COMPUTED_VALUE"""),1.008)</f>
        <v>1.008</v>
      </c>
      <c r="E6040" s="16">
        <f>IFERROR(__xludf.DUMMYFUNCTION("""COMPUTED_VALUE"""),68.0)</f>
        <v>68</v>
      </c>
      <c r="F6040" s="19" t="str">
        <f>IFERROR(__xludf.DUMMYFUNCTION("""COMPUTED_VALUE"""),"BLACK")</f>
        <v>BLACK</v>
      </c>
      <c r="G6040" s="20" t="str">
        <f>IFERROR(__xludf.DUMMYFUNCTION("""COMPUTED_VALUE"""),"Uncle Sams Cider (04/04/2023)")</f>
        <v>Uncle Sams Cider (04/04/2023)</v>
      </c>
      <c r="H6040" s="19"/>
    </row>
    <row r="6041">
      <c r="A6041" s="9"/>
      <c r="B6041" s="15"/>
      <c r="C6041" s="9">
        <f>IFERROR(__xludf.DUMMYFUNCTION("""COMPUTED_VALUE"""),45081.2802043055)</f>
        <v>45081.2802</v>
      </c>
      <c r="D6041" s="15">
        <f>IFERROR(__xludf.DUMMYFUNCTION("""COMPUTED_VALUE"""),1.008)</f>
        <v>1.008</v>
      </c>
      <c r="E6041" s="16">
        <f>IFERROR(__xludf.DUMMYFUNCTION("""COMPUTED_VALUE"""),68.0)</f>
        <v>68</v>
      </c>
      <c r="F6041" s="19" t="str">
        <f>IFERROR(__xludf.DUMMYFUNCTION("""COMPUTED_VALUE"""),"BLACK")</f>
        <v>BLACK</v>
      </c>
      <c r="G6041" s="20" t="str">
        <f>IFERROR(__xludf.DUMMYFUNCTION("""COMPUTED_VALUE"""),"Uncle Sams Cider (04/04/2023)")</f>
        <v>Uncle Sams Cider (04/04/2023)</v>
      </c>
      <c r="H6041" s="19"/>
    </row>
    <row r="6042">
      <c r="A6042" s="9"/>
      <c r="B6042" s="15"/>
      <c r="C6042" s="9">
        <f>IFERROR(__xludf.DUMMYFUNCTION("""COMPUTED_VALUE"""),45081.2697833217)</f>
        <v>45081.26978</v>
      </c>
      <c r="D6042" s="15">
        <f>IFERROR(__xludf.DUMMYFUNCTION("""COMPUTED_VALUE"""),1.009)</f>
        <v>1.009</v>
      </c>
      <c r="E6042" s="16">
        <f>IFERROR(__xludf.DUMMYFUNCTION("""COMPUTED_VALUE"""),68.0)</f>
        <v>68</v>
      </c>
      <c r="F6042" s="19" t="str">
        <f>IFERROR(__xludf.DUMMYFUNCTION("""COMPUTED_VALUE"""),"BLACK")</f>
        <v>BLACK</v>
      </c>
      <c r="G6042" s="20" t="str">
        <f>IFERROR(__xludf.DUMMYFUNCTION("""COMPUTED_VALUE"""),"Uncle Sams Cider (04/04/2023)")</f>
        <v>Uncle Sams Cider (04/04/2023)</v>
      </c>
      <c r="H6042" s="19"/>
    </row>
    <row r="6043">
      <c r="A6043" s="9"/>
      <c r="B6043" s="15"/>
      <c r="C6043" s="9">
        <f>IFERROR(__xludf.DUMMYFUNCTION("""COMPUTED_VALUE"""),45081.2593632639)</f>
        <v>45081.25936</v>
      </c>
      <c r="D6043" s="15">
        <f>IFERROR(__xludf.DUMMYFUNCTION("""COMPUTED_VALUE"""),1.008)</f>
        <v>1.008</v>
      </c>
      <c r="E6043" s="16">
        <f>IFERROR(__xludf.DUMMYFUNCTION("""COMPUTED_VALUE"""),68.0)</f>
        <v>68</v>
      </c>
      <c r="F6043" s="19" t="str">
        <f>IFERROR(__xludf.DUMMYFUNCTION("""COMPUTED_VALUE"""),"BLACK")</f>
        <v>BLACK</v>
      </c>
      <c r="G6043" s="20" t="str">
        <f>IFERROR(__xludf.DUMMYFUNCTION("""COMPUTED_VALUE"""),"Uncle Sams Cider (04/04/2023)")</f>
        <v>Uncle Sams Cider (04/04/2023)</v>
      </c>
      <c r="H6043" s="19"/>
    </row>
    <row r="6044">
      <c r="A6044" s="9"/>
      <c r="B6044" s="15"/>
      <c r="C6044" s="9">
        <f>IFERROR(__xludf.DUMMYFUNCTION("""COMPUTED_VALUE"""),45081.2489410416)</f>
        <v>45081.24894</v>
      </c>
      <c r="D6044" s="15">
        <f>IFERROR(__xludf.DUMMYFUNCTION("""COMPUTED_VALUE"""),1.008)</f>
        <v>1.008</v>
      </c>
      <c r="E6044" s="16">
        <f>IFERROR(__xludf.DUMMYFUNCTION("""COMPUTED_VALUE"""),68.0)</f>
        <v>68</v>
      </c>
      <c r="F6044" s="19" t="str">
        <f>IFERROR(__xludf.DUMMYFUNCTION("""COMPUTED_VALUE"""),"BLACK")</f>
        <v>BLACK</v>
      </c>
      <c r="G6044" s="20" t="str">
        <f>IFERROR(__xludf.DUMMYFUNCTION("""COMPUTED_VALUE"""),"Uncle Sams Cider (04/04/2023)")</f>
        <v>Uncle Sams Cider (04/04/2023)</v>
      </c>
      <c r="H6044" s="19"/>
    </row>
    <row r="6045">
      <c r="A6045" s="9"/>
      <c r="B6045" s="15"/>
      <c r="C6045" s="9">
        <f>IFERROR(__xludf.DUMMYFUNCTION("""COMPUTED_VALUE"""),45081.2385197106)</f>
        <v>45081.23852</v>
      </c>
      <c r="D6045" s="15">
        <f>IFERROR(__xludf.DUMMYFUNCTION("""COMPUTED_VALUE"""),1.008)</f>
        <v>1.008</v>
      </c>
      <c r="E6045" s="16">
        <f>IFERROR(__xludf.DUMMYFUNCTION("""COMPUTED_VALUE"""),68.0)</f>
        <v>68</v>
      </c>
      <c r="F6045" s="19" t="str">
        <f>IFERROR(__xludf.DUMMYFUNCTION("""COMPUTED_VALUE"""),"BLACK")</f>
        <v>BLACK</v>
      </c>
      <c r="G6045" s="20" t="str">
        <f>IFERROR(__xludf.DUMMYFUNCTION("""COMPUTED_VALUE"""),"Uncle Sams Cider (04/04/2023)")</f>
        <v>Uncle Sams Cider (04/04/2023)</v>
      </c>
      <c r="H6045" s="19"/>
    </row>
    <row r="6046">
      <c r="A6046" s="9"/>
      <c r="B6046" s="15"/>
      <c r="C6046" s="9">
        <f>IFERROR(__xludf.DUMMYFUNCTION("""COMPUTED_VALUE"""),45081.2281004861)</f>
        <v>45081.2281</v>
      </c>
      <c r="D6046" s="15">
        <f>IFERROR(__xludf.DUMMYFUNCTION("""COMPUTED_VALUE"""),1.008)</f>
        <v>1.008</v>
      </c>
      <c r="E6046" s="16">
        <f>IFERROR(__xludf.DUMMYFUNCTION("""COMPUTED_VALUE"""),68.0)</f>
        <v>68</v>
      </c>
      <c r="F6046" s="19" t="str">
        <f>IFERROR(__xludf.DUMMYFUNCTION("""COMPUTED_VALUE"""),"BLACK")</f>
        <v>BLACK</v>
      </c>
      <c r="G6046" s="20" t="str">
        <f>IFERROR(__xludf.DUMMYFUNCTION("""COMPUTED_VALUE"""),"Uncle Sams Cider (04/04/2023)")</f>
        <v>Uncle Sams Cider (04/04/2023)</v>
      </c>
      <c r="H6046" s="19"/>
    </row>
    <row r="6047">
      <c r="A6047" s="9"/>
      <c r="B6047" s="15"/>
      <c r="C6047" s="9">
        <f>IFERROR(__xludf.DUMMYFUNCTION("""COMPUTED_VALUE"""),45081.2176683333)</f>
        <v>45081.21767</v>
      </c>
      <c r="D6047" s="15">
        <f>IFERROR(__xludf.DUMMYFUNCTION("""COMPUTED_VALUE"""),1.008)</f>
        <v>1.008</v>
      </c>
      <c r="E6047" s="16">
        <f>IFERROR(__xludf.DUMMYFUNCTION("""COMPUTED_VALUE"""),68.0)</f>
        <v>68</v>
      </c>
      <c r="F6047" s="19" t="str">
        <f>IFERROR(__xludf.DUMMYFUNCTION("""COMPUTED_VALUE"""),"BLACK")</f>
        <v>BLACK</v>
      </c>
      <c r="G6047" s="20" t="str">
        <f>IFERROR(__xludf.DUMMYFUNCTION("""COMPUTED_VALUE"""),"Uncle Sams Cider (04/04/2023)")</f>
        <v>Uncle Sams Cider (04/04/2023)</v>
      </c>
      <c r="H6047" s="19"/>
    </row>
    <row r="6048">
      <c r="A6048" s="9"/>
      <c r="B6048" s="15"/>
      <c r="C6048" s="9">
        <f>IFERROR(__xludf.DUMMYFUNCTION("""COMPUTED_VALUE"""),45081.2072477777)</f>
        <v>45081.20725</v>
      </c>
      <c r="D6048" s="15">
        <f>IFERROR(__xludf.DUMMYFUNCTION("""COMPUTED_VALUE"""),1.008)</f>
        <v>1.008</v>
      </c>
      <c r="E6048" s="16">
        <f>IFERROR(__xludf.DUMMYFUNCTION("""COMPUTED_VALUE"""),68.0)</f>
        <v>68</v>
      </c>
      <c r="F6048" s="19" t="str">
        <f>IFERROR(__xludf.DUMMYFUNCTION("""COMPUTED_VALUE"""),"BLACK")</f>
        <v>BLACK</v>
      </c>
      <c r="G6048" s="20" t="str">
        <f>IFERROR(__xludf.DUMMYFUNCTION("""COMPUTED_VALUE"""),"Uncle Sams Cider (04/04/2023)")</f>
        <v>Uncle Sams Cider (04/04/2023)</v>
      </c>
      <c r="H6048" s="19"/>
    </row>
    <row r="6049">
      <c r="A6049" s="9"/>
      <c r="B6049" s="15"/>
      <c r="C6049" s="9">
        <f>IFERROR(__xludf.DUMMYFUNCTION("""COMPUTED_VALUE"""),45081.1968015277)</f>
        <v>45081.1968</v>
      </c>
      <c r="D6049" s="15">
        <f>IFERROR(__xludf.DUMMYFUNCTION("""COMPUTED_VALUE"""),1.009)</f>
        <v>1.009</v>
      </c>
      <c r="E6049" s="16">
        <f>IFERROR(__xludf.DUMMYFUNCTION("""COMPUTED_VALUE"""),68.0)</f>
        <v>68</v>
      </c>
      <c r="F6049" s="19" t="str">
        <f>IFERROR(__xludf.DUMMYFUNCTION("""COMPUTED_VALUE"""),"BLACK")</f>
        <v>BLACK</v>
      </c>
      <c r="G6049" s="20" t="str">
        <f>IFERROR(__xludf.DUMMYFUNCTION("""COMPUTED_VALUE"""),"Uncle Sams Cider (04/04/2023)")</f>
        <v>Uncle Sams Cider (04/04/2023)</v>
      </c>
      <c r="H6049" s="19"/>
    </row>
    <row r="6050">
      <c r="A6050" s="9"/>
      <c r="B6050" s="15"/>
      <c r="C6050" s="9">
        <f>IFERROR(__xludf.DUMMYFUNCTION("""COMPUTED_VALUE"""),45081.1863708796)</f>
        <v>45081.18637</v>
      </c>
      <c r="D6050" s="15">
        <f>IFERROR(__xludf.DUMMYFUNCTION("""COMPUTED_VALUE"""),1.008)</f>
        <v>1.008</v>
      </c>
      <c r="E6050" s="16">
        <f>IFERROR(__xludf.DUMMYFUNCTION("""COMPUTED_VALUE"""),68.0)</f>
        <v>68</v>
      </c>
      <c r="F6050" s="19" t="str">
        <f>IFERROR(__xludf.DUMMYFUNCTION("""COMPUTED_VALUE"""),"BLACK")</f>
        <v>BLACK</v>
      </c>
      <c r="G6050" s="20" t="str">
        <f>IFERROR(__xludf.DUMMYFUNCTION("""COMPUTED_VALUE"""),"Uncle Sams Cider (04/04/2023)")</f>
        <v>Uncle Sams Cider (04/04/2023)</v>
      </c>
      <c r="H6050" s="19"/>
    </row>
    <row r="6051">
      <c r="A6051" s="9"/>
      <c r="B6051" s="15"/>
      <c r="C6051" s="9">
        <f>IFERROR(__xludf.DUMMYFUNCTION("""COMPUTED_VALUE"""),45081.1759506481)</f>
        <v>45081.17595</v>
      </c>
      <c r="D6051" s="15">
        <f>IFERROR(__xludf.DUMMYFUNCTION("""COMPUTED_VALUE"""),1.008)</f>
        <v>1.008</v>
      </c>
      <c r="E6051" s="16">
        <f>IFERROR(__xludf.DUMMYFUNCTION("""COMPUTED_VALUE"""),68.0)</f>
        <v>68</v>
      </c>
      <c r="F6051" s="19" t="str">
        <f>IFERROR(__xludf.DUMMYFUNCTION("""COMPUTED_VALUE"""),"BLACK")</f>
        <v>BLACK</v>
      </c>
      <c r="G6051" s="20" t="str">
        <f>IFERROR(__xludf.DUMMYFUNCTION("""COMPUTED_VALUE"""),"Uncle Sams Cider (04/04/2023)")</f>
        <v>Uncle Sams Cider (04/04/2023)</v>
      </c>
      <c r="H6051" s="19"/>
    </row>
    <row r="6052">
      <c r="A6052" s="9"/>
      <c r="B6052" s="15"/>
      <c r="C6052" s="9">
        <f>IFERROR(__xludf.DUMMYFUNCTION("""COMPUTED_VALUE"""),45081.1655289814)</f>
        <v>45081.16553</v>
      </c>
      <c r="D6052" s="15">
        <f>IFERROR(__xludf.DUMMYFUNCTION("""COMPUTED_VALUE"""),1.008)</f>
        <v>1.008</v>
      </c>
      <c r="E6052" s="16">
        <f>IFERROR(__xludf.DUMMYFUNCTION("""COMPUTED_VALUE"""),68.0)</f>
        <v>68</v>
      </c>
      <c r="F6052" s="19" t="str">
        <f>IFERROR(__xludf.DUMMYFUNCTION("""COMPUTED_VALUE"""),"BLACK")</f>
        <v>BLACK</v>
      </c>
      <c r="G6052" s="20" t="str">
        <f>IFERROR(__xludf.DUMMYFUNCTION("""COMPUTED_VALUE"""),"Uncle Sams Cider (04/04/2023)")</f>
        <v>Uncle Sams Cider (04/04/2023)</v>
      </c>
      <c r="H6052" s="19"/>
    </row>
    <row r="6053">
      <c r="A6053" s="9"/>
      <c r="B6053" s="15"/>
      <c r="C6053" s="9">
        <f>IFERROR(__xludf.DUMMYFUNCTION("""COMPUTED_VALUE"""),45081.1550967245)</f>
        <v>45081.1551</v>
      </c>
      <c r="D6053" s="15">
        <f>IFERROR(__xludf.DUMMYFUNCTION("""COMPUTED_VALUE"""),1.009)</f>
        <v>1.009</v>
      </c>
      <c r="E6053" s="16">
        <f>IFERROR(__xludf.DUMMYFUNCTION("""COMPUTED_VALUE"""),68.0)</f>
        <v>68</v>
      </c>
      <c r="F6053" s="19" t="str">
        <f>IFERROR(__xludf.DUMMYFUNCTION("""COMPUTED_VALUE"""),"BLACK")</f>
        <v>BLACK</v>
      </c>
      <c r="G6053" s="20" t="str">
        <f>IFERROR(__xludf.DUMMYFUNCTION("""COMPUTED_VALUE"""),"Uncle Sams Cider (04/04/2023)")</f>
        <v>Uncle Sams Cider (04/04/2023)</v>
      </c>
      <c r="H6053" s="19"/>
    </row>
    <row r="6054">
      <c r="A6054" s="9"/>
      <c r="B6054" s="15"/>
      <c r="C6054" s="9">
        <f>IFERROR(__xludf.DUMMYFUNCTION("""COMPUTED_VALUE"""),45081.144665405)</f>
        <v>45081.14467</v>
      </c>
      <c r="D6054" s="15">
        <f>IFERROR(__xludf.DUMMYFUNCTION("""COMPUTED_VALUE"""),1.008)</f>
        <v>1.008</v>
      </c>
      <c r="E6054" s="16">
        <f>IFERROR(__xludf.DUMMYFUNCTION("""COMPUTED_VALUE"""),68.0)</f>
        <v>68</v>
      </c>
      <c r="F6054" s="19" t="str">
        <f>IFERROR(__xludf.DUMMYFUNCTION("""COMPUTED_VALUE"""),"BLACK")</f>
        <v>BLACK</v>
      </c>
      <c r="G6054" s="20" t="str">
        <f>IFERROR(__xludf.DUMMYFUNCTION("""COMPUTED_VALUE"""),"Uncle Sams Cider (04/04/2023)")</f>
        <v>Uncle Sams Cider (04/04/2023)</v>
      </c>
      <c r="H6054" s="19"/>
    </row>
    <row r="6055">
      <c r="A6055" s="9"/>
      <c r="B6055" s="15"/>
      <c r="C6055" s="9">
        <f>IFERROR(__xludf.DUMMYFUNCTION("""COMPUTED_VALUE"""),45081.134197581)</f>
        <v>45081.1342</v>
      </c>
      <c r="D6055" s="15">
        <f>IFERROR(__xludf.DUMMYFUNCTION("""COMPUTED_VALUE"""),1.008)</f>
        <v>1.008</v>
      </c>
      <c r="E6055" s="16">
        <f>IFERROR(__xludf.DUMMYFUNCTION("""COMPUTED_VALUE"""),68.0)</f>
        <v>68</v>
      </c>
      <c r="F6055" s="19" t="str">
        <f>IFERROR(__xludf.DUMMYFUNCTION("""COMPUTED_VALUE"""),"BLACK")</f>
        <v>BLACK</v>
      </c>
      <c r="G6055" s="20" t="str">
        <f>IFERROR(__xludf.DUMMYFUNCTION("""COMPUTED_VALUE"""),"Uncle Sams Cider (04/04/2023)")</f>
        <v>Uncle Sams Cider (04/04/2023)</v>
      </c>
      <c r="H6055" s="19"/>
    </row>
    <row r="6056">
      <c r="A6056" s="9"/>
      <c r="B6056" s="15"/>
      <c r="C6056" s="9">
        <f>IFERROR(__xludf.DUMMYFUNCTION("""COMPUTED_VALUE"""),45081.1237742708)</f>
        <v>45081.12377</v>
      </c>
      <c r="D6056" s="15">
        <f>IFERROR(__xludf.DUMMYFUNCTION("""COMPUTED_VALUE"""),1.008)</f>
        <v>1.008</v>
      </c>
      <c r="E6056" s="16">
        <f>IFERROR(__xludf.DUMMYFUNCTION("""COMPUTED_VALUE"""),68.0)</f>
        <v>68</v>
      </c>
      <c r="F6056" s="19" t="str">
        <f>IFERROR(__xludf.DUMMYFUNCTION("""COMPUTED_VALUE"""),"BLACK")</f>
        <v>BLACK</v>
      </c>
      <c r="G6056" s="20" t="str">
        <f>IFERROR(__xludf.DUMMYFUNCTION("""COMPUTED_VALUE"""),"Uncle Sams Cider (04/04/2023)")</f>
        <v>Uncle Sams Cider (04/04/2023)</v>
      </c>
      <c r="H6056" s="19"/>
    </row>
    <row r="6057">
      <c r="A6057" s="9"/>
      <c r="B6057" s="15"/>
      <c r="C6057" s="9">
        <f>IFERROR(__xludf.DUMMYFUNCTION("""COMPUTED_VALUE"""),45081.1133183217)</f>
        <v>45081.11332</v>
      </c>
      <c r="D6057" s="15">
        <f>IFERROR(__xludf.DUMMYFUNCTION("""COMPUTED_VALUE"""),1.008)</f>
        <v>1.008</v>
      </c>
      <c r="E6057" s="16">
        <f>IFERROR(__xludf.DUMMYFUNCTION("""COMPUTED_VALUE"""),68.0)</f>
        <v>68</v>
      </c>
      <c r="F6057" s="19" t="str">
        <f>IFERROR(__xludf.DUMMYFUNCTION("""COMPUTED_VALUE"""),"BLACK")</f>
        <v>BLACK</v>
      </c>
      <c r="G6057" s="20" t="str">
        <f>IFERROR(__xludf.DUMMYFUNCTION("""COMPUTED_VALUE"""),"Uncle Sams Cider (04/04/2023)")</f>
        <v>Uncle Sams Cider (04/04/2023)</v>
      </c>
      <c r="H6057" s="19"/>
    </row>
    <row r="6058">
      <c r="A6058" s="9"/>
      <c r="B6058" s="15"/>
      <c r="C6058" s="9">
        <f>IFERROR(__xludf.DUMMYFUNCTION("""COMPUTED_VALUE"""),45081.1028965277)</f>
        <v>45081.1029</v>
      </c>
      <c r="D6058" s="15">
        <f>IFERROR(__xludf.DUMMYFUNCTION("""COMPUTED_VALUE"""),1.008)</f>
        <v>1.008</v>
      </c>
      <c r="E6058" s="16">
        <f>IFERROR(__xludf.DUMMYFUNCTION("""COMPUTED_VALUE"""),68.0)</f>
        <v>68</v>
      </c>
      <c r="F6058" s="19" t="str">
        <f>IFERROR(__xludf.DUMMYFUNCTION("""COMPUTED_VALUE"""),"BLACK")</f>
        <v>BLACK</v>
      </c>
      <c r="G6058" s="20" t="str">
        <f>IFERROR(__xludf.DUMMYFUNCTION("""COMPUTED_VALUE"""),"Uncle Sams Cider (04/04/2023)")</f>
        <v>Uncle Sams Cider (04/04/2023)</v>
      </c>
      <c r="H6058" s="19"/>
    </row>
    <row r="6059">
      <c r="A6059" s="9"/>
      <c r="B6059" s="15"/>
      <c r="C6059" s="9">
        <f>IFERROR(__xludf.DUMMYFUNCTION("""COMPUTED_VALUE"""),45081.0924770601)</f>
        <v>45081.09248</v>
      </c>
      <c r="D6059" s="15">
        <f>IFERROR(__xludf.DUMMYFUNCTION("""COMPUTED_VALUE"""),1.009)</f>
        <v>1.009</v>
      </c>
      <c r="E6059" s="16">
        <f>IFERROR(__xludf.DUMMYFUNCTION("""COMPUTED_VALUE"""),68.0)</f>
        <v>68</v>
      </c>
      <c r="F6059" s="19" t="str">
        <f>IFERROR(__xludf.DUMMYFUNCTION("""COMPUTED_VALUE"""),"BLACK")</f>
        <v>BLACK</v>
      </c>
      <c r="G6059" s="20" t="str">
        <f>IFERROR(__xludf.DUMMYFUNCTION("""COMPUTED_VALUE"""),"Uncle Sams Cider (04/04/2023)")</f>
        <v>Uncle Sams Cider (04/04/2023)</v>
      </c>
      <c r="H6059" s="19"/>
    </row>
    <row r="6060">
      <c r="A6060" s="9"/>
      <c r="B6060" s="15"/>
      <c r="C6060" s="9">
        <f>IFERROR(__xludf.DUMMYFUNCTION("""COMPUTED_VALUE"""),45081.0820314467)</f>
        <v>45081.08203</v>
      </c>
      <c r="D6060" s="15">
        <f>IFERROR(__xludf.DUMMYFUNCTION("""COMPUTED_VALUE"""),1.009)</f>
        <v>1.009</v>
      </c>
      <c r="E6060" s="16">
        <f>IFERROR(__xludf.DUMMYFUNCTION("""COMPUTED_VALUE"""),68.0)</f>
        <v>68</v>
      </c>
      <c r="F6060" s="19" t="str">
        <f>IFERROR(__xludf.DUMMYFUNCTION("""COMPUTED_VALUE"""),"BLACK")</f>
        <v>BLACK</v>
      </c>
      <c r="G6060" s="20" t="str">
        <f>IFERROR(__xludf.DUMMYFUNCTION("""COMPUTED_VALUE"""),"Uncle Sams Cider (04/04/2023)")</f>
        <v>Uncle Sams Cider (04/04/2023)</v>
      </c>
      <c r="H6060" s="19"/>
    </row>
    <row r="6061">
      <c r="A6061" s="9"/>
      <c r="B6061" s="15"/>
      <c r="C6061" s="9">
        <f>IFERROR(__xludf.DUMMYFUNCTION("""COMPUTED_VALUE"""),45081.071598287)</f>
        <v>45081.0716</v>
      </c>
      <c r="D6061" s="15">
        <f>IFERROR(__xludf.DUMMYFUNCTION("""COMPUTED_VALUE"""),1.009)</f>
        <v>1.009</v>
      </c>
      <c r="E6061" s="16">
        <f>IFERROR(__xludf.DUMMYFUNCTION("""COMPUTED_VALUE"""),68.0)</f>
        <v>68</v>
      </c>
      <c r="F6061" s="19" t="str">
        <f>IFERROR(__xludf.DUMMYFUNCTION("""COMPUTED_VALUE"""),"BLACK")</f>
        <v>BLACK</v>
      </c>
      <c r="G6061" s="20" t="str">
        <f>IFERROR(__xludf.DUMMYFUNCTION("""COMPUTED_VALUE"""),"Uncle Sams Cider (04/04/2023)")</f>
        <v>Uncle Sams Cider (04/04/2023)</v>
      </c>
      <c r="H6061" s="19"/>
    </row>
    <row r="6062">
      <c r="A6062" s="9"/>
      <c r="B6062" s="15"/>
      <c r="C6062" s="9">
        <f>IFERROR(__xludf.DUMMYFUNCTION("""COMPUTED_VALUE"""),45081.0611781481)</f>
        <v>45081.06118</v>
      </c>
      <c r="D6062" s="15">
        <f>IFERROR(__xludf.DUMMYFUNCTION("""COMPUTED_VALUE"""),1.008)</f>
        <v>1.008</v>
      </c>
      <c r="E6062" s="16">
        <f>IFERROR(__xludf.DUMMYFUNCTION("""COMPUTED_VALUE"""),68.0)</f>
        <v>68</v>
      </c>
      <c r="F6062" s="19" t="str">
        <f>IFERROR(__xludf.DUMMYFUNCTION("""COMPUTED_VALUE"""),"BLACK")</f>
        <v>BLACK</v>
      </c>
      <c r="G6062" s="20" t="str">
        <f>IFERROR(__xludf.DUMMYFUNCTION("""COMPUTED_VALUE"""),"Uncle Sams Cider (04/04/2023)")</f>
        <v>Uncle Sams Cider (04/04/2023)</v>
      </c>
      <c r="H6062" s="19"/>
    </row>
    <row r="6063">
      <c r="A6063" s="9"/>
      <c r="B6063" s="15"/>
      <c r="C6063" s="9">
        <f>IFERROR(__xludf.DUMMYFUNCTION("""COMPUTED_VALUE"""),45081.0507563426)</f>
        <v>45081.05076</v>
      </c>
      <c r="D6063" s="15">
        <f>IFERROR(__xludf.DUMMYFUNCTION("""COMPUTED_VALUE"""),1.008)</f>
        <v>1.008</v>
      </c>
      <c r="E6063" s="16">
        <f>IFERROR(__xludf.DUMMYFUNCTION("""COMPUTED_VALUE"""),68.0)</f>
        <v>68</v>
      </c>
      <c r="F6063" s="19" t="str">
        <f>IFERROR(__xludf.DUMMYFUNCTION("""COMPUTED_VALUE"""),"BLACK")</f>
        <v>BLACK</v>
      </c>
      <c r="G6063" s="20" t="str">
        <f>IFERROR(__xludf.DUMMYFUNCTION("""COMPUTED_VALUE"""),"Uncle Sams Cider (04/04/2023)")</f>
        <v>Uncle Sams Cider (04/04/2023)</v>
      </c>
      <c r="H6063" s="19"/>
    </row>
    <row r="6064">
      <c r="A6064" s="9"/>
      <c r="B6064" s="15"/>
      <c r="C6064" s="9">
        <f>IFERROR(__xludf.DUMMYFUNCTION("""COMPUTED_VALUE"""),45081.040335)</f>
        <v>45081.04034</v>
      </c>
      <c r="D6064" s="15">
        <f>IFERROR(__xludf.DUMMYFUNCTION("""COMPUTED_VALUE"""),1.008)</f>
        <v>1.008</v>
      </c>
      <c r="E6064" s="16">
        <f>IFERROR(__xludf.DUMMYFUNCTION("""COMPUTED_VALUE"""),68.0)</f>
        <v>68</v>
      </c>
      <c r="F6064" s="19" t="str">
        <f>IFERROR(__xludf.DUMMYFUNCTION("""COMPUTED_VALUE"""),"BLACK")</f>
        <v>BLACK</v>
      </c>
      <c r="G6064" s="20" t="str">
        <f>IFERROR(__xludf.DUMMYFUNCTION("""COMPUTED_VALUE"""),"Uncle Sams Cider (04/04/2023)")</f>
        <v>Uncle Sams Cider (04/04/2023)</v>
      </c>
      <c r="H6064" s="19"/>
    </row>
    <row r="6065">
      <c r="A6065" s="9"/>
      <c r="B6065" s="15"/>
      <c r="C6065" s="9">
        <f>IFERROR(__xludf.DUMMYFUNCTION("""COMPUTED_VALUE"""),45081.0299126504)</f>
        <v>45081.02991</v>
      </c>
      <c r="D6065" s="15">
        <f>IFERROR(__xludf.DUMMYFUNCTION("""COMPUTED_VALUE"""),1.008)</f>
        <v>1.008</v>
      </c>
      <c r="E6065" s="16">
        <f>IFERROR(__xludf.DUMMYFUNCTION("""COMPUTED_VALUE"""),68.0)</f>
        <v>68</v>
      </c>
      <c r="F6065" s="19" t="str">
        <f>IFERROR(__xludf.DUMMYFUNCTION("""COMPUTED_VALUE"""),"BLACK")</f>
        <v>BLACK</v>
      </c>
      <c r="G6065" s="20" t="str">
        <f>IFERROR(__xludf.DUMMYFUNCTION("""COMPUTED_VALUE"""),"Uncle Sams Cider (04/04/2023)")</f>
        <v>Uncle Sams Cider (04/04/2023)</v>
      </c>
      <c r="H6065" s="19"/>
    </row>
    <row r="6066">
      <c r="A6066" s="9"/>
      <c r="B6066" s="15"/>
      <c r="C6066" s="9">
        <f>IFERROR(__xludf.DUMMYFUNCTION("""COMPUTED_VALUE"""),45081.0194902083)</f>
        <v>45081.01949</v>
      </c>
      <c r="D6066" s="15">
        <f>IFERROR(__xludf.DUMMYFUNCTION("""COMPUTED_VALUE"""),1.008)</f>
        <v>1.008</v>
      </c>
      <c r="E6066" s="16">
        <f>IFERROR(__xludf.DUMMYFUNCTION("""COMPUTED_VALUE"""),68.0)</f>
        <v>68</v>
      </c>
      <c r="F6066" s="19" t="str">
        <f>IFERROR(__xludf.DUMMYFUNCTION("""COMPUTED_VALUE"""),"BLACK")</f>
        <v>BLACK</v>
      </c>
      <c r="G6066" s="20" t="str">
        <f>IFERROR(__xludf.DUMMYFUNCTION("""COMPUTED_VALUE"""),"Uncle Sams Cider (04/04/2023)")</f>
        <v>Uncle Sams Cider (04/04/2023)</v>
      </c>
      <c r="H6066" s="19"/>
    </row>
    <row r="6067">
      <c r="A6067" s="9"/>
      <c r="B6067" s="15"/>
      <c r="C6067" s="9">
        <f>IFERROR(__xludf.DUMMYFUNCTION("""COMPUTED_VALUE"""),45081.0090693287)</f>
        <v>45081.00907</v>
      </c>
      <c r="D6067" s="15">
        <f>IFERROR(__xludf.DUMMYFUNCTION("""COMPUTED_VALUE"""),1.009)</f>
        <v>1.009</v>
      </c>
      <c r="E6067" s="16">
        <f>IFERROR(__xludf.DUMMYFUNCTION("""COMPUTED_VALUE"""),68.0)</f>
        <v>68</v>
      </c>
      <c r="F6067" s="19" t="str">
        <f>IFERROR(__xludf.DUMMYFUNCTION("""COMPUTED_VALUE"""),"BLACK")</f>
        <v>BLACK</v>
      </c>
      <c r="G6067" s="20" t="str">
        <f>IFERROR(__xludf.DUMMYFUNCTION("""COMPUTED_VALUE"""),"Uncle Sams Cider (04/04/2023)")</f>
        <v>Uncle Sams Cider (04/04/2023)</v>
      </c>
      <c r="H6067" s="19"/>
    </row>
    <row r="6068">
      <c r="A6068" s="9"/>
      <c r="B6068" s="15"/>
      <c r="C6068" s="9">
        <f>IFERROR(__xludf.DUMMYFUNCTION("""COMPUTED_VALUE"""),45080.9986463888)</f>
        <v>45080.99865</v>
      </c>
      <c r="D6068" s="15">
        <f>IFERROR(__xludf.DUMMYFUNCTION("""COMPUTED_VALUE"""),1.008)</f>
        <v>1.008</v>
      </c>
      <c r="E6068" s="16">
        <f>IFERROR(__xludf.DUMMYFUNCTION("""COMPUTED_VALUE"""),68.0)</f>
        <v>68</v>
      </c>
      <c r="F6068" s="19" t="str">
        <f>IFERROR(__xludf.DUMMYFUNCTION("""COMPUTED_VALUE"""),"BLACK")</f>
        <v>BLACK</v>
      </c>
      <c r="G6068" s="20" t="str">
        <f>IFERROR(__xludf.DUMMYFUNCTION("""COMPUTED_VALUE"""),"Uncle Sams Cider (04/04/2023)")</f>
        <v>Uncle Sams Cider (04/04/2023)</v>
      </c>
      <c r="H6068" s="19"/>
    </row>
    <row r="6069">
      <c r="A6069" s="9"/>
      <c r="B6069" s="15"/>
      <c r="C6069" s="9">
        <f>IFERROR(__xludf.DUMMYFUNCTION("""COMPUTED_VALUE"""),45080.9882249074)</f>
        <v>45080.98822</v>
      </c>
      <c r="D6069" s="15">
        <f>IFERROR(__xludf.DUMMYFUNCTION("""COMPUTED_VALUE"""),1.008)</f>
        <v>1.008</v>
      </c>
      <c r="E6069" s="16">
        <f>IFERROR(__xludf.DUMMYFUNCTION("""COMPUTED_VALUE"""),68.0)</f>
        <v>68</v>
      </c>
      <c r="F6069" s="19" t="str">
        <f>IFERROR(__xludf.DUMMYFUNCTION("""COMPUTED_VALUE"""),"BLACK")</f>
        <v>BLACK</v>
      </c>
      <c r="G6069" s="20" t="str">
        <f>IFERROR(__xludf.DUMMYFUNCTION("""COMPUTED_VALUE"""),"Uncle Sams Cider (04/04/2023)")</f>
        <v>Uncle Sams Cider (04/04/2023)</v>
      </c>
      <c r="H6069" s="19"/>
    </row>
    <row r="6070">
      <c r="A6070" s="9"/>
      <c r="B6070" s="15"/>
      <c r="C6070" s="9">
        <f>IFERROR(__xludf.DUMMYFUNCTION("""COMPUTED_VALUE"""),45080.9778033333)</f>
        <v>45080.9778</v>
      </c>
      <c r="D6070" s="15">
        <f>IFERROR(__xludf.DUMMYFUNCTION("""COMPUTED_VALUE"""),1.008)</f>
        <v>1.008</v>
      </c>
      <c r="E6070" s="16">
        <f>IFERROR(__xludf.DUMMYFUNCTION("""COMPUTED_VALUE"""),68.0)</f>
        <v>68</v>
      </c>
      <c r="F6070" s="19" t="str">
        <f>IFERROR(__xludf.DUMMYFUNCTION("""COMPUTED_VALUE"""),"BLACK")</f>
        <v>BLACK</v>
      </c>
      <c r="G6070" s="20" t="str">
        <f>IFERROR(__xludf.DUMMYFUNCTION("""COMPUTED_VALUE"""),"Uncle Sams Cider (04/04/2023)")</f>
        <v>Uncle Sams Cider (04/04/2023)</v>
      </c>
      <c r="H6070" s="19"/>
    </row>
    <row r="6071">
      <c r="A6071" s="9"/>
      <c r="B6071" s="15"/>
      <c r="C6071" s="9">
        <f>IFERROR(__xludf.DUMMYFUNCTION("""COMPUTED_VALUE"""),45080.967381875)</f>
        <v>45080.96738</v>
      </c>
      <c r="D6071" s="15">
        <f>IFERROR(__xludf.DUMMYFUNCTION("""COMPUTED_VALUE"""),1.009)</f>
        <v>1.009</v>
      </c>
      <c r="E6071" s="16">
        <f>IFERROR(__xludf.DUMMYFUNCTION("""COMPUTED_VALUE"""),68.0)</f>
        <v>68</v>
      </c>
      <c r="F6071" s="19" t="str">
        <f>IFERROR(__xludf.DUMMYFUNCTION("""COMPUTED_VALUE"""),"BLACK")</f>
        <v>BLACK</v>
      </c>
      <c r="G6071" s="20" t="str">
        <f>IFERROR(__xludf.DUMMYFUNCTION("""COMPUTED_VALUE"""),"Uncle Sams Cider (04/04/2023)")</f>
        <v>Uncle Sams Cider (04/04/2023)</v>
      </c>
      <c r="H6071" s="19"/>
    </row>
    <row r="6072">
      <c r="A6072" s="9"/>
      <c r="B6072" s="15"/>
      <c r="C6072" s="9">
        <f>IFERROR(__xludf.DUMMYFUNCTION("""COMPUTED_VALUE"""),45080.9569485069)</f>
        <v>45080.95695</v>
      </c>
      <c r="D6072" s="15">
        <f>IFERROR(__xludf.DUMMYFUNCTION("""COMPUTED_VALUE"""),1.009)</f>
        <v>1.009</v>
      </c>
      <c r="E6072" s="16">
        <f>IFERROR(__xludf.DUMMYFUNCTION("""COMPUTED_VALUE"""),68.0)</f>
        <v>68</v>
      </c>
      <c r="F6072" s="19" t="str">
        <f>IFERROR(__xludf.DUMMYFUNCTION("""COMPUTED_VALUE"""),"BLACK")</f>
        <v>BLACK</v>
      </c>
      <c r="G6072" s="20" t="str">
        <f>IFERROR(__xludf.DUMMYFUNCTION("""COMPUTED_VALUE"""),"Uncle Sams Cider (04/04/2023)")</f>
        <v>Uncle Sams Cider (04/04/2023)</v>
      </c>
      <c r="H6072" s="19"/>
    </row>
    <row r="6073">
      <c r="A6073" s="9"/>
      <c r="B6073" s="15"/>
      <c r="C6073" s="9">
        <f>IFERROR(__xludf.DUMMYFUNCTION("""COMPUTED_VALUE"""),45080.9465274884)</f>
        <v>45080.94653</v>
      </c>
      <c r="D6073" s="15">
        <f>IFERROR(__xludf.DUMMYFUNCTION("""COMPUTED_VALUE"""),1.009)</f>
        <v>1.009</v>
      </c>
      <c r="E6073" s="16">
        <f>IFERROR(__xludf.DUMMYFUNCTION("""COMPUTED_VALUE"""),68.0)</f>
        <v>68</v>
      </c>
      <c r="F6073" s="19" t="str">
        <f>IFERROR(__xludf.DUMMYFUNCTION("""COMPUTED_VALUE"""),"BLACK")</f>
        <v>BLACK</v>
      </c>
      <c r="G6073" s="20" t="str">
        <f>IFERROR(__xludf.DUMMYFUNCTION("""COMPUTED_VALUE"""),"Uncle Sams Cider (04/04/2023)")</f>
        <v>Uncle Sams Cider (04/04/2023)</v>
      </c>
      <c r="H6073" s="19"/>
    </row>
    <row r="6074">
      <c r="A6074" s="9"/>
      <c r="B6074" s="15"/>
      <c r="C6074" s="9">
        <f>IFERROR(__xludf.DUMMYFUNCTION("""COMPUTED_VALUE"""),45080.9361074768)</f>
        <v>45080.93611</v>
      </c>
      <c r="D6074" s="15">
        <f>IFERROR(__xludf.DUMMYFUNCTION("""COMPUTED_VALUE"""),1.008)</f>
        <v>1.008</v>
      </c>
      <c r="E6074" s="16">
        <f>IFERROR(__xludf.DUMMYFUNCTION("""COMPUTED_VALUE"""),68.0)</f>
        <v>68</v>
      </c>
      <c r="F6074" s="19" t="str">
        <f>IFERROR(__xludf.DUMMYFUNCTION("""COMPUTED_VALUE"""),"BLACK")</f>
        <v>BLACK</v>
      </c>
      <c r="G6074" s="20" t="str">
        <f>IFERROR(__xludf.DUMMYFUNCTION("""COMPUTED_VALUE"""),"Uncle Sams Cider (04/04/2023)")</f>
        <v>Uncle Sams Cider (04/04/2023)</v>
      </c>
      <c r="H6074" s="19"/>
    </row>
    <row r="6075">
      <c r="A6075" s="9"/>
      <c r="B6075" s="15"/>
      <c r="C6075" s="9">
        <f>IFERROR(__xludf.DUMMYFUNCTION("""COMPUTED_VALUE"""),45080.9256741898)</f>
        <v>45080.92567</v>
      </c>
      <c r="D6075" s="15">
        <f>IFERROR(__xludf.DUMMYFUNCTION("""COMPUTED_VALUE"""),1.009)</f>
        <v>1.009</v>
      </c>
      <c r="E6075" s="16">
        <f>IFERROR(__xludf.DUMMYFUNCTION("""COMPUTED_VALUE"""),68.0)</f>
        <v>68</v>
      </c>
      <c r="F6075" s="19" t="str">
        <f>IFERROR(__xludf.DUMMYFUNCTION("""COMPUTED_VALUE"""),"BLACK")</f>
        <v>BLACK</v>
      </c>
      <c r="G6075" s="20" t="str">
        <f>IFERROR(__xludf.DUMMYFUNCTION("""COMPUTED_VALUE"""),"Uncle Sams Cider (04/04/2023)")</f>
        <v>Uncle Sams Cider (04/04/2023)</v>
      </c>
      <c r="H6075" s="19"/>
    </row>
    <row r="6076">
      <c r="A6076" s="9"/>
      <c r="B6076" s="15"/>
      <c r="C6076" s="9">
        <f>IFERROR(__xludf.DUMMYFUNCTION("""COMPUTED_VALUE"""),45080.9152509375)</f>
        <v>45080.91525</v>
      </c>
      <c r="D6076" s="15">
        <f>IFERROR(__xludf.DUMMYFUNCTION("""COMPUTED_VALUE"""),1.008)</f>
        <v>1.008</v>
      </c>
      <c r="E6076" s="16">
        <f>IFERROR(__xludf.DUMMYFUNCTION("""COMPUTED_VALUE"""),68.0)</f>
        <v>68</v>
      </c>
      <c r="F6076" s="19" t="str">
        <f>IFERROR(__xludf.DUMMYFUNCTION("""COMPUTED_VALUE"""),"BLACK")</f>
        <v>BLACK</v>
      </c>
      <c r="G6076" s="20" t="str">
        <f>IFERROR(__xludf.DUMMYFUNCTION("""COMPUTED_VALUE"""),"Uncle Sams Cider (04/04/2023)")</f>
        <v>Uncle Sams Cider (04/04/2023)</v>
      </c>
      <c r="H6076" s="19"/>
    </row>
    <row r="6077">
      <c r="A6077" s="9"/>
      <c r="B6077" s="15"/>
      <c r="C6077" s="9">
        <f>IFERROR(__xludf.DUMMYFUNCTION("""COMPUTED_VALUE"""),45080.9048311458)</f>
        <v>45080.90483</v>
      </c>
      <c r="D6077" s="15">
        <f>IFERROR(__xludf.DUMMYFUNCTION("""COMPUTED_VALUE"""),1.008)</f>
        <v>1.008</v>
      </c>
      <c r="E6077" s="16">
        <f>IFERROR(__xludf.DUMMYFUNCTION("""COMPUTED_VALUE"""),68.0)</f>
        <v>68</v>
      </c>
      <c r="F6077" s="19" t="str">
        <f>IFERROR(__xludf.DUMMYFUNCTION("""COMPUTED_VALUE"""),"BLACK")</f>
        <v>BLACK</v>
      </c>
      <c r="G6077" s="20" t="str">
        <f>IFERROR(__xludf.DUMMYFUNCTION("""COMPUTED_VALUE"""),"Uncle Sams Cider (04/04/2023)")</f>
        <v>Uncle Sams Cider (04/04/2023)</v>
      </c>
      <c r="H6077" s="19"/>
    </row>
    <row r="6078">
      <c r="A6078" s="9"/>
      <c r="B6078" s="15"/>
      <c r="C6078" s="9">
        <f>IFERROR(__xludf.DUMMYFUNCTION("""COMPUTED_VALUE"""),45080.8944107986)</f>
        <v>45080.89441</v>
      </c>
      <c r="D6078" s="15">
        <f>IFERROR(__xludf.DUMMYFUNCTION("""COMPUTED_VALUE"""),1.009)</f>
        <v>1.009</v>
      </c>
      <c r="E6078" s="16">
        <f>IFERROR(__xludf.DUMMYFUNCTION("""COMPUTED_VALUE"""),68.0)</f>
        <v>68</v>
      </c>
      <c r="F6078" s="19" t="str">
        <f>IFERROR(__xludf.DUMMYFUNCTION("""COMPUTED_VALUE"""),"BLACK")</f>
        <v>BLACK</v>
      </c>
      <c r="G6078" s="20" t="str">
        <f>IFERROR(__xludf.DUMMYFUNCTION("""COMPUTED_VALUE"""),"Uncle Sams Cider (04/04/2023)")</f>
        <v>Uncle Sams Cider (04/04/2023)</v>
      </c>
      <c r="H6078" s="19"/>
    </row>
    <row r="6079">
      <c r="A6079" s="9"/>
      <c r="B6079" s="15"/>
      <c r="C6079" s="9">
        <f>IFERROR(__xludf.DUMMYFUNCTION("""COMPUTED_VALUE"""),45080.8839892129)</f>
        <v>45080.88399</v>
      </c>
      <c r="D6079" s="15">
        <f>IFERROR(__xludf.DUMMYFUNCTION("""COMPUTED_VALUE"""),1.009)</f>
        <v>1.009</v>
      </c>
      <c r="E6079" s="16">
        <f>IFERROR(__xludf.DUMMYFUNCTION("""COMPUTED_VALUE"""),68.0)</f>
        <v>68</v>
      </c>
      <c r="F6079" s="19" t="str">
        <f>IFERROR(__xludf.DUMMYFUNCTION("""COMPUTED_VALUE"""),"BLACK")</f>
        <v>BLACK</v>
      </c>
      <c r="G6079" s="20" t="str">
        <f>IFERROR(__xludf.DUMMYFUNCTION("""COMPUTED_VALUE"""),"Uncle Sams Cider (04/04/2023)")</f>
        <v>Uncle Sams Cider (04/04/2023)</v>
      </c>
      <c r="H6079" s="19"/>
    </row>
    <row r="6080">
      <c r="A6080" s="9"/>
      <c r="B6080" s="15"/>
      <c r="C6080" s="9">
        <f>IFERROR(__xludf.DUMMYFUNCTION("""COMPUTED_VALUE"""),45080.8735683333)</f>
        <v>45080.87357</v>
      </c>
      <c r="D6080" s="15">
        <f>IFERROR(__xludf.DUMMYFUNCTION("""COMPUTED_VALUE"""),1.009)</f>
        <v>1.009</v>
      </c>
      <c r="E6080" s="16">
        <f>IFERROR(__xludf.DUMMYFUNCTION("""COMPUTED_VALUE"""),68.0)</f>
        <v>68</v>
      </c>
      <c r="F6080" s="19" t="str">
        <f>IFERROR(__xludf.DUMMYFUNCTION("""COMPUTED_VALUE"""),"BLACK")</f>
        <v>BLACK</v>
      </c>
      <c r="G6080" s="20" t="str">
        <f>IFERROR(__xludf.DUMMYFUNCTION("""COMPUTED_VALUE"""),"Uncle Sams Cider (04/04/2023)")</f>
        <v>Uncle Sams Cider (04/04/2023)</v>
      </c>
      <c r="H6080" s="19"/>
    </row>
    <row r="6081">
      <c r="A6081" s="9"/>
      <c r="B6081" s="15"/>
      <c r="C6081" s="9">
        <f>IFERROR(__xludf.DUMMYFUNCTION("""COMPUTED_VALUE"""),45080.8631355902)</f>
        <v>45080.86314</v>
      </c>
      <c r="D6081" s="15">
        <f>IFERROR(__xludf.DUMMYFUNCTION("""COMPUTED_VALUE"""),1.008)</f>
        <v>1.008</v>
      </c>
      <c r="E6081" s="16">
        <f>IFERROR(__xludf.DUMMYFUNCTION("""COMPUTED_VALUE"""),68.0)</f>
        <v>68</v>
      </c>
      <c r="F6081" s="19" t="str">
        <f>IFERROR(__xludf.DUMMYFUNCTION("""COMPUTED_VALUE"""),"BLACK")</f>
        <v>BLACK</v>
      </c>
      <c r="G6081" s="20" t="str">
        <f>IFERROR(__xludf.DUMMYFUNCTION("""COMPUTED_VALUE"""),"Uncle Sams Cider (04/04/2023)")</f>
        <v>Uncle Sams Cider (04/04/2023)</v>
      </c>
      <c r="H6081" s="19"/>
    </row>
    <row r="6082">
      <c r="A6082" s="9"/>
      <c r="B6082" s="15"/>
      <c r="C6082" s="9">
        <f>IFERROR(__xludf.DUMMYFUNCTION("""COMPUTED_VALUE"""),45080.8527149189)</f>
        <v>45080.85271</v>
      </c>
      <c r="D6082" s="15">
        <f>IFERROR(__xludf.DUMMYFUNCTION("""COMPUTED_VALUE"""),1.009)</f>
        <v>1.009</v>
      </c>
      <c r="E6082" s="16">
        <f>IFERROR(__xludf.DUMMYFUNCTION("""COMPUTED_VALUE"""),68.0)</f>
        <v>68</v>
      </c>
      <c r="F6082" s="19" t="str">
        <f>IFERROR(__xludf.DUMMYFUNCTION("""COMPUTED_VALUE"""),"BLACK")</f>
        <v>BLACK</v>
      </c>
      <c r="G6082" s="20" t="str">
        <f>IFERROR(__xludf.DUMMYFUNCTION("""COMPUTED_VALUE"""),"Uncle Sams Cider (04/04/2023)")</f>
        <v>Uncle Sams Cider (04/04/2023)</v>
      </c>
      <c r="H6082" s="19"/>
    </row>
    <row r="6083">
      <c r="A6083" s="9"/>
      <c r="B6083" s="15"/>
      <c r="C6083" s="9">
        <f>IFERROR(__xludf.DUMMYFUNCTION("""COMPUTED_VALUE"""),45080.8422819212)</f>
        <v>45080.84228</v>
      </c>
      <c r="D6083" s="15">
        <f>IFERROR(__xludf.DUMMYFUNCTION("""COMPUTED_VALUE"""),1.009)</f>
        <v>1.009</v>
      </c>
      <c r="E6083" s="16">
        <f>IFERROR(__xludf.DUMMYFUNCTION("""COMPUTED_VALUE"""),68.0)</f>
        <v>68</v>
      </c>
      <c r="F6083" s="19" t="str">
        <f>IFERROR(__xludf.DUMMYFUNCTION("""COMPUTED_VALUE"""),"BLACK")</f>
        <v>BLACK</v>
      </c>
      <c r="G6083" s="20" t="str">
        <f>IFERROR(__xludf.DUMMYFUNCTION("""COMPUTED_VALUE"""),"Uncle Sams Cider (04/04/2023)")</f>
        <v>Uncle Sams Cider (04/04/2023)</v>
      </c>
      <c r="H6083" s="19"/>
    </row>
    <row r="6084">
      <c r="A6084" s="9"/>
      <c r="B6084" s="15"/>
      <c r="C6084" s="9">
        <f>IFERROR(__xludf.DUMMYFUNCTION("""COMPUTED_VALUE"""),45080.8318602893)</f>
        <v>45080.83186</v>
      </c>
      <c r="D6084" s="15">
        <f>IFERROR(__xludf.DUMMYFUNCTION("""COMPUTED_VALUE"""),1.008)</f>
        <v>1.008</v>
      </c>
      <c r="E6084" s="16">
        <f>IFERROR(__xludf.DUMMYFUNCTION("""COMPUTED_VALUE"""),68.0)</f>
        <v>68</v>
      </c>
      <c r="F6084" s="19" t="str">
        <f>IFERROR(__xludf.DUMMYFUNCTION("""COMPUTED_VALUE"""),"BLACK")</f>
        <v>BLACK</v>
      </c>
      <c r="G6084" s="20" t="str">
        <f>IFERROR(__xludf.DUMMYFUNCTION("""COMPUTED_VALUE"""),"Uncle Sams Cider (04/04/2023)")</f>
        <v>Uncle Sams Cider (04/04/2023)</v>
      </c>
      <c r="H6084" s="19"/>
    </row>
    <row r="6085">
      <c r="A6085" s="9"/>
      <c r="B6085" s="15"/>
      <c r="C6085" s="9">
        <f>IFERROR(__xludf.DUMMYFUNCTION("""COMPUTED_VALUE"""),45080.8214389236)</f>
        <v>45080.82144</v>
      </c>
      <c r="D6085" s="15">
        <f>IFERROR(__xludf.DUMMYFUNCTION("""COMPUTED_VALUE"""),1.008)</f>
        <v>1.008</v>
      </c>
      <c r="E6085" s="16">
        <f>IFERROR(__xludf.DUMMYFUNCTION("""COMPUTED_VALUE"""),68.0)</f>
        <v>68</v>
      </c>
      <c r="F6085" s="19" t="str">
        <f>IFERROR(__xludf.DUMMYFUNCTION("""COMPUTED_VALUE"""),"BLACK")</f>
        <v>BLACK</v>
      </c>
      <c r="G6085" s="20" t="str">
        <f>IFERROR(__xludf.DUMMYFUNCTION("""COMPUTED_VALUE"""),"Uncle Sams Cider (04/04/2023)")</f>
        <v>Uncle Sams Cider (04/04/2023)</v>
      </c>
      <c r="H6085" s="19"/>
    </row>
    <row r="6086">
      <c r="A6086" s="9"/>
      <c r="B6086" s="15"/>
      <c r="C6086" s="9">
        <f>IFERROR(__xludf.DUMMYFUNCTION("""COMPUTED_VALUE"""),45080.8110166435)</f>
        <v>45080.81102</v>
      </c>
      <c r="D6086" s="15">
        <f>IFERROR(__xludf.DUMMYFUNCTION("""COMPUTED_VALUE"""),1.009)</f>
        <v>1.009</v>
      </c>
      <c r="E6086" s="16">
        <f>IFERROR(__xludf.DUMMYFUNCTION("""COMPUTED_VALUE"""),68.0)</f>
        <v>68</v>
      </c>
      <c r="F6086" s="19" t="str">
        <f>IFERROR(__xludf.DUMMYFUNCTION("""COMPUTED_VALUE"""),"BLACK")</f>
        <v>BLACK</v>
      </c>
      <c r="G6086" s="20" t="str">
        <f>IFERROR(__xludf.DUMMYFUNCTION("""COMPUTED_VALUE"""),"Uncle Sams Cider (04/04/2023)")</f>
        <v>Uncle Sams Cider (04/04/2023)</v>
      </c>
      <c r="H6086" s="19"/>
    </row>
    <row r="6087">
      <c r="A6087" s="9"/>
      <c r="B6087" s="15"/>
      <c r="C6087" s="9">
        <f>IFERROR(__xludf.DUMMYFUNCTION("""COMPUTED_VALUE"""),45080.8005836342)</f>
        <v>45080.80058</v>
      </c>
      <c r="D6087" s="15">
        <f>IFERROR(__xludf.DUMMYFUNCTION("""COMPUTED_VALUE"""),1.008)</f>
        <v>1.008</v>
      </c>
      <c r="E6087" s="16">
        <f>IFERROR(__xludf.DUMMYFUNCTION("""COMPUTED_VALUE"""),67.0)</f>
        <v>67</v>
      </c>
      <c r="F6087" s="19" t="str">
        <f>IFERROR(__xludf.DUMMYFUNCTION("""COMPUTED_VALUE"""),"BLACK")</f>
        <v>BLACK</v>
      </c>
      <c r="G6087" s="20" t="str">
        <f>IFERROR(__xludf.DUMMYFUNCTION("""COMPUTED_VALUE"""),"Uncle Sams Cider (04/04/2023)")</f>
        <v>Uncle Sams Cider (04/04/2023)</v>
      </c>
      <c r="H6087" s="19"/>
    </row>
    <row r="6088">
      <c r="A6088" s="9"/>
      <c r="B6088" s="15"/>
      <c r="C6088" s="9">
        <f>IFERROR(__xludf.DUMMYFUNCTION("""COMPUTED_VALUE"""),45080.7901642824)</f>
        <v>45080.79016</v>
      </c>
      <c r="D6088" s="15">
        <f>IFERROR(__xludf.DUMMYFUNCTION("""COMPUTED_VALUE"""),1.009)</f>
        <v>1.009</v>
      </c>
      <c r="E6088" s="16">
        <f>IFERROR(__xludf.DUMMYFUNCTION("""COMPUTED_VALUE"""),67.0)</f>
        <v>67</v>
      </c>
      <c r="F6088" s="19" t="str">
        <f>IFERROR(__xludf.DUMMYFUNCTION("""COMPUTED_VALUE"""),"BLACK")</f>
        <v>BLACK</v>
      </c>
      <c r="G6088" s="20" t="str">
        <f>IFERROR(__xludf.DUMMYFUNCTION("""COMPUTED_VALUE"""),"Uncle Sams Cider (04/04/2023)")</f>
        <v>Uncle Sams Cider (04/04/2023)</v>
      </c>
      <c r="H6088" s="19"/>
    </row>
    <row r="6089">
      <c r="A6089" s="9"/>
      <c r="B6089" s="15"/>
      <c r="C6089" s="9">
        <f>IFERROR(__xludf.DUMMYFUNCTION("""COMPUTED_VALUE"""),45080.7797432986)</f>
        <v>45080.77974</v>
      </c>
      <c r="D6089" s="15">
        <f>IFERROR(__xludf.DUMMYFUNCTION("""COMPUTED_VALUE"""),1.008)</f>
        <v>1.008</v>
      </c>
      <c r="E6089" s="16">
        <f>IFERROR(__xludf.DUMMYFUNCTION("""COMPUTED_VALUE"""),67.0)</f>
        <v>67</v>
      </c>
      <c r="F6089" s="19" t="str">
        <f>IFERROR(__xludf.DUMMYFUNCTION("""COMPUTED_VALUE"""),"BLACK")</f>
        <v>BLACK</v>
      </c>
      <c r="G6089" s="20" t="str">
        <f>IFERROR(__xludf.DUMMYFUNCTION("""COMPUTED_VALUE"""),"Uncle Sams Cider (04/04/2023)")</f>
        <v>Uncle Sams Cider (04/04/2023)</v>
      </c>
      <c r="H6089" s="19"/>
    </row>
    <row r="6090">
      <c r="A6090" s="9"/>
      <c r="B6090" s="15"/>
      <c r="C6090" s="9">
        <f>IFERROR(__xludf.DUMMYFUNCTION("""COMPUTED_VALUE"""),45080.7693207754)</f>
        <v>45080.76932</v>
      </c>
      <c r="D6090" s="15">
        <f>IFERROR(__xludf.DUMMYFUNCTION("""COMPUTED_VALUE"""),1.009)</f>
        <v>1.009</v>
      </c>
      <c r="E6090" s="16">
        <f>IFERROR(__xludf.DUMMYFUNCTION("""COMPUTED_VALUE"""),67.0)</f>
        <v>67</v>
      </c>
      <c r="F6090" s="19" t="str">
        <f>IFERROR(__xludf.DUMMYFUNCTION("""COMPUTED_VALUE"""),"BLACK")</f>
        <v>BLACK</v>
      </c>
      <c r="G6090" s="20" t="str">
        <f>IFERROR(__xludf.DUMMYFUNCTION("""COMPUTED_VALUE"""),"Uncle Sams Cider (04/04/2023)")</f>
        <v>Uncle Sams Cider (04/04/2023)</v>
      </c>
      <c r="H6090" s="19"/>
    </row>
    <row r="6091">
      <c r="A6091" s="9"/>
      <c r="B6091" s="15"/>
      <c r="C6091" s="9">
        <f>IFERROR(__xludf.DUMMYFUNCTION("""COMPUTED_VALUE"""),45080.7589003703)</f>
        <v>45080.7589</v>
      </c>
      <c r="D6091" s="15">
        <f>IFERROR(__xludf.DUMMYFUNCTION("""COMPUTED_VALUE"""),1.008)</f>
        <v>1.008</v>
      </c>
      <c r="E6091" s="16">
        <f>IFERROR(__xludf.DUMMYFUNCTION("""COMPUTED_VALUE"""),67.0)</f>
        <v>67</v>
      </c>
      <c r="F6091" s="19" t="str">
        <f>IFERROR(__xludf.DUMMYFUNCTION("""COMPUTED_VALUE"""),"BLACK")</f>
        <v>BLACK</v>
      </c>
      <c r="G6091" s="20" t="str">
        <f>IFERROR(__xludf.DUMMYFUNCTION("""COMPUTED_VALUE"""),"Uncle Sams Cider (04/04/2023)")</f>
        <v>Uncle Sams Cider (04/04/2023)</v>
      </c>
      <c r="H6091" s="19"/>
    </row>
    <row r="6092">
      <c r="A6092" s="9"/>
      <c r="B6092" s="15"/>
      <c r="C6092" s="9">
        <f>IFERROR(__xludf.DUMMYFUNCTION("""COMPUTED_VALUE"""),45080.7484773379)</f>
        <v>45080.74848</v>
      </c>
      <c r="D6092" s="15">
        <f>IFERROR(__xludf.DUMMYFUNCTION("""COMPUTED_VALUE"""),1.008)</f>
        <v>1.008</v>
      </c>
      <c r="E6092" s="16">
        <f>IFERROR(__xludf.DUMMYFUNCTION("""COMPUTED_VALUE"""),67.0)</f>
        <v>67</v>
      </c>
      <c r="F6092" s="19" t="str">
        <f>IFERROR(__xludf.DUMMYFUNCTION("""COMPUTED_VALUE"""),"BLACK")</f>
        <v>BLACK</v>
      </c>
      <c r="G6092" s="20" t="str">
        <f>IFERROR(__xludf.DUMMYFUNCTION("""COMPUTED_VALUE"""),"Uncle Sams Cider (04/04/2023)")</f>
        <v>Uncle Sams Cider (04/04/2023)</v>
      </c>
      <c r="H6092" s="19"/>
    </row>
    <row r="6093">
      <c r="A6093" s="9"/>
      <c r="B6093" s="15"/>
      <c r="C6093" s="9">
        <f>IFERROR(__xludf.DUMMYFUNCTION("""COMPUTED_VALUE"""),45080.7380543171)</f>
        <v>45080.73805</v>
      </c>
      <c r="D6093" s="15">
        <f>IFERROR(__xludf.DUMMYFUNCTION("""COMPUTED_VALUE"""),1.008)</f>
        <v>1.008</v>
      </c>
      <c r="E6093" s="16">
        <f>IFERROR(__xludf.DUMMYFUNCTION("""COMPUTED_VALUE"""),67.0)</f>
        <v>67</v>
      </c>
      <c r="F6093" s="19" t="str">
        <f>IFERROR(__xludf.DUMMYFUNCTION("""COMPUTED_VALUE"""),"BLACK")</f>
        <v>BLACK</v>
      </c>
      <c r="G6093" s="20" t="str">
        <f>IFERROR(__xludf.DUMMYFUNCTION("""COMPUTED_VALUE"""),"Uncle Sams Cider (04/04/2023)")</f>
        <v>Uncle Sams Cider (04/04/2023)</v>
      </c>
      <c r="H6093" s="19"/>
    </row>
    <row r="6094">
      <c r="A6094" s="9"/>
      <c r="B6094" s="15"/>
      <c r="C6094" s="9">
        <f>IFERROR(__xludf.DUMMYFUNCTION("""COMPUTED_VALUE"""),45080.7276340972)</f>
        <v>45080.72763</v>
      </c>
      <c r="D6094" s="15">
        <f>IFERROR(__xludf.DUMMYFUNCTION("""COMPUTED_VALUE"""),1.009)</f>
        <v>1.009</v>
      </c>
      <c r="E6094" s="16">
        <f>IFERROR(__xludf.DUMMYFUNCTION("""COMPUTED_VALUE"""),67.0)</f>
        <v>67</v>
      </c>
      <c r="F6094" s="19" t="str">
        <f>IFERROR(__xludf.DUMMYFUNCTION("""COMPUTED_VALUE"""),"BLACK")</f>
        <v>BLACK</v>
      </c>
      <c r="G6094" s="20" t="str">
        <f>IFERROR(__xludf.DUMMYFUNCTION("""COMPUTED_VALUE"""),"Uncle Sams Cider (04/04/2023)")</f>
        <v>Uncle Sams Cider (04/04/2023)</v>
      </c>
      <c r="H6094" s="19"/>
    </row>
    <row r="6095">
      <c r="A6095" s="9"/>
      <c r="B6095" s="15"/>
      <c r="C6095" s="9">
        <f>IFERROR(__xludf.DUMMYFUNCTION("""COMPUTED_VALUE"""),45080.7172128819)</f>
        <v>45080.71721</v>
      </c>
      <c r="D6095" s="15">
        <f>IFERROR(__xludf.DUMMYFUNCTION("""COMPUTED_VALUE"""),1.009)</f>
        <v>1.009</v>
      </c>
      <c r="E6095" s="16">
        <f>IFERROR(__xludf.DUMMYFUNCTION("""COMPUTED_VALUE"""),67.0)</f>
        <v>67</v>
      </c>
      <c r="F6095" s="19" t="str">
        <f>IFERROR(__xludf.DUMMYFUNCTION("""COMPUTED_VALUE"""),"BLACK")</f>
        <v>BLACK</v>
      </c>
      <c r="G6095" s="20" t="str">
        <f>IFERROR(__xludf.DUMMYFUNCTION("""COMPUTED_VALUE"""),"Uncle Sams Cider (04/04/2023)")</f>
        <v>Uncle Sams Cider (04/04/2023)</v>
      </c>
      <c r="H6095" s="19"/>
    </row>
    <row r="6096">
      <c r="A6096" s="9"/>
      <c r="B6096" s="15"/>
      <c r="C6096" s="9">
        <f>IFERROR(__xludf.DUMMYFUNCTION("""COMPUTED_VALUE"""),45080.7067806712)</f>
        <v>45080.70678</v>
      </c>
      <c r="D6096" s="15">
        <f>IFERROR(__xludf.DUMMYFUNCTION("""COMPUTED_VALUE"""),1.008)</f>
        <v>1.008</v>
      </c>
      <c r="E6096" s="16">
        <f>IFERROR(__xludf.DUMMYFUNCTION("""COMPUTED_VALUE"""),67.0)</f>
        <v>67</v>
      </c>
      <c r="F6096" s="19" t="str">
        <f>IFERROR(__xludf.DUMMYFUNCTION("""COMPUTED_VALUE"""),"BLACK")</f>
        <v>BLACK</v>
      </c>
      <c r="G6096" s="20" t="str">
        <f>IFERROR(__xludf.DUMMYFUNCTION("""COMPUTED_VALUE"""),"Uncle Sams Cider (04/04/2023)")</f>
        <v>Uncle Sams Cider (04/04/2023)</v>
      </c>
      <c r="H6096" s="19"/>
    </row>
    <row r="6097">
      <c r="A6097" s="9"/>
      <c r="B6097" s="15"/>
      <c r="C6097" s="9">
        <f>IFERROR(__xludf.DUMMYFUNCTION("""COMPUTED_VALUE"""),45080.6963595949)</f>
        <v>45080.69636</v>
      </c>
      <c r="D6097" s="15">
        <f>IFERROR(__xludf.DUMMYFUNCTION("""COMPUTED_VALUE"""),1.009)</f>
        <v>1.009</v>
      </c>
      <c r="E6097" s="16">
        <f>IFERROR(__xludf.DUMMYFUNCTION("""COMPUTED_VALUE"""),67.0)</f>
        <v>67</v>
      </c>
      <c r="F6097" s="19" t="str">
        <f>IFERROR(__xludf.DUMMYFUNCTION("""COMPUTED_VALUE"""),"BLACK")</f>
        <v>BLACK</v>
      </c>
      <c r="G6097" s="20" t="str">
        <f>IFERROR(__xludf.DUMMYFUNCTION("""COMPUTED_VALUE"""),"Uncle Sams Cider (04/04/2023)")</f>
        <v>Uncle Sams Cider (04/04/2023)</v>
      </c>
      <c r="H6097" s="19"/>
    </row>
    <row r="6098">
      <c r="A6098" s="9"/>
      <c r="B6098" s="15"/>
      <c r="C6098" s="9">
        <f>IFERROR(__xludf.DUMMYFUNCTION("""COMPUTED_VALUE"""),45080.6859376736)</f>
        <v>45080.68594</v>
      </c>
      <c r="D6098" s="15">
        <f>IFERROR(__xludf.DUMMYFUNCTION("""COMPUTED_VALUE"""),1.009)</f>
        <v>1.009</v>
      </c>
      <c r="E6098" s="16">
        <f>IFERROR(__xludf.DUMMYFUNCTION("""COMPUTED_VALUE"""),67.0)</f>
        <v>67</v>
      </c>
      <c r="F6098" s="19" t="str">
        <f>IFERROR(__xludf.DUMMYFUNCTION("""COMPUTED_VALUE"""),"BLACK")</f>
        <v>BLACK</v>
      </c>
      <c r="G6098" s="20" t="str">
        <f>IFERROR(__xludf.DUMMYFUNCTION("""COMPUTED_VALUE"""),"Uncle Sams Cider (04/04/2023)")</f>
        <v>Uncle Sams Cider (04/04/2023)</v>
      </c>
      <c r="H6098" s="19"/>
    </row>
    <row r="6099">
      <c r="A6099" s="9"/>
      <c r="B6099" s="15"/>
      <c r="C6099" s="9">
        <f>IFERROR(__xludf.DUMMYFUNCTION("""COMPUTED_VALUE"""),45080.6755038657)</f>
        <v>45080.6755</v>
      </c>
      <c r="D6099" s="15">
        <f>IFERROR(__xludf.DUMMYFUNCTION("""COMPUTED_VALUE"""),1.008)</f>
        <v>1.008</v>
      </c>
      <c r="E6099" s="16">
        <f>IFERROR(__xludf.DUMMYFUNCTION("""COMPUTED_VALUE"""),67.0)</f>
        <v>67</v>
      </c>
      <c r="F6099" s="19" t="str">
        <f>IFERROR(__xludf.DUMMYFUNCTION("""COMPUTED_VALUE"""),"BLACK")</f>
        <v>BLACK</v>
      </c>
      <c r="G6099" s="20" t="str">
        <f>IFERROR(__xludf.DUMMYFUNCTION("""COMPUTED_VALUE"""),"Uncle Sams Cider (04/04/2023)")</f>
        <v>Uncle Sams Cider (04/04/2023)</v>
      </c>
      <c r="H6099" s="19"/>
    </row>
    <row r="6100">
      <c r="A6100" s="9"/>
      <c r="B6100" s="15"/>
      <c r="C6100" s="9">
        <f>IFERROR(__xludf.DUMMYFUNCTION("""COMPUTED_VALUE"""),45080.6650852893)</f>
        <v>45080.66509</v>
      </c>
      <c r="D6100" s="15">
        <f>IFERROR(__xludf.DUMMYFUNCTION("""COMPUTED_VALUE"""),1.009)</f>
        <v>1.009</v>
      </c>
      <c r="E6100" s="16">
        <f>IFERROR(__xludf.DUMMYFUNCTION("""COMPUTED_VALUE"""),67.0)</f>
        <v>67</v>
      </c>
      <c r="F6100" s="19" t="str">
        <f>IFERROR(__xludf.DUMMYFUNCTION("""COMPUTED_VALUE"""),"BLACK")</f>
        <v>BLACK</v>
      </c>
      <c r="G6100" s="20" t="str">
        <f>IFERROR(__xludf.DUMMYFUNCTION("""COMPUTED_VALUE"""),"Uncle Sams Cider (04/04/2023)")</f>
        <v>Uncle Sams Cider (04/04/2023)</v>
      </c>
      <c r="H6100" s="19"/>
    </row>
    <row r="6101">
      <c r="A6101" s="9"/>
      <c r="B6101" s="15"/>
      <c r="C6101" s="9">
        <f>IFERROR(__xludf.DUMMYFUNCTION("""COMPUTED_VALUE"""),45080.6546645486)</f>
        <v>45080.65466</v>
      </c>
      <c r="D6101" s="15">
        <f>IFERROR(__xludf.DUMMYFUNCTION("""COMPUTED_VALUE"""),1.008)</f>
        <v>1.008</v>
      </c>
      <c r="E6101" s="16">
        <f>IFERROR(__xludf.DUMMYFUNCTION("""COMPUTED_VALUE"""),67.0)</f>
        <v>67</v>
      </c>
      <c r="F6101" s="19" t="str">
        <f>IFERROR(__xludf.DUMMYFUNCTION("""COMPUTED_VALUE"""),"BLACK")</f>
        <v>BLACK</v>
      </c>
      <c r="G6101" s="20" t="str">
        <f>IFERROR(__xludf.DUMMYFUNCTION("""COMPUTED_VALUE"""),"Uncle Sams Cider (04/04/2023)")</f>
        <v>Uncle Sams Cider (04/04/2023)</v>
      </c>
      <c r="H6101" s="19"/>
    </row>
    <row r="6102">
      <c r="A6102" s="9"/>
      <c r="B6102" s="15"/>
      <c r="C6102" s="9">
        <f>IFERROR(__xludf.DUMMYFUNCTION("""COMPUTED_VALUE"""),45080.6442187731)</f>
        <v>45080.64422</v>
      </c>
      <c r="D6102" s="15">
        <f>IFERROR(__xludf.DUMMYFUNCTION("""COMPUTED_VALUE"""),1.009)</f>
        <v>1.009</v>
      </c>
      <c r="E6102" s="16">
        <f>IFERROR(__xludf.DUMMYFUNCTION("""COMPUTED_VALUE"""),67.0)</f>
        <v>67</v>
      </c>
      <c r="F6102" s="19" t="str">
        <f>IFERROR(__xludf.DUMMYFUNCTION("""COMPUTED_VALUE"""),"BLACK")</f>
        <v>BLACK</v>
      </c>
      <c r="G6102" s="20" t="str">
        <f>IFERROR(__xludf.DUMMYFUNCTION("""COMPUTED_VALUE"""),"Uncle Sams Cider (04/04/2023)")</f>
        <v>Uncle Sams Cider (04/04/2023)</v>
      </c>
      <c r="H6102" s="19"/>
    </row>
    <row r="6103">
      <c r="A6103" s="9"/>
      <c r="B6103" s="15"/>
      <c r="C6103" s="9">
        <f>IFERROR(__xludf.DUMMYFUNCTION("""COMPUTED_VALUE"""),45080.6337988657)</f>
        <v>45080.6338</v>
      </c>
      <c r="D6103" s="15">
        <f>IFERROR(__xludf.DUMMYFUNCTION("""COMPUTED_VALUE"""),1.009)</f>
        <v>1.009</v>
      </c>
      <c r="E6103" s="16">
        <f>IFERROR(__xludf.DUMMYFUNCTION("""COMPUTED_VALUE"""),67.0)</f>
        <v>67</v>
      </c>
      <c r="F6103" s="19" t="str">
        <f>IFERROR(__xludf.DUMMYFUNCTION("""COMPUTED_VALUE"""),"BLACK")</f>
        <v>BLACK</v>
      </c>
      <c r="G6103" s="20" t="str">
        <f>IFERROR(__xludf.DUMMYFUNCTION("""COMPUTED_VALUE"""),"Uncle Sams Cider (04/04/2023)")</f>
        <v>Uncle Sams Cider (04/04/2023)</v>
      </c>
      <c r="H6103" s="19"/>
    </row>
    <row r="6104">
      <c r="A6104" s="9"/>
      <c r="B6104" s="15"/>
      <c r="C6104" s="9">
        <f>IFERROR(__xludf.DUMMYFUNCTION("""COMPUTED_VALUE"""),45080.6233773726)</f>
        <v>45080.62338</v>
      </c>
      <c r="D6104" s="15">
        <f>IFERROR(__xludf.DUMMYFUNCTION("""COMPUTED_VALUE"""),1.009)</f>
        <v>1.009</v>
      </c>
      <c r="E6104" s="16">
        <f>IFERROR(__xludf.DUMMYFUNCTION("""COMPUTED_VALUE"""),67.0)</f>
        <v>67</v>
      </c>
      <c r="F6104" s="19" t="str">
        <f>IFERROR(__xludf.DUMMYFUNCTION("""COMPUTED_VALUE"""),"BLACK")</f>
        <v>BLACK</v>
      </c>
      <c r="G6104" s="20" t="str">
        <f>IFERROR(__xludf.DUMMYFUNCTION("""COMPUTED_VALUE"""),"Uncle Sams Cider (04/04/2023)")</f>
        <v>Uncle Sams Cider (04/04/2023)</v>
      </c>
      <c r="H6104" s="19"/>
    </row>
    <row r="6105">
      <c r="A6105" s="9"/>
      <c r="B6105" s="15"/>
      <c r="C6105" s="9">
        <f>IFERROR(__xludf.DUMMYFUNCTION("""COMPUTED_VALUE"""),45080.6129326157)</f>
        <v>45080.61293</v>
      </c>
      <c r="D6105" s="15">
        <f>IFERROR(__xludf.DUMMYFUNCTION("""COMPUTED_VALUE"""),1.009)</f>
        <v>1.009</v>
      </c>
      <c r="E6105" s="16">
        <f>IFERROR(__xludf.DUMMYFUNCTION("""COMPUTED_VALUE"""),67.0)</f>
        <v>67</v>
      </c>
      <c r="F6105" s="19" t="str">
        <f>IFERROR(__xludf.DUMMYFUNCTION("""COMPUTED_VALUE"""),"BLACK")</f>
        <v>BLACK</v>
      </c>
      <c r="G6105" s="20" t="str">
        <f>IFERROR(__xludf.DUMMYFUNCTION("""COMPUTED_VALUE"""),"Uncle Sams Cider (04/04/2023)")</f>
        <v>Uncle Sams Cider (04/04/2023)</v>
      </c>
      <c r="H6105" s="19"/>
    </row>
    <row r="6106">
      <c r="A6106" s="9"/>
      <c r="B6106" s="15"/>
      <c r="C6106" s="9">
        <f>IFERROR(__xludf.DUMMYFUNCTION("""COMPUTED_VALUE"""),45080.6025113425)</f>
        <v>45080.60251</v>
      </c>
      <c r="D6106" s="15">
        <f>IFERROR(__xludf.DUMMYFUNCTION("""COMPUTED_VALUE"""),1.008)</f>
        <v>1.008</v>
      </c>
      <c r="E6106" s="16">
        <f>IFERROR(__xludf.DUMMYFUNCTION("""COMPUTED_VALUE"""),67.0)</f>
        <v>67</v>
      </c>
      <c r="F6106" s="19" t="str">
        <f>IFERROR(__xludf.DUMMYFUNCTION("""COMPUTED_VALUE"""),"BLACK")</f>
        <v>BLACK</v>
      </c>
      <c r="G6106" s="20" t="str">
        <f>IFERROR(__xludf.DUMMYFUNCTION("""COMPUTED_VALUE"""),"Uncle Sams Cider (04/04/2023)")</f>
        <v>Uncle Sams Cider (04/04/2023)</v>
      </c>
      <c r="H6106" s="19"/>
    </row>
    <row r="6107">
      <c r="A6107" s="9"/>
      <c r="B6107" s="15"/>
      <c r="C6107" s="9">
        <f>IFERROR(__xludf.DUMMYFUNCTION("""COMPUTED_VALUE"""),45080.5920906944)</f>
        <v>45080.59209</v>
      </c>
      <c r="D6107" s="15">
        <f>IFERROR(__xludf.DUMMYFUNCTION("""COMPUTED_VALUE"""),1.009)</f>
        <v>1.009</v>
      </c>
      <c r="E6107" s="16">
        <f>IFERROR(__xludf.DUMMYFUNCTION("""COMPUTED_VALUE"""),67.0)</f>
        <v>67</v>
      </c>
      <c r="F6107" s="19" t="str">
        <f>IFERROR(__xludf.DUMMYFUNCTION("""COMPUTED_VALUE"""),"BLACK")</f>
        <v>BLACK</v>
      </c>
      <c r="G6107" s="20" t="str">
        <f>IFERROR(__xludf.DUMMYFUNCTION("""COMPUTED_VALUE"""),"Uncle Sams Cider (04/04/2023)")</f>
        <v>Uncle Sams Cider (04/04/2023)</v>
      </c>
      <c r="H6107" s="19"/>
    </row>
    <row r="6108">
      <c r="A6108" s="9"/>
      <c r="B6108" s="15"/>
      <c r="C6108" s="9">
        <f>IFERROR(__xludf.DUMMYFUNCTION("""COMPUTED_VALUE"""),45080.5816690162)</f>
        <v>45080.58167</v>
      </c>
      <c r="D6108" s="15">
        <f>IFERROR(__xludf.DUMMYFUNCTION("""COMPUTED_VALUE"""),1.009)</f>
        <v>1.009</v>
      </c>
      <c r="E6108" s="16">
        <f>IFERROR(__xludf.DUMMYFUNCTION("""COMPUTED_VALUE"""),67.0)</f>
        <v>67</v>
      </c>
      <c r="F6108" s="19" t="str">
        <f>IFERROR(__xludf.DUMMYFUNCTION("""COMPUTED_VALUE"""),"BLACK")</f>
        <v>BLACK</v>
      </c>
      <c r="G6108" s="20" t="str">
        <f>IFERROR(__xludf.DUMMYFUNCTION("""COMPUTED_VALUE"""),"Uncle Sams Cider (04/04/2023)")</f>
        <v>Uncle Sams Cider (04/04/2023)</v>
      </c>
      <c r="H6108" s="19"/>
    </row>
    <row r="6109">
      <c r="A6109" s="9"/>
      <c r="B6109" s="15"/>
      <c r="C6109" s="9">
        <f>IFERROR(__xludf.DUMMYFUNCTION("""COMPUTED_VALUE"""),45080.5712478588)</f>
        <v>45080.57125</v>
      </c>
      <c r="D6109" s="15">
        <f>IFERROR(__xludf.DUMMYFUNCTION("""COMPUTED_VALUE"""),1.009)</f>
        <v>1.009</v>
      </c>
      <c r="E6109" s="16">
        <f>IFERROR(__xludf.DUMMYFUNCTION("""COMPUTED_VALUE"""),67.0)</f>
        <v>67</v>
      </c>
      <c r="F6109" s="19" t="str">
        <f>IFERROR(__xludf.DUMMYFUNCTION("""COMPUTED_VALUE"""),"BLACK")</f>
        <v>BLACK</v>
      </c>
      <c r="G6109" s="20" t="str">
        <f>IFERROR(__xludf.DUMMYFUNCTION("""COMPUTED_VALUE"""),"Uncle Sams Cider (04/04/2023)")</f>
        <v>Uncle Sams Cider (04/04/2023)</v>
      </c>
      <c r="H6109" s="19"/>
    </row>
    <row r="6110">
      <c r="A6110" s="9"/>
      <c r="B6110" s="15"/>
      <c r="C6110" s="9">
        <f>IFERROR(__xludf.DUMMYFUNCTION("""COMPUTED_VALUE"""),45080.5608275578)</f>
        <v>45080.56083</v>
      </c>
      <c r="D6110" s="15">
        <f>IFERROR(__xludf.DUMMYFUNCTION("""COMPUTED_VALUE"""),1.009)</f>
        <v>1.009</v>
      </c>
      <c r="E6110" s="16">
        <f>IFERROR(__xludf.DUMMYFUNCTION("""COMPUTED_VALUE"""),67.0)</f>
        <v>67</v>
      </c>
      <c r="F6110" s="19" t="str">
        <f>IFERROR(__xludf.DUMMYFUNCTION("""COMPUTED_VALUE"""),"BLACK")</f>
        <v>BLACK</v>
      </c>
      <c r="G6110" s="20" t="str">
        <f>IFERROR(__xludf.DUMMYFUNCTION("""COMPUTED_VALUE"""),"Uncle Sams Cider (04/04/2023)")</f>
        <v>Uncle Sams Cider (04/04/2023)</v>
      </c>
      <c r="H6110" s="19"/>
    </row>
    <row r="6111">
      <c r="A6111" s="9"/>
      <c r="B6111" s="15"/>
      <c r="C6111" s="9">
        <f>IFERROR(__xludf.DUMMYFUNCTION("""COMPUTED_VALUE"""),45080.5504072685)</f>
        <v>45080.55041</v>
      </c>
      <c r="D6111" s="15">
        <f>IFERROR(__xludf.DUMMYFUNCTION("""COMPUTED_VALUE"""),1.009)</f>
        <v>1.009</v>
      </c>
      <c r="E6111" s="16">
        <f>IFERROR(__xludf.DUMMYFUNCTION("""COMPUTED_VALUE"""),67.0)</f>
        <v>67</v>
      </c>
      <c r="F6111" s="19" t="str">
        <f>IFERROR(__xludf.DUMMYFUNCTION("""COMPUTED_VALUE"""),"BLACK")</f>
        <v>BLACK</v>
      </c>
      <c r="G6111" s="20" t="str">
        <f>IFERROR(__xludf.DUMMYFUNCTION("""COMPUTED_VALUE"""),"Uncle Sams Cider (04/04/2023)")</f>
        <v>Uncle Sams Cider (04/04/2023)</v>
      </c>
      <c r="H6111" s="19"/>
    </row>
    <row r="6112">
      <c r="A6112" s="9"/>
      <c r="B6112" s="15"/>
      <c r="C6112" s="9">
        <f>IFERROR(__xludf.DUMMYFUNCTION("""COMPUTED_VALUE"""),45080.5399730787)</f>
        <v>45080.53997</v>
      </c>
      <c r="D6112" s="15">
        <f>IFERROR(__xludf.DUMMYFUNCTION("""COMPUTED_VALUE"""),1.008)</f>
        <v>1.008</v>
      </c>
      <c r="E6112" s="16">
        <f>IFERROR(__xludf.DUMMYFUNCTION("""COMPUTED_VALUE"""),67.0)</f>
        <v>67</v>
      </c>
      <c r="F6112" s="19" t="str">
        <f>IFERROR(__xludf.DUMMYFUNCTION("""COMPUTED_VALUE"""),"BLACK")</f>
        <v>BLACK</v>
      </c>
      <c r="G6112" s="20" t="str">
        <f>IFERROR(__xludf.DUMMYFUNCTION("""COMPUTED_VALUE"""),"Uncle Sams Cider (04/04/2023)")</f>
        <v>Uncle Sams Cider (04/04/2023)</v>
      </c>
      <c r="H6112" s="19"/>
    </row>
    <row r="6113">
      <c r="A6113" s="9"/>
      <c r="B6113" s="15"/>
      <c r="C6113" s="9">
        <f>IFERROR(__xludf.DUMMYFUNCTION("""COMPUTED_VALUE"""),45080.529550868)</f>
        <v>45080.52955</v>
      </c>
      <c r="D6113" s="15">
        <f>IFERROR(__xludf.DUMMYFUNCTION("""COMPUTED_VALUE"""),1.009)</f>
        <v>1.009</v>
      </c>
      <c r="E6113" s="16">
        <f>IFERROR(__xludf.DUMMYFUNCTION("""COMPUTED_VALUE"""),67.0)</f>
        <v>67</v>
      </c>
      <c r="F6113" s="19" t="str">
        <f>IFERROR(__xludf.DUMMYFUNCTION("""COMPUTED_VALUE"""),"BLACK")</f>
        <v>BLACK</v>
      </c>
      <c r="G6113" s="20" t="str">
        <f>IFERROR(__xludf.DUMMYFUNCTION("""COMPUTED_VALUE"""),"Uncle Sams Cider (04/04/2023)")</f>
        <v>Uncle Sams Cider (04/04/2023)</v>
      </c>
      <c r="H6113" s="19"/>
    </row>
    <row r="6114">
      <c r="A6114" s="9"/>
      <c r="B6114" s="15"/>
      <c r="C6114" s="9">
        <f>IFERROR(__xludf.DUMMYFUNCTION("""COMPUTED_VALUE"""),45080.5191287963)</f>
        <v>45080.51913</v>
      </c>
      <c r="D6114" s="15">
        <f>IFERROR(__xludf.DUMMYFUNCTION("""COMPUTED_VALUE"""),1.009)</f>
        <v>1.009</v>
      </c>
      <c r="E6114" s="16">
        <f>IFERROR(__xludf.DUMMYFUNCTION("""COMPUTED_VALUE"""),67.0)</f>
        <v>67</v>
      </c>
      <c r="F6114" s="19" t="str">
        <f>IFERROR(__xludf.DUMMYFUNCTION("""COMPUTED_VALUE"""),"BLACK")</f>
        <v>BLACK</v>
      </c>
      <c r="G6114" s="20" t="str">
        <f>IFERROR(__xludf.DUMMYFUNCTION("""COMPUTED_VALUE"""),"Uncle Sams Cider (04/04/2023)")</f>
        <v>Uncle Sams Cider (04/04/2023)</v>
      </c>
      <c r="H6114" s="19"/>
    </row>
    <row r="6115">
      <c r="A6115" s="9"/>
      <c r="B6115" s="15"/>
      <c r="C6115" s="9">
        <f>IFERROR(__xludf.DUMMYFUNCTION("""COMPUTED_VALUE"""),45080.5087071759)</f>
        <v>45080.50871</v>
      </c>
      <c r="D6115" s="15">
        <f>IFERROR(__xludf.DUMMYFUNCTION("""COMPUTED_VALUE"""),1.009)</f>
        <v>1.009</v>
      </c>
      <c r="E6115" s="16">
        <f>IFERROR(__xludf.DUMMYFUNCTION("""COMPUTED_VALUE"""),67.0)</f>
        <v>67</v>
      </c>
      <c r="F6115" s="19" t="str">
        <f>IFERROR(__xludf.DUMMYFUNCTION("""COMPUTED_VALUE"""),"BLACK")</f>
        <v>BLACK</v>
      </c>
      <c r="G6115" s="20" t="str">
        <f>IFERROR(__xludf.DUMMYFUNCTION("""COMPUTED_VALUE"""),"Uncle Sams Cider (04/04/2023)")</f>
        <v>Uncle Sams Cider (04/04/2023)</v>
      </c>
      <c r="H6115" s="19"/>
    </row>
    <row r="6116">
      <c r="A6116" s="9"/>
      <c r="B6116" s="15"/>
      <c r="C6116" s="9">
        <f>IFERROR(__xludf.DUMMYFUNCTION("""COMPUTED_VALUE"""),45080.4982838541)</f>
        <v>45080.49828</v>
      </c>
      <c r="D6116" s="15">
        <f>IFERROR(__xludf.DUMMYFUNCTION("""COMPUTED_VALUE"""),1.009)</f>
        <v>1.009</v>
      </c>
      <c r="E6116" s="16">
        <f>IFERROR(__xludf.DUMMYFUNCTION("""COMPUTED_VALUE"""),67.0)</f>
        <v>67</v>
      </c>
      <c r="F6116" s="19" t="str">
        <f>IFERROR(__xludf.DUMMYFUNCTION("""COMPUTED_VALUE"""),"BLACK")</f>
        <v>BLACK</v>
      </c>
      <c r="G6116" s="20" t="str">
        <f>IFERROR(__xludf.DUMMYFUNCTION("""COMPUTED_VALUE"""),"Uncle Sams Cider (04/04/2023)")</f>
        <v>Uncle Sams Cider (04/04/2023)</v>
      </c>
      <c r="H6116" s="19"/>
    </row>
    <row r="6117">
      <c r="A6117" s="9"/>
      <c r="B6117" s="15"/>
      <c r="C6117" s="9">
        <f>IFERROR(__xludf.DUMMYFUNCTION("""COMPUTED_VALUE"""),45080.4878618402)</f>
        <v>45080.48786</v>
      </c>
      <c r="D6117" s="15">
        <f>IFERROR(__xludf.DUMMYFUNCTION("""COMPUTED_VALUE"""),1.009)</f>
        <v>1.009</v>
      </c>
      <c r="E6117" s="16">
        <f>IFERROR(__xludf.DUMMYFUNCTION("""COMPUTED_VALUE"""),67.0)</f>
        <v>67</v>
      </c>
      <c r="F6117" s="19" t="str">
        <f>IFERROR(__xludf.DUMMYFUNCTION("""COMPUTED_VALUE"""),"BLACK")</f>
        <v>BLACK</v>
      </c>
      <c r="G6117" s="20" t="str">
        <f>IFERROR(__xludf.DUMMYFUNCTION("""COMPUTED_VALUE"""),"Uncle Sams Cider (04/04/2023)")</f>
        <v>Uncle Sams Cider (04/04/2023)</v>
      </c>
      <c r="H6117" s="19"/>
    </row>
    <row r="6118">
      <c r="A6118" s="9"/>
      <c r="B6118" s="15"/>
      <c r="C6118" s="9">
        <f>IFERROR(__xludf.DUMMYFUNCTION("""COMPUTED_VALUE"""),45080.4774411805)</f>
        <v>45080.47744</v>
      </c>
      <c r="D6118" s="15">
        <f>IFERROR(__xludf.DUMMYFUNCTION("""COMPUTED_VALUE"""),1.008)</f>
        <v>1.008</v>
      </c>
      <c r="E6118" s="16">
        <f>IFERROR(__xludf.DUMMYFUNCTION("""COMPUTED_VALUE"""),67.0)</f>
        <v>67</v>
      </c>
      <c r="F6118" s="19" t="str">
        <f>IFERROR(__xludf.DUMMYFUNCTION("""COMPUTED_VALUE"""),"BLACK")</f>
        <v>BLACK</v>
      </c>
      <c r="G6118" s="20" t="str">
        <f>IFERROR(__xludf.DUMMYFUNCTION("""COMPUTED_VALUE"""),"Uncle Sams Cider (04/04/2023)")</f>
        <v>Uncle Sams Cider (04/04/2023)</v>
      </c>
      <c r="H6118" s="19"/>
    </row>
    <row r="6119">
      <c r="A6119" s="9"/>
      <c r="B6119" s="15"/>
      <c r="C6119" s="9">
        <f>IFERROR(__xludf.DUMMYFUNCTION("""COMPUTED_VALUE"""),45080.467007199)</f>
        <v>45080.46701</v>
      </c>
      <c r="D6119" s="15">
        <f>IFERROR(__xludf.DUMMYFUNCTION("""COMPUTED_VALUE"""),1.009)</f>
        <v>1.009</v>
      </c>
      <c r="E6119" s="16">
        <f>IFERROR(__xludf.DUMMYFUNCTION("""COMPUTED_VALUE"""),67.0)</f>
        <v>67</v>
      </c>
      <c r="F6119" s="19" t="str">
        <f>IFERROR(__xludf.DUMMYFUNCTION("""COMPUTED_VALUE"""),"BLACK")</f>
        <v>BLACK</v>
      </c>
      <c r="G6119" s="20" t="str">
        <f>IFERROR(__xludf.DUMMYFUNCTION("""COMPUTED_VALUE"""),"Uncle Sams Cider (04/04/2023)")</f>
        <v>Uncle Sams Cider (04/04/2023)</v>
      </c>
      <c r="H6119" s="19"/>
    </row>
    <row r="6120">
      <c r="A6120" s="9"/>
      <c r="B6120" s="15"/>
      <c r="C6120" s="9">
        <f>IFERROR(__xludf.DUMMYFUNCTION("""COMPUTED_VALUE"""),45080.4565863888)</f>
        <v>45080.45659</v>
      </c>
      <c r="D6120" s="15">
        <f>IFERROR(__xludf.DUMMYFUNCTION("""COMPUTED_VALUE"""),1.008)</f>
        <v>1.008</v>
      </c>
      <c r="E6120" s="16">
        <f>IFERROR(__xludf.DUMMYFUNCTION("""COMPUTED_VALUE"""),67.0)</f>
        <v>67</v>
      </c>
      <c r="F6120" s="19" t="str">
        <f>IFERROR(__xludf.DUMMYFUNCTION("""COMPUTED_VALUE"""),"BLACK")</f>
        <v>BLACK</v>
      </c>
      <c r="G6120" s="20" t="str">
        <f>IFERROR(__xludf.DUMMYFUNCTION("""COMPUTED_VALUE"""),"Uncle Sams Cider (04/04/2023)")</f>
        <v>Uncle Sams Cider (04/04/2023)</v>
      </c>
      <c r="H6120" s="19"/>
    </row>
    <row r="6121">
      <c r="A6121" s="9"/>
      <c r="B6121" s="15"/>
      <c r="C6121" s="9">
        <f>IFERROR(__xludf.DUMMYFUNCTION("""COMPUTED_VALUE"""),45080.4461655324)</f>
        <v>45080.44617</v>
      </c>
      <c r="D6121" s="15">
        <f>IFERROR(__xludf.DUMMYFUNCTION("""COMPUTED_VALUE"""),1.009)</f>
        <v>1.009</v>
      </c>
      <c r="E6121" s="16">
        <f>IFERROR(__xludf.DUMMYFUNCTION("""COMPUTED_VALUE"""),67.0)</f>
        <v>67</v>
      </c>
      <c r="F6121" s="19" t="str">
        <f>IFERROR(__xludf.DUMMYFUNCTION("""COMPUTED_VALUE"""),"BLACK")</f>
        <v>BLACK</v>
      </c>
      <c r="G6121" s="20" t="str">
        <f>IFERROR(__xludf.DUMMYFUNCTION("""COMPUTED_VALUE"""),"Uncle Sams Cider (04/04/2023)")</f>
        <v>Uncle Sams Cider (04/04/2023)</v>
      </c>
      <c r="H6121" s="19"/>
    </row>
    <row r="6122">
      <c r="A6122" s="9"/>
      <c r="B6122" s="15"/>
      <c r="C6122" s="9">
        <f>IFERROR(__xludf.DUMMYFUNCTION("""COMPUTED_VALUE"""),45080.4357440277)</f>
        <v>45080.43574</v>
      </c>
      <c r="D6122" s="15">
        <f>IFERROR(__xludf.DUMMYFUNCTION("""COMPUTED_VALUE"""),1.009)</f>
        <v>1.009</v>
      </c>
      <c r="E6122" s="16">
        <f>IFERROR(__xludf.DUMMYFUNCTION("""COMPUTED_VALUE"""),67.0)</f>
        <v>67</v>
      </c>
      <c r="F6122" s="19" t="str">
        <f>IFERROR(__xludf.DUMMYFUNCTION("""COMPUTED_VALUE"""),"BLACK")</f>
        <v>BLACK</v>
      </c>
      <c r="G6122" s="20" t="str">
        <f>IFERROR(__xludf.DUMMYFUNCTION("""COMPUTED_VALUE"""),"Uncle Sams Cider (04/04/2023)")</f>
        <v>Uncle Sams Cider (04/04/2023)</v>
      </c>
      <c r="H6122" s="19"/>
    </row>
    <row r="6123">
      <c r="A6123" s="9"/>
      <c r="B6123" s="15"/>
      <c r="C6123" s="9">
        <f>IFERROR(__xludf.DUMMYFUNCTION("""COMPUTED_VALUE"""),45080.4253237963)</f>
        <v>45080.42532</v>
      </c>
      <c r="D6123" s="15">
        <f>IFERROR(__xludf.DUMMYFUNCTION("""COMPUTED_VALUE"""),1.009)</f>
        <v>1.009</v>
      </c>
      <c r="E6123" s="16">
        <f>IFERROR(__xludf.DUMMYFUNCTION("""COMPUTED_VALUE"""),67.0)</f>
        <v>67</v>
      </c>
      <c r="F6123" s="19" t="str">
        <f>IFERROR(__xludf.DUMMYFUNCTION("""COMPUTED_VALUE"""),"BLACK")</f>
        <v>BLACK</v>
      </c>
      <c r="G6123" s="20" t="str">
        <f>IFERROR(__xludf.DUMMYFUNCTION("""COMPUTED_VALUE"""),"Uncle Sams Cider (04/04/2023)")</f>
        <v>Uncle Sams Cider (04/04/2023)</v>
      </c>
      <c r="H6123" s="19"/>
    </row>
    <row r="6124">
      <c r="A6124" s="9"/>
      <c r="B6124" s="15"/>
      <c r="C6124" s="9">
        <f>IFERROR(__xludf.DUMMYFUNCTION("""COMPUTED_VALUE"""),45080.414903206)</f>
        <v>45080.4149</v>
      </c>
      <c r="D6124" s="15">
        <f>IFERROR(__xludf.DUMMYFUNCTION("""COMPUTED_VALUE"""),1.009)</f>
        <v>1.009</v>
      </c>
      <c r="E6124" s="16">
        <f>IFERROR(__xludf.DUMMYFUNCTION("""COMPUTED_VALUE"""),67.0)</f>
        <v>67</v>
      </c>
      <c r="F6124" s="19" t="str">
        <f>IFERROR(__xludf.DUMMYFUNCTION("""COMPUTED_VALUE"""),"BLACK")</f>
        <v>BLACK</v>
      </c>
      <c r="G6124" s="20" t="str">
        <f>IFERROR(__xludf.DUMMYFUNCTION("""COMPUTED_VALUE"""),"Uncle Sams Cider (04/04/2023)")</f>
        <v>Uncle Sams Cider (04/04/2023)</v>
      </c>
      <c r="H6124" s="19"/>
    </row>
    <row r="6125">
      <c r="A6125" s="9"/>
      <c r="B6125" s="15"/>
      <c r="C6125" s="9">
        <f>IFERROR(__xludf.DUMMYFUNCTION("""COMPUTED_VALUE"""),45080.4044694444)</f>
        <v>45080.40447</v>
      </c>
      <c r="D6125" s="15">
        <f>IFERROR(__xludf.DUMMYFUNCTION("""COMPUTED_VALUE"""),1.008)</f>
        <v>1.008</v>
      </c>
      <c r="E6125" s="16">
        <f>IFERROR(__xludf.DUMMYFUNCTION("""COMPUTED_VALUE"""),67.0)</f>
        <v>67</v>
      </c>
      <c r="F6125" s="19" t="str">
        <f>IFERROR(__xludf.DUMMYFUNCTION("""COMPUTED_VALUE"""),"BLACK")</f>
        <v>BLACK</v>
      </c>
      <c r="G6125" s="20" t="str">
        <f>IFERROR(__xludf.DUMMYFUNCTION("""COMPUTED_VALUE"""),"Uncle Sams Cider (04/04/2023)")</f>
        <v>Uncle Sams Cider (04/04/2023)</v>
      </c>
      <c r="H6125" s="19"/>
    </row>
    <row r="6126">
      <c r="A6126" s="9"/>
      <c r="B6126" s="15"/>
      <c r="C6126" s="9">
        <f>IFERROR(__xludf.DUMMYFUNCTION("""COMPUTED_VALUE"""),45080.3940480439)</f>
        <v>45080.39405</v>
      </c>
      <c r="D6126" s="15">
        <f>IFERROR(__xludf.DUMMYFUNCTION("""COMPUTED_VALUE"""),1.009)</f>
        <v>1.009</v>
      </c>
      <c r="E6126" s="16">
        <f>IFERROR(__xludf.DUMMYFUNCTION("""COMPUTED_VALUE"""),67.0)</f>
        <v>67</v>
      </c>
      <c r="F6126" s="19" t="str">
        <f>IFERROR(__xludf.DUMMYFUNCTION("""COMPUTED_VALUE"""),"BLACK")</f>
        <v>BLACK</v>
      </c>
      <c r="G6126" s="20" t="str">
        <f>IFERROR(__xludf.DUMMYFUNCTION("""COMPUTED_VALUE"""),"Uncle Sams Cider (04/04/2023)")</f>
        <v>Uncle Sams Cider (04/04/2023)</v>
      </c>
      <c r="H6126" s="19"/>
    </row>
    <row r="6127">
      <c r="A6127" s="9"/>
      <c r="B6127" s="15"/>
      <c r="C6127" s="9">
        <f>IFERROR(__xludf.DUMMYFUNCTION("""COMPUTED_VALUE"""),45080.3836258912)</f>
        <v>45080.38363</v>
      </c>
      <c r="D6127" s="15">
        <f>IFERROR(__xludf.DUMMYFUNCTION("""COMPUTED_VALUE"""),1.008)</f>
        <v>1.008</v>
      </c>
      <c r="E6127" s="16">
        <f>IFERROR(__xludf.DUMMYFUNCTION("""COMPUTED_VALUE"""),67.0)</f>
        <v>67</v>
      </c>
      <c r="F6127" s="19" t="str">
        <f>IFERROR(__xludf.DUMMYFUNCTION("""COMPUTED_VALUE"""),"BLACK")</f>
        <v>BLACK</v>
      </c>
      <c r="G6127" s="20" t="str">
        <f>IFERROR(__xludf.DUMMYFUNCTION("""COMPUTED_VALUE"""),"Uncle Sams Cider (04/04/2023)")</f>
        <v>Uncle Sams Cider (04/04/2023)</v>
      </c>
      <c r="H6127" s="19"/>
    </row>
    <row r="6128">
      <c r="A6128" s="9"/>
      <c r="B6128" s="15"/>
      <c r="C6128" s="9">
        <f>IFERROR(__xludf.DUMMYFUNCTION("""COMPUTED_VALUE"""),45080.3732065972)</f>
        <v>45080.37321</v>
      </c>
      <c r="D6128" s="15">
        <f>IFERROR(__xludf.DUMMYFUNCTION("""COMPUTED_VALUE"""),1.008)</f>
        <v>1.008</v>
      </c>
      <c r="E6128" s="16">
        <f>IFERROR(__xludf.DUMMYFUNCTION("""COMPUTED_VALUE"""),67.0)</f>
        <v>67</v>
      </c>
      <c r="F6128" s="19" t="str">
        <f>IFERROR(__xludf.DUMMYFUNCTION("""COMPUTED_VALUE"""),"BLACK")</f>
        <v>BLACK</v>
      </c>
      <c r="G6128" s="20" t="str">
        <f>IFERROR(__xludf.DUMMYFUNCTION("""COMPUTED_VALUE"""),"Uncle Sams Cider (04/04/2023)")</f>
        <v>Uncle Sams Cider (04/04/2023)</v>
      </c>
      <c r="H6128" s="19"/>
    </row>
    <row r="6129">
      <c r="A6129" s="9"/>
      <c r="B6129" s="15"/>
      <c r="C6129" s="9">
        <f>IFERROR(__xludf.DUMMYFUNCTION("""COMPUTED_VALUE"""),45080.36277353)</f>
        <v>45080.36277</v>
      </c>
      <c r="D6129" s="15">
        <f>IFERROR(__xludf.DUMMYFUNCTION("""COMPUTED_VALUE"""),1.009)</f>
        <v>1.009</v>
      </c>
      <c r="E6129" s="16">
        <f>IFERROR(__xludf.DUMMYFUNCTION("""COMPUTED_VALUE"""),67.0)</f>
        <v>67</v>
      </c>
      <c r="F6129" s="19" t="str">
        <f>IFERROR(__xludf.DUMMYFUNCTION("""COMPUTED_VALUE"""),"BLACK")</f>
        <v>BLACK</v>
      </c>
      <c r="G6129" s="20" t="str">
        <f>IFERROR(__xludf.DUMMYFUNCTION("""COMPUTED_VALUE"""),"Uncle Sams Cider (04/04/2023)")</f>
        <v>Uncle Sams Cider (04/04/2023)</v>
      </c>
      <c r="H6129" s="19"/>
    </row>
    <row r="6130">
      <c r="A6130" s="9"/>
      <c r="B6130" s="15"/>
      <c r="C6130" s="9">
        <f>IFERROR(__xludf.DUMMYFUNCTION("""COMPUTED_VALUE"""),45080.3523524652)</f>
        <v>45080.35235</v>
      </c>
      <c r="D6130" s="15">
        <f>IFERROR(__xludf.DUMMYFUNCTION("""COMPUTED_VALUE"""),1.009)</f>
        <v>1.009</v>
      </c>
      <c r="E6130" s="16">
        <f>IFERROR(__xludf.DUMMYFUNCTION("""COMPUTED_VALUE"""),67.0)</f>
        <v>67</v>
      </c>
      <c r="F6130" s="19" t="str">
        <f>IFERROR(__xludf.DUMMYFUNCTION("""COMPUTED_VALUE"""),"BLACK")</f>
        <v>BLACK</v>
      </c>
      <c r="G6130" s="20" t="str">
        <f>IFERROR(__xludf.DUMMYFUNCTION("""COMPUTED_VALUE"""),"Uncle Sams Cider (04/04/2023)")</f>
        <v>Uncle Sams Cider (04/04/2023)</v>
      </c>
      <c r="H6130" s="19"/>
    </row>
    <row r="6131">
      <c r="A6131" s="9"/>
      <c r="B6131" s="15"/>
      <c r="C6131" s="9">
        <f>IFERROR(__xludf.DUMMYFUNCTION("""COMPUTED_VALUE"""),45080.3419191087)</f>
        <v>45080.34192</v>
      </c>
      <c r="D6131" s="15">
        <f>IFERROR(__xludf.DUMMYFUNCTION("""COMPUTED_VALUE"""),1.009)</f>
        <v>1.009</v>
      </c>
      <c r="E6131" s="16">
        <f>IFERROR(__xludf.DUMMYFUNCTION("""COMPUTED_VALUE"""),67.0)</f>
        <v>67</v>
      </c>
      <c r="F6131" s="19" t="str">
        <f>IFERROR(__xludf.DUMMYFUNCTION("""COMPUTED_VALUE"""),"BLACK")</f>
        <v>BLACK</v>
      </c>
      <c r="G6131" s="20" t="str">
        <f>IFERROR(__xludf.DUMMYFUNCTION("""COMPUTED_VALUE"""),"Uncle Sams Cider (04/04/2023)")</f>
        <v>Uncle Sams Cider (04/04/2023)</v>
      </c>
      <c r="H6131" s="19"/>
    </row>
    <row r="6132">
      <c r="A6132" s="9"/>
      <c r="B6132" s="15"/>
      <c r="C6132" s="9">
        <f>IFERROR(__xludf.DUMMYFUNCTION("""COMPUTED_VALUE"""),45080.331497662)</f>
        <v>45080.3315</v>
      </c>
      <c r="D6132" s="15">
        <f>IFERROR(__xludf.DUMMYFUNCTION("""COMPUTED_VALUE"""),1.009)</f>
        <v>1.009</v>
      </c>
      <c r="E6132" s="16">
        <f>IFERROR(__xludf.DUMMYFUNCTION("""COMPUTED_VALUE"""),67.0)</f>
        <v>67</v>
      </c>
      <c r="F6132" s="19" t="str">
        <f>IFERROR(__xludf.DUMMYFUNCTION("""COMPUTED_VALUE"""),"BLACK")</f>
        <v>BLACK</v>
      </c>
      <c r="G6132" s="20" t="str">
        <f>IFERROR(__xludf.DUMMYFUNCTION("""COMPUTED_VALUE"""),"Uncle Sams Cider (04/04/2023)")</f>
        <v>Uncle Sams Cider (04/04/2023)</v>
      </c>
      <c r="H6132" s="19"/>
    </row>
    <row r="6133">
      <c r="A6133" s="9"/>
      <c r="B6133" s="15"/>
      <c r="C6133" s="9">
        <f>IFERROR(__xludf.DUMMYFUNCTION("""COMPUTED_VALUE"""),45080.3210770254)</f>
        <v>45080.32108</v>
      </c>
      <c r="D6133" s="15">
        <f>IFERROR(__xludf.DUMMYFUNCTION("""COMPUTED_VALUE"""),1.009)</f>
        <v>1.009</v>
      </c>
      <c r="E6133" s="16">
        <f>IFERROR(__xludf.DUMMYFUNCTION("""COMPUTED_VALUE"""),67.0)</f>
        <v>67</v>
      </c>
      <c r="F6133" s="19" t="str">
        <f>IFERROR(__xludf.DUMMYFUNCTION("""COMPUTED_VALUE"""),"BLACK")</f>
        <v>BLACK</v>
      </c>
      <c r="G6133" s="20" t="str">
        <f>IFERROR(__xludf.DUMMYFUNCTION("""COMPUTED_VALUE"""),"Uncle Sams Cider (04/04/2023)")</f>
        <v>Uncle Sams Cider (04/04/2023)</v>
      </c>
      <c r="H6133" s="19"/>
    </row>
    <row r="6134">
      <c r="A6134" s="9"/>
      <c r="B6134" s="15"/>
      <c r="C6134" s="9">
        <f>IFERROR(__xludf.DUMMYFUNCTION("""COMPUTED_VALUE"""),45080.3106318865)</f>
        <v>45080.31063</v>
      </c>
      <c r="D6134" s="15">
        <f>IFERROR(__xludf.DUMMYFUNCTION("""COMPUTED_VALUE"""),1.009)</f>
        <v>1.009</v>
      </c>
      <c r="E6134" s="16">
        <f>IFERROR(__xludf.DUMMYFUNCTION("""COMPUTED_VALUE"""),67.0)</f>
        <v>67</v>
      </c>
      <c r="F6134" s="19" t="str">
        <f>IFERROR(__xludf.DUMMYFUNCTION("""COMPUTED_VALUE"""),"BLACK")</f>
        <v>BLACK</v>
      </c>
      <c r="G6134" s="20" t="str">
        <f>IFERROR(__xludf.DUMMYFUNCTION("""COMPUTED_VALUE"""),"Uncle Sams Cider (04/04/2023)")</f>
        <v>Uncle Sams Cider (04/04/2023)</v>
      </c>
      <c r="H6134" s="19"/>
    </row>
    <row r="6135">
      <c r="A6135" s="9"/>
      <c r="B6135" s="15"/>
      <c r="C6135" s="9">
        <f>IFERROR(__xludf.DUMMYFUNCTION("""COMPUTED_VALUE"""),45080.3002088194)</f>
        <v>45080.30021</v>
      </c>
      <c r="D6135" s="15">
        <f>IFERROR(__xludf.DUMMYFUNCTION("""COMPUTED_VALUE"""),1.009)</f>
        <v>1.009</v>
      </c>
      <c r="E6135" s="16">
        <f>IFERROR(__xludf.DUMMYFUNCTION("""COMPUTED_VALUE"""),67.0)</f>
        <v>67</v>
      </c>
      <c r="F6135" s="19" t="str">
        <f>IFERROR(__xludf.DUMMYFUNCTION("""COMPUTED_VALUE"""),"BLACK")</f>
        <v>BLACK</v>
      </c>
      <c r="G6135" s="20" t="str">
        <f>IFERROR(__xludf.DUMMYFUNCTION("""COMPUTED_VALUE"""),"Uncle Sams Cider (04/04/2023)")</f>
        <v>Uncle Sams Cider (04/04/2023)</v>
      </c>
      <c r="H6135" s="19"/>
    </row>
    <row r="6136">
      <c r="A6136" s="9"/>
      <c r="B6136" s="15"/>
      <c r="C6136" s="9">
        <f>IFERROR(__xludf.DUMMYFUNCTION("""COMPUTED_VALUE"""),45080.2897865972)</f>
        <v>45080.28979</v>
      </c>
      <c r="D6136" s="15">
        <f>IFERROR(__xludf.DUMMYFUNCTION("""COMPUTED_VALUE"""),1.009)</f>
        <v>1.009</v>
      </c>
      <c r="E6136" s="16">
        <f>IFERROR(__xludf.DUMMYFUNCTION("""COMPUTED_VALUE"""),67.0)</f>
        <v>67</v>
      </c>
      <c r="F6136" s="19" t="str">
        <f>IFERROR(__xludf.DUMMYFUNCTION("""COMPUTED_VALUE"""),"BLACK")</f>
        <v>BLACK</v>
      </c>
      <c r="G6136" s="20" t="str">
        <f>IFERROR(__xludf.DUMMYFUNCTION("""COMPUTED_VALUE"""),"Uncle Sams Cider (04/04/2023)")</f>
        <v>Uncle Sams Cider (04/04/2023)</v>
      </c>
      <c r="H6136" s="19"/>
    </row>
    <row r="6137">
      <c r="A6137" s="9"/>
      <c r="B6137" s="15"/>
      <c r="C6137" s="9">
        <f>IFERROR(__xludf.DUMMYFUNCTION("""COMPUTED_VALUE"""),45080.2793653009)</f>
        <v>45080.27937</v>
      </c>
      <c r="D6137" s="15">
        <f>IFERROR(__xludf.DUMMYFUNCTION("""COMPUTED_VALUE"""),1.009)</f>
        <v>1.009</v>
      </c>
      <c r="E6137" s="16">
        <f>IFERROR(__xludf.DUMMYFUNCTION("""COMPUTED_VALUE"""),67.0)</f>
        <v>67</v>
      </c>
      <c r="F6137" s="19" t="str">
        <f>IFERROR(__xludf.DUMMYFUNCTION("""COMPUTED_VALUE"""),"BLACK")</f>
        <v>BLACK</v>
      </c>
      <c r="G6137" s="20" t="str">
        <f>IFERROR(__xludf.DUMMYFUNCTION("""COMPUTED_VALUE"""),"Uncle Sams Cider (04/04/2023)")</f>
        <v>Uncle Sams Cider (04/04/2023)</v>
      </c>
      <c r="H6137" s="19"/>
    </row>
    <row r="6138">
      <c r="A6138" s="9"/>
      <c r="B6138" s="15"/>
      <c r="C6138" s="9">
        <f>IFERROR(__xludf.DUMMYFUNCTION("""COMPUTED_VALUE"""),45080.268946331)</f>
        <v>45080.26895</v>
      </c>
      <c r="D6138" s="15">
        <f>IFERROR(__xludf.DUMMYFUNCTION("""COMPUTED_VALUE"""),1.009)</f>
        <v>1.009</v>
      </c>
      <c r="E6138" s="16">
        <f>IFERROR(__xludf.DUMMYFUNCTION("""COMPUTED_VALUE"""),67.0)</f>
        <v>67</v>
      </c>
      <c r="F6138" s="19" t="str">
        <f>IFERROR(__xludf.DUMMYFUNCTION("""COMPUTED_VALUE"""),"BLACK")</f>
        <v>BLACK</v>
      </c>
      <c r="G6138" s="20" t="str">
        <f>IFERROR(__xludf.DUMMYFUNCTION("""COMPUTED_VALUE"""),"Uncle Sams Cider (04/04/2023)")</f>
        <v>Uncle Sams Cider (04/04/2023)</v>
      </c>
      <c r="H6138" s="19"/>
    </row>
    <row r="6139">
      <c r="A6139" s="9"/>
      <c r="B6139" s="15"/>
      <c r="C6139" s="9">
        <f>IFERROR(__xludf.DUMMYFUNCTION("""COMPUTED_VALUE"""),45080.2585259953)</f>
        <v>45080.25853</v>
      </c>
      <c r="D6139" s="15">
        <f>IFERROR(__xludf.DUMMYFUNCTION("""COMPUTED_VALUE"""),1.009)</f>
        <v>1.009</v>
      </c>
      <c r="E6139" s="16">
        <f>IFERROR(__xludf.DUMMYFUNCTION("""COMPUTED_VALUE"""),67.0)</f>
        <v>67</v>
      </c>
      <c r="F6139" s="19" t="str">
        <f>IFERROR(__xludf.DUMMYFUNCTION("""COMPUTED_VALUE"""),"BLACK")</f>
        <v>BLACK</v>
      </c>
      <c r="G6139" s="20" t="str">
        <f>IFERROR(__xludf.DUMMYFUNCTION("""COMPUTED_VALUE"""),"Uncle Sams Cider (04/04/2023)")</f>
        <v>Uncle Sams Cider (04/04/2023)</v>
      </c>
      <c r="H6139" s="19"/>
    </row>
    <row r="6140">
      <c r="A6140" s="9"/>
      <c r="B6140" s="15"/>
      <c r="C6140" s="9">
        <f>IFERROR(__xludf.DUMMYFUNCTION("""COMPUTED_VALUE"""),45080.2481048148)</f>
        <v>45080.2481</v>
      </c>
      <c r="D6140" s="15">
        <f>IFERROR(__xludf.DUMMYFUNCTION("""COMPUTED_VALUE"""),1.009)</f>
        <v>1.009</v>
      </c>
      <c r="E6140" s="16">
        <f>IFERROR(__xludf.DUMMYFUNCTION("""COMPUTED_VALUE"""),67.0)</f>
        <v>67</v>
      </c>
      <c r="F6140" s="19" t="str">
        <f>IFERROR(__xludf.DUMMYFUNCTION("""COMPUTED_VALUE"""),"BLACK")</f>
        <v>BLACK</v>
      </c>
      <c r="G6140" s="20" t="str">
        <f>IFERROR(__xludf.DUMMYFUNCTION("""COMPUTED_VALUE"""),"Uncle Sams Cider (04/04/2023)")</f>
        <v>Uncle Sams Cider (04/04/2023)</v>
      </c>
      <c r="H6140" s="19"/>
    </row>
    <row r="6141">
      <c r="A6141" s="9"/>
      <c r="B6141" s="15"/>
      <c r="C6141" s="9">
        <f>IFERROR(__xludf.DUMMYFUNCTION("""COMPUTED_VALUE"""),45080.2376851967)</f>
        <v>45080.23769</v>
      </c>
      <c r="D6141" s="15">
        <f>IFERROR(__xludf.DUMMYFUNCTION("""COMPUTED_VALUE"""),1.009)</f>
        <v>1.009</v>
      </c>
      <c r="E6141" s="16">
        <f>IFERROR(__xludf.DUMMYFUNCTION("""COMPUTED_VALUE"""),67.0)</f>
        <v>67</v>
      </c>
      <c r="F6141" s="19" t="str">
        <f>IFERROR(__xludf.DUMMYFUNCTION("""COMPUTED_VALUE"""),"BLACK")</f>
        <v>BLACK</v>
      </c>
      <c r="G6141" s="20" t="str">
        <f>IFERROR(__xludf.DUMMYFUNCTION("""COMPUTED_VALUE"""),"Uncle Sams Cider (04/04/2023)")</f>
        <v>Uncle Sams Cider (04/04/2023)</v>
      </c>
      <c r="H6141" s="19"/>
    </row>
    <row r="6142">
      <c r="A6142" s="9"/>
      <c r="B6142" s="15"/>
      <c r="C6142" s="9">
        <f>IFERROR(__xludf.DUMMYFUNCTION("""COMPUTED_VALUE"""),45080.2272632523)</f>
        <v>45080.22726</v>
      </c>
      <c r="D6142" s="15">
        <f>IFERROR(__xludf.DUMMYFUNCTION("""COMPUTED_VALUE"""),1.009)</f>
        <v>1.009</v>
      </c>
      <c r="E6142" s="16">
        <f>IFERROR(__xludf.DUMMYFUNCTION("""COMPUTED_VALUE"""),67.0)</f>
        <v>67</v>
      </c>
      <c r="F6142" s="19" t="str">
        <f>IFERROR(__xludf.DUMMYFUNCTION("""COMPUTED_VALUE"""),"BLACK")</f>
        <v>BLACK</v>
      </c>
      <c r="G6142" s="20" t="str">
        <f>IFERROR(__xludf.DUMMYFUNCTION("""COMPUTED_VALUE"""),"Uncle Sams Cider (04/04/2023)")</f>
        <v>Uncle Sams Cider (04/04/2023)</v>
      </c>
      <c r="H6142" s="19"/>
    </row>
    <row r="6143">
      <c r="A6143" s="9"/>
      <c r="B6143" s="15"/>
      <c r="C6143" s="9">
        <f>IFERROR(__xludf.DUMMYFUNCTION("""COMPUTED_VALUE"""),45080.2168415277)</f>
        <v>45080.21684</v>
      </c>
      <c r="D6143" s="15">
        <f>IFERROR(__xludf.DUMMYFUNCTION("""COMPUTED_VALUE"""),1.009)</f>
        <v>1.009</v>
      </c>
      <c r="E6143" s="16">
        <f>IFERROR(__xludf.DUMMYFUNCTION("""COMPUTED_VALUE"""),67.0)</f>
        <v>67</v>
      </c>
      <c r="F6143" s="19" t="str">
        <f>IFERROR(__xludf.DUMMYFUNCTION("""COMPUTED_VALUE"""),"BLACK")</f>
        <v>BLACK</v>
      </c>
      <c r="G6143" s="20" t="str">
        <f>IFERROR(__xludf.DUMMYFUNCTION("""COMPUTED_VALUE"""),"Uncle Sams Cider (04/04/2023)")</f>
        <v>Uncle Sams Cider (04/04/2023)</v>
      </c>
      <c r="H6143" s="19"/>
    </row>
    <row r="6144">
      <c r="A6144" s="9"/>
      <c r="B6144" s="15"/>
      <c r="C6144" s="9">
        <f>IFERROR(__xludf.DUMMYFUNCTION("""COMPUTED_VALUE"""),45080.2064209259)</f>
        <v>45080.20642</v>
      </c>
      <c r="D6144" s="15">
        <f>IFERROR(__xludf.DUMMYFUNCTION("""COMPUTED_VALUE"""),1.009)</f>
        <v>1.009</v>
      </c>
      <c r="E6144" s="16">
        <f>IFERROR(__xludf.DUMMYFUNCTION("""COMPUTED_VALUE"""),67.0)</f>
        <v>67</v>
      </c>
      <c r="F6144" s="19" t="str">
        <f>IFERROR(__xludf.DUMMYFUNCTION("""COMPUTED_VALUE"""),"BLACK")</f>
        <v>BLACK</v>
      </c>
      <c r="G6144" s="20" t="str">
        <f>IFERROR(__xludf.DUMMYFUNCTION("""COMPUTED_VALUE"""),"Uncle Sams Cider (04/04/2023)")</f>
        <v>Uncle Sams Cider (04/04/2023)</v>
      </c>
      <c r="H6144" s="19"/>
    </row>
    <row r="6145">
      <c r="A6145" s="9"/>
      <c r="B6145" s="15"/>
      <c r="C6145" s="9">
        <f>IFERROR(__xludf.DUMMYFUNCTION("""COMPUTED_VALUE"""),45080.1959885416)</f>
        <v>45080.19599</v>
      </c>
      <c r="D6145" s="15">
        <f>IFERROR(__xludf.DUMMYFUNCTION("""COMPUTED_VALUE"""),1.009)</f>
        <v>1.009</v>
      </c>
      <c r="E6145" s="16">
        <f>IFERROR(__xludf.DUMMYFUNCTION("""COMPUTED_VALUE"""),67.0)</f>
        <v>67</v>
      </c>
      <c r="F6145" s="19" t="str">
        <f>IFERROR(__xludf.DUMMYFUNCTION("""COMPUTED_VALUE"""),"BLACK")</f>
        <v>BLACK</v>
      </c>
      <c r="G6145" s="20" t="str">
        <f>IFERROR(__xludf.DUMMYFUNCTION("""COMPUTED_VALUE"""),"Uncle Sams Cider (04/04/2023)")</f>
        <v>Uncle Sams Cider (04/04/2023)</v>
      </c>
      <c r="H6145" s="19"/>
    </row>
    <row r="6146">
      <c r="A6146" s="9"/>
      <c r="B6146" s="15"/>
      <c r="C6146" s="9">
        <f>IFERROR(__xludf.DUMMYFUNCTION("""COMPUTED_VALUE"""),45080.1855670254)</f>
        <v>45080.18557</v>
      </c>
      <c r="D6146" s="15">
        <f>IFERROR(__xludf.DUMMYFUNCTION("""COMPUTED_VALUE"""),1.009)</f>
        <v>1.009</v>
      </c>
      <c r="E6146" s="16">
        <f>IFERROR(__xludf.DUMMYFUNCTION("""COMPUTED_VALUE"""),67.0)</f>
        <v>67</v>
      </c>
      <c r="F6146" s="19" t="str">
        <f>IFERROR(__xludf.DUMMYFUNCTION("""COMPUTED_VALUE"""),"BLACK")</f>
        <v>BLACK</v>
      </c>
      <c r="G6146" s="20" t="str">
        <f>IFERROR(__xludf.DUMMYFUNCTION("""COMPUTED_VALUE"""),"Uncle Sams Cider (04/04/2023)")</f>
        <v>Uncle Sams Cider (04/04/2023)</v>
      </c>
      <c r="H6146" s="19"/>
    </row>
    <row r="6147">
      <c r="A6147" s="9"/>
      <c r="B6147" s="15"/>
      <c r="C6147" s="9">
        <f>IFERROR(__xludf.DUMMYFUNCTION("""COMPUTED_VALUE"""),45080.1751453819)</f>
        <v>45080.17515</v>
      </c>
      <c r="D6147" s="15">
        <f>IFERROR(__xludf.DUMMYFUNCTION("""COMPUTED_VALUE"""),1.009)</f>
        <v>1.009</v>
      </c>
      <c r="E6147" s="16">
        <f>IFERROR(__xludf.DUMMYFUNCTION("""COMPUTED_VALUE"""),67.0)</f>
        <v>67</v>
      </c>
      <c r="F6147" s="19" t="str">
        <f>IFERROR(__xludf.DUMMYFUNCTION("""COMPUTED_VALUE"""),"BLACK")</f>
        <v>BLACK</v>
      </c>
      <c r="G6147" s="20" t="str">
        <f>IFERROR(__xludf.DUMMYFUNCTION("""COMPUTED_VALUE"""),"Uncle Sams Cider (04/04/2023)")</f>
        <v>Uncle Sams Cider (04/04/2023)</v>
      </c>
      <c r="H6147" s="19"/>
    </row>
    <row r="6148">
      <c r="A6148" s="9"/>
      <c r="B6148" s="15"/>
      <c r="C6148" s="9">
        <f>IFERROR(__xludf.DUMMYFUNCTION("""COMPUTED_VALUE"""),45080.1647248611)</f>
        <v>45080.16472</v>
      </c>
      <c r="D6148" s="15">
        <f>IFERROR(__xludf.DUMMYFUNCTION("""COMPUTED_VALUE"""),1.009)</f>
        <v>1.009</v>
      </c>
      <c r="E6148" s="16">
        <f>IFERROR(__xludf.DUMMYFUNCTION("""COMPUTED_VALUE"""),67.0)</f>
        <v>67</v>
      </c>
      <c r="F6148" s="19" t="str">
        <f>IFERROR(__xludf.DUMMYFUNCTION("""COMPUTED_VALUE"""),"BLACK")</f>
        <v>BLACK</v>
      </c>
      <c r="G6148" s="20" t="str">
        <f>IFERROR(__xludf.DUMMYFUNCTION("""COMPUTED_VALUE"""),"Uncle Sams Cider (04/04/2023)")</f>
        <v>Uncle Sams Cider (04/04/2023)</v>
      </c>
      <c r="H6148" s="19"/>
    </row>
    <row r="6149">
      <c r="A6149" s="9"/>
      <c r="B6149" s="15"/>
      <c r="C6149" s="9">
        <f>IFERROR(__xludf.DUMMYFUNCTION("""COMPUTED_VALUE"""),45080.1543046064)</f>
        <v>45080.1543</v>
      </c>
      <c r="D6149" s="15">
        <f>IFERROR(__xludf.DUMMYFUNCTION("""COMPUTED_VALUE"""),1.009)</f>
        <v>1.009</v>
      </c>
      <c r="E6149" s="16">
        <f>IFERROR(__xludf.DUMMYFUNCTION("""COMPUTED_VALUE"""),67.0)</f>
        <v>67</v>
      </c>
      <c r="F6149" s="19" t="str">
        <f>IFERROR(__xludf.DUMMYFUNCTION("""COMPUTED_VALUE"""),"BLACK")</f>
        <v>BLACK</v>
      </c>
      <c r="G6149" s="20" t="str">
        <f>IFERROR(__xludf.DUMMYFUNCTION("""COMPUTED_VALUE"""),"Uncle Sams Cider (04/04/2023)")</f>
        <v>Uncle Sams Cider (04/04/2023)</v>
      </c>
      <c r="H6149" s="19"/>
    </row>
    <row r="6150">
      <c r="A6150" s="9"/>
      <c r="B6150" s="15"/>
      <c r="C6150" s="9">
        <f>IFERROR(__xludf.DUMMYFUNCTION("""COMPUTED_VALUE"""),45080.1438825694)</f>
        <v>45080.14388</v>
      </c>
      <c r="D6150" s="15">
        <f>IFERROR(__xludf.DUMMYFUNCTION("""COMPUTED_VALUE"""),1.009)</f>
        <v>1.009</v>
      </c>
      <c r="E6150" s="16">
        <f>IFERROR(__xludf.DUMMYFUNCTION("""COMPUTED_VALUE"""),67.0)</f>
        <v>67</v>
      </c>
      <c r="F6150" s="19" t="str">
        <f>IFERROR(__xludf.DUMMYFUNCTION("""COMPUTED_VALUE"""),"BLACK")</f>
        <v>BLACK</v>
      </c>
      <c r="G6150" s="20" t="str">
        <f>IFERROR(__xludf.DUMMYFUNCTION("""COMPUTED_VALUE"""),"Uncle Sams Cider (04/04/2023)")</f>
        <v>Uncle Sams Cider (04/04/2023)</v>
      </c>
      <c r="H6150" s="19"/>
    </row>
    <row r="6151">
      <c r="A6151" s="9"/>
      <c r="B6151" s="15"/>
      <c r="C6151" s="9">
        <f>IFERROR(__xludf.DUMMYFUNCTION("""COMPUTED_VALUE"""),45080.1334612615)</f>
        <v>45080.13346</v>
      </c>
      <c r="D6151" s="15">
        <f>IFERROR(__xludf.DUMMYFUNCTION("""COMPUTED_VALUE"""),1.009)</f>
        <v>1.009</v>
      </c>
      <c r="E6151" s="16">
        <f>IFERROR(__xludf.DUMMYFUNCTION("""COMPUTED_VALUE"""),67.0)</f>
        <v>67</v>
      </c>
      <c r="F6151" s="19" t="str">
        <f>IFERROR(__xludf.DUMMYFUNCTION("""COMPUTED_VALUE"""),"BLACK")</f>
        <v>BLACK</v>
      </c>
      <c r="G6151" s="20" t="str">
        <f>IFERROR(__xludf.DUMMYFUNCTION("""COMPUTED_VALUE"""),"Uncle Sams Cider (04/04/2023)")</f>
        <v>Uncle Sams Cider (04/04/2023)</v>
      </c>
      <c r="H6151" s="19"/>
    </row>
    <row r="6152">
      <c r="A6152" s="9"/>
      <c r="B6152" s="15"/>
      <c r="C6152" s="9">
        <f>IFERROR(__xludf.DUMMYFUNCTION("""COMPUTED_VALUE"""),45080.1230399074)</f>
        <v>45080.12304</v>
      </c>
      <c r="D6152" s="15">
        <f>IFERROR(__xludf.DUMMYFUNCTION("""COMPUTED_VALUE"""),1.009)</f>
        <v>1.009</v>
      </c>
      <c r="E6152" s="16">
        <f>IFERROR(__xludf.DUMMYFUNCTION("""COMPUTED_VALUE"""),67.0)</f>
        <v>67</v>
      </c>
      <c r="F6152" s="19" t="str">
        <f>IFERROR(__xludf.DUMMYFUNCTION("""COMPUTED_VALUE"""),"BLACK")</f>
        <v>BLACK</v>
      </c>
      <c r="G6152" s="20" t="str">
        <f>IFERROR(__xludf.DUMMYFUNCTION("""COMPUTED_VALUE"""),"Uncle Sams Cider (04/04/2023)")</f>
        <v>Uncle Sams Cider (04/04/2023)</v>
      </c>
      <c r="H6152" s="19"/>
    </row>
    <row r="6153">
      <c r="A6153" s="9"/>
      <c r="B6153" s="15"/>
      <c r="C6153" s="9">
        <f>IFERROR(__xludf.DUMMYFUNCTION("""COMPUTED_VALUE"""),45080.1126195254)</f>
        <v>45080.11262</v>
      </c>
      <c r="D6153" s="15">
        <f>IFERROR(__xludf.DUMMYFUNCTION("""COMPUTED_VALUE"""),1.009)</f>
        <v>1.009</v>
      </c>
      <c r="E6153" s="16">
        <f>IFERROR(__xludf.DUMMYFUNCTION("""COMPUTED_VALUE"""),67.0)</f>
        <v>67</v>
      </c>
      <c r="F6153" s="19" t="str">
        <f>IFERROR(__xludf.DUMMYFUNCTION("""COMPUTED_VALUE"""),"BLACK")</f>
        <v>BLACK</v>
      </c>
      <c r="G6153" s="20" t="str">
        <f>IFERROR(__xludf.DUMMYFUNCTION("""COMPUTED_VALUE"""),"Uncle Sams Cider (04/04/2023)")</f>
        <v>Uncle Sams Cider (04/04/2023)</v>
      </c>
      <c r="H6153" s="19"/>
    </row>
    <row r="6154">
      <c r="A6154" s="9"/>
      <c r="B6154" s="15"/>
      <c r="C6154" s="9">
        <f>IFERROR(__xludf.DUMMYFUNCTION("""COMPUTED_VALUE"""),45080.1022000694)</f>
        <v>45080.1022</v>
      </c>
      <c r="D6154" s="15">
        <f>IFERROR(__xludf.DUMMYFUNCTION("""COMPUTED_VALUE"""),1.009)</f>
        <v>1.009</v>
      </c>
      <c r="E6154" s="16">
        <f>IFERROR(__xludf.DUMMYFUNCTION("""COMPUTED_VALUE"""),67.0)</f>
        <v>67</v>
      </c>
      <c r="F6154" s="19" t="str">
        <f>IFERROR(__xludf.DUMMYFUNCTION("""COMPUTED_VALUE"""),"BLACK")</f>
        <v>BLACK</v>
      </c>
      <c r="G6154" s="20" t="str">
        <f>IFERROR(__xludf.DUMMYFUNCTION("""COMPUTED_VALUE"""),"Uncle Sams Cider (04/04/2023)")</f>
        <v>Uncle Sams Cider (04/04/2023)</v>
      </c>
      <c r="H6154" s="19"/>
    </row>
    <row r="6155">
      <c r="A6155" s="9"/>
      <c r="B6155" s="15"/>
      <c r="C6155" s="9">
        <f>IFERROR(__xludf.DUMMYFUNCTION("""COMPUTED_VALUE"""),45080.0917797916)</f>
        <v>45080.09178</v>
      </c>
      <c r="D6155" s="15">
        <f>IFERROR(__xludf.DUMMYFUNCTION("""COMPUTED_VALUE"""),1.009)</f>
        <v>1.009</v>
      </c>
      <c r="E6155" s="16">
        <f>IFERROR(__xludf.DUMMYFUNCTION("""COMPUTED_VALUE"""),67.0)</f>
        <v>67</v>
      </c>
      <c r="F6155" s="19" t="str">
        <f>IFERROR(__xludf.DUMMYFUNCTION("""COMPUTED_VALUE"""),"BLACK")</f>
        <v>BLACK</v>
      </c>
      <c r="G6155" s="20" t="str">
        <f>IFERROR(__xludf.DUMMYFUNCTION("""COMPUTED_VALUE"""),"Uncle Sams Cider (04/04/2023)")</f>
        <v>Uncle Sams Cider (04/04/2023)</v>
      </c>
      <c r="H6155" s="19"/>
    </row>
    <row r="6156">
      <c r="A6156" s="9"/>
      <c r="B6156" s="15"/>
      <c r="C6156" s="9">
        <f>IFERROR(__xludf.DUMMYFUNCTION("""COMPUTED_VALUE"""),45080.0813583101)</f>
        <v>45080.08136</v>
      </c>
      <c r="D6156" s="15">
        <f>IFERROR(__xludf.DUMMYFUNCTION("""COMPUTED_VALUE"""),1.009)</f>
        <v>1.009</v>
      </c>
      <c r="E6156" s="16">
        <f>IFERROR(__xludf.DUMMYFUNCTION("""COMPUTED_VALUE"""),67.0)</f>
        <v>67</v>
      </c>
      <c r="F6156" s="19" t="str">
        <f>IFERROR(__xludf.DUMMYFUNCTION("""COMPUTED_VALUE"""),"BLACK")</f>
        <v>BLACK</v>
      </c>
      <c r="G6156" s="20" t="str">
        <f>IFERROR(__xludf.DUMMYFUNCTION("""COMPUTED_VALUE"""),"Uncle Sams Cider (04/04/2023)")</f>
        <v>Uncle Sams Cider (04/04/2023)</v>
      </c>
      <c r="H6156" s="19"/>
    </row>
    <row r="6157">
      <c r="A6157" s="9"/>
      <c r="B6157" s="15"/>
      <c r="C6157" s="9">
        <f>IFERROR(__xludf.DUMMYFUNCTION("""COMPUTED_VALUE"""),45080.0709020833)</f>
        <v>45080.0709</v>
      </c>
      <c r="D6157" s="15">
        <f>IFERROR(__xludf.DUMMYFUNCTION("""COMPUTED_VALUE"""),1.009)</f>
        <v>1.009</v>
      </c>
      <c r="E6157" s="16">
        <f>IFERROR(__xludf.DUMMYFUNCTION("""COMPUTED_VALUE"""),67.0)</f>
        <v>67</v>
      </c>
      <c r="F6157" s="19" t="str">
        <f>IFERROR(__xludf.DUMMYFUNCTION("""COMPUTED_VALUE"""),"BLACK")</f>
        <v>BLACK</v>
      </c>
      <c r="G6157" s="20" t="str">
        <f>IFERROR(__xludf.DUMMYFUNCTION("""COMPUTED_VALUE"""),"Uncle Sams Cider (04/04/2023)")</f>
        <v>Uncle Sams Cider (04/04/2023)</v>
      </c>
      <c r="H6157" s="19"/>
    </row>
    <row r="6158">
      <c r="A6158" s="9"/>
      <c r="B6158" s="15"/>
      <c r="C6158" s="9">
        <f>IFERROR(__xludf.DUMMYFUNCTION("""COMPUTED_VALUE"""),45080.0604797453)</f>
        <v>45080.06048</v>
      </c>
      <c r="D6158" s="15">
        <f>IFERROR(__xludf.DUMMYFUNCTION("""COMPUTED_VALUE"""),1.009)</f>
        <v>1.009</v>
      </c>
      <c r="E6158" s="16">
        <f>IFERROR(__xludf.DUMMYFUNCTION("""COMPUTED_VALUE"""),67.0)</f>
        <v>67</v>
      </c>
      <c r="F6158" s="19" t="str">
        <f>IFERROR(__xludf.DUMMYFUNCTION("""COMPUTED_VALUE"""),"BLACK")</f>
        <v>BLACK</v>
      </c>
      <c r="G6158" s="20" t="str">
        <f>IFERROR(__xludf.DUMMYFUNCTION("""COMPUTED_VALUE"""),"Uncle Sams Cider (04/04/2023)")</f>
        <v>Uncle Sams Cider (04/04/2023)</v>
      </c>
      <c r="H6158" s="19"/>
    </row>
    <row r="6159">
      <c r="A6159" s="9"/>
      <c r="B6159" s="15"/>
      <c r="C6159" s="9">
        <f>IFERROR(__xludf.DUMMYFUNCTION("""COMPUTED_VALUE"""),45080.0500575463)</f>
        <v>45080.05006</v>
      </c>
      <c r="D6159" s="15">
        <f>IFERROR(__xludf.DUMMYFUNCTION("""COMPUTED_VALUE"""),1.009)</f>
        <v>1.009</v>
      </c>
      <c r="E6159" s="16">
        <f>IFERROR(__xludf.DUMMYFUNCTION("""COMPUTED_VALUE"""),67.0)</f>
        <v>67</v>
      </c>
      <c r="F6159" s="19" t="str">
        <f>IFERROR(__xludf.DUMMYFUNCTION("""COMPUTED_VALUE"""),"BLACK")</f>
        <v>BLACK</v>
      </c>
      <c r="G6159" s="20" t="str">
        <f>IFERROR(__xludf.DUMMYFUNCTION("""COMPUTED_VALUE"""),"Uncle Sams Cider (04/04/2023)")</f>
        <v>Uncle Sams Cider (04/04/2023)</v>
      </c>
      <c r="H6159" s="19"/>
    </row>
    <row r="6160">
      <c r="A6160" s="9"/>
      <c r="B6160" s="15"/>
      <c r="C6160" s="9">
        <f>IFERROR(__xludf.DUMMYFUNCTION("""COMPUTED_VALUE"""),45080.0396361458)</f>
        <v>45080.03964</v>
      </c>
      <c r="D6160" s="15">
        <f>IFERROR(__xludf.DUMMYFUNCTION("""COMPUTED_VALUE"""),1.009)</f>
        <v>1.009</v>
      </c>
      <c r="E6160" s="16">
        <f>IFERROR(__xludf.DUMMYFUNCTION("""COMPUTED_VALUE"""),67.0)</f>
        <v>67</v>
      </c>
      <c r="F6160" s="19" t="str">
        <f>IFERROR(__xludf.DUMMYFUNCTION("""COMPUTED_VALUE"""),"BLACK")</f>
        <v>BLACK</v>
      </c>
      <c r="G6160" s="20" t="str">
        <f>IFERROR(__xludf.DUMMYFUNCTION("""COMPUTED_VALUE"""),"Uncle Sams Cider (04/04/2023)")</f>
        <v>Uncle Sams Cider (04/04/2023)</v>
      </c>
      <c r="H6160" s="19"/>
    </row>
    <row r="6161">
      <c r="A6161" s="9"/>
      <c r="B6161" s="15"/>
      <c r="C6161" s="9">
        <f>IFERROR(__xludf.DUMMYFUNCTION("""COMPUTED_VALUE"""),45080.0292148842)</f>
        <v>45080.02921</v>
      </c>
      <c r="D6161" s="15">
        <f>IFERROR(__xludf.DUMMYFUNCTION("""COMPUTED_VALUE"""),1.009)</f>
        <v>1.009</v>
      </c>
      <c r="E6161" s="16">
        <f>IFERROR(__xludf.DUMMYFUNCTION("""COMPUTED_VALUE"""),67.0)</f>
        <v>67</v>
      </c>
      <c r="F6161" s="19" t="str">
        <f>IFERROR(__xludf.DUMMYFUNCTION("""COMPUTED_VALUE"""),"BLACK")</f>
        <v>BLACK</v>
      </c>
      <c r="G6161" s="20" t="str">
        <f>IFERROR(__xludf.DUMMYFUNCTION("""COMPUTED_VALUE"""),"Uncle Sams Cider (04/04/2023)")</f>
        <v>Uncle Sams Cider (04/04/2023)</v>
      </c>
      <c r="H6161" s="19"/>
    </row>
    <row r="6162">
      <c r="A6162" s="9"/>
      <c r="B6162" s="15"/>
      <c r="C6162" s="9">
        <f>IFERROR(__xludf.DUMMYFUNCTION("""COMPUTED_VALUE"""),45080.0187959027)</f>
        <v>45080.0188</v>
      </c>
      <c r="D6162" s="15">
        <f>IFERROR(__xludf.DUMMYFUNCTION("""COMPUTED_VALUE"""),1.009)</f>
        <v>1.009</v>
      </c>
      <c r="E6162" s="16">
        <f>IFERROR(__xludf.DUMMYFUNCTION("""COMPUTED_VALUE"""),67.0)</f>
        <v>67</v>
      </c>
      <c r="F6162" s="19" t="str">
        <f>IFERROR(__xludf.DUMMYFUNCTION("""COMPUTED_VALUE"""),"BLACK")</f>
        <v>BLACK</v>
      </c>
      <c r="G6162" s="20" t="str">
        <f>IFERROR(__xludf.DUMMYFUNCTION("""COMPUTED_VALUE"""),"Uncle Sams Cider (04/04/2023)")</f>
        <v>Uncle Sams Cider (04/04/2023)</v>
      </c>
      <c r="H6162" s="19"/>
    </row>
    <row r="6163">
      <c r="A6163" s="9"/>
      <c r="B6163" s="15"/>
      <c r="C6163" s="9">
        <f>IFERROR(__xludf.DUMMYFUNCTION("""COMPUTED_VALUE"""),45080.008364537)</f>
        <v>45080.00836</v>
      </c>
      <c r="D6163" s="15">
        <f>IFERROR(__xludf.DUMMYFUNCTION("""COMPUTED_VALUE"""),1.009)</f>
        <v>1.009</v>
      </c>
      <c r="E6163" s="16">
        <f>IFERROR(__xludf.DUMMYFUNCTION("""COMPUTED_VALUE"""),67.0)</f>
        <v>67</v>
      </c>
      <c r="F6163" s="19" t="str">
        <f>IFERROR(__xludf.DUMMYFUNCTION("""COMPUTED_VALUE"""),"BLACK")</f>
        <v>BLACK</v>
      </c>
      <c r="G6163" s="20" t="str">
        <f>IFERROR(__xludf.DUMMYFUNCTION("""COMPUTED_VALUE"""),"Uncle Sams Cider (04/04/2023)")</f>
        <v>Uncle Sams Cider (04/04/2023)</v>
      </c>
      <c r="H6163" s="19"/>
    </row>
    <row r="6164">
      <c r="A6164" s="9"/>
      <c r="B6164" s="15"/>
      <c r="C6164" s="9">
        <f>IFERROR(__xludf.DUMMYFUNCTION("""COMPUTED_VALUE"""),45079.9979435648)</f>
        <v>45079.99794</v>
      </c>
      <c r="D6164" s="15">
        <f>IFERROR(__xludf.DUMMYFUNCTION("""COMPUTED_VALUE"""),1.009)</f>
        <v>1.009</v>
      </c>
      <c r="E6164" s="16">
        <f>IFERROR(__xludf.DUMMYFUNCTION("""COMPUTED_VALUE"""),67.0)</f>
        <v>67</v>
      </c>
      <c r="F6164" s="19" t="str">
        <f>IFERROR(__xludf.DUMMYFUNCTION("""COMPUTED_VALUE"""),"BLACK")</f>
        <v>BLACK</v>
      </c>
      <c r="G6164" s="20" t="str">
        <f>IFERROR(__xludf.DUMMYFUNCTION("""COMPUTED_VALUE"""),"Uncle Sams Cider (04/04/2023)")</f>
        <v>Uncle Sams Cider (04/04/2023)</v>
      </c>
      <c r="H6164" s="19"/>
    </row>
    <row r="6165">
      <c r="A6165" s="9"/>
      <c r="B6165" s="15"/>
      <c r="C6165" s="9">
        <f>IFERROR(__xludf.DUMMYFUNCTION("""COMPUTED_VALUE"""),45079.9875217476)</f>
        <v>45079.98752</v>
      </c>
      <c r="D6165" s="15">
        <f>IFERROR(__xludf.DUMMYFUNCTION("""COMPUTED_VALUE"""),1.009)</f>
        <v>1.009</v>
      </c>
      <c r="E6165" s="16">
        <f>IFERROR(__xludf.DUMMYFUNCTION("""COMPUTED_VALUE"""),67.0)</f>
        <v>67</v>
      </c>
      <c r="F6165" s="19" t="str">
        <f>IFERROR(__xludf.DUMMYFUNCTION("""COMPUTED_VALUE"""),"BLACK")</f>
        <v>BLACK</v>
      </c>
      <c r="G6165" s="20" t="str">
        <f>IFERROR(__xludf.DUMMYFUNCTION("""COMPUTED_VALUE"""),"Uncle Sams Cider (04/04/2023)")</f>
        <v>Uncle Sams Cider (04/04/2023)</v>
      </c>
      <c r="H6165" s="19"/>
    </row>
    <row r="6166">
      <c r="A6166" s="9"/>
      <c r="B6166" s="15"/>
      <c r="C6166" s="9">
        <f>IFERROR(__xludf.DUMMYFUNCTION("""COMPUTED_VALUE"""),45079.9771010532)</f>
        <v>45079.9771</v>
      </c>
      <c r="D6166" s="15">
        <f>IFERROR(__xludf.DUMMYFUNCTION("""COMPUTED_VALUE"""),1.009)</f>
        <v>1.009</v>
      </c>
      <c r="E6166" s="16">
        <f>IFERROR(__xludf.DUMMYFUNCTION("""COMPUTED_VALUE"""),67.0)</f>
        <v>67</v>
      </c>
      <c r="F6166" s="19" t="str">
        <f>IFERROR(__xludf.DUMMYFUNCTION("""COMPUTED_VALUE"""),"BLACK")</f>
        <v>BLACK</v>
      </c>
      <c r="G6166" s="20" t="str">
        <f>IFERROR(__xludf.DUMMYFUNCTION("""COMPUTED_VALUE"""),"Uncle Sams Cider (04/04/2023)")</f>
        <v>Uncle Sams Cider (04/04/2023)</v>
      </c>
      <c r="H6166" s="19"/>
    </row>
    <row r="6167">
      <c r="A6167" s="9"/>
      <c r="B6167" s="15"/>
      <c r="C6167" s="9">
        <f>IFERROR(__xludf.DUMMYFUNCTION("""COMPUTED_VALUE"""),45079.9666817129)</f>
        <v>45079.96668</v>
      </c>
      <c r="D6167" s="15">
        <f>IFERROR(__xludf.DUMMYFUNCTION("""COMPUTED_VALUE"""),1.009)</f>
        <v>1.009</v>
      </c>
      <c r="E6167" s="16">
        <f>IFERROR(__xludf.DUMMYFUNCTION("""COMPUTED_VALUE"""),67.0)</f>
        <v>67</v>
      </c>
      <c r="F6167" s="19" t="str">
        <f>IFERROR(__xludf.DUMMYFUNCTION("""COMPUTED_VALUE"""),"BLACK")</f>
        <v>BLACK</v>
      </c>
      <c r="G6167" s="20" t="str">
        <f>IFERROR(__xludf.DUMMYFUNCTION("""COMPUTED_VALUE"""),"Uncle Sams Cider (04/04/2023)")</f>
        <v>Uncle Sams Cider (04/04/2023)</v>
      </c>
      <c r="H6167" s="19"/>
    </row>
    <row r="6168">
      <c r="A6168" s="9"/>
      <c r="B6168" s="15"/>
      <c r="C6168" s="9">
        <f>IFERROR(__xludf.DUMMYFUNCTION("""COMPUTED_VALUE"""),45079.9562493055)</f>
        <v>45079.95625</v>
      </c>
      <c r="D6168" s="15">
        <f>IFERROR(__xludf.DUMMYFUNCTION("""COMPUTED_VALUE"""),1.009)</f>
        <v>1.009</v>
      </c>
      <c r="E6168" s="16">
        <f>IFERROR(__xludf.DUMMYFUNCTION("""COMPUTED_VALUE"""),67.0)</f>
        <v>67</v>
      </c>
      <c r="F6168" s="19" t="str">
        <f>IFERROR(__xludf.DUMMYFUNCTION("""COMPUTED_VALUE"""),"BLACK")</f>
        <v>BLACK</v>
      </c>
      <c r="G6168" s="20" t="str">
        <f>IFERROR(__xludf.DUMMYFUNCTION("""COMPUTED_VALUE"""),"Uncle Sams Cider (04/04/2023)")</f>
        <v>Uncle Sams Cider (04/04/2023)</v>
      </c>
      <c r="H6168" s="19"/>
    </row>
    <row r="6169">
      <c r="A6169" s="9"/>
      <c r="B6169" s="15"/>
      <c r="C6169" s="9">
        <f>IFERROR(__xludf.DUMMYFUNCTION("""COMPUTED_VALUE"""),45079.9458268518)</f>
        <v>45079.94583</v>
      </c>
      <c r="D6169" s="15">
        <f>IFERROR(__xludf.DUMMYFUNCTION("""COMPUTED_VALUE"""),1.008)</f>
        <v>1.008</v>
      </c>
      <c r="E6169" s="16">
        <f>IFERROR(__xludf.DUMMYFUNCTION("""COMPUTED_VALUE"""),67.0)</f>
        <v>67</v>
      </c>
      <c r="F6169" s="19" t="str">
        <f>IFERROR(__xludf.DUMMYFUNCTION("""COMPUTED_VALUE"""),"BLACK")</f>
        <v>BLACK</v>
      </c>
      <c r="G6169" s="20" t="str">
        <f>IFERROR(__xludf.DUMMYFUNCTION("""COMPUTED_VALUE"""),"Uncle Sams Cider (04/04/2023)")</f>
        <v>Uncle Sams Cider (04/04/2023)</v>
      </c>
      <c r="H6169" s="19"/>
    </row>
    <row r="6170">
      <c r="A6170" s="9"/>
      <c r="B6170" s="15"/>
      <c r="C6170" s="9">
        <f>IFERROR(__xludf.DUMMYFUNCTION("""COMPUTED_VALUE"""),45079.9354058217)</f>
        <v>45079.93541</v>
      </c>
      <c r="D6170" s="15">
        <f>IFERROR(__xludf.DUMMYFUNCTION("""COMPUTED_VALUE"""),1.009)</f>
        <v>1.009</v>
      </c>
      <c r="E6170" s="16">
        <f>IFERROR(__xludf.DUMMYFUNCTION("""COMPUTED_VALUE"""),67.0)</f>
        <v>67</v>
      </c>
      <c r="F6170" s="19" t="str">
        <f>IFERROR(__xludf.DUMMYFUNCTION("""COMPUTED_VALUE"""),"BLACK")</f>
        <v>BLACK</v>
      </c>
      <c r="G6170" s="20" t="str">
        <f>IFERROR(__xludf.DUMMYFUNCTION("""COMPUTED_VALUE"""),"Uncle Sams Cider (04/04/2023)")</f>
        <v>Uncle Sams Cider (04/04/2023)</v>
      </c>
      <c r="H6170" s="19"/>
    </row>
    <row r="6171">
      <c r="A6171" s="9"/>
      <c r="B6171" s="15"/>
      <c r="C6171" s="9">
        <f>IFERROR(__xludf.DUMMYFUNCTION("""COMPUTED_VALUE"""),45079.9249851388)</f>
        <v>45079.92499</v>
      </c>
      <c r="D6171" s="15">
        <f>IFERROR(__xludf.DUMMYFUNCTION("""COMPUTED_VALUE"""),1.009)</f>
        <v>1.009</v>
      </c>
      <c r="E6171" s="16">
        <f>IFERROR(__xludf.DUMMYFUNCTION("""COMPUTED_VALUE"""),67.0)</f>
        <v>67</v>
      </c>
      <c r="F6171" s="19" t="str">
        <f>IFERROR(__xludf.DUMMYFUNCTION("""COMPUTED_VALUE"""),"BLACK")</f>
        <v>BLACK</v>
      </c>
      <c r="G6171" s="20" t="str">
        <f>IFERROR(__xludf.DUMMYFUNCTION("""COMPUTED_VALUE"""),"Uncle Sams Cider (04/04/2023)")</f>
        <v>Uncle Sams Cider (04/04/2023)</v>
      </c>
      <c r="H6171" s="19"/>
    </row>
    <row r="6172">
      <c r="A6172" s="9"/>
      <c r="B6172" s="15"/>
      <c r="C6172" s="9">
        <f>IFERROR(__xludf.DUMMYFUNCTION("""COMPUTED_VALUE"""),45079.9145530324)</f>
        <v>45079.91455</v>
      </c>
      <c r="D6172" s="15">
        <f>IFERROR(__xludf.DUMMYFUNCTION("""COMPUTED_VALUE"""),1.009)</f>
        <v>1.009</v>
      </c>
      <c r="E6172" s="16">
        <f>IFERROR(__xludf.DUMMYFUNCTION("""COMPUTED_VALUE"""),67.0)</f>
        <v>67</v>
      </c>
      <c r="F6172" s="19" t="str">
        <f>IFERROR(__xludf.DUMMYFUNCTION("""COMPUTED_VALUE"""),"BLACK")</f>
        <v>BLACK</v>
      </c>
      <c r="G6172" s="20" t="str">
        <f>IFERROR(__xludf.DUMMYFUNCTION("""COMPUTED_VALUE"""),"Uncle Sams Cider (04/04/2023)")</f>
        <v>Uncle Sams Cider (04/04/2023)</v>
      </c>
      <c r="H6172" s="19"/>
    </row>
    <row r="6173">
      <c r="A6173" s="9"/>
      <c r="B6173" s="15"/>
      <c r="C6173" s="9">
        <f>IFERROR(__xludf.DUMMYFUNCTION("""COMPUTED_VALUE"""),45079.9041326967)</f>
        <v>45079.90413</v>
      </c>
      <c r="D6173" s="15">
        <f>IFERROR(__xludf.DUMMYFUNCTION("""COMPUTED_VALUE"""),1.009)</f>
        <v>1.009</v>
      </c>
      <c r="E6173" s="16">
        <f>IFERROR(__xludf.DUMMYFUNCTION("""COMPUTED_VALUE"""),67.0)</f>
        <v>67</v>
      </c>
      <c r="F6173" s="19" t="str">
        <f>IFERROR(__xludf.DUMMYFUNCTION("""COMPUTED_VALUE"""),"BLACK")</f>
        <v>BLACK</v>
      </c>
      <c r="G6173" s="20" t="str">
        <f>IFERROR(__xludf.DUMMYFUNCTION("""COMPUTED_VALUE"""),"Uncle Sams Cider (04/04/2023)")</f>
        <v>Uncle Sams Cider (04/04/2023)</v>
      </c>
      <c r="H6173" s="19"/>
    </row>
    <row r="6174">
      <c r="A6174" s="9"/>
      <c r="B6174" s="15"/>
      <c r="C6174" s="9">
        <f>IFERROR(__xludf.DUMMYFUNCTION("""COMPUTED_VALUE"""),45079.8937120486)</f>
        <v>45079.89371</v>
      </c>
      <c r="D6174" s="15">
        <f>IFERROR(__xludf.DUMMYFUNCTION("""COMPUTED_VALUE"""),1.009)</f>
        <v>1.009</v>
      </c>
      <c r="E6174" s="16">
        <f>IFERROR(__xludf.DUMMYFUNCTION("""COMPUTED_VALUE"""),67.0)</f>
        <v>67</v>
      </c>
      <c r="F6174" s="19" t="str">
        <f>IFERROR(__xludf.DUMMYFUNCTION("""COMPUTED_VALUE"""),"BLACK")</f>
        <v>BLACK</v>
      </c>
      <c r="G6174" s="20" t="str">
        <f>IFERROR(__xludf.DUMMYFUNCTION("""COMPUTED_VALUE"""),"Uncle Sams Cider (04/04/2023)")</f>
        <v>Uncle Sams Cider (04/04/2023)</v>
      </c>
      <c r="H6174" s="19"/>
    </row>
    <row r="6175">
      <c r="A6175" s="9"/>
      <c r="B6175" s="15"/>
      <c r="C6175" s="9">
        <f>IFERROR(__xludf.DUMMYFUNCTION("""COMPUTED_VALUE"""),45079.8832899884)</f>
        <v>45079.88329</v>
      </c>
      <c r="D6175" s="15">
        <f>IFERROR(__xludf.DUMMYFUNCTION("""COMPUTED_VALUE"""),1.009)</f>
        <v>1.009</v>
      </c>
      <c r="E6175" s="16">
        <f>IFERROR(__xludf.DUMMYFUNCTION("""COMPUTED_VALUE"""),67.0)</f>
        <v>67</v>
      </c>
      <c r="F6175" s="19" t="str">
        <f>IFERROR(__xludf.DUMMYFUNCTION("""COMPUTED_VALUE"""),"BLACK")</f>
        <v>BLACK</v>
      </c>
      <c r="G6175" s="20" t="str">
        <f>IFERROR(__xludf.DUMMYFUNCTION("""COMPUTED_VALUE"""),"Uncle Sams Cider (04/04/2023)")</f>
        <v>Uncle Sams Cider (04/04/2023)</v>
      </c>
      <c r="H6175" s="19"/>
    </row>
    <row r="6176">
      <c r="A6176" s="9"/>
      <c r="B6176" s="15"/>
      <c r="C6176" s="9">
        <f>IFERROR(__xludf.DUMMYFUNCTION("""COMPUTED_VALUE"""),45079.8728462963)</f>
        <v>45079.87285</v>
      </c>
      <c r="D6176" s="15">
        <f>IFERROR(__xludf.DUMMYFUNCTION("""COMPUTED_VALUE"""),1.009)</f>
        <v>1.009</v>
      </c>
      <c r="E6176" s="16">
        <f>IFERROR(__xludf.DUMMYFUNCTION("""COMPUTED_VALUE"""),67.0)</f>
        <v>67</v>
      </c>
      <c r="F6176" s="19" t="str">
        <f>IFERROR(__xludf.DUMMYFUNCTION("""COMPUTED_VALUE"""),"BLACK")</f>
        <v>BLACK</v>
      </c>
      <c r="G6176" s="20" t="str">
        <f>IFERROR(__xludf.DUMMYFUNCTION("""COMPUTED_VALUE"""),"Uncle Sams Cider (04/04/2023)")</f>
        <v>Uncle Sams Cider (04/04/2023)</v>
      </c>
      <c r="H6176" s="19"/>
    </row>
    <row r="6177">
      <c r="A6177" s="9"/>
      <c r="B6177" s="15"/>
      <c r="C6177" s="9">
        <f>IFERROR(__xludf.DUMMYFUNCTION("""COMPUTED_VALUE"""),45079.8624241666)</f>
        <v>45079.86242</v>
      </c>
      <c r="D6177" s="15">
        <f>IFERROR(__xludf.DUMMYFUNCTION("""COMPUTED_VALUE"""),1.009)</f>
        <v>1.009</v>
      </c>
      <c r="E6177" s="16">
        <f>IFERROR(__xludf.DUMMYFUNCTION("""COMPUTED_VALUE"""),67.0)</f>
        <v>67</v>
      </c>
      <c r="F6177" s="19" t="str">
        <f>IFERROR(__xludf.DUMMYFUNCTION("""COMPUTED_VALUE"""),"BLACK")</f>
        <v>BLACK</v>
      </c>
      <c r="G6177" s="20" t="str">
        <f>IFERROR(__xludf.DUMMYFUNCTION("""COMPUTED_VALUE"""),"Uncle Sams Cider (04/04/2023)")</f>
        <v>Uncle Sams Cider (04/04/2023)</v>
      </c>
      <c r="H6177" s="19"/>
    </row>
    <row r="6178">
      <c r="A6178" s="9"/>
      <c r="B6178" s="15"/>
      <c r="C6178" s="9">
        <f>IFERROR(__xludf.DUMMYFUNCTION("""COMPUTED_VALUE"""),45079.8519905787)</f>
        <v>45079.85199</v>
      </c>
      <c r="D6178" s="15">
        <f>IFERROR(__xludf.DUMMYFUNCTION("""COMPUTED_VALUE"""),1.009)</f>
        <v>1.009</v>
      </c>
      <c r="E6178" s="16">
        <f>IFERROR(__xludf.DUMMYFUNCTION("""COMPUTED_VALUE"""),67.0)</f>
        <v>67</v>
      </c>
      <c r="F6178" s="19" t="str">
        <f>IFERROR(__xludf.DUMMYFUNCTION("""COMPUTED_VALUE"""),"BLACK")</f>
        <v>BLACK</v>
      </c>
      <c r="G6178" s="20" t="str">
        <f>IFERROR(__xludf.DUMMYFUNCTION("""COMPUTED_VALUE"""),"Uncle Sams Cider (04/04/2023)")</f>
        <v>Uncle Sams Cider (04/04/2023)</v>
      </c>
      <c r="H6178" s="19"/>
    </row>
    <row r="6179">
      <c r="A6179" s="9"/>
      <c r="B6179" s="15"/>
      <c r="C6179" s="9">
        <f>IFERROR(__xludf.DUMMYFUNCTION("""COMPUTED_VALUE"""),45079.8415687847)</f>
        <v>45079.84157</v>
      </c>
      <c r="D6179" s="15">
        <f>IFERROR(__xludf.DUMMYFUNCTION("""COMPUTED_VALUE"""),1.009)</f>
        <v>1.009</v>
      </c>
      <c r="E6179" s="16">
        <f>IFERROR(__xludf.DUMMYFUNCTION("""COMPUTED_VALUE"""),67.0)</f>
        <v>67</v>
      </c>
      <c r="F6179" s="19" t="str">
        <f>IFERROR(__xludf.DUMMYFUNCTION("""COMPUTED_VALUE"""),"BLACK")</f>
        <v>BLACK</v>
      </c>
      <c r="G6179" s="20" t="str">
        <f>IFERROR(__xludf.DUMMYFUNCTION("""COMPUTED_VALUE"""),"Uncle Sams Cider (04/04/2023)")</f>
        <v>Uncle Sams Cider (04/04/2023)</v>
      </c>
      <c r="H6179" s="19"/>
    </row>
    <row r="6180">
      <c r="A6180" s="9"/>
      <c r="B6180" s="15"/>
      <c r="C6180" s="9">
        <f>IFERROR(__xludf.DUMMYFUNCTION("""COMPUTED_VALUE"""),45079.8311488773)</f>
        <v>45079.83115</v>
      </c>
      <c r="D6180" s="15">
        <f>IFERROR(__xludf.DUMMYFUNCTION("""COMPUTED_VALUE"""),1.009)</f>
        <v>1.009</v>
      </c>
      <c r="E6180" s="16">
        <f>IFERROR(__xludf.DUMMYFUNCTION("""COMPUTED_VALUE"""),67.0)</f>
        <v>67</v>
      </c>
      <c r="F6180" s="19" t="str">
        <f>IFERROR(__xludf.DUMMYFUNCTION("""COMPUTED_VALUE"""),"BLACK")</f>
        <v>BLACK</v>
      </c>
      <c r="G6180" s="20" t="str">
        <f>IFERROR(__xludf.DUMMYFUNCTION("""COMPUTED_VALUE"""),"Uncle Sams Cider (04/04/2023)")</f>
        <v>Uncle Sams Cider (04/04/2023)</v>
      </c>
      <c r="H6180" s="19"/>
    </row>
    <row r="6181">
      <c r="A6181" s="9"/>
      <c r="B6181" s="15"/>
      <c r="C6181" s="9">
        <f>IFERROR(__xludf.DUMMYFUNCTION("""COMPUTED_VALUE"""),45079.8207284838)</f>
        <v>45079.82073</v>
      </c>
      <c r="D6181" s="15">
        <f>IFERROR(__xludf.DUMMYFUNCTION("""COMPUTED_VALUE"""),1.009)</f>
        <v>1.009</v>
      </c>
      <c r="E6181" s="16">
        <f>IFERROR(__xludf.DUMMYFUNCTION("""COMPUTED_VALUE"""),67.0)</f>
        <v>67</v>
      </c>
      <c r="F6181" s="19" t="str">
        <f>IFERROR(__xludf.DUMMYFUNCTION("""COMPUTED_VALUE"""),"BLACK")</f>
        <v>BLACK</v>
      </c>
      <c r="G6181" s="20" t="str">
        <f>IFERROR(__xludf.DUMMYFUNCTION("""COMPUTED_VALUE"""),"Uncle Sams Cider (04/04/2023)")</f>
        <v>Uncle Sams Cider (04/04/2023)</v>
      </c>
      <c r="H6181" s="19"/>
    </row>
    <row r="6182">
      <c r="A6182" s="9"/>
      <c r="B6182" s="15"/>
      <c r="C6182" s="9">
        <f>IFERROR(__xludf.DUMMYFUNCTION("""COMPUTED_VALUE"""),45079.8103068518)</f>
        <v>45079.81031</v>
      </c>
      <c r="D6182" s="15">
        <f>IFERROR(__xludf.DUMMYFUNCTION("""COMPUTED_VALUE"""),1.009)</f>
        <v>1.009</v>
      </c>
      <c r="E6182" s="16">
        <f>IFERROR(__xludf.DUMMYFUNCTION("""COMPUTED_VALUE"""),67.0)</f>
        <v>67</v>
      </c>
      <c r="F6182" s="19" t="str">
        <f>IFERROR(__xludf.DUMMYFUNCTION("""COMPUTED_VALUE"""),"BLACK")</f>
        <v>BLACK</v>
      </c>
      <c r="G6182" s="20" t="str">
        <f>IFERROR(__xludf.DUMMYFUNCTION("""COMPUTED_VALUE"""),"Uncle Sams Cider (04/04/2023)")</f>
        <v>Uncle Sams Cider (04/04/2023)</v>
      </c>
      <c r="H6182" s="19"/>
    </row>
    <row r="6183">
      <c r="A6183" s="9"/>
      <c r="B6183" s="15"/>
      <c r="C6183" s="9">
        <f>IFERROR(__xludf.DUMMYFUNCTION("""COMPUTED_VALUE"""),45079.7998843402)</f>
        <v>45079.79988</v>
      </c>
      <c r="D6183" s="15">
        <f>IFERROR(__xludf.DUMMYFUNCTION("""COMPUTED_VALUE"""),1.009)</f>
        <v>1.009</v>
      </c>
      <c r="E6183" s="16">
        <f>IFERROR(__xludf.DUMMYFUNCTION("""COMPUTED_VALUE"""),67.0)</f>
        <v>67</v>
      </c>
      <c r="F6183" s="19" t="str">
        <f>IFERROR(__xludf.DUMMYFUNCTION("""COMPUTED_VALUE"""),"BLACK")</f>
        <v>BLACK</v>
      </c>
      <c r="G6183" s="20" t="str">
        <f>IFERROR(__xludf.DUMMYFUNCTION("""COMPUTED_VALUE"""),"Uncle Sams Cider (04/04/2023)")</f>
        <v>Uncle Sams Cider (04/04/2023)</v>
      </c>
      <c r="H6183" s="19"/>
    </row>
    <row r="6184">
      <c r="A6184" s="9"/>
      <c r="B6184" s="15"/>
      <c r="C6184" s="9">
        <f>IFERROR(__xludf.DUMMYFUNCTION("""COMPUTED_VALUE"""),45079.7894625)</f>
        <v>45079.78946</v>
      </c>
      <c r="D6184" s="15">
        <f>IFERROR(__xludf.DUMMYFUNCTION("""COMPUTED_VALUE"""),1.009)</f>
        <v>1.009</v>
      </c>
      <c r="E6184" s="16">
        <f>IFERROR(__xludf.DUMMYFUNCTION("""COMPUTED_VALUE"""),67.0)</f>
        <v>67</v>
      </c>
      <c r="F6184" s="19" t="str">
        <f>IFERROR(__xludf.DUMMYFUNCTION("""COMPUTED_VALUE"""),"BLACK")</f>
        <v>BLACK</v>
      </c>
      <c r="G6184" s="20" t="str">
        <f>IFERROR(__xludf.DUMMYFUNCTION("""COMPUTED_VALUE"""),"Uncle Sams Cider (04/04/2023)")</f>
        <v>Uncle Sams Cider (04/04/2023)</v>
      </c>
      <c r="H6184" s="19"/>
    </row>
    <row r="6185">
      <c r="A6185" s="9"/>
      <c r="B6185" s="15"/>
      <c r="C6185" s="9">
        <f>IFERROR(__xludf.DUMMYFUNCTION("""COMPUTED_VALUE"""),45079.7790409953)</f>
        <v>45079.77904</v>
      </c>
      <c r="D6185" s="15">
        <f>IFERROR(__xludf.DUMMYFUNCTION("""COMPUTED_VALUE"""),1.009)</f>
        <v>1.009</v>
      </c>
      <c r="E6185" s="16">
        <f>IFERROR(__xludf.DUMMYFUNCTION("""COMPUTED_VALUE"""),67.0)</f>
        <v>67</v>
      </c>
      <c r="F6185" s="19" t="str">
        <f>IFERROR(__xludf.DUMMYFUNCTION("""COMPUTED_VALUE"""),"BLACK")</f>
        <v>BLACK</v>
      </c>
      <c r="G6185" s="20" t="str">
        <f>IFERROR(__xludf.DUMMYFUNCTION("""COMPUTED_VALUE"""),"Uncle Sams Cider (04/04/2023)")</f>
        <v>Uncle Sams Cider (04/04/2023)</v>
      </c>
      <c r="H6185" s="19"/>
    </row>
    <row r="6186">
      <c r="A6186" s="9"/>
      <c r="B6186" s="15"/>
      <c r="C6186" s="9">
        <f>IFERROR(__xludf.DUMMYFUNCTION("""COMPUTED_VALUE"""),45079.7686187268)</f>
        <v>45079.76862</v>
      </c>
      <c r="D6186" s="15">
        <f>IFERROR(__xludf.DUMMYFUNCTION("""COMPUTED_VALUE"""),1.009)</f>
        <v>1.009</v>
      </c>
      <c r="E6186" s="16">
        <f>IFERROR(__xludf.DUMMYFUNCTION("""COMPUTED_VALUE"""),67.0)</f>
        <v>67</v>
      </c>
      <c r="F6186" s="19" t="str">
        <f>IFERROR(__xludf.DUMMYFUNCTION("""COMPUTED_VALUE"""),"BLACK")</f>
        <v>BLACK</v>
      </c>
      <c r="G6186" s="20" t="str">
        <f>IFERROR(__xludf.DUMMYFUNCTION("""COMPUTED_VALUE"""),"Uncle Sams Cider (04/04/2023)")</f>
        <v>Uncle Sams Cider (04/04/2023)</v>
      </c>
      <c r="H6186" s="19"/>
    </row>
    <row r="6187">
      <c r="A6187" s="9"/>
      <c r="B6187" s="15"/>
      <c r="C6187" s="9">
        <f>IFERROR(__xludf.DUMMYFUNCTION("""COMPUTED_VALUE"""),45079.758197581)</f>
        <v>45079.7582</v>
      </c>
      <c r="D6187" s="15">
        <f>IFERROR(__xludf.DUMMYFUNCTION("""COMPUTED_VALUE"""),1.009)</f>
        <v>1.009</v>
      </c>
      <c r="E6187" s="16">
        <f>IFERROR(__xludf.DUMMYFUNCTION("""COMPUTED_VALUE"""),67.0)</f>
        <v>67</v>
      </c>
      <c r="F6187" s="19" t="str">
        <f>IFERROR(__xludf.DUMMYFUNCTION("""COMPUTED_VALUE"""),"BLACK")</f>
        <v>BLACK</v>
      </c>
      <c r="G6187" s="20" t="str">
        <f>IFERROR(__xludf.DUMMYFUNCTION("""COMPUTED_VALUE"""),"Uncle Sams Cider (04/04/2023)")</f>
        <v>Uncle Sams Cider (04/04/2023)</v>
      </c>
      <c r="H6187" s="19"/>
    </row>
    <row r="6188">
      <c r="A6188" s="9"/>
      <c r="B6188" s="15"/>
      <c r="C6188" s="9">
        <f>IFERROR(__xludf.DUMMYFUNCTION("""COMPUTED_VALUE"""),45079.747775868)</f>
        <v>45079.74778</v>
      </c>
      <c r="D6188" s="15">
        <f>IFERROR(__xludf.DUMMYFUNCTION("""COMPUTED_VALUE"""),1.009)</f>
        <v>1.009</v>
      </c>
      <c r="E6188" s="16">
        <f>IFERROR(__xludf.DUMMYFUNCTION("""COMPUTED_VALUE"""),67.0)</f>
        <v>67</v>
      </c>
      <c r="F6188" s="19" t="str">
        <f>IFERROR(__xludf.DUMMYFUNCTION("""COMPUTED_VALUE"""),"BLACK")</f>
        <v>BLACK</v>
      </c>
      <c r="G6188" s="20" t="str">
        <f>IFERROR(__xludf.DUMMYFUNCTION("""COMPUTED_VALUE"""),"Uncle Sams Cider (04/04/2023)")</f>
        <v>Uncle Sams Cider (04/04/2023)</v>
      </c>
      <c r="H6188" s="19"/>
    </row>
    <row r="6189">
      <c r="A6189" s="9"/>
      <c r="B6189" s="15"/>
      <c r="C6189" s="9">
        <f>IFERROR(__xludf.DUMMYFUNCTION("""COMPUTED_VALUE"""),45079.7373430208)</f>
        <v>45079.73734</v>
      </c>
      <c r="D6189" s="15">
        <f>IFERROR(__xludf.DUMMYFUNCTION("""COMPUTED_VALUE"""),1.009)</f>
        <v>1.009</v>
      </c>
      <c r="E6189" s="16">
        <f>IFERROR(__xludf.DUMMYFUNCTION("""COMPUTED_VALUE"""),67.0)</f>
        <v>67</v>
      </c>
      <c r="F6189" s="19" t="str">
        <f>IFERROR(__xludf.DUMMYFUNCTION("""COMPUTED_VALUE"""),"BLACK")</f>
        <v>BLACK</v>
      </c>
      <c r="G6189" s="20" t="str">
        <f>IFERROR(__xludf.DUMMYFUNCTION("""COMPUTED_VALUE"""),"Uncle Sams Cider (04/04/2023)")</f>
        <v>Uncle Sams Cider (04/04/2023)</v>
      </c>
      <c r="H6189" s="19"/>
    </row>
    <row r="6190">
      <c r="A6190" s="9"/>
      <c r="B6190" s="15"/>
      <c r="C6190" s="9">
        <f>IFERROR(__xludf.DUMMYFUNCTION("""COMPUTED_VALUE"""),45079.7269211342)</f>
        <v>45079.72692</v>
      </c>
      <c r="D6190" s="15">
        <f>IFERROR(__xludf.DUMMYFUNCTION("""COMPUTED_VALUE"""),1.009)</f>
        <v>1.009</v>
      </c>
      <c r="E6190" s="16">
        <f>IFERROR(__xludf.DUMMYFUNCTION("""COMPUTED_VALUE"""),67.0)</f>
        <v>67</v>
      </c>
      <c r="F6190" s="19" t="str">
        <f>IFERROR(__xludf.DUMMYFUNCTION("""COMPUTED_VALUE"""),"BLACK")</f>
        <v>BLACK</v>
      </c>
      <c r="G6190" s="20" t="str">
        <f>IFERROR(__xludf.DUMMYFUNCTION("""COMPUTED_VALUE"""),"Uncle Sams Cider (04/04/2023)")</f>
        <v>Uncle Sams Cider (04/04/2023)</v>
      </c>
      <c r="H6190" s="19"/>
    </row>
    <row r="6191">
      <c r="A6191" s="9"/>
      <c r="B6191" s="15"/>
      <c r="C6191" s="9">
        <f>IFERROR(__xludf.DUMMYFUNCTION("""COMPUTED_VALUE"""),45079.7164992013)</f>
        <v>45079.7165</v>
      </c>
      <c r="D6191" s="15">
        <f>IFERROR(__xludf.DUMMYFUNCTION("""COMPUTED_VALUE"""),1.009)</f>
        <v>1.009</v>
      </c>
      <c r="E6191" s="16">
        <f>IFERROR(__xludf.DUMMYFUNCTION("""COMPUTED_VALUE"""),67.0)</f>
        <v>67</v>
      </c>
      <c r="F6191" s="19" t="str">
        <f>IFERROR(__xludf.DUMMYFUNCTION("""COMPUTED_VALUE"""),"BLACK")</f>
        <v>BLACK</v>
      </c>
      <c r="G6191" s="20" t="str">
        <f>IFERROR(__xludf.DUMMYFUNCTION("""COMPUTED_VALUE"""),"Uncle Sams Cider (04/04/2023)")</f>
        <v>Uncle Sams Cider (04/04/2023)</v>
      </c>
      <c r="H6191" s="19"/>
    </row>
    <row r="6192">
      <c r="A6192" s="9"/>
      <c r="B6192" s="15"/>
      <c r="C6192" s="9">
        <f>IFERROR(__xludf.DUMMYFUNCTION("""COMPUTED_VALUE"""),45079.7060557291)</f>
        <v>45079.70606</v>
      </c>
      <c r="D6192" s="15">
        <f>IFERROR(__xludf.DUMMYFUNCTION("""COMPUTED_VALUE"""),1.009)</f>
        <v>1.009</v>
      </c>
      <c r="E6192" s="16">
        <f>IFERROR(__xludf.DUMMYFUNCTION("""COMPUTED_VALUE"""),67.0)</f>
        <v>67</v>
      </c>
      <c r="F6192" s="19" t="str">
        <f>IFERROR(__xludf.DUMMYFUNCTION("""COMPUTED_VALUE"""),"BLACK")</f>
        <v>BLACK</v>
      </c>
      <c r="G6192" s="20" t="str">
        <f>IFERROR(__xludf.DUMMYFUNCTION("""COMPUTED_VALUE"""),"Uncle Sams Cider (04/04/2023)")</f>
        <v>Uncle Sams Cider (04/04/2023)</v>
      </c>
      <c r="H6192" s="19"/>
    </row>
    <row r="6193">
      <c r="A6193" s="9"/>
      <c r="B6193" s="15"/>
      <c r="C6193" s="9">
        <f>IFERROR(__xludf.DUMMYFUNCTION("""COMPUTED_VALUE"""),45079.6956339467)</f>
        <v>45079.69563</v>
      </c>
      <c r="D6193" s="15">
        <f>IFERROR(__xludf.DUMMYFUNCTION("""COMPUTED_VALUE"""),1.009)</f>
        <v>1.009</v>
      </c>
      <c r="E6193" s="16">
        <f>IFERROR(__xludf.DUMMYFUNCTION("""COMPUTED_VALUE"""),67.0)</f>
        <v>67</v>
      </c>
      <c r="F6193" s="19" t="str">
        <f>IFERROR(__xludf.DUMMYFUNCTION("""COMPUTED_VALUE"""),"BLACK")</f>
        <v>BLACK</v>
      </c>
      <c r="G6193" s="20" t="str">
        <f>IFERROR(__xludf.DUMMYFUNCTION("""COMPUTED_VALUE"""),"Uncle Sams Cider (04/04/2023)")</f>
        <v>Uncle Sams Cider (04/04/2023)</v>
      </c>
      <c r="H6193" s="19"/>
    </row>
    <row r="6194">
      <c r="A6194" s="9"/>
      <c r="B6194" s="15"/>
      <c r="C6194" s="9">
        <f>IFERROR(__xludf.DUMMYFUNCTION("""COMPUTED_VALUE"""),45079.6852132407)</f>
        <v>45079.68521</v>
      </c>
      <c r="D6194" s="15">
        <f>IFERROR(__xludf.DUMMYFUNCTION("""COMPUTED_VALUE"""),1.009)</f>
        <v>1.009</v>
      </c>
      <c r="E6194" s="16">
        <f>IFERROR(__xludf.DUMMYFUNCTION("""COMPUTED_VALUE"""),67.0)</f>
        <v>67</v>
      </c>
      <c r="F6194" s="19" t="str">
        <f>IFERROR(__xludf.DUMMYFUNCTION("""COMPUTED_VALUE"""),"BLACK")</f>
        <v>BLACK</v>
      </c>
      <c r="G6194" s="20" t="str">
        <f>IFERROR(__xludf.DUMMYFUNCTION("""COMPUTED_VALUE"""),"Uncle Sams Cider (04/04/2023)")</f>
        <v>Uncle Sams Cider (04/04/2023)</v>
      </c>
      <c r="H6194" s="19"/>
    </row>
    <row r="6195">
      <c r="A6195" s="9"/>
      <c r="B6195" s="15"/>
      <c r="C6195" s="9">
        <f>IFERROR(__xludf.DUMMYFUNCTION("""COMPUTED_VALUE"""),45079.6747933217)</f>
        <v>45079.67479</v>
      </c>
      <c r="D6195" s="15">
        <f>IFERROR(__xludf.DUMMYFUNCTION("""COMPUTED_VALUE"""),1.009)</f>
        <v>1.009</v>
      </c>
      <c r="E6195" s="16">
        <f>IFERROR(__xludf.DUMMYFUNCTION("""COMPUTED_VALUE"""),67.0)</f>
        <v>67</v>
      </c>
      <c r="F6195" s="19" t="str">
        <f>IFERROR(__xludf.DUMMYFUNCTION("""COMPUTED_VALUE"""),"BLACK")</f>
        <v>BLACK</v>
      </c>
      <c r="G6195" s="20" t="str">
        <f>IFERROR(__xludf.DUMMYFUNCTION("""COMPUTED_VALUE"""),"Uncle Sams Cider (04/04/2023)")</f>
        <v>Uncle Sams Cider (04/04/2023)</v>
      </c>
      <c r="H6195" s="19"/>
    </row>
    <row r="6196">
      <c r="A6196" s="9"/>
      <c r="B6196" s="15"/>
      <c r="C6196" s="9">
        <f>IFERROR(__xludf.DUMMYFUNCTION("""COMPUTED_VALUE"""),45079.6643698495)</f>
        <v>45079.66437</v>
      </c>
      <c r="D6196" s="15">
        <f>IFERROR(__xludf.DUMMYFUNCTION("""COMPUTED_VALUE"""),1.009)</f>
        <v>1.009</v>
      </c>
      <c r="E6196" s="16">
        <f>IFERROR(__xludf.DUMMYFUNCTION("""COMPUTED_VALUE"""),67.0)</f>
        <v>67</v>
      </c>
      <c r="F6196" s="19" t="str">
        <f>IFERROR(__xludf.DUMMYFUNCTION("""COMPUTED_VALUE"""),"BLACK")</f>
        <v>BLACK</v>
      </c>
      <c r="G6196" s="20" t="str">
        <f>IFERROR(__xludf.DUMMYFUNCTION("""COMPUTED_VALUE"""),"Uncle Sams Cider (04/04/2023)")</f>
        <v>Uncle Sams Cider (04/04/2023)</v>
      </c>
      <c r="H6196" s="19"/>
    </row>
    <row r="6197">
      <c r="A6197" s="9"/>
      <c r="B6197" s="15"/>
      <c r="C6197" s="9">
        <f>IFERROR(__xludf.DUMMYFUNCTION("""COMPUTED_VALUE"""),45079.6539489814)</f>
        <v>45079.65395</v>
      </c>
      <c r="D6197" s="15">
        <f>IFERROR(__xludf.DUMMYFUNCTION("""COMPUTED_VALUE"""),1.009)</f>
        <v>1.009</v>
      </c>
      <c r="E6197" s="16">
        <f>IFERROR(__xludf.DUMMYFUNCTION("""COMPUTED_VALUE"""),67.0)</f>
        <v>67</v>
      </c>
      <c r="F6197" s="19" t="str">
        <f>IFERROR(__xludf.DUMMYFUNCTION("""COMPUTED_VALUE"""),"BLACK")</f>
        <v>BLACK</v>
      </c>
      <c r="G6197" s="20" t="str">
        <f>IFERROR(__xludf.DUMMYFUNCTION("""COMPUTED_VALUE"""),"Uncle Sams Cider (04/04/2023)")</f>
        <v>Uncle Sams Cider (04/04/2023)</v>
      </c>
      <c r="H6197" s="19"/>
    </row>
    <row r="6198">
      <c r="A6198" s="9"/>
      <c r="B6198" s="15"/>
      <c r="C6198" s="9">
        <f>IFERROR(__xludf.DUMMYFUNCTION("""COMPUTED_VALUE"""),45079.6435278703)</f>
        <v>45079.64353</v>
      </c>
      <c r="D6198" s="15">
        <f>IFERROR(__xludf.DUMMYFUNCTION("""COMPUTED_VALUE"""),1.009)</f>
        <v>1.009</v>
      </c>
      <c r="E6198" s="16">
        <f>IFERROR(__xludf.DUMMYFUNCTION("""COMPUTED_VALUE"""),67.0)</f>
        <v>67</v>
      </c>
      <c r="F6198" s="19" t="str">
        <f>IFERROR(__xludf.DUMMYFUNCTION("""COMPUTED_VALUE"""),"BLACK")</f>
        <v>BLACK</v>
      </c>
      <c r="G6198" s="20" t="str">
        <f>IFERROR(__xludf.DUMMYFUNCTION("""COMPUTED_VALUE"""),"Uncle Sams Cider (04/04/2023)")</f>
        <v>Uncle Sams Cider (04/04/2023)</v>
      </c>
      <c r="H6198" s="19"/>
    </row>
    <row r="6199">
      <c r="A6199" s="9"/>
      <c r="B6199" s="15"/>
      <c r="C6199" s="9">
        <f>IFERROR(__xludf.DUMMYFUNCTION("""COMPUTED_VALUE"""),45079.6331074305)</f>
        <v>45079.63311</v>
      </c>
      <c r="D6199" s="15">
        <f>IFERROR(__xludf.DUMMYFUNCTION("""COMPUTED_VALUE"""),1.009)</f>
        <v>1.009</v>
      </c>
      <c r="E6199" s="16">
        <f>IFERROR(__xludf.DUMMYFUNCTION("""COMPUTED_VALUE"""),66.0)</f>
        <v>66</v>
      </c>
      <c r="F6199" s="19" t="str">
        <f>IFERROR(__xludf.DUMMYFUNCTION("""COMPUTED_VALUE"""),"BLACK")</f>
        <v>BLACK</v>
      </c>
      <c r="G6199" s="20" t="str">
        <f>IFERROR(__xludf.DUMMYFUNCTION("""COMPUTED_VALUE"""),"Uncle Sams Cider (04/04/2023)")</f>
        <v>Uncle Sams Cider (04/04/2023)</v>
      </c>
      <c r="H6199" s="19"/>
    </row>
    <row r="6200">
      <c r="A6200" s="9"/>
      <c r="B6200" s="15"/>
      <c r="C6200" s="9">
        <f>IFERROR(__xludf.DUMMYFUNCTION("""COMPUTED_VALUE"""),45079.6226864814)</f>
        <v>45079.62269</v>
      </c>
      <c r="D6200" s="15">
        <f>IFERROR(__xludf.DUMMYFUNCTION("""COMPUTED_VALUE"""),1.009)</f>
        <v>1.009</v>
      </c>
      <c r="E6200" s="16">
        <f>IFERROR(__xludf.DUMMYFUNCTION("""COMPUTED_VALUE"""),67.0)</f>
        <v>67</v>
      </c>
      <c r="F6200" s="19" t="str">
        <f>IFERROR(__xludf.DUMMYFUNCTION("""COMPUTED_VALUE"""),"BLACK")</f>
        <v>BLACK</v>
      </c>
      <c r="G6200" s="20" t="str">
        <f>IFERROR(__xludf.DUMMYFUNCTION("""COMPUTED_VALUE"""),"Uncle Sams Cider (04/04/2023)")</f>
        <v>Uncle Sams Cider (04/04/2023)</v>
      </c>
      <c r="H6200" s="19"/>
    </row>
    <row r="6201">
      <c r="A6201" s="9"/>
      <c r="B6201" s="15"/>
      <c r="C6201" s="9">
        <f>IFERROR(__xludf.DUMMYFUNCTION("""COMPUTED_VALUE"""),45079.6122644328)</f>
        <v>45079.61226</v>
      </c>
      <c r="D6201" s="15">
        <f>IFERROR(__xludf.DUMMYFUNCTION("""COMPUTED_VALUE"""),1.009)</f>
        <v>1.009</v>
      </c>
      <c r="E6201" s="16">
        <f>IFERROR(__xludf.DUMMYFUNCTION("""COMPUTED_VALUE"""),67.0)</f>
        <v>67</v>
      </c>
      <c r="F6201" s="19" t="str">
        <f>IFERROR(__xludf.DUMMYFUNCTION("""COMPUTED_VALUE"""),"BLACK")</f>
        <v>BLACK</v>
      </c>
      <c r="G6201" s="20" t="str">
        <f>IFERROR(__xludf.DUMMYFUNCTION("""COMPUTED_VALUE"""),"Uncle Sams Cider (04/04/2023)")</f>
        <v>Uncle Sams Cider (04/04/2023)</v>
      </c>
      <c r="H6201" s="19"/>
    </row>
    <row r="6202">
      <c r="A6202" s="9"/>
      <c r="B6202" s="15"/>
      <c r="C6202" s="9">
        <f>IFERROR(__xludf.DUMMYFUNCTION("""COMPUTED_VALUE"""),45079.601843287)</f>
        <v>45079.60184</v>
      </c>
      <c r="D6202" s="15">
        <f>IFERROR(__xludf.DUMMYFUNCTION("""COMPUTED_VALUE"""),1.009)</f>
        <v>1.009</v>
      </c>
      <c r="E6202" s="16">
        <f>IFERROR(__xludf.DUMMYFUNCTION("""COMPUTED_VALUE"""),66.0)</f>
        <v>66</v>
      </c>
      <c r="F6202" s="19" t="str">
        <f>IFERROR(__xludf.DUMMYFUNCTION("""COMPUTED_VALUE"""),"BLACK")</f>
        <v>BLACK</v>
      </c>
      <c r="G6202" s="20" t="str">
        <f>IFERROR(__xludf.DUMMYFUNCTION("""COMPUTED_VALUE"""),"Uncle Sams Cider (04/04/2023)")</f>
        <v>Uncle Sams Cider (04/04/2023)</v>
      </c>
      <c r="H6202" s="19"/>
    </row>
    <row r="6203">
      <c r="A6203" s="9"/>
      <c r="B6203" s="15"/>
      <c r="C6203" s="9">
        <f>IFERROR(__xludf.DUMMYFUNCTION("""COMPUTED_VALUE"""),45079.5914212847)</f>
        <v>45079.59142</v>
      </c>
      <c r="D6203" s="15">
        <f>IFERROR(__xludf.DUMMYFUNCTION("""COMPUTED_VALUE"""),1.009)</f>
        <v>1.009</v>
      </c>
      <c r="E6203" s="16">
        <f>IFERROR(__xludf.DUMMYFUNCTION("""COMPUTED_VALUE"""),67.0)</f>
        <v>67</v>
      </c>
      <c r="F6203" s="19" t="str">
        <f>IFERROR(__xludf.DUMMYFUNCTION("""COMPUTED_VALUE"""),"BLACK")</f>
        <v>BLACK</v>
      </c>
      <c r="G6203" s="20" t="str">
        <f>IFERROR(__xludf.DUMMYFUNCTION("""COMPUTED_VALUE"""),"Uncle Sams Cider (04/04/2023)")</f>
        <v>Uncle Sams Cider (04/04/2023)</v>
      </c>
      <c r="H6203" s="19"/>
    </row>
    <row r="6204">
      <c r="A6204" s="9"/>
      <c r="B6204" s="15"/>
      <c r="C6204" s="9">
        <f>IFERROR(__xludf.DUMMYFUNCTION("""COMPUTED_VALUE"""),45079.5810010069)</f>
        <v>45079.581</v>
      </c>
      <c r="D6204" s="15">
        <f>IFERROR(__xludf.DUMMYFUNCTION("""COMPUTED_VALUE"""),1.009)</f>
        <v>1.009</v>
      </c>
      <c r="E6204" s="16">
        <f>IFERROR(__xludf.DUMMYFUNCTION("""COMPUTED_VALUE"""),67.0)</f>
        <v>67</v>
      </c>
      <c r="F6204" s="19" t="str">
        <f>IFERROR(__xludf.DUMMYFUNCTION("""COMPUTED_VALUE"""),"BLACK")</f>
        <v>BLACK</v>
      </c>
      <c r="G6204" s="20" t="str">
        <f>IFERROR(__xludf.DUMMYFUNCTION("""COMPUTED_VALUE"""),"Uncle Sams Cider (04/04/2023)")</f>
        <v>Uncle Sams Cider (04/04/2023)</v>
      </c>
      <c r="H6204" s="19"/>
    </row>
    <row r="6205">
      <c r="A6205" s="9"/>
      <c r="B6205" s="15"/>
      <c r="C6205" s="9">
        <f>IFERROR(__xludf.DUMMYFUNCTION("""COMPUTED_VALUE"""),45079.5705694444)</f>
        <v>45079.57057</v>
      </c>
      <c r="D6205" s="15">
        <f>IFERROR(__xludf.DUMMYFUNCTION("""COMPUTED_VALUE"""),1.009)</f>
        <v>1.009</v>
      </c>
      <c r="E6205" s="16">
        <f>IFERROR(__xludf.DUMMYFUNCTION("""COMPUTED_VALUE"""),67.0)</f>
        <v>67</v>
      </c>
      <c r="F6205" s="19" t="str">
        <f>IFERROR(__xludf.DUMMYFUNCTION("""COMPUTED_VALUE"""),"BLACK")</f>
        <v>BLACK</v>
      </c>
      <c r="G6205" s="20" t="str">
        <f>IFERROR(__xludf.DUMMYFUNCTION("""COMPUTED_VALUE"""),"Uncle Sams Cider (04/04/2023)")</f>
        <v>Uncle Sams Cider (04/04/2023)</v>
      </c>
      <c r="H6205" s="19"/>
    </row>
    <row r="6206">
      <c r="A6206" s="9"/>
      <c r="B6206" s="15"/>
      <c r="C6206" s="9">
        <f>IFERROR(__xludf.DUMMYFUNCTION("""COMPUTED_VALUE"""),45079.5601375463)</f>
        <v>45079.56014</v>
      </c>
      <c r="D6206" s="15">
        <f>IFERROR(__xludf.DUMMYFUNCTION("""COMPUTED_VALUE"""),1.009)</f>
        <v>1.009</v>
      </c>
      <c r="E6206" s="16">
        <f>IFERROR(__xludf.DUMMYFUNCTION("""COMPUTED_VALUE"""),66.0)</f>
        <v>66</v>
      </c>
      <c r="F6206" s="19" t="str">
        <f>IFERROR(__xludf.DUMMYFUNCTION("""COMPUTED_VALUE"""),"BLACK")</f>
        <v>BLACK</v>
      </c>
      <c r="G6206" s="20" t="str">
        <f>IFERROR(__xludf.DUMMYFUNCTION("""COMPUTED_VALUE"""),"Uncle Sams Cider (04/04/2023)")</f>
        <v>Uncle Sams Cider (04/04/2023)</v>
      </c>
      <c r="H6206" s="19"/>
    </row>
    <row r="6207">
      <c r="A6207" s="9"/>
      <c r="B6207" s="15"/>
      <c r="C6207" s="9">
        <f>IFERROR(__xludf.DUMMYFUNCTION("""COMPUTED_VALUE"""),45079.5497168402)</f>
        <v>45079.54972</v>
      </c>
      <c r="D6207" s="15">
        <f>IFERROR(__xludf.DUMMYFUNCTION("""COMPUTED_VALUE"""),1.009)</f>
        <v>1.009</v>
      </c>
      <c r="E6207" s="16">
        <f>IFERROR(__xludf.DUMMYFUNCTION("""COMPUTED_VALUE"""),67.0)</f>
        <v>67</v>
      </c>
      <c r="F6207" s="19" t="str">
        <f>IFERROR(__xludf.DUMMYFUNCTION("""COMPUTED_VALUE"""),"BLACK")</f>
        <v>BLACK</v>
      </c>
      <c r="G6207" s="20" t="str">
        <f>IFERROR(__xludf.DUMMYFUNCTION("""COMPUTED_VALUE"""),"Uncle Sams Cider (04/04/2023)")</f>
        <v>Uncle Sams Cider (04/04/2023)</v>
      </c>
      <c r="H6207" s="19"/>
    </row>
    <row r="6208">
      <c r="A6208" s="9"/>
      <c r="B6208" s="15"/>
      <c r="C6208" s="9">
        <f>IFERROR(__xludf.DUMMYFUNCTION("""COMPUTED_VALUE"""),45079.5392715046)</f>
        <v>45079.53927</v>
      </c>
      <c r="D6208" s="15">
        <f>IFERROR(__xludf.DUMMYFUNCTION("""COMPUTED_VALUE"""),1.009)</f>
        <v>1.009</v>
      </c>
      <c r="E6208" s="16">
        <f>IFERROR(__xludf.DUMMYFUNCTION("""COMPUTED_VALUE"""),66.0)</f>
        <v>66</v>
      </c>
      <c r="F6208" s="19" t="str">
        <f>IFERROR(__xludf.DUMMYFUNCTION("""COMPUTED_VALUE"""),"BLACK")</f>
        <v>BLACK</v>
      </c>
      <c r="G6208" s="20" t="str">
        <f>IFERROR(__xludf.DUMMYFUNCTION("""COMPUTED_VALUE"""),"Uncle Sams Cider (04/04/2023)")</f>
        <v>Uncle Sams Cider (04/04/2023)</v>
      </c>
      <c r="H6208" s="19"/>
    </row>
    <row r="6209">
      <c r="A6209" s="9"/>
      <c r="B6209" s="15"/>
      <c r="C6209" s="9">
        <f>IFERROR(__xludf.DUMMYFUNCTION("""COMPUTED_VALUE"""),45079.5288502777)</f>
        <v>45079.52885</v>
      </c>
      <c r="D6209" s="15">
        <f>IFERROR(__xludf.DUMMYFUNCTION("""COMPUTED_VALUE"""),1.009)</f>
        <v>1.009</v>
      </c>
      <c r="E6209" s="16">
        <f>IFERROR(__xludf.DUMMYFUNCTION("""COMPUTED_VALUE"""),66.0)</f>
        <v>66</v>
      </c>
      <c r="F6209" s="19" t="str">
        <f>IFERROR(__xludf.DUMMYFUNCTION("""COMPUTED_VALUE"""),"BLACK")</f>
        <v>BLACK</v>
      </c>
      <c r="G6209" s="20" t="str">
        <f>IFERROR(__xludf.DUMMYFUNCTION("""COMPUTED_VALUE"""),"Uncle Sams Cider (04/04/2023)")</f>
        <v>Uncle Sams Cider (04/04/2023)</v>
      </c>
      <c r="H6209" s="19"/>
    </row>
    <row r="6210">
      <c r="A6210" s="9"/>
      <c r="B6210" s="15"/>
      <c r="C6210" s="9">
        <f>IFERROR(__xludf.DUMMYFUNCTION("""COMPUTED_VALUE"""),45079.5184175463)</f>
        <v>45079.51842</v>
      </c>
      <c r="D6210" s="15">
        <f>IFERROR(__xludf.DUMMYFUNCTION("""COMPUTED_VALUE"""),1.009)</f>
        <v>1.009</v>
      </c>
      <c r="E6210" s="16">
        <f>IFERROR(__xludf.DUMMYFUNCTION("""COMPUTED_VALUE"""),66.0)</f>
        <v>66</v>
      </c>
      <c r="F6210" s="19" t="str">
        <f>IFERROR(__xludf.DUMMYFUNCTION("""COMPUTED_VALUE"""),"BLACK")</f>
        <v>BLACK</v>
      </c>
      <c r="G6210" s="20" t="str">
        <f>IFERROR(__xludf.DUMMYFUNCTION("""COMPUTED_VALUE"""),"Uncle Sams Cider (04/04/2023)")</f>
        <v>Uncle Sams Cider (04/04/2023)</v>
      </c>
      <c r="H6210" s="19"/>
    </row>
    <row r="6211">
      <c r="A6211" s="9"/>
      <c r="B6211" s="15"/>
      <c r="C6211" s="9">
        <f>IFERROR(__xludf.DUMMYFUNCTION("""COMPUTED_VALUE"""),45079.5079964236)</f>
        <v>45079.508</v>
      </c>
      <c r="D6211" s="15">
        <f>IFERROR(__xludf.DUMMYFUNCTION("""COMPUTED_VALUE"""),1.009)</f>
        <v>1.009</v>
      </c>
      <c r="E6211" s="16">
        <f>IFERROR(__xludf.DUMMYFUNCTION("""COMPUTED_VALUE"""),66.0)</f>
        <v>66</v>
      </c>
      <c r="F6211" s="19" t="str">
        <f>IFERROR(__xludf.DUMMYFUNCTION("""COMPUTED_VALUE"""),"BLACK")</f>
        <v>BLACK</v>
      </c>
      <c r="G6211" s="20" t="str">
        <f>IFERROR(__xludf.DUMMYFUNCTION("""COMPUTED_VALUE"""),"Uncle Sams Cider (04/04/2023)")</f>
        <v>Uncle Sams Cider (04/04/2023)</v>
      </c>
      <c r="H6211" s="19"/>
    </row>
    <row r="6212">
      <c r="A6212" s="9"/>
      <c r="B6212" s="15"/>
      <c r="C6212" s="9">
        <f>IFERROR(__xludf.DUMMYFUNCTION("""COMPUTED_VALUE"""),45079.4975735995)</f>
        <v>45079.49757</v>
      </c>
      <c r="D6212" s="15">
        <f>IFERROR(__xludf.DUMMYFUNCTION("""COMPUTED_VALUE"""),1.009)</f>
        <v>1.009</v>
      </c>
      <c r="E6212" s="16">
        <f>IFERROR(__xludf.DUMMYFUNCTION("""COMPUTED_VALUE"""),66.0)</f>
        <v>66</v>
      </c>
      <c r="F6212" s="19" t="str">
        <f>IFERROR(__xludf.DUMMYFUNCTION("""COMPUTED_VALUE"""),"BLACK")</f>
        <v>BLACK</v>
      </c>
      <c r="G6212" s="20" t="str">
        <f>IFERROR(__xludf.DUMMYFUNCTION("""COMPUTED_VALUE"""),"Uncle Sams Cider (04/04/2023)")</f>
        <v>Uncle Sams Cider (04/04/2023)</v>
      </c>
      <c r="H6212" s="19"/>
    </row>
    <row r="6213">
      <c r="A6213" s="9"/>
      <c r="B6213" s="15"/>
      <c r="C6213" s="9">
        <f>IFERROR(__xludf.DUMMYFUNCTION("""COMPUTED_VALUE"""),45079.4871534837)</f>
        <v>45079.48715</v>
      </c>
      <c r="D6213" s="15">
        <f>IFERROR(__xludf.DUMMYFUNCTION("""COMPUTED_VALUE"""),1.009)</f>
        <v>1.009</v>
      </c>
      <c r="E6213" s="16">
        <f>IFERROR(__xludf.DUMMYFUNCTION("""COMPUTED_VALUE"""),66.0)</f>
        <v>66</v>
      </c>
      <c r="F6213" s="19" t="str">
        <f>IFERROR(__xludf.DUMMYFUNCTION("""COMPUTED_VALUE"""),"BLACK")</f>
        <v>BLACK</v>
      </c>
      <c r="G6213" s="20" t="str">
        <f>IFERROR(__xludf.DUMMYFUNCTION("""COMPUTED_VALUE"""),"Uncle Sams Cider (04/04/2023)")</f>
        <v>Uncle Sams Cider (04/04/2023)</v>
      </c>
      <c r="H6213" s="19"/>
    </row>
    <row r="6214">
      <c r="A6214" s="9"/>
      <c r="B6214" s="15"/>
      <c r="C6214" s="9">
        <f>IFERROR(__xludf.DUMMYFUNCTION("""COMPUTED_VALUE"""),45079.4767211342)</f>
        <v>45079.47672</v>
      </c>
      <c r="D6214" s="15">
        <f>IFERROR(__xludf.DUMMYFUNCTION("""COMPUTED_VALUE"""),1.009)</f>
        <v>1.009</v>
      </c>
      <c r="E6214" s="16">
        <f>IFERROR(__xludf.DUMMYFUNCTION("""COMPUTED_VALUE"""),66.0)</f>
        <v>66</v>
      </c>
      <c r="F6214" s="19" t="str">
        <f>IFERROR(__xludf.DUMMYFUNCTION("""COMPUTED_VALUE"""),"BLACK")</f>
        <v>BLACK</v>
      </c>
      <c r="G6214" s="20" t="str">
        <f>IFERROR(__xludf.DUMMYFUNCTION("""COMPUTED_VALUE"""),"Uncle Sams Cider (04/04/2023)")</f>
        <v>Uncle Sams Cider (04/04/2023)</v>
      </c>
      <c r="H6214" s="19"/>
    </row>
    <row r="6215">
      <c r="A6215" s="9"/>
      <c r="B6215" s="15"/>
      <c r="C6215" s="9">
        <f>IFERROR(__xludf.DUMMYFUNCTION("""COMPUTED_VALUE"""),45079.4662885648)</f>
        <v>45079.46629</v>
      </c>
      <c r="D6215" s="15">
        <f>IFERROR(__xludf.DUMMYFUNCTION("""COMPUTED_VALUE"""),1.009)</f>
        <v>1.009</v>
      </c>
      <c r="E6215" s="16">
        <f>IFERROR(__xludf.DUMMYFUNCTION("""COMPUTED_VALUE"""),66.0)</f>
        <v>66</v>
      </c>
      <c r="F6215" s="19" t="str">
        <f>IFERROR(__xludf.DUMMYFUNCTION("""COMPUTED_VALUE"""),"BLACK")</f>
        <v>BLACK</v>
      </c>
      <c r="G6215" s="20" t="str">
        <f>IFERROR(__xludf.DUMMYFUNCTION("""COMPUTED_VALUE"""),"Uncle Sams Cider (04/04/2023)")</f>
        <v>Uncle Sams Cider (04/04/2023)</v>
      </c>
      <c r="H6215" s="19"/>
    </row>
    <row r="6216">
      <c r="A6216" s="9"/>
      <c r="B6216" s="15"/>
      <c r="C6216" s="9">
        <f>IFERROR(__xludf.DUMMYFUNCTION("""COMPUTED_VALUE"""),45079.4558682407)</f>
        <v>45079.45587</v>
      </c>
      <c r="D6216" s="15">
        <f>IFERROR(__xludf.DUMMYFUNCTION("""COMPUTED_VALUE"""),1.009)</f>
        <v>1.009</v>
      </c>
      <c r="E6216" s="16">
        <f>IFERROR(__xludf.DUMMYFUNCTION("""COMPUTED_VALUE"""),66.0)</f>
        <v>66</v>
      </c>
      <c r="F6216" s="19" t="str">
        <f>IFERROR(__xludf.DUMMYFUNCTION("""COMPUTED_VALUE"""),"BLACK")</f>
        <v>BLACK</v>
      </c>
      <c r="G6216" s="20" t="str">
        <f>IFERROR(__xludf.DUMMYFUNCTION("""COMPUTED_VALUE"""),"Uncle Sams Cider (04/04/2023)")</f>
        <v>Uncle Sams Cider (04/04/2023)</v>
      </c>
      <c r="H6216" s="19"/>
    </row>
    <row r="6217">
      <c r="A6217" s="9"/>
      <c r="B6217" s="15"/>
      <c r="C6217" s="9">
        <f>IFERROR(__xludf.DUMMYFUNCTION("""COMPUTED_VALUE"""),45079.4454473611)</f>
        <v>45079.44545</v>
      </c>
      <c r="D6217" s="15">
        <f>IFERROR(__xludf.DUMMYFUNCTION("""COMPUTED_VALUE"""),1.009)</f>
        <v>1.009</v>
      </c>
      <c r="E6217" s="16">
        <f>IFERROR(__xludf.DUMMYFUNCTION("""COMPUTED_VALUE"""),66.0)</f>
        <v>66</v>
      </c>
      <c r="F6217" s="19" t="str">
        <f>IFERROR(__xludf.DUMMYFUNCTION("""COMPUTED_VALUE"""),"BLACK")</f>
        <v>BLACK</v>
      </c>
      <c r="G6217" s="20" t="str">
        <f>IFERROR(__xludf.DUMMYFUNCTION("""COMPUTED_VALUE"""),"Uncle Sams Cider (04/04/2023)")</f>
        <v>Uncle Sams Cider (04/04/2023)</v>
      </c>
      <c r="H6217" s="19"/>
    </row>
    <row r="6218">
      <c r="A6218" s="9"/>
      <c r="B6218" s="15"/>
      <c r="C6218" s="9">
        <f>IFERROR(__xludf.DUMMYFUNCTION("""COMPUTED_VALUE"""),45079.4350261689)</f>
        <v>45079.43503</v>
      </c>
      <c r="D6218" s="15">
        <f>IFERROR(__xludf.DUMMYFUNCTION("""COMPUTED_VALUE"""),1.009)</f>
        <v>1.009</v>
      </c>
      <c r="E6218" s="16">
        <f>IFERROR(__xludf.DUMMYFUNCTION("""COMPUTED_VALUE"""),66.0)</f>
        <v>66</v>
      </c>
      <c r="F6218" s="19" t="str">
        <f>IFERROR(__xludf.DUMMYFUNCTION("""COMPUTED_VALUE"""),"BLACK")</f>
        <v>BLACK</v>
      </c>
      <c r="G6218" s="20" t="str">
        <f>IFERROR(__xludf.DUMMYFUNCTION("""COMPUTED_VALUE"""),"Uncle Sams Cider (04/04/2023)")</f>
        <v>Uncle Sams Cider (04/04/2023)</v>
      </c>
      <c r="H6218" s="19"/>
    </row>
    <row r="6219">
      <c r="A6219" s="9"/>
      <c r="B6219" s="15"/>
      <c r="C6219" s="9">
        <f>IFERROR(__xludf.DUMMYFUNCTION("""COMPUTED_VALUE"""),45079.4246071064)</f>
        <v>45079.42461</v>
      </c>
      <c r="D6219" s="15">
        <f>IFERROR(__xludf.DUMMYFUNCTION("""COMPUTED_VALUE"""),1.009)</f>
        <v>1.009</v>
      </c>
      <c r="E6219" s="16">
        <f>IFERROR(__xludf.DUMMYFUNCTION("""COMPUTED_VALUE"""),66.0)</f>
        <v>66</v>
      </c>
      <c r="F6219" s="19" t="str">
        <f>IFERROR(__xludf.DUMMYFUNCTION("""COMPUTED_VALUE"""),"BLACK")</f>
        <v>BLACK</v>
      </c>
      <c r="G6219" s="20" t="str">
        <f>IFERROR(__xludf.DUMMYFUNCTION("""COMPUTED_VALUE"""),"Uncle Sams Cider (04/04/2023)")</f>
        <v>Uncle Sams Cider (04/04/2023)</v>
      </c>
      <c r="H6219" s="19"/>
    </row>
    <row r="6220">
      <c r="A6220" s="9"/>
      <c r="B6220" s="15"/>
      <c r="C6220" s="9">
        <f>IFERROR(__xludf.DUMMYFUNCTION("""COMPUTED_VALUE"""),45079.4141870717)</f>
        <v>45079.41419</v>
      </c>
      <c r="D6220" s="15">
        <f>IFERROR(__xludf.DUMMYFUNCTION("""COMPUTED_VALUE"""),1.009)</f>
        <v>1.009</v>
      </c>
      <c r="E6220" s="16">
        <f>IFERROR(__xludf.DUMMYFUNCTION("""COMPUTED_VALUE"""),66.0)</f>
        <v>66</v>
      </c>
      <c r="F6220" s="19" t="str">
        <f>IFERROR(__xludf.DUMMYFUNCTION("""COMPUTED_VALUE"""),"BLACK")</f>
        <v>BLACK</v>
      </c>
      <c r="G6220" s="20" t="str">
        <f>IFERROR(__xludf.DUMMYFUNCTION("""COMPUTED_VALUE"""),"Uncle Sams Cider (04/04/2023)")</f>
        <v>Uncle Sams Cider (04/04/2023)</v>
      </c>
      <c r="H6220" s="19"/>
    </row>
    <row r="6221">
      <c r="A6221" s="9"/>
      <c r="B6221" s="15"/>
      <c r="C6221" s="9">
        <f>IFERROR(__xludf.DUMMYFUNCTION("""COMPUTED_VALUE"""),45079.4037544907)</f>
        <v>45079.40375</v>
      </c>
      <c r="D6221" s="15">
        <f>IFERROR(__xludf.DUMMYFUNCTION("""COMPUTED_VALUE"""),1.009)</f>
        <v>1.009</v>
      </c>
      <c r="E6221" s="16">
        <f>IFERROR(__xludf.DUMMYFUNCTION("""COMPUTED_VALUE"""),66.0)</f>
        <v>66</v>
      </c>
      <c r="F6221" s="19" t="str">
        <f>IFERROR(__xludf.DUMMYFUNCTION("""COMPUTED_VALUE"""),"BLACK")</f>
        <v>BLACK</v>
      </c>
      <c r="G6221" s="20" t="str">
        <f>IFERROR(__xludf.DUMMYFUNCTION("""COMPUTED_VALUE"""),"Uncle Sams Cider (04/04/2023)")</f>
        <v>Uncle Sams Cider (04/04/2023)</v>
      </c>
      <c r="H6221" s="19"/>
    </row>
    <row r="6222">
      <c r="A6222" s="9"/>
      <c r="B6222" s="15"/>
      <c r="C6222" s="9">
        <f>IFERROR(__xludf.DUMMYFUNCTION("""COMPUTED_VALUE"""),45079.3933199652)</f>
        <v>45079.39332</v>
      </c>
      <c r="D6222" s="15">
        <f>IFERROR(__xludf.DUMMYFUNCTION("""COMPUTED_VALUE"""),1.009)</f>
        <v>1.009</v>
      </c>
      <c r="E6222" s="16">
        <f>IFERROR(__xludf.DUMMYFUNCTION("""COMPUTED_VALUE"""),66.0)</f>
        <v>66</v>
      </c>
      <c r="F6222" s="19" t="str">
        <f>IFERROR(__xludf.DUMMYFUNCTION("""COMPUTED_VALUE"""),"BLACK")</f>
        <v>BLACK</v>
      </c>
      <c r="G6222" s="20" t="str">
        <f>IFERROR(__xludf.DUMMYFUNCTION("""COMPUTED_VALUE"""),"Uncle Sams Cider (04/04/2023)")</f>
        <v>Uncle Sams Cider (04/04/2023)</v>
      </c>
      <c r="H6222" s="19"/>
    </row>
    <row r="6223">
      <c r="A6223" s="9"/>
      <c r="B6223" s="15"/>
      <c r="C6223" s="9">
        <f>IFERROR(__xludf.DUMMYFUNCTION("""COMPUTED_VALUE"""),45079.3828750463)</f>
        <v>45079.38288</v>
      </c>
      <c r="D6223" s="15">
        <f>IFERROR(__xludf.DUMMYFUNCTION("""COMPUTED_VALUE"""),1.009)</f>
        <v>1.009</v>
      </c>
      <c r="E6223" s="16">
        <f>IFERROR(__xludf.DUMMYFUNCTION("""COMPUTED_VALUE"""),66.0)</f>
        <v>66</v>
      </c>
      <c r="F6223" s="19" t="str">
        <f>IFERROR(__xludf.DUMMYFUNCTION("""COMPUTED_VALUE"""),"BLACK")</f>
        <v>BLACK</v>
      </c>
      <c r="G6223" s="20" t="str">
        <f>IFERROR(__xludf.DUMMYFUNCTION("""COMPUTED_VALUE"""),"Uncle Sams Cider (04/04/2023)")</f>
        <v>Uncle Sams Cider (04/04/2023)</v>
      </c>
      <c r="H6223" s="19"/>
    </row>
    <row r="6224">
      <c r="A6224" s="9"/>
      <c r="B6224" s="15"/>
      <c r="C6224" s="9">
        <f>IFERROR(__xludf.DUMMYFUNCTION("""COMPUTED_VALUE"""),45079.3724535648)</f>
        <v>45079.37245</v>
      </c>
      <c r="D6224" s="15">
        <f>IFERROR(__xludf.DUMMYFUNCTION("""COMPUTED_VALUE"""),1.009)</f>
        <v>1.009</v>
      </c>
      <c r="E6224" s="16">
        <f>IFERROR(__xludf.DUMMYFUNCTION("""COMPUTED_VALUE"""),66.0)</f>
        <v>66</v>
      </c>
      <c r="F6224" s="19" t="str">
        <f>IFERROR(__xludf.DUMMYFUNCTION("""COMPUTED_VALUE"""),"BLACK")</f>
        <v>BLACK</v>
      </c>
      <c r="G6224" s="20" t="str">
        <f>IFERROR(__xludf.DUMMYFUNCTION("""COMPUTED_VALUE"""),"Uncle Sams Cider (04/04/2023)")</f>
        <v>Uncle Sams Cider (04/04/2023)</v>
      </c>
      <c r="H6224" s="19"/>
    </row>
    <row r="6225">
      <c r="A6225" s="9"/>
      <c r="B6225" s="15"/>
      <c r="C6225" s="9">
        <f>IFERROR(__xludf.DUMMYFUNCTION("""COMPUTED_VALUE"""),45079.3620327199)</f>
        <v>45079.36203</v>
      </c>
      <c r="D6225" s="15">
        <f>IFERROR(__xludf.DUMMYFUNCTION("""COMPUTED_VALUE"""),1.009)</f>
        <v>1.009</v>
      </c>
      <c r="E6225" s="16">
        <f>IFERROR(__xludf.DUMMYFUNCTION("""COMPUTED_VALUE"""),66.0)</f>
        <v>66</v>
      </c>
      <c r="F6225" s="19" t="str">
        <f>IFERROR(__xludf.DUMMYFUNCTION("""COMPUTED_VALUE"""),"BLACK")</f>
        <v>BLACK</v>
      </c>
      <c r="G6225" s="20" t="str">
        <f>IFERROR(__xludf.DUMMYFUNCTION("""COMPUTED_VALUE"""),"Uncle Sams Cider (04/04/2023)")</f>
        <v>Uncle Sams Cider (04/04/2023)</v>
      </c>
      <c r="H6225" s="19"/>
    </row>
    <row r="6226">
      <c r="A6226" s="9"/>
      <c r="B6226" s="15"/>
      <c r="C6226" s="9">
        <f>IFERROR(__xludf.DUMMYFUNCTION("""COMPUTED_VALUE"""),45079.3516134722)</f>
        <v>45079.35161</v>
      </c>
      <c r="D6226" s="15">
        <f>IFERROR(__xludf.DUMMYFUNCTION("""COMPUTED_VALUE"""),1.009)</f>
        <v>1.009</v>
      </c>
      <c r="E6226" s="16">
        <f>IFERROR(__xludf.DUMMYFUNCTION("""COMPUTED_VALUE"""),66.0)</f>
        <v>66</v>
      </c>
      <c r="F6226" s="19" t="str">
        <f>IFERROR(__xludf.DUMMYFUNCTION("""COMPUTED_VALUE"""),"BLACK")</f>
        <v>BLACK</v>
      </c>
      <c r="G6226" s="20" t="str">
        <f>IFERROR(__xludf.DUMMYFUNCTION("""COMPUTED_VALUE"""),"Uncle Sams Cider (04/04/2023)")</f>
        <v>Uncle Sams Cider (04/04/2023)</v>
      </c>
      <c r="H6226" s="19"/>
    </row>
    <row r="6227">
      <c r="A6227" s="9"/>
      <c r="B6227" s="15"/>
      <c r="C6227" s="9">
        <f>IFERROR(__xludf.DUMMYFUNCTION("""COMPUTED_VALUE"""),45079.3411931365)</f>
        <v>45079.34119</v>
      </c>
      <c r="D6227" s="15">
        <f>IFERROR(__xludf.DUMMYFUNCTION("""COMPUTED_VALUE"""),1.009)</f>
        <v>1.009</v>
      </c>
      <c r="E6227" s="16">
        <f>IFERROR(__xludf.DUMMYFUNCTION("""COMPUTED_VALUE"""),66.0)</f>
        <v>66</v>
      </c>
      <c r="F6227" s="19" t="str">
        <f>IFERROR(__xludf.DUMMYFUNCTION("""COMPUTED_VALUE"""),"BLACK")</f>
        <v>BLACK</v>
      </c>
      <c r="G6227" s="20" t="str">
        <f>IFERROR(__xludf.DUMMYFUNCTION("""COMPUTED_VALUE"""),"Uncle Sams Cider (04/04/2023)")</f>
        <v>Uncle Sams Cider (04/04/2023)</v>
      </c>
      <c r="H6227" s="19"/>
    </row>
    <row r="6228">
      <c r="A6228" s="9"/>
      <c r="B6228" s="15"/>
      <c r="C6228" s="9">
        <f>IFERROR(__xludf.DUMMYFUNCTION("""COMPUTED_VALUE"""),45079.3307621064)</f>
        <v>45079.33076</v>
      </c>
      <c r="D6228" s="15">
        <f>IFERROR(__xludf.DUMMYFUNCTION("""COMPUTED_VALUE"""),1.009)</f>
        <v>1.009</v>
      </c>
      <c r="E6228" s="16">
        <f>IFERROR(__xludf.DUMMYFUNCTION("""COMPUTED_VALUE"""),66.0)</f>
        <v>66</v>
      </c>
      <c r="F6228" s="19" t="str">
        <f>IFERROR(__xludf.DUMMYFUNCTION("""COMPUTED_VALUE"""),"BLACK")</f>
        <v>BLACK</v>
      </c>
      <c r="G6228" s="20" t="str">
        <f>IFERROR(__xludf.DUMMYFUNCTION("""COMPUTED_VALUE"""),"Uncle Sams Cider (04/04/2023)")</f>
        <v>Uncle Sams Cider (04/04/2023)</v>
      </c>
      <c r="H6228" s="19"/>
    </row>
    <row r="6229">
      <c r="A6229" s="9"/>
      <c r="B6229" s="15"/>
      <c r="C6229" s="9">
        <f>IFERROR(__xludf.DUMMYFUNCTION("""COMPUTED_VALUE"""),45079.320341875)</f>
        <v>45079.32034</v>
      </c>
      <c r="D6229" s="15">
        <f>IFERROR(__xludf.DUMMYFUNCTION("""COMPUTED_VALUE"""),1.009)</f>
        <v>1.009</v>
      </c>
      <c r="E6229" s="16">
        <f>IFERROR(__xludf.DUMMYFUNCTION("""COMPUTED_VALUE"""),66.0)</f>
        <v>66</v>
      </c>
      <c r="F6229" s="19" t="str">
        <f>IFERROR(__xludf.DUMMYFUNCTION("""COMPUTED_VALUE"""),"BLACK")</f>
        <v>BLACK</v>
      </c>
      <c r="G6229" s="20" t="str">
        <f>IFERROR(__xludf.DUMMYFUNCTION("""COMPUTED_VALUE"""),"Uncle Sams Cider (04/04/2023)")</f>
        <v>Uncle Sams Cider (04/04/2023)</v>
      </c>
      <c r="H6229" s="19"/>
    </row>
    <row r="6230">
      <c r="A6230" s="9"/>
      <c r="B6230" s="15"/>
      <c r="C6230" s="9">
        <f>IFERROR(__xludf.DUMMYFUNCTION("""COMPUTED_VALUE"""),45079.3099217361)</f>
        <v>45079.30992</v>
      </c>
      <c r="D6230" s="15">
        <f>IFERROR(__xludf.DUMMYFUNCTION("""COMPUTED_VALUE"""),1.009)</f>
        <v>1.009</v>
      </c>
      <c r="E6230" s="16">
        <f>IFERROR(__xludf.DUMMYFUNCTION("""COMPUTED_VALUE"""),66.0)</f>
        <v>66</v>
      </c>
      <c r="F6230" s="19" t="str">
        <f>IFERROR(__xludf.DUMMYFUNCTION("""COMPUTED_VALUE"""),"BLACK")</f>
        <v>BLACK</v>
      </c>
      <c r="G6230" s="20" t="str">
        <f>IFERROR(__xludf.DUMMYFUNCTION("""COMPUTED_VALUE"""),"Uncle Sams Cider (04/04/2023)")</f>
        <v>Uncle Sams Cider (04/04/2023)</v>
      </c>
      <c r="H6230" s="19"/>
    </row>
    <row r="6231">
      <c r="A6231" s="9"/>
      <c r="B6231" s="15"/>
      <c r="C6231" s="9">
        <f>IFERROR(__xludf.DUMMYFUNCTION("""COMPUTED_VALUE"""),45079.2995013888)</f>
        <v>45079.2995</v>
      </c>
      <c r="D6231" s="15">
        <f>IFERROR(__xludf.DUMMYFUNCTION("""COMPUTED_VALUE"""),1.009)</f>
        <v>1.009</v>
      </c>
      <c r="E6231" s="16">
        <f>IFERROR(__xludf.DUMMYFUNCTION("""COMPUTED_VALUE"""),66.0)</f>
        <v>66</v>
      </c>
      <c r="F6231" s="19" t="str">
        <f>IFERROR(__xludf.DUMMYFUNCTION("""COMPUTED_VALUE"""),"BLACK")</f>
        <v>BLACK</v>
      </c>
      <c r="G6231" s="20" t="str">
        <f>IFERROR(__xludf.DUMMYFUNCTION("""COMPUTED_VALUE"""),"Uncle Sams Cider (04/04/2023)")</f>
        <v>Uncle Sams Cider (04/04/2023)</v>
      </c>
      <c r="H6231" s="19"/>
    </row>
    <row r="6232">
      <c r="A6232" s="9"/>
      <c r="B6232" s="15"/>
      <c r="C6232" s="9">
        <f>IFERROR(__xludf.DUMMYFUNCTION("""COMPUTED_VALUE"""),45079.2890800578)</f>
        <v>45079.28908</v>
      </c>
      <c r="D6232" s="15">
        <f>IFERROR(__xludf.DUMMYFUNCTION("""COMPUTED_VALUE"""),1.009)</f>
        <v>1.009</v>
      </c>
      <c r="E6232" s="16">
        <f>IFERROR(__xludf.DUMMYFUNCTION("""COMPUTED_VALUE"""),66.0)</f>
        <v>66</v>
      </c>
      <c r="F6232" s="19" t="str">
        <f>IFERROR(__xludf.DUMMYFUNCTION("""COMPUTED_VALUE"""),"BLACK")</f>
        <v>BLACK</v>
      </c>
      <c r="G6232" s="20" t="str">
        <f>IFERROR(__xludf.DUMMYFUNCTION("""COMPUTED_VALUE"""),"Uncle Sams Cider (04/04/2023)")</f>
        <v>Uncle Sams Cider (04/04/2023)</v>
      </c>
      <c r="H6232" s="19"/>
    </row>
    <row r="6233">
      <c r="A6233" s="9"/>
      <c r="B6233" s="15"/>
      <c r="C6233" s="9">
        <f>IFERROR(__xludf.DUMMYFUNCTION("""COMPUTED_VALUE"""),45079.2786578125)</f>
        <v>45079.27866</v>
      </c>
      <c r="D6233" s="15">
        <f>IFERROR(__xludf.DUMMYFUNCTION("""COMPUTED_VALUE"""),1.009)</f>
        <v>1.009</v>
      </c>
      <c r="E6233" s="16">
        <f>IFERROR(__xludf.DUMMYFUNCTION("""COMPUTED_VALUE"""),66.0)</f>
        <v>66</v>
      </c>
      <c r="F6233" s="19" t="str">
        <f>IFERROR(__xludf.DUMMYFUNCTION("""COMPUTED_VALUE"""),"BLACK")</f>
        <v>BLACK</v>
      </c>
      <c r="G6233" s="20" t="str">
        <f>IFERROR(__xludf.DUMMYFUNCTION("""COMPUTED_VALUE"""),"Uncle Sams Cider (04/04/2023)")</f>
        <v>Uncle Sams Cider (04/04/2023)</v>
      </c>
      <c r="H6233" s="19"/>
    </row>
    <row r="6234">
      <c r="A6234" s="9"/>
      <c r="B6234" s="15"/>
      <c r="C6234" s="9">
        <f>IFERROR(__xludf.DUMMYFUNCTION("""COMPUTED_VALUE"""),45079.2682367708)</f>
        <v>45079.26824</v>
      </c>
      <c r="D6234" s="15">
        <f>IFERROR(__xludf.DUMMYFUNCTION("""COMPUTED_VALUE"""),1.009)</f>
        <v>1.009</v>
      </c>
      <c r="E6234" s="16">
        <f>IFERROR(__xludf.DUMMYFUNCTION("""COMPUTED_VALUE"""),66.0)</f>
        <v>66</v>
      </c>
      <c r="F6234" s="19" t="str">
        <f>IFERROR(__xludf.DUMMYFUNCTION("""COMPUTED_VALUE"""),"BLACK")</f>
        <v>BLACK</v>
      </c>
      <c r="G6234" s="20" t="str">
        <f>IFERROR(__xludf.DUMMYFUNCTION("""COMPUTED_VALUE"""),"Uncle Sams Cider (04/04/2023)")</f>
        <v>Uncle Sams Cider (04/04/2023)</v>
      </c>
      <c r="H6234" s="19"/>
    </row>
    <row r="6235">
      <c r="A6235" s="9"/>
      <c r="B6235" s="15"/>
      <c r="C6235" s="9">
        <f>IFERROR(__xludf.DUMMYFUNCTION("""COMPUTED_VALUE"""),45079.2578154166)</f>
        <v>45079.25782</v>
      </c>
      <c r="D6235" s="15">
        <f>IFERROR(__xludf.DUMMYFUNCTION("""COMPUTED_VALUE"""),1.009)</f>
        <v>1.009</v>
      </c>
      <c r="E6235" s="16">
        <f>IFERROR(__xludf.DUMMYFUNCTION("""COMPUTED_VALUE"""),66.0)</f>
        <v>66</v>
      </c>
      <c r="F6235" s="19" t="str">
        <f>IFERROR(__xludf.DUMMYFUNCTION("""COMPUTED_VALUE"""),"BLACK")</f>
        <v>BLACK</v>
      </c>
      <c r="G6235" s="20" t="str">
        <f>IFERROR(__xludf.DUMMYFUNCTION("""COMPUTED_VALUE"""),"Uncle Sams Cider (04/04/2023)")</f>
        <v>Uncle Sams Cider (04/04/2023)</v>
      </c>
      <c r="H6235" s="19"/>
    </row>
    <row r="6236">
      <c r="A6236" s="9"/>
      <c r="B6236" s="15"/>
      <c r="C6236" s="9">
        <f>IFERROR(__xludf.DUMMYFUNCTION("""COMPUTED_VALUE"""),45079.2473937152)</f>
        <v>45079.24739</v>
      </c>
      <c r="D6236" s="15">
        <f>IFERROR(__xludf.DUMMYFUNCTION("""COMPUTED_VALUE"""),1.009)</f>
        <v>1.009</v>
      </c>
      <c r="E6236" s="16">
        <f>IFERROR(__xludf.DUMMYFUNCTION("""COMPUTED_VALUE"""),66.0)</f>
        <v>66</v>
      </c>
      <c r="F6236" s="19" t="str">
        <f>IFERROR(__xludf.DUMMYFUNCTION("""COMPUTED_VALUE"""),"BLACK")</f>
        <v>BLACK</v>
      </c>
      <c r="G6236" s="20" t="str">
        <f>IFERROR(__xludf.DUMMYFUNCTION("""COMPUTED_VALUE"""),"Uncle Sams Cider (04/04/2023)")</f>
        <v>Uncle Sams Cider (04/04/2023)</v>
      </c>
      <c r="H6236" s="19"/>
    </row>
    <row r="6237">
      <c r="A6237" s="9"/>
      <c r="B6237" s="15"/>
      <c r="C6237" s="9">
        <f>IFERROR(__xludf.DUMMYFUNCTION("""COMPUTED_VALUE"""),45079.2369727893)</f>
        <v>45079.23697</v>
      </c>
      <c r="D6237" s="15">
        <f>IFERROR(__xludf.DUMMYFUNCTION("""COMPUTED_VALUE"""),1.009)</f>
        <v>1.009</v>
      </c>
      <c r="E6237" s="16">
        <f>IFERROR(__xludf.DUMMYFUNCTION("""COMPUTED_VALUE"""),66.0)</f>
        <v>66</v>
      </c>
      <c r="F6237" s="19" t="str">
        <f>IFERROR(__xludf.DUMMYFUNCTION("""COMPUTED_VALUE"""),"BLACK")</f>
        <v>BLACK</v>
      </c>
      <c r="G6237" s="20" t="str">
        <f>IFERROR(__xludf.DUMMYFUNCTION("""COMPUTED_VALUE"""),"Uncle Sams Cider (04/04/2023)")</f>
        <v>Uncle Sams Cider (04/04/2023)</v>
      </c>
      <c r="H6237" s="19"/>
    </row>
    <row r="6238">
      <c r="A6238" s="9"/>
      <c r="B6238" s="15"/>
      <c r="C6238" s="9">
        <f>IFERROR(__xludf.DUMMYFUNCTION("""COMPUTED_VALUE"""),45079.2265509837)</f>
        <v>45079.22655</v>
      </c>
      <c r="D6238" s="15">
        <f>IFERROR(__xludf.DUMMYFUNCTION("""COMPUTED_VALUE"""),1.009)</f>
        <v>1.009</v>
      </c>
      <c r="E6238" s="16">
        <f>IFERROR(__xludf.DUMMYFUNCTION("""COMPUTED_VALUE"""),66.0)</f>
        <v>66</v>
      </c>
      <c r="F6238" s="19" t="str">
        <f>IFERROR(__xludf.DUMMYFUNCTION("""COMPUTED_VALUE"""),"BLACK")</f>
        <v>BLACK</v>
      </c>
      <c r="G6238" s="20" t="str">
        <f>IFERROR(__xludf.DUMMYFUNCTION("""COMPUTED_VALUE"""),"Uncle Sams Cider (04/04/2023)")</f>
        <v>Uncle Sams Cider (04/04/2023)</v>
      </c>
      <c r="H6238" s="19"/>
    </row>
    <row r="6239">
      <c r="A6239" s="9"/>
      <c r="B6239" s="15"/>
      <c r="C6239" s="9">
        <f>IFERROR(__xludf.DUMMYFUNCTION("""COMPUTED_VALUE"""),45079.2161295717)</f>
        <v>45079.21613</v>
      </c>
      <c r="D6239" s="15">
        <f>IFERROR(__xludf.DUMMYFUNCTION("""COMPUTED_VALUE"""),1.009)</f>
        <v>1.009</v>
      </c>
      <c r="E6239" s="16">
        <f>IFERROR(__xludf.DUMMYFUNCTION("""COMPUTED_VALUE"""),66.0)</f>
        <v>66</v>
      </c>
      <c r="F6239" s="19" t="str">
        <f>IFERROR(__xludf.DUMMYFUNCTION("""COMPUTED_VALUE"""),"BLACK")</f>
        <v>BLACK</v>
      </c>
      <c r="G6239" s="20" t="str">
        <f>IFERROR(__xludf.DUMMYFUNCTION("""COMPUTED_VALUE"""),"Uncle Sams Cider (04/04/2023)")</f>
        <v>Uncle Sams Cider (04/04/2023)</v>
      </c>
      <c r="H6239" s="19"/>
    </row>
    <row r="6240">
      <c r="A6240" s="9"/>
      <c r="B6240" s="15"/>
      <c r="C6240" s="9">
        <f>IFERROR(__xludf.DUMMYFUNCTION("""COMPUTED_VALUE"""),45079.2057077777)</f>
        <v>45079.20571</v>
      </c>
      <c r="D6240" s="15">
        <f>IFERROR(__xludf.DUMMYFUNCTION("""COMPUTED_VALUE"""),1.009)</f>
        <v>1.009</v>
      </c>
      <c r="E6240" s="16">
        <f>IFERROR(__xludf.DUMMYFUNCTION("""COMPUTED_VALUE"""),66.0)</f>
        <v>66</v>
      </c>
      <c r="F6240" s="19" t="str">
        <f>IFERROR(__xludf.DUMMYFUNCTION("""COMPUTED_VALUE"""),"BLACK")</f>
        <v>BLACK</v>
      </c>
      <c r="G6240" s="20" t="str">
        <f>IFERROR(__xludf.DUMMYFUNCTION("""COMPUTED_VALUE"""),"Uncle Sams Cider (04/04/2023)")</f>
        <v>Uncle Sams Cider (04/04/2023)</v>
      </c>
      <c r="H6240" s="19"/>
    </row>
    <row r="6241">
      <c r="A6241" s="9"/>
      <c r="B6241" s="15"/>
      <c r="C6241" s="9">
        <f>IFERROR(__xludf.DUMMYFUNCTION("""COMPUTED_VALUE"""),45079.1952866898)</f>
        <v>45079.19529</v>
      </c>
      <c r="D6241" s="15">
        <f>IFERROR(__xludf.DUMMYFUNCTION("""COMPUTED_VALUE"""),1.009)</f>
        <v>1.009</v>
      </c>
      <c r="E6241" s="16">
        <f>IFERROR(__xludf.DUMMYFUNCTION("""COMPUTED_VALUE"""),66.0)</f>
        <v>66</v>
      </c>
      <c r="F6241" s="19" t="str">
        <f>IFERROR(__xludf.DUMMYFUNCTION("""COMPUTED_VALUE"""),"BLACK")</f>
        <v>BLACK</v>
      </c>
      <c r="G6241" s="20" t="str">
        <f>IFERROR(__xludf.DUMMYFUNCTION("""COMPUTED_VALUE"""),"Uncle Sams Cider (04/04/2023)")</f>
        <v>Uncle Sams Cider (04/04/2023)</v>
      </c>
      <c r="H6241" s="19"/>
    </row>
    <row r="6242">
      <c r="A6242" s="9"/>
      <c r="B6242" s="15"/>
      <c r="C6242" s="9">
        <f>IFERROR(__xludf.DUMMYFUNCTION("""COMPUTED_VALUE"""),45079.1848654861)</f>
        <v>45079.18487</v>
      </c>
      <c r="D6242" s="15">
        <f>IFERROR(__xludf.DUMMYFUNCTION("""COMPUTED_VALUE"""),1.009)</f>
        <v>1.009</v>
      </c>
      <c r="E6242" s="16">
        <f>IFERROR(__xludf.DUMMYFUNCTION("""COMPUTED_VALUE"""),66.0)</f>
        <v>66</v>
      </c>
      <c r="F6242" s="19" t="str">
        <f>IFERROR(__xludf.DUMMYFUNCTION("""COMPUTED_VALUE"""),"BLACK")</f>
        <v>BLACK</v>
      </c>
      <c r="G6242" s="20" t="str">
        <f>IFERROR(__xludf.DUMMYFUNCTION("""COMPUTED_VALUE"""),"Uncle Sams Cider (04/04/2023)")</f>
        <v>Uncle Sams Cider (04/04/2023)</v>
      </c>
      <c r="H6242" s="19"/>
    </row>
    <row r="6243">
      <c r="A6243" s="9"/>
      <c r="B6243" s="15"/>
      <c r="C6243" s="9">
        <f>IFERROR(__xludf.DUMMYFUNCTION("""COMPUTED_VALUE"""),45079.1744330324)</f>
        <v>45079.17443</v>
      </c>
      <c r="D6243" s="15">
        <f>IFERROR(__xludf.DUMMYFUNCTION("""COMPUTED_VALUE"""),1.009)</f>
        <v>1.009</v>
      </c>
      <c r="E6243" s="16">
        <f>IFERROR(__xludf.DUMMYFUNCTION("""COMPUTED_VALUE"""),66.0)</f>
        <v>66</v>
      </c>
      <c r="F6243" s="19" t="str">
        <f>IFERROR(__xludf.DUMMYFUNCTION("""COMPUTED_VALUE"""),"BLACK")</f>
        <v>BLACK</v>
      </c>
      <c r="G6243" s="20" t="str">
        <f>IFERROR(__xludf.DUMMYFUNCTION("""COMPUTED_VALUE"""),"Uncle Sams Cider (04/04/2023)")</f>
        <v>Uncle Sams Cider (04/04/2023)</v>
      </c>
      <c r="H6243" s="19"/>
    </row>
    <row r="6244">
      <c r="A6244" s="9"/>
      <c r="B6244" s="15"/>
      <c r="C6244" s="9">
        <f>IFERROR(__xludf.DUMMYFUNCTION("""COMPUTED_VALUE"""),45079.1640117361)</f>
        <v>45079.16401</v>
      </c>
      <c r="D6244" s="15">
        <f>IFERROR(__xludf.DUMMYFUNCTION("""COMPUTED_VALUE"""),1.009)</f>
        <v>1.009</v>
      </c>
      <c r="E6244" s="16">
        <f>IFERROR(__xludf.DUMMYFUNCTION("""COMPUTED_VALUE"""),66.0)</f>
        <v>66</v>
      </c>
      <c r="F6244" s="19" t="str">
        <f>IFERROR(__xludf.DUMMYFUNCTION("""COMPUTED_VALUE"""),"BLACK")</f>
        <v>BLACK</v>
      </c>
      <c r="G6244" s="20" t="str">
        <f>IFERROR(__xludf.DUMMYFUNCTION("""COMPUTED_VALUE"""),"Uncle Sams Cider (04/04/2023)")</f>
        <v>Uncle Sams Cider (04/04/2023)</v>
      </c>
      <c r="H6244" s="19"/>
    </row>
    <row r="6245">
      <c r="A6245" s="9"/>
      <c r="B6245" s="15"/>
      <c r="C6245" s="9">
        <f>IFERROR(__xludf.DUMMYFUNCTION("""COMPUTED_VALUE"""),45079.153590162)</f>
        <v>45079.15359</v>
      </c>
      <c r="D6245" s="15">
        <f>IFERROR(__xludf.DUMMYFUNCTION("""COMPUTED_VALUE"""),1.009)</f>
        <v>1.009</v>
      </c>
      <c r="E6245" s="16">
        <f>IFERROR(__xludf.DUMMYFUNCTION("""COMPUTED_VALUE"""),66.0)</f>
        <v>66</v>
      </c>
      <c r="F6245" s="19" t="str">
        <f>IFERROR(__xludf.DUMMYFUNCTION("""COMPUTED_VALUE"""),"BLACK")</f>
        <v>BLACK</v>
      </c>
      <c r="G6245" s="20" t="str">
        <f>IFERROR(__xludf.DUMMYFUNCTION("""COMPUTED_VALUE"""),"Uncle Sams Cider (04/04/2023)")</f>
        <v>Uncle Sams Cider (04/04/2023)</v>
      </c>
      <c r="H6245" s="19"/>
    </row>
    <row r="6246">
      <c r="A6246" s="9"/>
      <c r="B6246" s="15"/>
      <c r="C6246" s="9">
        <f>IFERROR(__xludf.DUMMYFUNCTION("""COMPUTED_VALUE"""),45079.1431691203)</f>
        <v>45079.14317</v>
      </c>
      <c r="D6246" s="15">
        <f>IFERROR(__xludf.DUMMYFUNCTION("""COMPUTED_VALUE"""),1.009)</f>
        <v>1.009</v>
      </c>
      <c r="E6246" s="16">
        <f>IFERROR(__xludf.DUMMYFUNCTION("""COMPUTED_VALUE"""),66.0)</f>
        <v>66</v>
      </c>
      <c r="F6246" s="19" t="str">
        <f>IFERROR(__xludf.DUMMYFUNCTION("""COMPUTED_VALUE"""),"BLACK")</f>
        <v>BLACK</v>
      </c>
      <c r="G6246" s="20" t="str">
        <f>IFERROR(__xludf.DUMMYFUNCTION("""COMPUTED_VALUE"""),"Uncle Sams Cider (04/04/2023)")</f>
        <v>Uncle Sams Cider (04/04/2023)</v>
      </c>
      <c r="H6246" s="19"/>
    </row>
    <row r="6247">
      <c r="A6247" s="9"/>
      <c r="B6247" s="15"/>
      <c r="C6247" s="9">
        <f>IFERROR(__xludf.DUMMYFUNCTION("""COMPUTED_VALUE"""),45079.132748831)</f>
        <v>45079.13275</v>
      </c>
      <c r="D6247" s="15">
        <f>IFERROR(__xludf.DUMMYFUNCTION("""COMPUTED_VALUE"""),1.009)</f>
        <v>1.009</v>
      </c>
      <c r="E6247" s="16">
        <f>IFERROR(__xludf.DUMMYFUNCTION("""COMPUTED_VALUE"""),66.0)</f>
        <v>66</v>
      </c>
      <c r="F6247" s="19" t="str">
        <f>IFERROR(__xludf.DUMMYFUNCTION("""COMPUTED_VALUE"""),"BLACK")</f>
        <v>BLACK</v>
      </c>
      <c r="G6247" s="20" t="str">
        <f>IFERROR(__xludf.DUMMYFUNCTION("""COMPUTED_VALUE"""),"Uncle Sams Cider (04/04/2023)")</f>
        <v>Uncle Sams Cider (04/04/2023)</v>
      </c>
      <c r="H6247" s="19"/>
    </row>
    <row r="6248">
      <c r="A6248" s="9"/>
      <c r="B6248" s="15"/>
      <c r="C6248" s="9">
        <f>IFERROR(__xludf.DUMMYFUNCTION("""COMPUTED_VALUE"""),45079.1223055208)</f>
        <v>45079.12231</v>
      </c>
      <c r="D6248" s="15">
        <f>IFERROR(__xludf.DUMMYFUNCTION("""COMPUTED_VALUE"""),1.009)</f>
        <v>1.009</v>
      </c>
      <c r="E6248" s="16">
        <f>IFERROR(__xludf.DUMMYFUNCTION("""COMPUTED_VALUE"""),66.0)</f>
        <v>66</v>
      </c>
      <c r="F6248" s="19" t="str">
        <f>IFERROR(__xludf.DUMMYFUNCTION("""COMPUTED_VALUE"""),"BLACK")</f>
        <v>BLACK</v>
      </c>
      <c r="G6248" s="20" t="str">
        <f>IFERROR(__xludf.DUMMYFUNCTION("""COMPUTED_VALUE"""),"Uncle Sams Cider (04/04/2023)")</f>
        <v>Uncle Sams Cider (04/04/2023)</v>
      </c>
      <c r="H6248" s="19"/>
    </row>
    <row r="6249">
      <c r="A6249" s="9"/>
      <c r="B6249" s="15"/>
      <c r="C6249" s="9">
        <f>IFERROR(__xludf.DUMMYFUNCTION("""COMPUTED_VALUE"""),45079.111886655)</f>
        <v>45079.11189</v>
      </c>
      <c r="D6249" s="15">
        <f>IFERROR(__xludf.DUMMYFUNCTION("""COMPUTED_VALUE"""),1.009)</f>
        <v>1.009</v>
      </c>
      <c r="E6249" s="16">
        <f>IFERROR(__xludf.DUMMYFUNCTION("""COMPUTED_VALUE"""),66.0)</f>
        <v>66</v>
      </c>
      <c r="F6249" s="19" t="str">
        <f>IFERROR(__xludf.DUMMYFUNCTION("""COMPUTED_VALUE"""),"BLACK")</f>
        <v>BLACK</v>
      </c>
      <c r="G6249" s="20" t="str">
        <f>IFERROR(__xludf.DUMMYFUNCTION("""COMPUTED_VALUE"""),"Uncle Sams Cider (04/04/2023)")</f>
        <v>Uncle Sams Cider (04/04/2023)</v>
      </c>
      <c r="H6249" s="19"/>
    </row>
    <row r="6250">
      <c r="A6250" s="9"/>
      <c r="B6250" s="15"/>
      <c r="C6250" s="9">
        <f>IFERROR(__xludf.DUMMYFUNCTION("""COMPUTED_VALUE"""),45079.1014645949)</f>
        <v>45079.10146</v>
      </c>
      <c r="D6250" s="15">
        <f>IFERROR(__xludf.DUMMYFUNCTION("""COMPUTED_VALUE"""),1.009)</f>
        <v>1.009</v>
      </c>
      <c r="E6250" s="16">
        <f>IFERROR(__xludf.DUMMYFUNCTION("""COMPUTED_VALUE"""),66.0)</f>
        <v>66</v>
      </c>
      <c r="F6250" s="19" t="str">
        <f>IFERROR(__xludf.DUMMYFUNCTION("""COMPUTED_VALUE"""),"BLACK")</f>
        <v>BLACK</v>
      </c>
      <c r="G6250" s="20" t="str">
        <f>IFERROR(__xludf.DUMMYFUNCTION("""COMPUTED_VALUE"""),"Uncle Sams Cider (04/04/2023)")</f>
        <v>Uncle Sams Cider (04/04/2023)</v>
      </c>
      <c r="H6250" s="19"/>
    </row>
    <row r="6251">
      <c r="A6251" s="9"/>
      <c r="B6251" s="15"/>
      <c r="C6251" s="9">
        <f>IFERROR(__xludf.DUMMYFUNCTION("""COMPUTED_VALUE"""),45079.0910437962)</f>
        <v>45079.09104</v>
      </c>
      <c r="D6251" s="15">
        <f>IFERROR(__xludf.DUMMYFUNCTION("""COMPUTED_VALUE"""),1.009)</f>
        <v>1.009</v>
      </c>
      <c r="E6251" s="16">
        <f>IFERROR(__xludf.DUMMYFUNCTION("""COMPUTED_VALUE"""),66.0)</f>
        <v>66</v>
      </c>
      <c r="F6251" s="19" t="str">
        <f>IFERROR(__xludf.DUMMYFUNCTION("""COMPUTED_VALUE"""),"BLACK")</f>
        <v>BLACK</v>
      </c>
      <c r="G6251" s="20" t="str">
        <f>IFERROR(__xludf.DUMMYFUNCTION("""COMPUTED_VALUE"""),"Uncle Sams Cider (04/04/2023)")</f>
        <v>Uncle Sams Cider (04/04/2023)</v>
      </c>
      <c r="H6251" s="19"/>
    </row>
    <row r="6252">
      <c r="A6252" s="9"/>
      <c r="B6252" s="15"/>
      <c r="C6252" s="9">
        <f>IFERROR(__xludf.DUMMYFUNCTION("""COMPUTED_VALUE"""),45079.0806235185)</f>
        <v>45079.08062</v>
      </c>
      <c r="D6252" s="15">
        <f>IFERROR(__xludf.DUMMYFUNCTION("""COMPUTED_VALUE"""),1.009)</f>
        <v>1.009</v>
      </c>
      <c r="E6252" s="16">
        <f>IFERROR(__xludf.DUMMYFUNCTION("""COMPUTED_VALUE"""),66.0)</f>
        <v>66</v>
      </c>
      <c r="F6252" s="19" t="str">
        <f>IFERROR(__xludf.DUMMYFUNCTION("""COMPUTED_VALUE"""),"BLACK")</f>
        <v>BLACK</v>
      </c>
      <c r="G6252" s="20" t="str">
        <f>IFERROR(__xludf.DUMMYFUNCTION("""COMPUTED_VALUE"""),"Uncle Sams Cider (04/04/2023)")</f>
        <v>Uncle Sams Cider (04/04/2023)</v>
      </c>
      <c r="H6252" s="19"/>
    </row>
    <row r="6253">
      <c r="A6253" s="9"/>
      <c r="B6253" s="15"/>
      <c r="C6253" s="9">
        <f>IFERROR(__xludf.DUMMYFUNCTION("""COMPUTED_VALUE"""),45079.0702043171)</f>
        <v>45079.0702</v>
      </c>
      <c r="D6253" s="15">
        <f>IFERROR(__xludf.DUMMYFUNCTION("""COMPUTED_VALUE"""),1.009)</f>
        <v>1.009</v>
      </c>
      <c r="E6253" s="16">
        <f>IFERROR(__xludf.DUMMYFUNCTION("""COMPUTED_VALUE"""),66.0)</f>
        <v>66</v>
      </c>
      <c r="F6253" s="19" t="str">
        <f>IFERROR(__xludf.DUMMYFUNCTION("""COMPUTED_VALUE"""),"BLACK")</f>
        <v>BLACK</v>
      </c>
      <c r="G6253" s="20" t="str">
        <f>IFERROR(__xludf.DUMMYFUNCTION("""COMPUTED_VALUE"""),"Uncle Sams Cider (04/04/2023)")</f>
        <v>Uncle Sams Cider (04/04/2023)</v>
      </c>
      <c r="H6253" s="19"/>
    </row>
    <row r="6254">
      <c r="A6254" s="9"/>
      <c r="B6254" s="15"/>
      <c r="C6254" s="9">
        <f>IFERROR(__xludf.DUMMYFUNCTION("""COMPUTED_VALUE"""),45079.0597836574)</f>
        <v>45079.05978</v>
      </c>
      <c r="D6254" s="15">
        <f>IFERROR(__xludf.DUMMYFUNCTION("""COMPUTED_VALUE"""),1.009)</f>
        <v>1.009</v>
      </c>
      <c r="E6254" s="16">
        <f>IFERROR(__xludf.DUMMYFUNCTION("""COMPUTED_VALUE"""),66.0)</f>
        <v>66</v>
      </c>
      <c r="F6254" s="19" t="str">
        <f>IFERROR(__xludf.DUMMYFUNCTION("""COMPUTED_VALUE"""),"BLACK")</f>
        <v>BLACK</v>
      </c>
      <c r="G6254" s="20" t="str">
        <f>IFERROR(__xludf.DUMMYFUNCTION("""COMPUTED_VALUE"""),"Uncle Sams Cider (04/04/2023)")</f>
        <v>Uncle Sams Cider (04/04/2023)</v>
      </c>
      <c r="H6254" s="19"/>
    </row>
    <row r="6255">
      <c r="A6255" s="9"/>
      <c r="B6255" s="15"/>
      <c r="C6255" s="9">
        <f>IFERROR(__xludf.DUMMYFUNCTION("""COMPUTED_VALUE"""),45079.049363206)</f>
        <v>45079.04936</v>
      </c>
      <c r="D6255" s="15">
        <f>IFERROR(__xludf.DUMMYFUNCTION("""COMPUTED_VALUE"""),1.009)</f>
        <v>1.009</v>
      </c>
      <c r="E6255" s="16">
        <f>IFERROR(__xludf.DUMMYFUNCTION("""COMPUTED_VALUE"""),66.0)</f>
        <v>66</v>
      </c>
      <c r="F6255" s="19" t="str">
        <f>IFERROR(__xludf.DUMMYFUNCTION("""COMPUTED_VALUE"""),"BLACK")</f>
        <v>BLACK</v>
      </c>
      <c r="G6255" s="20" t="str">
        <f>IFERROR(__xludf.DUMMYFUNCTION("""COMPUTED_VALUE"""),"Uncle Sams Cider (04/04/2023)")</f>
        <v>Uncle Sams Cider (04/04/2023)</v>
      </c>
      <c r="H6255" s="19"/>
    </row>
    <row r="6256">
      <c r="A6256" s="9"/>
      <c r="B6256" s="15"/>
      <c r="C6256" s="9">
        <f>IFERROR(__xludf.DUMMYFUNCTION("""COMPUTED_VALUE"""),45079.0389411458)</f>
        <v>45079.03894</v>
      </c>
      <c r="D6256" s="15">
        <f>IFERROR(__xludf.DUMMYFUNCTION("""COMPUTED_VALUE"""),1.009)</f>
        <v>1.009</v>
      </c>
      <c r="E6256" s="16">
        <f>IFERROR(__xludf.DUMMYFUNCTION("""COMPUTED_VALUE"""),66.0)</f>
        <v>66</v>
      </c>
      <c r="F6256" s="19" t="str">
        <f>IFERROR(__xludf.DUMMYFUNCTION("""COMPUTED_VALUE"""),"BLACK")</f>
        <v>BLACK</v>
      </c>
      <c r="G6256" s="20" t="str">
        <f>IFERROR(__xludf.DUMMYFUNCTION("""COMPUTED_VALUE"""),"Uncle Sams Cider (04/04/2023)")</f>
        <v>Uncle Sams Cider (04/04/2023)</v>
      </c>
      <c r="H6256" s="19"/>
    </row>
    <row r="6257">
      <c r="A6257" s="9"/>
      <c r="B6257" s="15"/>
      <c r="C6257" s="9">
        <f>IFERROR(__xludf.DUMMYFUNCTION("""COMPUTED_VALUE"""),45079.0285197453)</f>
        <v>45079.02852</v>
      </c>
      <c r="D6257" s="15">
        <f>IFERROR(__xludf.DUMMYFUNCTION("""COMPUTED_VALUE"""),1.009)</f>
        <v>1.009</v>
      </c>
      <c r="E6257" s="16">
        <f>IFERROR(__xludf.DUMMYFUNCTION("""COMPUTED_VALUE"""),66.0)</f>
        <v>66</v>
      </c>
      <c r="F6257" s="19" t="str">
        <f>IFERROR(__xludf.DUMMYFUNCTION("""COMPUTED_VALUE"""),"BLACK")</f>
        <v>BLACK</v>
      </c>
      <c r="G6257" s="20" t="str">
        <f>IFERROR(__xludf.DUMMYFUNCTION("""COMPUTED_VALUE"""),"Uncle Sams Cider (04/04/2023)")</f>
        <v>Uncle Sams Cider (04/04/2023)</v>
      </c>
      <c r="H6257" s="19"/>
    </row>
    <row r="6258">
      <c r="A6258" s="9"/>
      <c r="B6258" s="15"/>
      <c r="C6258" s="9">
        <f>IFERROR(__xludf.DUMMYFUNCTION("""COMPUTED_VALUE"""),45079.0180869907)</f>
        <v>45079.01809</v>
      </c>
      <c r="D6258" s="15">
        <f>IFERROR(__xludf.DUMMYFUNCTION("""COMPUTED_VALUE"""),1.009)</f>
        <v>1.009</v>
      </c>
      <c r="E6258" s="16">
        <f>IFERROR(__xludf.DUMMYFUNCTION("""COMPUTED_VALUE"""),66.0)</f>
        <v>66</v>
      </c>
      <c r="F6258" s="19" t="str">
        <f>IFERROR(__xludf.DUMMYFUNCTION("""COMPUTED_VALUE"""),"BLACK")</f>
        <v>BLACK</v>
      </c>
      <c r="G6258" s="20" t="str">
        <f>IFERROR(__xludf.DUMMYFUNCTION("""COMPUTED_VALUE"""),"Uncle Sams Cider (04/04/2023)")</f>
        <v>Uncle Sams Cider (04/04/2023)</v>
      </c>
      <c r="H6258" s="19"/>
    </row>
    <row r="6259">
      <c r="A6259" s="9"/>
      <c r="B6259" s="15"/>
      <c r="C6259" s="9">
        <f>IFERROR(__xludf.DUMMYFUNCTION("""COMPUTED_VALUE"""),45079.0076645949)</f>
        <v>45079.00766</v>
      </c>
      <c r="D6259" s="15">
        <f>IFERROR(__xludf.DUMMYFUNCTION("""COMPUTED_VALUE"""),1.009)</f>
        <v>1.009</v>
      </c>
      <c r="E6259" s="16">
        <f>IFERROR(__xludf.DUMMYFUNCTION("""COMPUTED_VALUE"""),66.0)</f>
        <v>66</v>
      </c>
      <c r="F6259" s="19" t="str">
        <f>IFERROR(__xludf.DUMMYFUNCTION("""COMPUTED_VALUE"""),"BLACK")</f>
        <v>BLACK</v>
      </c>
      <c r="G6259" s="20" t="str">
        <f>IFERROR(__xludf.DUMMYFUNCTION("""COMPUTED_VALUE"""),"Uncle Sams Cider (04/04/2023)")</f>
        <v>Uncle Sams Cider (04/04/2023)</v>
      </c>
      <c r="H6259" s="19"/>
    </row>
    <row r="6260">
      <c r="A6260" s="9"/>
      <c r="B6260" s="15"/>
      <c r="C6260" s="9">
        <f>IFERROR(__xludf.DUMMYFUNCTION("""COMPUTED_VALUE"""),45078.9972444328)</f>
        <v>45078.99724</v>
      </c>
      <c r="D6260" s="15">
        <f>IFERROR(__xludf.DUMMYFUNCTION("""COMPUTED_VALUE"""),1.009)</f>
        <v>1.009</v>
      </c>
      <c r="E6260" s="16">
        <f>IFERROR(__xludf.DUMMYFUNCTION("""COMPUTED_VALUE"""),66.0)</f>
        <v>66</v>
      </c>
      <c r="F6260" s="19" t="str">
        <f>IFERROR(__xludf.DUMMYFUNCTION("""COMPUTED_VALUE"""),"BLACK")</f>
        <v>BLACK</v>
      </c>
      <c r="G6260" s="20" t="str">
        <f>IFERROR(__xludf.DUMMYFUNCTION("""COMPUTED_VALUE"""),"Uncle Sams Cider (04/04/2023)")</f>
        <v>Uncle Sams Cider (04/04/2023)</v>
      </c>
      <c r="H6260" s="19"/>
    </row>
    <row r="6261">
      <c r="A6261" s="9"/>
      <c r="B6261" s="15"/>
      <c r="C6261" s="9">
        <f>IFERROR(__xludf.DUMMYFUNCTION("""COMPUTED_VALUE"""),45078.9868237731)</f>
        <v>45078.98682</v>
      </c>
      <c r="D6261" s="15">
        <f>IFERROR(__xludf.DUMMYFUNCTION("""COMPUTED_VALUE"""),1.009)</f>
        <v>1.009</v>
      </c>
      <c r="E6261" s="16">
        <f>IFERROR(__xludf.DUMMYFUNCTION("""COMPUTED_VALUE"""),66.0)</f>
        <v>66</v>
      </c>
      <c r="F6261" s="19" t="str">
        <f>IFERROR(__xludf.DUMMYFUNCTION("""COMPUTED_VALUE"""),"BLACK")</f>
        <v>BLACK</v>
      </c>
      <c r="G6261" s="20" t="str">
        <f>IFERROR(__xludf.DUMMYFUNCTION("""COMPUTED_VALUE"""),"Uncle Sams Cider (04/04/2023)")</f>
        <v>Uncle Sams Cider (04/04/2023)</v>
      </c>
      <c r="H6261" s="19"/>
    </row>
    <row r="6262">
      <c r="A6262" s="9"/>
      <c r="B6262" s="15"/>
      <c r="C6262" s="9">
        <f>IFERROR(__xludf.DUMMYFUNCTION("""COMPUTED_VALUE"""),45078.9764035301)</f>
        <v>45078.9764</v>
      </c>
      <c r="D6262" s="15">
        <f>IFERROR(__xludf.DUMMYFUNCTION("""COMPUTED_VALUE"""),1.009)</f>
        <v>1.009</v>
      </c>
      <c r="E6262" s="16">
        <f>IFERROR(__xludf.DUMMYFUNCTION("""COMPUTED_VALUE"""),66.0)</f>
        <v>66</v>
      </c>
      <c r="F6262" s="19" t="str">
        <f>IFERROR(__xludf.DUMMYFUNCTION("""COMPUTED_VALUE"""),"BLACK")</f>
        <v>BLACK</v>
      </c>
      <c r="G6262" s="20" t="str">
        <f>IFERROR(__xludf.DUMMYFUNCTION("""COMPUTED_VALUE"""),"Uncle Sams Cider (04/04/2023)")</f>
        <v>Uncle Sams Cider (04/04/2023)</v>
      </c>
      <c r="H6262" s="19"/>
    </row>
    <row r="6263">
      <c r="A6263" s="9"/>
      <c r="B6263" s="15"/>
      <c r="C6263" s="9">
        <f>IFERROR(__xludf.DUMMYFUNCTION("""COMPUTED_VALUE"""),45078.9659814236)</f>
        <v>45078.96598</v>
      </c>
      <c r="D6263" s="15">
        <f>IFERROR(__xludf.DUMMYFUNCTION("""COMPUTED_VALUE"""),1.009)</f>
        <v>1.009</v>
      </c>
      <c r="E6263" s="16">
        <f>IFERROR(__xludf.DUMMYFUNCTION("""COMPUTED_VALUE"""),66.0)</f>
        <v>66</v>
      </c>
      <c r="F6263" s="19" t="str">
        <f>IFERROR(__xludf.DUMMYFUNCTION("""COMPUTED_VALUE"""),"BLACK")</f>
        <v>BLACK</v>
      </c>
      <c r="G6263" s="20" t="str">
        <f>IFERROR(__xludf.DUMMYFUNCTION("""COMPUTED_VALUE"""),"Uncle Sams Cider (04/04/2023)")</f>
        <v>Uncle Sams Cider (04/04/2023)</v>
      </c>
      <c r="H6263" s="19"/>
    </row>
    <row r="6264">
      <c r="A6264" s="9"/>
      <c r="B6264" s="15"/>
      <c r="C6264" s="9">
        <f>IFERROR(__xludf.DUMMYFUNCTION("""COMPUTED_VALUE"""),45078.9555601388)</f>
        <v>45078.95556</v>
      </c>
      <c r="D6264" s="15">
        <f>IFERROR(__xludf.DUMMYFUNCTION("""COMPUTED_VALUE"""),1.009)</f>
        <v>1.009</v>
      </c>
      <c r="E6264" s="16">
        <f>IFERROR(__xludf.DUMMYFUNCTION("""COMPUTED_VALUE"""),66.0)</f>
        <v>66</v>
      </c>
      <c r="F6264" s="19" t="str">
        <f>IFERROR(__xludf.DUMMYFUNCTION("""COMPUTED_VALUE"""),"BLACK")</f>
        <v>BLACK</v>
      </c>
      <c r="G6264" s="20" t="str">
        <f>IFERROR(__xludf.DUMMYFUNCTION("""COMPUTED_VALUE"""),"Uncle Sams Cider (04/04/2023)")</f>
        <v>Uncle Sams Cider (04/04/2023)</v>
      </c>
      <c r="H6264" s="19"/>
    </row>
    <row r="6265">
      <c r="A6265" s="9"/>
      <c r="B6265" s="15"/>
      <c r="C6265" s="9">
        <f>IFERROR(__xludf.DUMMYFUNCTION("""COMPUTED_VALUE"""),45078.9451392245)</f>
        <v>45078.94514</v>
      </c>
      <c r="D6265" s="15">
        <f>IFERROR(__xludf.DUMMYFUNCTION("""COMPUTED_VALUE"""),1.009)</f>
        <v>1.009</v>
      </c>
      <c r="E6265" s="16">
        <f>IFERROR(__xludf.DUMMYFUNCTION("""COMPUTED_VALUE"""),66.0)</f>
        <v>66</v>
      </c>
      <c r="F6265" s="19" t="str">
        <f>IFERROR(__xludf.DUMMYFUNCTION("""COMPUTED_VALUE"""),"BLACK")</f>
        <v>BLACK</v>
      </c>
      <c r="G6265" s="20" t="str">
        <f>IFERROR(__xludf.DUMMYFUNCTION("""COMPUTED_VALUE"""),"Uncle Sams Cider (04/04/2023)")</f>
        <v>Uncle Sams Cider (04/04/2023)</v>
      </c>
      <c r="H6265" s="19"/>
    </row>
    <row r="6266">
      <c r="A6266" s="9"/>
      <c r="B6266" s="15"/>
      <c r="C6266" s="9">
        <f>IFERROR(__xludf.DUMMYFUNCTION("""COMPUTED_VALUE"""),45078.9347171527)</f>
        <v>45078.93472</v>
      </c>
      <c r="D6266" s="15">
        <f>IFERROR(__xludf.DUMMYFUNCTION("""COMPUTED_VALUE"""),1.009)</f>
        <v>1.009</v>
      </c>
      <c r="E6266" s="16">
        <f>IFERROR(__xludf.DUMMYFUNCTION("""COMPUTED_VALUE"""),66.0)</f>
        <v>66</v>
      </c>
      <c r="F6266" s="19" t="str">
        <f>IFERROR(__xludf.DUMMYFUNCTION("""COMPUTED_VALUE"""),"BLACK")</f>
        <v>BLACK</v>
      </c>
      <c r="G6266" s="20" t="str">
        <f>IFERROR(__xludf.DUMMYFUNCTION("""COMPUTED_VALUE"""),"Uncle Sams Cider (04/04/2023)")</f>
        <v>Uncle Sams Cider (04/04/2023)</v>
      </c>
      <c r="H6266" s="19"/>
    </row>
    <row r="6267">
      <c r="A6267" s="9"/>
      <c r="B6267" s="15"/>
      <c r="C6267" s="9">
        <f>IFERROR(__xludf.DUMMYFUNCTION("""COMPUTED_VALUE"""),45078.9242951967)</f>
        <v>45078.9243</v>
      </c>
      <c r="D6267" s="15">
        <f>IFERROR(__xludf.DUMMYFUNCTION("""COMPUTED_VALUE"""),1.009)</f>
        <v>1.009</v>
      </c>
      <c r="E6267" s="16">
        <f>IFERROR(__xludf.DUMMYFUNCTION("""COMPUTED_VALUE"""),66.0)</f>
        <v>66</v>
      </c>
      <c r="F6267" s="19" t="str">
        <f>IFERROR(__xludf.DUMMYFUNCTION("""COMPUTED_VALUE"""),"BLACK")</f>
        <v>BLACK</v>
      </c>
      <c r="G6267" s="20" t="str">
        <f>IFERROR(__xludf.DUMMYFUNCTION("""COMPUTED_VALUE"""),"Uncle Sams Cider (04/04/2023)")</f>
        <v>Uncle Sams Cider (04/04/2023)</v>
      </c>
      <c r="H6267" s="19"/>
    </row>
    <row r="6268">
      <c r="A6268" s="9"/>
      <c r="B6268" s="15"/>
      <c r="C6268" s="9">
        <f>IFERROR(__xludf.DUMMYFUNCTION("""COMPUTED_VALUE"""),45078.9138597222)</f>
        <v>45078.91386</v>
      </c>
      <c r="D6268" s="15">
        <f>IFERROR(__xludf.DUMMYFUNCTION("""COMPUTED_VALUE"""),1.009)</f>
        <v>1.009</v>
      </c>
      <c r="E6268" s="16">
        <f>IFERROR(__xludf.DUMMYFUNCTION("""COMPUTED_VALUE"""),66.0)</f>
        <v>66</v>
      </c>
      <c r="F6268" s="19" t="str">
        <f>IFERROR(__xludf.DUMMYFUNCTION("""COMPUTED_VALUE"""),"BLACK")</f>
        <v>BLACK</v>
      </c>
      <c r="G6268" s="20" t="str">
        <f>IFERROR(__xludf.DUMMYFUNCTION("""COMPUTED_VALUE"""),"Uncle Sams Cider (04/04/2023)")</f>
        <v>Uncle Sams Cider (04/04/2023)</v>
      </c>
      <c r="H6268" s="19"/>
    </row>
    <row r="6269">
      <c r="A6269" s="9"/>
      <c r="B6269" s="15"/>
      <c r="C6269" s="9">
        <f>IFERROR(__xludf.DUMMYFUNCTION("""COMPUTED_VALUE"""),45078.9034370254)</f>
        <v>45078.90344</v>
      </c>
      <c r="D6269" s="15">
        <f>IFERROR(__xludf.DUMMYFUNCTION("""COMPUTED_VALUE"""),1.009)</f>
        <v>1.009</v>
      </c>
      <c r="E6269" s="16">
        <f>IFERROR(__xludf.DUMMYFUNCTION("""COMPUTED_VALUE"""),66.0)</f>
        <v>66</v>
      </c>
      <c r="F6269" s="19" t="str">
        <f>IFERROR(__xludf.DUMMYFUNCTION("""COMPUTED_VALUE"""),"BLACK")</f>
        <v>BLACK</v>
      </c>
      <c r="G6269" s="20" t="str">
        <f>IFERROR(__xludf.DUMMYFUNCTION("""COMPUTED_VALUE"""),"Uncle Sams Cider (04/04/2023)")</f>
        <v>Uncle Sams Cider (04/04/2023)</v>
      </c>
      <c r="H6269" s="19"/>
    </row>
    <row r="6270">
      <c r="A6270" s="9"/>
      <c r="B6270" s="15"/>
      <c r="C6270" s="9">
        <f>IFERROR(__xludf.DUMMYFUNCTION("""COMPUTED_VALUE"""),45078.8930176504)</f>
        <v>45078.89302</v>
      </c>
      <c r="D6270" s="15">
        <f>IFERROR(__xludf.DUMMYFUNCTION("""COMPUTED_VALUE"""),1.009)</f>
        <v>1.009</v>
      </c>
      <c r="E6270" s="16">
        <f>IFERROR(__xludf.DUMMYFUNCTION("""COMPUTED_VALUE"""),66.0)</f>
        <v>66</v>
      </c>
      <c r="F6270" s="19" t="str">
        <f>IFERROR(__xludf.DUMMYFUNCTION("""COMPUTED_VALUE"""),"BLACK")</f>
        <v>BLACK</v>
      </c>
      <c r="G6270" s="20" t="str">
        <f>IFERROR(__xludf.DUMMYFUNCTION("""COMPUTED_VALUE"""),"Uncle Sams Cider (04/04/2023)")</f>
        <v>Uncle Sams Cider (04/04/2023)</v>
      </c>
      <c r="H6270" s="19"/>
    </row>
    <row r="6271">
      <c r="A6271" s="9"/>
      <c r="B6271" s="15"/>
      <c r="C6271" s="9">
        <f>IFERROR(__xludf.DUMMYFUNCTION("""COMPUTED_VALUE"""),45078.8825953356)</f>
        <v>45078.8826</v>
      </c>
      <c r="D6271" s="15">
        <f>IFERROR(__xludf.DUMMYFUNCTION("""COMPUTED_VALUE"""),1.009)</f>
        <v>1.009</v>
      </c>
      <c r="E6271" s="16">
        <f>IFERROR(__xludf.DUMMYFUNCTION("""COMPUTED_VALUE"""),66.0)</f>
        <v>66</v>
      </c>
      <c r="F6271" s="19" t="str">
        <f>IFERROR(__xludf.DUMMYFUNCTION("""COMPUTED_VALUE"""),"BLACK")</f>
        <v>BLACK</v>
      </c>
      <c r="G6271" s="20" t="str">
        <f>IFERROR(__xludf.DUMMYFUNCTION("""COMPUTED_VALUE"""),"Uncle Sams Cider (04/04/2023)")</f>
        <v>Uncle Sams Cider (04/04/2023)</v>
      </c>
      <c r="H6271" s="19"/>
    </row>
    <row r="6272">
      <c r="A6272" s="9"/>
      <c r="B6272" s="15"/>
      <c r="C6272" s="9">
        <f>IFERROR(__xludf.DUMMYFUNCTION("""COMPUTED_VALUE"""),45078.8721747222)</f>
        <v>45078.87217</v>
      </c>
      <c r="D6272" s="15">
        <f>IFERROR(__xludf.DUMMYFUNCTION("""COMPUTED_VALUE"""),1.009)</f>
        <v>1.009</v>
      </c>
      <c r="E6272" s="16">
        <f>IFERROR(__xludf.DUMMYFUNCTION("""COMPUTED_VALUE"""),66.0)</f>
        <v>66</v>
      </c>
      <c r="F6272" s="19" t="str">
        <f>IFERROR(__xludf.DUMMYFUNCTION("""COMPUTED_VALUE"""),"BLACK")</f>
        <v>BLACK</v>
      </c>
      <c r="G6272" s="20" t="str">
        <f>IFERROR(__xludf.DUMMYFUNCTION("""COMPUTED_VALUE"""),"Uncle Sams Cider (04/04/2023)")</f>
        <v>Uncle Sams Cider (04/04/2023)</v>
      </c>
      <c r="H6272" s="19"/>
    </row>
    <row r="6273">
      <c r="A6273" s="9"/>
      <c r="B6273" s="15"/>
      <c r="C6273" s="9">
        <f>IFERROR(__xludf.DUMMYFUNCTION("""COMPUTED_VALUE"""),45078.8617541203)</f>
        <v>45078.86175</v>
      </c>
      <c r="D6273" s="15">
        <f>IFERROR(__xludf.DUMMYFUNCTION("""COMPUTED_VALUE"""),1.009)</f>
        <v>1.009</v>
      </c>
      <c r="E6273" s="16">
        <f>IFERROR(__xludf.DUMMYFUNCTION("""COMPUTED_VALUE"""),66.0)</f>
        <v>66</v>
      </c>
      <c r="F6273" s="19" t="str">
        <f>IFERROR(__xludf.DUMMYFUNCTION("""COMPUTED_VALUE"""),"BLACK")</f>
        <v>BLACK</v>
      </c>
      <c r="G6273" s="20" t="str">
        <f>IFERROR(__xludf.DUMMYFUNCTION("""COMPUTED_VALUE"""),"Uncle Sams Cider (04/04/2023)")</f>
        <v>Uncle Sams Cider (04/04/2023)</v>
      </c>
      <c r="H6273" s="19"/>
    </row>
    <row r="6274">
      <c r="A6274" s="9"/>
      <c r="B6274" s="15"/>
      <c r="C6274" s="9">
        <f>IFERROR(__xludf.DUMMYFUNCTION("""COMPUTED_VALUE"""),45078.8513203472)</f>
        <v>45078.85132</v>
      </c>
      <c r="D6274" s="15">
        <f>IFERROR(__xludf.DUMMYFUNCTION("""COMPUTED_VALUE"""),1.009)</f>
        <v>1.009</v>
      </c>
      <c r="E6274" s="16">
        <f>IFERROR(__xludf.DUMMYFUNCTION("""COMPUTED_VALUE"""),66.0)</f>
        <v>66</v>
      </c>
      <c r="F6274" s="19" t="str">
        <f>IFERROR(__xludf.DUMMYFUNCTION("""COMPUTED_VALUE"""),"BLACK")</f>
        <v>BLACK</v>
      </c>
      <c r="G6274" s="20" t="str">
        <f>IFERROR(__xludf.DUMMYFUNCTION("""COMPUTED_VALUE"""),"Uncle Sams Cider (04/04/2023)")</f>
        <v>Uncle Sams Cider (04/04/2023)</v>
      </c>
      <c r="H6274" s="19"/>
    </row>
    <row r="6275">
      <c r="A6275" s="9"/>
      <c r="B6275" s="15"/>
      <c r="C6275" s="9">
        <f>IFERROR(__xludf.DUMMYFUNCTION("""COMPUTED_VALUE"""),45078.8408989699)</f>
        <v>45078.8409</v>
      </c>
      <c r="D6275" s="15">
        <f>IFERROR(__xludf.DUMMYFUNCTION("""COMPUTED_VALUE"""),1.009)</f>
        <v>1.009</v>
      </c>
      <c r="E6275" s="16">
        <f>IFERROR(__xludf.DUMMYFUNCTION("""COMPUTED_VALUE"""),66.0)</f>
        <v>66</v>
      </c>
      <c r="F6275" s="19" t="str">
        <f>IFERROR(__xludf.DUMMYFUNCTION("""COMPUTED_VALUE"""),"BLACK")</f>
        <v>BLACK</v>
      </c>
      <c r="G6275" s="20" t="str">
        <f>IFERROR(__xludf.DUMMYFUNCTION("""COMPUTED_VALUE"""),"Uncle Sams Cider (04/04/2023)")</f>
        <v>Uncle Sams Cider (04/04/2023)</v>
      </c>
      <c r="H6275" s="19"/>
    </row>
    <row r="6276">
      <c r="A6276" s="9"/>
      <c r="B6276" s="15"/>
      <c r="C6276" s="9">
        <f>IFERROR(__xludf.DUMMYFUNCTION("""COMPUTED_VALUE"""),45078.8304763888)</f>
        <v>45078.83048</v>
      </c>
      <c r="D6276" s="15">
        <f>IFERROR(__xludf.DUMMYFUNCTION("""COMPUTED_VALUE"""),1.009)</f>
        <v>1.009</v>
      </c>
      <c r="E6276" s="16">
        <f>IFERROR(__xludf.DUMMYFUNCTION("""COMPUTED_VALUE"""),66.0)</f>
        <v>66</v>
      </c>
      <c r="F6276" s="19" t="str">
        <f>IFERROR(__xludf.DUMMYFUNCTION("""COMPUTED_VALUE"""),"BLACK")</f>
        <v>BLACK</v>
      </c>
      <c r="G6276" s="20" t="str">
        <f>IFERROR(__xludf.DUMMYFUNCTION("""COMPUTED_VALUE"""),"Uncle Sams Cider (04/04/2023)")</f>
        <v>Uncle Sams Cider (04/04/2023)</v>
      </c>
      <c r="H6276" s="19"/>
    </row>
    <row r="6277">
      <c r="A6277" s="9"/>
      <c r="B6277" s="15"/>
      <c r="C6277" s="9">
        <f>IFERROR(__xludf.DUMMYFUNCTION("""COMPUTED_VALUE"""),45078.8200542013)</f>
        <v>45078.82005</v>
      </c>
      <c r="D6277" s="15">
        <f>IFERROR(__xludf.DUMMYFUNCTION("""COMPUTED_VALUE"""),1.009)</f>
        <v>1.009</v>
      </c>
      <c r="E6277" s="16">
        <f>IFERROR(__xludf.DUMMYFUNCTION("""COMPUTED_VALUE"""),66.0)</f>
        <v>66</v>
      </c>
      <c r="F6277" s="19" t="str">
        <f>IFERROR(__xludf.DUMMYFUNCTION("""COMPUTED_VALUE"""),"BLACK")</f>
        <v>BLACK</v>
      </c>
      <c r="G6277" s="20" t="str">
        <f>IFERROR(__xludf.DUMMYFUNCTION("""COMPUTED_VALUE"""),"Uncle Sams Cider (04/04/2023)")</f>
        <v>Uncle Sams Cider (04/04/2023)</v>
      </c>
      <c r="H6277" s="19"/>
    </row>
    <row r="6278">
      <c r="A6278" s="9"/>
      <c r="B6278" s="15"/>
      <c r="C6278" s="9">
        <f>IFERROR(__xludf.DUMMYFUNCTION("""COMPUTED_VALUE"""),45078.8096327083)</f>
        <v>45078.80963</v>
      </c>
      <c r="D6278" s="15">
        <f>IFERROR(__xludf.DUMMYFUNCTION("""COMPUTED_VALUE"""),1.009)</f>
        <v>1.009</v>
      </c>
      <c r="E6278" s="16">
        <f>IFERROR(__xludf.DUMMYFUNCTION("""COMPUTED_VALUE"""),66.0)</f>
        <v>66</v>
      </c>
      <c r="F6278" s="19" t="str">
        <f>IFERROR(__xludf.DUMMYFUNCTION("""COMPUTED_VALUE"""),"BLACK")</f>
        <v>BLACK</v>
      </c>
      <c r="G6278" s="20" t="str">
        <f>IFERROR(__xludf.DUMMYFUNCTION("""COMPUTED_VALUE"""),"Uncle Sams Cider (04/04/2023)")</f>
        <v>Uncle Sams Cider (04/04/2023)</v>
      </c>
      <c r="H6278" s="19"/>
    </row>
    <row r="6279">
      <c r="A6279" s="9"/>
      <c r="B6279" s="15"/>
      <c r="C6279" s="9">
        <f>IFERROR(__xludf.DUMMYFUNCTION("""COMPUTED_VALUE"""),45078.7992100115)</f>
        <v>45078.79921</v>
      </c>
      <c r="D6279" s="15">
        <f>IFERROR(__xludf.DUMMYFUNCTION("""COMPUTED_VALUE"""),1.009)</f>
        <v>1.009</v>
      </c>
      <c r="E6279" s="16">
        <f>IFERROR(__xludf.DUMMYFUNCTION("""COMPUTED_VALUE"""),66.0)</f>
        <v>66</v>
      </c>
      <c r="F6279" s="19" t="str">
        <f>IFERROR(__xludf.DUMMYFUNCTION("""COMPUTED_VALUE"""),"BLACK")</f>
        <v>BLACK</v>
      </c>
      <c r="G6279" s="20" t="str">
        <f>IFERROR(__xludf.DUMMYFUNCTION("""COMPUTED_VALUE"""),"Uncle Sams Cider (04/04/2023)")</f>
        <v>Uncle Sams Cider (04/04/2023)</v>
      </c>
      <c r="H6279" s="19"/>
    </row>
    <row r="6280">
      <c r="A6280" s="9"/>
      <c r="B6280" s="15"/>
      <c r="C6280" s="9">
        <f>IFERROR(__xludf.DUMMYFUNCTION("""COMPUTED_VALUE"""),45078.7887884027)</f>
        <v>45078.78879</v>
      </c>
      <c r="D6280" s="15">
        <f>IFERROR(__xludf.DUMMYFUNCTION("""COMPUTED_VALUE"""),1.009)</f>
        <v>1.009</v>
      </c>
      <c r="E6280" s="16">
        <f>IFERROR(__xludf.DUMMYFUNCTION("""COMPUTED_VALUE"""),66.0)</f>
        <v>66</v>
      </c>
      <c r="F6280" s="19" t="str">
        <f>IFERROR(__xludf.DUMMYFUNCTION("""COMPUTED_VALUE"""),"BLACK")</f>
        <v>BLACK</v>
      </c>
      <c r="G6280" s="20" t="str">
        <f>IFERROR(__xludf.DUMMYFUNCTION("""COMPUTED_VALUE"""),"Uncle Sams Cider (04/04/2023)")</f>
        <v>Uncle Sams Cider (04/04/2023)</v>
      </c>
      <c r="H6280" s="19"/>
    </row>
    <row r="6281">
      <c r="A6281" s="9"/>
      <c r="B6281" s="15"/>
      <c r="C6281" s="9">
        <f>IFERROR(__xludf.DUMMYFUNCTION("""COMPUTED_VALUE"""),45078.7783674421)</f>
        <v>45078.77837</v>
      </c>
      <c r="D6281" s="15">
        <f>IFERROR(__xludf.DUMMYFUNCTION("""COMPUTED_VALUE"""),1.009)</f>
        <v>1.009</v>
      </c>
      <c r="E6281" s="16">
        <f>IFERROR(__xludf.DUMMYFUNCTION("""COMPUTED_VALUE"""),66.0)</f>
        <v>66</v>
      </c>
      <c r="F6281" s="19" t="str">
        <f>IFERROR(__xludf.DUMMYFUNCTION("""COMPUTED_VALUE"""),"BLACK")</f>
        <v>BLACK</v>
      </c>
      <c r="G6281" s="20" t="str">
        <f>IFERROR(__xludf.DUMMYFUNCTION("""COMPUTED_VALUE"""),"Uncle Sams Cider (04/04/2023)")</f>
        <v>Uncle Sams Cider (04/04/2023)</v>
      </c>
      <c r="H6281" s="19"/>
    </row>
    <row r="6282">
      <c r="A6282" s="9"/>
      <c r="B6282" s="15"/>
      <c r="C6282" s="9">
        <f>IFERROR(__xludf.DUMMYFUNCTION("""COMPUTED_VALUE"""),45078.7679461689)</f>
        <v>45078.76795</v>
      </c>
      <c r="D6282" s="15">
        <f>IFERROR(__xludf.DUMMYFUNCTION("""COMPUTED_VALUE"""),1.009)</f>
        <v>1.009</v>
      </c>
      <c r="E6282" s="16">
        <f>IFERROR(__xludf.DUMMYFUNCTION("""COMPUTED_VALUE"""),66.0)</f>
        <v>66</v>
      </c>
      <c r="F6282" s="19" t="str">
        <f>IFERROR(__xludf.DUMMYFUNCTION("""COMPUTED_VALUE"""),"BLACK")</f>
        <v>BLACK</v>
      </c>
      <c r="G6282" s="20" t="str">
        <f>IFERROR(__xludf.DUMMYFUNCTION("""COMPUTED_VALUE"""),"Uncle Sams Cider (04/04/2023)")</f>
        <v>Uncle Sams Cider (04/04/2023)</v>
      </c>
      <c r="H6282" s="19"/>
    </row>
    <row r="6283">
      <c r="A6283" s="9"/>
      <c r="B6283" s="15"/>
      <c r="C6283" s="9">
        <f>IFERROR(__xludf.DUMMYFUNCTION("""COMPUTED_VALUE"""),45078.7575263426)</f>
        <v>45078.75753</v>
      </c>
      <c r="D6283" s="15">
        <f>IFERROR(__xludf.DUMMYFUNCTION("""COMPUTED_VALUE"""),1.009)</f>
        <v>1.009</v>
      </c>
      <c r="E6283" s="16">
        <f>IFERROR(__xludf.DUMMYFUNCTION("""COMPUTED_VALUE"""),66.0)</f>
        <v>66</v>
      </c>
      <c r="F6283" s="19" t="str">
        <f>IFERROR(__xludf.DUMMYFUNCTION("""COMPUTED_VALUE"""),"BLACK")</f>
        <v>BLACK</v>
      </c>
      <c r="G6283" s="20" t="str">
        <f>IFERROR(__xludf.DUMMYFUNCTION("""COMPUTED_VALUE"""),"Uncle Sams Cider (04/04/2023)")</f>
        <v>Uncle Sams Cider (04/04/2023)</v>
      </c>
      <c r="H6283" s="19"/>
    </row>
    <row r="6284">
      <c r="A6284" s="9"/>
      <c r="B6284" s="15"/>
      <c r="C6284" s="9">
        <f>IFERROR(__xludf.DUMMYFUNCTION("""COMPUTED_VALUE"""),45078.747092581)</f>
        <v>45078.74709</v>
      </c>
      <c r="D6284" s="15">
        <f>IFERROR(__xludf.DUMMYFUNCTION("""COMPUTED_VALUE"""),1.009)</f>
        <v>1.009</v>
      </c>
      <c r="E6284" s="16">
        <f>IFERROR(__xludf.DUMMYFUNCTION("""COMPUTED_VALUE"""),66.0)</f>
        <v>66</v>
      </c>
      <c r="F6284" s="19" t="str">
        <f>IFERROR(__xludf.DUMMYFUNCTION("""COMPUTED_VALUE"""),"BLACK")</f>
        <v>BLACK</v>
      </c>
      <c r="G6284" s="20" t="str">
        <f>IFERROR(__xludf.DUMMYFUNCTION("""COMPUTED_VALUE"""),"Uncle Sams Cider (04/04/2023)")</f>
        <v>Uncle Sams Cider (04/04/2023)</v>
      </c>
      <c r="H6284" s="19"/>
    </row>
    <row r="6285">
      <c r="A6285" s="9"/>
      <c r="B6285" s="15"/>
      <c r="C6285" s="9">
        <f>IFERROR(__xludf.DUMMYFUNCTION("""COMPUTED_VALUE"""),45078.7366719907)</f>
        <v>45078.73667</v>
      </c>
      <c r="D6285" s="15">
        <f>IFERROR(__xludf.DUMMYFUNCTION("""COMPUTED_VALUE"""),1.009)</f>
        <v>1.009</v>
      </c>
      <c r="E6285" s="16">
        <f>IFERROR(__xludf.DUMMYFUNCTION("""COMPUTED_VALUE"""),66.0)</f>
        <v>66</v>
      </c>
      <c r="F6285" s="19" t="str">
        <f>IFERROR(__xludf.DUMMYFUNCTION("""COMPUTED_VALUE"""),"BLACK")</f>
        <v>BLACK</v>
      </c>
      <c r="G6285" s="20" t="str">
        <f>IFERROR(__xludf.DUMMYFUNCTION("""COMPUTED_VALUE"""),"Uncle Sams Cider (04/04/2023)")</f>
        <v>Uncle Sams Cider (04/04/2023)</v>
      </c>
      <c r="H6285" s="19"/>
    </row>
    <row r="6286">
      <c r="A6286" s="9"/>
      <c r="B6286" s="15"/>
      <c r="C6286" s="9">
        <f>IFERROR(__xludf.DUMMYFUNCTION("""COMPUTED_VALUE"""),45078.7262396759)</f>
        <v>45078.72624</v>
      </c>
      <c r="D6286" s="15">
        <f>IFERROR(__xludf.DUMMYFUNCTION("""COMPUTED_VALUE"""),1.009)</f>
        <v>1.009</v>
      </c>
      <c r="E6286" s="16">
        <f>IFERROR(__xludf.DUMMYFUNCTION("""COMPUTED_VALUE"""),66.0)</f>
        <v>66</v>
      </c>
      <c r="F6286" s="19" t="str">
        <f>IFERROR(__xludf.DUMMYFUNCTION("""COMPUTED_VALUE"""),"BLACK")</f>
        <v>BLACK</v>
      </c>
      <c r="G6286" s="20" t="str">
        <f>IFERROR(__xludf.DUMMYFUNCTION("""COMPUTED_VALUE"""),"Uncle Sams Cider (04/04/2023)")</f>
        <v>Uncle Sams Cider (04/04/2023)</v>
      </c>
      <c r="H6286" s="19"/>
    </row>
    <row r="6287">
      <c r="A6287" s="9"/>
      <c r="B6287" s="15"/>
      <c r="C6287" s="9">
        <f>IFERROR(__xludf.DUMMYFUNCTION("""COMPUTED_VALUE"""),45078.7158203588)</f>
        <v>45078.71582</v>
      </c>
      <c r="D6287" s="15">
        <f>IFERROR(__xludf.DUMMYFUNCTION("""COMPUTED_VALUE"""),1.009)</f>
        <v>1.009</v>
      </c>
      <c r="E6287" s="16">
        <f>IFERROR(__xludf.DUMMYFUNCTION("""COMPUTED_VALUE"""),66.0)</f>
        <v>66</v>
      </c>
      <c r="F6287" s="19" t="str">
        <f>IFERROR(__xludf.DUMMYFUNCTION("""COMPUTED_VALUE"""),"BLACK")</f>
        <v>BLACK</v>
      </c>
      <c r="G6287" s="20" t="str">
        <f>IFERROR(__xludf.DUMMYFUNCTION("""COMPUTED_VALUE"""),"Uncle Sams Cider (04/04/2023)")</f>
        <v>Uncle Sams Cider (04/04/2023)</v>
      </c>
      <c r="H6287" s="19"/>
    </row>
    <row r="6288">
      <c r="A6288" s="9"/>
      <c r="B6288" s="15"/>
      <c r="C6288" s="9">
        <f>IFERROR(__xludf.DUMMYFUNCTION("""COMPUTED_VALUE"""),45078.7053990277)</f>
        <v>45078.7054</v>
      </c>
      <c r="D6288" s="15">
        <f>IFERROR(__xludf.DUMMYFUNCTION("""COMPUTED_VALUE"""),1.009)</f>
        <v>1.009</v>
      </c>
      <c r="E6288" s="16">
        <f>IFERROR(__xludf.DUMMYFUNCTION("""COMPUTED_VALUE"""),66.0)</f>
        <v>66</v>
      </c>
      <c r="F6288" s="19" t="str">
        <f>IFERROR(__xludf.DUMMYFUNCTION("""COMPUTED_VALUE"""),"BLACK")</f>
        <v>BLACK</v>
      </c>
      <c r="G6288" s="20" t="str">
        <f>IFERROR(__xludf.DUMMYFUNCTION("""COMPUTED_VALUE"""),"Uncle Sams Cider (04/04/2023)")</f>
        <v>Uncle Sams Cider (04/04/2023)</v>
      </c>
      <c r="H6288" s="19"/>
    </row>
    <row r="6289">
      <c r="A6289" s="9"/>
      <c r="B6289" s="15"/>
      <c r="C6289" s="9">
        <f>IFERROR(__xludf.DUMMYFUNCTION("""COMPUTED_VALUE"""),45078.6949776388)</f>
        <v>45078.69498</v>
      </c>
      <c r="D6289" s="15">
        <f>IFERROR(__xludf.DUMMYFUNCTION("""COMPUTED_VALUE"""),1.009)</f>
        <v>1.009</v>
      </c>
      <c r="E6289" s="16">
        <f>IFERROR(__xludf.DUMMYFUNCTION("""COMPUTED_VALUE"""),66.0)</f>
        <v>66</v>
      </c>
      <c r="F6289" s="19" t="str">
        <f>IFERROR(__xludf.DUMMYFUNCTION("""COMPUTED_VALUE"""),"BLACK")</f>
        <v>BLACK</v>
      </c>
      <c r="G6289" s="20" t="str">
        <f>IFERROR(__xludf.DUMMYFUNCTION("""COMPUTED_VALUE"""),"Uncle Sams Cider (04/04/2023)")</f>
        <v>Uncle Sams Cider (04/04/2023)</v>
      </c>
      <c r="H6289" s="19"/>
    </row>
    <row r="6290">
      <c r="A6290" s="9"/>
      <c r="B6290" s="15"/>
      <c r="C6290" s="9">
        <f>IFERROR(__xludf.DUMMYFUNCTION("""COMPUTED_VALUE"""),45078.6845436111)</f>
        <v>45078.68454</v>
      </c>
      <c r="D6290" s="15">
        <f>IFERROR(__xludf.DUMMYFUNCTION("""COMPUTED_VALUE"""),1.009)</f>
        <v>1.009</v>
      </c>
      <c r="E6290" s="16">
        <f>IFERROR(__xludf.DUMMYFUNCTION("""COMPUTED_VALUE"""),66.0)</f>
        <v>66</v>
      </c>
      <c r="F6290" s="19" t="str">
        <f>IFERROR(__xludf.DUMMYFUNCTION("""COMPUTED_VALUE"""),"BLACK")</f>
        <v>BLACK</v>
      </c>
      <c r="G6290" s="20" t="str">
        <f>IFERROR(__xludf.DUMMYFUNCTION("""COMPUTED_VALUE"""),"Uncle Sams Cider (04/04/2023)")</f>
        <v>Uncle Sams Cider (04/04/2023)</v>
      </c>
      <c r="H6290" s="19"/>
    </row>
    <row r="6291">
      <c r="A6291" s="9"/>
      <c r="B6291" s="15"/>
      <c r="C6291" s="9">
        <f>IFERROR(__xludf.DUMMYFUNCTION("""COMPUTED_VALUE"""),45078.6740981018)</f>
        <v>45078.6741</v>
      </c>
      <c r="D6291" s="15">
        <f>IFERROR(__xludf.DUMMYFUNCTION("""COMPUTED_VALUE"""),1.009)</f>
        <v>1.009</v>
      </c>
      <c r="E6291" s="16">
        <f>IFERROR(__xludf.DUMMYFUNCTION("""COMPUTED_VALUE"""),66.0)</f>
        <v>66</v>
      </c>
      <c r="F6291" s="19" t="str">
        <f>IFERROR(__xludf.DUMMYFUNCTION("""COMPUTED_VALUE"""),"BLACK")</f>
        <v>BLACK</v>
      </c>
      <c r="G6291" s="20" t="str">
        <f>IFERROR(__xludf.DUMMYFUNCTION("""COMPUTED_VALUE"""),"Uncle Sams Cider (04/04/2023)")</f>
        <v>Uncle Sams Cider (04/04/2023)</v>
      </c>
      <c r="H6291" s="19"/>
    </row>
    <row r="6292">
      <c r="A6292" s="9"/>
      <c r="B6292" s="15"/>
      <c r="C6292" s="9">
        <f>IFERROR(__xludf.DUMMYFUNCTION("""COMPUTED_VALUE"""),45078.6636772916)</f>
        <v>45078.66368</v>
      </c>
      <c r="D6292" s="15">
        <f>IFERROR(__xludf.DUMMYFUNCTION("""COMPUTED_VALUE"""),1.009)</f>
        <v>1.009</v>
      </c>
      <c r="E6292" s="16">
        <f>IFERROR(__xludf.DUMMYFUNCTION("""COMPUTED_VALUE"""),66.0)</f>
        <v>66</v>
      </c>
      <c r="F6292" s="19" t="str">
        <f>IFERROR(__xludf.DUMMYFUNCTION("""COMPUTED_VALUE"""),"BLACK")</f>
        <v>BLACK</v>
      </c>
      <c r="G6292" s="20" t="str">
        <f>IFERROR(__xludf.DUMMYFUNCTION("""COMPUTED_VALUE"""),"Uncle Sams Cider (04/04/2023)")</f>
        <v>Uncle Sams Cider (04/04/2023)</v>
      </c>
      <c r="H6292" s="19"/>
    </row>
    <row r="6293">
      <c r="A6293" s="9"/>
      <c r="B6293" s="15"/>
      <c r="C6293" s="9">
        <f>IFERROR(__xludf.DUMMYFUNCTION("""COMPUTED_VALUE"""),45078.6532439583)</f>
        <v>45078.65324</v>
      </c>
      <c r="D6293" s="15">
        <f>IFERROR(__xludf.DUMMYFUNCTION("""COMPUTED_VALUE"""),1.009)</f>
        <v>1.009</v>
      </c>
      <c r="E6293" s="16">
        <f>IFERROR(__xludf.DUMMYFUNCTION("""COMPUTED_VALUE"""),66.0)</f>
        <v>66</v>
      </c>
      <c r="F6293" s="19" t="str">
        <f>IFERROR(__xludf.DUMMYFUNCTION("""COMPUTED_VALUE"""),"BLACK")</f>
        <v>BLACK</v>
      </c>
      <c r="G6293" s="20" t="str">
        <f>IFERROR(__xludf.DUMMYFUNCTION("""COMPUTED_VALUE"""),"Uncle Sams Cider (04/04/2023)")</f>
        <v>Uncle Sams Cider (04/04/2023)</v>
      </c>
      <c r="H6293" s="19"/>
    </row>
    <row r="6294">
      <c r="A6294" s="9"/>
      <c r="B6294" s="15"/>
      <c r="C6294" s="9">
        <f>IFERROR(__xludf.DUMMYFUNCTION("""COMPUTED_VALUE"""),45078.6428233564)</f>
        <v>45078.64282</v>
      </c>
      <c r="D6294" s="15">
        <f>IFERROR(__xludf.DUMMYFUNCTION("""COMPUTED_VALUE"""),1.009)</f>
        <v>1.009</v>
      </c>
      <c r="E6294" s="16">
        <f>IFERROR(__xludf.DUMMYFUNCTION("""COMPUTED_VALUE"""),66.0)</f>
        <v>66</v>
      </c>
      <c r="F6294" s="19" t="str">
        <f>IFERROR(__xludf.DUMMYFUNCTION("""COMPUTED_VALUE"""),"BLACK")</f>
        <v>BLACK</v>
      </c>
      <c r="G6294" s="20" t="str">
        <f>IFERROR(__xludf.DUMMYFUNCTION("""COMPUTED_VALUE"""),"Uncle Sams Cider (04/04/2023)")</f>
        <v>Uncle Sams Cider (04/04/2023)</v>
      </c>
      <c r="H6294" s="19"/>
    </row>
    <row r="6295">
      <c r="A6295" s="9"/>
      <c r="B6295" s="15"/>
      <c r="C6295" s="9">
        <f>IFERROR(__xludf.DUMMYFUNCTION("""COMPUTED_VALUE"""),45078.6323907175)</f>
        <v>45078.63239</v>
      </c>
      <c r="D6295" s="15">
        <f>IFERROR(__xludf.DUMMYFUNCTION("""COMPUTED_VALUE"""),1.009)</f>
        <v>1.009</v>
      </c>
      <c r="E6295" s="16">
        <f>IFERROR(__xludf.DUMMYFUNCTION("""COMPUTED_VALUE"""),66.0)</f>
        <v>66</v>
      </c>
      <c r="F6295" s="19" t="str">
        <f>IFERROR(__xludf.DUMMYFUNCTION("""COMPUTED_VALUE"""),"BLACK")</f>
        <v>BLACK</v>
      </c>
      <c r="G6295" s="20" t="str">
        <f>IFERROR(__xludf.DUMMYFUNCTION("""COMPUTED_VALUE"""),"Uncle Sams Cider (04/04/2023)")</f>
        <v>Uncle Sams Cider (04/04/2023)</v>
      </c>
      <c r="H6295" s="19"/>
    </row>
    <row r="6296">
      <c r="A6296" s="9"/>
      <c r="B6296" s="15"/>
      <c r="C6296" s="9">
        <f>IFERROR(__xludf.DUMMYFUNCTION("""COMPUTED_VALUE"""),45078.6219462847)</f>
        <v>45078.62195</v>
      </c>
      <c r="D6296" s="15">
        <f>IFERROR(__xludf.DUMMYFUNCTION("""COMPUTED_VALUE"""),1.009)</f>
        <v>1.009</v>
      </c>
      <c r="E6296" s="16">
        <f>IFERROR(__xludf.DUMMYFUNCTION("""COMPUTED_VALUE"""),66.0)</f>
        <v>66</v>
      </c>
      <c r="F6296" s="19" t="str">
        <f>IFERROR(__xludf.DUMMYFUNCTION("""COMPUTED_VALUE"""),"BLACK")</f>
        <v>BLACK</v>
      </c>
      <c r="G6296" s="20" t="str">
        <f>IFERROR(__xludf.DUMMYFUNCTION("""COMPUTED_VALUE"""),"Uncle Sams Cider (04/04/2023)")</f>
        <v>Uncle Sams Cider (04/04/2023)</v>
      </c>
      <c r="H6296" s="19"/>
    </row>
    <row r="6297">
      <c r="A6297" s="9"/>
      <c r="B6297" s="15"/>
      <c r="C6297" s="9">
        <f>IFERROR(__xludf.DUMMYFUNCTION("""COMPUTED_VALUE"""),45078.6115255555)</f>
        <v>45078.61153</v>
      </c>
      <c r="D6297" s="15">
        <f>IFERROR(__xludf.DUMMYFUNCTION("""COMPUTED_VALUE"""),1.009)</f>
        <v>1.009</v>
      </c>
      <c r="E6297" s="16">
        <f>IFERROR(__xludf.DUMMYFUNCTION("""COMPUTED_VALUE"""),66.0)</f>
        <v>66</v>
      </c>
      <c r="F6297" s="19" t="str">
        <f>IFERROR(__xludf.DUMMYFUNCTION("""COMPUTED_VALUE"""),"BLACK")</f>
        <v>BLACK</v>
      </c>
      <c r="G6297" s="20" t="str">
        <f>IFERROR(__xludf.DUMMYFUNCTION("""COMPUTED_VALUE"""),"Uncle Sams Cider (04/04/2023)")</f>
        <v>Uncle Sams Cider (04/04/2023)</v>
      </c>
      <c r="H6297" s="19"/>
    </row>
    <row r="6298">
      <c r="A6298" s="9"/>
      <c r="B6298" s="15"/>
      <c r="C6298" s="9">
        <f>IFERROR(__xludf.DUMMYFUNCTION("""COMPUTED_VALUE"""),45078.6011049074)</f>
        <v>45078.6011</v>
      </c>
      <c r="D6298" s="15">
        <f>IFERROR(__xludf.DUMMYFUNCTION("""COMPUTED_VALUE"""),1.009)</f>
        <v>1.009</v>
      </c>
      <c r="E6298" s="16">
        <f>IFERROR(__xludf.DUMMYFUNCTION("""COMPUTED_VALUE"""),66.0)</f>
        <v>66</v>
      </c>
      <c r="F6298" s="19" t="str">
        <f>IFERROR(__xludf.DUMMYFUNCTION("""COMPUTED_VALUE"""),"BLACK")</f>
        <v>BLACK</v>
      </c>
      <c r="G6298" s="20" t="str">
        <f>IFERROR(__xludf.DUMMYFUNCTION("""COMPUTED_VALUE"""),"Uncle Sams Cider (04/04/2023)")</f>
        <v>Uncle Sams Cider (04/04/2023)</v>
      </c>
      <c r="H6298" s="19"/>
    </row>
    <row r="6299">
      <c r="A6299" s="9"/>
      <c r="B6299" s="15"/>
      <c r="C6299" s="9">
        <f>IFERROR(__xludf.DUMMYFUNCTION("""COMPUTED_VALUE"""),45078.5906846643)</f>
        <v>45078.59068</v>
      </c>
      <c r="D6299" s="15">
        <f>IFERROR(__xludf.DUMMYFUNCTION("""COMPUTED_VALUE"""),1.009)</f>
        <v>1.009</v>
      </c>
      <c r="E6299" s="16">
        <f>IFERROR(__xludf.DUMMYFUNCTION("""COMPUTED_VALUE"""),66.0)</f>
        <v>66</v>
      </c>
      <c r="F6299" s="19" t="str">
        <f>IFERROR(__xludf.DUMMYFUNCTION("""COMPUTED_VALUE"""),"BLACK")</f>
        <v>BLACK</v>
      </c>
      <c r="G6299" s="20" t="str">
        <f>IFERROR(__xludf.DUMMYFUNCTION("""COMPUTED_VALUE"""),"Uncle Sams Cider (04/04/2023)")</f>
        <v>Uncle Sams Cider (04/04/2023)</v>
      </c>
      <c r="H6299" s="19"/>
    </row>
    <row r="6300">
      <c r="A6300" s="9"/>
      <c r="B6300" s="15"/>
      <c r="C6300" s="9">
        <f>IFERROR(__xludf.DUMMYFUNCTION("""COMPUTED_VALUE"""),45078.5802520486)</f>
        <v>45078.58025</v>
      </c>
      <c r="D6300" s="15">
        <f>IFERROR(__xludf.DUMMYFUNCTION("""COMPUTED_VALUE"""),1.009)</f>
        <v>1.009</v>
      </c>
      <c r="E6300" s="16">
        <f>IFERROR(__xludf.DUMMYFUNCTION("""COMPUTED_VALUE"""),66.0)</f>
        <v>66</v>
      </c>
      <c r="F6300" s="19" t="str">
        <f>IFERROR(__xludf.DUMMYFUNCTION("""COMPUTED_VALUE"""),"BLACK")</f>
        <v>BLACK</v>
      </c>
      <c r="G6300" s="20" t="str">
        <f>IFERROR(__xludf.DUMMYFUNCTION("""COMPUTED_VALUE"""),"Uncle Sams Cider (04/04/2023)")</f>
        <v>Uncle Sams Cider (04/04/2023)</v>
      </c>
      <c r="H6300" s="19"/>
    </row>
    <row r="6301">
      <c r="A6301" s="9"/>
      <c r="B6301" s="15"/>
      <c r="C6301" s="9">
        <f>IFERROR(__xludf.DUMMYFUNCTION("""COMPUTED_VALUE"""),45078.5698294097)</f>
        <v>45078.56983</v>
      </c>
      <c r="D6301" s="15">
        <f>IFERROR(__xludf.DUMMYFUNCTION("""COMPUTED_VALUE"""),1.009)</f>
        <v>1.009</v>
      </c>
      <c r="E6301" s="16">
        <f>IFERROR(__xludf.DUMMYFUNCTION("""COMPUTED_VALUE"""),66.0)</f>
        <v>66</v>
      </c>
      <c r="F6301" s="19" t="str">
        <f>IFERROR(__xludf.DUMMYFUNCTION("""COMPUTED_VALUE"""),"BLACK")</f>
        <v>BLACK</v>
      </c>
      <c r="G6301" s="20" t="str">
        <f>IFERROR(__xludf.DUMMYFUNCTION("""COMPUTED_VALUE"""),"Uncle Sams Cider (04/04/2023)")</f>
        <v>Uncle Sams Cider (04/04/2023)</v>
      </c>
      <c r="H6301" s="19"/>
    </row>
    <row r="6302">
      <c r="A6302" s="9"/>
      <c r="B6302" s="15"/>
      <c r="C6302" s="9">
        <f>IFERROR(__xludf.DUMMYFUNCTION("""COMPUTED_VALUE"""),45078.5594081944)</f>
        <v>45078.55941</v>
      </c>
      <c r="D6302" s="15">
        <f>IFERROR(__xludf.DUMMYFUNCTION("""COMPUTED_VALUE"""),1.009)</f>
        <v>1.009</v>
      </c>
      <c r="E6302" s="16">
        <f>IFERROR(__xludf.DUMMYFUNCTION("""COMPUTED_VALUE"""),66.0)</f>
        <v>66</v>
      </c>
      <c r="F6302" s="19" t="str">
        <f>IFERROR(__xludf.DUMMYFUNCTION("""COMPUTED_VALUE"""),"BLACK")</f>
        <v>BLACK</v>
      </c>
      <c r="G6302" s="20" t="str">
        <f>IFERROR(__xludf.DUMMYFUNCTION("""COMPUTED_VALUE"""),"Uncle Sams Cider (04/04/2023)")</f>
        <v>Uncle Sams Cider (04/04/2023)</v>
      </c>
      <c r="H6302" s="19"/>
    </row>
    <row r="6303">
      <c r="A6303" s="9"/>
      <c r="B6303" s="15"/>
      <c r="C6303" s="9">
        <f>IFERROR(__xludf.DUMMYFUNCTION("""COMPUTED_VALUE"""),45078.5489861689)</f>
        <v>45078.54899</v>
      </c>
      <c r="D6303" s="15">
        <f>IFERROR(__xludf.DUMMYFUNCTION("""COMPUTED_VALUE"""),1.009)</f>
        <v>1.009</v>
      </c>
      <c r="E6303" s="16">
        <f>IFERROR(__xludf.DUMMYFUNCTION("""COMPUTED_VALUE"""),66.0)</f>
        <v>66</v>
      </c>
      <c r="F6303" s="19" t="str">
        <f>IFERROR(__xludf.DUMMYFUNCTION("""COMPUTED_VALUE"""),"BLACK")</f>
        <v>BLACK</v>
      </c>
      <c r="G6303" s="20" t="str">
        <f>IFERROR(__xludf.DUMMYFUNCTION("""COMPUTED_VALUE"""),"Uncle Sams Cider (04/04/2023)")</f>
        <v>Uncle Sams Cider (04/04/2023)</v>
      </c>
      <c r="H6303" s="19"/>
    </row>
    <row r="6304">
      <c r="A6304" s="9"/>
      <c r="B6304" s="15"/>
      <c r="C6304" s="9">
        <f>IFERROR(__xludf.DUMMYFUNCTION("""COMPUTED_VALUE"""),45078.5385650231)</f>
        <v>45078.53857</v>
      </c>
      <c r="D6304" s="15">
        <f>IFERROR(__xludf.DUMMYFUNCTION("""COMPUTED_VALUE"""),1.009)</f>
        <v>1.009</v>
      </c>
      <c r="E6304" s="16">
        <f>IFERROR(__xludf.DUMMYFUNCTION("""COMPUTED_VALUE"""),66.0)</f>
        <v>66</v>
      </c>
      <c r="F6304" s="19" t="str">
        <f>IFERROR(__xludf.DUMMYFUNCTION("""COMPUTED_VALUE"""),"BLACK")</f>
        <v>BLACK</v>
      </c>
      <c r="G6304" s="20" t="str">
        <f>IFERROR(__xludf.DUMMYFUNCTION("""COMPUTED_VALUE"""),"Uncle Sams Cider (04/04/2023)")</f>
        <v>Uncle Sams Cider (04/04/2023)</v>
      </c>
      <c r="H6304" s="19"/>
    </row>
    <row r="6305">
      <c r="A6305" s="9"/>
      <c r="B6305" s="15"/>
      <c r="C6305" s="9">
        <f>IFERROR(__xludf.DUMMYFUNCTION("""COMPUTED_VALUE"""),45078.5281441782)</f>
        <v>45078.52814</v>
      </c>
      <c r="D6305" s="15">
        <f>IFERROR(__xludf.DUMMYFUNCTION("""COMPUTED_VALUE"""),1.009)</f>
        <v>1.009</v>
      </c>
      <c r="E6305" s="16">
        <f>IFERROR(__xludf.DUMMYFUNCTION("""COMPUTED_VALUE"""),66.0)</f>
        <v>66</v>
      </c>
      <c r="F6305" s="19" t="str">
        <f>IFERROR(__xludf.DUMMYFUNCTION("""COMPUTED_VALUE"""),"BLACK")</f>
        <v>BLACK</v>
      </c>
      <c r="G6305" s="20" t="str">
        <f>IFERROR(__xludf.DUMMYFUNCTION("""COMPUTED_VALUE"""),"Uncle Sams Cider (04/04/2023)")</f>
        <v>Uncle Sams Cider (04/04/2023)</v>
      </c>
      <c r="H6305" s="19"/>
    </row>
    <row r="6306">
      <c r="A6306" s="9"/>
      <c r="B6306" s="15"/>
      <c r="C6306" s="9">
        <f>IFERROR(__xludf.DUMMYFUNCTION("""COMPUTED_VALUE"""),45078.5177241435)</f>
        <v>45078.51772</v>
      </c>
      <c r="D6306" s="15">
        <f>IFERROR(__xludf.DUMMYFUNCTION("""COMPUTED_VALUE"""),1.009)</f>
        <v>1.009</v>
      </c>
      <c r="E6306" s="16">
        <f>IFERROR(__xludf.DUMMYFUNCTION("""COMPUTED_VALUE"""),66.0)</f>
        <v>66</v>
      </c>
      <c r="F6306" s="19" t="str">
        <f>IFERROR(__xludf.DUMMYFUNCTION("""COMPUTED_VALUE"""),"BLACK")</f>
        <v>BLACK</v>
      </c>
      <c r="G6306" s="20" t="str">
        <f>IFERROR(__xludf.DUMMYFUNCTION("""COMPUTED_VALUE"""),"Uncle Sams Cider (04/04/2023)")</f>
        <v>Uncle Sams Cider (04/04/2023)</v>
      </c>
      <c r="H6306" s="19"/>
    </row>
    <row r="6307">
      <c r="A6307" s="9"/>
      <c r="B6307" s="15"/>
      <c r="C6307" s="9">
        <f>IFERROR(__xludf.DUMMYFUNCTION("""COMPUTED_VALUE"""),45078.5073021527)</f>
        <v>45078.5073</v>
      </c>
      <c r="D6307" s="15">
        <f>IFERROR(__xludf.DUMMYFUNCTION("""COMPUTED_VALUE"""),1.009)</f>
        <v>1.009</v>
      </c>
      <c r="E6307" s="16">
        <f>IFERROR(__xludf.DUMMYFUNCTION("""COMPUTED_VALUE"""),66.0)</f>
        <v>66</v>
      </c>
      <c r="F6307" s="19" t="str">
        <f>IFERROR(__xludf.DUMMYFUNCTION("""COMPUTED_VALUE"""),"BLACK")</f>
        <v>BLACK</v>
      </c>
      <c r="G6307" s="20" t="str">
        <f>IFERROR(__xludf.DUMMYFUNCTION("""COMPUTED_VALUE"""),"Uncle Sams Cider (04/04/2023)")</f>
        <v>Uncle Sams Cider (04/04/2023)</v>
      </c>
      <c r="H6307" s="19"/>
    </row>
    <row r="6308">
      <c r="A6308" s="9"/>
      <c r="B6308" s="15"/>
      <c r="C6308" s="9">
        <f>IFERROR(__xludf.DUMMYFUNCTION("""COMPUTED_VALUE"""),45078.4968818981)</f>
        <v>45078.49688</v>
      </c>
      <c r="D6308" s="15">
        <f>IFERROR(__xludf.DUMMYFUNCTION("""COMPUTED_VALUE"""),1.009)</f>
        <v>1.009</v>
      </c>
      <c r="E6308" s="16">
        <f>IFERROR(__xludf.DUMMYFUNCTION("""COMPUTED_VALUE"""),66.0)</f>
        <v>66</v>
      </c>
      <c r="F6308" s="19" t="str">
        <f>IFERROR(__xludf.DUMMYFUNCTION("""COMPUTED_VALUE"""),"BLACK")</f>
        <v>BLACK</v>
      </c>
      <c r="G6308" s="20" t="str">
        <f>IFERROR(__xludf.DUMMYFUNCTION("""COMPUTED_VALUE"""),"Uncle Sams Cider (04/04/2023)")</f>
        <v>Uncle Sams Cider (04/04/2023)</v>
      </c>
      <c r="H6308" s="19"/>
    </row>
    <row r="6309">
      <c r="A6309" s="9"/>
      <c r="B6309" s="15"/>
      <c r="C6309" s="9">
        <f>IFERROR(__xludf.DUMMYFUNCTION("""COMPUTED_VALUE"""),45078.4864621875)</f>
        <v>45078.48646</v>
      </c>
      <c r="D6309" s="15">
        <f>IFERROR(__xludf.DUMMYFUNCTION("""COMPUTED_VALUE"""),1.009)</f>
        <v>1.009</v>
      </c>
      <c r="E6309" s="16">
        <f>IFERROR(__xludf.DUMMYFUNCTION("""COMPUTED_VALUE"""),66.0)</f>
        <v>66</v>
      </c>
      <c r="F6309" s="19" t="str">
        <f>IFERROR(__xludf.DUMMYFUNCTION("""COMPUTED_VALUE"""),"BLACK")</f>
        <v>BLACK</v>
      </c>
      <c r="G6309" s="20" t="str">
        <f>IFERROR(__xludf.DUMMYFUNCTION("""COMPUTED_VALUE"""),"Uncle Sams Cider (04/04/2023)")</f>
        <v>Uncle Sams Cider (04/04/2023)</v>
      </c>
      <c r="H6309" s="19"/>
    </row>
    <row r="6310">
      <c r="A6310" s="9"/>
      <c r="B6310" s="15"/>
      <c r="C6310" s="9">
        <f>IFERROR(__xludf.DUMMYFUNCTION("""COMPUTED_VALUE"""),45078.4760300115)</f>
        <v>45078.47603</v>
      </c>
      <c r="D6310" s="15">
        <f>IFERROR(__xludf.DUMMYFUNCTION("""COMPUTED_VALUE"""),1.009)</f>
        <v>1.009</v>
      </c>
      <c r="E6310" s="16">
        <f>IFERROR(__xludf.DUMMYFUNCTION("""COMPUTED_VALUE"""),66.0)</f>
        <v>66</v>
      </c>
      <c r="F6310" s="19" t="str">
        <f>IFERROR(__xludf.DUMMYFUNCTION("""COMPUTED_VALUE"""),"BLACK")</f>
        <v>BLACK</v>
      </c>
      <c r="G6310" s="20" t="str">
        <f>IFERROR(__xludf.DUMMYFUNCTION("""COMPUTED_VALUE"""),"Uncle Sams Cider (04/04/2023)")</f>
        <v>Uncle Sams Cider (04/04/2023)</v>
      </c>
      <c r="H6310" s="19"/>
    </row>
    <row r="6311">
      <c r="A6311" s="9"/>
      <c r="B6311" s="15"/>
      <c r="C6311" s="9">
        <f>IFERROR(__xludf.DUMMYFUNCTION("""COMPUTED_VALUE"""),45078.4656084143)</f>
        <v>45078.46561</v>
      </c>
      <c r="D6311" s="15">
        <f>IFERROR(__xludf.DUMMYFUNCTION("""COMPUTED_VALUE"""),1.009)</f>
        <v>1.009</v>
      </c>
      <c r="E6311" s="16">
        <f>IFERROR(__xludf.DUMMYFUNCTION("""COMPUTED_VALUE"""),66.0)</f>
        <v>66</v>
      </c>
      <c r="F6311" s="19" t="str">
        <f>IFERROR(__xludf.DUMMYFUNCTION("""COMPUTED_VALUE"""),"BLACK")</f>
        <v>BLACK</v>
      </c>
      <c r="G6311" s="20" t="str">
        <f>IFERROR(__xludf.DUMMYFUNCTION("""COMPUTED_VALUE"""),"Uncle Sams Cider (04/04/2023)")</f>
        <v>Uncle Sams Cider (04/04/2023)</v>
      </c>
      <c r="H6311" s="19"/>
    </row>
    <row r="6312">
      <c r="A6312" s="9"/>
      <c r="B6312" s="15"/>
      <c r="C6312" s="9">
        <f>IFERROR(__xludf.DUMMYFUNCTION("""COMPUTED_VALUE"""),45078.4551866666)</f>
        <v>45078.45519</v>
      </c>
      <c r="D6312" s="15">
        <f>IFERROR(__xludf.DUMMYFUNCTION("""COMPUTED_VALUE"""),1.009)</f>
        <v>1.009</v>
      </c>
      <c r="E6312" s="16">
        <f>IFERROR(__xludf.DUMMYFUNCTION("""COMPUTED_VALUE"""),66.0)</f>
        <v>66</v>
      </c>
      <c r="F6312" s="19" t="str">
        <f>IFERROR(__xludf.DUMMYFUNCTION("""COMPUTED_VALUE"""),"BLACK")</f>
        <v>BLACK</v>
      </c>
      <c r="G6312" s="20" t="str">
        <f>IFERROR(__xludf.DUMMYFUNCTION("""COMPUTED_VALUE"""),"Uncle Sams Cider (04/04/2023)")</f>
        <v>Uncle Sams Cider (04/04/2023)</v>
      </c>
      <c r="H6312" s="19"/>
    </row>
    <row r="6313">
      <c r="A6313" s="9"/>
      <c r="B6313" s="15"/>
      <c r="C6313" s="9">
        <f>IFERROR(__xludf.DUMMYFUNCTION("""COMPUTED_VALUE"""),45078.444766875)</f>
        <v>45078.44477</v>
      </c>
      <c r="D6313" s="15">
        <f>IFERROR(__xludf.DUMMYFUNCTION("""COMPUTED_VALUE"""),1.009)</f>
        <v>1.009</v>
      </c>
      <c r="E6313" s="16">
        <f>IFERROR(__xludf.DUMMYFUNCTION("""COMPUTED_VALUE"""),66.0)</f>
        <v>66</v>
      </c>
      <c r="F6313" s="19" t="str">
        <f>IFERROR(__xludf.DUMMYFUNCTION("""COMPUTED_VALUE"""),"BLACK")</f>
        <v>BLACK</v>
      </c>
      <c r="G6313" s="20" t="str">
        <f>IFERROR(__xludf.DUMMYFUNCTION("""COMPUTED_VALUE"""),"Uncle Sams Cider (04/04/2023)")</f>
        <v>Uncle Sams Cider (04/04/2023)</v>
      </c>
      <c r="H6313" s="19"/>
    </row>
    <row r="6314">
      <c r="A6314" s="9"/>
      <c r="B6314" s="15"/>
      <c r="C6314" s="9">
        <f>IFERROR(__xludf.DUMMYFUNCTION("""COMPUTED_VALUE"""),45078.4343463078)</f>
        <v>45078.43435</v>
      </c>
      <c r="D6314" s="15">
        <f>IFERROR(__xludf.DUMMYFUNCTION("""COMPUTED_VALUE"""),1.009)</f>
        <v>1.009</v>
      </c>
      <c r="E6314" s="16">
        <f>IFERROR(__xludf.DUMMYFUNCTION("""COMPUTED_VALUE"""),66.0)</f>
        <v>66</v>
      </c>
      <c r="F6314" s="19" t="str">
        <f>IFERROR(__xludf.DUMMYFUNCTION("""COMPUTED_VALUE"""),"BLACK")</f>
        <v>BLACK</v>
      </c>
      <c r="G6314" s="20" t="str">
        <f>IFERROR(__xludf.DUMMYFUNCTION("""COMPUTED_VALUE"""),"Uncle Sams Cider (04/04/2023)")</f>
        <v>Uncle Sams Cider (04/04/2023)</v>
      </c>
      <c r="H6314" s="19"/>
    </row>
    <row r="6315">
      <c r="A6315" s="9"/>
      <c r="B6315" s="15"/>
      <c r="C6315" s="9">
        <f>IFERROR(__xludf.DUMMYFUNCTION("""COMPUTED_VALUE"""),45078.4239031481)</f>
        <v>45078.4239</v>
      </c>
      <c r="D6315" s="15">
        <f>IFERROR(__xludf.DUMMYFUNCTION("""COMPUTED_VALUE"""),1.009)</f>
        <v>1.009</v>
      </c>
      <c r="E6315" s="16">
        <f>IFERROR(__xludf.DUMMYFUNCTION("""COMPUTED_VALUE"""),66.0)</f>
        <v>66</v>
      </c>
      <c r="F6315" s="19" t="str">
        <f>IFERROR(__xludf.DUMMYFUNCTION("""COMPUTED_VALUE"""),"BLACK")</f>
        <v>BLACK</v>
      </c>
      <c r="G6315" s="20" t="str">
        <f>IFERROR(__xludf.DUMMYFUNCTION("""COMPUTED_VALUE"""),"Uncle Sams Cider (04/04/2023)")</f>
        <v>Uncle Sams Cider (04/04/2023)</v>
      </c>
      <c r="H6315" s="19"/>
    </row>
    <row r="6316">
      <c r="A6316" s="9"/>
      <c r="B6316" s="15"/>
      <c r="C6316" s="9">
        <f>IFERROR(__xludf.DUMMYFUNCTION("""COMPUTED_VALUE"""),45078.4134839351)</f>
        <v>45078.41348</v>
      </c>
      <c r="D6316" s="15">
        <f>IFERROR(__xludf.DUMMYFUNCTION("""COMPUTED_VALUE"""),1.009)</f>
        <v>1.009</v>
      </c>
      <c r="E6316" s="16">
        <f>IFERROR(__xludf.DUMMYFUNCTION("""COMPUTED_VALUE"""),66.0)</f>
        <v>66</v>
      </c>
      <c r="F6316" s="19" t="str">
        <f>IFERROR(__xludf.DUMMYFUNCTION("""COMPUTED_VALUE"""),"BLACK")</f>
        <v>BLACK</v>
      </c>
      <c r="G6316" s="20" t="str">
        <f>IFERROR(__xludf.DUMMYFUNCTION("""COMPUTED_VALUE"""),"Uncle Sams Cider (04/04/2023)")</f>
        <v>Uncle Sams Cider (04/04/2023)</v>
      </c>
      <c r="H6316" s="19"/>
    </row>
    <row r="6317">
      <c r="A6317" s="9"/>
      <c r="B6317" s="15"/>
      <c r="C6317" s="9">
        <f>IFERROR(__xludf.DUMMYFUNCTION("""COMPUTED_VALUE"""),45078.4030627314)</f>
        <v>45078.40306</v>
      </c>
      <c r="D6317" s="15">
        <f>IFERROR(__xludf.DUMMYFUNCTION("""COMPUTED_VALUE"""),1.009)</f>
        <v>1.009</v>
      </c>
      <c r="E6317" s="16">
        <f>IFERROR(__xludf.DUMMYFUNCTION("""COMPUTED_VALUE"""),66.0)</f>
        <v>66</v>
      </c>
      <c r="F6317" s="19" t="str">
        <f>IFERROR(__xludf.DUMMYFUNCTION("""COMPUTED_VALUE"""),"BLACK")</f>
        <v>BLACK</v>
      </c>
      <c r="G6317" s="20" t="str">
        <f>IFERROR(__xludf.DUMMYFUNCTION("""COMPUTED_VALUE"""),"Uncle Sams Cider (04/04/2023)")</f>
        <v>Uncle Sams Cider (04/04/2023)</v>
      </c>
      <c r="H6317" s="19"/>
    </row>
    <row r="6318">
      <c r="A6318" s="9"/>
      <c r="B6318" s="15"/>
      <c r="C6318" s="9">
        <f>IFERROR(__xludf.DUMMYFUNCTION("""COMPUTED_VALUE"""),45078.3926414583)</f>
        <v>45078.39264</v>
      </c>
      <c r="D6318" s="15">
        <f>IFERROR(__xludf.DUMMYFUNCTION("""COMPUTED_VALUE"""),1.009)</f>
        <v>1.009</v>
      </c>
      <c r="E6318" s="16">
        <f>IFERROR(__xludf.DUMMYFUNCTION("""COMPUTED_VALUE"""),66.0)</f>
        <v>66</v>
      </c>
      <c r="F6318" s="19" t="str">
        <f>IFERROR(__xludf.DUMMYFUNCTION("""COMPUTED_VALUE"""),"BLACK")</f>
        <v>BLACK</v>
      </c>
      <c r="G6318" s="20" t="str">
        <f>IFERROR(__xludf.DUMMYFUNCTION("""COMPUTED_VALUE"""),"Uncle Sams Cider (04/04/2023)")</f>
        <v>Uncle Sams Cider (04/04/2023)</v>
      </c>
      <c r="H6318" s="19"/>
    </row>
    <row r="6319">
      <c r="A6319" s="9"/>
      <c r="B6319" s="15"/>
      <c r="C6319" s="9">
        <f>IFERROR(__xludf.DUMMYFUNCTION("""COMPUTED_VALUE"""),45078.3822105208)</f>
        <v>45078.38221</v>
      </c>
      <c r="D6319" s="15">
        <f>IFERROR(__xludf.DUMMYFUNCTION("""COMPUTED_VALUE"""),1.009)</f>
        <v>1.009</v>
      </c>
      <c r="E6319" s="16">
        <f>IFERROR(__xludf.DUMMYFUNCTION("""COMPUTED_VALUE"""),66.0)</f>
        <v>66</v>
      </c>
      <c r="F6319" s="19" t="str">
        <f>IFERROR(__xludf.DUMMYFUNCTION("""COMPUTED_VALUE"""),"BLACK")</f>
        <v>BLACK</v>
      </c>
      <c r="G6319" s="20" t="str">
        <f>IFERROR(__xludf.DUMMYFUNCTION("""COMPUTED_VALUE"""),"Uncle Sams Cider (04/04/2023)")</f>
        <v>Uncle Sams Cider (04/04/2023)</v>
      </c>
      <c r="H6319" s="19"/>
    </row>
    <row r="6320">
      <c r="A6320" s="9"/>
      <c r="B6320" s="15"/>
      <c r="C6320" s="9">
        <f>IFERROR(__xludf.DUMMYFUNCTION("""COMPUTED_VALUE"""),45078.3717883449)</f>
        <v>45078.37179</v>
      </c>
      <c r="D6320" s="15">
        <f>IFERROR(__xludf.DUMMYFUNCTION("""COMPUTED_VALUE"""),1.009)</f>
        <v>1.009</v>
      </c>
      <c r="E6320" s="16">
        <f>IFERROR(__xludf.DUMMYFUNCTION("""COMPUTED_VALUE"""),66.0)</f>
        <v>66</v>
      </c>
      <c r="F6320" s="19" t="str">
        <f>IFERROR(__xludf.DUMMYFUNCTION("""COMPUTED_VALUE"""),"BLACK")</f>
        <v>BLACK</v>
      </c>
      <c r="G6320" s="20" t="str">
        <f>IFERROR(__xludf.DUMMYFUNCTION("""COMPUTED_VALUE"""),"Uncle Sams Cider (04/04/2023)")</f>
        <v>Uncle Sams Cider (04/04/2023)</v>
      </c>
      <c r="H6320" s="19"/>
    </row>
    <row r="6321">
      <c r="A6321" s="9"/>
      <c r="B6321" s="15"/>
      <c r="C6321" s="9">
        <f>IFERROR(__xludf.DUMMYFUNCTION("""COMPUTED_VALUE"""),45078.3613678703)</f>
        <v>45078.36137</v>
      </c>
      <c r="D6321" s="15">
        <f>IFERROR(__xludf.DUMMYFUNCTION("""COMPUTED_VALUE"""),1.009)</f>
        <v>1.009</v>
      </c>
      <c r="E6321" s="16">
        <f>IFERROR(__xludf.DUMMYFUNCTION("""COMPUTED_VALUE"""),66.0)</f>
        <v>66</v>
      </c>
      <c r="F6321" s="19" t="str">
        <f>IFERROR(__xludf.DUMMYFUNCTION("""COMPUTED_VALUE"""),"BLACK")</f>
        <v>BLACK</v>
      </c>
      <c r="G6321" s="20" t="str">
        <f>IFERROR(__xludf.DUMMYFUNCTION("""COMPUTED_VALUE"""),"Uncle Sams Cider (04/04/2023)")</f>
        <v>Uncle Sams Cider (04/04/2023)</v>
      </c>
      <c r="H6321" s="19"/>
    </row>
    <row r="6322">
      <c r="A6322" s="9"/>
      <c r="B6322" s="15"/>
      <c r="C6322" s="9">
        <f>IFERROR(__xludf.DUMMYFUNCTION("""COMPUTED_VALUE"""),45078.3509475694)</f>
        <v>45078.35095</v>
      </c>
      <c r="D6322" s="15">
        <f>IFERROR(__xludf.DUMMYFUNCTION("""COMPUTED_VALUE"""),1.009)</f>
        <v>1.009</v>
      </c>
      <c r="E6322" s="16">
        <f>IFERROR(__xludf.DUMMYFUNCTION("""COMPUTED_VALUE"""),66.0)</f>
        <v>66</v>
      </c>
      <c r="F6322" s="19" t="str">
        <f>IFERROR(__xludf.DUMMYFUNCTION("""COMPUTED_VALUE"""),"BLACK")</f>
        <v>BLACK</v>
      </c>
      <c r="G6322" s="20" t="str">
        <f>IFERROR(__xludf.DUMMYFUNCTION("""COMPUTED_VALUE"""),"Uncle Sams Cider (04/04/2023)")</f>
        <v>Uncle Sams Cider (04/04/2023)</v>
      </c>
      <c r="H6322" s="19"/>
    </row>
    <row r="6323">
      <c r="A6323" s="9"/>
      <c r="B6323" s="15"/>
      <c r="C6323" s="9">
        <f>IFERROR(__xludf.DUMMYFUNCTION("""COMPUTED_VALUE"""),45078.3405145717)</f>
        <v>45078.34051</v>
      </c>
      <c r="D6323" s="15">
        <f>IFERROR(__xludf.DUMMYFUNCTION("""COMPUTED_VALUE"""),1.009)</f>
        <v>1.009</v>
      </c>
      <c r="E6323" s="16">
        <f>IFERROR(__xludf.DUMMYFUNCTION("""COMPUTED_VALUE"""),66.0)</f>
        <v>66</v>
      </c>
      <c r="F6323" s="19" t="str">
        <f>IFERROR(__xludf.DUMMYFUNCTION("""COMPUTED_VALUE"""),"BLACK")</f>
        <v>BLACK</v>
      </c>
      <c r="G6323" s="20" t="str">
        <f>IFERROR(__xludf.DUMMYFUNCTION("""COMPUTED_VALUE"""),"Uncle Sams Cider (04/04/2023)")</f>
        <v>Uncle Sams Cider (04/04/2023)</v>
      </c>
      <c r="H6323" s="19"/>
    </row>
    <row r="6324">
      <c r="A6324" s="9"/>
      <c r="B6324" s="15"/>
      <c r="C6324" s="9">
        <f>IFERROR(__xludf.DUMMYFUNCTION("""COMPUTED_VALUE"""),45078.3300714236)</f>
        <v>45078.33007</v>
      </c>
      <c r="D6324" s="15">
        <f>IFERROR(__xludf.DUMMYFUNCTION("""COMPUTED_VALUE"""),1.009)</f>
        <v>1.009</v>
      </c>
      <c r="E6324" s="16">
        <f>IFERROR(__xludf.DUMMYFUNCTION("""COMPUTED_VALUE"""),66.0)</f>
        <v>66</v>
      </c>
      <c r="F6324" s="19" t="str">
        <f>IFERROR(__xludf.DUMMYFUNCTION("""COMPUTED_VALUE"""),"BLACK")</f>
        <v>BLACK</v>
      </c>
      <c r="G6324" s="20" t="str">
        <f>IFERROR(__xludf.DUMMYFUNCTION("""COMPUTED_VALUE"""),"Uncle Sams Cider (04/04/2023)")</f>
        <v>Uncle Sams Cider (04/04/2023)</v>
      </c>
      <c r="H6324" s="19"/>
    </row>
    <row r="6325">
      <c r="A6325" s="9"/>
      <c r="B6325" s="15"/>
      <c r="C6325" s="9">
        <f>IFERROR(__xludf.DUMMYFUNCTION("""COMPUTED_VALUE"""),45078.3196482407)</f>
        <v>45078.31965</v>
      </c>
      <c r="D6325" s="15">
        <f>IFERROR(__xludf.DUMMYFUNCTION("""COMPUTED_VALUE"""),1.009)</f>
        <v>1.009</v>
      </c>
      <c r="E6325" s="16">
        <f>IFERROR(__xludf.DUMMYFUNCTION("""COMPUTED_VALUE"""),66.0)</f>
        <v>66</v>
      </c>
      <c r="F6325" s="19" t="str">
        <f>IFERROR(__xludf.DUMMYFUNCTION("""COMPUTED_VALUE"""),"BLACK")</f>
        <v>BLACK</v>
      </c>
      <c r="G6325" s="20" t="str">
        <f>IFERROR(__xludf.DUMMYFUNCTION("""COMPUTED_VALUE"""),"Uncle Sams Cider (04/04/2023)")</f>
        <v>Uncle Sams Cider (04/04/2023)</v>
      </c>
      <c r="H6325" s="19"/>
    </row>
    <row r="6326">
      <c r="A6326" s="9"/>
      <c r="B6326" s="15"/>
      <c r="C6326" s="9">
        <f>IFERROR(__xludf.DUMMYFUNCTION("""COMPUTED_VALUE"""),45078.3092150115)</f>
        <v>45078.30922</v>
      </c>
      <c r="D6326" s="15">
        <f>IFERROR(__xludf.DUMMYFUNCTION("""COMPUTED_VALUE"""),1.009)</f>
        <v>1.009</v>
      </c>
      <c r="E6326" s="16">
        <f>IFERROR(__xludf.DUMMYFUNCTION("""COMPUTED_VALUE"""),66.0)</f>
        <v>66</v>
      </c>
      <c r="F6326" s="19" t="str">
        <f>IFERROR(__xludf.DUMMYFUNCTION("""COMPUTED_VALUE"""),"BLACK")</f>
        <v>BLACK</v>
      </c>
      <c r="G6326" s="20" t="str">
        <f>IFERROR(__xludf.DUMMYFUNCTION("""COMPUTED_VALUE"""),"Uncle Sams Cider (04/04/2023)")</f>
        <v>Uncle Sams Cider (04/04/2023)</v>
      </c>
      <c r="H6326" s="19"/>
    </row>
    <row r="6327">
      <c r="A6327" s="9"/>
      <c r="B6327" s="15"/>
      <c r="C6327" s="9">
        <f>IFERROR(__xludf.DUMMYFUNCTION("""COMPUTED_VALUE"""),45078.2987953703)</f>
        <v>45078.2988</v>
      </c>
      <c r="D6327" s="15">
        <f>IFERROR(__xludf.DUMMYFUNCTION("""COMPUTED_VALUE"""),1.009)</f>
        <v>1.009</v>
      </c>
      <c r="E6327" s="16">
        <f>IFERROR(__xludf.DUMMYFUNCTION("""COMPUTED_VALUE"""),66.0)</f>
        <v>66</v>
      </c>
      <c r="F6327" s="19" t="str">
        <f>IFERROR(__xludf.DUMMYFUNCTION("""COMPUTED_VALUE"""),"BLACK")</f>
        <v>BLACK</v>
      </c>
      <c r="G6327" s="20" t="str">
        <f>IFERROR(__xludf.DUMMYFUNCTION("""COMPUTED_VALUE"""),"Uncle Sams Cider (04/04/2023)")</f>
        <v>Uncle Sams Cider (04/04/2023)</v>
      </c>
      <c r="H6327" s="19"/>
    </row>
    <row r="6328">
      <c r="A6328" s="9"/>
      <c r="B6328" s="15"/>
      <c r="C6328" s="9">
        <f>IFERROR(__xludf.DUMMYFUNCTION("""COMPUTED_VALUE"""),45078.2883622569)</f>
        <v>45078.28836</v>
      </c>
      <c r="D6328" s="15">
        <f>IFERROR(__xludf.DUMMYFUNCTION("""COMPUTED_VALUE"""),1.009)</f>
        <v>1.009</v>
      </c>
      <c r="E6328" s="16">
        <f>IFERROR(__xludf.DUMMYFUNCTION("""COMPUTED_VALUE"""),66.0)</f>
        <v>66</v>
      </c>
      <c r="F6328" s="19" t="str">
        <f>IFERROR(__xludf.DUMMYFUNCTION("""COMPUTED_VALUE"""),"BLACK")</f>
        <v>BLACK</v>
      </c>
      <c r="G6328" s="20" t="str">
        <f>IFERROR(__xludf.DUMMYFUNCTION("""COMPUTED_VALUE"""),"Uncle Sams Cider (04/04/2023)")</f>
        <v>Uncle Sams Cider (04/04/2023)</v>
      </c>
      <c r="H6328" s="19"/>
    </row>
    <row r="6329">
      <c r="A6329" s="9"/>
      <c r="B6329" s="15"/>
      <c r="C6329" s="9">
        <f>IFERROR(__xludf.DUMMYFUNCTION("""COMPUTED_VALUE"""),45078.2779414004)</f>
        <v>45078.27794</v>
      </c>
      <c r="D6329" s="15">
        <f>IFERROR(__xludf.DUMMYFUNCTION("""COMPUTED_VALUE"""),1.009)</f>
        <v>1.009</v>
      </c>
      <c r="E6329" s="16">
        <f>IFERROR(__xludf.DUMMYFUNCTION("""COMPUTED_VALUE"""),66.0)</f>
        <v>66</v>
      </c>
      <c r="F6329" s="19" t="str">
        <f>IFERROR(__xludf.DUMMYFUNCTION("""COMPUTED_VALUE"""),"BLACK")</f>
        <v>BLACK</v>
      </c>
      <c r="G6329" s="20" t="str">
        <f>IFERROR(__xludf.DUMMYFUNCTION("""COMPUTED_VALUE"""),"Uncle Sams Cider (04/04/2023)")</f>
        <v>Uncle Sams Cider (04/04/2023)</v>
      </c>
      <c r="H6329" s="19"/>
    </row>
    <row r="6330">
      <c r="A6330" s="9"/>
      <c r="B6330" s="15"/>
      <c r="C6330" s="9">
        <f>IFERROR(__xludf.DUMMYFUNCTION("""COMPUTED_VALUE"""),45078.2675217014)</f>
        <v>45078.26752</v>
      </c>
      <c r="D6330" s="15">
        <f>IFERROR(__xludf.DUMMYFUNCTION("""COMPUTED_VALUE"""),1.009)</f>
        <v>1.009</v>
      </c>
      <c r="E6330" s="16">
        <f>IFERROR(__xludf.DUMMYFUNCTION("""COMPUTED_VALUE"""),66.0)</f>
        <v>66</v>
      </c>
      <c r="F6330" s="19" t="str">
        <f>IFERROR(__xludf.DUMMYFUNCTION("""COMPUTED_VALUE"""),"BLACK")</f>
        <v>BLACK</v>
      </c>
      <c r="G6330" s="20" t="str">
        <f>IFERROR(__xludf.DUMMYFUNCTION("""COMPUTED_VALUE"""),"Uncle Sams Cider (04/04/2023)")</f>
        <v>Uncle Sams Cider (04/04/2023)</v>
      </c>
      <c r="H6330" s="19"/>
    </row>
    <row r="6331">
      <c r="A6331" s="9"/>
      <c r="B6331" s="15"/>
      <c r="C6331" s="9">
        <f>IFERROR(__xludf.DUMMYFUNCTION("""COMPUTED_VALUE"""),45078.2570998611)</f>
        <v>45078.2571</v>
      </c>
      <c r="D6331" s="15">
        <f>IFERROR(__xludf.DUMMYFUNCTION("""COMPUTED_VALUE"""),1.01)</f>
        <v>1.01</v>
      </c>
      <c r="E6331" s="16">
        <f>IFERROR(__xludf.DUMMYFUNCTION("""COMPUTED_VALUE"""),66.0)</f>
        <v>66</v>
      </c>
      <c r="F6331" s="19" t="str">
        <f>IFERROR(__xludf.DUMMYFUNCTION("""COMPUTED_VALUE"""),"BLACK")</f>
        <v>BLACK</v>
      </c>
      <c r="G6331" s="20" t="str">
        <f>IFERROR(__xludf.DUMMYFUNCTION("""COMPUTED_VALUE"""),"Uncle Sams Cider (04/04/2023)")</f>
        <v>Uncle Sams Cider (04/04/2023)</v>
      </c>
      <c r="H6331" s="19"/>
    </row>
    <row r="6332">
      <c r="A6332" s="9"/>
      <c r="B6332" s="15"/>
      <c r="C6332" s="9">
        <f>IFERROR(__xludf.DUMMYFUNCTION("""COMPUTED_VALUE"""),45078.2466785185)</f>
        <v>45078.24668</v>
      </c>
      <c r="D6332" s="15">
        <f>IFERROR(__xludf.DUMMYFUNCTION("""COMPUTED_VALUE"""),1.009)</f>
        <v>1.009</v>
      </c>
      <c r="E6332" s="16">
        <f>IFERROR(__xludf.DUMMYFUNCTION("""COMPUTED_VALUE"""),66.0)</f>
        <v>66</v>
      </c>
      <c r="F6332" s="19" t="str">
        <f>IFERROR(__xludf.DUMMYFUNCTION("""COMPUTED_VALUE"""),"BLACK")</f>
        <v>BLACK</v>
      </c>
      <c r="G6332" s="20" t="str">
        <f>IFERROR(__xludf.DUMMYFUNCTION("""COMPUTED_VALUE"""),"Uncle Sams Cider (04/04/2023)")</f>
        <v>Uncle Sams Cider (04/04/2023)</v>
      </c>
      <c r="H6332" s="19"/>
    </row>
    <row r="6333">
      <c r="A6333" s="9"/>
      <c r="B6333" s="15"/>
      <c r="C6333" s="9">
        <f>IFERROR(__xludf.DUMMYFUNCTION("""COMPUTED_VALUE"""),45078.2362575231)</f>
        <v>45078.23626</v>
      </c>
      <c r="D6333" s="15">
        <f>IFERROR(__xludf.DUMMYFUNCTION("""COMPUTED_VALUE"""),1.009)</f>
        <v>1.009</v>
      </c>
      <c r="E6333" s="16">
        <f>IFERROR(__xludf.DUMMYFUNCTION("""COMPUTED_VALUE"""),66.0)</f>
        <v>66</v>
      </c>
      <c r="F6333" s="19" t="str">
        <f>IFERROR(__xludf.DUMMYFUNCTION("""COMPUTED_VALUE"""),"BLACK")</f>
        <v>BLACK</v>
      </c>
      <c r="G6333" s="20" t="str">
        <f>IFERROR(__xludf.DUMMYFUNCTION("""COMPUTED_VALUE"""),"Uncle Sams Cider (04/04/2023)")</f>
        <v>Uncle Sams Cider (04/04/2023)</v>
      </c>
      <c r="H6333" s="19"/>
    </row>
    <row r="6334">
      <c r="A6334" s="9"/>
      <c r="B6334" s="15"/>
      <c r="C6334" s="9">
        <f>IFERROR(__xludf.DUMMYFUNCTION("""COMPUTED_VALUE"""),45078.2258357523)</f>
        <v>45078.22584</v>
      </c>
      <c r="D6334" s="15">
        <f>IFERROR(__xludf.DUMMYFUNCTION("""COMPUTED_VALUE"""),1.01)</f>
        <v>1.01</v>
      </c>
      <c r="E6334" s="16">
        <f>IFERROR(__xludf.DUMMYFUNCTION("""COMPUTED_VALUE"""),66.0)</f>
        <v>66</v>
      </c>
      <c r="F6334" s="19" t="str">
        <f>IFERROR(__xludf.DUMMYFUNCTION("""COMPUTED_VALUE"""),"BLACK")</f>
        <v>BLACK</v>
      </c>
      <c r="G6334" s="20" t="str">
        <f>IFERROR(__xludf.DUMMYFUNCTION("""COMPUTED_VALUE"""),"Uncle Sams Cider (04/04/2023)")</f>
        <v>Uncle Sams Cider (04/04/2023)</v>
      </c>
      <c r="H6334" s="19"/>
    </row>
    <row r="6335">
      <c r="A6335" s="9"/>
      <c r="B6335" s="15"/>
      <c r="C6335" s="9">
        <f>IFERROR(__xludf.DUMMYFUNCTION("""COMPUTED_VALUE"""),45078.2154150578)</f>
        <v>45078.21542</v>
      </c>
      <c r="D6335" s="15">
        <f>IFERROR(__xludf.DUMMYFUNCTION("""COMPUTED_VALUE"""),1.009)</f>
        <v>1.009</v>
      </c>
      <c r="E6335" s="16">
        <f>IFERROR(__xludf.DUMMYFUNCTION("""COMPUTED_VALUE"""),66.0)</f>
        <v>66</v>
      </c>
      <c r="F6335" s="19" t="str">
        <f>IFERROR(__xludf.DUMMYFUNCTION("""COMPUTED_VALUE"""),"BLACK")</f>
        <v>BLACK</v>
      </c>
      <c r="G6335" s="20" t="str">
        <f>IFERROR(__xludf.DUMMYFUNCTION("""COMPUTED_VALUE"""),"Uncle Sams Cider (04/04/2023)")</f>
        <v>Uncle Sams Cider (04/04/2023)</v>
      </c>
      <c r="H6335" s="19"/>
    </row>
    <row r="6336">
      <c r="A6336" s="9"/>
      <c r="B6336" s="15"/>
      <c r="C6336" s="9">
        <f>IFERROR(__xludf.DUMMYFUNCTION("""COMPUTED_VALUE"""),45078.2049936574)</f>
        <v>45078.20499</v>
      </c>
      <c r="D6336" s="15">
        <f>IFERROR(__xludf.DUMMYFUNCTION("""COMPUTED_VALUE"""),1.009)</f>
        <v>1.009</v>
      </c>
      <c r="E6336" s="16">
        <f>IFERROR(__xludf.DUMMYFUNCTION("""COMPUTED_VALUE"""),66.0)</f>
        <v>66</v>
      </c>
      <c r="F6336" s="19" t="str">
        <f>IFERROR(__xludf.DUMMYFUNCTION("""COMPUTED_VALUE"""),"BLACK")</f>
        <v>BLACK</v>
      </c>
      <c r="G6336" s="20" t="str">
        <f>IFERROR(__xludf.DUMMYFUNCTION("""COMPUTED_VALUE"""),"Uncle Sams Cider (04/04/2023)")</f>
        <v>Uncle Sams Cider (04/04/2023)</v>
      </c>
      <c r="H6336" s="19"/>
    </row>
    <row r="6337">
      <c r="A6337" s="9"/>
      <c r="B6337" s="15"/>
      <c r="C6337" s="9">
        <f>IFERROR(__xludf.DUMMYFUNCTION("""COMPUTED_VALUE"""),45078.1945727083)</f>
        <v>45078.19457</v>
      </c>
      <c r="D6337" s="15">
        <f>IFERROR(__xludf.DUMMYFUNCTION("""COMPUTED_VALUE"""),1.009)</f>
        <v>1.009</v>
      </c>
      <c r="E6337" s="16">
        <f>IFERROR(__xludf.DUMMYFUNCTION("""COMPUTED_VALUE"""),66.0)</f>
        <v>66</v>
      </c>
      <c r="F6337" s="19" t="str">
        <f>IFERROR(__xludf.DUMMYFUNCTION("""COMPUTED_VALUE"""),"BLACK")</f>
        <v>BLACK</v>
      </c>
      <c r="G6337" s="20" t="str">
        <f>IFERROR(__xludf.DUMMYFUNCTION("""COMPUTED_VALUE"""),"Uncle Sams Cider (04/04/2023)")</f>
        <v>Uncle Sams Cider (04/04/2023)</v>
      </c>
      <c r="H6337" s="19"/>
    </row>
    <row r="6338">
      <c r="A6338" s="9"/>
      <c r="B6338" s="15"/>
      <c r="C6338" s="9">
        <f>IFERROR(__xludf.DUMMYFUNCTION("""COMPUTED_VALUE"""),45078.1841510069)</f>
        <v>45078.18415</v>
      </c>
      <c r="D6338" s="15">
        <f>IFERROR(__xludf.DUMMYFUNCTION("""COMPUTED_VALUE"""),1.009)</f>
        <v>1.009</v>
      </c>
      <c r="E6338" s="16">
        <f>IFERROR(__xludf.DUMMYFUNCTION("""COMPUTED_VALUE"""),66.0)</f>
        <v>66</v>
      </c>
      <c r="F6338" s="19" t="str">
        <f>IFERROR(__xludf.DUMMYFUNCTION("""COMPUTED_VALUE"""),"BLACK")</f>
        <v>BLACK</v>
      </c>
      <c r="G6338" s="20" t="str">
        <f>IFERROR(__xludf.DUMMYFUNCTION("""COMPUTED_VALUE"""),"Uncle Sams Cider (04/04/2023)")</f>
        <v>Uncle Sams Cider (04/04/2023)</v>
      </c>
      <c r="H6338" s="19"/>
    </row>
    <row r="6339">
      <c r="A6339" s="9"/>
      <c r="B6339" s="15"/>
      <c r="C6339" s="9">
        <f>IFERROR(__xludf.DUMMYFUNCTION("""COMPUTED_VALUE"""),45078.1737293981)</f>
        <v>45078.17373</v>
      </c>
      <c r="D6339" s="15">
        <f>IFERROR(__xludf.DUMMYFUNCTION("""COMPUTED_VALUE"""),1.009)</f>
        <v>1.009</v>
      </c>
      <c r="E6339" s="16">
        <f>IFERROR(__xludf.DUMMYFUNCTION("""COMPUTED_VALUE"""),66.0)</f>
        <v>66</v>
      </c>
      <c r="F6339" s="19" t="str">
        <f>IFERROR(__xludf.DUMMYFUNCTION("""COMPUTED_VALUE"""),"BLACK")</f>
        <v>BLACK</v>
      </c>
      <c r="G6339" s="20" t="str">
        <f>IFERROR(__xludf.DUMMYFUNCTION("""COMPUTED_VALUE"""),"Uncle Sams Cider (04/04/2023)")</f>
        <v>Uncle Sams Cider (04/04/2023)</v>
      </c>
      <c r="H6339" s="19"/>
    </row>
    <row r="6340">
      <c r="A6340" s="9"/>
      <c r="B6340" s="15"/>
      <c r="C6340" s="9">
        <f>IFERROR(__xludf.DUMMYFUNCTION("""COMPUTED_VALUE"""),45078.1632956365)</f>
        <v>45078.1633</v>
      </c>
      <c r="D6340" s="15">
        <f>IFERROR(__xludf.DUMMYFUNCTION("""COMPUTED_VALUE"""),1.009)</f>
        <v>1.009</v>
      </c>
      <c r="E6340" s="16">
        <f>IFERROR(__xludf.DUMMYFUNCTION("""COMPUTED_VALUE"""),66.0)</f>
        <v>66</v>
      </c>
      <c r="F6340" s="19" t="str">
        <f>IFERROR(__xludf.DUMMYFUNCTION("""COMPUTED_VALUE"""),"BLACK")</f>
        <v>BLACK</v>
      </c>
      <c r="G6340" s="20" t="str">
        <f>IFERROR(__xludf.DUMMYFUNCTION("""COMPUTED_VALUE"""),"Uncle Sams Cider (04/04/2023)")</f>
        <v>Uncle Sams Cider (04/04/2023)</v>
      </c>
      <c r="H6340" s="19"/>
    </row>
    <row r="6341">
      <c r="A6341" s="9"/>
      <c r="B6341" s="15"/>
      <c r="C6341" s="9">
        <f>IFERROR(__xludf.DUMMYFUNCTION("""COMPUTED_VALUE"""),45078.1528745023)</f>
        <v>45078.15287</v>
      </c>
      <c r="D6341" s="15">
        <f>IFERROR(__xludf.DUMMYFUNCTION("""COMPUTED_VALUE"""),1.009)</f>
        <v>1.009</v>
      </c>
      <c r="E6341" s="16">
        <f>IFERROR(__xludf.DUMMYFUNCTION("""COMPUTED_VALUE"""),66.0)</f>
        <v>66</v>
      </c>
      <c r="F6341" s="19" t="str">
        <f>IFERROR(__xludf.DUMMYFUNCTION("""COMPUTED_VALUE"""),"BLACK")</f>
        <v>BLACK</v>
      </c>
      <c r="G6341" s="20" t="str">
        <f>IFERROR(__xludf.DUMMYFUNCTION("""COMPUTED_VALUE"""),"Uncle Sams Cider (04/04/2023)")</f>
        <v>Uncle Sams Cider (04/04/2023)</v>
      </c>
      <c r="H6341" s="19"/>
    </row>
    <row r="6342">
      <c r="A6342" s="9"/>
      <c r="B6342" s="15"/>
      <c r="C6342" s="9">
        <f>IFERROR(__xludf.DUMMYFUNCTION("""COMPUTED_VALUE"""),45078.14244103)</f>
        <v>45078.14244</v>
      </c>
      <c r="D6342" s="15">
        <f>IFERROR(__xludf.DUMMYFUNCTION("""COMPUTED_VALUE"""),1.009)</f>
        <v>1.009</v>
      </c>
      <c r="E6342" s="16">
        <f>IFERROR(__xludf.DUMMYFUNCTION("""COMPUTED_VALUE"""),66.0)</f>
        <v>66</v>
      </c>
      <c r="F6342" s="19" t="str">
        <f>IFERROR(__xludf.DUMMYFUNCTION("""COMPUTED_VALUE"""),"BLACK")</f>
        <v>BLACK</v>
      </c>
      <c r="G6342" s="20" t="str">
        <f>IFERROR(__xludf.DUMMYFUNCTION("""COMPUTED_VALUE"""),"Uncle Sams Cider (04/04/2023)")</f>
        <v>Uncle Sams Cider (04/04/2023)</v>
      </c>
      <c r="H6342" s="19"/>
    </row>
    <row r="6343">
      <c r="A6343" s="9"/>
      <c r="B6343" s="15"/>
      <c r="C6343" s="9">
        <f>IFERROR(__xludf.DUMMYFUNCTION("""COMPUTED_VALUE"""),45078.1320201388)</f>
        <v>45078.13202</v>
      </c>
      <c r="D6343" s="15">
        <f>IFERROR(__xludf.DUMMYFUNCTION("""COMPUTED_VALUE"""),1.009)</f>
        <v>1.009</v>
      </c>
      <c r="E6343" s="16">
        <f>IFERROR(__xludf.DUMMYFUNCTION("""COMPUTED_VALUE"""),66.0)</f>
        <v>66</v>
      </c>
      <c r="F6343" s="19" t="str">
        <f>IFERROR(__xludf.DUMMYFUNCTION("""COMPUTED_VALUE"""),"BLACK")</f>
        <v>BLACK</v>
      </c>
      <c r="G6343" s="20" t="str">
        <f>IFERROR(__xludf.DUMMYFUNCTION("""COMPUTED_VALUE"""),"Uncle Sams Cider (04/04/2023)")</f>
        <v>Uncle Sams Cider (04/04/2023)</v>
      </c>
      <c r="H6343" s="19"/>
    </row>
    <row r="6344">
      <c r="A6344" s="9"/>
      <c r="B6344" s="15"/>
      <c r="C6344" s="9">
        <f>IFERROR(__xludf.DUMMYFUNCTION("""COMPUTED_VALUE"""),45078.1215647916)</f>
        <v>45078.12156</v>
      </c>
      <c r="D6344" s="15">
        <f>IFERROR(__xludf.DUMMYFUNCTION("""COMPUTED_VALUE"""),1.009)</f>
        <v>1.009</v>
      </c>
      <c r="E6344" s="16">
        <f>IFERROR(__xludf.DUMMYFUNCTION("""COMPUTED_VALUE"""),66.0)</f>
        <v>66</v>
      </c>
      <c r="F6344" s="19" t="str">
        <f>IFERROR(__xludf.DUMMYFUNCTION("""COMPUTED_VALUE"""),"BLACK")</f>
        <v>BLACK</v>
      </c>
      <c r="G6344" s="20" t="str">
        <f>IFERROR(__xludf.DUMMYFUNCTION("""COMPUTED_VALUE"""),"Uncle Sams Cider (04/04/2023)")</f>
        <v>Uncle Sams Cider (04/04/2023)</v>
      </c>
      <c r="H6344" s="19"/>
    </row>
    <row r="6345">
      <c r="A6345" s="9"/>
      <c r="B6345" s="15"/>
      <c r="C6345" s="9">
        <f>IFERROR(__xludf.DUMMYFUNCTION("""COMPUTED_VALUE"""),45078.1111442129)</f>
        <v>45078.11114</v>
      </c>
      <c r="D6345" s="15">
        <f>IFERROR(__xludf.DUMMYFUNCTION("""COMPUTED_VALUE"""),1.009)</f>
        <v>1.009</v>
      </c>
      <c r="E6345" s="16">
        <f>IFERROR(__xludf.DUMMYFUNCTION("""COMPUTED_VALUE"""),66.0)</f>
        <v>66</v>
      </c>
      <c r="F6345" s="19" t="str">
        <f>IFERROR(__xludf.DUMMYFUNCTION("""COMPUTED_VALUE"""),"BLACK")</f>
        <v>BLACK</v>
      </c>
      <c r="G6345" s="20" t="str">
        <f>IFERROR(__xludf.DUMMYFUNCTION("""COMPUTED_VALUE"""),"Uncle Sams Cider (04/04/2023)")</f>
        <v>Uncle Sams Cider (04/04/2023)</v>
      </c>
      <c r="H6345" s="19"/>
    </row>
    <row r="6346">
      <c r="A6346" s="9"/>
      <c r="B6346" s="15"/>
      <c r="C6346" s="9">
        <f>IFERROR(__xludf.DUMMYFUNCTION("""COMPUTED_VALUE"""),45078.1007231597)</f>
        <v>45078.10072</v>
      </c>
      <c r="D6346" s="15">
        <f>IFERROR(__xludf.DUMMYFUNCTION("""COMPUTED_VALUE"""),1.01)</f>
        <v>1.01</v>
      </c>
      <c r="E6346" s="16">
        <f>IFERROR(__xludf.DUMMYFUNCTION("""COMPUTED_VALUE"""),66.0)</f>
        <v>66</v>
      </c>
      <c r="F6346" s="19" t="str">
        <f>IFERROR(__xludf.DUMMYFUNCTION("""COMPUTED_VALUE"""),"BLACK")</f>
        <v>BLACK</v>
      </c>
      <c r="G6346" s="20" t="str">
        <f>IFERROR(__xludf.DUMMYFUNCTION("""COMPUTED_VALUE"""),"Uncle Sams Cider (04/04/2023)")</f>
        <v>Uncle Sams Cider (04/04/2023)</v>
      </c>
      <c r="H6346" s="19"/>
    </row>
    <row r="6347">
      <c r="A6347" s="9"/>
      <c r="B6347" s="15"/>
      <c r="C6347" s="9">
        <f>IFERROR(__xludf.DUMMYFUNCTION("""COMPUTED_VALUE"""),45078.0903011805)</f>
        <v>45078.0903</v>
      </c>
      <c r="D6347" s="15">
        <f>IFERROR(__xludf.DUMMYFUNCTION("""COMPUTED_VALUE"""),1.009)</f>
        <v>1.009</v>
      </c>
      <c r="E6347" s="16">
        <f>IFERROR(__xludf.DUMMYFUNCTION("""COMPUTED_VALUE"""),66.0)</f>
        <v>66</v>
      </c>
      <c r="F6347" s="19" t="str">
        <f>IFERROR(__xludf.DUMMYFUNCTION("""COMPUTED_VALUE"""),"BLACK")</f>
        <v>BLACK</v>
      </c>
      <c r="G6347" s="20" t="str">
        <f>IFERROR(__xludf.DUMMYFUNCTION("""COMPUTED_VALUE"""),"Uncle Sams Cider (04/04/2023)")</f>
        <v>Uncle Sams Cider (04/04/2023)</v>
      </c>
      <c r="H6347" s="19"/>
    </row>
    <row r="6348">
      <c r="A6348" s="9"/>
      <c r="B6348" s="15"/>
      <c r="C6348" s="9">
        <f>IFERROR(__xludf.DUMMYFUNCTION("""COMPUTED_VALUE"""),45078.0798694212)</f>
        <v>45078.07987</v>
      </c>
      <c r="D6348" s="15">
        <f>IFERROR(__xludf.DUMMYFUNCTION("""COMPUTED_VALUE"""),1.009)</f>
        <v>1.009</v>
      </c>
      <c r="E6348" s="16">
        <f>IFERROR(__xludf.DUMMYFUNCTION("""COMPUTED_VALUE"""),66.0)</f>
        <v>66</v>
      </c>
      <c r="F6348" s="19" t="str">
        <f>IFERROR(__xludf.DUMMYFUNCTION("""COMPUTED_VALUE"""),"BLACK")</f>
        <v>BLACK</v>
      </c>
      <c r="G6348" s="20" t="str">
        <f>IFERROR(__xludf.DUMMYFUNCTION("""COMPUTED_VALUE"""),"Uncle Sams Cider (04/04/2023)")</f>
        <v>Uncle Sams Cider (04/04/2023)</v>
      </c>
      <c r="H6348" s="19"/>
    </row>
    <row r="6349">
      <c r="A6349" s="9"/>
      <c r="B6349" s="15"/>
      <c r="C6349" s="9">
        <f>IFERROR(__xludf.DUMMYFUNCTION("""COMPUTED_VALUE"""),45078.0694478472)</f>
        <v>45078.06945</v>
      </c>
      <c r="D6349" s="15">
        <f>IFERROR(__xludf.DUMMYFUNCTION("""COMPUTED_VALUE"""),1.009)</f>
        <v>1.009</v>
      </c>
      <c r="E6349" s="16">
        <f>IFERROR(__xludf.DUMMYFUNCTION("""COMPUTED_VALUE"""),66.0)</f>
        <v>66</v>
      </c>
      <c r="F6349" s="19" t="str">
        <f>IFERROR(__xludf.DUMMYFUNCTION("""COMPUTED_VALUE"""),"BLACK")</f>
        <v>BLACK</v>
      </c>
      <c r="G6349" s="20" t="str">
        <f>IFERROR(__xludf.DUMMYFUNCTION("""COMPUTED_VALUE"""),"Uncle Sams Cider (04/04/2023)")</f>
        <v>Uncle Sams Cider (04/04/2023)</v>
      </c>
      <c r="H6349" s="19"/>
    </row>
    <row r="6350">
      <c r="A6350" s="9"/>
      <c r="B6350" s="15"/>
      <c r="C6350" s="9">
        <f>IFERROR(__xludf.DUMMYFUNCTION("""COMPUTED_VALUE"""),45078.0590146759)</f>
        <v>45078.05901</v>
      </c>
      <c r="D6350" s="15">
        <f>IFERROR(__xludf.DUMMYFUNCTION("""COMPUTED_VALUE"""),1.009)</f>
        <v>1.009</v>
      </c>
      <c r="E6350" s="16">
        <f>IFERROR(__xludf.DUMMYFUNCTION("""COMPUTED_VALUE"""),66.0)</f>
        <v>66</v>
      </c>
      <c r="F6350" s="19" t="str">
        <f>IFERROR(__xludf.DUMMYFUNCTION("""COMPUTED_VALUE"""),"BLACK")</f>
        <v>BLACK</v>
      </c>
      <c r="G6350" s="20" t="str">
        <f>IFERROR(__xludf.DUMMYFUNCTION("""COMPUTED_VALUE"""),"Uncle Sams Cider (04/04/2023)")</f>
        <v>Uncle Sams Cider (04/04/2023)</v>
      </c>
      <c r="H6350" s="19"/>
    </row>
    <row r="6351">
      <c r="A6351" s="9"/>
      <c r="B6351" s="15"/>
      <c r="C6351" s="9">
        <f>IFERROR(__xludf.DUMMYFUNCTION("""COMPUTED_VALUE"""),45078.0485829513)</f>
        <v>45078.04858</v>
      </c>
      <c r="D6351" s="15">
        <f>IFERROR(__xludf.DUMMYFUNCTION("""COMPUTED_VALUE"""),1.009)</f>
        <v>1.009</v>
      </c>
      <c r="E6351" s="16">
        <f>IFERROR(__xludf.DUMMYFUNCTION("""COMPUTED_VALUE"""),66.0)</f>
        <v>66</v>
      </c>
      <c r="F6351" s="19" t="str">
        <f>IFERROR(__xludf.DUMMYFUNCTION("""COMPUTED_VALUE"""),"BLACK")</f>
        <v>BLACK</v>
      </c>
      <c r="G6351" s="20" t="str">
        <f>IFERROR(__xludf.DUMMYFUNCTION("""COMPUTED_VALUE"""),"Uncle Sams Cider (04/04/2023)")</f>
        <v>Uncle Sams Cider (04/04/2023)</v>
      </c>
      <c r="H6351" s="19"/>
    </row>
    <row r="6352">
      <c r="A6352" s="9"/>
      <c r="B6352" s="15"/>
      <c r="C6352" s="9">
        <f>IFERROR(__xludf.DUMMYFUNCTION("""COMPUTED_VALUE"""),45078.0381623032)</f>
        <v>45078.03816</v>
      </c>
      <c r="D6352" s="15">
        <f>IFERROR(__xludf.DUMMYFUNCTION("""COMPUTED_VALUE"""),1.009)</f>
        <v>1.009</v>
      </c>
      <c r="E6352" s="16">
        <f>IFERROR(__xludf.DUMMYFUNCTION("""COMPUTED_VALUE"""),66.0)</f>
        <v>66</v>
      </c>
      <c r="F6352" s="19" t="str">
        <f>IFERROR(__xludf.DUMMYFUNCTION("""COMPUTED_VALUE"""),"BLACK")</f>
        <v>BLACK</v>
      </c>
      <c r="G6352" s="20" t="str">
        <f>IFERROR(__xludf.DUMMYFUNCTION("""COMPUTED_VALUE"""),"Uncle Sams Cider (04/04/2023)")</f>
        <v>Uncle Sams Cider (04/04/2023)</v>
      </c>
      <c r="H6352" s="19"/>
    </row>
    <row r="6353">
      <c r="A6353" s="9"/>
      <c r="B6353" s="15"/>
      <c r="C6353" s="9">
        <f>IFERROR(__xludf.DUMMYFUNCTION("""COMPUTED_VALUE"""),45078.0277412037)</f>
        <v>45078.02774</v>
      </c>
      <c r="D6353" s="15">
        <f>IFERROR(__xludf.DUMMYFUNCTION("""COMPUTED_VALUE"""),1.01)</f>
        <v>1.01</v>
      </c>
      <c r="E6353" s="16">
        <f>IFERROR(__xludf.DUMMYFUNCTION("""COMPUTED_VALUE"""),66.0)</f>
        <v>66</v>
      </c>
      <c r="F6353" s="19" t="str">
        <f>IFERROR(__xludf.DUMMYFUNCTION("""COMPUTED_VALUE"""),"BLACK")</f>
        <v>BLACK</v>
      </c>
      <c r="G6353" s="20" t="str">
        <f>IFERROR(__xludf.DUMMYFUNCTION("""COMPUTED_VALUE"""),"Uncle Sams Cider (04/04/2023)")</f>
        <v>Uncle Sams Cider (04/04/2023)</v>
      </c>
      <c r="H6353" s="19"/>
    </row>
    <row r="6354">
      <c r="A6354" s="9"/>
      <c r="B6354" s="15"/>
      <c r="C6354" s="9">
        <f>IFERROR(__xludf.DUMMYFUNCTION("""COMPUTED_VALUE"""),45078.0173189351)</f>
        <v>45078.01732</v>
      </c>
      <c r="D6354" s="15">
        <f>IFERROR(__xludf.DUMMYFUNCTION("""COMPUTED_VALUE"""),1.009)</f>
        <v>1.009</v>
      </c>
      <c r="E6354" s="16">
        <f>IFERROR(__xludf.DUMMYFUNCTION("""COMPUTED_VALUE"""),66.0)</f>
        <v>66</v>
      </c>
      <c r="F6354" s="19" t="str">
        <f>IFERROR(__xludf.DUMMYFUNCTION("""COMPUTED_VALUE"""),"BLACK")</f>
        <v>BLACK</v>
      </c>
      <c r="G6354" s="20" t="str">
        <f>IFERROR(__xludf.DUMMYFUNCTION("""COMPUTED_VALUE"""),"Uncle Sams Cider (04/04/2023)")</f>
        <v>Uncle Sams Cider (04/04/2023)</v>
      </c>
      <c r="H6354" s="19"/>
    </row>
    <row r="6355">
      <c r="A6355" s="9"/>
      <c r="B6355" s="15"/>
      <c r="C6355" s="9">
        <f>IFERROR(__xludf.DUMMYFUNCTION("""COMPUTED_VALUE"""),45078.0068966551)</f>
        <v>45078.0069</v>
      </c>
      <c r="D6355" s="15">
        <f>IFERROR(__xludf.DUMMYFUNCTION("""COMPUTED_VALUE"""),1.009)</f>
        <v>1.009</v>
      </c>
      <c r="E6355" s="16">
        <f>IFERROR(__xludf.DUMMYFUNCTION("""COMPUTED_VALUE"""),66.0)</f>
        <v>66</v>
      </c>
      <c r="F6355" s="19" t="str">
        <f>IFERROR(__xludf.DUMMYFUNCTION("""COMPUTED_VALUE"""),"BLACK")</f>
        <v>BLACK</v>
      </c>
      <c r="G6355" s="20" t="str">
        <f>IFERROR(__xludf.DUMMYFUNCTION("""COMPUTED_VALUE"""),"Uncle Sams Cider (04/04/2023)")</f>
        <v>Uncle Sams Cider (04/04/2023)</v>
      </c>
      <c r="H6355" s="19"/>
    </row>
    <row r="6356">
      <c r="A6356" s="9"/>
      <c r="B6356" s="15"/>
      <c r="C6356" s="9">
        <f>IFERROR(__xludf.DUMMYFUNCTION("""COMPUTED_VALUE"""),45077.996473993)</f>
        <v>45077.99647</v>
      </c>
      <c r="D6356" s="15">
        <f>IFERROR(__xludf.DUMMYFUNCTION("""COMPUTED_VALUE"""),1.009)</f>
        <v>1.009</v>
      </c>
      <c r="E6356" s="16">
        <f>IFERROR(__xludf.DUMMYFUNCTION("""COMPUTED_VALUE"""),66.0)</f>
        <v>66</v>
      </c>
      <c r="F6356" s="19" t="str">
        <f>IFERROR(__xludf.DUMMYFUNCTION("""COMPUTED_VALUE"""),"BLACK")</f>
        <v>BLACK</v>
      </c>
      <c r="G6356" s="20" t="str">
        <f>IFERROR(__xludf.DUMMYFUNCTION("""COMPUTED_VALUE"""),"Uncle Sams Cider (04/04/2023)")</f>
        <v>Uncle Sams Cider (04/04/2023)</v>
      </c>
      <c r="H6356" s="19"/>
    </row>
    <row r="6357">
      <c r="A6357" s="9"/>
      <c r="B6357" s="15"/>
      <c r="C6357" s="9">
        <f>IFERROR(__xludf.DUMMYFUNCTION("""COMPUTED_VALUE"""),45077.9860538425)</f>
        <v>45077.98605</v>
      </c>
      <c r="D6357" s="15">
        <f>IFERROR(__xludf.DUMMYFUNCTION("""COMPUTED_VALUE"""),1.01)</f>
        <v>1.01</v>
      </c>
      <c r="E6357" s="16">
        <f>IFERROR(__xludf.DUMMYFUNCTION("""COMPUTED_VALUE"""),66.0)</f>
        <v>66</v>
      </c>
      <c r="F6357" s="19" t="str">
        <f>IFERROR(__xludf.DUMMYFUNCTION("""COMPUTED_VALUE"""),"BLACK")</f>
        <v>BLACK</v>
      </c>
      <c r="G6357" s="20" t="str">
        <f>IFERROR(__xludf.DUMMYFUNCTION("""COMPUTED_VALUE"""),"Uncle Sams Cider (04/04/2023)")</f>
        <v>Uncle Sams Cider (04/04/2023)</v>
      </c>
      <c r="H6357" s="19"/>
    </row>
    <row r="6358">
      <c r="A6358" s="9"/>
      <c r="B6358" s="15"/>
      <c r="C6358" s="9">
        <f>IFERROR(__xludf.DUMMYFUNCTION("""COMPUTED_VALUE"""),45077.9756227546)</f>
        <v>45077.97562</v>
      </c>
      <c r="D6358" s="15">
        <f>IFERROR(__xludf.DUMMYFUNCTION("""COMPUTED_VALUE"""),1.009)</f>
        <v>1.009</v>
      </c>
      <c r="E6358" s="16">
        <f>IFERROR(__xludf.DUMMYFUNCTION("""COMPUTED_VALUE"""),66.0)</f>
        <v>66</v>
      </c>
      <c r="F6358" s="19" t="str">
        <f>IFERROR(__xludf.DUMMYFUNCTION("""COMPUTED_VALUE"""),"BLACK")</f>
        <v>BLACK</v>
      </c>
      <c r="G6358" s="20" t="str">
        <f>IFERROR(__xludf.DUMMYFUNCTION("""COMPUTED_VALUE"""),"Uncle Sams Cider (04/04/2023)")</f>
        <v>Uncle Sams Cider (04/04/2023)</v>
      </c>
      <c r="H6358" s="19"/>
    </row>
    <row r="6359">
      <c r="A6359" s="9"/>
      <c r="B6359" s="15"/>
      <c r="C6359" s="9">
        <f>IFERROR(__xludf.DUMMYFUNCTION("""COMPUTED_VALUE"""),45077.9652010995)</f>
        <v>45077.9652</v>
      </c>
      <c r="D6359" s="15">
        <f>IFERROR(__xludf.DUMMYFUNCTION("""COMPUTED_VALUE"""),1.01)</f>
        <v>1.01</v>
      </c>
      <c r="E6359" s="16">
        <f>IFERROR(__xludf.DUMMYFUNCTION("""COMPUTED_VALUE"""),66.0)</f>
        <v>66</v>
      </c>
      <c r="F6359" s="19" t="str">
        <f>IFERROR(__xludf.DUMMYFUNCTION("""COMPUTED_VALUE"""),"BLACK")</f>
        <v>BLACK</v>
      </c>
      <c r="G6359" s="20" t="str">
        <f>IFERROR(__xludf.DUMMYFUNCTION("""COMPUTED_VALUE"""),"Uncle Sams Cider (04/04/2023)")</f>
        <v>Uncle Sams Cider (04/04/2023)</v>
      </c>
      <c r="H6359" s="19"/>
    </row>
    <row r="6360">
      <c r="A6360" s="9"/>
      <c r="B6360" s="15"/>
      <c r="C6360" s="9">
        <f>IFERROR(__xludf.DUMMYFUNCTION("""COMPUTED_VALUE"""),45077.9547682407)</f>
        <v>45077.95477</v>
      </c>
      <c r="D6360" s="15">
        <f>IFERROR(__xludf.DUMMYFUNCTION("""COMPUTED_VALUE"""),1.009)</f>
        <v>1.009</v>
      </c>
      <c r="E6360" s="16">
        <f>IFERROR(__xludf.DUMMYFUNCTION("""COMPUTED_VALUE"""),66.0)</f>
        <v>66</v>
      </c>
      <c r="F6360" s="19" t="str">
        <f>IFERROR(__xludf.DUMMYFUNCTION("""COMPUTED_VALUE"""),"BLACK")</f>
        <v>BLACK</v>
      </c>
      <c r="G6360" s="20" t="str">
        <f>IFERROR(__xludf.DUMMYFUNCTION("""COMPUTED_VALUE"""),"Uncle Sams Cider (04/04/2023)")</f>
        <v>Uncle Sams Cider (04/04/2023)</v>
      </c>
      <c r="H6360" s="19"/>
    </row>
    <row r="6361">
      <c r="A6361" s="9"/>
      <c r="B6361" s="15"/>
      <c r="C6361" s="9">
        <f>IFERROR(__xludf.DUMMYFUNCTION("""COMPUTED_VALUE"""),45077.9443489236)</f>
        <v>45077.94435</v>
      </c>
      <c r="D6361" s="15">
        <f>IFERROR(__xludf.DUMMYFUNCTION("""COMPUTED_VALUE"""),1.009)</f>
        <v>1.009</v>
      </c>
      <c r="E6361" s="16">
        <f>IFERROR(__xludf.DUMMYFUNCTION("""COMPUTED_VALUE"""),66.0)</f>
        <v>66</v>
      </c>
      <c r="F6361" s="19" t="str">
        <f>IFERROR(__xludf.DUMMYFUNCTION("""COMPUTED_VALUE"""),"BLACK")</f>
        <v>BLACK</v>
      </c>
      <c r="G6361" s="20" t="str">
        <f>IFERROR(__xludf.DUMMYFUNCTION("""COMPUTED_VALUE"""),"Uncle Sams Cider (04/04/2023)")</f>
        <v>Uncle Sams Cider (04/04/2023)</v>
      </c>
      <c r="H6361" s="19"/>
    </row>
    <row r="6362">
      <c r="A6362" s="9"/>
      <c r="B6362" s="15"/>
      <c r="C6362" s="9">
        <f>IFERROR(__xludf.DUMMYFUNCTION("""COMPUTED_VALUE"""),45077.9339281481)</f>
        <v>45077.93393</v>
      </c>
      <c r="D6362" s="15">
        <f>IFERROR(__xludf.DUMMYFUNCTION("""COMPUTED_VALUE"""),1.009)</f>
        <v>1.009</v>
      </c>
      <c r="E6362" s="16">
        <f>IFERROR(__xludf.DUMMYFUNCTION("""COMPUTED_VALUE"""),66.0)</f>
        <v>66</v>
      </c>
      <c r="F6362" s="19" t="str">
        <f>IFERROR(__xludf.DUMMYFUNCTION("""COMPUTED_VALUE"""),"BLACK")</f>
        <v>BLACK</v>
      </c>
      <c r="G6362" s="20" t="str">
        <f>IFERROR(__xludf.DUMMYFUNCTION("""COMPUTED_VALUE"""),"Uncle Sams Cider (04/04/2023)")</f>
        <v>Uncle Sams Cider (04/04/2023)</v>
      </c>
      <c r="H6362" s="19"/>
    </row>
    <row r="6363">
      <c r="A6363" s="9"/>
      <c r="B6363" s="15"/>
      <c r="C6363" s="9">
        <f>IFERROR(__xludf.DUMMYFUNCTION("""COMPUTED_VALUE"""),45077.923507199)</f>
        <v>45077.92351</v>
      </c>
      <c r="D6363" s="15">
        <f>IFERROR(__xludf.DUMMYFUNCTION("""COMPUTED_VALUE"""),1.009)</f>
        <v>1.009</v>
      </c>
      <c r="E6363" s="16">
        <f>IFERROR(__xludf.DUMMYFUNCTION("""COMPUTED_VALUE"""),66.0)</f>
        <v>66</v>
      </c>
      <c r="F6363" s="19" t="str">
        <f>IFERROR(__xludf.DUMMYFUNCTION("""COMPUTED_VALUE"""),"BLACK")</f>
        <v>BLACK</v>
      </c>
      <c r="G6363" s="20" t="str">
        <f>IFERROR(__xludf.DUMMYFUNCTION("""COMPUTED_VALUE"""),"Uncle Sams Cider (04/04/2023)")</f>
        <v>Uncle Sams Cider (04/04/2023)</v>
      </c>
      <c r="H6363" s="19"/>
    </row>
    <row r="6364">
      <c r="A6364" s="9"/>
      <c r="B6364" s="15"/>
      <c r="C6364" s="9">
        <f>IFERROR(__xludf.DUMMYFUNCTION("""COMPUTED_VALUE"""),45077.9130861574)</f>
        <v>45077.91309</v>
      </c>
      <c r="D6364" s="15">
        <f>IFERROR(__xludf.DUMMYFUNCTION("""COMPUTED_VALUE"""),1.009)</f>
        <v>1.009</v>
      </c>
      <c r="E6364" s="16">
        <f>IFERROR(__xludf.DUMMYFUNCTION("""COMPUTED_VALUE"""),66.0)</f>
        <v>66</v>
      </c>
      <c r="F6364" s="19" t="str">
        <f>IFERROR(__xludf.DUMMYFUNCTION("""COMPUTED_VALUE"""),"BLACK")</f>
        <v>BLACK</v>
      </c>
      <c r="G6364" s="20" t="str">
        <f>IFERROR(__xludf.DUMMYFUNCTION("""COMPUTED_VALUE"""),"Uncle Sams Cider (04/04/2023)")</f>
        <v>Uncle Sams Cider (04/04/2023)</v>
      </c>
      <c r="H6364" s="19"/>
    </row>
    <row r="6365">
      <c r="A6365" s="9"/>
      <c r="B6365" s="15"/>
      <c r="C6365" s="9">
        <f>IFERROR(__xludf.DUMMYFUNCTION("""COMPUTED_VALUE"""),45077.9026539351)</f>
        <v>45077.90265</v>
      </c>
      <c r="D6365" s="15">
        <f>IFERROR(__xludf.DUMMYFUNCTION("""COMPUTED_VALUE"""),1.009)</f>
        <v>1.009</v>
      </c>
      <c r="E6365" s="16">
        <f>IFERROR(__xludf.DUMMYFUNCTION("""COMPUTED_VALUE"""),66.0)</f>
        <v>66</v>
      </c>
      <c r="F6365" s="19" t="str">
        <f>IFERROR(__xludf.DUMMYFUNCTION("""COMPUTED_VALUE"""),"BLACK")</f>
        <v>BLACK</v>
      </c>
      <c r="G6365" s="20" t="str">
        <f>IFERROR(__xludf.DUMMYFUNCTION("""COMPUTED_VALUE"""),"Uncle Sams Cider (04/04/2023)")</f>
        <v>Uncle Sams Cider (04/04/2023)</v>
      </c>
      <c r="H6365" s="19"/>
    </row>
    <row r="6366">
      <c r="A6366" s="9"/>
      <c r="B6366" s="15"/>
      <c r="C6366" s="9">
        <f>IFERROR(__xludf.DUMMYFUNCTION("""COMPUTED_VALUE"""),45077.8922344213)</f>
        <v>45077.89223</v>
      </c>
      <c r="D6366" s="15">
        <f>IFERROR(__xludf.DUMMYFUNCTION("""COMPUTED_VALUE"""),1.009)</f>
        <v>1.009</v>
      </c>
      <c r="E6366" s="16">
        <f>IFERROR(__xludf.DUMMYFUNCTION("""COMPUTED_VALUE"""),66.0)</f>
        <v>66</v>
      </c>
      <c r="F6366" s="19" t="str">
        <f>IFERROR(__xludf.DUMMYFUNCTION("""COMPUTED_VALUE"""),"BLACK")</f>
        <v>BLACK</v>
      </c>
      <c r="G6366" s="20" t="str">
        <f>IFERROR(__xludf.DUMMYFUNCTION("""COMPUTED_VALUE"""),"Uncle Sams Cider (04/04/2023)")</f>
        <v>Uncle Sams Cider (04/04/2023)</v>
      </c>
      <c r="H6366" s="19"/>
    </row>
    <row r="6367">
      <c r="A6367" s="9"/>
      <c r="B6367" s="15"/>
      <c r="C6367" s="9">
        <f>IFERROR(__xludf.DUMMYFUNCTION("""COMPUTED_VALUE"""),45077.8818132407)</f>
        <v>45077.88181</v>
      </c>
      <c r="D6367" s="15">
        <f>IFERROR(__xludf.DUMMYFUNCTION("""COMPUTED_VALUE"""),1.01)</f>
        <v>1.01</v>
      </c>
      <c r="E6367" s="16">
        <f>IFERROR(__xludf.DUMMYFUNCTION("""COMPUTED_VALUE"""),66.0)</f>
        <v>66</v>
      </c>
      <c r="F6367" s="19" t="str">
        <f>IFERROR(__xludf.DUMMYFUNCTION("""COMPUTED_VALUE"""),"BLACK")</f>
        <v>BLACK</v>
      </c>
      <c r="G6367" s="20" t="str">
        <f>IFERROR(__xludf.DUMMYFUNCTION("""COMPUTED_VALUE"""),"Uncle Sams Cider (04/04/2023)")</f>
        <v>Uncle Sams Cider (04/04/2023)</v>
      </c>
      <c r="H6367" s="19"/>
    </row>
    <row r="6368">
      <c r="A6368" s="9"/>
      <c r="B6368" s="15"/>
      <c r="C6368" s="9">
        <f>IFERROR(__xludf.DUMMYFUNCTION("""COMPUTED_VALUE"""),45077.8713903009)</f>
        <v>45077.87139</v>
      </c>
      <c r="D6368" s="15">
        <f>IFERROR(__xludf.DUMMYFUNCTION("""COMPUTED_VALUE"""),1.009)</f>
        <v>1.009</v>
      </c>
      <c r="E6368" s="16">
        <f>IFERROR(__xludf.DUMMYFUNCTION("""COMPUTED_VALUE"""),66.0)</f>
        <v>66</v>
      </c>
      <c r="F6368" s="19" t="str">
        <f>IFERROR(__xludf.DUMMYFUNCTION("""COMPUTED_VALUE"""),"BLACK")</f>
        <v>BLACK</v>
      </c>
      <c r="G6368" s="20" t="str">
        <f>IFERROR(__xludf.DUMMYFUNCTION("""COMPUTED_VALUE"""),"Uncle Sams Cider (04/04/2023)")</f>
        <v>Uncle Sams Cider (04/04/2023)</v>
      </c>
      <c r="H6368" s="19"/>
    </row>
    <row r="6369">
      <c r="A6369" s="9"/>
      <c r="B6369" s="15"/>
      <c r="C6369" s="9">
        <f>IFERROR(__xludf.DUMMYFUNCTION("""COMPUTED_VALUE"""),45077.860969375)</f>
        <v>45077.86097</v>
      </c>
      <c r="D6369" s="15">
        <f>IFERROR(__xludf.DUMMYFUNCTION("""COMPUTED_VALUE"""),1.009)</f>
        <v>1.009</v>
      </c>
      <c r="E6369" s="16">
        <f>IFERROR(__xludf.DUMMYFUNCTION("""COMPUTED_VALUE"""),66.0)</f>
        <v>66</v>
      </c>
      <c r="F6369" s="19" t="str">
        <f>IFERROR(__xludf.DUMMYFUNCTION("""COMPUTED_VALUE"""),"BLACK")</f>
        <v>BLACK</v>
      </c>
      <c r="G6369" s="20" t="str">
        <f>IFERROR(__xludf.DUMMYFUNCTION("""COMPUTED_VALUE"""),"Uncle Sams Cider (04/04/2023)")</f>
        <v>Uncle Sams Cider (04/04/2023)</v>
      </c>
      <c r="H6369" s="19"/>
    </row>
    <row r="6370">
      <c r="A6370" s="9"/>
      <c r="B6370" s="15"/>
      <c r="C6370" s="9">
        <f>IFERROR(__xludf.DUMMYFUNCTION("""COMPUTED_VALUE"""),45077.8505349074)</f>
        <v>45077.85053</v>
      </c>
      <c r="D6370" s="15">
        <f>IFERROR(__xludf.DUMMYFUNCTION("""COMPUTED_VALUE"""),1.009)</f>
        <v>1.009</v>
      </c>
      <c r="E6370" s="16">
        <f>IFERROR(__xludf.DUMMYFUNCTION("""COMPUTED_VALUE"""),66.0)</f>
        <v>66</v>
      </c>
      <c r="F6370" s="19" t="str">
        <f>IFERROR(__xludf.DUMMYFUNCTION("""COMPUTED_VALUE"""),"BLACK")</f>
        <v>BLACK</v>
      </c>
      <c r="G6370" s="20" t="str">
        <f>IFERROR(__xludf.DUMMYFUNCTION("""COMPUTED_VALUE"""),"Uncle Sams Cider (04/04/2023)")</f>
        <v>Uncle Sams Cider (04/04/2023)</v>
      </c>
      <c r="H6370" s="19"/>
    </row>
    <row r="6371">
      <c r="A6371" s="9"/>
      <c r="B6371" s="15"/>
      <c r="C6371" s="9">
        <f>IFERROR(__xludf.DUMMYFUNCTION("""COMPUTED_VALUE"""),45077.8401146643)</f>
        <v>45077.84011</v>
      </c>
      <c r="D6371" s="15">
        <f>IFERROR(__xludf.DUMMYFUNCTION("""COMPUTED_VALUE"""),1.009)</f>
        <v>1.009</v>
      </c>
      <c r="E6371" s="16">
        <f>IFERROR(__xludf.DUMMYFUNCTION("""COMPUTED_VALUE"""),66.0)</f>
        <v>66</v>
      </c>
      <c r="F6371" s="19" t="str">
        <f>IFERROR(__xludf.DUMMYFUNCTION("""COMPUTED_VALUE"""),"BLACK")</f>
        <v>BLACK</v>
      </c>
      <c r="G6371" s="20" t="str">
        <f>IFERROR(__xludf.DUMMYFUNCTION("""COMPUTED_VALUE"""),"Uncle Sams Cider (04/04/2023)")</f>
        <v>Uncle Sams Cider (04/04/2023)</v>
      </c>
      <c r="H6371" s="19"/>
    </row>
    <row r="6372">
      <c r="A6372" s="9"/>
      <c r="B6372" s="15"/>
      <c r="C6372" s="9">
        <f>IFERROR(__xludf.DUMMYFUNCTION("""COMPUTED_VALUE"""),45077.8296932523)</f>
        <v>45077.82969</v>
      </c>
      <c r="D6372" s="15">
        <f>IFERROR(__xludf.DUMMYFUNCTION("""COMPUTED_VALUE"""),1.009)</f>
        <v>1.009</v>
      </c>
      <c r="E6372" s="16">
        <f>IFERROR(__xludf.DUMMYFUNCTION("""COMPUTED_VALUE"""),66.0)</f>
        <v>66</v>
      </c>
      <c r="F6372" s="19" t="str">
        <f>IFERROR(__xludf.DUMMYFUNCTION("""COMPUTED_VALUE"""),"BLACK")</f>
        <v>BLACK</v>
      </c>
      <c r="G6372" s="20" t="str">
        <f>IFERROR(__xludf.DUMMYFUNCTION("""COMPUTED_VALUE"""),"Uncle Sams Cider (04/04/2023)")</f>
        <v>Uncle Sams Cider (04/04/2023)</v>
      </c>
      <c r="H6372" s="19"/>
    </row>
    <row r="6373">
      <c r="A6373" s="9"/>
      <c r="B6373" s="15"/>
      <c r="C6373" s="9">
        <f>IFERROR(__xludf.DUMMYFUNCTION("""COMPUTED_VALUE"""),45077.8192736111)</f>
        <v>45077.81927</v>
      </c>
      <c r="D6373" s="15">
        <f>IFERROR(__xludf.DUMMYFUNCTION("""COMPUTED_VALUE"""),1.009)</f>
        <v>1.009</v>
      </c>
      <c r="E6373" s="16">
        <f>IFERROR(__xludf.DUMMYFUNCTION("""COMPUTED_VALUE"""),66.0)</f>
        <v>66</v>
      </c>
      <c r="F6373" s="19" t="str">
        <f>IFERROR(__xludf.DUMMYFUNCTION("""COMPUTED_VALUE"""),"BLACK")</f>
        <v>BLACK</v>
      </c>
      <c r="G6373" s="20" t="str">
        <f>IFERROR(__xludf.DUMMYFUNCTION("""COMPUTED_VALUE"""),"Uncle Sams Cider (04/04/2023)")</f>
        <v>Uncle Sams Cider (04/04/2023)</v>
      </c>
      <c r="H6373" s="19"/>
    </row>
    <row r="6374">
      <c r="A6374" s="9"/>
      <c r="B6374" s="15"/>
      <c r="C6374" s="9">
        <f>IFERROR(__xludf.DUMMYFUNCTION("""COMPUTED_VALUE"""),45077.8088524768)</f>
        <v>45077.80885</v>
      </c>
      <c r="D6374" s="15">
        <f>IFERROR(__xludf.DUMMYFUNCTION("""COMPUTED_VALUE"""),1.01)</f>
        <v>1.01</v>
      </c>
      <c r="E6374" s="16">
        <f>IFERROR(__xludf.DUMMYFUNCTION("""COMPUTED_VALUE"""),66.0)</f>
        <v>66</v>
      </c>
      <c r="F6374" s="19" t="str">
        <f>IFERROR(__xludf.DUMMYFUNCTION("""COMPUTED_VALUE"""),"BLACK")</f>
        <v>BLACK</v>
      </c>
      <c r="G6374" s="20" t="str">
        <f>IFERROR(__xludf.DUMMYFUNCTION("""COMPUTED_VALUE"""),"Uncle Sams Cider (04/04/2023)")</f>
        <v>Uncle Sams Cider (04/04/2023)</v>
      </c>
      <c r="H6374" s="19"/>
    </row>
    <row r="6375">
      <c r="A6375" s="9"/>
      <c r="B6375" s="15"/>
      <c r="C6375" s="9">
        <f>IFERROR(__xludf.DUMMYFUNCTION("""COMPUTED_VALUE"""),45077.7984313425)</f>
        <v>45077.79843</v>
      </c>
      <c r="D6375" s="15">
        <f>IFERROR(__xludf.DUMMYFUNCTION("""COMPUTED_VALUE"""),1.009)</f>
        <v>1.009</v>
      </c>
      <c r="E6375" s="16">
        <f>IFERROR(__xludf.DUMMYFUNCTION("""COMPUTED_VALUE"""),66.0)</f>
        <v>66</v>
      </c>
      <c r="F6375" s="19" t="str">
        <f>IFERROR(__xludf.DUMMYFUNCTION("""COMPUTED_VALUE"""),"BLACK")</f>
        <v>BLACK</v>
      </c>
      <c r="G6375" s="20" t="str">
        <f>IFERROR(__xludf.DUMMYFUNCTION("""COMPUTED_VALUE"""),"Uncle Sams Cider (04/04/2023)")</f>
        <v>Uncle Sams Cider (04/04/2023)</v>
      </c>
      <c r="H6375" s="19"/>
    </row>
    <row r="6376">
      <c r="A6376" s="9"/>
      <c r="B6376" s="15"/>
      <c r="C6376" s="9">
        <f>IFERROR(__xludf.DUMMYFUNCTION("""COMPUTED_VALUE"""),45077.7880088773)</f>
        <v>45077.78801</v>
      </c>
      <c r="D6376" s="15">
        <f>IFERROR(__xludf.DUMMYFUNCTION("""COMPUTED_VALUE"""),1.009)</f>
        <v>1.009</v>
      </c>
      <c r="E6376" s="16">
        <f>IFERROR(__xludf.DUMMYFUNCTION("""COMPUTED_VALUE"""),66.0)</f>
        <v>66</v>
      </c>
      <c r="F6376" s="19" t="str">
        <f>IFERROR(__xludf.DUMMYFUNCTION("""COMPUTED_VALUE"""),"BLACK")</f>
        <v>BLACK</v>
      </c>
      <c r="G6376" s="20" t="str">
        <f>IFERROR(__xludf.DUMMYFUNCTION("""COMPUTED_VALUE"""),"Uncle Sams Cider (04/04/2023)")</f>
        <v>Uncle Sams Cider (04/04/2023)</v>
      </c>
      <c r="H6376" s="19"/>
    </row>
    <row r="6377">
      <c r="A6377" s="9"/>
      <c r="B6377" s="15"/>
      <c r="C6377" s="9">
        <f>IFERROR(__xludf.DUMMYFUNCTION("""COMPUTED_VALUE"""),45077.7775768287)</f>
        <v>45077.77758</v>
      </c>
      <c r="D6377" s="15">
        <f>IFERROR(__xludf.DUMMYFUNCTION("""COMPUTED_VALUE"""),1.01)</f>
        <v>1.01</v>
      </c>
      <c r="E6377" s="16">
        <f>IFERROR(__xludf.DUMMYFUNCTION("""COMPUTED_VALUE"""),66.0)</f>
        <v>66</v>
      </c>
      <c r="F6377" s="19" t="str">
        <f>IFERROR(__xludf.DUMMYFUNCTION("""COMPUTED_VALUE"""),"BLACK")</f>
        <v>BLACK</v>
      </c>
      <c r="G6377" s="20" t="str">
        <f>IFERROR(__xludf.DUMMYFUNCTION("""COMPUTED_VALUE"""),"Uncle Sams Cider (04/04/2023)")</f>
        <v>Uncle Sams Cider (04/04/2023)</v>
      </c>
      <c r="H6377" s="19"/>
    </row>
    <row r="6378">
      <c r="A6378" s="9"/>
      <c r="B6378" s="15"/>
      <c r="C6378" s="9">
        <f>IFERROR(__xludf.DUMMYFUNCTION("""COMPUTED_VALUE"""),45077.7671557638)</f>
        <v>45077.76716</v>
      </c>
      <c r="D6378" s="15">
        <f>IFERROR(__xludf.DUMMYFUNCTION("""COMPUTED_VALUE"""),1.009)</f>
        <v>1.009</v>
      </c>
      <c r="E6378" s="16">
        <f>IFERROR(__xludf.DUMMYFUNCTION("""COMPUTED_VALUE"""),66.0)</f>
        <v>66</v>
      </c>
      <c r="F6378" s="19" t="str">
        <f>IFERROR(__xludf.DUMMYFUNCTION("""COMPUTED_VALUE"""),"BLACK")</f>
        <v>BLACK</v>
      </c>
      <c r="G6378" s="20" t="str">
        <f>IFERROR(__xludf.DUMMYFUNCTION("""COMPUTED_VALUE"""),"Uncle Sams Cider (04/04/2023)")</f>
        <v>Uncle Sams Cider (04/04/2023)</v>
      </c>
      <c r="H6378" s="19"/>
    </row>
    <row r="6379">
      <c r="A6379" s="9"/>
      <c r="B6379" s="15"/>
      <c r="C6379" s="9">
        <f>IFERROR(__xludf.DUMMYFUNCTION("""COMPUTED_VALUE"""),45077.7567364236)</f>
        <v>45077.75674</v>
      </c>
      <c r="D6379" s="15">
        <f>IFERROR(__xludf.DUMMYFUNCTION("""COMPUTED_VALUE"""),1.009)</f>
        <v>1.009</v>
      </c>
      <c r="E6379" s="16">
        <f>IFERROR(__xludf.DUMMYFUNCTION("""COMPUTED_VALUE"""),66.0)</f>
        <v>66</v>
      </c>
      <c r="F6379" s="19" t="str">
        <f>IFERROR(__xludf.DUMMYFUNCTION("""COMPUTED_VALUE"""),"BLACK")</f>
        <v>BLACK</v>
      </c>
      <c r="G6379" s="20" t="str">
        <f>IFERROR(__xludf.DUMMYFUNCTION("""COMPUTED_VALUE"""),"Uncle Sams Cider (04/04/2023)")</f>
        <v>Uncle Sams Cider (04/04/2023)</v>
      </c>
      <c r="H6379" s="19"/>
    </row>
    <row r="6380">
      <c r="A6380" s="9"/>
      <c r="B6380" s="15"/>
      <c r="C6380" s="9">
        <f>IFERROR(__xludf.DUMMYFUNCTION("""COMPUTED_VALUE"""),45077.7463044907)</f>
        <v>45077.7463</v>
      </c>
      <c r="D6380" s="15">
        <f>IFERROR(__xludf.DUMMYFUNCTION("""COMPUTED_VALUE"""),1.009)</f>
        <v>1.009</v>
      </c>
      <c r="E6380" s="16">
        <f>IFERROR(__xludf.DUMMYFUNCTION("""COMPUTED_VALUE"""),66.0)</f>
        <v>66</v>
      </c>
      <c r="F6380" s="19" t="str">
        <f>IFERROR(__xludf.DUMMYFUNCTION("""COMPUTED_VALUE"""),"BLACK")</f>
        <v>BLACK</v>
      </c>
      <c r="G6380" s="20" t="str">
        <f>IFERROR(__xludf.DUMMYFUNCTION("""COMPUTED_VALUE"""),"Uncle Sams Cider (04/04/2023)")</f>
        <v>Uncle Sams Cider (04/04/2023)</v>
      </c>
      <c r="H6380" s="19"/>
    </row>
    <row r="6381">
      <c r="A6381" s="9"/>
      <c r="B6381" s="15"/>
      <c r="C6381" s="9">
        <f>IFERROR(__xludf.DUMMYFUNCTION("""COMPUTED_VALUE"""),45077.7358820717)</f>
        <v>45077.73588</v>
      </c>
      <c r="D6381" s="15">
        <f>IFERROR(__xludf.DUMMYFUNCTION("""COMPUTED_VALUE"""),1.009)</f>
        <v>1.009</v>
      </c>
      <c r="E6381" s="16">
        <f>IFERROR(__xludf.DUMMYFUNCTION("""COMPUTED_VALUE"""),66.0)</f>
        <v>66</v>
      </c>
      <c r="F6381" s="19" t="str">
        <f>IFERROR(__xludf.DUMMYFUNCTION("""COMPUTED_VALUE"""),"BLACK")</f>
        <v>BLACK</v>
      </c>
      <c r="G6381" s="20" t="str">
        <f>IFERROR(__xludf.DUMMYFUNCTION("""COMPUTED_VALUE"""),"Uncle Sams Cider (04/04/2023)")</f>
        <v>Uncle Sams Cider (04/04/2023)</v>
      </c>
      <c r="H6381" s="19"/>
    </row>
    <row r="6382">
      <c r="A6382" s="9"/>
      <c r="B6382" s="15"/>
      <c r="C6382" s="9">
        <f>IFERROR(__xludf.DUMMYFUNCTION("""COMPUTED_VALUE"""),45077.725459456)</f>
        <v>45077.72546</v>
      </c>
      <c r="D6382" s="15">
        <f>IFERROR(__xludf.DUMMYFUNCTION("""COMPUTED_VALUE"""),1.009)</f>
        <v>1.009</v>
      </c>
      <c r="E6382" s="16">
        <f>IFERROR(__xludf.DUMMYFUNCTION("""COMPUTED_VALUE"""),66.0)</f>
        <v>66</v>
      </c>
      <c r="F6382" s="19" t="str">
        <f>IFERROR(__xludf.DUMMYFUNCTION("""COMPUTED_VALUE"""),"BLACK")</f>
        <v>BLACK</v>
      </c>
      <c r="G6382" s="20" t="str">
        <f>IFERROR(__xludf.DUMMYFUNCTION("""COMPUTED_VALUE"""),"Uncle Sams Cider (04/04/2023)")</f>
        <v>Uncle Sams Cider (04/04/2023)</v>
      </c>
      <c r="H6382" s="19"/>
    </row>
    <row r="6383">
      <c r="A6383" s="9"/>
      <c r="B6383" s="15"/>
      <c r="C6383" s="9">
        <f>IFERROR(__xludf.DUMMYFUNCTION("""COMPUTED_VALUE"""),45077.7150390972)</f>
        <v>45077.71504</v>
      </c>
      <c r="D6383" s="15">
        <f>IFERROR(__xludf.DUMMYFUNCTION("""COMPUTED_VALUE"""),1.01)</f>
        <v>1.01</v>
      </c>
      <c r="E6383" s="16">
        <f>IFERROR(__xludf.DUMMYFUNCTION("""COMPUTED_VALUE"""),66.0)</f>
        <v>66</v>
      </c>
      <c r="F6383" s="19" t="str">
        <f>IFERROR(__xludf.DUMMYFUNCTION("""COMPUTED_VALUE"""),"BLACK")</f>
        <v>BLACK</v>
      </c>
      <c r="G6383" s="20" t="str">
        <f>IFERROR(__xludf.DUMMYFUNCTION("""COMPUTED_VALUE"""),"Uncle Sams Cider (04/04/2023)")</f>
        <v>Uncle Sams Cider (04/04/2023)</v>
      </c>
      <c r="H6383" s="19"/>
    </row>
    <row r="6384">
      <c r="A6384" s="9"/>
      <c r="B6384" s="15"/>
      <c r="C6384" s="9">
        <f>IFERROR(__xludf.DUMMYFUNCTION("""COMPUTED_VALUE"""),45077.7046166666)</f>
        <v>45077.70462</v>
      </c>
      <c r="D6384" s="15">
        <f>IFERROR(__xludf.DUMMYFUNCTION("""COMPUTED_VALUE"""),1.009)</f>
        <v>1.009</v>
      </c>
      <c r="E6384" s="16">
        <f>IFERROR(__xludf.DUMMYFUNCTION("""COMPUTED_VALUE"""),66.0)</f>
        <v>66</v>
      </c>
      <c r="F6384" s="19" t="str">
        <f>IFERROR(__xludf.DUMMYFUNCTION("""COMPUTED_VALUE"""),"BLACK")</f>
        <v>BLACK</v>
      </c>
      <c r="G6384" s="20" t="str">
        <f>IFERROR(__xludf.DUMMYFUNCTION("""COMPUTED_VALUE"""),"Uncle Sams Cider (04/04/2023)")</f>
        <v>Uncle Sams Cider (04/04/2023)</v>
      </c>
      <c r="H6384" s="19"/>
    </row>
    <row r="6385">
      <c r="A6385" s="9"/>
      <c r="B6385" s="15"/>
      <c r="C6385" s="9">
        <f>IFERROR(__xludf.DUMMYFUNCTION("""COMPUTED_VALUE"""),45077.694196331)</f>
        <v>45077.6942</v>
      </c>
      <c r="D6385" s="15">
        <f>IFERROR(__xludf.DUMMYFUNCTION("""COMPUTED_VALUE"""),1.01)</f>
        <v>1.01</v>
      </c>
      <c r="E6385" s="16">
        <f>IFERROR(__xludf.DUMMYFUNCTION("""COMPUTED_VALUE"""),66.0)</f>
        <v>66</v>
      </c>
      <c r="F6385" s="19" t="str">
        <f>IFERROR(__xludf.DUMMYFUNCTION("""COMPUTED_VALUE"""),"BLACK")</f>
        <v>BLACK</v>
      </c>
      <c r="G6385" s="20" t="str">
        <f>IFERROR(__xludf.DUMMYFUNCTION("""COMPUTED_VALUE"""),"Uncle Sams Cider (04/04/2023)")</f>
        <v>Uncle Sams Cider (04/04/2023)</v>
      </c>
      <c r="H6385" s="19"/>
    </row>
    <row r="6386">
      <c r="A6386" s="9"/>
      <c r="B6386" s="15"/>
      <c r="C6386" s="9">
        <f>IFERROR(__xludf.DUMMYFUNCTION("""COMPUTED_VALUE"""),45077.6837756944)</f>
        <v>45077.68378</v>
      </c>
      <c r="D6386" s="15">
        <f>IFERROR(__xludf.DUMMYFUNCTION("""COMPUTED_VALUE"""),1.009)</f>
        <v>1.009</v>
      </c>
      <c r="E6386" s="16">
        <f>IFERROR(__xludf.DUMMYFUNCTION("""COMPUTED_VALUE"""),66.0)</f>
        <v>66</v>
      </c>
      <c r="F6386" s="19" t="str">
        <f>IFERROR(__xludf.DUMMYFUNCTION("""COMPUTED_VALUE"""),"BLACK")</f>
        <v>BLACK</v>
      </c>
      <c r="G6386" s="20" t="str">
        <f>IFERROR(__xludf.DUMMYFUNCTION("""COMPUTED_VALUE"""),"Uncle Sams Cider (04/04/2023)")</f>
        <v>Uncle Sams Cider (04/04/2023)</v>
      </c>
      <c r="H6386" s="19"/>
    </row>
    <row r="6387">
      <c r="A6387" s="9"/>
      <c r="B6387" s="15"/>
      <c r="C6387" s="9">
        <f>IFERROR(__xludf.DUMMYFUNCTION("""COMPUTED_VALUE"""),45077.6733552893)</f>
        <v>45077.67336</v>
      </c>
      <c r="D6387" s="15">
        <f>IFERROR(__xludf.DUMMYFUNCTION("""COMPUTED_VALUE"""),1.009)</f>
        <v>1.009</v>
      </c>
      <c r="E6387" s="16">
        <f>IFERROR(__xludf.DUMMYFUNCTION("""COMPUTED_VALUE"""),66.0)</f>
        <v>66</v>
      </c>
      <c r="F6387" s="19" t="str">
        <f>IFERROR(__xludf.DUMMYFUNCTION("""COMPUTED_VALUE"""),"BLACK")</f>
        <v>BLACK</v>
      </c>
      <c r="G6387" s="20" t="str">
        <f>IFERROR(__xludf.DUMMYFUNCTION("""COMPUTED_VALUE"""),"Uncle Sams Cider (04/04/2023)")</f>
        <v>Uncle Sams Cider (04/04/2023)</v>
      </c>
      <c r="H6387" s="19"/>
    </row>
    <row r="6388">
      <c r="A6388" s="9"/>
      <c r="B6388" s="15"/>
      <c r="C6388" s="9">
        <f>IFERROR(__xludf.DUMMYFUNCTION("""COMPUTED_VALUE"""),45077.6629345138)</f>
        <v>45077.66293</v>
      </c>
      <c r="D6388" s="15">
        <f>IFERROR(__xludf.DUMMYFUNCTION("""COMPUTED_VALUE"""),1.009)</f>
        <v>1.009</v>
      </c>
      <c r="E6388" s="16">
        <f>IFERROR(__xludf.DUMMYFUNCTION("""COMPUTED_VALUE"""),66.0)</f>
        <v>66</v>
      </c>
      <c r="F6388" s="19" t="str">
        <f>IFERROR(__xludf.DUMMYFUNCTION("""COMPUTED_VALUE"""),"BLACK")</f>
        <v>BLACK</v>
      </c>
      <c r="G6388" s="20" t="str">
        <f>IFERROR(__xludf.DUMMYFUNCTION("""COMPUTED_VALUE"""),"Uncle Sams Cider (04/04/2023)")</f>
        <v>Uncle Sams Cider (04/04/2023)</v>
      </c>
      <c r="H6388" s="19"/>
    </row>
    <row r="6389">
      <c r="A6389" s="9"/>
      <c r="B6389" s="15"/>
      <c r="C6389" s="9">
        <f>IFERROR(__xludf.DUMMYFUNCTION("""COMPUTED_VALUE"""),45077.6525023148)</f>
        <v>45077.6525</v>
      </c>
      <c r="D6389" s="15">
        <f>IFERROR(__xludf.DUMMYFUNCTION("""COMPUTED_VALUE"""),1.009)</f>
        <v>1.009</v>
      </c>
      <c r="E6389" s="16">
        <f>IFERROR(__xludf.DUMMYFUNCTION("""COMPUTED_VALUE"""),66.0)</f>
        <v>66</v>
      </c>
      <c r="F6389" s="19" t="str">
        <f>IFERROR(__xludf.DUMMYFUNCTION("""COMPUTED_VALUE"""),"BLACK")</f>
        <v>BLACK</v>
      </c>
      <c r="G6389" s="20" t="str">
        <f>IFERROR(__xludf.DUMMYFUNCTION("""COMPUTED_VALUE"""),"Uncle Sams Cider (04/04/2023)")</f>
        <v>Uncle Sams Cider (04/04/2023)</v>
      </c>
      <c r="H6389" s="19"/>
    </row>
    <row r="6390">
      <c r="A6390" s="9"/>
      <c r="B6390" s="15"/>
      <c r="C6390" s="9">
        <f>IFERROR(__xludf.DUMMYFUNCTION("""COMPUTED_VALUE"""),45077.6420471412)</f>
        <v>45077.64205</v>
      </c>
      <c r="D6390" s="15">
        <f>IFERROR(__xludf.DUMMYFUNCTION("""COMPUTED_VALUE"""),1.01)</f>
        <v>1.01</v>
      </c>
      <c r="E6390" s="16">
        <f>IFERROR(__xludf.DUMMYFUNCTION("""COMPUTED_VALUE"""),66.0)</f>
        <v>66</v>
      </c>
      <c r="F6390" s="19" t="str">
        <f>IFERROR(__xludf.DUMMYFUNCTION("""COMPUTED_VALUE"""),"BLACK")</f>
        <v>BLACK</v>
      </c>
      <c r="G6390" s="20" t="str">
        <f>IFERROR(__xludf.DUMMYFUNCTION("""COMPUTED_VALUE"""),"Uncle Sams Cider (04/04/2023)")</f>
        <v>Uncle Sams Cider (04/04/2023)</v>
      </c>
      <c r="H6390" s="19"/>
    </row>
    <row r="6391">
      <c r="A6391" s="9"/>
      <c r="B6391" s="15"/>
      <c r="C6391" s="9">
        <f>IFERROR(__xludf.DUMMYFUNCTION("""COMPUTED_VALUE"""),45077.6316274884)</f>
        <v>45077.63163</v>
      </c>
      <c r="D6391" s="15">
        <f>IFERROR(__xludf.DUMMYFUNCTION("""COMPUTED_VALUE"""),1.009)</f>
        <v>1.009</v>
      </c>
      <c r="E6391" s="16">
        <f>IFERROR(__xludf.DUMMYFUNCTION("""COMPUTED_VALUE"""),66.0)</f>
        <v>66</v>
      </c>
      <c r="F6391" s="19" t="str">
        <f>IFERROR(__xludf.DUMMYFUNCTION("""COMPUTED_VALUE"""),"BLACK")</f>
        <v>BLACK</v>
      </c>
      <c r="G6391" s="20" t="str">
        <f>IFERROR(__xludf.DUMMYFUNCTION("""COMPUTED_VALUE"""),"Uncle Sams Cider (04/04/2023)")</f>
        <v>Uncle Sams Cider (04/04/2023)</v>
      </c>
      <c r="H6391" s="19"/>
    </row>
    <row r="6392">
      <c r="A6392" s="9"/>
      <c r="B6392" s="15"/>
      <c r="C6392" s="9">
        <f>IFERROR(__xludf.DUMMYFUNCTION("""COMPUTED_VALUE"""),45077.6212077083)</f>
        <v>45077.62121</v>
      </c>
      <c r="D6392" s="15">
        <f>IFERROR(__xludf.DUMMYFUNCTION("""COMPUTED_VALUE"""),1.01)</f>
        <v>1.01</v>
      </c>
      <c r="E6392" s="16">
        <f>IFERROR(__xludf.DUMMYFUNCTION("""COMPUTED_VALUE"""),66.0)</f>
        <v>66</v>
      </c>
      <c r="F6392" s="19" t="str">
        <f>IFERROR(__xludf.DUMMYFUNCTION("""COMPUTED_VALUE"""),"BLACK")</f>
        <v>BLACK</v>
      </c>
      <c r="G6392" s="20" t="str">
        <f>IFERROR(__xludf.DUMMYFUNCTION("""COMPUTED_VALUE"""),"Uncle Sams Cider (04/04/2023)")</f>
        <v>Uncle Sams Cider (04/04/2023)</v>
      </c>
      <c r="H6392" s="19"/>
    </row>
    <row r="6393">
      <c r="A6393" s="9"/>
      <c r="B6393" s="15"/>
      <c r="C6393" s="9">
        <f>IFERROR(__xludf.DUMMYFUNCTION("""COMPUTED_VALUE"""),45077.6107862731)</f>
        <v>45077.61079</v>
      </c>
      <c r="D6393" s="15">
        <f>IFERROR(__xludf.DUMMYFUNCTION("""COMPUTED_VALUE"""),1.01)</f>
        <v>1.01</v>
      </c>
      <c r="E6393" s="16">
        <f>IFERROR(__xludf.DUMMYFUNCTION("""COMPUTED_VALUE"""),66.0)</f>
        <v>66</v>
      </c>
      <c r="F6393" s="19" t="str">
        <f>IFERROR(__xludf.DUMMYFUNCTION("""COMPUTED_VALUE"""),"BLACK")</f>
        <v>BLACK</v>
      </c>
      <c r="G6393" s="20" t="str">
        <f>IFERROR(__xludf.DUMMYFUNCTION("""COMPUTED_VALUE"""),"Uncle Sams Cider (04/04/2023)")</f>
        <v>Uncle Sams Cider (04/04/2023)</v>
      </c>
      <c r="H6393" s="19"/>
    </row>
    <row r="6394">
      <c r="A6394" s="9"/>
      <c r="B6394" s="15"/>
      <c r="C6394" s="9">
        <f>IFERROR(__xludf.DUMMYFUNCTION("""COMPUTED_VALUE"""),45077.6003644675)</f>
        <v>45077.60036</v>
      </c>
      <c r="D6394" s="15">
        <f>IFERROR(__xludf.DUMMYFUNCTION("""COMPUTED_VALUE"""),1.009)</f>
        <v>1.009</v>
      </c>
      <c r="E6394" s="16">
        <f>IFERROR(__xludf.DUMMYFUNCTION("""COMPUTED_VALUE"""),66.0)</f>
        <v>66</v>
      </c>
      <c r="F6394" s="19" t="str">
        <f>IFERROR(__xludf.DUMMYFUNCTION("""COMPUTED_VALUE"""),"BLACK")</f>
        <v>BLACK</v>
      </c>
      <c r="G6394" s="20" t="str">
        <f>IFERROR(__xludf.DUMMYFUNCTION("""COMPUTED_VALUE"""),"Uncle Sams Cider (04/04/2023)")</f>
        <v>Uncle Sams Cider (04/04/2023)</v>
      </c>
      <c r="H6394" s="19"/>
    </row>
    <row r="6395">
      <c r="A6395" s="9"/>
      <c r="B6395" s="15"/>
      <c r="C6395" s="9">
        <f>IFERROR(__xludf.DUMMYFUNCTION("""COMPUTED_VALUE"""),45077.5899439583)</f>
        <v>45077.58994</v>
      </c>
      <c r="D6395" s="15">
        <f>IFERROR(__xludf.DUMMYFUNCTION("""COMPUTED_VALUE"""),1.009)</f>
        <v>1.009</v>
      </c>
      <c r="E6395" s="16">
        <f>IFERROR(__xludf.DUMMYFUNCTION("""COMPUTED_VALUE"""),66.0)</f>
        <v>66</v>
      </c>
      <c r="F6395" s="19" t="str">
        <f>IFERROR(__xludf.DUMMYFUNCTION("""COMPUTED_VALUE"""),"BLACK")</f>
        <v>BLACK</v>
      </c>
      <c r="G6395" s="20" t="str">
        <f>IFERROR(__xludf.DUMMYFUNCTION("""COMPUTED_VALUE"""),"Uncle Sams Cider (04/04/2023)")</f>
        <v>Uncle Sams Cider (04/04/2023)</v>
      </c>
      <c r="H6395" s="19"/>
    </row>
    <row r="6396">
      <c r="A6396" s="9"/>
      <c r="B6396" s="15"/>
      <c r="C6396" s="9">
        <f>IFERROR(__xludf.DUMMYFUNCTION("""COMPUTED_VALUE"""),45077.5795101736)</f>
        <v>45077.57951</v>
      </c>
      <c r="D6396" s="15">
        <f>IFERROR(__xludf.DUMMYFUNCTION("""COMPUTED_VALUE"""),1.01)</f>
        <v>1.01</v>
      </c>
      <c r="E6396" s="16">
        <f>IFERROR(__xludf.DUMMYFUNCTION("""COMPUTED_VALUE"""),66.0)</f>
        <v>66</v>
      </c>
      <c r="F6396" s="19" t="str">
        <f>IFERROR(__xludf.DUMMYFUNCTION("""COMPUTED_VALUE"""),"BLACK")</f>
        <v>BLACK</v>
      </c>
      <c r="G6396" s="20" t="str">
        <f>IFERROR(__xludf.DUMMYFUNCTION("""COMPUTED_VALUE"""),"Uncle Sams Cider (04/04/2023)")</f>
        <v>Uncle Sams Cider (04/04/2023)</v>
      </c>
      <c r="H6396" s="19"/>
    </row>
    <row r="6397">
      <c r="A6397" s="9"/>
      <c r="B6397" s="15"/>
      <c r="C6397" s="9">
        <f>IFERROR(__xludf.DUMMYFUNCTION("""COMPUTED_VALUE"""),45077.5690770486)</f>
        <v>45077.56908</v>
      </c>
      <c r="D6397" s="15">
        <f>IFERROR(__xludf.DUMMYFUNCTION("""COMPUTED_VALUE"""),1.009)</f>
        <v>1.009</v>
      </c>
      <c r="E6397" s="16">
        <f>IFERROR(__xludf.DUMMYFUNCTION("""COMPUTED_VALUE"""),66.0)</f>
        <v>66</v>
      </c>
      <c r="F6397" s="19" t="str">
        <f>IFERROR(__xludf.DUMMYFUNCTION("""COMPUTED_VALUE"""),"BLACK")</f>
        <v>BLACK</v>
      </c>
      <c r="G6397" s="20" t="str">
        <f>IFERROR(__xludf.DUMMYFUNCTION("""COMPUTED_VALUE"""),"Uncle Sams Cider (04/04/2023)")</f>
        <v>Uncle Sams Cider (04/04/2023)</v>
      </c>
      <c r="H6397" s="19"/>
    </row>
    <row r="6398">
      <c r="A6398" s="9"/>
      <c r="B6398" s="15"/>
      <c r="C6398" s="9">
        <f>IFERROR(__xludf.DUMMYFUNCTION("""COMPUTED_VALUE"""),45077.5586569907)</f>
        <v>45077.55866</v>
      </c>
      <c r="D6398" s="15">
        <f>IFERROR(__xludf.DUMMYFUNCTION("""COMPUTED_VALUE"""),1.009)</f>
        <v>1.009</v>
      </c>
      <c r="E6398" s="16">
        <f>IFERROR(__xludf.DUMMYFUNCTION("""COMPUTED_VALUE"""),66.0)</f>
        <v>66</v>
      </c>
      <c r="F6398" s="19" t="str">
        <f>IFERROR(__xludf.DUMMYFUNCTION("""COMPUTED_VALUE"""),"BLACK")</f>
        <v>BLACK</v>
      </c>
      <c r="G6398" s="20" t="str">
        <f>IFERROR(__xludf.DUMMYFUNCTION("""COMPUTED_VALUE"""),"Uncle Sams Cider (04/04/2023)")</f>
        <v>Uncle Sams Cider (04/04/2023)</v>
      </c>
      <c r="H6398" s="19"/>
    </row>
    <row r="6399">
      <c r="A6399" s="9"/>
      <c r="B6399" s="15"/>
      <c r="C6399" s="9">
        <f>IFERROR(__xludf.DUMMYFUNCTION("""COMPUTED_VALUE"""),45077.5482366203)</f>
        <v>45077.54824</v>
      </c>
      <c r="D6399" s="15">
        <f>IFERROR(__xludf.DUMMYFUNCTION("""COMPUTED_VALUE"""),1.01)</f>
        <v>1.01</v>
      </c>
      <c r="E6399" s="16">
        <f>IFERROR(__xludf.DUMMYFUNCTION("""COMPUTED_VALUE"""),66.0)</f>
        <v>66</v>
      </c>
      <c r="F6399" s="19" t="str">
        <f>IFERROR(__xludf.DUMMYFUNCTION("""COMPUTED_VALUE"""),"BLACK")</f>
        <v>BLACK</v>
      </c>
      <c r="G6399" s="20" t="str">
        <f>IFERROR(__xludf.DUMMYFUNCTION("""COMPUTED_VALUE"""),"Uncle Sams Cider (04/04/2023)")</f>
        <v>Uncle Sams Cider (04/04/2023)</v>
      </c>
      <c r="H6399" s="19"/>
    </row>
    <row r="6400">
      <c r="A6400" s="9"/>
      <c r="B6400" s="15"/>
      <c r="C6400" s="9">
        <f>IFERROR(__xludf.DUMMYFUNCTION("""COMPUTED_VALUE"""),45077.537815706)</f>
        <v>45077.53782</v>
      </c>
      <c r="D6400" s="15">
        <f>IFERROR(__xludf.DUMMYFUNCTION("""COMPUTED_VALUE"""),1.009)</f>
        <v>1.009</v>
      </c>
      <c r="E6400" s="16">
        <f>IFERROR(__xludf.DUMMYFUNCTION("""COMPUTED_VALUE"""),66.0)</f>
        <v>66</v>
      </c>
      <c r="F6400" s="19" t="str">
        <f>IFERROR(__xludf.DUMMYFUNCTION("""COMPUTED_VALUE"""),"BLACK")</f>
        <v>BLACK</v>
      </c>
      <c r="G6400" s="20" t="str">
        <f>IFERROR(__xludf.DUMMYFUNCTION("""COMPUTED_VALUE"""),"Uncle Sams Cider (04/04/2023)")</f>
        <v>Uncle Sams Cider (04/04/2023)</v>
      </c>
      <c r="H6400" s="19"/>
    </row>
    <row r="6401">
      <c r="A6401" s="9"/>
      <c r="B6401" s="15"/>
      <c r="C6401" s="9">
        <f>IFERROR(__xludf.DUMMYFUNCTION("""COMPUTED_VALUE"""),45077.5273951041)</f>
        <v>45077.5274</v>
      </c>
      <c r="D6401" s="15">
        <f>IFERROR(__xludf.DUMMYFUNCTION("""COMPUTED_VALUE"""),1.01)</f>
        <v>1.01</v>
      </c>
      <c r="E6401" s="16">
        <f>IFERROR(__xludf.DUMMYFUNCTION("""COMPUTED_VALUE"""),66.0)</f>
        <v>66</v>
      </c>
      <c r="F6401" s="19" t="str">
        <f>IFERROR(__xludf.DUMMYFUNCTION("""COMPUTED_VALUE"""),"BLACK")</f>
        <v>BLACK</v>
      </c>
      <c r="G6401" s="20" t="str">
        <f>IFERROR(__xludf.DUMMYFUNCTION("""COMPUTED_VALUE"""),"Uncle Sams Cider (04/04/2023)")</f>
        <v>Uncle Sams Cider (04/04/2023)</v>
      </c>
      <c r="H6401" s="19"/>
    </row>
    <row r="6402">
      <c r="A6402" s="9"/>
      <c r="B6402" s="15"/>
      <c r="C6402" s="9">
        <f>IFERROR(__xludf.DUMMYFUNCTION("""COMPUTED_VALUE"""),45077.5169748263)</f>
        <v>45077.51697</v>
      </c>
      <c r="D6402" s="15">
        <f>IFERROR(__xludf.DUMMYFUNCTION("""COMPUTED_VALUE"""),1.009)</f>
        <v>1.009</v>
      </c>
      <c r="E6402" s="16">
        <f>IFERROR(__xludf.DUMMYFUNCTION("""COMPUTED_VALUE"""),66.0)</f>
        <v>66</v>
      </c>
      <c r="F6402" s="19" t="str">
        <f>IFERROR(__xludf.DUMMYFUNCTION("""COMPUTED_VALUE"""),"BLACK")</f>
        <v>BLACK</v>
      </c>
      <c r="G6402" s="20" t="str">
        <f>IFERROR(__xludf.DUMMYFUNCTION("""COMPUTED_VALUE"""),"Uncle Sams Cider (04/04/2023)")</f>
        <v>Uncle Sams Cider (04/04/2023)</v>
      </c>
      <c r="H6402" s="19"/>
    </row>
    <row r="6403">
      <c r="A6403" s="9"/>
      <c r="B6403" s="15"/>
      <c r="C6403" s="9">
        <f>IFERROR(__xludf.DUMMYFUNCTION("""COMPUTED_VALUE"""),45077.5065528935)</f>
        <v>45077.50655</v>
      </c>
      <c r="D6403" s="15">
        <f>IFERROR(__xludf.DUMMYFUNCTION("""COMPUTED_VALUE"""),1.009)</f>
        <v>1.009</v>
      </c>
      <c r="E6403" s="16">
        <f>IFERROR(__xludf.DUMMYFUNCTION("""COMPUTED_VALUE"""),66.0)</f>
        <v>66</v>
      </c>
      <c r="F6403" s="19" t="str">
        <f>IFERROR(__xludf.DUMMYFUNCTION("""COMPUTED_VALUE"""),"BLACK")</f>
        <v>BLACK</v>
      </c>
      <c r="G6403" s="20" t="str">
        <f>IFERROR(__xludf.DUMMYFUNCTION("""COMPUTED_VALUE"""),"Uncle Sams Cider (04/04/2023)")</f>
        <v>Uncle Sams Cider (04/04/2023)</v>
      </c>
      <c r="H6403" s="19"/>
    </row>
    <row r="6404">
      <c r="A6404" s="9"/>
      <c r="B6404" s="15"/>
      <c r="C6404" s="9">
        <f>IFERROR(__xludf.DUMMYFUNCTION("""COMPUTED_VALUE"""),45077.4961203125)</f>
        <v>45077.49612</v>
      </c>
      <c r="D6404" s="15">
        <f>IFERROR(__xludf.DUMMYFUNCTION("""COMPUTED_VALUE"""),1.01)</f>
        <v>1.01</v>
      </c>
      <c r="E6404" s="16">
        <f>IFERROR(__xludf.DUMMYFUNCTION("""COMPUTED_VALUE"""),66.0)</f>
        <v>66</v>
      </c>
      <c r="F6404" s="19" t="str">
        <f>IFERROR(__xludf.DUMMYFUNCTION("""COMPUTED_VALUE"""),"BLACK")</f>
        <v>BLACK</v>
      </c>
      <c r="G6404" s="20" t="str">
        <f>IFERROR(__xludf.DUMMYFUNCTION("""COMPUTED_VALUE"""),"Uncle Sams Cider (04/04/2023)")</f>
        <v>Uncle Sams Cider (04/04/2023)</v>
      </c>
      <c r="H6404" s="19"/>
    </row>
    <row r="6405">
      <c r="A6405" s="9"/>
      <c r="B6405" s="15"/>
      <c r="C6405" s="9">
        <f>IFERROR(__xludf.DUMMYFUNCTION("""COMPUTED_VALUE"""),45077.4856992361)</f>
        <v>45077.4857</v>
      </c>
      <c r="D6405" s="15">
        <f>IFERROR(__xludf.DUMMYFUNCTION("""COMPUTED_VALUE"""),1.009)</f>
        <v>1.009</v>
      </c>
      <c r="E6405" s="16">
        <f>IFERROR(__xludf.DUMMYFUNCTION("""COMPUTED_VALUE"""),66.0)</f>
        <v>66</v>
      </c>
      <c r="F6405" s="19" t="str">
        <f>IFERROR(__xludf.DUMMYFUNCTION("""COMPUTED_VALUE"""),"BLACK")</f>
        <v>BLACK</v>
      </c>
      <c r="G6405" s="20" t="str">
        <f>IFERROR(__xludf.DUMMYFUNCTION("""COMPUTED_VALUE"""),"Uncle Sams Cider (04/04/2023)")</f>
        <v>Uncle Sams Cider (04/04/2023)</v>
      </c>
      <c r="H6405" s="19"/>
    </row>
    <row r="6406">
      <c r="A6406" s="9"/>
      <c r="B6406" s="15"/>
      <c r="C6406" s="9">
        <f>IFERROR(__xludf.DUMMYFUNCTION("""COMPUTED_VALUE"""),45077.4752647916)</f>
        <v>45077.47526</v>
      </c>
      <c r="D6406" s="15">
        <f>IFERROR(__xludf.DUMMYFUNCTION("""COMPUTED_VALUE"""),1.009)</f>
        <v>1.009</v>
      </c>
      <c r="E6406" s="16">
        <f>IFERROR(__xludf.DUMMYFUNCTION("""COMPUTED_VALUE"""),66.0)</f>
        <v>66</v>
      </c>
      <c r="F6406" s="19" t="str">
        <f>IFERROR(__xludf.DUMMYFUNCTION("""COMPUTED_VALUE"""),"BLACK")</f>
        <v>BLACK</v>
      </c>
      <c r="G6406" s="20" t="str">
        <f>IFERROR(__xludf.DUMMYFUNCTION("""COMPUTED_VALUE"""),"Uncle Sams Cider (04/04/2023)")</f>
        <v>Uncle Sams Cider (04/04/2023)</v>
      </c>
      <c r="H6406" s="19"/>
    </row>
    <row r="6407">
      <c r="A6407" s="9"/>
      <c r="B6407" s="15"/>
      <c r="C6407" s="9">
        <f>IFERROR(__xludf.DUMMYFUNCTION("""COMPUTED_VALUE"""),45077.4648336342)</f>
        <v>45077.46483</v>
      </c>
      <c r="D6407" s="15">
        <f>IFERROR(__xludf.DUMMYFUNCTION("""COMPUTED_VALUE"""),1.01)</f>
        <v>1.01</v>
      </c>
      <c r="E6407" s="16">
        <f>IFERROR(__xludf.DUMMYFUNCTION("""COMPUTED_VALUE"""),66.0)</f>
        <v>66</v>
      </c>
      <c r="F6407" s="19" t="str">
        <f>IFERROR(__xludf.DUMMYFUNCTION("""COMPUTED_VALUE"""),"BLACK")</f>
        <v>BLACK</v>
      </c>
      <c r="G6407" s="20" t="str">
        <f>IFERROR(__xludf.DUMMYFUNCTION("""COMPUTED_VALUE"""),"Uncle Sams Cider (04/04/2023)")</f>
        <v>Uncle Sams Cider (04/04/2023)</v>
      </c>
      <c r="H6407" s="19"/>
    </row>
    <row r="6408">
      <c r="A6408" s="9"/>
      <c r="B6408" s="15"/>
      <c r="C6408" s="9">
        <f>IFERROR(__xludf.DUMMYFUNCTION("""COMPUTED_VALUE"""),45077.4543913425)</f>
        <v>45077.45439</v>
      </c>
      <c r="D6408" s="15">
        <f>IFERROR(__xludf.DUMMYFUNCTION("""COMPUTED_VALUE"""),1.009)</f>
        <v>1.009</v>
      </c>
      <c r="E6408" s="16">
        <f>IFERROR(__xludf.DUMMYFUNCTION("""COMPUTED_VALUE"""),66.0)</f>
        <v>66</v>
      </c>
      <c r="F6408" s="19" t="str">
        <f>IFERROR(__xludf.DUMMYFUNCTION("""COMPUTED_VALUE"""),"BLACK")</f>
        <v>BLACK</v>
      </c>
      <c r="G6408" s="20" t="str">
        <f>IFERROR(__xludf.DUMMYFUNCTION("""COMPUTED_VALUE"""),"Uncle Sams Cider (04/04/2023)")</f>
        <v>Uncle Sams Cider (04/04/2023)</v>
      </c>
      <c r="H6408" s="19"/>
    </row>
    <row r="6409">
      <c r="A6409" s="9"/>
      <c r="B6409" s="15"/>
      <c r="C6409" s="9">
        <f>IFERROR(__xludf.DUMMYFUNCTION("""COMPUTED_VALUE"""),45077.4439583449)</f>
        <v>45077.44396</v>
      </c>
      <c r="D6409" s="15">
        <f>IFERROR(__xludf.DUMMYFUNCTION("""COMPUTED_VALUE"""),1.01)</f>
        <v>1.01</v>
      </c>
      <c r="E6409" s="16">
        <f>IFERROR(__xludf.DUMMYFUNCTION("""COMPUTED_VALUE"""),66.0)</f>
        <v>66</v>
      </c>
      <c r="F6409" s="19" t="str">
        <f>IFERROR(__xludf.DUMMYFUNCTION("""COMPUTED_VALUE"""),"BLACK")</f>
        <v>BLACK</v>
      </c>
      <c r="G6409" s="20" t="str">
        <f>IFERROR(__xludf.DUMMYFUNCTION("""COMPUTED_VALUE"""),"Uncle Sams Cider (04/04/2023)")</f>
        <v>Uncle Sams Cider (04/04/2023)</v>
      </c>
      <c r="H6409" s="19"/>
    </row>
    <row r="6410">
      <c r="A6410" s="9"/>
      <c r="B6410" s="15"/>
      <c r="C6410" s="9">
        <f>IFERROR(__xludf.DUMMYFUNCTION("""COMPUTED_VALUE"""),45077.433536956)</f>
        <v>45077.43354</v>
      </c>
      <c r="D6410" s="15">
        <f>IFERROR(__xludf.DUMMYFUNCTION("""COMPUTED_VALUE"""),1.01)</f>
        <v>1.01</v>
      </c>
      <c r="E6410" s="16">
        <f>IFERROR(__xludf.DUMMYFUNCTION("""COMPUTED_VALUE"""),66.0)</f>
        <v>66</v>
      </c>
      <c r="F6410" s="19" t="str">
        <f>IFERROR(__xludf.DUMMYFUNCTION("""COMPUTED_VALUE"""),"BLACK")</f>
        <v>BLACK</v>
      </c>
      <c r="G6410" s="20" t="str">
        <f>IFERROR(__xludf.DUMMYFUNCTION("""COMPUTED_VALUE"""),"Uncle Sams Cider (04/04/2023)")</f>
        <v>Uncle Sams Cider (04/04/2023)</v>
      </c>
      <c r="H6410" s="19"/>
    </row>
    <row r="6411">
      <c r="A6411" s="9"/>
      <c r="B6411" s="15"/>
      <c r="C6411" s="9">
        <f>IFERROR(__xludf.DUMMYFUNCTION("""COMPUTED_VALUE"""),45077.4231176157)</f>
        <v>45077.42312</v>
      </c>
      <c r="D6411" s="15">
        <f>IFERROR(__xludf.DUMMYFUNCTION("""COMPUTED_VALUE"""),1.01)</f>
        <v>1.01</v>
      </c>
      <c r="E6411" s="16">
        <f>IFERROR(__xludf.DUMMYFUNCTION("""COMPUTED_VALUE"""),66.0)</f>
        <v>66</v>
      </c>
      <c r="F6411" s="19" t="str">
        <f>IFERROR(__xludf.DUMMYFUNCTION("""COMPUTED_VALUE"""),"BLACK")</f>
        <v>BLACK</v>
      </c>
      <c r="G6411" s="20" t="str">
        <f>IFERROR(__xludf.DUMMYFUNCTION("""COMPUTED_VALUE"""),"Uncle Sams Cider (04/04/2023)")</f>
        <v>Uncle Sams Cider (04/04/2023)</v>
      </c>
      <c r="H6411" s="19"/>
    </row>
    <row r="6412">
      <c r="A6412" s="9"/>
      <c r="B6412" s="15"/>
      <c r="C6412" s="9">
        <f>IFERROR(__xludf.DUMMYFUNCTION("""COMPUTED_VALUE"""),45077.4126970717)</f>
        <v>45077.4127</v>
      </c>
      <c r="D6412" s="15">
        <f>IFERROR(__xludf.DUMMYFUNCTION("""COMPUTED_VALUE"""),1.009)</f>
        <v>1.009</v>
      </c>
      <c r="E6412" s="16">
        <f>IFERROR(__xludf.DUMMYFUNCTION("""COMPUTED_VALUE"""),66.0)</f>
        <v>66</v>
      </c>
      <c r="F6412" s="19" t="str">
        <f>IFERROR(__xludf.DUMMYFUNCTION("""COMPUTED_VALUE"""),"BLACK")</f>
        <v>BLACK</v>
      </c>
      <c r="G6412" s="20" t="str">
        <f>IFERROR(__xludf.DUMMYFUNCTION("""COMPUTED_VALUE"""),"Uncle Sams Cider (04/04/2023)")</f>
        <v>Uncle Sams Cider (04/04/2023)</v>
      </c>
      <c r="H6412" s="19"/>
    </row>
    <row r="6413">
      <c r="A6413" s="9"/>
      <c r="B6413" s="15"/>
      <c r="C6413" s="9">
        <f>IFERROR(__xludf.DUMMYFUNCTION("""COMPUTED_VALUE"""),45077.4022647338)</f>
        <v>45077.40226</v>
      </c>
      <c r="D6413" s="15">
        <f>IFERROR(__xludf.DUMMYFUNCTION("""COMPUTED_VALUE"""),1.01)</f>
        <v>1.01</v>
      </c>
      <c r="E6413" s="16">
        <f>IFERROR(__xludf.DUMMYFUNCTION("""COMPUTED_VALUE"""),66.0)</f>
        <v>66</v>
      </c>
      <c r="F6413" s="19" t="str">
        <f>IFERROR(__xludf.DUMMYFUNCTION("""COMPUTED_VALUE"""),"BLACK")</f>
        <v>BLACK</v>
      </c>
      <c r="G6413" s="20" t="str">
        <f>IFERROR(__xludf.DUMMYFUNCTION("""COMPUTED_VALUE"""),"Uncle Sams Cider (04/04/2023)")</f>
        <v>Uncle Sams Cider (04/04/2023)</v>
      </c>
      <c r="H6413" s="19"/>
    </row>
    <row r="6414">
      <c r="A6414" s="9"/>
      <c r="B6414" s="15"/>
      <c r="C6414" s="9">
        <f>IFERROR(__xludf.DUMMYFUNCTION("""COMPUTED_VALUE"""),45077.3918431713)</f>
        <v>45077.39184</v>
      </c>
      <c r="D6414" s="15">
        <f>IFERROR(__xludf.DUMMYFUNCTION("""COMPUTED_VALUE"""),1.01)</f>
        <v>1.01</v>
      </c>
      <c r="E6414" s="16">
        <f>IFERROR(__xludf.DUMMYFUNCTION("""COMPUTED_VALUE"""),66.0)</f>
        <v>66</v>
      </c>
      <c r="F6414" s="19" t="str">
        <f>IFERROR(__xludf.DUMMYFUNCTION("""COMPUTED_VALUE"""),"BLACK")</f>
        <v>BLACK</v>
      </c>
      <c r="G6414" s="20" t="str">
        <f>IFERROR(__xludf.DUMMYFUNCTION("""COMPUTED_VALUE"""),"Uncle Sams Cider (04/04/2023)")</f>
        <v>Uncle Sams Cider (04/04/2023)</v>
      </c>
      <c r="H6414" s="19"/>
    </row>
    <row r="6415">
      <c r="A6415" s="9"/>
      <c r="B6415" s="15"/>
      <c r="C6415" s="9">
        <f>IFERROR(__xludf.DUMMYFUNCTION("""COMPUTED_VALUE"""),45077.3814203009)</f>
        <v>45077.38142</v>
      </c>
      <c r="D6415" s="15">
        <f>IFERROR(__xludf.DUMMYFUNCTION("""COMPUTED_VALUE"""),1.009)</f>
        <v>1.009</v>
      </c>
      <c r="E6415" s="16">
        <f>IFERROR(__xludf.DUMMYFUNCTION("""COMPUTED_VALUE"""),66.0)</f>
        <v>66</v>
      </c>
      <c r="F6415" s="19" t="str">
        <f>IFERROR(__xludf.DUMMYFUNCTION("""COMPUTED_VALUE"""),"BLACK")</f>
        <v>BLACK</v>
      </c>
      <c r="G6415" s="20" t="str">
        <f>IFERROR(__xludf.DUMMYFUNCTION("""COMPUTED_VALUE"""),"Uncle Sams Cider (04/04/2023)")</f>
        <v>Uncle Sams Cider (04/04/2023)</v>
      </c>
      <c r="H6415" s="19"/>
    </row>
    <row r="6416">
      <c r="A6416" s="9"/>
      <c r="B6416" s="15"/>
      <c r="C6416" s="9">
        <f>IFERROR(__xludf.DUMMYFUNCTION("""COMPUTED_VALUE"""),45077.3709989004)</f>
        <v>45077.371</v>
      </c>
      <c r="D6416" s="15">
        <f>IFERROR(__xludf.DUMMYFUNCTION("""COMPUTED_VALUE"""),1.009)</f>
        <v>1.009</v>
      </c>
      <c r="E6416" s="16">
        <f>IFERROR(__xludf.DUMMYFUNCTION("""COMPUTED_VALUE"""),66.0)</f>
        <v>66</v>
      </c>
      <c r="F6416" s="19" t="str">
        <f>IFERROR(__xludf.DUMMYFUNCTION("""COMPUTED_VALUE"""),"BLACK")</f>
        <v>BLACK</v>
      </c>
      <c r="G6416" s="20" t="str">
        <f>IFERROR(__xludf.DUMMYFUNCTION("""COMPUTED_VALUE"""),"Uncle Sams Cider (04/04/2023)")</f>
        <v>Uncle Sams Cider (04/04/2023)</v>
      </c>
      <c r="H6416" s="19"/>
    </row>
    <row r="6417">
      <c r="A6417" s="9"/>
      <c r="B6417" s="15"/>
      <c r="C6417" s="9">
        <f>IFERROR(__xludf.DUMMYFUNCTION("""COMPUTED_VALUE"""),45077.3605780555)</f>
        <v>45077.36058</v>
      </c>
      <c r="D6417" s="15">
        <f>IFERROR(__xludf.DUMMYFUNCTION("""COMPUTED_VALUE"""),1.009)</f>
        <v>1.009</v>
      </c>
      <c r="E6417" s="16">
        <f>IFERROR(__xludf.DUMMYFUNCTION("""COMPUTED_VALUE"""),66.0)</f>
        <v>66</v>
      </c>
      <c r="F6417" s="19" t="str">
        <f>IFERROR(__xludf.DUMMYFUNCTION("""COMPUTED_VALUE"""),"BLACK")</f>
        <v>BLACK</v>
      </c>
      <c r="G6417" s="20" t="str">
        <f>IFERROR(__xludf.DUMMYFUNCTION("""COMPUTED_VALUE"""),"Uncle Sams Cider (04/04/2023)")</f>
        <v>Uncle Sams Cider (04/04/2023)</v>
      </c>
      <c r="H6417" s="19"/>
    </row>
    <row r="6418">
      <c r="A6418" s="9"/>
      <c r="B6418" s="15"/>
      <c r="C6418" s="9">
        <f>IFERROR(__xludf.DUMMYFUNCTION("""COMPUTED_VALUE"""),45077.3501566319)</f>
        <v>45077.35016</v>
      </c>
      <c r="D6418" s="15">
        <f>IFERROR(__xludf.DUMMYFUNCTION("""COMPUTED_VALUE"""),1.01)</f>
        <v>1.01</v>
      </c>
      <c r="E6418" s="16">
        <f>IFERROR(__xludf.DUMMYFUNCTION("""COMPUTED_VALUE"""),66.0)</f>
        <v>66</v>
      </c>
      <c r="F6418" s="19" t="str">
        <f>IFERROR(__xludf.DUMMYFUNCTION("""COMPUTED_VALUE"""),"BLACK")</f>
        <v>BLACK</v>
      </c>
      <c r="G6418" s="20" t="str">
        <f>IFERROR(__xludf.DUMMYFUNCTION("""COMPUTED_VALUE"""),"Uncle Sams Cider (04/04/2023)")</f>
        <v>Uncle Sams Cider (04/04/2023)</v>
      </c>
      <c r="H6418" s="19"/>
    </row>
    <row r="6419">
      <c r="A6419" s="9"/>
      <c r="B6419" s="15"/>
      <c r="C6419" s="9">
        <f>IFERROR(__xludf.DUMMYFUNCTION("""COMPUTED_VALUE"""),45077.3397357291)</f>
        <v>45077.33974</v>
      </c>
      <c r="D6419" s="15">
        <f>IFERROR(__xludf.DUMMYFUNCTION("""COMPUTED_VALUE"""),1.01)</f>
        <v>1.01</v>
      </c>
      <c r="E6419" s="16">
        <f>IFERROR(__xludf.DUMMYFUNCTION("""COMPUTED_VALUE"""),66.0)</f>
        <v>66</v>
      </c>
      <c r="F6419" s="19" t="str">
        <f>IFERROR(__xludf.DUMMYFUNCTION("""COMPUTED_VALUE"""),"BLACK")</f>
        <v>BLACK</v>
      </c>
      <c r="G6419" s="20" t="str">
        <f>IFERROR(__xludf.DUMMYFUNCTION("""COMPUTED_VALUE"""),"Uncle Sams Cider (04/04/2023)")</f>
        <v>Uncle Sams Cider (04/04/2023)</v>
      </c>
      <c r="H6419" s="19"/>
    </row>
    <row r="6420">
      <c r="A6420" s="9"/>
      <c r="B6420" s="15"/>
      <c r="C6420" s="9">
        <f>IFERROR(__xludf.DUMMYFUNCTION("""COMPUTED_VALUE"""),45077.3293135879)</f>
        <v>45077.32931</v>
      </c>
      <c r="D6420" s="15">
        <f>IFERROR(__xludf.DUMMYFUNCTION("""COMPUTED_VALUE"""),1.01)</f>
        <v>1.01</v>
      </c>
      <c r="E6420" s="16">
        <f>IFERROR(__xludf.DUMMYFUNCTION("""COMPUTED_VALUE"""),66.0)</f>
        <v>66</v>
      </c>
      <c r="F6420" s="19" t="str">
        <f>IFERROR(__xludf.DUMMYFUNCTION("""COMPUTED_VALUE"""),"BLACK")</f>
        <v>BLACK</v>
      </c>
      <c r="G6420" s="20" t="str">
        <f>IFERROR(__xludf.DUMMYFUNCTION("""COMPUTED_VALUE"""),"Uncle Sams Cider (04/04/2023)")</f>
        <v>Uncle Sams Cider (04/04/2023)</v>
      </c>
      <c r="H6420" s="19"/>
    </row>
    <row r="6421">
      <c r="A6421" s="9"/>
      <c r="B6421" s="15"/>
      <c r="C6421" s="9">
        <f>IFERROR(__xludf.DUMMYFUNCTION("""COMPUTED_VALUE"""),45077.3188918287)</f>
        <v>45077.31889</v>
      </c>
      <c r="D6421" s="15">
        <f>IFERROR(__xludf.DUMMYFUNCTION("""COMPUTED_VALUE"""),1.01)</f>
        <v>1.01</v>
      </c>
      <c r="E6421" s="16">
        <f>IFERROR(__xludf.DUMMYFUNCTION("""COMPUTED_VALUE"""),66.0)</f>
        <v>66</v>
      </c>
      <c r="F6421" s="19" t="str">
        <f>IFERROR(__xludf.DUMMYFUNCTION("""COMPUTED_VALUE"""),"BLACK")</f>
        <v>BLACK</v>
      </c>
      <c r="G6421" s="20" t="str">
        <f>IFERROR(__xludf.DUMMYFUNCTION("""COMPUTED_VALUE"""),"Uncle Sams Cider (04/04/2023)")</f>
        <v>Uncle Sams Cider (04/04/2023)</v>
      </c>
      <c r="H6421" s="19"/>
    </row>
    <row r="6422">
      <c r="A6422" s="9"/>
      <c r="B6422" s="15"/>
      <c r="C6422" s="9">
        <f>IFERROR(__xludf.DUMMYFUNCTION("""COMPUTED_VALUE"""),45077.3084710879)</f>
        <v>45077.30847</v>
      </c>
      <c r="D6422" s="15">
        <f>IFERROR(__xludf.DUMMYFUNCTION("""COMPUTED_VALUE"""),1.01)</f>
        <v>1.01</v>
      </c>
      <c r="E6422" s="16">
        <f>IFERROR(__xludf.DUMMYFUNCTION("""COMPUTED_VALUE"""),66.0)</f>
        <v>66</v>
      </c>
      <c r="F6422" s="19" t="str">
        <f>IFERROR(__xludf.DUMMYFUNCTION("""COMPUTED_VALUE"""),"BLACK")</f>
        <v>BLACK</v>
      </c>
      <c r="G6422" s="20" t="str">
        <f>IFERROR(__xludf.DUMMYFUNCTION("""COMPUTED_VALUE"""),"Uncle Sams Cider (04/04/2023)")</f>
        <v>Uncle Sams Cider (04/04/2023)</v>
      </c>
      <c r="H6422" s="19"/>
    </row>
    <row r="6423">
      <c r="A6423" s="9"/>
      <c r="B6423" s="15"/>
      <c r="C6423" s="9">
        <f>IFERROR(__xludf.DUMMYFUNCTION("""COMPUTED_VALUE"""),45077.2980503009)</f>
        <v>45077.29805</v>
      </c>
      <c r="D6423" s="15">
        <f>IFERROR(__xludf.DUMMYFUNCTION("""COMPUTED_VALUE"""),1.009)</f>
        <v>1.009</v>
      </c>
      <c r="E6423" s="16">
        <f>IFERROR(__xludf.DUMMYFUNCTION("""COMPUTED_VALUE"""),66.0)</f>
        <v>66</v>
      </c>
      <c r="F6423" s="19" t="str">
        <f>IFERROR(__xludf.DUMMYFUNCTION("""COMPUTED_VALUE"""),"BLACK")</f>
        <v>BLACK</v>
      </c>
      <c r="G6423" s="20" t="str">
        <f>IFERROR(__xludf.DUMMYFUNCTION("""COMPUTED_VALUE"""),"Uncle Sams Cider (04/04/2023)")</f>
        <v>Uncle Sams Cider (04/04/2023)</v>
      </c>
      <c r="H6423" s="19"/>
    </row>
    <row r="6424">
      <c r="A6424" s="9"/>
      <c r="B6424" s="15"/>
      <c r="C6424" s="9">
        <f>IFERROR(__xludf.DUMMYFUNCTION("""COMPUTED_VALUE"""),45077.2876292013)</f>
        <v>45077.28763</v>
      </c>
      <c r="D6424" s="15">
        <f>IFERROR(__xludf.DUMMYFUNCTION("""COMPUTED_VALUE"""),1.009)</f>
        <v>1.009</v>
      </c>
      <c r="E6424" s="16">
        <f>IFERROR(__xludf.DUMMYFUNCTION("""COMPUTED_VALUE"""),66.0)</f>
        <v>66</v>
      </c>
      <c r="F6424" s="19" t="str">
        <f>IFERROR(__xludf.DUMMYFUNCTION("""COMPUTED_VALUE"""),"BLACK")</f>
        <v>BLACK</v>
      </c>
      <c r="G6424" s="20" t="str">
        <f>IFERROR(__xludf.DUMMYFUNCTION("""COMPUTED_VALUE"""),"Uncle Sams Cider (04/04/2023)")</f>
        <v>Uncle Sams Cider (04/04/2023)</v>
      </c>
      <c r="H6424" s="19"/>
    </row>
    <row r="6425">
      <c r="A6425" s="9"/>
      <c r="B6425" s="15"/>
      <c r="C6425" s="9">
        <f>IFERROR(__xludf.DUMMYFUNCTION("""COMPUTED_VALUE"""),45077.277208831)</f>
        <v>45077.27721</v>
      </c>
      <c r="D6425" s="15">
        <f>IFERROR(__xludf.DUMMYFUNCTION("""COMPUTED_VALUE"""),1.01)</f>
        <v>1.01</v>
      </c>
      <c r="E6425" s="16">
        <f>IFERROR(__xludf.DUMMYFUNCTION("""COMPUTED_VALUE"""),66.0)</f>
        <v>66</v>
      </c>
      <c r="F6425" s="19" t="str">
        <f>IFERROR(__xludf.DUMMYFUNCTION("""COMPUTED_VALUE"""),"BLACK")</f>
        <v>BLACK</v>
      </c>
      <c r="G6425" s="20" t="str">
        <f>IFERROR(__xludf.DUMMYFUNCTION("""COMPUTED_VALUE"""),"Uncle Sams Cider (04/04/2023)")</f>
        <v>Uncle Sams Cider (04/04/2023)</v>
      </c>
      <c r="H6425" s="19"/>
    </row>
    <row r="6426">
      <c r="A6426" s="9"/>
      <c r="B6426" s="15"/>
      <c r="C6426" s="9">
        <f>IFERROR(__xludf.DUMMYFUNCTION("""COMPUTED_VALUE"""),45077.2667774652)</f>
        <v>45077.26678</v>
      </c>
      <c r="D6426" s="15">
        <f>IFERROR(__xludf.DUMMYFUNCTION("""COMPUTED_VALUE"""),1.01)</f>
        <v>1.01</v>
      </c>
      <c r="E6426" s="16">
        <f>IFERROR(__xludf.DUMMYFUNCTION("""COMPUTED_VALUE"""),66.0)</f>
        <v>66</v>
      </c>
      <c r="F6426" s="19" t="str">
        <f>IFERROR(__xludf.DUMMYFUNCTION("""COMPUTED_VALUE"""),"BLACK")</f>
        <v>BLACK</v>
      </c>
      <c r="G6426" s="20" t="str">
        <f>IFERROR(__xludf.DUMMYFUNCTION("""COMPUTED_VALUE"""),"Uncle Sams Cider (04/04/2023)")</f>
        <v>Uncle Sams Cider (04/04/2023)</v>
      </c>
      <c r="H6426" s="19"/>
    </row>
    <row r="6427">
      <c r="A6427" s="9"/>
      <c r="B6427" s="15"/>
      <c r="C6427" s="9">
        <f>IFERROR(__xludf.DUMMYFUNCTION("""COMPUTED_VALUE"""),45077.2563574421)</f>
        <v>45077.25636</v>
      </c>
      <c r="D6427" s="15">
        <f>IFERROR(__xludf.DUMMYFUNCTION("""COMPUTED_VALUE"""),1.01)</f>
        <v>1.01</v>
      </c>
      <c r="E6427" s="16">
        <f>IFERROR(__xludf.DUMMYFUNCTION("""COMPUTED_VALUE"""),66.0)</f>
        <v>66</v>
      </c>
      <c r="F6427" s="19" t="str">
        <f>IFERROR(__xludf.DUMMYFUNCTION("""COMPUTED_VALUE"""),"BLACK")</f>
        <v>BLACK</v>
      </c>
      <c r="G6427" s="20" t="str">
        <f>IFERROR(__xludf.DUMMYFUNCTION("""COMPUTED_VALUE"""),"Uncle Sams Cider (04/04/2023)")</f>
        <v>Uncle Sams Cider (04/04/2023)</v>
      </c>
      <c r="H6427" s="19"/>
    </row>
    <row r="6428">
      <c r="A6428" s="9"/>
      <c r="B6428" s="15"/>
      <c r="C6428" s="9">
        <f>IFERROR(__xludf.DUMMYFUNCTION("""COMPUTED_VALUE"""),45077.2459377893)</f>
        <v>45077.24594</v>
      </c>
      <c r="D6428" s="15">
        <f>IFERROR(__xludf.DUMMYFUNCTION("""COMPUTED_VALUE"""),1.01)</f>
        <v>1.01</v>
      </c>
      <c r="E6428" s="16">
        <f>IFERROR(__xludf.DUMMYFUNCTION("""COMPUTED_VALUE"""),66.0)</f>
        <v>66</v>
      </c>
      <c r="F6428" s="19" t="str">
        <f>IFERROR(__xludf.DUMMYFUNCTION("""COMPUTED_VALUE"""),"BLACK")</f>
        <v>BLACK</v>
      </c>
      <c r="G6428" s="20" t="str">
        <f>IFERROR(__xludf.DUMMYFUNCTION("""COMPUTED_VALUE"""),"Uncle Sams Cider (04/04/2023)")</f>
        <v>Uncle Sams Cider (04/04/2023)</v>
      </c>
      <c r="H6428" s="19"/>
    </row>
    <row r="6429">
      <c r="A6429" s="9"/>
      <c r="B6429" s="15"/>
      <c r="C6429" s="9">
        <f>IFERROR(__xludf.DUMMYFUNCTION("""COMPUTED_VALUE"""),45077.2355159722)</f>
        <v>45077.23552</v>
      </c>
      <c r="D6429" s="15">
        <f>IFERROR(__xludf.DUMMYFUNCTION("""COMPUTED_VALUE"""),1.009)</f>
        <v>1.009</v>
      </c>
      <c r="E6429" s="16">
        <f>IFERROR(__xludf.DUMMYFUNCTION("""COMPUTED_VALUE"""),66.0)</f>
        <v>66</v>
      </c>
      <c r="F6429" s="19" t="str">
        <f>IFERROR(__xludf.DUMMYFUNCTION("""COMPUTED_VALUE"""),"BLACK")</f>
        <v>BLACK</v>
      </c>
      <c r="G6429" s="20" t="str">
        <f>IFERROR(__xludf.DUMMYFUNCTION("""COMPUTED_VALUE"""),"Uncle Sams Cider (04/04/2023)")</f>
        <v>Uncle Sams Cider (04/04/2023)</v>
      </c>
      <c r="H6429" s="19"/>
    </row>
    <row r="6430">
      <c r="A6430" s="9"/>
      <c r="B6430" s="15"/>
      <c r="C6430" s="9">
        <f>IFERROR(__xludf.DUMMYFUNCTION("""COMPUTED_VALUE"""),45077.2250849305)</f>
        <v>45077.22508</v>
      </c>
      <c r="D6430" s="15">
        <f>IFERROR(__xludf.DUMMYFUNCTION("""COMPUTED_VALUE"""),1.01)</f>
        <v>1.01</v>
      </c>
      <c r="E6430" s="16">
        <f>IFERROR(__xludf.DUMMYFUNCTION("""COMPUTED_VALUE"""),66.0)</f>
        <v>66</v>
      </c>
      <c r="F6430" s="19" t="str">
        <f>IFERROR(__xludf.DUMMYFUNCTION("""COMPUTED_VALUE"""),"BLACK")</f>
        <v>BLACK</v>
      </c>
      <c r="G6430" s="20" t="str">
        <f>IFERROR(__xludf.DUMMYFUNCTION("""COMPUTED_VALUE"""),"Uncle Sams Cider (04/04/2023)")</f>
        <v>Uncle Sams Cider (04/04/2023)</v>
      </c>
      <c r="H6430" s="19"/>
    </row>
    <row r="6431">
      <c r="A6431" s="9"/>
      <c r="B6431" s="15"/>
      <c r="C6431" s="9">
        <f>IFERROR(__xludf.DUMMYFUNCTION("""COMPUTED_VALUE"""),45077.2146518287)</f>
        <v>45077.21465</v>
      </c>
      <c r="D6431" s="15">
        <f>IFERROR(__xludf.DUMMYFUNCTION("""COMPUTED_VALUE"""),1.01)</f>
        <v>1.01</v>
      </c>
      <c r="E6431" s="16">
        <f>IFERROR(__xludf.DUMMYFUNCTION("""COMPUTED_VALUE"""),66.0)</f>
        <v>66</v>
      </c>
      <c r="F6431" s="19" t="str">
        <f>IFERROR(__xludf.DUMMYFUNCTION("""COMPUTED_VALUE"""),"BLACK")</f>
        <v>BLACK</v>
      </c>
      <c r="G6431" s="20" t="str">
        <f>IFERROR(__xludf.DUMMYFUNCTION("""COMPUTED_VALUE"""),"Uncle Sams Cider (04/04/2023)")</f>
        <v>Uncle Sams Cider (04/04/2023)</v>
      </c>
      <c r="H6431" s="19"/>
    </row>
    <row r="6432">
      <c r="A6432" s="9"/>
      <c r="B6432" s="15"/>
      <c r="C6432" s="9">
        <f>IFERROR(__xludf.DUMMYFUNCTION("""COMPUTED_VALUE"""),45077.2042299652)</f>
        <v>45077.20423</v>
      </c>
      <c r="D6432" s="15">
        <f>IFERROR(__xludf.DUMMYFUNCTION("""COMPUTED_VALUE"""),1.01)</f>
        <v>1.01</v>
      </c>
      <c r="E6432" s="16">
        <f>IFERROR(__xludf.DUMMYFUNCTION("""COMPUTED_VALUE"""),66.0)</f>
        <v>66</v>
      </c>
      <c r="F6432" s="19" t="str">
        <f>IFERROR(__xludf.DUMMYFUNCTION("""COMPUTED_VALUE"""),"BLACK")</f>
        <v>BLACK</v>
      </c>
      <c r="G6432" s="20" t="str">
        <f>IFERROR(__xludf.DUMMYFUNCTION("""COMPUTED_VALUE"""),"Uncle Sams Cider (04/04/2023)")</f>
        <v>Uncle Sams Cider (04/04/2023)</v>
      </c>
      <c r="H6432" s="19"/>
    </row>
    <row r="6433">
      <c r="A6433" s="9"/>
      <c r="B6433" s="15"/>
      <c r="C6433" s="9">
        <f>IFERROR(__xludf.DUMMYFUNCTION("""COMPUTED_VALUE"""),45077.1938092708)</f>
        <v>45077.19381</v>
      </c>
      <c r="D6433" s="15">
        <f>IFERROR(__xludf.DUMMYFUNCTION("""COMPUTED_VALUE"""),1.01)</f>
        <v>1.01</v>
      </c>
      <c r="E6433" s="16">
        <f>IFERROR(__xludf.DUMMYFUNCTION("""COMPUTED_VALUE"""),66.0)</f>
        <v>66</v>
      </c>
      <c r="F6433" s="19" t="str">
        <f>IFERROR(__xludf.DUMMYFUNCTION("""COMPUTED_VALUE"""),"BLACK")</f>
        <v>BLACK</v>
      </c>
      <c r="G6433" s="20" t="str">
        <f>IFERROR(__xludf.DUMMYFUNCTION("""COMPUTED_VALUE"""),"Uncle Sams Cider (04/04/2023)")</f>
        <v>Uncle Sams Cider (04/04/2023)</v>
      </c>
      <c r="H6433" s="19"/>
    </row>
    <row r="6434">
      <c r="A6434" s="9"/>
      <c r="B6434" s="15"/>
      <c r="C6434" s="9">
        <f>IFERROR(__xludf.DUMMYFUNCTION("""COMPUTED_VALUE"""),45077.1833864004)</f>
        <v>45077.18339</v>
      </c>
      <c r="D6434" s="15">
        <f>IFERROR(__xludf.DUMMYFUNCTION("""COMPUTED_VALUE"""),1.01)</f>
        <v>1.01</v>
      </c>
      <c r="E6434" s="16">
        <f>IFERROR(__xludf.DUMMYFUNCTION("""COMPUTED_VALUE"""),66.0)</f>
        <v>66</v>
      </c>
      <c r="F6434" s="19" t="str">
        <f>IFERROR(__xludf.DUMMYFUNCTION("""COMPUTED_VALUE"""),"BLACK")</f>
        <v>BLACK</v>
      </c>
      <c r="G6434" s="20" t="str">
        <f>IFERROR(__xludf.DUMMYFUNCTION("""COMPUTED_VALUE"""),"Uncle Sams Cider (04/04/2023)")</f>
        <v>Uncle Sams Cider (04/04/2023)</v>
      </c>
      <c r="H6434" s="19"/>
    </row>
    <row r="6435">
      <c r="A6435" s="9"/>
      <c r="B6435" s="15"/>
      <c r="C6435" s="9">
        <f>IFERROR(__xludf.DUMMYFUNCTION("""COMPUTED_VALUE"""),45077.1729651041)</f>
        <v>45077.17297</v>
      </c>
      <c r="D6435" s="15">
        <f>IFERROR(__xludf.DUMMYFUNCTION("""COMPUTED_VALUE"""),1.01)</f>
        <v>1.01</v>
      </c>
      <c r="E6435" s="16">
        <f>IFERROR(__xludf.DUMMYFUNCTION("""COMPUTED_VALUE"""),66.0)</f>
        <v>66</v>
      </c>
      <c r="F6435" s="19" t="str">
        <f>IFERROR(__xludf.DUMMYFUNCTION("""COMPUTED_VALUE"""),"BLACK")</f>
        <v>BLACK</v>
      </c>
      <c r="G6435" s="20" t="str">
        <f>IFERROR(__xludf.DUMMYFUNCTION("""COMPUTED_VALUE"""),"Uncle Sams Cider (04/04/2023)")</f>
        <v>Uncle Sams Cider (04/04/2023)</v>
      </c>
      <c r="H6435" s="19"/>
    </row>
    <row r="6436">
      <c r="A6436" s="9"/>
      <c r="B6436" s="15"/>
      <c r="C6436" s="9">
        <f>IFERROR(__xludf.DUMMYFUNCTION("""COMPUTED_VALUE"""),45077.1625440393)</f>
        <v>45077.16254</v>
      </c>
      <c r="D6436" s="15">
        <f>IFERROR(__xludf.DUMMYFUNCTION("""COMPUTED_VALUE"""),1.01)</f>
        <v>1.01</v>
      </c>
      <c r="E6436" s="16">
        <f>IFERROR(__xludf.DUMMYFUNCTION("""COMPUTED_VALUE"""),66.0)</f>
        <v>66</v>
      </c>
      <c r="F6436" s="19" t="str">
        <f>IFERROR(__xludf.DUMMYFUNCTION("""COMPUTED_VALUE"""),"BLACK")</f>
        <v>BLACK</v>
      </c>
      <c r="G6436" s="20" t="str">
        <f>IFERROR(__xludf.DUMMYFUNCTION("""COMPUTED_VALUE"""),"Uncle Sams Cider (04/04/2023)")</f>
        <v>Uncle Sams Cider (04/04/2023)</v>
      </c>
      <c r="H6436" s="19"/>
    </row>
    <row r="6437">
      <c r="A6437" s="9"/>
      <c r="B6437" s="15"/>
      <c r="C6437" s="9">
        <f>IFERROR(__xludf.DUMMYFUNCTION("""COMPUTED_VALUE"""),45077.1521243287)</f>
        <v>45077.15212</v>
      </c>
      <c r="D6437" s="15">
        <f>IFERROR(__xludf.DUMMYFUNCTION("""COMPUTED_VALUE"""),1.01)</f>
        <v>1.01</v>
      </c>
      <c r="E6437" s="16">
        <f>IFERROR(__xludf.DUMMYFUNCTION("""COMPUTED_VALUE"""),66.0)</f>
        <v>66</v>
      </c>
      <c r="F6437" s="19" t="str">
        <f>IFERROR(__xludf.DUMMYFUNCTION("""COMPUTED_VALUE"""),"BLACK")</f>
        <v>BLACK</v>
      </c>
      <c r="G6437" s="20" t="str">
        <f>IFERROR(__xludf.DUMMYFUNCTION("""COMPUTED_VALUE"""),"Uncle Sams Cider (04/04/2023)")</f>
        <v>Uncle Sams Cider (04/04/2023)</v>
      </c>
      <c r="H6437" s="19"/>
    </row>
    <row r="6438">
      <c r="A6438" s="9"/>
      <c r="B6438" s="15"/>
      <c r="C6438" s="9">
        <f>IFERROR(__xludf.DUMMYFUNCTION("""COMPUTED_VALUE"""),45077.1416803124)</f>
        <v>45077.14168</v>
      </c>
      <c r="D6438" s="15">
        <f>IFERROR(__xludf.DUMMYFUNCTION("""COMPUTED_VALUE"""),1.01)</f>
        <v>1.01</v>
      </c>
      <c r="E6438" s="16">
        <f>IFERROR(__xludf.DUMMYFUNCTION("""COMPUTED_VALUE"""),66.0)</f>
        <v>66</v>
      </c>
      <c r="F6438" s="19" t="str">
        <f>IFERROR(__xludf.DUMMYFUNCTION("""COMPUTED_VALUE"""),"BLACK")</f>
        <v>BLACK</v>
      </c>
      <c r="G6438" s="20" t="str">
        <f>IFERROR(__xludf.DUMMYFUNCTION("""COMPUTED_VALUE"""),"Uncle Sams Cider (04/04/2023)")</f>
        <v>Uncle Sams Cider (04/04/2023)</v>
      </c>
      <c r="H6438" s="19"/>
    </row>
    <row r="6439">
      <c r="A6439" s="9"/>
      <c r="B6439" s="15"/>
      <c r="C6439" s="9">
        <f>IFERROR(__xludf.DUMMYFUNCTION("""COMPUTED_VALUE"""),45077.1312604166)</f>
        <v>45077.13126</v>
      </c>
      <c r="D6439" s="15">
        <f>IFERROR(__xludf.DUMMYFUNCTION("""COMPUTED_VALUE"""),1.01)</f>
        <v>1.01</v>
      </c>
      <c r="E6439" s="16">
        <f>IFERROR(__xludf.DUMMYFUNCTION("""COMPUTED_VALUE"""),66.0)</f>
        <v>66</v>
      </c>
      <c r="F6439" s="19" t="str">
        <f>IFERROR(__xludf.DUMMYFUNCTION("""COMPUTED_VALUE"""),"BLACK")</f>
        <v>BLACK</v>
      </c>
      <c r="G6439" s="20" t="str">
        <f>IFERROR(__xludf.DUMMYFUNCTION("""COMPUTED_VALUE"""),"Uncle Sams Cider (04/04/2023)")</f>
        <v>Uncle Sams Cider (04/04/2023)</v>
      </c>
      <c r="H6439" s="19"/>
    </row>
    <row r="6440">
      <c r="A6440" s="9"/>
      <c r="B6440" s="15"/>
      <c r="C6440" s="9">
        <f>IFERROR(__xludf.DUMMYFUNCTION("""COMPUTED_VALUE"""),45077.1208385995)</f>
        <v>45077.12084</v>
      </c>
      <c r="D6440" s="15">
        <f>IFERROR(__xludf.DUMMYFUNCTION("""COMPUTED_VALUE"""),1.01)</f>
        <v>1.01</v>
      </c>
      <c r="E6440" s="16">
        <f>IFERROR(__xludf.DUMMYFUNCTION("""COMPUTED_VALUE"""),66.0)</f>
        <v>66</v>
      </c>
      <c r="F6440" s="19" t="str">
        <f>IFERROR(__xludf.DUMMYFUNCTION("""COMPUTED_VALUE"""),"BLACK")</f>
        <v>BLACK</v>
      </c>
      <c r="G6440" s="20" t="str">
        <f>IFERROR(__xludf.DUMMYFUNCTION("""COMPUTED_VALUE"""),"Uncle Sams Cider (04/04/2023)")</f>
        <v>Uncle Sams Cider (04/04/2023)</v>
      </c>
      <c r="H6440" s="19"/>
    </row>
    <row r="6441">
      <c r="A6441" s="9"/>
      <c r="B6441" s="15"/>
      <c r="C6441" s="9">
        <f>IFERROR(__xludf.DUMMYFUNCTION("""COMPUTED_VALUE"""),45077.1104181481)</f>
        <v>45077.11042</v>
      </c>
      <c r="D6441" s="15">
        <f>IFERROR(__xludf.DUMMYFUNCTION("""COMPUTED_VALUE"""),1.01)</f>
        <v>1.01</v>
      </c>
      <c r="E6441" s="16">
        <f>IFERROR(__xludf.DUMMYFUNCTION("""COMPUTED_VALUE"""),66.0)</f>
        <v>66</v>
      </c>
      <c r="F6441" s="19" t="str">
        <f>IFERROR(__xludf.DUMMYFUNCTION("""COMPUTED_VALUE"""),"BLACK")</f>
        <v>BLACK</v>
      </c>
      <c r="G6441" s="20" t="str">
        <f>IFERROR(__xludf.DUMMYFUNCTION("""COMPUTED_VALUE"""),"Uncle Sams Cider (04/04/2023)")</f>
        <v>Uncle Sams Cider (04/04/2023)</v>
      </c>
      <c r="H6441" s="19"/>
    </row>
    <row r="6442">
      <c r="A6442" s="9"/>
      <c r="B6442" s="15"/>
      <c r="C6442" s="9">
        <f>IFERROR(__xludf.DUMMYFUNCTION("""COMPUTED_VALUE"""),45077.0999742013)</f>
        <v>45077.09997</v>
      </c>
      <c r="D6442" s="15">
        <f>IFERROR(__xludf.DUMMYFUNCTION("""COMPUTED_VALUE"""),1.01)</f>
        <v>1.01</v>
      </c>
      <c r="E6442" s="16">
        <f>IFERROR(__xludf.DUMMYFUNCTION("""COMPUTED_VALUE"""),66.0)</f>
        <v>66</v>
      </c>
      <c r="F6442" s="19" t="str">
        <f>IFERROR(__xludf.DUMMYFUNCTION("""COMPUTED_VALUE"""),"BLACK")</f>
        <v>BLACK</v>
      </c>
      <c r="G6442" s="20" t="str">
        <f>IFERROR(__xludf.DUMMYFUNCTION("""COMPUTED_VALUE"""),"Uncle Sams Cider (04/04/2023)")</f>
        <v>Uncle Sams Cider (04/04/2023)</v>
      </c>
      <c r="H6442" s="19"/>
    </row>
    <row r="6443">
      <c r="A6443" s="9"/>
      <c r="B6443" s="15"/>
      <c r="C6443" s="9">
        <f>IFERROR(__xludf.DUMMYFUNCTION("""COMPUTED_VALUE"""),45077.0895517592)</f>
        <v>45077.08955</v>
      </c>
      <c r="D6443" s="15">
        <f>IFERROR(__xludf.DUMMYFUNCTION("""COMPUTED_VALUE"""),1.01)</f>
        <v>1.01</v>
      </c>
      <c r="E6443" s="16">
        <f>IFERROR(__xludf.DUMMYFUNCTION("""COMPUTED_VALUE"""),66.0)</f>
        <v>66</v>
      </c>
      <c r="F6443" s="19" t="str">
        <f>IFERROR(__xludf.DUMMYFUNCTION("""COMPUTED_VALUE"""),"BLACK")</f>
        <v>BLACK</v>
      </c>
      <c r="G6443" s="20" t="str">
        <f>IFERROR(__xludf.DUMMYFUNCTION("""COMPUTED_VALUE"""),"Uncle Sams Cider (04/04/2023)")</f>
        <v>Uncle Sams Cider (04/04/2023)</v>
      </c>
      <c r="H6443" s="19"/>
    </row>
    <row r="6444">
      <c r="A6444" s="9"/>
      <c r="B6444" s="15"/>
      <c r="C6444" s="9">
        <f>IFERROR(__xludf.DUMMYFUNCTION("""COMPUTED_VALUE"""),45077.0791310416)</f>
        <v>45077.07913</v>
      </c>
      <c r="D6444" s="15">
        <f>IFERROR(__xludf.DUMMYFUNCTION("""COMPUTED_VALUE"""),1.009)</f>
        <v>1.009</v>
      </c>
      <c r="E6444" s="16">
        <f>IFERROR(__xludf.DUMMYFUNCTION("""COMPUTED_VALUE"""),66.0)</f>
        <v>66</v>
      </c>
      <c r="F6444" s="19" t="str">
        <f>IFERROR(__xludf.DUMMYFUNCTION("""COMPUTED_VALUE"""),"BLACK")</f>
        <v>BLACK</v>
      </c>
      <c r="G6444" s="20" t="str">
        <f>IFERROR(__xludf.DUMMYFUNCTION("""COMPUTED_VALUE"""),"Uncle Sams Cider (04/04/2023)")</f>
        <v>Uncle Sams Cider (04/04/2023)</v>
      </c>
      <c r="H6444" s="19"/>
    </row>
    <row r="6445">
      <c r="A6445" s="9"/>
      <c r="B6445" s="15"/>
      <c r="C6445" s="9">
        <f>IFERROR(__xludf.DUMMYFUNCTION("""COMPUTED_VALUE"""),45077.0687101389)</f>
        <v>45077.06871</v>
      </c>
      <c r="D6445" s="15">
        <f>IFERROR(__xludf.DUMMYFUNCTION("""COMPUTED_VALUE"""),1.01)</f>
        <v>1.01</v>
      </c>
      <c r="E6445" s="16">
        <f>IFERROR(__xludf.DUMMYFUNCTION("""COMPUTED_VALUE"""),66.0)</f>
        <v>66</v>
      </c>
      <c r="F6445" s="19" t="str">
        <f>IFERROR(__xludf.DUMMYFUNCTION("""COMPUTED_VALUE"""),"BLACK")</f>
        <v>BLACK</v>
      </c>
      <c r="G6445" s="20" t="str">
        <f>IFERROR(__xludf.DUMMYFUNCTION("""COMPUTED_VALUE"""),"Uncle Sams Cider (04/04/2023)")</f>
        <v>Uncle Sams Cider (04/04/2023)</v>
      </c>
      <c r="H6445" s="19"/>
    </row>
    <row r="6446">
      <c r="A6446" s="9"/>
      <c r="B6446" s="15"/>
      <c r="C6446" s="9">
        <f>IFERROR(__xludf.DUMMYFUNCTION("""COMPUTED_VALUE"""),45077.0582888425)</f>
        <v>45077.05829</v>
      </c>
      <c r="D6446" s="15">
        <f>IFERROR(__xludf.DUMMYFUNCTION("""COMPUTED_VALUE"""),1.01)</f>
        <v>1.01</v>
      </c>
      <c r="E6446" s="16">
        <f>IFERROR(__xludf.DUMMYFUNCTION("""COMPUTED_VALUE"""),66.0)</f>
        <v>66</v>
      </c>
      <c r="F6446" s="19" t="str">
        <f>IFERROR(__xludf.DUMMYFUNCTION("""COMPUTED_VALUE"""),"BLACK")</f>
        <v>BLACK</v>
      </c>
      <c r="G6446" s="20" t="str">
        <f>IFERROR(__xludf.DUMMYFUNCTION("""COMPUTED_VALUE"""),"Uncle Sams Cider (04/04/2023)")</f>
        <v>Uncle Sams Cider (04/04/2023)</v>
      </c>
      <c r="H6446" s="19"/>
    </row>
    <row r="6447">
      <c r="A6447" s="9"/>
      <c r="B6447" s="15"/>
      <c r="C6447" s="9">
        <f>IFERROR(__xludf.DUMMYFUNCTION("""COMPUTED_VALUE"""),45077.0478697453)</f>
        <v>45077.04787</v>
      </c>
      <c r="D6447" s="15">
        <f>IFERROR(__xludf.DUMMYFUNCTION("""COMPUTED_VALUE"""),1.01)</f>
        <v>1.01</v>
      </c>
      <c r="E6447" s="16">
        <f>IFERROR(__xludf.DUMMYFUNCTION("""COMPUTED_VALUE"""),66.0)</f>
        <v>66</v>
      </c>
      <c r="F6447" s="19" t="str">
        <f>IFERROR(__xludf.DUMMYFUNCTION("""COMPUTED_VALUE"""),"BLACK")</f>
        <v>BLACK</v>
      </c>
      <c r="G6447" s="20" t="str">
        <f>IFERROR(__xludf.DUMMYFUNCTION("""COMPUTED_VALUE"""),"Uncle Sams Cider (04/04/2023)")</f>
        <v>Uncle Sams Cider (04/04/2023)</v>
      </c>
      <c r="H6447" s="19"/>
    </row>
    <row r="6448">
      <c r="A6448" s="9"/>
      <c r="B6448" s="15"/>
      <c r="C6448" s="9">
        <f>IFERROR(__xludf.DUMMYFUNCTION("""COMPUTED_VALUE"""),45077.0374462731)</f>
        <v>45077.03745</v>
      </c>
      <c r="D6448" s="15">
        <f>IFERROR(__xludf.DUMMYFUNCTION("""COMPUTED_VALUE"""),1.01)</f>
        <v>1.01</v>
      </c>
      <c r="E6448" s="16">
        <f>IFERROR(__xludf.DUMMYFUNCTION("""COMPUTED_VALUE"""),66.0)</f>
        <v>66</v>
      </c>
      <c r="F6448" s="19" t="str">
        <f>IFERROR(__xludf.DUMMYFUNCTION("""COMPUTED_VALUE"""),"BLACK")</f>
        <v>BLACK</v>
      </c>
      <c r="G6448" s="20" t="str">
        <f>IFERROR(__xludf.DUMMYFUNCTION("""COMPUTED_VALUE"""),"Uncle Sams Cider (04/04/2023)")</f>
        <v>Uncle Sams Cider (04/04/2023)</v>
      </c>
      <c r="H6448" s="19"/>
    </row>
    <row r="6449">
      <c r="A6449" s="9"/>
      <c r="B6449" s="15"/>
      <c r="C6449" s="9">
        <f>IFERROR(__xludf.DUMMYFUNCTION("""COMPUTED_VALUE"""),45077.027024537)</f>
        <v>45077.02702</v>
      </c>
      <c r="D6449" s="15">
        <f>IFERROR(__xludf.DUMMYFUNCTION("""COMPUTED_VALUE"""),1.01)</f>
        <v>1.01</v>
      </c>
      <c r="E6449" s="16">
        <f>IFERROR(__xludf.DUMMYFUNCTION("""COMPUTED_VALUE"""),66.0)</f>
        <v>66</v>
      </c>
      <c r="F6449" s="19" t="str">
        <f>IFERROR(__xludf.DUMMYFUNCTION("""COMPUTED_VALUE"""),"BLACK")</f>
        <v>BLACK</v>
      </c>
      <c r="G6449" s="20" t="str">
        <f>IFERROR(__xludf.DUMMYFUNCTION("""COMPUTED_VALUE"""),"Uncle Sams Cider (04/04/2023)")</f>
        <v>Uncle Sams Cider (04/04/2023)</v>
      </c>
      <c r="H6449" s="19"/>
    </row>
    <row r="6450">
      <c r="A6450" s="9"/>
      <c r="B6450" s="15"/>
      <c r="C6450" s="9">
        <f>IFERROR(__xludf.DUMMYFUNCTION("""COMPUTED_VALUE"""),45077.0166032754)</f>
        <v>45077.0166</v>
      </c>
      <c r="D6450" s="15">
        <f>IFERROR(__xludf.DUMMYFUNCTION("""COMPUTED_VALUE"""),1.01)</f>
        <v>1.01</v>
      </c>
      <c r="E6450" s="16">
        <f>IFERROR(__xludf.DUMMYFUNCTION("""COMPUTED_VALUE"""),66.0)</f>
        <v>66</v>
      </c>
      <c r="F6450" s="19" t="str">
        <f>IFERROR(__xludf.DUMMYFUNCTION("""COMPUTED_VALUE"""),"BLACK")</f>
        <v>BLACK</v>
      </c>
      <c r="G6450" s="20" t="str">
        <f>IFERROR(__xludf.DUMMYFUNCTION("""COMPUTED_VALUE"""),"Uncle Sams Cider (04/04/2023)")</f>
        <v>Uncle Sams Cider (04/04/2023)</v>
      </c>
      <c r="H6450" s="19"/>
    </row>
    <row r="6451">
      <c r="A6451" s="9"/>
      <c r="B6451" s="15"/>
      <c r="C6451" s="9">
        <f>IFERROR(__xludf.DUMMYFUNCTION("""COMPUTED_VALUE"""),45077.0061707291)</f>
        <v>45077.00617</v>
      </c>
      <c r="D6451" s="15">
        <f>IFERROR(__xludf.DUMMYFUNCTION("""COMPUTED_VALUE"""),1.01)</f>
        <v>1.01</v>
      </c>
      <c r="E6451" s="16">
        <f>IFERROR(__xludf.DUMMYFUNCTION("""COMPUTED_VALUE"""),66.0)</f>
        <v>66</v>
      </c>
      <c r="F6451" s="19" t="str">
        <f>IFERROR(__xludf.DUMMYFUNCTION("""COMPUTED_VALUE"""),"BLACK")</f>
        <v>BLACK</v>
      </c>
      <c r="G6451" s="20" t="str">
        <f>IFERROR(__xludf.DUMMYFUNCTION("""COMPUTED_VALUE"""),"Uncle Sams Cider (04/04/2023)")</f>
        <v>Uncle Sams Cider (04/04/2023)</v>
      </c>
      <c r="H6451" s="19"/>
    </row>
    <row r="6452">
      <c r="A6452" s="9"/>
      <c r="B6452" s="15"/>
      <c r="C6452" s="9">
        <f>IFERROR(__xludf.DUMMYFUNCTION("""COMPUTED_VALUE"""),45076.9957514004)</f>
        <v>45076.99575</v>
      </c>
      <c r="D6452" s="15">
        <f>IFERROR(__xludf.DUMMYFUNCTION("""COMPUTED_VALUE"""),1.009)</f>
        <v>1.009</v>
      </c>
      <c r="E6452" s="16">
        <f>IFERROR(__xludf.DUMMYFUNCTION("""COMPUTED_VALUE"""),66.0)</f>
        <v>66</v>
      </c>
      <c r="F6452" s="19" t="str">
        <f>IFERROR(__xludf.DUMMYFUNCTION("""COMPUTED_VALUE"""),"BLACK")</f>
        <v>BLACK</v>
      </c>
      <c r="G6452" s="20" t="str">
        <f>IFERROR(__xludf.DUMMYFUNCTION("""COMPUTED_VALUE"""),"Uncle Sams Cider (04/04/2023)")</f>
        <v>Uncle Sams Cider (04/04/2023)</v>
      </c>
      <c r="H6452" s="19"/>
    </row>
    <row r="6453">
      <c r="A6453" s="9"/>
      <c r="B6453" s="15"/>
      <c r="C6453" s="9">
        <f>IFERROR(__xludf.DUMMYFUNCTION("""COMPUTED_VALUE"""),45076.9853300347)</f>
        <v>45076.98533</v>
      </c>
      <c r="D6453" s="15">
        <f>IFERROR(__xludf.DUMMYFUNCTION("""COMPUTED_VALUE"""),1.009)</f>
        <v>1.009</v>
      </c>
      <c r="E6453" s="16">
        <f>IFERROR(__xludf.DUMMYFUNCTION("""COMPUTED_VALUE"""),66.0)</f>
        <v>66</v>
      </c>
      <c r="F6453" s="19" t="str">
        <f>IFERROR(__xludf.DUMMYFUNCTION("""COMPUTED_VALUE"""),"BLACK")</f>
        <v>BLACK</v>
      </c>
      <c r="G6453" s="20" t="str">
        <f>IFERROR(__xludf.DUMMYFUNCTION("""COMPUTED_VALUE"""),"Uncle Sams Cider (04/04/2023)")</f>
        <v>Uncle Sams Cider (04/04/2023)</v>
      </c>
      <c r="H6453" s="19"/>
    </row>
    <row r="6454">
      <c r="A6454" s="9"/>
      <c r="B6454" s="15"/>
      <c r="C6454" s="9">
        <f>IFERROR(__xludf.DUMMYFUNCTION("""COMPUTED_VALUE"""),45076.9749087037)</f>
        <v>45076.97491</v>
      </c>
      <c r="D6454" s="15">
        <f>IFERROR(__xludf.DUMMYFUNCTION("""COMPUTED_VALUE"""),1.009)</f>
        <v>1.009</v>
      </c>
      <c r="E6454" s="16">
        <f>IFERROR(__xludf.DUMMYFUNCTION("""COMPUTED_VALUE"""),66.0)</f>
        <v>66</v>
      </c>
      <c r="F6454" s="19" t="str">
        <f>IFERROR(__xludf.DUMMYFUNCTION("""COMPUTED_VALUE"""),"BLACK")</f>
        <v>BLACK</v>
      </c>
      <c r="G6454" s="20" t="str">
        <f>IFERROR(__xludf.DUMMYFUNCTION("""COMPUTED_VALUE"""),"Uncle Sams Cider (04/04/2023)")</f>
        <v>Uncle Sams Cider (04/04/2023)</v>
      </c>
      <c r="H6454" s="19"/>
    </row>
    <row r="6455">
      <c r="A6455" s="9"/>
      <c r="B6455" s="15"/>
      <c r="C6455" s="9">
        <f>IFERROR(__xludf.DUMMYFUNCTION("""COMPUTED_VALUE"""),45076.9644873032)</f>
        <v>45076.96449</v>
      </c>
      <c r="D6455" s="15">
        <f>IFERROR(__xludf.DUMMYFUNCTION("""COMPUTED_VALUE"""),1.009)</f>
        <v>1.009</v>
      </c>
      <c r="E6455" s="16">
        <f>IFERROR(__xludf.DUMMYFUNCTION("""COMPUTED_VALUE"""),66.0)</f>
        <v>66</v>
      </c>
      <c r="F6455" s="19" t="str">
        <f>IFERROR(__xludf.DUMMYFUNCTION("""COMPUTED_VALUE"""),"BLACK")</f>
        <v>BLACK</v>
      </c>
      <c r="G6455" s="20" t="str">
        <f>IFERROR(__xludf.DUMMYFUNCTION("""COMPUTED_VALUE"""),"Uncle Sams Cider (04/04/2023)")</f>
        <v>Uncle Sams Cider (04/04/2023)</v>
      </c>
      <c r="H6455" s="19"/>
    </row>
    <row r="6456">
      <c r="A6456" s="9"/>
      <c r="B6456" s="15"/>
      <c r="C6456" s="9">
        <f>IFERROR(__xludf.DUMMYFUNCTION("""COMPUTED_VALUE"""),45076.9540657291)</f>
        <v>45076.95407</v>
      </c>
      <c r="D6456" s="15">
        <f>IFERROR(__xludf.DUMMYFUNCTION("""COMPUTED_VALUE"""),1.01)</f>
        <v>1.01</v>
      </c>
      <c r="E6456" s="16">
        <f>IFERROR(__xludf.DUMMYFUNCTION("""COMPUTED_VALUE"""),66.0)</f>
        <v>66</v>
      </c>
      <c r="F6456" s="19" t="str">
        <f>IFERROR(__xludf.DUMMYFUNCTION("""COMPUTED_VALUE"""),"BLACK")</f>
        <v>BLACK</v>
      </c>
      <c r="G6456" s="20" t="str">
        <f>IFERROR(__xludf.DUMMYFUNCTION("""COMPUTED_VALUE"""),"Uncle Sams Cider (04/04/2023)")</f>
        <v>Uncle Sams Cider (04/04/2023)</v>
      </c>
      <c r="H6456" s="19"/>
    </row>
    <row r="6457">
      <c r="A6457" s="9"/>
      <c r="B6457" s="15"/>
      <c r="C6457" s="9">
        <f>IFERROR(__xludf.DUMMYFUNCTION("""COMPUTED_VALUE"""),45076.9436441551)</f>
        <v>45076.94364</v>
      </c>
      <c r="D6457" s="15">
        <f>IFERROR(__xludf.DUMMYFUNCTION("""COMPUTED_VALUE"""),1.01)</f>
        <v>1.01</v>
      </c>
      <c r="E6457" s="16">
        <f>IFERROR(__xludf.DUMMYFUNCTION("""COMPUTED_VALUE"""),66.0)</f>
        <v>66</v>
      </c>
      <c r="F6457" s="19" t="str">
        <f>IFERROR(__xludf.DUMMYFUNCTION("""COMPUTED_VALUE"""),"BLACK")</f>
        <v>BLACK</v>
      </c>
      <c r="G6457" s="20" t="str">
        <f>IFERROR(__xludf.DUMMYFUNCTION("""COMPUTED_VALUE"""),"Uncle Sams Cider (04/04/2023)")</f>
        <v>Uncle Sams Cider (04/04/2023)</v>
      </c>
      <c r="H6457" s="19"/>
    </row>
    <row r="6458">
      <c r="A6458" s="9"/>
      <c r="B6458" s="15"/>
      <c r="C6458" s="9">
        <f>IFERROR(__xludf.DUMMYFUNCTION("""COMPUTED_VALUE"""),45076.9332217592)</f>
        <v>45076.93322</v>
      </c>
      <c r="D6458" s="15">
        <f>IFERROR(__xludf.DUMMYFUNCTION("""COMPUTED_VALUE"""),1.01)</f>
        <v>1.01</v>
      </c>
      <c r="E6458" s="16">
        <f>IFERROR(__xludf.DUMMYFUNCTION("""COMPUTED_VALUE"""),66.0)</f>
        <v>66</v>
      </c>
      <c r="F6458" s="19" t="str">
        <f>IFERROR(__xludf.DUMMYFUNCTION("""COMPUTED_VALUE"""),"BLACK")</f>
        <v>BLACK</v>
      </c>
      <c r="G6458" s="20" t="str">
        <f>IFERROR(__xludf.DUMMYFUNCTION("""COMPUTED_VALUE"""),"Uncle Sams Cider (04/04/2023)")</f>
        <v>Uncle Sams Cider (04/04/2023)</v>
      </c>
      <c r="H6458" s="19"/>
    </row>
    <row r="6459">
      <c r="A6459" s="9"/>
      <c r="B6459" s="15"/>
      <c r="C6459" s="9">
        <f>IFERROR(__xludf.DUMMYFUNCTION("""COMPUTED_VALUE"""),45076.9227992361)</f>
        <v>45076.9228</v>
      </c>
      <c r="D6459" s="15">
        <f>IFERROR(__xludf.DUMMYFUNCTION("""COMPUTED_VALUE"""),1.009)</f>
        <v>1.009</v>
      </c>
      <c r="E6459" s="16">
        <f>IFERROR(__xludf.DUMMYFUNCTION("""COMPUTED_VALUE"""),66.0)</f>
        <v>66</v>
      </c>
      <c r="F6459" s="19" t="str">
        <f>IFERROR(__xludf.DUMMYFUNCTION("""COMPUTED_VALUE"""),"BLACK")</f>
        <v>BLACK</v>
      </c>
      <c r="G6459" s="20" t="str">
        <f>IFERROR(__xludf.DUMMYFUNCTION("""COMPUTED_VALUE"""),"Uncle Sams Cider (04/04/2023)")</f>
        <v>Uncle Sams Cider (04/04/2023)</v>
      </c>
      <c r="H6459" s="19"/>
    </row>
    <row r="6460">
      <c r="A6460" s="9"/>
      <c r="B6460" s="15"/>
      <c r="C6460" s="9">
        <f>IFERROR(__xludf.DUMMYFUNCTION("""COMPUTED_VALUE"""),45076.9123787847)</f>
        <v>45076.91238</v>
      </c>
      <c r="D6460" s="15">
        <f>IFERROR(__xludf.DUMMYFUNCTION("""COMPUTED_VALUE"""),1.009)</f>
        <v>1.009</v>
      </c>
      <c r="E6460" s="16">
        <f>IFERROR(__xludf.DUMMYFUNCTION("""COMPUTED_VALUE"""),66.0)</f>
        <v>66</v>
      </c>
      <c r="F6460" s="19" t="str">
        <f>IFERROR(__xludf.DUMMYFUNCTION("""COMPUTED_VALUE"""),"BLACK")</f>
        <v>BLACK</v>
      </c>
      <c r="G6460" s="20" t="str">
        <f>IFERROR(__xludf.DUMMYFUNCTION("""COMPUTED_VALUE"""),"Uncle Sams Cider (04/04/2023)")</f>
        <v>Uncle Sams Cider (04/04/2023)</v>
      </c>
      <c r="H6460" s="19"/>
    </row>
    <row r="6461">
      <c r="A6461" s="9"/>
      <c r="B6461" s="15"/>
      <c r="C6461" s="9">
        <f>IFERROR(__xludf.DUMMYFUNCTION("""COMPUTED_VALUE"""),45076.9019570717)</f>
        <v>45076.90196</v>
      </c>
      <c r="D6461" s="15">
        <f>IFERROR(__xludf.DUMMYFUNCTION("""COMPUTED_VALUE"""),1.01)</f>
        <v>1.01</v>
      </c>
      <c r="E6461" s="16">
        <f>IFERROR(__xludf.DUMMYFUNCTION("""COMPUTED_VALUE"""),66.0)</f>
        <v>66</v>
      </c>
      <c r="F6461" s="19" t="str">
        <f>IFERROR(__xludf.DUMMYFUNCTION("""COMPUTED_VALUE"""),"BLACK")</f>
        <v>BLACK</v>
      </c>
      <c r="G6461" s="20" t="str">
        <f>IFERROR(__xludf.DUMMYFUNCTION("""COMPUTED_VALUE"""),"Uncle Sams Cider (04/04/2023)")</f>
        <v>Uncle Sams Cider (04/04/2023)</v>
      </c>
      <c r="H6461" s="19"/>
    </row>
    <row r="6462">
      <c r="A6462" s="9"/>
      <c r="B6462" s="15"/>
      <c r="C6462" s="9">
        <f>IFERROR(__xludf.DUMMYFUNCTION("""COMPUTED_VALUE"""),45076.8915121875)</f>
        <v>45076.89151</v>
      </c>
      <c r="D6462" s="15">
        <f>IFERROR(__xludf.DUMMYFUNCTION("""COMPUTED_VALUE"""),1.009)</f>
        <v>1.009</v>
      </c>
      <c r="E6462" s="16">
        <f>IFERROR(__xludf.DUMMYFUNCTION("""COMPUTED_VALUE"""),66.0)</f>
        <v>66</v>
      </c>
      <c r="F6462" s="19" t="str">
        <f>IFERROR(__xludf.DUMMYFUNCTION("""COMPUTED_VALUE"""),"BLACK")</f>
        <v>BLACK</v>
      </c>
      <c r="G6462" s="20" t="str">
        <f>IFERROR(__xludf.DUMMYFUNCTION("""COMPUTED_VALUE"""),"Uncle Sams Cider (04/04/2023)")</f>
        <v>Uncle Sams Cider (04/04/2023)</v>
      </c>
      <c r="H6462" s="19"/>
    </row>
    <row r="6463">
      <c r="A6463" s="9"/>
      <c r="B6463" s="15"/>
      <c r="C6463" s="9">
        <f>IFERROR(__xludf.DUMMYFUNCTION("""COMPUTED_VALUE"""),45076.8810907638)</f>
        <v>45076.88109</v>
      </c>
      <c r="D6463" s="15">
        <f>IFERROR(__xludf.DUMMYFUNCTION("""COMPUTED_VALUE"""),1.01)</f>
        <v>1.01</v>
      </c>
      <c r="E6463" s="16">
        <f>IFERROR(__xludf.DUMMYFUNCTION("""COMPUTED_VALUE"""),66.0)</f>
        <v>66</v>
      </c>
      <c r="F6463" s="19" t="str">
        <f>IFERROR(__xludf.DUMMYFUNCTION("""COMPUTED_VALUE"""),"BLACK")</f>
        <v>BLACK</v>
      </c>
      <c r="G6463" s="20" t="str">
        <f>IFERROR(__xludf.DUMMYFUNCTION("""COMPUTED_VALUE"""),"Uncle Sams Cider (04/04/2023)")</f>
        <v>Uncle Sams Cider (04/04/2023)</v>
      </c>
      <c r="H6463" s="19"/>
    </row>
    <row r="6464">
      <c r="A6464" s="9"/>
      <c r="B6464" s="15"/>
      <c r="C6464" s="9">
        <f>IFERROR(__xludf.DUMMYFUNCTION("""COMPUTED_VALUE"""),45076.8706701041)</f>
        <v>45076.87067</v>
      </c>
      <c r="D6464" s="15">
        <f>IFERROR(__xludf.DUMMYFUNCTION("""COMPUTED_VALUE"""),1.01)</f>
        <v>1.01</v>
      </c>
      <c r="E6464" s="16">
        <f>IFERROR(__xludf.DUMMYFUNCTION("""COMPUTED_VALUE"""),66.0)</f>
        <v>66</v>
      </c>
      <c r="F6464" s="19" t="str">
        <f>IFERROR(__xludf.DUMMYFUNCTION("""COMPUTED_VALUE"""),"BLACK")</f>
        <v>BLACK</v>
      </c>
      <c r="G6464" s="20" t="str">
        <f>IFERROR(__xludf.DUMMYFUNCTION("""COMPUTED_VALUE"""),"Uncle Sams Cider (04/04/2023)")</f>
        <v>Uncle Sams Cider (04/04/2023)</v>
      </c>
      <c r="H6464" s="19"/>
    </row>
    <row r="6465">
      <c r="A6465" s="9"/>
      <c r="B6465" s="15"/>
      <c r="C6465" s="9">
        <f>IFERROR(__xludf.DUMMYFUNCTION("""COMPUTED_VALUE"""),45076.8602368402)</f>
        <v>45076.86024</v>
      </c>
      <c r="D6465" s="15">
        <f>IFERROR(__xludf.DUMMYFUNCTION("""COMPUTED_VALUE"""),1.01)</f>
        <v>1.01</v>
      </c>
      <c r="E6465" s="16">
        <f>IFERROR(__xludf.DUMMYFUNCTION("""COMPUTED_VALUE"""),66.0)</f>
        <v>66</v>
      </c>
      <c r="F6465" s="19" t="str">
        <f>IFERROR(__xludf.DUMMYFUNCTION("""COMPUTED_VALUE"""),"BLACK")</f>
        <v>BLACK</v>
      </c>
      <c r="G6465" s="20" t="str">
        <f>IFERROR(__xludf.DUMMYFUNCTION("""COMPUTED_VALUE"""),"Uncle Sams Cider (04/04/2023)")</f>
        <v>Uncle Sams Cider (04/04/2023)</v>
      </c>
      <c r="H6465" s="19"/>
    </row>
    <row r="6466">
      <c r="A6466" s="9"/>
      <c r="B6466" s="15"/>
      <c r="C6466" s="9">
        <f>IFERROR(__xludf.DUMMYFUNCTION("""COMPUTED_VALUE"""),45076.8498164814)</f>
        <v>45076.84982</v>
      </c>
      <c r="D6466" s="15">
        <f>IFERROR(__xludf.DUMMYFUNCTION("""COMPUTED_VALUE"""),1.01)</f>
        <v>1.01</v>
      </c>
      <c r="E6466" s="16">
        <f>IFERROR(__xludf.DUMMYFUNCTION("""COMPUTED_VALUE"""),66.0)</f>
        <v>66</v>
      </c>
      <c r="F6466" s="19" t="str">
        <f>IFERROR(__xludf.DUMMYFUNCTION("""COMPUTED_VALUE"""),"BLACK")</f>
        <v>BLACK</v>
      </c>
      <c r="G6466" s="20" t="str">
        <f>IFERROR(__xludf.DUMMYFUNCTION("""COMPUTED_VALUE"""),"Uncle Sams Cider (04/04/2023)")</f>
        <v>Uncle Sams Cider (04/04/2023)</v>
      </c>
      <c r="H6466" s="19"/>
    </row>
    <row r="6467">
      <c r="A6467" s="9"/>
      <c r="B6467" s="15"/>
      <c r="C6467" s="9">
        <f>IFERROR(__xludf.DUMMYFUNCTION("""COMPUTED_VALUE"""),45076.839372199)</f>
        <v>45076.83937</v>
      </c>
      <c r="D6467" s="15">
        <f>IFERROR(__xludf.DUMMYFUNCTION("""COMPUTED_VALUE"""),1.01)</f>
        <v>1.01</v>
      </c>
      <c r="E6467" s="16">
        <f>IFERROR(__xludf.DUMMYFUNCTION("""COMPUTED_VALUE"""),66.0)</f>
        <v>66</v>
      </c>
      <c r="F6467" s="19" t="str">
        <f>IFERROR(__xludf.DUMMYFUNCTION("""COMPUTED_VALUE"""),"BLACK")</f>
        <v>BLACK</v>
      </c>
      <c r="G6467" s="20" t="str">
        <f>IFERROR(__xludf.DUMMYFUNCTION("""COMPUTED_VALUE"""),"Uncle Sams Cider (04/04/2023)")</f>
        <v>Uncle Sams Cider (04/04/2023)</v>
      </c>
      <c r="H6467" s="19"/>
    </row>
    <row r="6468">
      <c r="A6468" s="9"/>
      <c r="B6468" s="15"/>
      <c r="C6468" s="9">
        <f>IFERROR(__xludf.DUMMYFUNCTION("""COMPUTED_VALUE"""),45076.8289509143)</f>
        <v>45076.82895</v>
      </c>
      <c r="D6468" s="15">
        <f>IFERROR(__xludf.DUMMYFUNCTION("""COMPUTED_VALUE"""),1.01)</f>
        <v>1.01</v>
      </c>
      <c r="E6468" s="16">
        <f>IFERROR(__xludf.DUMMYFUNCTION("""COMPUTED_VALUE"""),66.0)</f>
        <v>66</v>
      </c>
      <c r="F6468" s="19" t="str">
        <f>IFERROR(__xludf.DUMMYFUNCTION("""COMPUTED_VALUE"""),"BLACK")</f>
        <v>BLACK</v>
      </c>
      <c r="G6468" s="20" t="str">
        <f>IFERROR(__xludf.DUMMYFUNCTION("""COMPUTED_VALUE"""),"Uncle Sams Cider (04/04/2023)")</f>
        <v>Uncle Sams Cider (04/04/2023)</v>
      </c>
      <c r="H6468" s="19"/>
    </row>
    <row r="6469">
      <c r="A6469" s="9"/>
      <c r="B6469" s="15"/>
      <c r="C6469" s="9">
        <f>IFERROR(__xludf.DUMMYFUNCTION("""COMPUTED_VALUE"""),45076.8185070486)</f>
        <v>45076.81851</v>
      </c>
      <c r="D6469" s="15">
        <f>IFERROR(__xludf.DUMMYFUNCTION("""COMPUTED_VALUE"""),1.01)</f>
        <v>1.01</v>
      </c>
      <c r="E6469" s="16">
        <f>IFERROR(__xludf.DUMMYFUNCTION("""COMPUTED_VALUE"""),66.0)</f>
        <v>66</v>
      </c>
      <c r="F6469" s="19" t="str">
        <f>IFERROR(__xludf.DUMMYFUNCTION("""COMPUTED_VALUE"""),"BLACK")</f>
        <v>BLACK</v>
      </c>
      <c r="G6469" s="20" t="str">
        <f>IFERROR(__xludf.DUMMYFUNCTION("""COMPUTED_VALUE"""),"Uncle Sams Cider (04/04/2023)")</f>
        <v>Uncle Sams Cider (04/04/2023)</v>
      </c>
      <c r="H6469" s="19"/>
    </row>
    <row r="6470">
      <c r="A6470" s="9"/>
      <c r="B6470" s="15"/>
      <c r="C6470" s="9">
        <f>IFERROR(__xludf.DUMMYFUNCTION("""COMPUTED_VALUE"""),45076.8080871064)</f>
        <v>45076.80809</v>
      </c>
      <c r="D6470" s="15">
        <f>IFERROR(__xludf.DUMMYFUNCTION("""COMPUTED_VALUE"""),1.01)</f>
        <v>1.01</v>
      </c>
      <c r="E6470" s="16">
        <f>IFERROR(__xludf.DUMMYFUNCTION("""COMPUTED_VALUE"""),66.0)</f>
        <v>66</v>
      </c>
      <c r="F6470" s="19" t="str">
        <f>IFERROR(__xludf.DUMMYFUNCTION("""COMPUTED_VALUE"""),"BLACK")</f>
        <v>BLACK</v>
      </c>
      <c r="G6470" s="20" t="str">
        <f>IFERROR(__xludf.DUMMYFUNCTION("""COMPUTED_VALUE"""),"Uncle Sams Cider (04/04/2023)")</f>
        <v>Uncle Sams Cider (04/04/2023)</v>
      </c>
      <c r="H6470" s="19"/>
    </row>
    <row r="6471">
      <c r="A6471" s="9"/>
      <c r="B6471" s="15"/>
      <c r="C6471" s="9">
        <f>IFERROR(__xludf.DUMMYFUNCTION("""COMPUTED_VALUE"""),45076.7976653356)</f>
        <v>45076.79767</v>
      </c>
      <c r="D6471" s="15">
        <f>IFERROR(__xludf.DUMMYFUNCTION("""COMPUTED_VALUE"""),1.01)</f>
        <v>1.01</v>
      </c>
      <c r="E6471" s="16">
        <f>IFERROR(__xludf.DUMMYFUNCTION("""COMPUTED_VALUE"""),66.0)</f>
        <v>66</v>
      </c>
      <c r="F6471" s="19" t="str">
        <f>IFERROR(__xludf.DUMMYFUNCTION("""COMPUTED_VALUE"""),"BLACK")</f>
        <v>BLACK</v>
      </c>
      <c r="G6471" s="20" t="str">
        <f>IFERROR(__xludf.DUMMYFUNCTION("""COMPUTED_VALUE"""),"Uncle Sams Cider (04/04/2023)")</f>
        <v>Uncle Sams Cider (04/04/2023)</v>
      </c>
      <c r="H6471" s="19"/>
    </row>
    <row r="6472">
      <c r="A6472" s="9"/>
      <c r="B6472" s="15"/>
      <c r="C6472" s="9">
        <f>IFERROR(__xludf.DUMMYFUNCTION("""COMPUTED_VALUE"""),45076.7872429745)</f>
        <v>45076.78724</v>
      </c>
      <c r="D6472" s="15">
        <f>IFERROR(__xludf.DUMMYFUNCTION("""COMPUTED_VALUE"""),1.009)</f>
        <v>1.009</v>
      </c>
      <c r="E6472" s="16">
        <f>IFERROR(__xludf.DUMMYFUNCTION("""COMPUTED_VALUE"""),66.0)</f>
        <v>66</v>
      </c>
      <c r="F6472" s="19" t="str">
        <f>IFERROR(__xludf.DUMMYFUNCTION("""COMPUTED_VALUE"""),"BLACK")</f>
        <v>BLACK</v>
      </c>
      <c r="G6472" s="20" t="str">
        <f>IFERROR(__xludf.DUMMYFUNCTION("""COMPUTED_VALUE"""),"Uncle Sams Cider (04/04/2023)")</f>
        <v>Uncle Sams Cider (04/04/2023)</v>
      </c>
      <c r="H6472" s="19"/>
    </row>
    <row r="6473">
      <c r="A6473" s="9"/>
      <c r="B6473" s="15"/>
      <c r="C6473" s="9">
        <f>IFERROR(__xludf.DUMMYFUNCTION("""COMPUTED_VALUE"""),45076.7768073263)</f>
        <v>45076.77681</v>
      </c>
      <c r="D6473" s="15">
        <f>IFERROR(__xludf.DUMMYFUNCTION("""COMPUTED_VALUE"""),1.009)</f>
        <v>1.009</v>
      </c>
      <c r="E6473" s="16">
        <f>IFERROR(__xludf.DUMMYFUNCTION("""COMPUTED_VALUE"""),66.0)</f>
        <v>66</v>
      </c>
      <c r="F6473" s="19" t="str">
        <f>IFERROR(__xludf.DUMMYFUNCTION("""COMPUTED_VALUE"""),"BLACK")</f>
        <v>BLACK</v>
      </c>
      <c r="G6473" s="20" t="str">
        <f>IFERROR(__xludf.DUMMYFUNCTION("""COMPUTED_VALUE"""),"Uncle Sams Cider (04/04/2023)")</f>
        <v>Uncle Sams Cider (04/04/2023)</v>
      </c>
      <c r="H6473" s="19"/>
    </row>
    <row r="6474">
      <c r="A6474" s="9"/>
      <c r="B6474" s="15"/>
      <c r="C6474" s="9">
        <f>IFERROR(__xludf.DUMMYFUNCTION("""COMPUTED_VALUE"""),45076.7663849074)</f>
        <v>45076.76638</v>
      </c>
      <c r="D6474" s="15">
        <f>IFERROR(__xludf.DUMMYFUNCTION("""COMPUTED_VALUE"""),1.01)</f>
        <v>1.01</v>
      </c>
      <c r="E6474" s="16">
        <f>IFERROR(__xludf.DUMMYFUNCTION("""COMPUTED_VALUE"""),66.0)</f>
        <v>66</v>
      </c>
      <c r="F6474" s="19" t="str">
        <f>IFERROR(__xludf.DUMMYFUNCTION("""COMPUTED_VALUE"""),"BLACK")</f>
        <v>BLACK</v>
      </c>
      <c r="G6474" s="20" t="str">
        <f>IFERROR(__xludf.DUMMYFUNCTION("""COMPUTED_VALUE"""),"Uncle Sams Cider (04/04/2023)")</f>
        <v>Uncle Sams Cider (04/04/2023)</v>
      </c>
      <c r="H6474" s="19"/>
    </row>
    <row r="6475">
      <c r="A6475" s="9"/>
      <c r="B6475" s="15"/>
      <c r="C6475" s="9">
        <f>IFERROR(__xludf.DUMMYFUNCTION("""COMPUTED_VALUE"""),45076.7559618634)</f>
        <v>45076.75596</v>
      </c>
      <c r="D6475" s="15">
        <f>IFERROR(__xludf.DUMMYFUNCTION("""COMPUTED_VALUE"""),1.01)</f>
        <v>1.01</v>
      </c>
      <c r="E6475" s="16">
        <f>IFERROR(__xludf.DUMMYFUNCTION("""COMPUTED_VALUE"""),66.0)</f>
        <v>66</v>
      </c>
      <c r="F6475" s="19" t="str">
        <f>IFERROR(__xludf.DUMMYFUNCTION("""COMPUTED_VALUE"""),"BLACK")</f>
        <v>BLACK</v>
      </c>
      <c r="G6475" s="20" t="str">
        <f>IFERROR(__xludf.DUMMYFUNCTION("""COMPUTED_VALUE"""),"Uncle Sams Cider (04/04/2023)")</f>
        <v>Uncle Sams Cider (04/04/2023)</v>
      </c>
      <c r="H6475" s="19"/>
    </row>
    <row r="6476">
      <c r="A6476" s="9"/>
      <c r="B6476" s="15"/>
      <c r="C6476" s="9">
        <f>IFERROR(__xludf.DUMMYFUNCTION("""COMPUTED_VALUE"""),45076.7455422222)</f>
        <v>45076.74554</v>
      </c>
      <c r="D6476" s="15">
        <f>IFERROR(__xludf.DUMMYFUNCTION("""COMPUTED_VALUE"""),1.009)</f>
        <v>1.009</v>
      </c>
      <c r="E6476" s="16">
        <f>IFERROR(__xludf.DUMMYFUNCTION("""COMPUTED_VALUE"""),66.0)</f>
        <v>66</v>
      </c>
      <c r="F6476" s="19" t="str">
        <f>IFERROR(__xludf.DUMMYFUNCTION("""COMPUTED_VALUE"""),"BLACK")</f>
        <v>BLACK</v>
      </c>
      <c r="G6476" s="20" t="str">
        <f>IFERROR(__xludf.DUMMYFUNCTION("""COMPUTED_VALUE"""),"Uncle Sams Cider (04/04/2023)")</f>
        <v>Uncle Sams Cider (04/04/2023)</v>
      </c>
      <c r="H6476" s="19"/>
    </row>
    <row r="6477">
      <c r="A6477" s="9"/>
      <c r="B6477" s="15"/>
      <c r="C6477" s="9">
        <f>IFERROR(__xludf.DUMMYFUNCTION("""COMPUTED_VALUE"""),45076.7351077083)</f>
        <v>45076.73511</v>
      </c>
      <c r="D6477" s="15">
        <f>IFERROR(__xludf.DUMMYFUNCTION("""COMPUTED_VALUE"""),1.01)</f>
        <v>1.01</v>
      </c>
      <c r="E6477" s="16">
        <f>IFERROR(__xludf.DUMMYFUNCTION("""COMPUTED_VALUE"""),66.0)</f>
        <v>66</v>
      </c>
      <c r="F6477" s="19" t="str">
        <f>IFERROR(__xludf.DUMMYFUNCTION("""COMPUTED_VALUE"""),"BLACK")</f>
        <v>BLACK</v>
      </c>
      <c r="G6477" s="20" t="str">
        <f>IFERROR(__xludf.DUMMYFUNCTION("""COMPUTED_VALUE"""),"Uncle Sams Cider (04/04/2023)")</f>
        <v>Uncle Sams Cider (04/04/2023)</v>
      </c>
      <c r="H6477" s="19"/>
    </row>
    <row r="6478">
      <c r="A6478" s="9"/>
      <c r="B6478" s="15"/>
      <c r="C6478" s="9">
        <f>IFERROR(__xludf.DUMMYFUNCTION("""COMPUTED_VALUE"""),45076.7246752199)</f>
        <v>45076.72468</v>
      </c>
      <c r="D6478" s="15">
        <f>IFERROR(__xludf.DUMMYFUNCTION("""COMPUTED_VALUE"""),1.01)</f>
        <v>1.01</v>
      </c>
      <c r="E6478" s="16">
        <f>IFERROR(__xludf.DUMMYFUNCTION("""COMPUTED_VALUE"""),66.0)</f>
        <v>66</v>
      </c>
      <c r="F6478" s="19" t="str">
        <f>IFERROR(__xludf.DUMMYFUNCTION("""COMPUTED_VALUE"""),"BLACK")</f>
        <v>BLACK</v>
      </c>
      <c r="G6478" s="20" t="str">
        <f>IFERROR(__xludf.DUMMYFUNCTION("""COMPUTED_VALUE"""),"Uncle Sams Cider (04/04/2023)")</f>
        <v>Uncle Sams Cider (04/04/2023)</v>
      </c>
      <c r="H6478" s="19"/>
    </row>
    <row r="6479">
      <c r="A6479" s="9"/>
      <c r="B6479" s="15"/>
      <c r="C6479" s="9">
        <f>IFERROR(__xludf.DUMMYFUNCTION("""COMPUTED_VALUE"""),45076.7142540856)</f>
        <v>45076.71425</v>
      </c>
      <c r="D6479" s="15">
        <f>IFERROR(__xludf.DUMMYFUNCTION("""COMPUTED_VALUE"""),1.01)</f>
        <v>1.01</v>
      </c>
      <c r="E6479" s="16">
        <f>IFERROR(__xludf.DUMMYFUNCTION("""COMPUTED_VALUE"""),66.0)</f>
        <v>66</v>
      </c>
      <c r="F6479" s="19" t="str">
        <f>IFERROR(__xludf.DUMMYFUNCTION("""COMPUTED_VALUE"""),"BLACK")</f>
        <v>BLACK</v>
      </c>
      <c r="G6479" s="20" t="str">
        <f>IFERROR(__xludf.DUMMYFUNCTION("""COMPUTED_VALUE"""),"Uncle Sams Cider (04/04/2023)")</f>
        <v>Uncle Sams Cider (04/04/2023)</v>
      </c>
      <c r="H6479" s="19"/>
    </row>
    <row r="6480">
      <c r="A6480" s="9"/>
      <c r="B6480" s="15"/>
      <c r="C6480" s="9">
        <f>IFERROR(__xludf.DUMMYFUNCTION("""COMPUTED_VALUE"""),45076.703819456)</f>
        <v>45076.70382</v>
      </c>
      <c r="D6480" s="15">
        <f>IFERROR(__xludf.DUMMYFUNCTION("""COMPUTED_VALUE"""),1.009)</f>
        <v>1.009</v>
      </c>
      <c r="E6480" s="16">
        <f>IFERROR(__xludf.DUMMYFUNCTION("""COMPUTED_VALUE"""),66.0)</f>
        <v>66</v>
      </c>
      <c r="F6480" s="19" t="str">
        <f>IFERROR(__xludf.DUMMYFUNCTION("""COMPUTED_VALUE"""),"BLACK")</f>
        <v>BLACK</v>
      </c>
      <c r="G6480" s="20" t="str">
        <f>IFERROR(__xludf.DUMMYFUNCTION("""COMPUTED_VALUE"""),"Uncle Sams Cider (04/04/2023)")</f>
        <v>Uncle Sams Cider (04/04/2023)</v>
      </c>
      <c r="H6480" s="19"/>
    </row>
    <row r="6481">
      <c r="A6481" s="9"/>
      <c r="B6481" s="15"/>
      <c r="C6481" s="9">
        <f>IFERROR(__xludf.DUMMYFUNCTION("""COMPUTED_VALUE"""),45076.6933980439)</f>
        <v>45076.6934</v>
      </c>
      <c r="D6481" s="15">
        <f>IFERROR(__xludf.DUMMYFUNCTION("""COMPUTED_VALUE"""),1.01)</f>
        <v>1.01</v>
      </c>
      <c r="E6481" s="16">
        <f>IFERROR(__xludf.DUMMYFUNCTION("""COMPUTED_VALUE"""),66.0)</f>
        <v>66</v>
      </c>
      <c r="F6481" s="19" t="str">
        <f>IFERROR(__xludf.DUMMYFUNCTION("""COMPUTED_VALUE"""),"BLACK")</f>
        <v>BLACK</v>
      </c>
      <c r="G6481" s="20" t="str">
        <f>IFERROR(__xludf.DUMMYFUNCTION("""COMPUTED_VALUE"""),"Uncle Sams Cider (04/04/2023)")</f>
        <v>Uncle Sams Cider (04/04/2023)</v>
      </c>
      <c r="H6481" s="19"/>
    </row>
    <row r="6482">
      <c r="A6482" s="9"/>
      <c r="B6482" s="15"/>
      <c r="C6482" s="9">
        <f>IFERROR(__xludf.DUMMYFUNCTION("""COMPUTED_VALUE"""),45076.6829776273)</f>
        <v>45076.68298</v>
      </c>
      <c r="D6482" s="15">
        <f>IFERROR(__xludf.DUMMYFUNCTION("""COMPUTED_VALUE"""),1.01)</f>
        <v>1.01</v>
      </c>
      <c r="E6482" s="16">
        <f>IFERROR(__xludf.DUMMYFUNCTION("""COMPUTED_VALUE"""),66.0)</f>
        <v>66</v>
      </c>
      <c r="F6482" s="19" t="str">
        <f>IFERROR(__xludf.DUMMYFUNCTION("""COMPUTED_VALUE"""),"BLACK")</f>
        <v>BLACK</v>
      </c>
      <c r="G6482" s="20" t="str">
        <f>IFERROR(__xludf.DUMMYFUNCTION("""COMPUTED_VALUE"""),"Uncle Sams Cider (04/04/2023)")</f>
        <v>Uncle Sams Cider (04/04/2023)</v>
      </c>
      <c r="H6482" s="19"/>
    </row>
    <row r="6483">
      <c r="A6483" s="9"/>
      <c r="B6483" s="15"/>
      <c r="C6483" s="9">
        <f>IFERROR(__xludf.DUMMYFUNCTION("""COMPUTED_VALUE"""),45076.6725333217)</f>
        <v>45076.67253</v>
      </c>
      <c r="D6483" s="15">
        <f>IFERROR(__xludf.DUMMYFUNCTION("""COMPUTED_VALUE"""),1.009)</f>
        <v>1.009</v>
      </c>
      <c r="E6483" s="16">
        <f>IFERROR(__xludf.DUMMYFUNCTION("""COMPUTED_VALUE"""),66.0)</f>
        <v>66</v>
      </c>
      <c r="F6483" s="19" t="str">
        <f>IFERROR(__xludf.DUMMYFUNCTION("""COMPUTED_VALUE"""),"BLACK")</f>
        <v>BLACK</v>
      </c>
      <c r="G6483" s="20" t="str">
        <f>IFERROR(__xludf.DUMMYFUNCTION("""COMPUTED_VALUE"""),"Uncle Sams Cider (04/04/2023)")</f>
        <v>Uncle Sams Cider (04/04/2023)</v>
      </c>
      <c r="H6483" s="19"/>
    </row>
    <row r="6484">
      <c r="A6484" s="9"/>
      <c r="B6484" s="15"/>
      <c r="C6484" s="9">
        <f>IFERROR(__xludf.DUMMYFUNCTION("""COMPUTED_VALUE"""),45076.6621100578)</f>
        <v>45076.66211</v>
      </c>
      <c r="D6484" s="15">
        <f>IFERROR(__xludf.DUMMYFUNCTION("""COMPUTED_VALUE"""),1.01)</f>
        <v>1.01</v>
      </c>
      <c r="E6484" s="16">
        <f>IFERROR(__xludf.DUMMYFUNCTION("""COMPUTED_VALUE"""),66.0)</f>
        <v>66</v>
      </c>
      <c r="F6484" s="19" t="str">
        <f>IFERROR(__xludf.DUMMYFUNCTION("""COMPUTED_VALUE"""),"BLACK")</f>
        <v>BLACK</v>
      </c>
      <c r="G6484" s="20" t="str">
        <f>IFERROR(__xludf.DUMMYFUNCTION("""COMPUTED_VALUE"""),"Uncle Sams Cider (04/04/2023)")</f>
        <v>Uncle Sams Cider (04/04/2023)</v>
      </c>
      <c r="H6484" s="19"/>
    </row>
    <row r="6485">
      <c r="A6485" s="9"/>
      <c r="B6485" s="15"/>
      <c r="C6485" s="9">
        <f>IFERROR(__xludf.DUMMYFUNCTION("""COMPUTED_VALUE"""),45076.6516887963)</f>
        <v>45076.65169</v>
      </c>
      <c r="D6485" s="15">
        <f>IFERROR(__xludf.DUMMYFUNCTION("""COMPUTED_VALUE"""),1.01)</f>
        <v>1.01</v>
      </c>
      <c r="E6485" s="16">
        <f>IFERROR(__xludf.DUMMYFUNCTION("""COMPUTED_VALUE"""),66.0)</f>
        <v>66</v>
      </c>
      <c r="F6485" s="19" t="str">
        <f>IFERROR(__xludf.DUMMYFUNCTION("""COMPUTED_VALUE"""),"BLACK")</f>
        <v>BLACK</v>
      </c>
      <c r="G6485" s="20" t="str">
        <f>IFERROR(__xludf.DUMMYFUNCTION("""COMPUTED_VALUE"""),"Uncle Sams Cider (04/04/2023)")</f>
        <v>Uncle Sams Cider (04/04/2023)</v>
      </c>
      <c r="H6485" s="19"/>
    </row>
    <row r="6486">
      <c r="A6486" s="9"/>
      <c r="B6486" s="15"/>
      <c r="C6486" s="9">
        <f>IFERROR(__xludf.DUMMYFUNCTION("""COMPUTED_VALUE"""),45076.641269074)</f>
        <v>45076.64127</v>
      </c>
      <c r="D6486" s="15">
        <f>IFERROR(__xludf.DUMMYFUNCTION("""COMPUTED_VALUE"""),1.01)</f>
        <v>1.01</v>
      </c>
      <c r="E6486" s="16">
        <f>IFERROR(__xludf.DUMMYFUNCTION("""COMPUTED_VALUE"""),66.0)</f>
        <v>66</v>
      </c>
      <c r="F6486" s="19" t="str">
        <f>IFERROR(__xludf.DUMMYFUNCTION("""COMPUTED_VALUE"""),"BLACK")</f>
        <v>BLACK</v>
      </c>
      <c r="G6486" s="20" t="str">
        <f>IFERROR(__xludf.DUMMYFUNCTION("""COMPUTED_VALUE"""),"Uncle Sams Cider (04/04/2023)")</f>
        <v>Uncle Sams Cider (04/04/2023)</v>
      </c>
      <c r="H6486" s="19"/>
    </row>
    <row r="6487">
      <c r="A6487" s="9"/>
      <c r="B6487" s="15"/>
      <c r="C6487" s="9">
        <f>IFERROR(__xludf.DUMMYFUNCTION("""COMPUTED_VALUE"""),45076.6308359722)</f>
        <v>45076.63084</v>
      </c>
      <c r="D6487" s="15">
        <f>IFERROR(__xludf.DUMMYFUNCTION("""COMPUTED_VALUE"""),1.01)</f>
        <v>1.01</v>
      </c>
      <c r="E6487" s="16">
        <f>IFERROR(__xludf.DUMMYFUNCTION("""COMPUTED_VALUE"""),66.0)</f>
        <v>66</v>
      </c>
      <c r="F6487" s="19" t="str">
        <f>IFERROR(__xludf.DUMMYFUNCTION("""COMPUTED_VALUE"""),"BLACK")</f>
        <v>BLACK</v>
      </c>
      <c r="G6487" s="20" t="str">
        <f>IFERROR(__xludf.DUMMYFUNCTION("""COMPUTED_VALUE"""),"Uncle Sams Cider (04/04/2023)")</f>
        <v>Uncle Sams Cider (04/04/2023)</v>
      </c>
      <c r="H6487" s="19"/>
    </row>
    <row r="6488">
      <c r="A6488" s="9"/>
      <c r="B6488" s="15"/>
      <c r="C6488" s="9">
        <f>IFERROR(__xludf.DUMMYFUNCTION("""COMPUTED_VALUE"""),45076.6204149884)</f>
        <v>45076.62041</v>
      </c>
      <c r="D6488" s="15">
        <f>IFERROR(__xludf.DUMMYFUNCTION("""COMPUTED_VALUE"""),1.01)</f>
        <v>1.01</v>
      </c>
      <c r="E6488" s="16">
        <f>IFERROR(__xludf.DUMMYFUNCTION("""COMPUTED_VALUE"""),66.0)</f>
        <v>66</v>
      </c>
      <c r="F6488" s="19" t="str">
        <f>IFERROR(__xludf.DUMMYFUNCTION("""COMPUTED_VALUE"""),"BLACK")</f>
        <v>BLACK</v>
      </c>
      <c r="G6488" s="20" t="str">
        <f>IFERROR(__xludf.DUMMYFUNCTION("""COMPUTED_VALUE"""),"Uncle Sams Cider (04/04/2023)")</f>
        <v>Uncle Sams Cider (04/04/2023)</v>
      </c>
      <c r="H6488" s="19"/>
    </row>
    <row r="6489">
      <c r="A6489" s="9"/>
      <c r="B6489" s="15"/>
      <c r="C6489" s="9">
        <f>IFERROR(__xludf.DUMMYFUNCTION("""COMPUTED_VALUE"""),45076.609993287)</f>
        <v>45076.60999</v>
      </c>
      <c r="D6489" s="15">
        <f>IFERROR(__xludf.DUMMYFUNCTION("""COMPUTED_VALUE"""),1.01)</f>
        <v>1.01</v>
      </c>
      <c r="E6489" s="16">
        <f>IFERROR(__xludf.DUMMYFUNCTION("""COMPUTED_VALUE"""),66.0)</f>
        <v>66</v>
      </c>
      <c r="F6489" s="19" t="str">
        <f>IFERROR(__xludf.DUMMYFUNCTION("""COMPUTED_VALUE"""),"BLACK")</f>
        <v>BLACK</v>
      </c>
      <c r="G6489" s="20" t="str">
        <f>IFERROR(__xludf.DUMMYFUNCTION("""COMPUTED_VALUE"""),"Uncle Sams Cider (04/04/2023)")</f>
        <v>Uncle Sams Cider (04/04/2023)</v>
      </c>
      <c r="H6489" s="19"/>
    </row>
    <row r="6490">
      <c r="A6490" s="9"/>
      <c r="B6490" s="15"/>
      <c r="C6490" s="9">
        <f>IFERROR(__xludf.DUMMYFUNCTION("""COMPUTED_VALUE"""),45076.5995717476)</f>
        <v>45076.59957</v>
      </c>
      <c r="D6490" s="15">
        <f>IFERROR(__xludf.DUMMYFUNCTION("""COMPUTED_VALUE"""),1.01)</f>
        <v>1.01</v>
      </c>
      <c r="E6490" s="16">
        <f>IFERROR(__xludf.DUMMYFUNCTION("""COMPUTED_VALUE"""),66.0)</f>
        <v>66</v>
      </c>
      <c r="F6490" s="19" t="str">
        <f>IFERROR(__xludf.DUMMYFUNCTION("""COMPUTED_VALUE"""),"BLACK")</f>
        <v>BLACK</v>
      </c>
      <c r="G6490" s="20" t="str">
        <f>IFERROR(__xludf.DUMMYFUNCTION("""COMPUTED_VALUE"""),"Uncle Sams Cider (04/04/2023)")</f>
        <v>Uncle Sams Cider (04/04/2023)</v>
      </c>
      <c r="H6490" s="19"/>
    </row>
    <row r="6491">
      <c r="A6491" s="9"/>
      <c r="B6491" s="15"/>
      <c r="C6491" s="9">
        <f>IFERROR(__xludf.DUMMYFUNCTION("""COMPUTED_VALUE"""),45076.5891159953)</f>
        <v>45076.58912</v>
      </c>
      <c r="D6491" s="15">
        <f>IFERROR(__xludf.DUMMYFUNCTION("""COMPUTED_VALUE"""),1.01)</f>
        <v>1.01</v>
      </c>
      <c r="E6491" s="16">
        <f>IFERROR(__xludf.DUMMYFUNCTION("""COMPUTED_VALUE"""),66.0)</f>
        <v>66</v>
      </c>
      <c r="F6491" s="19" t="str">
        <f>IFERROR(__xludf.DUMMYFUNCTION("""COMPUTED_VALUE"""),"BLACK")</f>
        <v>BLACK</v>
      </c>
      <c r="G6491" s="20" t="str">
        <f>IFERROR(__xludf.DUMMYFUNCTION("""COMPUTED_VALUE"""),"Uncle Sams Cider (04/04/2023)")</f>
        <v>Uncle Sams Cider (04/04/2023)</v>
      </c>
      <c r="H6491" s="19"/>
    </row>
    <row r="6492">
      <c r="A6492" s="9"/>
      <c r="B6492" s="15"/>
      <c r="C6492" s="9">
        <f>IFERROR(__xludf.DUMMYFUNCTION("""COMPUTED_VALUE"""),45076.5786943518)</f>
        <v>45076.57869</v>
      </c>
      <c r="D6492" s="15">
        <f>IFERROR(__xludf.DUMMYFUNCTION("""COMPUTED_VALUE"""),1.01)</f>
        <v>1.01</v>
      </c>
      <c r="E6492" s="16">
        <f>IFERROR(__xludf.DUMMYFUNCTION("""COMPUTED_VALUE"""),66.0)</f>
        <v>66</v>
      </c>
      <c r="F6492" s="19" t="str">
        <f>IFERROR(__xludf.DUMMYFUNCTION("""COMPUTED_VALUE"""),"BLACK")</f>
        <v>BLACK</v>
      </c>
      <c r="G6492" s="20" t="str">
        <f>IFERROR(__xludf.DUMMYFUNCTION("""COMPUTED_VALUE"""),"Uncle Sams Cider (04/04/2023)")</f>
        <v>Uncle Sams Cider (04/04/2023)</v>
      </c>
      <c r="H6492" s="19"/>
    </row>
    <row r="6493">
      <c r="A6493" s="9"/>
      <c r="B6493" s="15"/>
      <c r="C6493" s="9">
        <f>IFERROR(__xludf.DUMMYFUNCTION("""COMPUTED_VALUE"""),45076.5682709953)</f>
        <v>45076.56827</v>
      </c>
      <c r="D6493" s="15">
        <f>IFERROR(__xludf.DUMMYFUNCTION("""COMPUTED_VALUE"""),1.01)</f>
        <v>1.01</v>
      </c>
      <c r="E6493" s="16">
        <f>IFERROR(__xludf.DUMMYFUNCTION("""COMPUTED_VALUE"""),66.0)</f>
        <v>66</v>
      </c>
      <c r="F6493" s="19" t="str">
        <f>IFERROR(__xludf.DUMMYFUNCTION("""COMPUTED_VALUE"""),"BLACK")</f>
        <v>BLACK</v>
      </c>
      <c r="G6493" s="20" t="str">
        <f>IFERROR(__xludf.DUMMYFUNCTION("""COMPUTED_VALUE"""),"Uncle Sams Cider (04/04/2023)")</f>
        <v>Uncle Sams Cider (04/04/2023)</v>
      </c>
      <c r="H6493" s="19"/>
    </row>
    <row r="6494">
      <c r="A6494" s="9"/>
      <c r="B6494" s="15"/>
      <c r="C6494" s="9">
        <f>IFERROR(__xludf.DUMMYFUNCTION("""COMPUTED_VALUE"""),45076.5578499305)</f>
        <v>45076.55785</v>
      </c>
      <c r="D6494" s="15">
        <f>IFERROR(__xludf.DUMMYFUNCTION("""COMPUTED_VALUE"""),1.01)</f>
        <v>1.01</v>
      </c>
      <c r="E6494" s="16">
        <f>IFERROR(__xludf.DUMMYFUNCTION("""COMPUTED_VALUE"""),66.0)</f>
        <v>66</v>
      </c>
      <c r="F6494" s="19" t="str">
        <f>IFERROR(__xludf.DUMMYFUNCTION("""COMPUTED_VALUE"""),"BLACK")</f>
        <v>BLACK</v>
      </c>
      <c r="G6494" s="20" t="str">
        <f>IFERROR(__xludf.DUMMYFUNCTION("""COMPUTED_VALUE"""),"Uncle Sams Cider (04/04/2023)")</f>
        <v>Uncle Sams Cider (04/04/2023)</v>
      </c>
      <c r="H6494" s="19"/>
    </row>
    <row r="6495">
      <c r="A6495" s="9"/>
      <c r="B6495" s="15"/>
      <c r="C6495" s="9">
        <f>IFERROR(__xludf.DUMMYFUNCTION("""COMPUTED_VALUE"""),45076.5474287847)</f>
        <v>45076.54743</v>
      </c>
      <c r="D6495" s="15">
        <f>IFERROR(__xludf.DUMMYFUNCTION("""COMPUTED_VALUE"""),1.01)</f>
        <v>1.01</v>
      </c>
      <c r="E6495" s="16">
        <f>IFERROR(__xludf.DUMMYFUNCTION("""COMPUTED_VALUE"""),66.0)</f>
        <v>66</v>
      </c>
      <c r="F6495" s="19" t="str">
        <f>IFERROR(__xludf.DUMMYFUNCTION("""COMPUTED_VALUE"""),"BLACK")</f>
        <v>BLACK</v>
      </c>
      <c r="G6495" s="20" t="str">
        <f>IFERROR(__xludf.DUMMYFUNCTION("""COMPUTED_VALUE"""),"Uncle Sams Cider (04/04/2023)")</f>
        <v>Uncle Sams Cider (04/04/2023)</v>
      </c>
      <c r="H6495" s="19"/>
    </row>
    <row r="6496">
      <c r="A6496" s="9"/>
      <c r="B6496" s="15"/>
      <c r="C6496" s="9">
        <f>IFERROR(__xludf.DUMMYFUNCTION("""COMPUTED_VALUE"""),45076.5370071875)</f>
        <v>45076.53701</v>
      </c>
      <c r="D6496" s="15">
        <f>IFERROR(__xludf.DUMMYFUNCTION("""COMPUTED_VALUE"""),1.01)</f>
        <v>1.01</v>
      </c>
      <c r="E6496" s="16">
        <f>IFERROR(__xludf.DUMMYFUNCTION("""COMPUTED_VALUE"""),66.0)</f>
        <v>66</v>
      </c>
      <c r="F6496" s="19" t="str">
        <f>IFERROR(__xludf.DUMMYFUNCTION("""COMPUTED_VALUE"""),"BLACK")</f>
        <v>BLACK</v>
      </c>
      <c r="G6496" s="20" t="str">
        <f>IFERROR(__xludf.DUMMYFUNCTION("""COMPUTED_VALUE"""),"Uncle Sams Cider (04/04/2023)")</f>
        <v>Uncle Sams Cider (04/04/2023)</v>
      </c>
      <c r="H6496" s="19"/>
    </row>
    <row r="6497">
      <c r="A6497" s="9"/>
      <c r="B6497" s="15"/>
      <c r="C6497" s="9">
        <f>IFERROR(__xludf.DUMMYFUNCTION("""COMPUTED_VALUE"""),45076.5265859143)</f>
        <v>45076.52659</v>
      </c>
      <c r="D6497" s="15">
        <f>IFERROR(__xludf.DUMMYFUNCTION("""COMPUTED_VALUE"""),1.01)</f>
        <v>1.01</v>
      </c>
      <c r="E6497" s="16">
        <f>IFERROR(__xludf.DUMMYFUNCTION("""COMPUTED_VALUE"""),66.0)</f>
        <v>66</v>
      </c>
      <c r="F6497" s="19" t="str">
        <f>IFERROR(__xludf.DUMMYFUNCTION("""COMPUTED_VALUE"""),"BLACK")</f>
        <v>BLACK</v>
      </c>
      <c r="G6497" s="20" t="str">
        <f>IFERROR(__xludf.DUMMYFUNCTION("""COMPUTED_VALUE"""),"Uncle Sams Cider (04/04/2023)")</f>
        <v>Uncle Sams Cider (04/04/2023)</v>
      </c>
      <c r="H6497" s="19"/>
    </row>
    <row r="6498">
      <c r="A6498" s="9"/>
      <c r="B6498" s="15"/>
      <c r="C6498" s="9">
        <f>IFERROR(__xludf.DUMMYFUNCTION("""COMPUTED_VALUE"""),45076.5161642939)</f>
        <v>45076.51616</v>
      </c>
      <c r="D6498" s="15">
        <f>IFERROR(__xludf.DUMMYFUNCTION("""COMPUTED_VALUE"""),1.01)</f>
        <v>1.01</v>
      </c>
      <c r="E6498" s="16">
        <f>IFERROR(__xludf.DUMMYFUNCTION("""COMPUTED_VALUE"""),66.0)</f>
        <v>66</v>
      </c>
      <c r="F6498" s="19" t="str">
        <f>IFERROR(__xludf.DUMMYFUNCTION("""COMPUTED_VALUE"""),"BLACK")</f>
        <v>BLACK</v>
      </c>
      <c r="G6498" s="20" t="str">
        <f>IFERROR(__xludf.DUMMYFUNCTION("""COMPUTED_VALUE"""),"Uncle Sams Cider (04/04/2023)")</f>
        <v>Uncle Sams Cider (04/04/2023)</v>
      </c>
      <c r="H6498" s="19"/>
    </row>
    <row r="6499">
      <c r="A6499" s="9"/>
      <c r="B6499" s="15"/>
      <c r="C6499" s="9">
        <f>IFERROR(__xludf.DUMMYFUNCTION("""COMPUTED_VALUE"""),45076.5057425694)</f>
        <v>45076.50574</v>
      </c>
      <c r="D6499" s="15">
        <f>IFERROR(__xludf.DUMMYFUNCTION("""COMPUTED_VALUE"""),1.01)</f>
        <v>1.01</v>
      </c>
      <c r="E6499" s="16">
        <f>IFERROR(__xludf.DUMMYFUNCTION("""COMPUTED_VALUE"""),66.0)</f>
        <v>66</v>
      </c>
      <c r="F6499" s="19" t="str">
        <f>IFERROR(__xludf.DUMMYFUNCTION("""COMPUTED_VALUE"""),"BLACK")</f>
        <v>BLACK</v>
      </c>
      <c r="G6499" s="20" t="str">
        <f>IFERROR(__xludf.DUMMYFUNCTION("""COMPUTED_VALUE"""),"Uncle Sams Cider (04/04/2023)")</f>
        <v>Uncle Sams Cider (04/04/2023)</v>
      </c>
      <c r="H6499" s="19"/>
    </row>
    <row r="6500">
      <c r="A6500" s="9"/>
      <c r="B6500" s="15"/>
      <c r="C6500" s="9">
        <f>IFERROR(__xludf.DUMMYFUNCTION("""COMPUTED_VALUE"""),45076.4953202893)</f>
        <v>45076.49532</v>
      </c>
      <c r="D6500" s="15">
        <f>IFERROR(__xludf.DUMMYFUNCTION("""COMPUTED_VALUE"""),1.01)</f>
        <v>1.01</v>
      </c>
      <c r="E6500" s="16">
        <f>IFERROR(__xludf.DUMMYFUNCTION("""COMPUTED_VALUE"""),66.0)</f>
        <v>66</v>
      </c>
      <c r="F6500" s="19" t="str">
        <f>IFERROR(__xludf.DUMMYFUNCTION("""COMPUTED_VALUE"""),"BLACK")</f>
        <v>BLACK</v>
      </c>
      <c r="G6500" s="20" t="str">
        <f>IFERROR(__xludf.DUMMYFUNCTION("""COMPUTED_VALUE"""),"Uncle Sams Cider (04/04/2023)")</f>
        <v>Uncle Sams Cider (04/04/2023)</v>
      </c>
      <c r="H6500" s="19"/>
    </row>
    <row r="6501">
      <c r="A6501" s="9"/>
      <c r="B6501" s="15"/>
      <c r="C6501" s="9">
        <f>IFERROR(__xludf.DUMMYFUNCTION("""COMPUTED_VALUE"""),45076.4849019676)</f>
        <v>45076.4849</v>
      </c>
      <c r="D6501" s="15">
        <f>IFERROR(__xludf.DUMMYFUNCTION("""COMPUTED_VALUE"""),1.01)</f>
        <v>1.01</v>
      </c>
      <c r="E6501" s="16">
        <f>IFERROR(__xludf.DUMMYFUNCTION("""COMPUTED_VALUE"""),66.0)</f>
        <v>66</v>
      </c>
      <c r="F6501" s="19" t="str">
        <f>IFERROR(__xludf.DUMMYFUNCTION("""COMPUTED_VALUE"""),"BLACK")</f>
        <v>BLACK</v>
      </c>
      <c r="G6501" s="20" t="str">
        <f>IFERROR(__xludf.DUMMYFUNCTION("""COMPUTED_VALUE"""),"Uncle Sams Cider (04/04/2023)")</f>
        <v>Uncle Sams Cider (04/04/2023)</v>
      </c>
      <c r="H6501" s="19"/>
    </row>
    <row r="6502">
      <c r="A6502" s="9"/>
      <c r="B6502" s="15"/>
      <c r="C6502" s="9">
        <f>IFERROR(__xludf.DUMMYFUNCTION("""COMPUTED_VALUE"""),45076.4744798611)</f>
        <v>45076.47448</v>
      </c>
      <c r="D6502" s="15">
        <f>IFERROR(__xludf.DUMMYFUNCTION("""COMPUTED_VALUE"""),1.01)</f>
        <v>1.01</v>
      </c>
      <c r="E6502" s="16">
        <f>IFERROR(__xludf.DUMMYFUNCTION("""COMPUTED_VALUE"""),66.0)</f>
        <v>66</v>
      </c>
      <c r="F6502" s="19" t="str">
        <f>IFERROR(__xludf.DUMMYFUNCTION("""COMPUTED_VALUE"""),"BLACK")</f>
        <v>BLACK</v>
      </c>
      <c r="G6502" s="20" t="str">
        <f>IFERROR(__xludf.DUMMYFUNCTION("""COMPUTED_VALUE"""),"Uncle Sams Cider (04/04/2023)")</f>
        <v>Uncle Sams Cider (04/04/2023)</v>
      </c>
      <c r="H6502" s="19"/>
    </row>
    <row r="6503">
      <c r="A6503" s="9"/>
      <c r="B6503" s="15"/>
      <c r="C6503" s="9">
        <f>IFERROR(__xludf.DUMMYFUNCTION("""COMPUTED_VALUE"""),45076.464035405)</f>
        <v>45076.46404</v>
      </c>
      <c r="D6503" s="15">
        <f>IFERROR(__xludf.DUMMYFUNCTION("""COMPUTED_VALUE"""),1.01)</f>
        <v>1.01</v>
      </c>
      <c r="E6503" s="16">
        <f>IFERROR(__xludf.DUMMYFUNCTION("""COMPUTED_VALUE"""),66.0)</f>
        <v>66</v>
      </c>
      <c r="F6503" s="19" t="str">
        <f>IFERROR(__xludf.DUMMYFUNCTION("""COMPUTED_VALUE"""),"BLACK")</f>
        <v>BLACK</v>
      </c>
      <c r="G6503" s="20" t="str">
        <f>IFERROR(__xludf.DUMMYFUNCTION("""COMPUTED_VALUE"""),"Uncle Sams Cider (04/04/2023)")</f>
        <v>Uncle Sams Cider (04/04/2023)</v>
      </c>
      <c r="H6503" s="19"/>
    </row>
    <row r="6504">
      <c r="A6504" s="9"/>
      <c r="B6504" s="15"/>
      <c r="C6504" s="9">
        <f>IFERROR(__xludf.DUMMYFUNCTION("""COMPUTED_VALUE"""),45076.4536140972)</f>
        <v>45076.45361</v>
      </c>
      <c r="D6504" s="15">
        <f>IFERROR(__xludf.DUMMYFUNCTION("""COMPUTED_VALUE"""),1.01)</f>
        <v>1.01</v>
      </c>
      <c r="E6504" s="16">
        <f>IFERROR(__xludf.DUMMYFUNCTION("""COMPUTED_VALUE"""),66.0)</f>
        <v>66</v>
      </c>
      <c r="F6504" s="19" t="str">
        <f>IFERROR(__xludf.DUMMYFUNCTION("""COMPUTED_VALUE"""),"BLACK")</f>
        <v>BLACK</v>
      </c>
      <c r="G6504" s="20" t="str">
        <f>IFERROR(__xludf.DUMMYFUNCTION("""COMPUTED_VALUE"""),"Uncle Sams Cider (04/04/2023)")</f>
        <v>Uncle Sams Cider (04/04/2023)</v>
      </c>
      <c r="H6504" s="19"/>
    </row>
    <row r="6505">
      <c r="A6505" s="9"/>
      <c r="B6505" s="15"/>
      <c r="C6505" s="9">
        <f>IFERROR(__xludf.DUMMYFUNCTION("""COMPUTED_VALUE"""),45076.44319228)</f>
        <v>45076.44319</v>
      </c>
      <c r="D6505" s="15">
        <f>IFERROR(__xludf.DUMMYFUNCTION("""COMPUTED_VALUE"""),1.01)</f>
        <v>1.01</v>
      </c>
      <c r="E6505" s="16">
        <f>IFERROR(__xludf.DUMMYFUNCTION("""COMPUTED_VALUE"""),66.0)</f>
        <v>66</v>
      </c>
      <c r="F6505" s="19" t="str">
        <f>IFERROR(__xludf.DUMMYFUNCTION("""COMPUTED_VALUE"""),"BLACK")</f>
        <v>BLACK</v>
      </c>
      <c r="G6505" s="20" t="str">
        <f>IFERROR(__xludf.DUMMYFUNCTION("""COMPUTED_VALUE"""),"Uncle Sams Cider (04/04/2023)")</f>
        <v>Uncle Sams Cider (04/04/2023)</v>
      </c>
      <c r="H6505" s="19"/>
    </row>
    <row r="6506">
      <c r="A6506" s="9"/>
      <c r="B6506" s="15"/>
      <c r="C6506" s="9">
        <f>IFERROR(__xludf.DUMMYFUNCTION("""COMPUTED_VALUE"""),45076.4327703356)</f>
        <v>45076.43277</v>
      </c>
      <c r="D6506" s="15">
        <f>IFERROR(__xludf.DUMMYFUNCTION("""COMPUTED_VALUE"""),1.01)</f>
        <v>1.01</v>
      </c>
      <c r="E6506" s="16">
        <f>IFERROR(__xludf.DUMMYFUNCTION("""COMPUTED_VALUE"""),66.0)</f>
        <v>66</v>
      </c>
      <c r="F6506" s="19" t="str">
        <f>IFERROR(__xludf.DUMMYFUNCTION("""COMPUTED_VALUE"""),"BLACK")</f>
        <v>BLACK</v>
      </c>
      <c r="G6506" s="20" t="str">
        <f>IFERROR(__xludf.DUMMYFUNCTION("""COMPUTED_VALUE"""),"Uncle Sams Cider (04/04/2023)")</f>
        <v>Uncle Sams Cider (04/04/2023)</v>
      </c>
      <c r="H6506" s="19"/>
    </row>
    <row r="6507">
      <c r="A6507" s="9"/>
      <c r="B6507" s="15"/>
      <c r="C6507" s="9">
        <f>IFERROR(__xludf.DUMMYFUNCTION("""COMPUTED_VALUE"""),45076.4223483449)</f>
        <v>45076.42235</v>
      </c>
      <c r="D6507" s="15">
        <f>IFERROR(__xludf.DUMMYFUNCTION("""COMPUTED_VALUE"""),1.01)</f>
        <v>1.01</v>
      </c>
      <c r="E6507" s="16">
        <f>IFERROR(__xludf.DUMMYFUNCTION("""COMPUTED_VALUE"""),66.0)</f>
        <v>66</v>
      </c>
      <c r="F6507" s="19" t="str">
        <f>IFERROR(__xludf.DUMMYFUNCTION("""COMPUTED_VALUE"""),"BLACK")</f>
        <v>BLACK</v>
      </c>
      <c r="G6507" s="20" t="str">
        <f>IFERROR(__xludf.DUMMYFUNCTION("""COMPUTED_VALUE"""),"Uncle Sams Cider (04/04/2023)")</f>
        <v>Uncle Sams Cider (04/04/2023)</v>
      </c>
      <c r="H6507" s="19"/>
    </row>
    <row r="6508">
      <c r="A6508" s="9"/>
      <c r="B6508" s="15"/>
      <c r="C6508" s="9">
        <f>IFERROR(__xludf.DUMMYFUNCTION("""COMPUTED_VALUE"""),45076.4119255439)</f>
        <v>45076.41193</v>
      </c>
      <c r="D6508" s="15">
        <f>IFERROR(__xludf.DUMMYFUNCTION("""COMPUTED_VALUE"""),1.01)</f>
        <v>1.01</v>
      </c>
      <c r="E6508" s="16">
        <f>IFERROR(__xludf.DUMMYFUNCTION("""COMPUTED_VALUE"""),66.0)</f>
        <v>66</v>
      </c>
      <c r="F6508" s="19" t="str">
        <f>IFERROR(__xludf.DUMMYFUNCTION("""COMPUTED_VALUE"""),"BLACK")</f>
        <v>BLACK</v>
      </c>
      <c r="G6508" s="20" t="str">
        <f>IFERROR(__xludf.DUMMYFUNCTION("""COMPUTED_VALUE"""),"Uncle Sams Cider (04/04/2023)")</f>
        <v>Uncle Sams Cider (04/04/2023)</v>
      </c>
      <c r="H6508" s="19"/>
    </row>
    <row r="6509">
      <c r="A6509" s="9"/>
      <c r="B6509" s="15"/>
      <c r="C6509" s="9">
        <f>IFERROR(__xludf.DUMMYFUNCTION("""COMPUTED_VALUE"""),45076.4015059722)</f>
        <v>45076.40151</v>
      </c>
      <c r="D6509" s="15">
        <f>IFERROR(__xludf.DUMMYFUNCTION("""COMPUTED_VALUE"""),1.01)</f>
        <v>1.01</v>
      </c>
      <c r="E6509" s="16">
        <f>IFERROR(__xludf.DUMMYFUNCTION("""COMPUTED_VALUE"""),66.0)</f>
        <v>66</v>
      </c>
      <c r="F6509" s="19" t="str">
        <f>IFERROR(__xludf.DUMMYFUNCTION("""COMPUTED_VALUE"""),"BLACK")</f>
        <v>BLACK</v>
      </c>
      <c r="G6509" s="20" t="str">
        <f>IFERROR(__xludf.DUMMYFUNCTION("""COMPUTED_VALUE"""),"Uncle Sams Cider (04/04/2023)")</f>
        <v>Uncle Sams Cider (04/04/2023)</v>
      </c>
      <c r="H6509" s="19"/>
    </row>
    <row r="6510">
      <c r="A6510" s="9"/>
      <c r="B6510" s="15"/>
      <c r="C6510" s="9">
        <f>IFERROR(__xludf.DUMMYFUNCTION("""COMPUTED_VALUE"""),45076.39108478)</f>
        <v>45076.39108</v>
      </c>
      <c r="D6510" s="15">
        <f>IFERROR(__xludf.DUMMYFUNCTION("""COMPUTED_VALUE"""),1.01)</f>
        <v>1.01</v>
      </c>
      <c r="E6510" s="16">
        <f>IFERROR(__xludf.DUMMYFUNCTION("""COMPUTED_VALUE"""),66.0)</f>
        <v>66</v>
      </c>
      <c r="F6510" s="19" t="str">
        <f>IFERROR(__xludf.DUMMYFUNCTION("""COMPUTED_VALUE"""),"BLACK")</f>
        <v>BLACK</v>
      </c>
      <c r="G6510" s="20" t="str">
        <f>IFERROR(__xludf.DUMMYFUNCTION("""COMPUTED_VALUE"""),"Uncle Sams Cider (04/04/2023)")</f>
        <v>Uncle Sams Cider (04/04/2023)</v>
      </c>
      <c r="H6510" s="19"/>
    </row>
    <row r="6511">
      <c r="A6511" s="9"/>
      <c r="B6511" s="15"/>
      <c r="C6511" s="9">
        <f>IFERROR(__xludf.DUMMYFUNCTION("""COMPUTED_VALUE"""),45076.3806647916)</f>
        <v>45076.38066</v>
      </c>
      <c r="D6511" s="15">
        <f>IFERROR(__xludf.DUMMYFUNCTION("""COMPUTED_VALUE"""),1.01)</f>
        <v>1.01</v>
      </c>
      <c r="E6511" s="16">
        <f>IFERROR(__xludf.DUMMYFUNCTION("""COMPUTED_VALUE"""),66.0)</f>
        <v>66</v>
      </c>
      <c r="F6511" s="19" t="str">
        <f>IFERROR(__xludf.DUMMYFUNCTION("""COMPUTED_VALUE"""),"BLACK")</f>
        <v>BLACK</v>
      </c>
      <c r="G6511" s="20" t="str">
        <f>IFERROR(__xludf.DUMMYFUNCTION("""COMPUTED_VALUE"""),"Uncle Sams Cider (04/04/2023)")</f>
        <v>Uncle Sams Cider (04/04/2023)</v>
      </c>
      <c r="H6511" s="19"/>
    </row>
    <row r="6512">
      <c r="A6512" s="9"/>
      <c r="B6512" s="15"/>
      <c r="C6512" s="9">
        <f>IFERROR(__xludf.DUMMYFUNCTION("""COMPUTED_VALUE"""),45076.3702440162)</f>
        <v>45076.37024</v>
      </c>
      <c r="D6512" s="15">
        <f>IFERROR(__xludf.DUMMYFUNCTION("""COMPUTED_VALUE"""),1.01)</f>
        <v>1.01</v>
      </c>
      <c r="E6512" s="16">
        <f>IFERROR(__xludf.DUMMYFUNCTION("""COMPUTED_VALUE"""),66.0)</f>
        <v>66</v>
      </c>
      <c r="F6512" s="19" t="str">
        <f>IFERROR(__xludf.DUMMYFUNCTION("""COMPUTED_VALUE"""),"BLACK")</f>
        <v>BLACK</v>
      </c>
      <c r="G6512" s="20" t="str">
        <f>IFERROR(__xludf.DUMMYFUNCTION("""COMPUTED_VALUE"""),"Uncle Sams Cider (04/04/2023)")</f>
        <v>Uncle Sams Cider (04/04/2023)</v>
      </c>
      <c r="H6512" s="19"/>
    </row>
    <row r="6513">
      <c r="A6513" s="9"/>
      <c r="B6513" s="15"/>
      <c r="C6513" s="9">
        <f>IFERROR(__xludf.DUMMYFUNCTION("""COMPUTED_VALUE"""),45076.3598240972)</f>
        <v>45076.35982</v>
      </c>
      <c r="D6513" s="15">
        <f>IFERROR(__xludf.DUMMYFUNCTION("""COMPUTED_VALUE"""),1.01)</f>
        <v>1.01</v>
      </c>
      <c r="E6513" s="16">
        <f>IFERROR(__xludf.DUMMYFUNCTION("""COMPUTED_VALUE"""),66.0)</f>
        <v>66</v>
      </c>
      <c r="F6513" s="19" t="str">
        <f>IFERROR(__xludf.DUMMYFUNCTION("""COMPUTED_VALUE"""),"BLACK")</f>
        <v>BLACK</v>
      </c>
      <c r="G6513" s="20" t="str">
        <f>IFERROR(__xludf.DUMMYFUNCTION("""COMPUTED_VALUE"""),"Uncle Sams Cider (04/04/2023)")</f>
        <v>Uncle Sams Cider (04/04/2023)</v>
      </c>
      <c r="H6513" s="19"/>
    </row>
    <row r="6514">
      <c r="A6514" s="9"/>
      <c r="B6514" s="15"/>
      <c r="C6514" s="9">
        <f>IFERROR(__xludf.DUMMYFUNCTION("""COMPUTED_VALUE"""),45076.3494012037)</f>
        <v>45076.3494</v>
      </c>
      <c r="D6514" s="15">
        <f>IFERROR(__xludf.DUMMYFUNCTION("""COMPUTED_VALUE"""),1.01)</f>
        <v>1.01</v>
      </c>
      <c r="E6514" s="16">
        <f>IFERROR(__xludf.DUMMYFUNCTION("""COMPUTED_VALUE"""),66.0)</f>
        <v>66</v>
      </c>
      <c r="F6514" s="19" t="str">
        <f>IFERROR(__xludf.DUMMYFUNCTION("""COMPUTED_VALUE"""),"BLACK")</f>
        <v>BLACK</v>
      </c>
      <c r="G6514" s="20" t="str">
        <f>IFERROR(__xludf.DUMMYFUNCTION("""COMPUTED_VALUE"""),"Uncle Sams Cider (04/04/2023)")</f>
        <v>Uncle Sams Cider (04/04/2023)</v>
      </c>
      <c r="H6514" s="19"/>
    </row>
    <row r="6515">
      <c r="A6515" s="9"/>
      <c r="B6515" s="15"/>
      <c r="C6515" s="9">
        <f>IFERROR(__xludf.DUMMYFUNCTION("""COMPUTED_VALUE"""),45076.3389783796)</f>
        <v>45076.33898</v>
      </c>
      <c r="D6515" s="15">
        <f>IFERROR(__xludf.DUMMYFUNCTION("""COMPUTED_VALUE"""),1.01)</f>
        <v>1.01</v>
      </c>
      <c r="E6515" s="16">
        <f>IFERROR(__xludf.DUMMYFUNCTION("""COMPUTED_VALUE"""),66.0)</f>
        <v>66</v>
      </c>
      <c r="F6515" s="19" t="str">
        <f>IFERROR(__xludf.DUMMYFUNCTION("""COMPUTED_VALUE"""),"BLACK")</f>
        <v>BLACK</v>
      </c>
      <c r="G6515" s="20" t="str">
        <f>IFERROR(__xludf.DUMMYFUNCTION("""COMPUTED_VALUE"""),"Uncle Sams Cider (04/04/2023)")</f>
        <v>Uncle Sams Cider (04/04/2023)</v>
      </c>
      <c r="H6515" s="19"/>
    </row>
    <row r="6516">
      <c r="A6516" s="9"/>
      <c r="B6516" s="15"/>
      <c r="C6516" s="9">
        <f>IFERROR(__xludf.DUMMYFUNCTION("""COMPUTED_VALUE"""),45076.3181362731)</f>
        <v>45076.31814</v>
      </c>
      <c r="D6516" s="15">
        <f>IFERROR(__xludf.DUMMYFUNCTION("""COMPUTED_VALUE"""),1.01)</f>
        <v>1.01</v>
      </c>
      <c r="E6516" s="16">
        <f>IFERROR(__xludf.DUMMYFUNCTION("""COMPUTED_VALUE"""),66.0)</f>
        <v>66</v>
      </c>
      <c r="F6516" s="19" t="str">
        <f>IFERROR(__xludf.DUMMYFUNCTION("""COMPUTED_VALUE"""),"BLACK")</f>
        <v>BLACK</v>
      </c>
      <c r="G6516" s="20" t="str">
        <f>IFERROR(__xludf.DUMMYFUNCTION("""COMPUTED_VALUE"""),"Uncle Sams Cider (04/04/2023)")</f>
        <v>Uncle Sams Cider (04/04/2023)</v>
      </c>
      <c r="H6516" s="19"/>
    </row>
    <row r="6517">
      <c r="A6517" s="9"/>
      <c r="B6517" s="15"/>
      <c r="C6517" s="9">
        <f>IFERROR(__xludf.DUMMYFUNCTION("""COMPUTED_VALUE"""),45076.3077159838)</f>
        <v>45076.30772</v>
      </c>
      <c r="D6517" s="15">
        <f>IFERROR(__xludf.DUMMYFUNCTION("""COMPUTED_VALUE"""),1.01)</f>
        <v>1.01</v>
      </c>
      <c r="E6517" s="16">
        <f>IFERROR(__xludf.DUMMYFUNCTION("""COMPUTED_VALUE"""),66.0)</f>
        <v>66</v>
      </c>
      <c r="F6517" s="19" t="str">
        <f>IFERROR(__xludf.DUMMYFUNCTION("""COMPUTED_VALUE"""),"BLACK")</f>
        <v>BLACK</v>
      </c>
      <c r="G6517" s="20" t="str">
        <f>IFERROR(__xludf.DUMMYFUNCTION("""COMPUTED_VALUE"""),"Uncle Sams Cider (04/04/2023)")</f>
        <v>Uncle Sams Cider (04/04/2023)</v>
      </c>
      <c r="H6517" s="19"/>
    </row>
    <row r="6518">
      <c r="A6518" s="9"/>
      <c r="B6518" s="15"/>
      <c r="C6518" s="9">
        <f>IFERROR(__xludf.DUMMYFUNCTION("""COMPUTED_VALUE"""),45076.2972952199)</f>
        <v>45076.2973</v>
      </c>
      <c r="D6518" s="15">
        <f>IFERROR(__xludf.DUMMYFUNCTION("""COMPUTED_VALUE"""),1.01)</f>
        <v>1.01</v>
      </c>
      <c r="E6518" s="16">
        <f>IFERROR(__xludf.DUMMYFUNCTION("""COMPUTED_VALUE"""),66.0)</f>
        <v>66</v>
      </c>
      <c r="F6518" s="19" t="str">
        <f>IFERROR(__xludf.DUMMYFUNCTION("""COMPUTED_VALUE"""),"BLACK")</f>
        <v>BLACK</v>
      </c>
      <c r="G6518" s="20" t="str">
        <f>IFERROR(__xludf.DUMMYFUNCTION("""COMPUTED_VALUE"""),"Uncle Sams Cider (04/04/2023)")</f>
        <v>Uncle Sams Cider (04/04/2023)</v>
      </c>
      <c r="H6518" s="19"/>
    </row>
    <row r="6519">
      <c r="A6519" s="9"/>
      <c r="B6519" s="15"/>
      <c r="C6519" s="9">
        <f>IFERROR(__xludf.DUMMYFUNCTION("""COMPUTED_VALUE"""),45076.2868766666)</f>
        <v>45076.28688</v>
      </c>
      <c r="D6519" s="15">
        <f>IFERROR(__xludf.DUMMYFUNCTION("""COMPUTED_VALUE"""),1.01)</f>
        <v>1.01</v>
      </c>
      <c r="E6519" s="16">
        <f>IFERROR(__xludf.DUMMYFUNCTION("""COMPUTED_VALUE"""),66.0)</f>
        <v>66</v>
      </c>
      <c r="F6519" s="19" t="str">
        <f>IFERROR(__xludf.DUMMYFUNCTION("""COMPUTED_VALUE"""),"BLACK")</f>
        <v>BLACK</v>
      </c>
      <c r="G6519" s="20" t="str">
        <f>IFERROR(__xludf.DUMMYFUNCTION("""COMPUTED_VALUE"""),"Uncle Sams Cider (04/04/2023)")</f>
        <v>Uncle Sams Cider (04/04/2023)</v>
      </c>
      <c r="H6519" s="19"/>
    </row>
    <row r="6520">
      <c r="A6520" s="9"/>
      <c r="B6520" s="15"/>
      <c r="C6520" s="9">
        <f>IFERROR(__xludf.DUMMYFUNCTION("""COMPUTED_VALUE"""),45076.2764555439)</f>
        <v>45076.27646</v>
      </c>
      <c r="D6520" s="15">
        <f>IFERROR(__xludf.DUMMYFUNCTION("""COMPUTED_VALUE"""),1.01)</f>
        <v>1.01</v>
      </c>
      <c r="E6520" s="16">
        <f>IFERROR(__xludf.DUMMYFUNCTION("""COMPUTED_VALUE"""),66.0)</f>
        <v>66</v>
      </c>
      <c r="F6520" s="19" t="str">
        <f>IFERROR(__xludf.DUMMYFUNCTION("""COMPUTED_VALUE"""),"BLACK")</f>
        <v>BLACK</v>
      </c>
      <c r="G6520" s="20" t="str">
        <f>IFERROR(__xludf.DUMMYFUNCTION("""COMPUTED_VALUE"""),"Uncle Sams Cider (04/04/2023)")</f>
        <v>Uncle Sams Cider (04/04/2023)</v>
      </c>
      <c r="H6520" s="19"/>
    </row>
    <row r="6521">
      <c r="A6521" s="9"/>
      <c r="B6521" s="15"/>
      <c r="C6521" s="9">
        <f>IFERROR(__xludf.DUMMYFUNCTION("""COMPUTED_VALUE"""),45076.2660114583)</f>
        <v>45076.26601</v>
      </c>
      <c r="D6521" s="15">
        <f>IFERROR(__xludf.DUMMYFUNCTION("""COMPUTED_VALUE"""),1.01)</f>
        <v>1.01</v>
      </c>
      <c r="E6521" s="16">
        <f>IFERROR(__xludf.DUMMYFUNCTION("""COMPUTED_VALUE"""),66.0)</f>
        <v>66</v>
      </c>
      <c r="F6521" s="19" t="str">
        <f>IFERROR(__xludf.DUMMYFUNCTION("""COMPUTED_VALUE"""),"BLACK")</f>
        <v>BLACK</v>
      </c>
      <c r="G6521" s="20" t="str">
        <f>IFERROR(__xludf.DUMMYFUNCTION("""COMPUTED_VALUE"""),"Uncle Sams Cider (04/04/2023)")</f>
        <v>Uncle Sams Cider (04/04/2023)</v>
      </c>
      <c r="H6521" s="19"/>
    </row>
    <row r="6522">
      <c r="A6522" s="9"/>
      <c r="B6522" s="15"/>
      <c r="C6522" s="9">
        <f>IFERROR(__xludf.DUMMYFUNCTION("""COMPUTED_VALUE"""),45076.2555884375)</f>
        <v>45076.25559</v>
      </c>
      <c r="D6522" s="15">
        <f>IFERROR(__xludf.DUMMYFUNCTION("""COMPUTED_VALUE"""),1.01)</f>
        <v>1.01</v>
      </c>
      <c r="E6522" s="16">
        <f>IFERROR(__xludf.DUMMYFUNCTION("""COMPUTED_VALUE"""),66.0)</f>
        <v>66</v>
      </c>
      <c r="F6522" s="19" t="str">
        <f>IFERROR(__xludf.DUMMYFUNCTION("""COMPUTED_VALUE"""),"BLACK")</f>
        <v>BLACK</v>
      </c>
      <c r="G6522" s="20" t="str">
        <f>IFERROR(__xludf.DUMMYFUNCTION("""COMPUTED_VALUE"""),"Uncle Sams Cider (04/04/2023)")</f>
        <v>Uncle Sams Cider (04/04/2023)</v>
      </c>
      <c r="H6522" s="19"/>
    </row>
    <row r="6523">
      <c r="A6523" s="9"/>
      <c r="B6523" s="15"/>
      <c r="C6523" s="9">
        <f>IFERROR(__xludf.DUMMYFUNCTION("""COMPUTED_VALUE"""),45076.2451680092)</f>
        <v>45076.24517</v>
      </c>
      <c r="D6523" s="15">
        <f>IFERROR(__xludf.DUMMYFUNCTION("""COMPUTED_VALUE"""),1.01)</f>
        <v>1.01</v>
      </c>
      <c r="E6523" s="16">
        <f>IFERROR(__xludf.DUMMYFUNCTION("""COMPUTED_VALUE"""),66.0)</f>
        <v>66</v>
      </c>
      <c r="F6523" s="19" t="str">
        <f>IFERROR(__xludf.DUMMYFUNCTION("""COMPUTED_VALUE"""),"BLACK")</f>
        <v>BLACK</v>
      </c>
      <c r="G6523" s="20" t="str">
        <f>IFERROR(__xludf.DUMMYFUNCTION("""COMPUTED_VALUE"""),"Uncle Sams Cider (04/04/2023)")</f>
        <v>Uncle Sams Cider (04/04/2023)</v>
      </c>
      <c r="H6523" s="19"/>
    </row>
    <row r="6524">
      <c r="A6524" s="9"/>
      <c r="B6524" s="15"/>
      <c r="C6524" s="9">
        <f>IFERROR(__xludf.DUMMYFUNCTION("""COMPUTED_VALUE"""),45076.2347454051)</f>
        <v>45076.23475</v>
      </c>
      <c r="D6524" s="15">
        <f>IFERROR(__xludf.DUMMYFUNCTION("""COMPUTED_VALUE"""),1.01)</f>
        <v>1.01</v>
      </c>
      <c r="E6524" s="16">
        <f>IFERROR(__xludf.DUMMYFUNCTION("""COMPUTED_VALUE"""),66.0)</f>
        <v>66</v>
      </c>
      <c r="F6524" s="19" t="str">
        <f>IFERROR(__xludf.DUMMYFUNCTION("""COMPUTED_VALUE"""),"BLACK")</f>
        <v>BLACK</v>
      </c>
      <c r="G6524" s="20" t="str">
        <f>IFERROR(__xludf.DUMMYFUNCTION("""COMPUTED_VALUE"""),"Uncle Sams Cider (04/04/2023)")</f>
        <v>Uncle Sams Cider (04/04/2023)</v>
      </c>
      <c r="H6524" s="19"/>
    </row>
    <row r="6525">
      <c r="A6525" s="9"/>
      <c r="B6525" s="15"/>
      <c r="C6525" s="9">
        <f>IFERROR(__xludf.DUMMYFUNCTION("""COMPUTED_VALUE"""),45076.2243249074)</f>
        <v>45076.22432</v>
      </c>
      <c r="D6525" s="15">
        <f>IFERROR(__xludf.DUMMYFUNCTION("""COMPUTED_VALUE"""),1.01)</f>
        <v>1.01</v>
      </c>
      <c r="E6525" s="16">
        <f>IFERROR(__xludf.DUMMYFUNCTION("""COMPUTED_VALUE"""),66.0)</f>
        <v>66</v>
      </c>
      <c r="F6525" s="19" t="str">
        <f>IFERROR(__xludf.DUMMYFUNCTION("""COMPUTED_VALUE"""),"BLACK")</f>
        <v>BLACK</v>
      </c>
      <c r="G6525" s="20" t="str">
        <f>IFERROR(__xludf.DUMMYFUNCTION("""COMPUTED_VALUE"""),"Uncle Sams Cider (04/04/2023)")</f>
        <v>Uncle Sams Cider (04/04/2023)</v>
      </c>
      <c r="H6525" s="19"/>
    </row>
    <row r="6526">
      <c r="A6526" s="9"/>
      <c r="B6526" s="15"/>
      <c r="C6526" s="9">
        <f>IFERROR(__xludf.DUMMYFUNCTION("""COMPUTED_VALUE"""),45076.2139041088)</f>
        <v>45076.2139</v>
      </c>
      <c r="D6526" s="15">
        <f>IFERROR(__xludf.DUMMYFUNCTION("""COMPUTED_VALUE"""),1.01)</f>
        <v>1.01</v>
      </c>
      <c r="E6526" s="16">
        <f>IFERROR(__xludf.DUMMYFUNCTION("""COMPUTED_VALUE"""),66.0)</f>
        <v>66</v>
      </c>
      <c r="F6526" s="19" t="str">
        <f>IFERROR(__xludf.DUMMYFUNCTION("""COMPUTED_VALUE"""),"BLACK")</f>
        <v>BLACK</v>
      </c>
      <c r="G6526" s="20" t="str">
        <f>IFERROR(__xludf.DUMMYFUNCTION("""COMPUTED_VALUE"""),"Uncle Sams Cider (04/04/2023)")</f>
        <v>Uncle Sams Cider (04/04/2023)</v>
      </c>
      <c r="H6526" s="19"/>
    </row>
    <row r="6527">
      <c r="A6527" s="9"/>
      <c r="B6527" s="15"/>
      <c r="C6527" s="9">
        <f>IFERROR(__xludf.DUMMYFUNCTION("""COMPUTED_VALUE"""),45076.2034694907)</f>
        <v>45076.20347</v>
      </c>
      <c r="D6527" s="15">
        <f>IFERROR(__xludf.DUMMYFUNCTION("""COMPUTED_VALUE"""),1.01)</f>
        <v>1.01</v>
      </c>
      <c r="E6527" s="16">
        <f>IFERROR(__xludf.DUMMYFUNCTION("""COMPUTED_VALUE"""),66.0)</f>
        <v>66</v>
      </c>
      <c r="F6527" s="19" t="str">
        <f>IFERROR(__xludf.DUMMYFUNCTION("""COMPUTED_VALUE"""),"BLACK")</f>
        <v>BLACK</v>
      </c>
      <c r="G6527" s="20" t="str">
        <f>IFERROR(__xludf.DUMMYFUNCTION("""COMPUTED_VALUE"""),"Uncle Sams Cider (04/04/2023)")</f>
        <v>Uncle Sams Cider (04/04/2023)</v>
      </c>
      <c r="H6527" s="19"/>
    </row>
    <row r="6528">
      <c r="A6528" s="9"/>
      <c r="B6528" s="15"/>
      <c r="C6528" s="9">
        <f>IFERROR(__xludf.DUMMYFUNCTION("""COMPUTED_VALUE"""),45076.1930362615)</f>
        <v>45076.19304</v>
      </c>
      <c r="D6528" s="15">
        <f>IFERROR(__xludf.DUMMYFUNCTION("""COMPUTED_VALUE"""),1.01)</f>
        <v>1.01</v>
      </c>
      <c r="E6528" s="16">
        <f>IFERROR(__xludf.DUMMYFUNCTION("""COMPUTED_VALUE"""),66.0)</f>
        <v>66</v>
      </c>
      <c r="F6528" s="19" t="str">
        <f>IFERROR(__xludf.DUMMYFUNCTION("""COMPUTED_VALUE"""),"BLACK")</f>
        <v>BLACK</v>
      </c>
      <c r="G6528" s="20" t="str">
        <f>IFERROR(__xludf.DUMMYFUNCTION("""COMPUTED_VALUE"""),"Uncle Sams Cider (04/04/2023)")</f>
        <v>Uncle Sams Cider (04/04/2023)</v>
      </c>
      <c r="H6528" s="19"/>
    </row>
    <row r="6529">
      <c r="A6529" s="9"/>
      <c r="B6529" s="15"/>
      <c r="C6529" s="9">
        <f>IFERROR(__xludf.DUMMYFUNCTION("""COMPUTED_VALUE"""),45076.182615324)</f>
        <v>45076.18262</v>
      </c>
      <c r="D6529" s="15">
        <f>IFERROR(__xludf.DUMMYFUNCTION("""COMPUTED_VALUE"""),1.01)</f>
        <v>1.01</v>
      </c>
      <c r="E6529" s="16">
        <f>IFERROR(__xludf.DUMMYFUNCTION("""COMPUTED_VALUE"""),66.0)</f>
        <v>66</v>
      </c>
      <c r="F6529" s="19" t="str">
        <f>IFERROR(__xludf.DUMMYFUNCTION("""COMPUTED_VALUE"""),"BLACK")</f>
        <v>BLACK</v>
      </c>
      <c r="G6529" s="20" t="str">
        <f>IFERROR(__xludf.DUMMYFUNCTION("""COMPUTED_VALUE"""),"Uncle Sams Cider (04/04/2023)")</f>
        <v>Uncle Sams Cider (04/04/2023)</v>
      </c>
      <c r="H6529" s="19"/>
    </row>
    <row r="6530">
      <c r="A6530" s="9"/>
      <c r="B6530" s="15"/>
      <c r="C6530" s="9">
        <f>IFERROR(__xludf.DUMMYFUNCTION("""COMPUTED_VALUE"""),45076.1721949074)</f>
        <v>45076.17219</v>
      </c>
      <c r="D6530" s="15">
        <f>IFERROR(__xludf.DUMMYFUNCTION("""COMPUTED_VALUE"""),1.01)</f>
        <v>1.01</v>
      </c>
      <c r="E6530" s="16">
        <f>IFERROR(__xludf.DUMMYFUNCTION("""COMPUTED_VALUE"""),66.0)</f>
        <v>66</v>
      </c>
      <c r="F6530" s="19" t="str">
        <f>IFERROR(__xludf.DUMMYFUNCTION("""COMPUTED_VALUE"""),"BLACK")</f>
        <v>BLACK</v>
      </c>
      <c r="G6530" s="20" t="str">
        <f>IFERROR(__xludf.DUMMYFUNCTION("""COMPUTED_VALUE"""),"Uncle Sams Cider (04/04/2023)")</f>
        <v>Uncle Sams Cider (04/04/2023)</v>
      </c>
      <c r="H6530" s="19"/>
    </row>
    <row r="6531">
      <c r="A6531" s="9"/>
      <c r="B6531" s="15"/>
      <c r="C6531" s="9">
        <f>IFERROR(__xludf.DUMMYFUNCTION("""COMPUTED_VALUE"""),45076.1617729513)</f>
        <v>45076.16177</v>
      </c>
      <c r="D6531" s="15">
        <f>IFERROR(__xludf.DUMMYFUNCTION("""COMPUTED_VALUE"""),1.01)</f>
        <v>1.01</v>
      </c>
      <c r="E6531" s="16">
        <f>IFERROR(__xludf.DUMMYFUNCTION("""COMPUTED_VALUE"""),66.0)</f>
        <v>66</v>
      </c>
      <c r="F6531" s="19" t="str">
        <f>IFERROR(__xludf.DUMMYFUNCTION("""COMPUTED_VALUE"""),"BLACK")</f>
        <v>BLACK</v>
      </c>
      <c r="G6531" s="20" t="str">
        <f>IFERROR(__xludf.DUMMYFUNCTION("""COMPUTED_VALUE"""),"Uncle Sams Cider (04/04/2023)")</f>
        <v>Uncle Sams Cider (04/04/2023)</v>
      </c>
      <c r="H6531" s="19"/>
    </row>
    <row r="6532">
      <c r="A6532" s="9"/>
      <c r="B6532" s="15"/>
      <c r="C6532" s="9">
        <f>IFERROR(__xludf.DUMMYFUNCTION("""COMPUTED_VALUE"""),45076.1513508796)</f>
        <v>45076.15135</v>
      </c>
      <c r="D6532" s="15">
        <f>IFERROR(__xludf.DUMMYFUNCTION("""COMPUTED_VALUE"""),1.01)</f>
        <v>1.01</v>
      </c>
      <c r="E6532" s="16">
        <f>IFERROR(__xludf.DUMMYFUNCTION("""COMPUTED_VALUE"""),66.0)</f>
        <v>66</v>
      </c>
      <c r="F6532" s="19" t="str">
        <f>IFERROR(__xludf.DUMMYFUNCTION("""COMPUTED_VALUE"""),"BLACK")</f>
        <v>BLACK</v>
      </c>
      <c r="G6532" s="20" t="str">
        <f>IFERROR(__xludf.DUMMYFUNCTION("""COMPUTED_VALUE"""),"Uncle Sams Cider (04/04/2023)")</f>
        <v>Uncle Sams Cider (04/04/2023)</v>
      </c>
      <c r="H6532" s="19"/>
    </row>
    <row r="6533">
      <c r="A6533" s="9"/>
      <c r="B6533" s="15"/>
      <c r="C6533" s="9">
        <f>IFERROR(__xludf.DUMMYFUNCTION("""COMPUTED_VALUE"""),45076.1409185648)</f>
        <v>45076.14092</v>
      </c>
      <c r="D6533" s="15">
        <f>IFERROR(__xludf.DUMMYFUNCTION("""COMPUTED_VALUE"""),1.01)</f>
        <v>1.01</v>
      </c>
      <c r="E6533" s="16">
        <f>IFERROR(__xludf.DUMMYFUNCTION("""COMPUTED_VALUE"""),66.0)</f>
        <v>66</v>
      </c>
      <c r="F6533" s="19" t="str">
        <f>IFERROR(__xludf.DUMMYFUNCTION("""COMPUTED_VALUE"""),"BLACK")</f>
        <v>BLACK</v>
      </c>
      <c r="G6533" s="20" t="str">
        <f>IFERROR(__xludf.DUMMYFUNCTION("""COMPUTED_VALUE"""),"Uncle Sams Cider (04/04/2023)")</f>
        <v>Uncle Sams Cider (04/04/2023)</v>
      </c>
      <c r="H6533" s="19"/>
    </row>
    <row r="6534">
      <c r="A6534" s="9"/>
      <c r="B6534" s="15"/>
      <c r="C6534" s="9">
        <f>IFERROR(__xludf.DUMMYFUNCTION("""COMPUTED_VALUE"""),45076.1304978125)</f>
        <v>45076.1305</v>
      </c>
      <c r="D6534" s="15">
        <f>IFERROR(__xludf.DUMMYFUNCTION("""COMPUTED_VALUE"""),1.01)</f>
        <v>1.01</v>
      </c>
      <c r="E6534" s="16">
        <f>IFERROR(__xludf.DUMMYFUNCTION("""COMPUTED_VALUE"""),66.0)</f>
        <v>66</v>
      </c>
      <c r="F6534" s="19" t="str">
        <f>IFERROR(__xludf.DUMMYFUNCTION("""COMPUTED_VALUE"""),"BLACK")</f>
        <v>BLACK</v>
      </c>
      <c r="G6534" s="20" t="str">
        <f>IFERROR(__xludf.DUMMYFUNCTION("""COMPUTED_VALUE"""),"Uncle Sams Cider (04/04/2023)")</f>
        <v>Uncle Sams Cider (04/04/2023)</v>
      </c>
      <c r="H6534" s="19"/>
    </row>
    <row r="6535">
      <c r="A6535" s="9"/>
      <c r="B6535" s="15"/>
      <c r="C6535" s="9">
        <f>IFERROR(__xludf.DUMMYFUNCTION("""COMPUTED_VALUE"""),45076.1200644444)</f>
        <v>45076.12006</v>
      </c>
      <c r="D6535" s="15">
        <f>IFERROR(__xludf.DUMMYFUNCTION("""COMPUTED_VALUE"""),1.01)</f>
        <v>1.01</v>
      </c>
      <c r="E6535" s="16">
        <f>IFERROR(__xludf.DUMMYFUNCTION("""COMPUTED_VALUE"""),66.0)</f>
        <v>66</v>
      </c>
      <c r="F6535" s="19" t="str">
        <f>IFERROR(__xludf.DUMMYFUNCTION("""COMPUTED_VALUE"""),"BLACK")</f>
        <v>BLACK</v>
      </c>
      <c r="G6535" s="20" t="str">
        <f>IFERROR(__xludf.DUMMYFUNCTION("""COMPUTED_VALUE"""),"Uncle Sams Cider (04/04/2023)")</f>
        <v>Uncle Sams Cider (04/04/2023)</v>
      </c>
      <c r="H6535" s="19"/>
    </row>
    <row r="6536">
      <c r="A6536" s="9"/>
      <c r="B6536" s="15"/>
      <c r="C6536" s="9">
        <f>IFERROR(__xludf.DUMMYFUNCTION("""COMPUTED_VALUE"""),45076.1096429861)</f>
        <v>45076.10964</v>
      </c>
      <c r="D6536" s="15">
        <f>IFERROR(__xludf.DUMMYFUNCTION("""COMPUTED_VALUE"""),1.009)</f>
        <v>1.009</v>
      </c>
      <c r="E6536" s="16">
        <f>IFERROR(__xludf.DUMMYFUNCTION("""COMPUTED_VALUE"""),66.0)</f>
        <v>66</v>
      </c>
      <c r="F6536" s="19" t="str">
        <f>IFERROR(__xludf.DUMMYFUNCTION("""COMPUTED_VALUE"""),"BLACK")</f>
        <v>BLACK</v>
      </c>
      <c r="G6536" s="20" t="str">
        <f>IFERROR(__xludf.DUMMYFUNCTION("""COMPUTED_VALUE"""),"Uncle Sams Cider (04/04/2023)")</f>
        <v>Uncle Sams Cider (04/04/2023)</v>
      </c>
      <c r="H6536" s="19"/>
    </row>
    <row r="6537">
      <c r="A6537" s="9"/>
      <c r="B6537" s="15"/>
      <c r="C6537" s="9">
        <f>IFERROR(__xludf.DUMMYFUNCTION("""COMPUTED_VALUE"""),45076.0992223032)</f>
        <v>45076.09922</v>
      </c>
      <c r="D6537" s="15">
        <f>IFERROR(__xludf.DUMMYFUNCTION("""COMPUTED_VALUE"""),1.01)</f>
        <v>1.01</v>
      </c>
      <c r="E6537" s="16">
        <f>IFERROR(__xludf.DUMMYFUNCTION("""COMPUTED_VALUE"""),66.0)</f>
        <v>66</v>
      </c>
      <c r="F6537" s="19" t="str">
        <f>IFERROR(__xludf.DUMMYFUNCTION("""COMPUTED_VALUE"""),"BLACK")</f>
        <v>BLACK</v>
      </c>
      <c r="G6537" s="20" t="str">
        <f>IFERROR(__xludf.DUMMYFUNCTION("""COMPUTED_VALUE"""),"Uncle Sams Cider (04/04/2023)")</f>
        <v>Uncle Sams Cider (04/04/2023)</v>
      </c>
      <c r="H6537" s="19"/>
    </row>
    <row r="6538">
      <c r="A6538" s="9"/>
      <c r="B6538" s="15"/>
      <c r="C6538" s="9">
        <f>IFERROR(__xludf.DUMMYFUNCTION("""COMPUTED_VALUE"""),45076.0888003819)</f>
        <v>45076.0888</v>
      </c>
      <c r="D6538" s="15">
        <f>IFERROR(__xludf.DUMMYFUNCTION("""COMPUTED_VALUE"""),1.01)</f>
        <v>1.01</v>
      </c>
      <c r="E6538" s="16">
        <f>IFERROR(__xludf.DUMMYFUNCTION("""COMPUTED_VALUE"""),66.0)</f>
        <v>66</v>
      </c>
      <c r="F6538" s="19" t="str">
        <f>IFERROR(__xludf.DUMMYFUNCTION("""COMPUTED_VALUE"""),"BLACK")</f>
        <v>BLACK</v>
      </c>
      <c r="G6538" s="20" t="str">
        <f>IFERROR(__xludf.DUMMYFUNCTION("""COMPUTED_VALUE"""),"Uncle Sams Cider (04/04/2023)")</f>
        <v>Uncle Sams Cider (04/04/2023)</v>
      </c>
      <c r="H6538" s="19"/>
    </row>
    <row r="6539">
      <c r="A6539" s="9"/>
      <c r="B6539" s="15"/>
      <c r="C6539" s="9">
        <f>IFERROR(__xludf.DUMMYFUNCTION("""COMPUTED_VALUE"""),45076.0783784375)</f>
        <v>45076.07838</v>
      </c>
      <c r="D6539" s="15">
        <f>IFERROR(__xludf.DUMMYFUNCTION("""COMPUTED_VALUE"""),1.01)</f>
        <v>1.01</v>
      </c>
      <c r="E6539" s="16">
        <f>IFERROR(__xludf.DUMMYFUNCTION("""COMPUTED_VALUE"""),66.0)</f>
        <v>66</v>
      </c>
      <c r="F6539" s="19" t="str">
        <f>IFERROR(__xludf.DUMMYFUNCTION("""COMPUTED_VALUE"""),"BLACK")</f>
        <v>BLACK</v>
      </c>
      <c r="G6539" s="20" t="str">
        <f>IFERROR(__xludf.DUMMYFUNCTION("""COMPUTED_VALUE"""),"Uncle Sams Cider (04/04/2023)")</f>
        <v>Uncle Sams Cider (04/04/2023)</v>
      </c>
      <c r="H6539" s="19"/>
    </row>
    <row r="6540">
      <c r="A6540" s="9"/>
      <c r="B6540" s="15"/>
      <c r="C6540" s="9">
        <f>IFERROR(__xludf.DUMMYFUNCTION("""COMPUTED_VALUE"""),45076.0679578472)</f>
        <v>45076.06796</v>
      </c>
      <c r="D6540" s="15">
        <f>IFERROR(__xludf.DUMMYFUNCTION("""COMPUTED_VALUE"""),1.01)</f>
        <v>1.01</v>
      </c>
      <c r="E6540" s="16">
        <f>IFERROR(__xludf.DUMMYFUNCTION("""COMPUTED_VALUE"""),66.0)</f>
        <v>66</v>
      </c>
      <c r="F6540" s="19" t="str">
        <f>IFERROR(__xludf.DUMMYFUNCTION("""COMPUTED_VALUE"""),"BLACK")</f>
        <v>BLACK</v>
      </c>
      <c r="G6540" s="20" t="str">
        <f>IFERROR(__xludf.DUMMYFUNCTION("""COMPUTED_VALUE"""),"Uncle Sams Cider (04/04/2023)")</f>
        <v>Uncle Sams Cider (04/04/2023)</v>
      </c>
      <c r="H6540" s="19"/>
    </row>
    <row r="6541">
      <c r="A6541" s="9"/>
      <c r="B6541" s="15"/>
      <c r="C6541" s="9">
        <f>IFERROR(__xludf.DUMMYFUNCTION("""COMPUTED_VALUE"""),45076.0575240509)</f>
        <v>45076.05752</v>
      </c>
      <c r="D6541" s="15">
        <f>IFERROR(__xludf.DUMMYFUNCTION("""COMPUTED_VALUE"""),1.01)</f>
        <v>1.01</v>
      </c>
      <c r="E6541" s="16">
        <f>IFERROR(__xludf.DUMMYFUNCTION("""COMPUTED_VALUE"""),66.0)</f>
        <v>66</v>
      </c>
      <c r="F6541" s="19" t="str">
        <f>IFERROR(__xludf.DUMMYFUNCTION("""COMPUTED_VALUE"""),"BLACK")</f>
        <v>BLACK</v>
      </c>
      <c r="G6541" s="20" t="str">
        <f>IFERROR(__xludf.DUMMYFUNCTION("""COMPUTED_VALUE"""),"Uncle Sams Cider (04/04/2023)")</f>
        <v>Uncle Sams Cider (04/04/2023)</v>
      </c>
      <c r="H6541" s="19"/>
    </row>
    <row r="6542">
      <c r="A6542" s="9"/>
      <c r="B6542" s="15"/>
      <c r="C6542" s="9">
        <f>IFERROR(__xludf.DUMMYFUNCTION("""COMPUTED_VALUE"""),45076.047101331)</f>
        <v>45076.0471</v>
      </c>
      <c r="D6542" s="15">
        <f>IFERROR(__xludf.DUMMYFUNCTION("""COMPUTED_VALUE"""),1.01)</f>
        <v>1.01</v>
      </c>
      <c r="E6542" s="16">
        <f>IFERROR(__xludf.DUMMYFUNCTION("""COMPUTED_VALUE"""),66.0)</f>
        <v>66</v>
      </c>
      <c r="F6542" s="19" t="str">
        <f>IFERROR(__xludf.DUMMYFUNCTION("""COMPUTED_VALUE"""),"BLACK")</f>
        <v>BLACK</v>
      </c>
      <c r="G6542" s="20" t="str">
        <f>IFERROR(__xludf.DUMMYFUNCTION("""COMPUTED_VALUE"""),"Uncle Sams Cider (04/04/2023)")</f>
        <v>Uncle Sams Cider (04/04/2023)</v>
      </c>
      <c r="H6542" s="19"/>
    </row>
    <row r="6543">
      <c r="A6543" s="9"/>
      <c r="B6543" s="15"/>
      <c r="C6543" s="9">
        <f>IFERROR(__xludf.DUMMYFUNCTION("""COMPUTED_VALUE"""),45076.0366679166)</f>
        <v>45076.03667</v>
      </c>
      <c r="D6543" s="15">
        <f>IFERROR(__xludf.DUMMYFUNCTION("""COMPUTED_VALUE"""),1.01)</f>
        <v>1.01</v>
      </c>
      <c r="E6543" s="16">
        <f>IFERROR(__xludf.DUMMYFUNCTION("""COMPUTED_VALUE"""),66.0)</f>
        <v>66</v>
      </c>
      <c r="F6543" s="19" t="str">
        <f>IFERROR(__xludf.DUMMYFUNCTION("""COMPUTED_VALUE"""),"BLACK")</f>
        <v>BLACK</v>
      </c>
      <c r="G6543" s="20" t="str">
        <f>IFERROR(__xludf.DUMMYFUNCTION("""COMPUTED_VALUE"""),"Uncle Sams Cider (04/04/2023)")</f>
        <v>Uncle Sams Cider (04/04/2023)</v>
      </c>
      <c r="H6543" s="19"/>
    </row>
    <row r="6544">
      <c r="A6544" s="9"/>
      <c r="B6544" s="15"/>
      <c r="C6544" s="9">
        <f>IFERROR(__xludf.DUMMYFUNCTION("""COMPUTED_VALUE"""),45076.0262458912)</f>
        <v>45076.02625</v>
      </c>
      <c r="D6544" s="15">
        <f>IFERROR(__xludf.DUMMYFUNCTION("""COMPUTED_VALUE"""),1.01)</f>
        <v>1.01</v>
      </c>
      <c r="E6544" s="16">
        <f>IFERROR(__xludf.DUMMYFUNCTION("""COMPUTED_VALUE"""),66.0)</f>
        <v>66</v>
      </c>
      <c r="F6544" s="19" t="str">
        <f>IFERROR(__xludf.DUMMYFUNCTION("""COMPUTED_VALUE"""),"BLACK")</f>
        <v>BLACK</v>
      </c>
      <c r="G6544" s="20" t="str">
        <f>IFERROR(__xludf.DUMMYFUNCTION("""COMPUTED_VALUE"""),"Uncle Sams Cider (04/04/2023)")</f>
        <v>Uncle Sams Cider (04/04/2023)</v>
      </c>
      <c r="H6544" s="19"/>
    </row>
    <row r="6545">
      <c r="A6545" s="9"/>
      <c r="B6545" s="15"/>
      <c r="C6545" s="9">
        <f>IFERROR(__xludf.DUMMYFUNCTION("""COMPUTED_VALUE"""),45076.0158132638)</f>
        <v>45076.01581</v>
      </c>
      <c r="D6545" s="15">
        <f>IFERROR(__xludf.DUMMYFUNCTION("""COMPUTED_VALUE"""),1.01)</f>
        <v>1.01</v>
      </c>
      <c r="E6545" s="16">
        <f>IFERROR(__xludf.DUMMYFUNCTION("""COMPUTED_VALUE"""),66.0)</f>
        <v>66</v>
      </c>
      <c r="F6545" s="19" t="str">
        <f>IFERROR(__xludf.DUMMYFUNCTION("""COMPUTED_VALUE"""),"BLACK")</f>
        <v>BLACK</v>
      </c>
      <c r="G6545" s="20" t="str">
        <f>IFERROR(__xludf.DUMMYFUNCTION("""COMPUTED_VALUE"""),"Uncle Sams Cider (04/04/2023)")</f>
        <v>Uncle Sams Cider (04/04/2023)</v>
      </c>
      <c r="H6545" s="19"/>
    </row>
    <row r="6546">
      <c r="A6546" s="9"/>
      <c r="B6546" s="15"/>
      <c r="C6546" s="9">
        <f>IFERROR(__xludf.DUMMYFUNCTION("""COMPUTED_VALUE"""),45076.0053804051)</f>
        <v>45076.00538</v>
      </c>
      <c r="D6546" s="15">
        <f>IFERROR(__xludf.DUMMYFUNCTION("""COMPUTED_VALUE"""),1.01)</f>
        <v>1.01</v>
      </c>
      <c r="E6546" s="16">
        <f>IFERROR(__xludf.DUMMYFUNCTION("""COMPUTED_VALUE"""),66.0)</f>
        <v>66</v>
      </c>
      <c r="F6546" s="19" t="str">
        <f>IFERROR(__xludf.DUMMYFUNCTION("""COMPUTED_VALUE"""),"BLACK")</f>
        <v>BLACK</v>
      </c>
      <c r="G6546" s="20" t="str">
        <f>IFERROR(__xludf.DUMMYFUNCTION("""COMPUTED_VALUE"""),"Uncle Sams Cider (04/04/2023)")</f>
        <v>Uncle Sams Cider (04/04/2023)</v>
      </c>
      <c r="H6546" s="19"/>
    </row>
    <row r="6547">
      <c r="A6547" s="9"/>
      <c r="B6547" s="15"/>
      <c r="C6547" s="9">
        <f>IFERROR(__xludf.DUMMYFUNCTION("""COMPUTED_VALUE"""),45075.9949587037)</f>
        <v>45075.99496</v>
      </c>
      <c r="D6547" s="15">
        <f>IFERROR(__xludf.DUMMYFUNCTION("""COMPUTED_VALUE"""),1.01)</f>
        <v>1.01</v>
      </c>
      <c r="E6547" s="16">
        <f>IFERROR(__xludf.DUMMYFUNCTION("""COMPUTED_VALUE"""),66.0)</f>
        <v>66</v>
      </c>
      <c r="F6547" s="19" t="str">
        <f>IFERROR(__xludf.DUMMYFUNCTION("""COMPUTED_VALUE"""),"BLACK")</f>
        <v>BLACK</v>
      </c>
      <c r="G6547" s="20" t="str">
        <f>IFERROR(__xludf.DUMMYFUNCTION("""COMPUTED_VALUE"""),"Uncle Sams Cider (04/04/2023)")</f>
        <v>Uncle Sams Cider (04/04/2023)</v>
      </c>
      <c r="H6547" s="19"/>
    </row>
    <row r="6548">
      <c r="A6548" s="9"/>
      <c r="B6548" s="15"/>
      <c r="C6548" s="9">
        <f>IFERROR(__xludf.DUMMYFUNCTION("""COMPUTED_VALUE"""),45075.9845256134)</f>
        <v>45075.98453</v>
      </c>
      <c r="D6548" s="15">
        <f>IFERROR(__xludf.DUMMYFUNCTION("""COMPUTED_VALUE"""),1.01)</f>
        <v>1.01</v>
      </c>
      <c r="E6548" s="16">
        <f>IFERROR(__xludf.DUMMYFUNCTION("""COMPUTED_VALUE"""),66.0)</f>
        <v>66</v>
      </c>
      <c r="F6548" s="19" t="str">
        <f>IFERROR(__xludf.DUMMYFUNCTION("""COMPUTED_VALUE"""),"BLACK")</f>
        <v>BLACK</v>
      </c>
      <c r="G6548" s="20" t="str">
        <f>IFERROR(__xludf.DUMMYFUNCTION("""COMPUTED_VALUE"""),"Uncle Sams Cider (04/04/2023)")</f>
        <v>Uncle Sams Cider (04/04/2023)</v>
      </c>
      <c r="H6548" s="19"/>
    </row>
    <row r="6549">
      <c r="A6549" s="9"/>
      <c r="B6549" s="15"/>
      <c r="C6549" s="9">
        <f>IFERROR(__xludf.DUMMYFUNCTION("""COMPUTED_VALUE"""),45075.9741058449)</f>
        <v>45075.97411</v>
      </c>
      <c r="D6549" s="15">
        <f>IFERROR(__xludf.DUMMYFUNCTION("""COMPUTED_VALUE"""),1.01)</f>
        <v>1.01</v>
      </c>
      <c r="E6549" s="16">
        <f>IFERROR(__xludf.DUMMYFUNCTION("""COMPUTED_VALUE"""),66.0)</f>
        <v>66</v>
      </c>
      <c r="F6549" s="19" t="str">
        <f>IFERROR(__xludf.DUMMYFUNCTION("""COMPUTED_VALUE"""),"BLACK")</f>
        <v>BLACK</v>
      </c>
      <c r="G6549" s="20" t="str">
        <f>IFERROR(__xludf.DUMMYFUNCTION("""COMPUTED_VALUE"""),"Uncle Sams Cider (04/04/2023)")</f>
        <v>Uncle Sams Cider (04/04/2023)</v>
      </c>
      <c r="H6549" s="19"/>
    </row>
    <row r="6550">
      <c r="A6550" s="9"/>
      <c r="B6550" s="15"/>
      <c r="C6550" s="9">
        <f>IFERROR(__xludf.DUMMYFUNCTION("""COMPUTED_VALUE"""),45075.9636843055)</f>
        <v>45075.96368</v>
      </c>
      <c r="D6550" s="15">
        <f>IFERROR(__xludf.DUMMYFUNCTION("""COMPUTED_VALUE"""),1.01)</f>
        <v>1.01</v>
      </c>
      <c r="E6550" s="16">
        <f>IFERROR(__xludf.DUMMYFUNCTION("""COMPUTED_VALUE"""),66.0)</f>
        <v>66</v>
      </c>
      <c r="F6550" s="19" t="str">
        <f>IFERROR(__xludf.DUMMYFUNCTION("""COMPUTED_VALUE"""),"BLACK")</f>
        <v>BLACK</v>
      </c>
      <c r="G6550" s="20" t="str">
        <f>IFERROR(__xludf.DUMMYFUNCTION("""COMPUTED_VALUE"""),"Uncle Sams Cider (04/04/2023)")</f>
        <v>Uncle Sams Cider (04/04/2023)</v>
      </c>
      <c r="H6550" s="19"/>
    </row>
    <row r="6551">
      <c r="A6551" s="9"/>
      <c r="B6551" s="15"/>
      <c r="C6551" s="9">
        <f>IFERROR(__xludf.DUMMYFUNCTION("""COMPUTED_VALUE"""),45075.9532515277)</f>
        <v>45075.95325</v>
      </c>
      <c r="D6551" s="15">
        <f>IFERROR(__xludf.DUMMYFUNCTION("""COMPUTED_VALUE"""),1.01)</f>
        <v>1.01</v>
      </c>
      <c r="E6551" s="16">
        <f>IFERROR(__xludf.DUMMYFUNCTION("""COMPUTED_VALUE"""),66.0)</f>
        <v>66</v>
      </c>
      <c r="F6551" s="19" t="str">
        <f>IFERROR(__xludf.DUMMYFUNCTION("""COMPUTED_VALUE"""),"BLACK")</f>
        <v>BLACK</v>
      </c>
      <c r="G6551" s="20" t="str">
        <f>IFERROR(__xludf.DUMMYFUNCTION("""COMPUTED_VALUE"""),"Uncle Sams Cider (04/04/2023)")</f>
        <v>Uncle Sams Cider (04/04/2023)</v>
      </c>
      <c r="H6551" s="19"/>
    </row>
    <row r="6552">
      <c r="A6552" s="9"/>
      <c r="B6552" s="15"/>
      <c r="C6552" s="9">
        <f>IFERROR(__xludf.DUMMYFUNCTION("""COMPUTED_VALUE"""),45075.9428312384)</f>
        <v>45075.94283</v>
      </c>
      <c r="D6552" s="15">
        <f>IFERROR(__xludf.DUMMYFUNCTION("""COMPUTED_VALUE"""),1.01)</f>
        <v>1.01</v>
      </c>
      <c r="E6552" s="16">
        <f>IFERROR(__xludf.DUMMYFUNCTION("""COMPUTED_VALUE"""),66.0)</f>
        <v>66</v>
      </c>
      <c r="F6552" s="19" t="str">
        <f>IFERROR(__xludf.DUMMYFUNCTION("""COMPUTED_VALUE"""),"BLACK")</f>
        <v>BLACK</v>
      </c>
      <c r="G6552" s="20" t="str">
        <f>IFERROR(__xludf.DUMMYFUNCTION("""COMPUTED_VALUE"""),"Uncle Sams Cider (04/04/2023)")</f>
        <v>Uncle Sams Cider (04/04/2023)</v>
      </c>
      <c r="H6552" s="19"/>
    </row>
    <row r="6553">
      <c r="A6553" s="9"/>
      <c r="B6553" s="15"/>
      <c r="C6553" s="9">
        <f>IFERROR(__xludf.DUMMYFUNCTION("""COMPUTED_VALUE"""),45075.9324091088)</f>
        <v>45075.93241</v>
      </c>
      <c r="D6553" s="15">
        <f>IFERROR(__xludf.DUMMYFUNCTION("""COMPUTED_VALUE"""),1.01)</f>
        <v>1.01</v>
      </c>
      <c r="E6553" s="16">
        <f>IFERROR(__xludf.DUMMYFUNCTION("""COMPUTED_VALUE"""),66.0)</f>
        <v>66</v>
      </c>
      <c r="F6553" s="19" t="str">
        <f>IFERROR(__xludf.DUMMYFUNCTION("""COMPUTED_VALUE"""),"BLACK")</f>
        <v>BLACK</v>
      </c>
      <c r="G6553" s="20" t="str">
        <f>IFERROR(__xludf.DUMMYFUNCTION("""COMPUTED_VALUE"""),"Uncle Sams Cider (04/04/2023)")</f>
        <v>Uncle Sams Cider (04/04/2023)</v>
      </c>
      <c r="H6553" s="19"/>
    </row>
    <row r="6554">
      <c r="A6554" s="9"/>
      <c r="B6554" s="15"/>
      <c r="C6554" s="9">
        <f>IFERROR(__xludf.DUMMYFUNCTION("""COMPUTED_VALUE"""),45075.9219772338)</f>
        <v>45075.92198</v>
      </c>
      <c r="D6554" s="15">
        <f>IFERROR(__xludf.DUMMYFUNCTION("""COMPUTED_VALUE"""),1.01)</f>
        <v>1.01</v>
      </c>
      <c r="E6554" s="16">
        <f>IFERROR(__xludf.DUMMYFUNCTION("""COMPUTED_VALUE"""),66.0)</f>
        <v>66</v>
      </c>
      <c r="F6554" s="19" t="str">
        <f>IFERROR(__xludf.DUMMYFUNCTION("""COMPUTED_VALUE"""),"BLACK")</f>
        <v>BLACK</v>
      </c>
      <c r="G6554" s="20" t="str">
        <f>IFERROR(__xludf.DUMMYFUNCTION("""COMPUTED_VALUE"""),"Uncle Sams Cider (04/04/2023)")</f>
        <v>Uncle Sams Cider (04/04/2023)</v>
      </c>
      <c r="H6554" s="19"/>
    </row>
    <row r="6555">
      <c r="A6555" s="9"/>
      <c r="B6555" s="15"/>
      <c r="C6555" s="9">
        <f>IFERROR(__xludf.DUMMYFUNCTION("""COMPUTED_VALUE"""),45075.9115561921)</f>
        <v>45075.91156</v>
      </c>
      <c r="D6555" s="15">
        <f>IFERROR(__xludf.DUMMYFUNCTION("""COMPUTED_VALUE"""),1.01)</f>
        <v>1.01</v>
      </c>
      <c r="E6555" s="16">
        <f>IFERROR(__xludf.DUMMYFUNCTION("""COMPUTED_VALUE"""),66.0)</f>
        <v>66</v>
      </c>
      <c r="F6555" s="19" t="str">
        <f>IFERROR(__xludf.DUMMYFUNCTION("""COMPUTED_VALUE"""),"BLACK")</f>
        <v>BLACK</v>
      </c>
      <c r="G6555" s="20" t="str">
        <f>IFERROR(__xludf.DUMMYFUNCTION("""COMPUTED_VALUE"""),"Uncle Sams Cider (04/04/2023)")</f>
        <v>Uncle Sams Cider (04/04/2023)</v>
      </c>
      <c r="H6555" s="19"/>
    </row>
    <row r="6556">
      <c r="A6556" s="9"/>
      <c r="B6556" s="15"/>
      <c r="C6556" s="9">
        <f>IFERROR(__xludf.DUMMYFUNCTION("""COMPUTED_VALUE"""),45075.901135)</f>
        <v>45075.90114</v>
      </c>
      <c r="D6556" s="15">
        <f>IFERROR(__xludf.DUMMYFUNCTION("""COMPUTED_VALUE"""),1.01)</f>
        <v>1.01</v>
      </c>
      <c r="E6556" s="16">
        <f>IFERROR(__xludf.DUMMYFUNCTION("""COMPUTED_VALUE"""),66.0)</f>
        <v>66</v>
      </c>
      <c r="F6556" s="19" t="str">
        <f>IFERROR(__xludf.DUMMYFUNCTION("""COMPUTED_VALUE"""),"BLACK")</f>
        <v>BLACK</v>
      </c>
      <c r="G6556" s="20" t="str">
        <f>IFERROR(__xludf.DUMMYFUNCTION("""COMPUTED_VALUE"""),"Uncle Sams Cider (04/04/2023)")</f>
        <v>Uncle Sams Cider (04/04/2023)</v>
      </c>
      <c r="H6556" s="19"/>
    </row>
    <row r="6557">
      <c r="A6557" s="9"/>
      <c r="B6557" s="15"/>
      <c r="C6557" s="9">
        <f>IFERROR(__xludf.DUMMYFUNCTION("""COMPUTED_VALUE"""),45075.8907022453)</f>
        <v>45075.8907</v>
      </c>
      <c r="D6557" s="15">
        <f>IFERROR(__xludf.DUMMYFUNCTION("""COMPUTED_VALUE"""),1.009)</f>
        <v>1.009</v>
      </c>
      <c r="E6557" s="16">
        <f>IFERROR(__xludf.DUMMYFUNCTION("""COMPUTED_VALUE"""),66.0)</f>
        <v>66</v>
      </c>
      <c r="F6557" s="19" t="str">
        <f>IFERROR(__xludf.DUMMYFUNCTION("""COMPUTED_VALUE"""),"BLACK")</f>
        <v>BLACK</v>
      </c>
      <c r="G6557" s="20" t="str">
        <f>IFERROR(__xludf.DUMMYFUNCTION("""COMPUTED_VALUE"""),"Uncle Sams Cider (04/04/2023)")</f>
        <v>Uncle Sams Cider (04/04/2023)</v>
      </c>
      <c r="H6557" s="19"/>
    </row>
    <row r="6558">
      <c r="A6558" s="9"/>
      <c r="B6558" s="15"/>
      <c r="C6558" s="9">
        <f>IFERROR(__xludf.DUMMYFUNCTION("""COMPUTED_VALUE"""),45075.8802802314)</f>
        <v>45075.88028</v>
      </c>
      <c r="D6558" s="15">
        <f>IFERROR(__xludf.DUMMYFUNCTION("""COMPUTED_VALUE"""),1.01)</f>
        <v>1.01</v>
      </c>
      <c r="E6558" s="16">
        <f>IFERROR(__xludf.DUMMYFUNCTION("""COMPUTED_VALUE"""),66.0)</f>
        <v>66</v>
      </c>
      <c r="F6558" s="19" t="str">
        <f>IFERROR(__xludf.DUMMYFUNCTION("""COMPUTED_VALUE"""),"BLACK")</f>
        <v>BLACK</v>
      </c>
      <c r="G6558" s="20" t="str">
        <f>IFERROR(__xludf.DUMMYFUNCTION("""COMPUTED_VALUE"""),"Uncle Sams Cider (04/04/2023)")</f>
        <v>Uncle Sams Cider (04/04/2023)</v>
      </c>
      <c r="H6558" s="19"/>
    </row>
    <row r="6559">
      <c r="A6559" s="9"/>
      <c r="B6559" s="15"/>
      <c r="C6559" s="9">
        <f>IFERROR(__xludf.DUMMYFUNCTION("""COMPUTED_VALUE"""),45075.8698353703)</f>
        <v>45075.86984</v>
      </c>
      <c r="D6559" s="15">
        <f>IFERROR(__xludf.DUMMYFUNCTION("""COMPUTED_VALUE"""),1.01)</f>
        <v>1.01</v>
      </c>
      <c r="E6559" s="16">
        <f>IFERROR(__xludf.DUMMYFUNCTION("""COMPUTED_VALUE"""),66.0)</f>
        <v>66</v>
      </c>
      <c r="F6559" s="19" t="str">
        <f>IFERROR(__xludf.DUMMYFUNCTION("""COMPUTED_VALUE"""),"BLACK")</f>
        <v>BLACK</v>
      </c>
      <c r="G6559" s="20" t="str">
        <f>IFERROR(__xludf.DUMMYFUNCTION("""COMPUTED_VALUE"""),"Uncle Sams Cider (04/04/2023)")</f>
        <v>Uncle Sams Cider (04/04/2023)</v>
      </c>
      <c r="H6559" s="19"/>
    </row>
    <row r="6560">
      <c r="A6560" s="9"/>
      <c r="B6560" s="15"/>
      <c r="C6560" s="9">
        <f>IFERROR(__xludf.DUMMYFUNCTION("""COMPUTED_VALUE"""),45075.8594028009)</f>
        <v>45075.8594</v>
      </c>
      <c r="D6560" s="15">
        <f>IFERROR(__xludf.DUMMYFUNCTION("""COMPUTED_VALUE"""),1.01)</f>
        <v>1.01</v>
      </c>
      <c r="E6560" s="16">
        <f>IFERROR(__xludf.DUMMYFUNCTION("""COMPUTED_VALUE"""),66.0)</f>
        <v>66</v>
      </c>
      <c r="F6560" s="19" t="str">
        <f>IFERROR(__xludf.DUMMYFUNCTION("""COMPUTED_VALUE"""),"BLACK")</f>
        <v>BLACK</v>
      </c>
      <c r="G6560" s="20" t="str">
        <f>IFERROR(__xludf.DUMMYFUNCTION("""COMPUTED_VALUE"""),"Uncle Sams Cider (04/04/2023)")</f>
        <v>Uncle Sams Cider (04/04/2023)</v>
      </c>
      <c r="H6560" s="19"/>
    </row>
    <row r="6561">
      <c r="A6561" s="9"/>
      <c r="B6561" s="15"/>
      <c r="C6561" s="9">
        <f>IFERROR(__xludf.DUMMYFUNCTION("""COMPUTED_VALUE"""),45075.8489824652)</f>
        <v>45075.84898</v>
      </c>
      <c r="D6561" s="15">
        <f>IFERROR(__xludf.DUMMYFUNCTION("""COMPUTED_VALUE"""),1.01)</f>
        <v>1.01</v>
      </c>
      <c r="E6561" s="16">
        <f>IFERROR(__xludf.DUMMYFUNCTION("""COMPUTED_VALUE"""),66.0)</f>
        <v>66</v>
      </c>
      <c r="F6561" s="19" t="str">
        <f>IFERROR(__xludf.DUMMYFUNCTION("""COMPUTED_VALUE"""),"BLACK")</f>
        <v>BLACK</v>
      </c>
      <c r="G6561" s="20" t="str">
        <f>IFERROR(__xludf.DUMMYFUNCTION("""COMPUTED_VALUE"""),"Uncle Sams Cider (04/04/2023)")</f>
        <v>Uncle Sams Cider (04/04/2023)</v>
      </c>
      <c r="H6561" s="19"/>
    </row>
    <row r="6562">
      <c r="A6562" s="9"/>
      <c r="B6562" s="15"/>
      <c r="C6562" s="9">
        <f>IFERROR(__xludf.DUMMYFUNCTION("""COMPUTED_VALUE"""),45075.8385619097)</f>
        <v>45075.83856</v>
      </c>
      <c r="D6562" s="15">
        <f>IFERROR(__xludf.DUMMYFUNCTION("""COMPUTED_VALUE"""),1.01)</f>
        <v>1.01</v>
      </c>
      <c r="E6562" s="16">
        <f>IFERROR(__xludf.DUMMYFUNCTION("""COMPUTED_VALUE"""),66.0)</f>
        <v>66</v>
      </c>
      <c r="F6562" s="19" t="str">
        <f>IFERROR(__xludf.DUMMYFUNCTION("""COMPUTED_VALUE"""),"BLACK")</f>
        <v>BLACK</v>
      </c>
      <c r="G6562" s="20" t="str">
        <f>IFERROR(__xludf.DUMMYFUNCTION("""COMPUTED_VALUE"""),"Uncle Sams Cider (04/04/2023)")</f>
        <v>Uncle Sams Cider (04/04/2023)</v>
      </c>
      <c r="H6562" s="19"/>
    </row>
    <row r="6563">
      <c r="A6563" s="9"/>
      <c r="B6563" s="15"/>
      <c r="C6563" s="9">
        <f>IFERROR(__xludf.DUMMYFUNCTION("""COMPUTED_VALUE"""),45075.8281290277)</f>
        <v>45075.82813</v>
      </c>
      <c r="D6563" s="15">
        <f>IFERROR(__xludf.DUMMYFUNCTION("""COMPUTED_VALUE"""),1.01)</f>
        <v>1.01</v>
      </c>
      <c r="E6563" s="16">
        <f>IFERROR(__xludf.DUMMYFUNCTION("""COMPUTED_VALUE"""),66.0)</f>
        <v>66</v>
      </c>
      <c r="F6563" s="19" t="str">
        <f>IFERROR(__xludf.DUMMYFUNCTION("""COMPUTED_VALUE"""),"BLACK")</f>
        <v>BLACK</v>
      </c>
      <c r="G6563" s="20" t="str">
        <f>IFERROR(__xludf.DUMMYFUNCTION("""COMPUTED_VALUE"""),"Uncle Sams Cider (04/04/2023)")</f>
        <v>Uncle Sams Cider (04/04/2023)</v>
      </c>
      <c r="H6563" s="19"/>
    </row>
    <row r="6564">
      <c r="A6564" s="9"/>
      <c r="B6564" s="15"/>
      <c r="C6564" s="9">
        <f>IFERROR(__xludf.DUMMYFUNCTION("""COMPUTED_VALUE"""),45075.8177077314)</f>
        <v>45075.81771</v>
      </c>
      <c r="D6564" s="15">
        <f>IFERROR(__xludf.DUMMYFUNCTION("""COMPUTED_VALUE"""),1.01)</f>
        <v>1.01</v>
      </c>
      <c r="E6564" s="16">
        <f>IFERROR(__xludf.DUMMYFUNCTION("""COMPUTED_VALUE"""),66.0)</f>
        <v>66</v>
      </c>
      <c r="F6564" s="19" t="str">
        <f>IFERROR(__xludf.DUMMYFUNCTION("""COMPUTED_VALUE"""),"BLACK")</f>
        <v>BLACK</v>
      </c>
      <c r="G6564" s="20" t="str">
        <f>IFERROR(__xludf.DUMMYFUNCTION("""COMPUTED_VALUE"""),"Uncle Sams Cider (04/04/2023)")</f>
        <v>Uncle Sams Cider (04/04/2023)</v>
      </c>
      <c r="H6564" s="19"/>
    </row>
    <row r="6565">
      <c r="A6565" s="9"/>
      <c r="B6565" s="15"/>
      <c r="C6565" s="9">
        <f>IFERROR(__xludf.DUMMYFUNCTION("""COMPUTED_VALUE"""),45075.4737111342)</f>
        <v>45075.47371</v>
      </c>
      <c r="D6565" s="15">
        <f>IFERROR(__xludf.DUMMYFUNCTION("""COMPUTED_VALUE"""),1.01)</f>
        <v>1.01</v>
      </c>
      <c r="E6565" s="16">
        <f>IFERROR(__xludf.DUMMYFUNCTION("""COMPUTED_VALUE"""),66.0)</f>
        <v>66</v>
      </c>
      <c r="F6565" s="19" t="str">
        <f>IFERROR(__xludf.DUMMYFUNCTION("""COMPUTED_VALUE"""),"BLACK")</f>
        <v>BLACK</v>
      </c>
      <c r="G6565" s="20" t="str">
        <f>IFERROR(__xludf.DUMMYFUNCTION("""COMPUTED_VALUE"""),"Uncle Sams Cider (04/04/2023)")</f>
        <v>Uncle Sams Cider (04/04/2023)</v>
      </c>
      <c r="H6565" s="19"/>
    </row>
    <row r="6566">
      <c r="A6566" s="9"/>
      <c r="B6566" s="15"/>
      <c r="C6566" s="9">
        <f>IFERROR(__xludf.DUMMYFUNCTION("""COMPUTED_VALUE"""),45075.4632876157)</f>
        <v>45075.46329</v>
      </c>
      <c r="D6566" s="15">
        <f>IFERROR(__xludf.DUMMYFUNCTION("""COMPUTED_VALUE"""),1.01)</f>
        <v>1.01</v>
      </c>
      <c r="E6566" s="16">
        <f>IFERROR(__xludf.DUMMYFUNCTION("""COMPUTED_VALUE"""),66.0)</f>
        <v>66</v>
      </c>
      <c r="F6566" s="19" t="str">
        <f>IFERROR(__xludf.DUMMYFUNCTION("""COMPUTED_VALUE"""),"BLACK")</f>
        <v>BLACK</v>
      </c>
      <c r="G6566" s="20" t="str">
        <f>IFERROR(__xludf.DUMMYFUNCTION("""COMPUTED_VALUE"""),"Uncle Sams Cider (04/04/2023)")</f>
        <v>Uncle Sams Cider (04/04/2023)</v>
      </c>
      <c r="H6566" s="19"/>
    </row>
    <row r="6567">
      <c r="A6567" s="9"/>
      <c r="B6567" s="15"/>
      <c r="C6567" s="9">
        <f>IFERROR(__xludf.DUMMYFUNCTION("""COMPUTED_VALUE"""),45075.4528667708)</f>
        <v>45075.45287</v>
      </c>
      <c r="D6567" s="15">
        <f>IFERROR(__xludf.DUMMYFUNCTION("""COMPUTED_VALUE"""),1.01)</f>
        <v>1.01</v>
      </c>
      <c r="E6567" s="16">
        <f>IFERROR(__xludf.DUMMYFUNCTION("""COMPUTED_VALUE"""),66.0)</f>
        <v>66</v>
      </c>
      <c r="F6567" s="19" t="str">
        <f>IFERROR(__xludf.DUMMYFUNCTION("""COMPUTED_VALUE"""),"BLACK")</f>
        <v>BLACK</v>
      </c>
      <c r="G6567" s="20" t="str">
        <f>IFERROR(__xludf.DUMMYFUNCTION("""COMPUTED_VALUE"""),"Uncle Sams Cider (04/04/2023)")</f>
        <v>Uncle Sams Cider (04/04/2023)</v>
      </c>
      <c r="H6567" s="19"/>
    </row>
    <row r="6568">
      <c r="A6568" s="9"/>
      <c r="B6568" s="15"/>
      <c r="C6568" s="9">
        <f>IFERROR(__xludf.DUMMYFUNCTION("""COMPUTED_VALUE"""),45075.4424455324)</f>
        <v>45075.44245</v>
      </c>
      <c r="D6568" s="15">
        <f>IFERROR(__xludf.DUMMYFUNCTION("""COMPUTED_VALUE"""),1.01)</f>
        <v>1.01</v>
      </c>
      <c r="E6568" s="16">
        <f>IFERROR(__xludf.DUMMYFUNCTION("""COMPUTED_VALUE"""),66.0)</f>
        <v>66</v>
      </c>
      <c r="F6568" s="19" t="str">
        <f>IFERROR(__xludf.DUMMYFUNCTION("""COMPUTED_VALUE"""),"BLACK")</f>
        <v>BLACK</v>
      </c>
      <c r="G6568" s="20" t="str">
        <f>IFERROR(__xludf.DUMMYFUNCTION("""COMPUTED_VALUE"""),"Uncle Sams Cider (04/04/2023)")</f>
        <v>Uncle Sams Cider (04/04/2023)</v>
      </c>
      <c r="H6568" s="19"/>
    </row>
    <row r="6569">
      <c r="A6569" s="9"/>
      <c r="B6569" s="15"/>
      <c r="C6569" s="9">
        <f>IFERROR(__xludf.DUMMYFUNCTION("""COMPUTED_VALUE"""),45075.4320242361)</f>
        <v>45075.43202</v>
      </c>
      <c r="D6569" s="15">
        <f>IFERROR(__xludf.DUMMYFUNCTION("""COMPUTED_VALUE"""),1.01)</f>
        <v>1.01</v>
      </c>
      <c r="E6569" s="16">
        <f>IFERROR(__xludf.DUMMYFUNCTION("""COMPUTED_VALUE"""),66.0)</f>
        <v>66</v>
      </c>
      <c r="F6569" s="19" t="str">
        <f>IFERROR(__xludf.DUMMYFUNCTION("""COMPUTED_VALUE"""),"BLACK")</f>
        <v>BLACK</v>
      </c>
      <c r="G6569" s="20" t="str">
        <f>IFERROR(__xludf.DUMMYFUNCTION("""COMPUTED_VALUE"""),"Uncle Sams Cider (04/04/2023)")</f>
        <v>Uncle Sams Cider (04/04/2023)</v>
      </c>
      <c r="H6569" s="19"/>
    </row>
    <row r="6570">
      <c r="A6570" s="9"/>
      <c r="B6570" s="15"/>
      <c r="C6570" s="9">
        <f>IFERROR(__xludf.DUMMYFUNCTION("""COMPUTED_VALUE"""),45075.4216035532)</f>
        <v>45075.4216</v>
      </c>
      <c r="D6570" s="15">
        <f>IFERROR(__xludf.DUMMYFUNCTION("""COMPUTED_VALUE"""),1.01)</f>
        <v>1.01</v>
      </c>
      <c r="E6570" s="16">
        <f>IFERROR(__xludf.DUMMYFUNCTION("""COMPUTED_VALUE"""),66.0)</f>
        <v>66</v>
      </c>
      <c r="F6570" s="19" t="str">
        <f>IFERROR(__xludf.DUMMYFUNCTION("""COMPUTED_VALUE"""),"BLACK")</f>
        <v>BLACK</v>
      </c>
      <c r="G6570" s="20" t="str">
        <f>IFERROR(__xludf.DUMMYFUNCTION("""COMPUTED_VALUE"""),"Uncle Sams Cider (04/04/2023)")</f>
        <v>Uncle Sams Cider (04/04/2023)</v>
      </c>
      <c r="H6570" s="19"/>
    </row>
    <row r="6571">
      <c r="A6571" s="9"/>
      <c r="B6571" s="15"/>
      <c r="C6571" s="9">
        <f>IFERROR(__xludf.DUMMYFUNCTION("""COMPUTED_VALUE"""),45075.4111712731)</f>
        <v>45075.41117</v>
      </c>
      <c r="D6571" s="15">
        <f>IFERROR(__xludf.DUMMYFUNCTION("""COMPUTED_VALUE"""),1.01)</f>
        <v>1.01</v>
      </c>
      <c r="E6571" s="16">
        <f>IFERROR(__xludf.DUMMYFUNCTION("""COMPUTED_VALUE"""),66.0)</f>
        <v>66</v>
      </c>
      <c r="F6571" s="19" t="str">
        <f>IFERROR(__xludf.DUMMYFUNCTION("""COMPUTED_VALUE"""),"BLACK")</f>
        <v>BLACK</v>
      </c>
      <c r="G6571" s="20" t="str">
        <f>IFERROR(__xludf.DUMMYFUNCTION("""COMPUTED_VALUE"""),"Uncle Sams Cider (04/04/2023)")</f>
        <v>Uncle Sams Cider (04/04/2023)</v>
      </c>
      <c r="H6571" s="19"/>
    </row>
    <row r="6572">
      <c r="A6572" s="9"/>
      <c r="B6572" s="15"/>
      <c r="C6572" s="9">
        <f>IFERROR(__xludf.DUMMYFUNCTION("""COMPUTED_VALUE"""),45075.400740081)</f>
        <v>45075.40074</v>
      </c>
      <c r="D6572" s="15">
        <f>IFERROR(__xludf.DUMMYFUNCTION("""COMPUTED_VALUE"""),1.01)</f>
        <v>1.01</v>
      </c>
      <c r="E6572" s="16">
        <f>IFERROR(__xludf.DUMMYFUNCTION("""COMPUTED_VALUE"""),66.0)</f>
        <v>66</v>
      </c>
      <c r="F6572" s="19" t="str">
        <f>IFERROR(__xludf.DUMMYFUNCTION("""COMPUTED_VALUE"""),"BLACK")</f>
        <v>BLACK</v>
      </c>
      <c r="G6572" s="20" t="str">
        <f>IFERROR(__xludf.DUMMYFUNCTION("""COMPUTED_VALUE"""),"Uncle Sams Cider (04/04/2023)")</f>
        <v>Uncle Sams Cider (04/04/2023)</v>
      </c>
      <c r="H6572" s="19"/>
    </row>
    <row r="6573">
      <c r="A6573" s="9"/>
      <c r="B6573" s="15"/>
      <c r="C6573" s="9">
        <f>IFERROR(__xludf.DUMMYFUNCTION("""COMPUTED_VALUE"""),45075.3903188426)</f>
        <v>45075.39032</v>
      </c>
      <c r="D6573" s="15">
        <f>IFERROR(__xludf.DUMMYFUNCTION("""COMPUTED_VALUE"""),1.01)</f>
        <v>1.01</v>
      </c>
      <c r="E6573" s="16">
        <f>IFERROR(__xludf.DUMMYFUNCTION("""COMPUTED_VALUE"""),66.0)</f>
        <v>66</v>
      </c>
      <c r="F6573" s="19" t="str">
        <f>IFERROR(__xludf.DUMMYFUNCTION("""COMPUTED_VALUE"""),"BLACK")</f>
        <v>BLACK</v>
      </c>
      <c r="G6573" s="20" t="str">
        <f>IFERROR(__xludf.DUMMYFUNCTION("""COMPUTED_VALUE"""),"Uncle Sams Cider (04/04/2023)")</f>
        <v>Uncle Sams Cider (04/04/2023)</v>
      </c>
      <c r="H6573" s="19"/>
    </row>
    <row r="6574">
      <c r="A6574" s="9"/>
      <c r="B6574" s="15"/>
      <c r="C6574" s="9">
        <f>IFERROR(__xludf.DUMMYFUNCTION("""COMPUTED_VALUE"""),45075.379899375)</f>
        <v>45075.3799</v>
      </c>
      <c r="D6574" s="15">
        <f>IFERROR(__xludf.DUMMYFUNCTION("""COMPUTED_VALUE"""),1.01)</f>
        <v>1.01</v>
      </c>
      <c r="E6574" s="16">
        <f>IFERROR(__xludf.DUMMYFUNCTION("""COMPUTED_VALUE"""),66.0)</f>
        <v>66</v>
      </c>
      <c r="F6574" s="19" t="str">
        <f>IFERROR(__xludf.DUMMYFUNCTION("""COMPUTED_VALUE"""),"BLACK")</f>
        <v>BLACK</v>
      </c>
      <c r="G6574" s="20" t="str">
        <f>IFERROR(__xludf.DUMMYFUNCTION("""COMPUTED_VALUE"""),"Uncle Sams Cider (04/04/2023)")</f>
        <v>Uncle Sams Cider (04/04/2023)</v>
      </c>
      <c r="H6574" s="19"/>
    </row>
    <row r="6575">
      <c r="A6575" s="9"/>
      <c r="B6575" s="15"/>
      <c r="C6575" s="9">
        <f>IFERROR(__xludf.DUMMYFUNCTION("""COMPUTED_VALUE"""),45075.3694785532)</f>
        <v>45075.36948</v>
      </c>
      <c r="D6575" s="15">
        <f>IFERROR(__xludf.DUMMYFUNCTION("""COMPUTED_VALUE"""),1.01)</f>
        <v>1.01</v>
      </c>
      <c r="E6575" s="16">
        <f>IFERROR(__xludf.DUMMYFUNCTION("""COMPUTED_VALUE"""),66.0)</f>
        <v>66</v>
      </c>
      <c r="F6575" s="19" t="str">
        <f>IFERROR(__xludf.DUMMYFUNCTION("""COMPUTED_VALUE"""),"BLACK")</f>
        <v>BLACK</v>
      </c>
      <c r="G6575" s="20" t="str">
        <f>IFERROR(__xludf.DUMMYFUNCTION("""COMPUTED_VALUE"""),"Uncle Sams Cider (04/04/2023)")</f>
        <v>Uncle Sams Cider (04/04/2023)</v>
      </c>
      <c r="H6575" s="19"/>
    </row>
    <row r="6576">
      <c r="A6576" s="9"/>
      <c r="B6576" s="15"/>
      <c r="C6576" s="9">
        <f>IFERROR(__xludf.DUMMYFUNCTION("""COMPUTED_VALUE"""),45075.3590565277)</f>
        <v>45075.35906</v>
      </c>
      <c r="D6576" s="15">
        <f>IFERROR(__xludf.DUMMYFUNCTION("""COMPUTED_VALUE"""),1.01)</f>
        <v>1.01</v>
      </c>
      <c r="E6576" s="16">
        <f>IFERROR(__xludf.DUMMYFUNCTION("""COMPUTED_VALUE"""),66.0)</f>
        <v>66</v>
      </c>
      <c r="F6576" s="19" t="str">
        <f>IFERROR(__xludf.DUMMYFUNCTION("""COMPUTED_VALUE"""),"BLACK")</f>
        <v>BLACK</v>
      </c>
      <c r="G6576" s="20" t="str">
        <f>IFERROR(__xludf.DUMMYFUNCTION("""COMPUTED_VALUE"""),"Uncle Sams Cider (04/04/2023)")</f>
        <v>Uncle Sams Cider (04/04/2023)</v>
      </c>
      <c r="H6576" s="19"/>
    </row>
    <row r="6577">
      <c r="A6577" s="9"/>
      <c r="B6577" s="15"/>
      <c r="C6577" s="9">
        <f>IFERROR(__xludf.DUMMYFUNCTION("""COMPUTED_VALUE"""),45075.348636493)</f>
        <v>45075.34864</v>
      </c>
      <c r="D6577" s="15">
        <f>IFERROR(__xludf.DUMMYFUNCTION("""COMPUTED_VALUE"""),1.01)</f>
        <v>1.01</v>
      </c>
      <c r="E6577" s="16">
        <f>IFERROR(__xludf.DUMMYFUNCTION("""COMPUTED_VALUE"""),66.0)</f>
        <v>66</v>
      </c>
      <c r="F6577" s="19" t="str">
        <f>IFERROR(__xludf.DUMMYFUNCTION("""COMPUTED_VALUE"""),"BLACK")</f>
        <v>BLACK</v>
      </c>
      <c r="G6577" s="20" t="str">
        <f>IFERROR(__xludf.DUMMYFUNCTION("""COMPUTED_VALUE"""),"Uncle Sams Cider (04/04/2023)")</f>
        <v>Uncle Sams Cider (04/04/2023)</v>
      </c>
      <c r="H6577" s="19"/>
    </row>
    <row r="6578">
      <c r="A6578" s="9"/>
      <c r="B6578" s="15"/>
      <c r="C6578" s="9">
        <f>IFERROR(__xludf.DUMMYFUNCTION("""COMPUTED_VALUE"""),45075.3382157638)</f>
        <v>45075.33822</v>
      </c>
      <c r="D6578" s="15">
        <f>IFERROR(__xludf.DUMMYFUNCTION("""COMPUTED_VALUE"""),1.01)</f>
        <v>1.01</v>
      </c>
      <c r="E6578" s="16">
        <f>IFERROR(__xludf.DUMMYFUNCTION("""COMPUTED_VALUE"""),66.0)</f>
        <v>66</v>
      </c>
      <c r="F6578" s="19" t="str">
        <f>IFERROR(__xludf.DUMMYFUNCTION("""COMPUTED_VALUE"""),"BLACK")</f>
        <v>BLACK</v>
      </c>
      <c r="G6578" s="20" t="str">
        <f>IFERROR(__xludf.DUMMYFUNCTION("""COMPUTED_VALUE"""),"Uncle Sams Cider (04/04/2023)")</f>
        <v>Uncle Sams Cider (04/04/2023)</v>
      </c>
      <c r="H6578" s="19"/>
    </row>
    <row r="6579">
      <c r="A6579" s="9"/>
      <c r="B6579" s="15"/>
      <c r="C6579" s="9">
        <f>IFERROR(__xludf.DUMMYFUNCTION("""COMPUTED_VALUE"""),45075.3277937847)</f>
        <v>45075.32779</v>
      </c>
      <c r="D6579" s="15">
        <f>IFERROR(__xludf.DUMMYFUNCTION("""COMPUTED_VALUE"""),1.01)</f>
        <v>1.01</v>
      </c>
      <c r="E6579" s="16">
        <f>IFERROR(__xludf.DUMMYFUNCTION("""COMPUTED_VALUE"""),66.0)</f>
        <v>66</v>
      </c>
      <c r="F6579" s="19" t="str">
        <f>IFERROR(__xludf.DUMMYFUNCTION("""COMPUTED_VALUE"""),"BLACK")</f>
        <v>BLACK</v>
      </c>
      <c r="G6579" s="20" t="str">
        <f>IFERROR(__xludf.DUMMYFUNCTION("""COMPUTED_VALUE"""),"Uncle Sams Cider (04/04/2023)")</f>
        <v>Uncle Sams Cider (04/04/2023)</v>
      </c>
      <c r="H6579" s="19"/>
    </row>
    <row r="6580">
      <c r="A6580" s="9"/>
      <c r="B6580" s="15"/>
      <c r="C6580" s="9">
        <f>IFERROR(__xludf.DUMMYFUNCTION("""COMPUTED_VALUE"""),45075.3173731481)</f>
        <v>45075.31737</v>
      </c>
      <c r="D6580" s="15">
        <f>IFERROR(__xludf.DUMMYFUNCTION("""COMPUTED_VALUE"""),1.01)</f>
        <v>1.01</v>
      </c>
      <c r="E6580" s="16">
        <f>IFERROR(__xludf.DUMMYFUNCTION("""COMPUTED_VALUE"""),66.0)</f>
        <v>66</v>
      </c>
      <c r="F6580" s="19" t="str">
        <f>IFERROR(__xludf.DUMMYFUNCTION("""COMPUTED_VALUE"""),"BLACK")</f>
        <v>BLACK</v>
      </c>
      <c r="G6580" s="20" t="str">
        <f>IFERROR(__xludf.DUMMYFUNCTION("""COMPUTED_VALUE"""),"Uncle Sams Cider (04/04/2023)")</f>
        <v>Uncle Sams Cider (04/04/2023)</v>
      </c>
      <c r="H6580" s="19"/>
    </row>
    <row r="6581">
      <c r="A6581" s="9"/>
      <c r="B6581" s="15"/>
      <c r="C6581" s="9">
        <f>IFERROR(__xludf.DUMMYFUNCTION("""COMPUTED_VALUE"""),45075.3069542824)</f>
        <v>45075.30695</v>
      </c>
      <c r="D6581" s="15">
        <f>IFERROR(__xludf.DUMMYFUNCTION("""COMPUTED_VALUE"""),1.01)</f>
        <v>1.01</v>
      </c>
      <c r="E6581" s="16">
        <f>IFERROR(__xludf.DUMMYFUNCTION("""COMPUTED_VALUE"""),66.0)</f>
        <v>66</v>
      </c>
      <c r="F6581" s="19" t="str">
        <f>IFERROR(__xludf.DUMMYFUNCTION("""COMPUTED_VALUE"""),"BLACK")</f>
        <v>BLACK</v>
      </c>
      <c r="G6581" s="20" t="str">
        <f>IFERROR(__xludf.DUMMYFUNCTION("""COMPUTED_VALUE"""),"Uncle Sams Cider (04/04/2023)")</f>
        <v>Uncle Sams Cider (04/04/2023)</v>
      </c>
      <c r="H6581" s="19"/>
    </row>
    <row r="6582">
      <c r="A6582" s="9"/>
      <c r="B6582" s="15"/>
      <c r="C6582" s="9">
        <f>IFERROR(__xludf.DUMMYFUNCTION("""COMPUTED_VALUE"""),45075.296532743)</f>
        <v>45075.29653</v>
      </c>
      <c r="D6582" s="15">
        <f>IFERROR(__xludf.DUMMYFUNCTION("""COMPUTED_VALUE"""),1.01)</f>
        <v>1.01</v>
      </c>
      <c r="E6582" s="16">
        <f>IFERROR(__xludf.DUMMYFUNCTION("""COMPUTED_VALUE"""),66.0)</f>
        <v>66</v>
      </c>
      <c r="F6582" s="19" t="str">
        <f>IFERROR(__xludf.DUMMYFUNCTION("""COMPUTED_VALUE"""),"BLACK")</f>
        <v>BLACK</v>
      </c>
      <c r="G6582" s="20" t="str">
        <f>IFERROR(__xludf.DUMMYFUNCTION("""COMPUTED_VALUE"""),"Uncle Sams Cider (04/04/2023)")</f>
        <v>Uncle Sams Cider (04/04/2023)</v>
      </c>
      <c r="H6582" s="19"/>
    </row>
    <row r="6583">
      <c r="A6583" s="9"/>
      <c r="B6583" s="15"/>
      <c r="C6583" s="9">
        <f>IFERROR(__xludf.DUMMYFUNCTION("""COMPUTED_VALUE"""),45075.2861115046)</f>
        <v>45075.28611</v>
      </c>
      <c r="D6583" s="15">
        <f>IFERROR(__xludf.DUMMYFUNCTION("""COMPUTED_VALUE"""),1.01)</f>
        <v>1.01</v>
      </c>
      <c r="E6583" s="16">
        <f>IFERROR(__xludf.DUMMYFUNCTION("""COMPUTED_VALUE"""),66.0)</f>
        <v>66</v>
      </c>
      <c r="F6583" s="19" t="str">
        <f>IFERROR(__xludf.DUMMYFUNCTION("""COMPUTED_VALUE"""),"BLACK")</f>
        <v>BLACK</v>
      </c>
      <c r="G6583" s="20" t="str">
        <f>IFERROR(__xludf.DUMMYFUNCTION("""COMPUTED_VALUE"""),"Uncle Sams Cider (04/04/2023)")</f>
        <v>Uncle Sams Cider (04/04/2023)</v>
      </c>
      <c r="H6583" s="19"/>
    </row>
    <row r="6584">
      <c r="A6584" s="9"/>
      <c r="B6584" s="15"/>
      <c r="C6584" s="9">
        <f>IFERROR(__xludf.DUMMYFUNCTION("""COMPUTED_VALUE"""),45075.2756924768)</f>
        <v>45075.27569</v>
      </c>
      <c r="D6584" s="15">
        <f>IFERROR(__xludf.DUMMYFUNCTION("""COMPUTED_VALUE"""),1.01)</f>
        <v>1.01</v>
      </c>
      <c r="E6584" s="16">
        <f>IFERROR(__xludf.DUMMYFUNCTION("""COMPUTED_VALUE"""),66.0)</f>
        <v>66</v>
      </c>
      <c r="F6584" s="19" t="str">
        <f>IFERROR(__xludf.DUMMYFUNCTION("""COMPUTED_VALUE"""),"BLACK")</f>
        <v>BLACK</v>
      </c>
      <c r="G6584" s="20" t="str">
        <f>IFERROR(__xludf.DUMMYFUNCTION("""COMPUTED_VALUE"""),"Uncle Sams Cider (04/04/2023)")</f>
        <v>Uncle Sams Cider (04/04/2023)</v>
      </c>
      <c r="H6584" s="19"/>
    </row>
    <row r="6585">
      <c r="A6585" s="9"/>
      <c r="B6585" s="15"/>
      <c r="C6585" s="9">
        <f>IFERROR(__xludf.DUMMYFUNCTION("""COMPUTED_VALUE"""),45075.265258912)</f>
        <v>45075.26526</v>
      </c>
      <c r="D6585" s="15">
        <f>IFERROR(__xludf.DUMMYFUNCTION("""COMPUTED_VALUE"""),1.01)</f>
        <v>1.01</v>
      </c>
      <c r="E6585" s="16">
        <f>IFERROR(__xludf.DUMMYFUNCTION("""COMPUTED_VALUE"""),66.0)</f>
        <v>66</v>
      </c>
      <c r="F6585" s="19" t="str">
        <f>IFERROR(__xludf.DUMMYFUNCTION("""COMPUTED_VALUE"""),"BLACK")</f>
        <v>BLACK</v>
      </c>
      <c r="G6585" s="20" t="str">
        <f>IFERROR(__xludf.DUMMYFUNCTION("""COMPUTED_VALUE"""),"Uncle Sams Cider (04/04/2023)")</f>
        <v>Uncle Sams Cider (04/04/2023)</v>
      </c>
      <c r="H6585" s="19"/>
    </row>
    <row r="6586">
      <c r="A6586" s="9"/>
      <c r="B6586" s="15"/>
      <c r="C6586" s="9">
        <f>IFERROR(__xludf.DUMMYFUNCTION("""COMPUTED_VALUE"""),45075.2548387847)</f>
        <v>45075.25484</v>
      </c>
      <c r="D6586" s="15">
        <f>IFERROR(__xludf.DUMMYFUNCTION("""COMPUTED_VALUE"""),1.01)</f>
        <v>1.01</v>
      </c>
      <c r="E6586" s="16">
        <f>IFERROR(__xludf.DUMMYFUNCTION("""COMPUTED_VALUE"""),66.0)</f>
        <v>66</v>
      </c>
      <c r="F6586" s="19" t="str">
        <f>IFERROR(__xludf.DUMMYFUNCTION("""COMPUTED_VALUE"""),"BLACK")</f>
        <v>BLACK</v>
      </c>
      <c r="G6586" s="20" t="str">
        <f>IFERROR(__xludf.DUMMYFUNCTION("""COMPUTED_VALUE"""),"Uncle Sams Cider (04/04/2023)")</f>
        <v>Uncle Sams Cider (04/04/2023)</v>
      </c>
      <c r="H6586" s="19"/>
    </row>
    <row r="6587">
      <c r="A6587" s="9"/>
      <c r="B6587" s="15"/>
      <c r="C6587" s="9">
        <f>IFERROR(__xludf.DUMMYFUNCTION("""COMPUTED_VALUE"""),45075.2444175231)</f>
        <v>45075.24442</v>
      </c>
      <c r="D6587" s="15">
        <f>IFERROR(__xludf.DUMMYFUNCTION("""COMPUTED_VALUE"""),1.01)</f>
        <v>1.01</v>
      </c>
      <c r="E6587" s="16">
        <f>IFERROR(__xludf.DUMMYFUNCTION("""COMPUTED_VALUE"""),66.0)</f>
        <v>66</v>
      </c>
      <c r="F6587" s="19" t="str">
        <f>IFERROR(__xludf.DUMMYFUNCTION("""COMPUTED_VALUE"""),"BLACK")</f>
        <v>BLACK</v>
      </c>
      <c r="G6587" s="20" t="str">
        <f>IFERROR(__xludf.DUMMYFUNCTION("""COMPUTED_VALUE"""),"Uncle Sams Cider (04/04/2023)")</f>
        <v>Uncle Sams Cider (04/04/2023)</v>
      </c>
      <c r="H6587" s="19"/>
    </row>
    <row r="6588">
      <c r="A6588" s="9"/>
      <c r="B6588" s="15"/>
      <c r="C6588" s="9">
        <f>IFERROR(__xludf.DUMMYFUNCTION("""COMPUTED_VALUE"""),45075.2339960416)</f>
        <v>45075.234</v>
      </c>
      <c r="D6588" s="15">
        <f>IFERROR(__xludf.DUMMYFUNCTION("""COMPUTED_VALUE"""),1.01)</f>
        <v>1.01</v>
      </c>
      <c r="E6588" s="16">
        <f>IFERROR(__xludf.DUMMYFUNCTION("""COMPUTED_VALUE"""),66.0)</f>
        <v>66</v>
      </c>
      <c r="F6588" s="19" t="str">
        <f>IFERROR(__xludf.DUMMYFUNCTION("""COMPUTED_VALUE"""),"BLACK")</f>
        <v>BLACK</v>
      </c>
      <c r="G6588" s="20" t="str">
        <f>IFERROR(__xludf.DUMMYFUNCTION("""COMPUTED_VALUE"""),"Uncle Sams Cider (04/04/2023)")</f>
        <v>Uncle Sams Cider (04/04/2023)</v>
      </c>
      <c r="H6588" s="19"/>
    </row>
    <row r="6589">
      <c r="A6589" s="9"/>
      <c r="B6589" s="15"/>
      <c r="C6589" s="9">
        <f>IFERROR(__xludf.DUMMYFUNCTION("""COMPUTED_VALUE"""),45075.223542199)</f>
        <v>45075.22354</v>
      </c>
      <c r="D6589" s="15">
        <f>IFERROR(__xludf.DUMMYFUNCTION("""COMPUTED_VALUE"""),1.01)</f>
        <v>1.01</v>
      </c>
      <c r="E6589" s="16">
        <f>IFERROR(__xludf.DUMMYFUNCTION("""COMPUTED_VALUE"""),66.0)</f>
        <v>66</v>
      </c>
      <c r="F6589" s="19" t="str">
        <f>IFERROR(__xludf.DUMMYFUNCTION("""COMPUTED_VALUE"""),"BLACK")</f>
        <v>BLACK</v>
      </c>
      <c r="G6589" s="20" t="str">
        <f>IFERROR(__xludf.DUMMYFUNCTION("""COMPUTED_VALUE"""),"Uncle Sams Cider (04/04/2023)")</f>
        <v>Uncle Sams Cider (04/04/2023)</v>
      </c>
      <c r="H6589" s="19"/>
    </row>
    <row r="6590">
      <c r="A6590" s="9"/>
      <c r="B6590" s="15"/>
      <c r="C6590" s="9">
        <f>IFERROR(__xludf.DUMMYFUNCTION("""COMPUTED_VALUE"""),45075.2131210416)</f>
        <v>45075.21312</v>
      </c>
      <c r="D6590" s="15">
        <f>IFERROR(__xludf.DUMMYFUNCTION("""COMPUTED_VALUE"""),1.01)</f>
        <v>1.01</v>
      </c>
      <c r="E6590" s="16">
        <f>IFERROR(__xludf.DUMMYFUNCTION("""COMPUTED_VALUE"""),66.0)</f>
        <v>66</v>
      </c>
      <c r="F6590" s="19" t="str">
        <f>IFERROR(__xludf.DUMMYFUNCTION("""COMPUTED_VALUE"""),"BLACK")</f>
        <v>BLACK</v>
      </c>
      <c r="G6590" s="20" t="str">
        <f>IFERROR(__xludf.DUMMYFUNCTION("""COMPUTED_VALUE"""),"Uncle Sams Cider (04/04/2023)")</f>
        <v>Uncle Sams Cider (04/04/2023)</v>
      </c>
      <c r="H6590" s="19"/>
    </row>
    <row r="6591">
      <c r="A6591" s="9"/>
      <c r="B6591" s="15"/>
      <c r="C6591" s="9">
        <f>IFERROR(__xludf.DUMMYFUNCTION("""COMPUTED_VALUE"""),45075.2026886226)</f>
        <v>45075.20269</v>
      </c>
      <c r="D6591" s="15">
        <f>IFERROR(__xludf.DUMMYFUNCTION("""COMPUTED_VALUE"""),1.01)</f>
        <v>1.01</v>
      </c>
      <c r="E6591" s="16">
        <f>IFERROR(__xludf.DUMMYFUNCTION("""COMPUTED_VALUE"""),66.0)</f>
        <v>66</v>
      </c>
      <c r="F6591" s="19" t="str">
        <f>IFERROR(__xludf.DUMMYFUNCTION("""COMPUTED_VALUE"""),"BLACK")</f>
        <v>BLACK</v>
      </c>
      <c r="G6591" s="20" t="str">
        <f>IFERROR(__xludf.DUMMYFUNCTION("""COMPUTED_VALUE"""),"Uncle Sams Cider (04/04/2023)")</f>
        <v>Uncle Sams Cider (04/04/2023)</v>
      </c>
      <c r="H6591" s="19"/>
    </row>
    <row r="6592">
      <c r="A6592" s="9"/>
      <c r="B6592" s="15"/>
      <c r="C6592" s="9">
        <f>IFERROR(__xludf.DUMMYFUNCTION("""COMPUTED_VALUE"""),45075.1922456018)</f>
        <v>45075.19225</v>
      </c>
      <c r="D6592" s="15">
        <f>IFERROR(__xludf.DUMMYFUNCTION("""COMPUTED_VALUE"""),1.01)</f>
        <v>1.01</v>
      </c>
      <c r="E6592" s="16">
        <f>IFERROR(__xludf.DUMMYFUNCTION("""COMPUTED_VALUE"""),66.0)</f>
        <v>66</v>
      </c>
      <c r="F6592" s="19" t="str">
        <f>IFERROR(__xludf.DUMMYFUNCTION("""COMPUTED_VALUE"""),"BLACK")</f>
        <v>BLACK</v>
      </c>
      <c r="G6592" s="20" t="str">
        <f>IFERROR(__xludf.DUMMYFUNCTION("""COMPUTED_VALUE"""),"Uncle Sams Cider (04/04/2023)")</f>
        <v>Uncle Sams Cider (04/04/2023)</v>
      </c>
      <c r="H6592" s="19"/>
    </row>
    <row r="6593">
      <c r="A6593" s="9"/>
      <c r="B6593" s="15"/>
      <c r="C6593" s="9">
        <f>IFERROR(__xludf.DUMMYFUNCTION("""COMPUTED_VALUE"""),45075.1817894212)</f>
        <v>45075.18179</v>
      </c>
      <c r="D6593" s="15">
        <f>IFERROR(__xludf.DUMMYFUNCTION("""COMPUTED_VALUE"""),1.01)</f>
        <v>1.01</v>
      </c>
      <c r="E6593" s="16">
        <f>IFERROR(__xludf.DUMMYFUNCTION("""COMPUTED_VALUE"""),66.0)</f>
        <v>66</v>
      </c>
      <c r="F6593" s="19" t="str">
        <f>IFERROR(__xludf.DUMMYFUNCTION("""COMPUTED_VALUE"""),"BLACK")</f>
        <v>BLACK</v>
      </c>
      <c r="G6593" s="20" t="str">
        <f>IFERROR(__xludf.DUMMYFUNCTION("""COMPUTED_VALUE"""),"Uncle Sams Cider (04/04/2023)")</f>
        <v>Uncle Sams Cider (04/04/2023)</v>
      </c>
      <c r="H6593" s="19"/>
    </row>
    <row r="6594">
      <c r="A6594" s="9"/>
      <c r="B6594" s="15"/>
      <c r="C6594" s="9">
        <f>IFERROR(__xludf.DUMMYFUNCTION("""COMPUTED_VALUE"""),45075.1713673842)</f>
        <v>45075.17137</v>
      </c>
      <c r="D6594" s="15">
        <f>IFERROR(__xludf.DUMMYFUNCTION("""COMPUTED_VALUE"""),1.01)</f>
        <v>1.01</v>
      </c>
      <c r="E6594" s="16">
        <f>IFERROR(__xludf.DUMMYFUNCTION("""COMPUTED_VALUE"""),66.0)</f>
        <v>66</v>
      </c>
      <c r="F6594" s="19" t="str">
        <f>IFERROR(__xludf.DUMMYFUNCTION("""COMPUTED_VALUE"""),"BLACK")</f>
        <v>BLACK</v>
      </c>
      <c r="G6594" s="20" t="str">
        <f>IFERROR(__xludf.DUMMYFUNCTION("""COMPUTED_VALUE"""),"Uncle Sams Cider (04/04/2023)")</f>
        <v>Uncle Sams Cider (04/04/2023)</v>
      </c>
      <c r="H6594" s="19"/>
    </row>
    <row r="6595">
      <c r="A6595" s="9"/>
      <c r="B6595" s="15"/>
      <c r="C6595" s="9">
        <f>IFERROR(__xludf.DUMMYFUNCTION("""COMPUTED_VALUE"""),45075.1609449768)</f>
        <v>45075.16094</v>
      </c>
      <c r="D6595" s="15">
        <f>IFERROR(__xludf.DUMMYFUNCTION("""COMPUTED_VALUE"""),1.01)</f>
        <v>1.01</v>
      </c>
      <c r="E6595" s="16">
        <f>IFERROR(__xludf.DUMMYFUNCTION("""COMPUTED_VALUE"""),66.0)</f>
        <v>66</v>
      </c>
      <c r="F6595" s="19" t="str">
        <f>IFERROR(__xludf.DUMMYFUNCTION("""COMPUTED_VALUE"""),"BLACK")</f>
        <v>BLACK</v>
      </c>
      <c r="G6595" s="20" t="str">
        <f>IFERROR(__xludf.DUMMYFUNCTION("""COMPUTED_VALUE"""),"Uncle Sams Cider (04/04/2023)")</f>
        <v>Uncle Sams Cider (04/04/2023)</v>
      </c>
      <c r="H6595" s="19"/>
    </row>
    <row r="6596">
      <c r="A6596" s="9"/>
      <c r="B6596" s="15"/>
      <c r="C6596" s="9">
        <f>IFERROR(__xludf.DUMMYFUNCTION("""COMPUTED_VALUE"""),45075.1504988078)</f>
        <v>45075.1505</v>
      </c>
      <c r="D6596" s="15">
        <f>IFERROR(__xludf.DUMMYFUNCTION("""COMPUTED_VALUE"""),1.01)</f>
        <v>1.01</v>
      </c>
      <c r="E6596" s="16">
        <f>IFERROR(__xludf.DUMMYFUNCTION("""COMPUTED_VALUE"""),66.0)</f>
        <v>66</v>
      </c>
      <c r="F6596" s="19" t="str">
        <f>IFERROR(__xludf.DUMMYFUNCTION("""COMPUTED_VALUE"""),"BLACK")</f>
        <v>BLACK</v>
      </c>
      <c r="G6596" s="20" t="str">
        <f>IFERROR(__xludf.DUMMYFUNCTION("""COMPUTED_VALUE"""),"Uncle Sams Cider (04/04/2023)")</f>
        <v>Uncle Sams Cider (04/04/2023)</v>
      </c>
      <c r="H6596" s="19"/>
    </row>
    <row r="6597">
      <c r="A6597" s="9"/>
      <c r="B6597" s="15"/>
      <c r="C6597" s="9">
        <f>IFERROR(__xludf.DUMMYFUNCTION("""COMPUTED_VALUE"""),45075.1400660879)</f>
        <v>45075.14007</v>
      </c>
      <c r="D6597" s="15">
        <f>IFERROR(__xludf.DUMMYFUNCTION("""COMPUTED_VALUE"""),1.01)</f>
        <v>1.01</v>
      </c>
      <c r="E6597" s="16">
        <f>IFERROR(__xludf.DUMMYFUNCTION("""COMPUTED_VALUE"""),66.0)</f>
        <v>66</v>
      </c>
      <c r="F6597" s="19" t="str">
        <f>IFERROR(__xludf.DUMMYFUNCTION("""COMPUTED_VALUE"""),"BLACK")</f>
        <v>BLACK</v>
      </c>
      <c r="G6597" s="20" t="str">
        <f>IFERROR(__xludf.DUMMYFUNCTION("""COMPUTED_VALUE"""),"Uncle Sams Cider (04/04/2023)")</f>
        <v>Uncle Sams Cider (04/04/2023)</v>
      </c>
      <c r="H6597" s="19"/>
    </row>
    <row r="6598">
      <c r="A6598" s="9"/>
      <c r="B6598" s="15"/>
      <c r="C6598" s="9">
        <f>IFERROR(__xludf.DUMMYFUNCTION("""COMPUTED_VALUE"""),45075.1296452893)</f>
        <v>45075.12965</v>
      </c>
      <c r="D6598" s="15">
        <f>IFERROR(__xludf.DUMMYFUNCTION("""COMPUTED_VALUE"""),1.01)</f>
        <v>1.01</v>
      </c>
      <c r="E6598" s="16">
        <f>IFERROR(__xludf.DUMMYFUNCTION("""COMPUTED_VALUE"""),66.0)</f>
        <v>66</v>
      </c>
      <c r="F6598" s="19" t="str">
        <f>IFERROR(__xludf.DUMMYFUNCTION("""COMPUTED_VALUE"""),"BLACK")</f>
        <v>BLACK</v>
      </c>
      <c r="G6598" s="20" t="str">
        <f>IFERROR(__xludf.DUMMYFUNCTION("""COMPUTED_VALUE"""),"Uncle Sams Cider (04/04/2023)")</f>
        <v>Uncle Sams Cider (04/04/2023)</v>
      </c>
      <c r="H6598" s="19"/>
    </row>
    <row r="6599">
      <c r="A6599" s="9"/>
      <c r="B6599" s="15"/>
      <c r="C6599" s="9">
        <f>IFERROR(__xludf.DUMMYFUNCTION("""COMPUTED_VALUE"""),45075.1192013888)</f>
        <v>45075.1192</v>
      </c>
      <c r="D6599" s="15">
        <f>IFERROR(__xludf.DUMMYFUNCTION("""COMPUTED_VALUE"""),1.01)</f>
        <v>1.01</v>
      </c>
      <c r="E6599" s="16">
        <f>IFERROR(__xludf.DUMMYFUNCTION("""COMPUTED_VALUE"""),66.0)</f>
        <v>66</v>
      </c>
      <c r="F6599" s="19" t="str">
        <f>IFERROR(__xludf.DUMMYFUNCTION("""COMPUTED_VALUE"""),"BLACK")</f>
        <v>BLACK</v>
      </c>
      <c r="G6599" s="20" t="str">
        <f>IFERROR(__xludf.DUMMYFUNCTION("""COMPUTED_VALUE"""),"Uncle Sams Cider (04/04/2023)")</f>
        <v>Uncle Sams Cider (04/04/2023)</v>
      </c>
      <c r="H6599" s="19"/>
    </row>
    <row r="6600">
      <c r="A6600" s="9"/>
      <c r="B6600" s="15"/>
      <c r="C6600" s="9">
        <f>IFERROR(__xludf.DUMMYFUNCTION("""COMPUTED_VALUE"""),45075.1087688078)</f>
        <v>45075.10877</v>
      </c>
      <c r="D6600" s="15">
        <f>IFERROR(__xludf.DUMMYFUNCTION("""COMPUTED_VALUE"""),1.01)</f>
        <v>1.01</v>
      </c>
      <c r="E6600" s="16">
        <f>IFERROR(__xludf.DUMMYFUNCTION("""COMPUTED_VALUE"""),66.0)</f>
        <v>66</v>
      </c>
      <c r="F6600" s="19" t="str">
        <f>IFERROR(__xludf.DUMMYFUNCTION("""COMPUTED_VALUE"""),"BLACK")</f>
        <v>BLACK</v>
      </c>
      <c r="G6600" s="20" t="str">
        <f>IFERROR(__xludf.DUMMYFUNCTION("""COMPUTED_VALUE"""),"Uncle Sams Cider (04/04/2023)")</f>
        <v>Uncle Sams Cider (04/04/2023)</v>
      </c>
      <c r="H6600" s="19"/>
    </row>
    <row r="6601">
      <c r="A6601" s="9"/>
      <c r="B6601" s="15"/>
      <c r="C6601" s="9">
        <f>IFERROR(__xludf.DUMMYFUNCTION("""COMPUTED_VALUE"""),45075.0983457291)</f>
        <v>45075.09835</v>
      </c>
      <c r="D6601" s="15">
        <f>IFERROR(__xludf.DUMMYFUNCTION("""COMPUTED_VALUE"""),1.01)</f>
        <v>1.01</v>
      </c>
      <c r="E6601" s="16">
        <f>IFERROR(__xludf.DUMMYFUNCTION("""COMPUTED_VALUE"""),66.0)</f>
        <v>66</v>
      </c>
      <c r="F6601" s="19" t="str">
        <f>IFERROR(__xludf.DUMMYFUNCTION("""COMPUTED_VALUE"""),"BLACK")</f>
        <v>BLACK</v>
      </c>
      <c r="G6601" s="20" t="str">
        <f>IFERROR(__xludf.DUMMYFUNCTION("""COMPUTED_VALUE"""),"Uncle Sams Cider (04/04/2023)")</f>
        <v>Uncle Sams Cider (04/04/2023)</v>
      </c>
      <c r="H6601" s="19"/>
    </row>
    <row r="6602">
      <c r="A6602" s="9"/>
      <c r="B6602" s="15"/>
      <c r="C6602" s="9">
        <f>IFERROR(__xludf.DUMMYFUNCTION("""COMPUTED_VALUE"""),45075.0879264699)</f>
        <v>45075.08793</v>
      </c>
      <c r="D6602" s="15">
        <f>IFERROR(__xludf.DUMMYFUNCTION("""COMPUTED_VALUE"""),1.01)</f>
        <v>1.01</v>
      </c>
      <c r="E6602" s="16">
        <f>IFERROR(__xludf.DUMMYFUNCTION("""COMPUTED_VALUE"""),66.0)</f>
        <v>66</v>
      </c>
      <c r="F6602" s="19" t="str">
        <f>IFERROR(__xludf.DUMMYFUNCTION("""COMPUTED_VALUE"""),"BLACK")</f>
        <v>BLACK</v>
      </c>
      <c r="G6602" s="20" t="str">
        <f>IFERROR(__xludf.DUMMYFUNCTION("""COMPUTED_VALUE"""),"Uncle Sams Cider (04/04/2023)")</f>
        <v>Uncle Sams Cider (04/04/2023)</v>
      </c>
      <c r="H6602" s="19"/>
    </row>
    <row r="6603">
      <c r="A6603" s="9"/>
      <c r="B6603" s="15"/>
      <c r="C6603" s="9">
        <f>IFERROR(__xludf.DUMMYFUNCTION("""COMPUTED_VALUE"""),45075.0775084722)</f>
        <v>45075.07751</v>
      </c>
      <c r="D6603" s="15">
        <f>IFERROR(__xludf.DUMMYFUNCTION("""COMPUTED_VALUE"""),1.01)</f>
        <v>1.01</v>
      </c>
      <c r="E6603" s="16">
        <f>IFERROR(__xludf.DUMMYFUNCTION("""COMPUTED_VALUE"""),66.0)</f>
        <v>66</v>
      </c>
      <c r="F6603" s="19" t="str">
        <f>IFERROR(__xludf.DUMMYFUNCTION("""COMPUTED_VALUE"""),"BLACK")</f>
        <v>BLACK</v>
      </c>
      <c r="G6603" s="20" t="str">
        <f>IFERROR(__xludf.DUMMYFUNCTION("""COMPUTED_VALUE"""),"Uncle Sams Cider (04/04/2023)")</f>
        <v>Uncle Sams Cider (04/04/2023)</v>
      </c>
      <c r="H6603" s="19"/>
    </row>
    <row r="6604">
      <c r="A6604" s="9"/>
      <c r="B6604" s="15"/>
      <c r="C6604" s="9">
        <f>IFERROR(__xludf.DUMMYFUNCTION("""COMPUTED_VALUE"""),45075.0670870601)</f>
        <v>45075.06709</v>
      </c>
      <c r="D6604" s="15">
        <f>IFERROR(__xludf.DUMMYFUNCTION("""COMPUTED_VALUE"""),1.01)</f>
        <v>1.01</v>
      </c>
      <c r="E6604" s="16">
        <f>IFERROR(__xludf.DUMMYFUNCTION("""COMPUTED_VALUE"""),66.0)</f>
        <v>66</v>
      </c>
      <c r="F6604" s="19" t="str">
        <f>IFERROR(__xludf.DUMMYFUNCTION("""COMPUTED_VALUE"""),"BLACK")</f>
        <v>BLACK</v>
      </c>
      <c r="G6604" s="20" t="str">
        <f>IFERROR(__xludf.DUMMYFUNCTION("""COMPUTED_VALUE"""),"Uncle Sams Cider (04/04/2023)")</f>
        <v>Uncle Sams Cider (04/04/2023)</v>
      </c>
      <c r="H6604" s="19"/>
    </row>
    <row r="6605">
      <c r="A6605" s="9"/>
      <c r="B6605" s="15"/>
      <c r="C6605" s="9">
        <f>IFERROR(__xludf.DUMMYFUNCTION("""COMPUTED_VALUE"""),45075.0566649652)</f>
        <v>45075.05666</v>
      </c>
      <c r="D6605" s="15">
        <f>IFERROR(__xludf.DUMMYFUNCTION("""COMPUTED_VALUE"""),1.01)</f>
        <v>1.01</v>
      </c>
      <c r="E6605" s="16">
        <f>IFERROR(__xludf.DUMMYFUNCTION("""COMPUTED_VALUE"""),66.0)</f>
        <v>66</v>
      </c>
      <c r="F6605" s="19" t="str">
        <f>IFERROR(__xludf.DUMMYFUNCTION("""COMPUTED_VALUE"""),"BLACK")</f>
        <v>BLACK</v>
      </c>
      <c r="G6605" s="20" t="str">
        <f>IFERROR(__xludf.DUMMYFUNCTION("""COMPUTED_VALUE"""),"Uncle Sams Cider (04/04/2023)")</f>
        <v>Uncle Sams Cider (04/04/2023)</v>
      </c>
      <c r="H6605" s="19"/>
    </row>
    <row r="6606">
      <c r="A6606" s="9"/>
      <c r="B6606" s="15"/>
      <c r="C6606" s="9">
        <f>IFERROR(__xludf.DUMMYFUNCTION("""COMPUTED_VALUE"""),45075.0462436111)</f>
        <v>45075.04624</v>
      </c>
      <c r="D6606" s="15">
        <f>IFERROR(__xludf.DUMMYFUNCTION("""COMPUTED_VALUE"""),1.01)</f>
        <v>1.01</v>
      </c>
      <c r="E6606" s="16">
        <f>IFERROR(__xludf.DUMMYFUNCTION("""COMPUTED_VALUE"""),66.0)</f>
        <v>66</v>
      </c>
      <c r="F6606" s="19" t="str">
        <f>IFERROR(__xludf.DUMMYFUNCTION("""COMPUTED_VALUE"""),"BLACK")</f>
        <v>BLACK</v>
      </c>
      <c r="G6606" s="20" t="str">
        <f>IFERROR(__xludf.DUMMYFUNCTION("""COMPUTED_VALUE"""),"Uncle Sams Cider (04/04/2023)")</f>
        <v>Uncle Sams Cider (04/04/2023)</v>
      </c>
      <c r="H6606" s="19"/>
    </row>
    <row r="6607">
      <c r="A6607" s="9"/>
      <c r="B6607" s="15"/>
      <c r="C6607" s="9">
        <f>IFERROR(__xludf.DUMMYFUNCTION("""COMPUTED_VALUE"""),45075.0358230902)</f>
        <v>45075.03582</v>
      </c>
      <c r="D6607" s="15">
        <f>IFERROR(__xludf.DUMMYFUNCTION("""COMPUTED_VALUE"""),1.01)</f>
        <v>1.01</v>
      </c>
      <c r="E6607" s="16">
        <f>IFERROR(__xludf.DUMMYFUNCTION("""COMPUTED_VALUE"""),66.0)</f>
        <v>66</v>
      </c>
      <c r="F6607" s="19" t="str">
        <f>IFERROR(__xludf.DUMMYFUNCTION("""COMPUTED_VALUE"""),"BLACK")</f>
        <v>BLACK</v>
      </c>
      <c r="G6607" s="20" t="str">
        <f>IFERROR(__xludf.DUMMYFUNCTION("""COMPUTED_VALUE"""),"Uncle Sams Cider (04/04/2023)")</f>
        <v>Uncle Sams Cider (04/04/2023)</v>
      </c>
      <c r="H6607" s="19"/>
    </row>
    <row r="6608">
      <c r="A6608" s="9"/>
      <c r="B6608" s="15"/>
      <c r="C6608" s="9">
        <f>IFERROR(__xludf.DUMMYFUNCTION("""COMPUTED_VALUE"""),45075.0254004513)</f>
        <v>45075.0254</v>
      </c>
      <c r="D6608" s="15">
        <f>IFERROR(__xludf.DUMMYFUNCTION("""COMPUTED_VALUE"""),1.01)</f>
        <v>1.01</v>
      </c>
      <c r="E6608" s="16">
        <f>IFERROR(__xludf.DUMMYFUNCTION("""COMPUTED_VALUE"""),66.0)</f>
        <v>66</v>
      </c>
      <c r="F6608" s="19" t="str">
        <f>IFERROR(__xludf.DUMMYFUNCTION("""COMPUTED_VALUE"""),"BLACK")</f>
        <v>BLACK</v>
      </c>
      <c r="G6608" s="20" t="str">
        <f>IFERROR(__xludf.DUMMYFUNCTION("""COMPUTED_VALUE"""),"Uncle Sams Cider (04/04/2023)")</f>
        <v>Uncle Sams Cider (04/04/2023)</v>
      </c>
      <c r="H6608" s="19"/>
    </row>
    <row r="6609">
      <c r="A6609" s="9"/>
      <c r="B6609" s="15"/>
      <c r="C6609" s="9">
        <f>IFERROR(__xludf.DUMMYFUNCTION("""COMPUTED_VALUE"""),45075.0149795949)</f>
        <v>45075.01498</v>
      </c>
      <c r="D6609" s="15">
        <f>IFERROR(__xludf.DUMMYFUNCTION("""COMPUTED_VALUE"""),1.01)</f>
        <v>1.01</v>
      </c>
      <c r="E6609" s="16">
        <f>IFERROR(__xludf.DUMMYFUNCTION("""COMPUTED_VALUE"""),66.0)</f>
        <v>66</v>
      </c>
      <c r="F6609" s="19" t="str">
        <f>IFERROR(__xludf.DUMMYFUNCTION("""COMPUTED_VALUE"""),"BLACK")</f>
        <v>BLACK</v>
      </c>
      <c r="G6609" s="20" t="str">
        <f>IFERROR(__xludf.DUMMYFUNCTION("""COMPUTED_VALUE"""),"Uncle Sams Cider (04/04/2023)")</f>
        <v>Uncle Sams Cider (04/04/2023)</v>
      </c>
      <c r="H6609" s="19"/>
    </row>
    <row r="6610">
      <c r="A6610" s="9"/>
      <c r="B6610" s="15"/>
      <c r="C6610" s="9">
        <f>IFERROR(__xludf.DUMMYFUNCTION("""COMPUTED_VALUE"""),45075.004534699)</f>
        <v>45075.00453</v>
      </c>
      <c r="D6610" s="15">
        <f>IFERROR(__xludf.DUMMYFUNCTION("""COMPUTED_VALUE"""),1.01)</f>
        <v>1.01</v>
      </c>
      <c r="E6610" s="16">
        <f>IFERROR(__xludf.DUMMYFUNCTION("""COMPUTED_VALUE"""),66.0)</f>
        <v>66</v>
      </c>
      <c r="F6610" s="19" t="str">
        <f>IFERROR(__xludf.DUMMYFUNCTION("""COMPUTED_VALUE"""),"BLACK")</f>
        <v>BLACK</v>
      </c>
      <c r="G6610" s="20" t="str">
        <f>IFERROR(__xludf.DUMMYFUNCTION("""COMPUTED_VALUE"""),"Uncle Sams Cider (04/04/2023)")</f>
        <v>Uncle Sams Cider (04/04/2023)</v>
      </c>
      <c r="H6610" s="19"/>
    </row>
    <row r="6611">
      <c r="A6611" s="9"/>
      <c r="B6611" s="15"/>
      <c r="C6611" s="9">
        <f>IFERROR(__xludf.DUMMYFUNCTION("""COMPUTED_VALUE"""),45074.9941010532)</f>
        <v>45074.9941</v>
      </c>
      <c r="D6611" s="15">
        <f>IFERROR(__xludf.DUMMYFUNCTION("""COMPUTED_VALUE"""),1.01)</f>
        <v>1.01</v>
      </c>
      <c r="E6611" s="16">
        <f>IFERROR(__xludf.DUMMYFUNCTION("""COMPUTED_VALUE"""),66.0)</f>
        <v>66</v>
      </c>
      <c r="F6611" s="19" t="str">
        <f>IFERROR(__xludf.DUMMYFUNCTION("""COMPUTED_VALUE"""),"BLACK")</f>
        <v>BLACK</v>
      </c>
      <c r="G6611" s="20" t="str">
        <f>IFERROR(__xludf.DUMMYFUNCTION("""COMPUTED_VALUE"""),"Uncle Sams Cider (04/04/2023)")</f>
        <v>Uncle Sams Cider (04/04/2023)</v>
      </c>
      <c r="H6611" s="19"/>
    </row>
    <row r="6612">
      <c r="A6612" s="9"/>
      <c r="B6612" s="15"/>
      <c r="C6612" s="9">
        <f>IFERROR(__xludf.DUMMYFUNCTION("""COMPUTED_VALUE"""),45074.9836801851)</f>
        <v>45074.98368</v>
      </c>
      <c r="D6612" s="15">
        <f>IFERROR(__xludf.DUMMYFUNCTION("""COMPUTED_VALUE"""),1.011)</f>
        <v>1.011</v>
      </c>
      <c r="E6612" s="16">
        <f>IFERROR(__xludf.DUMMYFUNCTION("""COMPUTED_VALUE"""),66.0)</f>
        <v>66</v>
      </c>
      <c r="F6612" s="19" t="str">
        <f>IFERROR(__xludf.DUMMYFUNCTION("""COMPUTED_VALUE"""),"BLACK")</f>
        <v>BLACK</v>
      </c>
      <c r="G6612" s="20" t="str">
        <f>IFERROR(__xludf.DUMMYFUNCTION("""COMPUTED_VALUE"""),"Uncle Sams Cider (04/04/2023)")</f>
        <v>Uncle Sams Cider (04/04/2023)</v>
      </c>
      <c r="H6612" s="19"/>
    </row>
    <row r="6613">
      <c r="A6613" s="9"/>
      <c r="B6613" s="15"/>
      <c r="C6613" s="9">
        <f>IFERROR(__xludf.DUMMYFUNCTION("""COMPUTED_VALUE"""),45074.9732493634)</f>
        <v>45074.97325</v>
      </c>
      <c r="D6613" s="15">
        <f>IFERROR(__xludf.DUMMYFUNCTION("""COMPUTED_VALUE"""),1.01)</f>
        <v>1.01</v>
      </c>
      <c r="E6613" s="16">
        <f>IFERROR(__xludf.DUMMYFUNCTION("""COMPUTED_VALUE"""),66.0)</f>
        <v>66</v>
      </c>
      <c r="F6613" s="19" t="str">
        <f>IFERROR(__xludf.DUMMYFUNCTION("""COMPUTED_VALUE"""),"BLACK")</f>
        <v>BLACK</v>
      </c>
      <c r="G6613" s="20" t="str">
        <f>IFERROR(__xludf.DUMMYFUNCTION("""COMPUTED_VALUE"""),"Uncle Sams Cider (04/04/2023)")</f>
        <v>Uncle Sams Cider (04/04/2023)</v>
      </c>
      <c r="H6613" s="19"/>
    </row>
    <row r="6614">
      <c r="A6614" s="9"/>
      <c r="B6614" s="15"/>
      <c r="C6614" s="9">
        <f>IFERROR(__xludf.DUMMYFUNCTION("""COMPUTED_VALUE"""),45074.9628270833)</f>
        <v>45074.96283</v>
      </c>
      <c r="D6614" s="15">
        <f>IFERROR(__xludf.DUMMYFUNCTION("""COMPUTED_VALUE"""),1.01)</f>
        <v>1.01</v>
      </c>
      <c r="E6614" s="16">
        <f>IFERROR(__xludf.DUMMYFUNCTION("""COMPUTED_VALUE"""),66.0)</f>
        <v>66</v>
      </c>
      <c r="F6614" s="19" t="str">
        <f>IFERROR(__xludf.DUMMYFUNCTION("""COMPUTED_VALUE"""),"BLACK")</f>
        <v>BLACK</v>
      </c>
      <c r="G6614" s="20" t="str">
        <f>IFERROR(__xludf.DUMMYFUNCTION("""COMPUTED_VALUE"""),"Uncle Sams Cider (04/04/2023)")</f>
        <v>Uncle Sams Cider (04/04/2023)</v>
      </c>
      <c r="H6614" s="19"/>
    </row>
    <row r="6615">
      <c r="A6615" s="9"/>
      <c r="B6615" s="15"/>
      <c r="C6615" s="9">
        <f>IFERROR(__xludf.DUMMYFUNCTION("""COMPUTED_VALUE"""),45074.9523942245)</f>
        <v>45074.95239</v>
      </c>
      <c r="D6615" s="15">
        <f>IFERROR(__xludf.DUMMYFUNCTION("""COMPUTED_VALUE"""),1.01)</f>
        <v>1.01</v>
      </c>
      <c r="E6615" s="16">
        <f>IFERROR(__xludf.DUMMYFUNCTION("""COMPUTED_VALUE"""),66.0)</f>
        <v>66</v>
      </c>
      <c r="F6615" s="19" t="str">
        <f>IFERROR(__xludf.DUMMYFUNCTION("""COMPUTED_VALUE"""),"BLACK")</f>
        <v>BLACK</v>
      </c>
      <c r="G6615" s="20" t="str">
        <f>IFERROR(__xludf.DUMMYFUNCTION("""COMPUTED_VALUE"""),"Uncle Sams Cider (04/04/2023)")</f>
        <v>Uncle Sams Cider (04/04/2023)</v>
      </c>
      <c r="H6615" s="19"/>
    </row>
    <row r="6616">
      <c r="A6616" s="9"/>
      <c r="B6616" s="15"/>
      <c r="C6616" s="9">
        <f>IFERROR(__xludf.DUMMYFUNCTION("""COMPUTED_VALUE"""),45074.9315408333)</f>
        <v>45074.93154</v>
      </c>
      <c r="D6616" s="15">
        <f>IFERROR(__xludf.DUMMYFUNCTION("""COMPUTED_VALUE"""),1.01)</f>
        <v>1.01</v>
      </c>
      <c r="E6616" s="16">
        <f>IFERROR(__xludf.DUMMYFUNCTION("""COMPUTED_VALUE"""),66.0)</f>
        <v>66</v>
      </c>
      <c r="F6616" s="19" t="str">
        <f>IFERROR(__xludf.DUMMYFUNCTION("""COMPUTED_VALUE"""),"BLACK")</f>
        <v>BLACK</v>
      </c>
      <c r="G6616" s="20" t="str">
        <f>IFERROR(__xludf.DUMMYFUNCTION("""COMPUTED_VALUE"""),"Uncle Sams Cider (04/04/2023)")</f>
        <v>Uncle Sams Cider (04/04/2023)</v>
      </c>
      <c r="H6616" s="19"/>
    </row>
    <row r="6617">
      <c r="A6617" s="9"/>
      <c r="B6617" s="15"/>
      <c r="C6617" s="9">
        <f>IFERROR(__xludf.DUMMYFUNCTION("""COMPUTED_VALUE"""),45074.9210971875)</f>
        <v>45074.9211</v>
      </c>
      <c r="D6617" s="15">
        <f>IFERROR(__xludf.DUMMYFUNCTION("""COMPUTED_VALUE"""),1.01)</f>
        <v>1.01</v>
      </c>
      <c r="E6617" s="16">
        <f>IFERROR(__xludf.DUMMYFUNCTION("""COMPUTED_VALUE"""),66.0)</f>
        <v>66</v>
      </c>
      <c r="F6617" s="19" t="str">
        <f>IFERROR(__xludf.DUMMYFUNCTION("""COMPUTED_VALUE"""),"BLACK")</f>
        <v>BLACK</v>
      </c>
      <c r="G6617" s="20" t="str">
        <f>IFERROR(__xludf.DUMMYFUNCTION("""COMPUTED_VALUE"""),"Uncle Sams Cider (04/04/2023)")</f>
        <v>Uncle Sams Cider (04/04/2023)</v>
      </c>
      <c r="H6617" s="19"/>
    </row>
    <row r="6618">
      <c r="A6618" s="9"/>
      <c r="B6618" s="15"/>
      <c r="C6618" s="9">
        <f>IFERROR(__xludf.DUMMYFUNCTION("""COMPUTED_VALUE"""),45074.9106764814)</f>
        <v>45074.91068</v>
      </c>
      <c r="D6618" s="15">
        <f>IFERROR(__xludf.DUMMYFUNCTION("""COMPUTED_VALUE"""),1.01)</f>
        <v>1.01</v>
      </c>
      <c r="E6618" s="16">
        <f>IFERROR(__xludf.DUMMYFUNCTION("""COMPUTED_VALUE"""),66.0)</f>
        <v>66</v>
      </c>
      <c r="F6618" s="19" t="str">
        <f>IFERROR(__xludf.DUMMYFUNCTION("""COMPUTED_VALUE"""),"BLACK")</f>
        <v>BLACK</v>
      </c>
      <c r="G6618" s="20" t="str">
        <f>IFERROR(__xludf.DUMMYFUNCTION("""COMPUTED_VALUE"""),"Uncle Sams Cider (04/04/2023)")</f>
        <v>Uncle Sams Cider (04/04/2023)</v>
      </c>
      <c r="H6618" s="19"/>
    </row>
    <row r="6619">
      <c r="A6619" s="9"/>
      <c r="B6619" s="15"/>
      <c r="C6619" s="9">
        <f>IFERROR(__xludf.DUMMYFUNCTION("""COMPUTED_VALUE"""),45074.9002192476)</f>
        <v>45074.90022</v>
      </c>
      <c r="D6619" s="15">
        <f>IFERROR(__xludf.DUMMYFUNCTION("""COMPUTED_VALUE"""),1.01)</f>
        <v>1.01</v>
      </c>
      <c r="E6619" s="16">
        <f>IFERROR(__xludf.DUMMYFUNCTION("""COMPUTED_VALUE"""),66.0)</f>
        <v>66</v>
      </c>
      <c r="F6619" s="19" t="str">
        <f>IFERROR(__xludf.DUMMYFUNCTION("""COMPUTED_VALUE"""),"BLACK")</f>
        <v>BLACK</v>
      </c>
      <c r="G6619" s="20" t="str">
        <f>IFERROR(__xludf.DUMMYFUNCTION("""COMPUTED_VALUE"""),"Uncle Sams Cider (04/04/2023)")</f>
        <v>Uncle Sams Cider (04/04/2023)</v>
      </c>
      <c r="H6619" s="19"/>
    </row>
    <row r="6620">
      <c r="A6620" s="9"/>
      <c r="B6620" s="15"/>
      <c r="C6620" s="9">
        <f>IFERROR(__xludf.DUMMYFUNCTION("""COMPUTED_VALUE"""),45074.8897841551)</f>
        <v>45074.88978</v>
      </c>
      <c r="D6620" s="15">
        <f>IFERROR(__xludf.DUMMYFUNCTION("""COMPUTED_VALUE"""),1.01)</f>
        <v>1.01</v>
      </c>
      <c r="E6620" s="16">
        <f>IFERROR(__xludf.DUMMYFUNCTION("""COMPUTED_VALUE"""),66.0)</f>
        <v>66</v>
      </c>
      <c r="F6620" s="19" t="str">
        <f>IFERROR(__xludf.DUMMYFUNCTION("""COMPUTED_VALUE"""),"BLACK")</f>
        <v>BLACK</v>
      </c>
      <c r="G6620" s="20" t="str">
        <f>IFERROR(__xludf.DUMMYFUNCTION("""COMPUTED_VALUE"""),"Uncle Sams Cider (04/04/2023)")</f>
        <v>Uncle Sams Cider (04/04/2023)</v>
      </c>
      <c r="H6620" s="19"/>
    </row>
    <row r="6621">
      <c r="A6621" s="9"/>
      <c r="B6621" s="15"/>
      <c r="C6621" s="9">
        <f>IFERROR(__xludf.DUMMYFUNCTION("""COMPUTED_VALUE"""),45074.8793627314)</f>
        <v>45074.87936</v>
      </c>
      <c r="D6621" s="15">
        <f>IFERROR(__xludf.DUMMYFUNCTION("""COMPUTED_VALUE"""),1.01)</f>
        <v>1.01</v>
      </c>
      <c r="E6621" s="16">
        <f>IFERROR(__xludf.DUMMYFUNCTION("""COMPUTED_VALUE"""),66.0)</f>
        <v>66</v>
      </c>
      <c r="F6621" s="19" t="str">
        <f>IFERROR(__xludf.DUMMYFUNCTION("""COMPUTED_VALUE"""),"BLACK")</f>
        <v>BLACK</v>
      </c>
      <c r="G6621" s="20" t="str">
        <f>IFERROR(__xludf.DUMMYFUNCTION("""COMPUTED_VALUE"""),"Uncle Sams Cider (04/04/2023)")</f>
        <v>Uncle Sams Cider (04/04/2023)</v>
      </c>
      <c r="H6621" s="19"/>
    </row>
    <row r="6622">
      <c r="A6622" s="9"/>
      <c r="B6622" s="15"/>
      <c r="C6622" s="9">
        <f>IFERROR(__xludf.DUMMYFUNCTION("""COMPUTED_VALUE"""),45074.868942743)</f>
        <v>45074.86894</v>
      </c>
      <c r="D6622" s="15">
        <f>IFERROR(__xludf.DUMMYFUNCTION("""COMPUTED_VALUE"""),1.01)</f>
        <v>1.01</v>
      </c>
      <c r="E6622" s="16">
        <f>IFERROR(__xludf.DUMMYFUNCTION("""COMPUTED_VALUE"""),66.0)</f>
        <v>66</v>
      </c>
      <c r="F6622" s="19" t="str">
        <f>IFERROR(__xludf.DUMMYFUNCTION("""COMPUTED_VALUE"""),"BLACK")</f>
        <v>BLACK</v>
      </c>
      <c r="G6622" s="20" t="str">
        <f>IFERROR(__xludf.DUMMYFUNCTION("""COMPUTED_VALUE"""),"Uncle Sams Cider (04/04/2023)")</f>
        <v>Uncle Sams Cider (04/04/2023)</v>
      </c>
      <c r="H6622" s="19"/>
    </row>
    <row r="6623">
      <c r="A6623" s="9"/>
      <c r="B6623" s="15"/>
      <c r="C6623" s="9">
        <f>IFERROR(__xludf.DUMMYFUNCTION("""COMPUTED_VALUE"""),45074.8585100347)</f>
        <v>45074.85851</v>
      </c>
      <c r="D6623" s="15">
        <f>IFERROR(__xludf.DUMMYFUNCTION("""COMPUTED_VALUE"""),1.01)</f>
        <v>1.01</v>
      </c>
      <c r="E6623" s="16">
        <f>IFERROR(__xludf.DUMMYFUNCTION("""COMPUTED_VALUE"""),66.0)</f>
        <v>66</v>
      </c>
      <c r="F6623" s="19" t="str">
        <f>IFERROR(__xludf.DUMMYFUNCTION("""COMPUTED_VALUE"""),"BLACK")</f>
        <v>BLACK</v>
      </c>
      <c r="G6623" s="20" t="str">
        <f>IFERROR(__xludf.DUMMYFUNCTION("""COMPUTED_VALUE"""),"Uncle Sams Cider (04/04/2023)")</f>
        <v>Uncle Sams Cider (04/04/2023)</v>
      </c>
      <c r="H6623" s="19"/>
    </row>
    <row r="6624">
      <c r="A6624" s="9"/>
      <c r="B6624" s="15"/>
      <c r="C6624" s="9">
        <f>IFERROR(__xludf.DUMMYFUNCTION("""COMPUTED_VALUE"""),45074.8480876967)</f>
        <v>45074.84809</v>
      </c>
      <c r="D6624" s="15">
        <f>IFERROR(__xludf.DUMMYFUNCTION("""COMPUTED_VALUE"""),1.01)</f>
        <v>1.01</v>
      </c>
      <c r="E6624" s="16">
        <f>IFERROR(__xludf.DUMMYFUNCTION("""COMPUTED_VALUE"""),66.0)</f>
        <v>66</v>
      </c>
      <c r="F6624" s="19" t="str">
        <f>IFERROR(__xludf.DUMMYFUNCTION("""COMPUTED_VALUE"""),"BLACK")</f>
        <v>BLACK</v>
      </c>
      <c r="G6624" s="20" t="str">
        <f>IFERROR(__xludf.DUMMYFUNCTION("""COMPUTED_VALUE"""),"Uncle Sams Cider (04/04/2023)")</f>
        <v>Uncle Sams Cider (04/04/2023)</v>
      </c>
      <c r="H6624" s="19"/>
    </row>
    <row r="6625">
      <c r="A6625" s="9"/>
      <c r="B6625" s="15"/>
      <c r="C6625" s="9">
        <f>IFERROR(__xludf.DUMMYFUNCTION("""COMPUTED_VALUE"""),45074.8376663888)</f>
        <v>45074.83767</v>
      </c>
      <c r="D6625" s="15">
        <f>IFERROR(__xludf.DUMMYFUNCTION("""COMPUTED_VALUE"""),1.01)</f>
        <v>1.01</v>
      </c>
      <c r="E6625" s="16">
        <f>IFERROR(__xludf.DUMMYFUNCTION("""COMPUTED_VALUE"""),66.0)</f>
        <v>66</v>
      </c>
      <c r="F6625" s="19" t="str">
        <f>IFERROR(__xludf.DUMMYFUNCTION("""COMPUTED_VALUE"""),"BLACK")</f>
        <v>BLACK</v>
      </c>
      <c r="G6625" s="20" t="str">
        <f>IFERROR(__xludf.DUMMYFUNCTION("""COMPUTED_VALUE"""),"Uncle Sams Cider (04/04/2023)")</f>
        <v>Uncle Sams Cider (04/04/2023)</v>
      </c>
      <c r="H6625" s="19"/>
    </row>
    <row r="6626">
      <c r="A6626" s="9"/>
      <c r="B6626" s="15"/>
      <c r="C6626" s="9">
        <f>IFERROR(__xludf.DUMMYFUNCTION("""COMPUTED_VALUE"""),45074.8272459375)</f>
        <v>45074.82725</v>
      </c>
      <c r="D6626" s="15">
        <f>IFERROR(__xludf.DUMMYFUNCTION("""COMPUTED_VALUE"""),1.01)</f>
        <v>1.01</v>
      </c>
      <c r="E6626" s="16">
        <f>IFERROR(__xludf.DUMMYFUNCTION("""COMPUTED_VALUE"""),66.0)</f>
        <v>66</v>
      </c>
      <c r="F6626" s="19" t="str">
        <f>IFERROR(__xludf.DUMMYFUNCTION("""COMPUTED_VALUE"""),"BLACK")</f>
        <v>BLACK</v>
      </c>
      <c r="G6626" s="20" t="str">
        <f>IFERROR(__xludf.DUMMYFUNCTION("""COMPUTED_VALUE"""),"Uncle Sams Cider (04/04/2023)")</f>
        <v>Uncle Sams Cider (04/04/2023)</v>
      </c>
      <c r="H6626" s="19"/>
    </row>
    <row r="6627">
      <c r="A6627" s="9"/>
      <c r="B6627" s="15"/>
      <c r="C6627" s="9">
        <f>IFERROR(__xludf.DUMMYFUNCTION("""COMPUTED_VALUE"""),45074.8168129051)</f>
        <v>45074.81681</v>
      </c>
      <c r="D6627" s="15">
        <f>IFERROR(__xludf.DUMMYFUNCTION("""COMPUTED_VALUE"""),1.01)</f>
        <v>1.01</v>
      </c>
      <c r="E6627" s="16">
        <f>IFERROR(__xludf.DUMMYFUNCTION("""COMPUTED_VALUE"""),66.0)</f>
        <v>66</v>
      </c>
      <c r="F6627" s="19" t="str">
        <f>IFERROR(__xludf.DUMMYFUNCTION("""COMPUTED_VALUE"""),"BLACK")</f>
        <v>BLACK</v>
      </c>
      <c r="G6627" s="20" t="str">
        <f>IFERROR(__xludf.DUMMYFUNCTION("""COMPUTED_VALUE"""),"Uncle Sams Cider (04/04/2023)")</f>
        <v>Uncle Sams Cider (04/04/2023)</v>
      </c>
      <c r="H6627" s="19"/>
    </row>
    <row r="6628">
      <c r="A6628" s="9"/>
      <c r="B6628" s="15"/>
      <c r="C6628" s="9">
        <f>IFERROR(__xludf.DUMMYFUNCTION("""COMPUTED_VALUE"""),45074.8063910416)</f>
        <v>45074.80639</v>
      </c>
      <c r="D6628" s="15">
        <f>IFERROR(__xludf.DUMMYFUNCTION("""COMPUTED_VALUE"""),1.01)</f>
        <v>1.01</v>
      </c>
      <c r="E6628" s="16">
        <f>IFERROR(__xludf.DUMMYFUNCTION("""COMPUTED_VALUE"""),66.0)</f>
        <v>66</v>
      </c>
      <c r="F6628" s="19" t="str">
        <f>IFERROR(__xludf.DUMMYFUNCTION("""COMPUTED_VALUE"""),"BLACK")</f>
        <v>BLACK</v>
      </c>
      <c r="G6628" s="20" t="str">
        <f>IFERROR(__xludf.DUMMYFUNCTION("""COMPUTED_VALUE"""),"Uncle Sams Cider (04/04/2023)")</f>
        <v>Uncle Sams Cider (04/04/2023)</v>
      </c>
      <c r="H6628" s="19"/>
    </row>
    <row r="6629">
      <c r="A6629" s="9"/>
      <c r="B6629" s="15"/>
      <c r="C6629" s="9">
        <f>IFERROR(__xludf.DUMMYFUNCTION("""COMPUTED_VALUE"""),45074.7959694328)</f>
        <v>45074.79597</v>
      </c>
      <c r="D6629" s="15">
        <f>IFERROR(__xludf.DUMMYFUNCTION("""COMPUTED_VALUE"""),1.01)</f>
        <v>1.01</v>
      </c>
      <c r="E6629" s="16">
        <f>IFERROR(__xludf.DUMMYFUNCTION("""COMPUTED_VALUE"""),66.0)</f>
        <v>66</v>
      </c>
      <c r="F6629" s="19" t="str">
        <f>IFERROR(__xludf.DUMMYFUNCTION("""COMPUTED_VALUE"""),"BLACK")</f>
        <v>BLACK</v>
      </c>
      <c r="G6629" s="20" t="str">
        <f>IFERROR(__xludf.DUMMYFUNCTION("""COMPUTED_VALUE"""),"Uncle Sams Cider (04/04/2023)")</f>
        <v>Uncle Sams Cider (04/04/2023)</v>
      </c>
      <c r="H6629" s="19"/>
    </row>
    <row r="6630">
      <c r="A6630" s="9"/>
      <c r="B6630" s="15"/>
      <c r="C6630" s="9">
        <f>IFERROR(__xludf.DUMMYFUNCTION("""COMPUTED_VALUE"""),45074.785550081)</f>
        <v>45074.78555</v>
      </c>
      <c r="D6630" s="15">
        <f>IFERROR(__xludf.DUMMYFUNCTION("""COMPUTED_VALUE"""),1.01)</f>
        <v>1.01</v>
      </c>
      <c r="E6630" s="16">
        <f>IFERROR(__xludf.DUMMYFUNCTION("""COMPUTED_VALUE"""),66.0)</f>
        <v>66</v>
      </c>
      <c r="F6630" s="19" t="str">
        <f>IFERROR(__xludf.DUMMYFUNCTION("""COMPUTED_VALUE"""),"BLACK")</f>
        <v>BLACK</v>
      </c>
      <c r="G6630" s="20" t="str">
        <f>IFERROR(__xludf.DUMMYFUNCTION("""COMPUTED_VALUE"""),"Uncle Sams Cider (04/04/2023)")</f>
        <v>Uncle Sams Cider (04/04/2023)</v>
      </c>
      <c r="H6630" s="19"/>
    </row>
    <row r="6631">
      <c r="A6631" s="9"/>
      <c r="B6631" s="15"/>
      <c r="C6631" s="9">
        <f>IFERROR(__xludf.DUMMYFUNCTION("""COMPUTED_VALUE"""),45074.7751307291)</f>
        <v>45074.77513</v>
      </c>
      <c r="D6631" s="15">
        <f>IFERROR(__xludf.DUMMYFUNCTION("""COMPUTED_VALUE"""),1.01)</f>
        <v>1.01</v>
      </c>
      <c r="E6631" s="16">
        <f>IFERROR(__xludf.DUMMYFUNCTION("""COMPUTED_VALUE"""),66.0)</f>
        <v>66</v>
      </c>
      <c r="F6631" s="19" t="str">
        <f>IFERROR(__xludf.DUMMYFUNCTION("""COMPUTED_VALUE"""),"BLACK")</f>
        <v>BLACK</v>
      </c>
      <c r="G6631" s="20" t="str">
        <f>IFERROR(__xludf.DUMMYFUNCTION("""COMPUTED_VALUE"""),"Uncle Sams Cider (04/04/2023)")</f>
        <v>Uncle Sams Cider (04/04/2023)</v>
      </c>
      <c r="H6631" s="19"/>
    </row>
    <row r="6632">
      <c r="A6632" s="9"/>
      <c r="B6632" s="15"/>
      <c r="C6632" s="9">
        <f>IFERROR(__xludf.DUMMYFUNCTION("""COMPUTED_VALUE"""),45074.7646988194)</f>
        <v>45074.7647</v>
      </c>
      <c r="D6632" s="15">
        <f>IFERROR(__xludf.DUMMYFUNCTION("""COMPUTED_VALUE"""),1.01)</f>
        <v>1.01</v>
      </c>
      <c r="E6632" s="16">
        <f>IFERROR(__xludf.DUMMYFUNCTION("""COMPUTED_VALUE"""),66.0)</f>
        <v>66</v>
      </c>
      <c r="F6632" s="19" t="str">
        <f>IFERROR(__xludf.DUMMYFUNCTION("""COMPUTED_VALUE"""),"BLACK")</f>
        <v>BLACK</v>
      </c>
      <c r="G6632" s="20" t="str">
        <f>IFERROR(__xludf.DUMMYFUNCTION("""COMPUTED_VALUE"""),"Uncle Sams Cider (04/04/2023)")</f>
        <v>Uncle Sams Cider (04/04/2023)</v>
      </c>
      <c r="H6632" s="19"/>
    </row>
    <row r="6633">
      <c r="A6633" s="9"/>
      <c r="B6633" s="15"/>
      <c r="C6633" s="9">
        <f>IFERROR(__xludf.DUMMYFUNCTION("""COMPUTED_VALUE"""),45074.7542778472)</f>
        <v>45074.75428</v>
      </c>
      <c r="D6633" s="15">
        <f>IFERROR(__xludf.DUMMYFUNCTION("""COMPUTED_VALUE"""),1.01)</f>
        <v>1.01</v>
      </c>
      <c r="E6633" s="16">
        <f>IFERROR(__xludf.DUMMYFUNCTION("""COMPUTED_VALUE"""),66.0)</f>
        <v>66</v>
      </c>
      <c r="F6633" s="19" t="str">
        <f>IFERROR(__xludf.DUMMYFUNCTION("""COMPUTED_VALUE"""),"BLACK")</f>
        <v>BLACK</v>
      </c>
      <c r="G6633" s="20" t="str">
        <f>IFERROR(__xludf.DUMMYFUNCTION("""COMPUTED_VALUE"""),"Uncle Sams Cider (04/04/2023)")</f>
        <v>Uncle Sams Cider (04/04/2023)</v>
      </c>
      <c r="H6633" s="19"/>
    </row>
    <row r="6634">
      <c r="A6634" s="9"/>
      <c r="B6634" s="15"/>
      <c r="C6634" s="9">
        <f>IFERROR(__xludf.DUMMYFUNCTION("""COMPUTED_VALUE"""),45074.7438567939)</f>
        <v>45074.74386</v>
      </c>
      <c r="D6634" s="15">
        <f>IFERROR(__xludf.DUMMYFUNCTION("""COMPUTED_VALUE"""),1.01)</f>
        <v>1.01</v>
      </c>
      <c r="E6634" s="16">
        <f>IFERROR(__xludf.DUMMYFUNCTION("""COMPUTED_VALUE"""),66.0)</f>
        <v>66</v>
      </c>
      <c r="F6634" s="19" t="str">
        <f>IFERROR(__xludf.DUMMYFUNCTION("""COMPUTED_VALUE"""),"BLACK")</f>
        <v>BLACK</v>
      </c>
      <c r="G6634" s="20" t="str">
        <f>IFERROR(__xludf.DUMMYFUNCTION("""COMPUTED_VALUE"""),"Uncle Sams Cider (04/04/2023)")</f>
        <v>Uncle Sams Cider (04/04/2023)</v>
      </c>
      <c r="H6634" s="19"/>
    </row>
    <row r="6635">
      <c r="A6635" s="9"/>
      <c r="B6635" s="15"/>
      <c r="C6635" s="9">
        <f>IFERROR(__xludf.DUMMYFUNCTION("""COMPUTED_VALUE"""),45074.7334351157)</f>
        <v>45074.73344</v>
      </c>
      <c r="D6635" s="15">
        <f>IFERROR(__xludf.DUMMYFUNCTION("""COMPUTED_VALUE"""),1.01)</f>
        <v>1.01</v>
      </c>
      <c r="E6635" s="16">
        <f>IFERROR(__xludf.DUMMYFUNCTION("""COMPUTED_VALUE"""),66.0)</f>
        <v>66</v>
      </c>
      <c r="F6635" s="19" t="str">
        <f>IFERROR(__xludf.DUMMYFUNCTION("""COMPUTED_VALUE"""),"BLACK")</f>
        <v>BLACK</v>
      </c>
      <c r="G6635" s="20" t="str">
        <f>IFERROR(__xludf.DUMMYFUNCTION("""COMPUTED_VALUE"""),"Uncle Sams Cider (04/04/2023)")</f>
        <v>Uncle Sams Cider (04/04/2023)</v>
      </c>
      <c r="H6635" s="19"/>
    </row>
    <row r="6636">
      <c r="A6636" s="9"/>
      <c r="B6636" s="15"/>
      <c r="C6636" s="9">
        <f>IFERROR(__xludf.DUMMYFUNCTION("""COMPUTED_VALUE"""),45074.7230137731)</f>
        <v>45074.72301</v>
      </c>
      <c r="D6636" s="15">
        <f>IFERROR(__xludf.DUMMYFUNCTION("""COMPUTED_VALUE"""),1.01)</f>
        <v>1.01</v>
      </c>
      <c r="E6636" s="16">
        <f>IFERROR(__xludf.DUMMYFUNCTION("""COMPUTED_VALUE"""),66.0)</f>
        <v>66</v>
      </c>
      <c r="F6636" s="19" t="str">
        <f>IFERROR(__xludf.DUMMYFUNCTION("""COMPUTED_VALUE"""),"BLACK")</f>
        <v>BLACK</v>
      </c>
      <c r="G6636" s="20" t="str">
        <f>IFERROR(__xludf.DUMMYFUNCTION("""COMPUTED_VALUE"""),"Uncle Sams Cider (04/04/2023)")</f>
        <v>Uncle Sams Cider (04/04/2023)</v>
      </c>
      <c r="H6636" s="19"/>
    </row>
    <row r="6637">
      <c r="A6637" s="9"/>
      <c r="B6637" s="15"/>
      <c r="C6637" s="9">
        <f>IFERROR(__xludf.DUMMYFUNCTION("""COMPUTED_VALUE"""),45074.7125939351)</f>
        <v>45074.71259</v>
      </c>
      <c r="D6637" s="15">
        <f>IFERROR(__xludf.DUMMYFUNCTION("""COMPUTED_VALUE"""),1.01)</f>
        <v>1.01</v>
      </c>
      <c r="E6637" s="16">
        <f>IFERROR(__xludf.DUMMYFUNCTION("""COMPUTED_VALUE"""),66.0)</f>
        <v>66</v>
      </c>
      <c r="F6637" s="19" t="str">
        <f>IFERROR(__xludf.DUMMYFUNCTION("""COMPUTED_VALUE"""),"BLACK")</f>
        <v>BLACK</v>
      </c>
      <c r="G6637" s="20" t="str">
        <f>IFERROR(__xludf.DUMMYFUNCTION("""COMPUTED_VALUE"""),"Uncle Sams Cider (04/04/2023)")</f>
        <v>Uncle Sams Cider (04/04/2023)</v>
      </c>
      <c r="H6637" s="19"/>
    </row>
    <row r="6638">
      <c r="A6638" s="9"/>
      <c r="B6638" s="15"/>
      <c r="C6638" s="9">
        <f>IFERROR(__xludf.DUMMYFUNCTION("""COMPUTED_VALUE"""),45074.7021712268)</f>
        <v>45074.70217</v>
      </c>
      <c r="D6638" s="15">
        <f>IFERROR(__xludf.DUMMYFUNCTION("""COMPUTED_VALUE"""),1.01)</f>
        <v>1.01</v>
      </c>
      <c r="E6638" s="16">
        <f>IFERROR(__xludf.DUMMYFUNCTION("""COMPUTED_VALUE"""),66.0)</f>
        <v>66</v>
      </c>
      <c r="F6638" s="19" t="str">
        <f>IFERROR(__xludf.DUMMYFUNCTION("""COMPUTED_VALUE"""),"BLACK")</f>
        <v>BLACK</v>
      </c>
      <c r="G6638" s="20" t="str">
        <f>IFERROR(__xludf.DUMMYFUNCTION("""COMPUTED_VALUE"""),"Uncle Sams Cider (04/04/2023)")</f>
        <v>Uncle Sams Cider (04/04/2023)</v>
      </c>
      <c r="H6638" s="19"/>
    </row>
    <row r="6639">
      <c r="A6639" s="9"/>
      <c r="B6639" s="15"/>
      <c r="C6639" s="9">
        <f>IFERROR(__xludf.DUMMYFUNCTION("""COMPUTED_VALUE"""),45074.6917501273)</f>
        <v>45074.69175</v>
      </c>
      <c r="D6639" s="15">
        <f>IFERROR(__xludf.DUMMYFUNCTION("""COMPUTED_VALUE"""),1.01)</f>
        <v>1.01</v>
      </c>
      <c r="E6639" s="16">
        <f>IFERROR(__xludf.DUMMYFUNCTION("""COMPUTED_VALUE"""),66.0)</f>
        <v>66</v>
      </c>
      <c r="F6639" s="19" t="str">
        <f>IFERROR(__xludf.DUMMYFUNCTION("""COMPUTED_VALUE"""),"BLACK")</f>
        <v>BLACK</v>
      </c>
      <c r="G6639" s="20" t="str">
        <f>IFERROR(__xludf.DUMMYFUNCTION("""COMPUTED_VALUE"""),"Uncle Sams Cider (04/04/2023)")</f>
        <v>Uncle Sams Cider (04/04/2023)</v>
      </c>
      <c r="H6639" s="19"/>
    </row>
    <row r="6640">
      <c r="A6640" s="9"/>
      <c r="B6640" s="15"/>
      <c r="C6640" s="9">
        <f>IFERROR(__xludf.DUMMYFUNCTION("""COMPUTED_VALUE"""),45074.6813277083)</f>
        <v>45074.68133</v>
      </c>
      <c r="D6640" s="15">
        <f>IFERROR(__xludf.DUMMYFUNCTION("""COMPUTED_VALUE"""),1.01)</f>
        <v>1.01</v>
      </c>
      <c r="E6640" s="16">
        <f>IFERROR(__xludf.DUMMYFUNCTION("""COMPUTED_VALUE"""),66.0)</f>
        <v>66</v>
      </c>
      <c r="F6640" s="19" t="str">
        <f>IFERROR(__xludf.DUMMYFUNCTION("""COMPUTED_VALUE"""),"BLACK")</f>
        <v>BLACK</v>
      </c>
      <c r="G6640" s="20" t="str">
        <f>IFERROR(__xludf.DUMMYFUNCTION("""COMPUTED_VALUE"""),"Uncle Sams Cider (04/04/2023)")</f>
        <v>Uncle Sams Cider (04/04/2023)</v>
      </c>
      <c r="H6640" s="19"/>
    </row>
    <row r="6641">
      <c r="A6641" s="9"/>
      <c r="B6641" s="15"/>
      <c r="C6641" s="9">
        <f>IFERROR(__xludf.DUMMYFUNCTION("""COMPUTED_VALUE"""),45074.6709059606)</f>
        <v>45074.67091</v>
      </c>
      <c r="D6641" s="15">
        <f>IFERROR(__xludf.DUMMYFUNCTION("""COMPUTED_VALUE"""),1.01)</f>
        <v>1.01</v>
      </c>
      <c r="E6641" s="16">
        <f>IFERROR(__xludf.DUMMYFUNCTION("""COMPUTED_VALUE"""),66.0)</f>
        <v>66</v>
      </c>
      <c r="F6641" s="19" t="str">
        <f>IFERROR(__xludf.DUMMYFUNCTION("""COMPUTED_VALUE"""),"BLACK")</f>
        <v>BLACK</v>
      </c>
      <c r="G6641" s="20" t="str">
        <f>IFERROR(__xludf.DUMMYFUNCTION("""COMPUTED_VALUE"""),"Uncle Sams Cider (04/04/2023)")</f>
        <v>Uncle Sams Cider (04/04/2023)</v>
      </c>
      <c r="H6641" s="19"/>
    </row>
    <row r="6642">
      <c r="A6642" s="9"/>
      <c r="B6642" s="15"/>
      <c r="C6642" s="9">
        <f>IFERROR(__xludf.DUMMYFUNCTION("""COMPUTED_VALUE"""),45074.6604845254)</f>
        <v>45074.66048</v>
      </c>
      <c r="D6642" s="15">
        <f>IFERROR(__xludf.DUMMYFUNCTION("""COMPUTED_VALUE"""),1.01)</f>
        <v>1.01</v>
      </c>
      <c r="E6642" s="16">
        <f>IFERROR(__xludf.DUMMYFUNCTION("""COMPUTED_VALUE"""),66.0)</f>
        <v>66</v>
      </c>
      <c r="F6642" s="19" t="str">
        <f>IFERROR(__xludf.DUMMYFUNCTION("""COMPUTED_VALUE"""),"BLACK")</f>
        <v>BLACK</v>
      </c>
      <c r="G6642" s="20" t="str">
        <f>IFERROR(__xludf.DUMMYFUNCTION("""COMPUTED_VALUE"""),"Uncle Sams Cider (04/04/2023)")</f>
        <v>Uncle Sams Cider (04/04/2023)</v>
      </c>
      <c r="H6642" s="19"/>
    </row>
    <row r="6643">
      <c r="A6643" s="9"/>
      <c r="B6643" s="15"/>
      <c r="C6643" s="9">
        <f>IFERROR(__xludf.DUMMYFUNCTION("""COMPUTED_VALUE"""),45074.6500635185)</f>
        <v>45074.65006</v>
      </c>
      <c r="D6643" s="15">
        <f>IFERROR(__xludf.DUMMYFUNCTION("""COMPUTED_VALUE"""),1.01)</f>
        <v>1.01</v>
      </c>
      <c r="E6643" s="16">
        <f>IFERROR(__xludf.DUMMYFUNCTION("""COMPUTED_VALUE"""),66.0)</f>
        <v>66</v>
      </c>
      <c r="F6643" s="19" t="str">
        <f>IFERROR(__xludf.DUMMYFUNCTION("""COMPUTED_VALUE"""),"BLACK")</f>
        <v>BLACK</v>
      </c>
      <c r="G6643" s="20" t="str">
        <f>IFERROR(__xludf.DUMMYFUNCTION("""COMPUTED_VALUE"""),"Uncle Sams Cider (04/04/2023)")</f>
        <v>Uncle Sams Cider (04/04/2023)</v>
      </c>
      <c r="H6643" s="19"/>
    </row>
    <row r="6644">
      <c r="A6644" s="9"/>
      <c r="B6644" s="15"/>
      <c r="C6644" s="9">
        <f>IFERROR(__xludf.DUMMYFUNCTION("""COMPUTED_VALUE"""),45074.6396426157)</f>
        <v>45074.63964</v>
      </c>
      <c r="D6644" s="15">
        <f>IFERROR(__xludf.DUMMYFUNCTION("""COMPUTED_VALUE"""),1.01)</f>
        <v>1.01</v>
      </c>
      <c r="E6644" s="16">
        <f>IFERROR(__xludf.DUMMYFUNCTION("""COMPUTED_VALUE"""),66.0)</f>
        <v>66</v>
      </c>
      <c r="F6644" s="19" t="str">
        <f>IFERROR(__xludf.DUMMYFUNCTION("""COMPUTED_VALUE"""),"BLACK")</f>
        <v>BLACK</v>
      </c>
      <c r="G6644" s="20" t="str">
        <f>IFERROR(__xludf.DUMMYFUNCTION("""COMPUTED_VALUE"""),"Uncle Sams Cider (04/04/2023)")</f>
        <v>Uncle Sams Cider (04/04/2023)</v>
      </c>
      <c r="H6644" s="19"/>
    </row>
    <row r="6645">
      <c r="A6645" s="9"/>
      <c r="B6645" s="15"/>
      <c r="C6645" s="9">
        <f>IFERROR(__xludf.DUMMYFUNCTION("""COMPUTED_VALUE"""),45074.629222037)</f>
        <v>45074.62922</v>
      </c>
      <c r="D6645" s="15">
        <f>IFERROR(__xludf.DUMMYFUNCTION("""COMPUTED_VALUE"""),1.01)</f>
        <v>1.01</v>
      </c>
      <c r="E6645" s="16">
        <f>IFERROR(__xludf.DUMMYFUNCTION("""COMPUTED_VALUE"""),66.0)</f>
        <v>66</v>
      </c>
      <c r="F6645" s="19" t="str">
        <f>IFERROR(__xludf.DUMMYFUNCTION("""COMPUTED_VALUE"""),"BLACK")</f>
        <v>BLACK</v>
      </c>
      <c r="G6645" s="20" t="str">
        <f>IFERROR(__xludf.DUMMYFUNCTION("""COMPUTED_VALUE"""),"Uncle Sams Cider (04/04/2023)")</f>
        <v>Uncle Sams Cider (04/04/2023)</v>
      </c>
      <c r="H6645" s="19"/>
    </row>
    <row r="6646">
      <c r="A6646" s="9"/>
      <c r="B6646" s="15"/>
      <c r="C6646" s="9">
        <f>IFERROR(__xludf.DUMMYFUNCTION("""COMPUTED_VALUE"""),45074.6187997916)</f>
        <v>45074.6188</v>
      </c>
      <c r="D6646" s="15">
        <f>IFERROR(__xludf.DUMMYFUNCTION("""COMPUTED_VALUE"""),1.01)</f>
        <v>1.01</v>
      </c>
      <c r="E6646" s="16">
        <f>IFERROR(__xludf.DUMMYFUNCTION("""COMPUTED_VALUE"""),66.0)</f>
        <v>66</v>
      </c>
      <c r="F6646" s="19" t="str">
        <f>IFERROR(__xludf.DUMMYFUNCTION("""COMPUTED_VALUE"""),"BLACK")</f>
        <v>BLACK</v>
      </c>
      <c r="G6646" s="20" t="str">
        <f>IFERROR(__xludf.DUMMYFUNCTION("""COMPUTED_VALUE"""),"Uncle Sams Cider (04/04/2023)")</f>
        <v>Uncle Sams Cider (04/04/2023)</v>
      </c>
      <c r="H6646" s="19"/>
    </row>
    <row r="6647">
      <c r="A6647" s="9"/>
      <c r="B6647" s="15"/>
      <c r="C6647" s="9">
        <f>IFERROR(__xludf.DUMMYFUNCTION("""COMPUTED_VALUE"""),45074.6083782986)</f>
        <v>45074.60838</v>
      </c>
      <c r="D6647" s="15">
        <f>IFERROR(__xludf.DUMMYFUNCTION("""COMPUTED_VALUE"""),1.01)</f>
        <v>1.01</v>
      </c>
      <c r="E6647" s="16">
        <f>IFERROR(__xludf.DUMMYFUNCTION("""COMPUTED_VALUE"""),66.0)</f>
        <v>66</v>
      </c>
      <c r="F6647" s="19" t="str">
        <f>IFERROR(__xludf.DUMMYFUNCTION("""COMPUTED_VALUE"""),"BLACK")</f>
        <v>BLACK</v>
      </c>
      <c r="G6647" s="20" t="str">
        <f>IFERROR(__xludf.DUMMYFUNCTION("""COMPUTED_VALUE"""),"Uncle Sams Cider (04/04/2023)")</f>
        <v>Uncle Sams Cider (04/04/2023)</v>
      </c>
      <c r="H6647" s="19"/>
    </row>
    <row r="6648">
      <c r="A6648" s="9"/>
      <c r="B6648" s="15"/>
      <c r="C6648" s="9">
        <f>IFERROR(__xludf.DUMMYFUNCTION("""COMPUTED_VALUE"""),45074.5979575231)</f>
        <v>45074.59796</v>
      </c>
      <c r="D6648" s="15">
        <f>IFERROR(__xludf.DUMMYFUNCTION("""COMPUTED_VALUE"""),1.01)</f>
        <v>1.01</v>
      </c>
      <c r="E6648" s="16">
        <f>IFERROR(__xludf.DUMMYFUNCTION("""COMPUTED_VALUE"""),66.0)</f>
        <v>66</v>
      </c>
      <c r="F6648" s="19" t="str">
        <f>IFERROR(__xludf.DUMMYFUNCTION("""COMPUTED_VALUE"""),"BLACK")</f>
        <v>BLACK</v>
      </c>
      <c r="G6648" s="20" t="str">
        <f>IFERROR(__xludf.DUMMYFUNCTION("""COMPUTED_VALUE"""),"Uncle Sams Cider (04/04/2023)")</f>
        <v>Uncle Sams Cider (04/04/2023)</v>
      </c>
      <c r="H6648" s="19"/>
    </row>
    <row r="6649">
      <c r="A6649" s="9"/>
      <c r="B6649" s="15"/>
      <c r="C6649" s="9">
        <f>IFERROR(__xludf.DUMMYFUNCTION("""COMPUTED_VALUE"""),45074.5875354629)</f>
        <v>45074.58754</v>
      </c>
      <c r="D6649" s="15">
        <f>IFERROR(__xludf.DUMMYFUNCTION("""COMPUTED_VALUE"""),1.01)</f>
        <v>1.01</v>
      </c>
      <c r="E6649" s="16">
        <f>IFERROR(__xludf.DUMMYFUNCTION("""COMPUTED_VALUE"""),66.0)</f>
        <v>66</v>
      </c>
      <c r="F6649" s="19" t="str">
        <f>IFERROR(__xludf.DUMMYFUNCTION("""COMPUTED_VALUE"""),"BLACK")</f>
        <v>BLACK</v>
      </c>
      <c r="G6649" s="20" t="str">
        <f>IFERROR(__xludf.DUMMYFUNCTION("""COMPUTED_VALUE"""),"Uncle Sams Cider (04/04/2023)")</f>
        <v>Uncle Sams Cider (04/04/2023)</v>
      </c>
      <c r="H6649" s="19"/>
    </row>
    <row r="6650">
      <c r="A6650" s="9"/>
      <c r="B6650" s="15"/>
      <c r="C6650" s="9">
        <f>IFERROR(__xludf.DUMMYFUNCTION("""COMPUTED_VALUE"""),45074.577089699)</f>
        <v>45074.57709</v>
      </c>
      <c r="D6650" s="15">
        <f>IFERROR(__xludf.DUMMYFUNCTION("""COMPUTED_VALUE"""),1.01)</f>
        <v>1.01</v>
      </c>
      <c r="E6650" s="16">
        <f>IFERROR(__xludf.DUMMYFUNCTION("""COMPUTED_VALUE"""),66.0)</f>
        <v>66</v>
      </c>
      <c r="F6650" s="19" t="str">
        <f>IFERROR(__xludf.DUMMYFUNCTION("""COMPUTED_VALUE"""),"BLACK")</f>
        <v>BLACK</v>
      </c>
      <c r="G6650" s="20" t="str">
        <f>IFERROR(__xludf.DUMMYFUNCTION("""COMPUTED_VALUE"""),"Uncle Sams Cider (04/04/2023)")</f>
        <v>Uncle Sams Cider (04/04/2023)</v>
      </c>
      <c r="H6650" s="19"/>
    </row>
    <row r="6651">
      <c r="A6651" s="9"/>
      <c r="B6651" s="15"/>
      <c r="C6651" s="9">
        <f>IFERROR(__xludf.DUMMYFUNCTION("""COMPUTED_VALUE"""),45074.566667581)</f>
        <v>45074.56667</v>
      </c>
      <c r="D6651" s="15">
        <f>IFERROR(__xludf.DUMMYFUNCTION("""COMPUTED_VALUE"""),1.01)</f>
        <v>1.01</v>
      </c>
      <c r="E6651" s="16">
        <f>IFERROR(__xludf.DUMMYFUNCTION("""COMPUTED_VALUE"""),66.0)</f>
        <v>66</v>
      </c>
      <c r="F6651" s="19" t="str">
        <f>IFERROR(__xludf.DUMMYFUNCTION("""COMPUTED_VALUE"""),"BLACK")</f>
        <v>BLACK</v>
      </c>
      <c r="G6651" s="20" t="str">
        <f>IFERROR(__xludf.DUMMYFUNCTION("""COMPUTED_VALUE"""),"Uncle Sams Cider (04/04/2023)")</f>
        <v>Uncle Sams Cider (04/04/2023)</v>
      </c>
      <c r="H6651" s="19"/>
    </row>
    <row r="6652">
      <c r="A6652" s="9"/>
      <c r="B6652" s="15"/>
      <c r="C6652" s="9">
        <f>IFERROR(__xludf.DUMMYFUNCTION("""COMPUTED_VALUE"""),45074.5562469907)</f>
        <v>45074.55625</v>
      </c>
      <c r="D6652" s="15">
        <f>IFERROR(__xludf.DUMMYFUNCTION("""COMPUTED_VALUE"""),1.01)</f>
        <v>1.01</v>
      </c>
      <c r="E6652" s="16">
        <f>IFERROR(__xludf.DUMMYFUNCTION("""COMPUTED_VALUE"""),66.0)</f>
        <v>66</v>
      </c>
      <c r="F6652" s="19" t="str">
        <f>IFERROR(__xludf.DUMMYFUNCTION("""COMPUTED_VALUE"""),"BLACK")</f>
        <v>BLACK</v>
      </c>
      <c r="G6652" s="20" t="str">
        <f>IFERROR(__xludf.DUMMYFUNCTION("""COMPUTED_VALUE"""),"Uncle Sams Cider (04/04/2023)")</f>
        <v>Uncle Sams Cider (04/04/2023)</v>
      </c>
      <c r="H6652" s="19"/>
    </row>
    <row r="6653">
      <c r="A6653" s="9"/>
      <c r="B6653" s="15"/>
      <c r="C6653" s="9">
        <f>IFERROR(__xludf.DUMMYFUNCTION("""COMPUTED_VALUE"""),45074.545779618)</f>
        <v>45074.54578</v>
      </c>
      <c r="D6653" s="15">
        <f>IFERROR(__xludf.DUMMYFUNCTION("""COMPUTED_VALUE"""),1.01)</f>
        <v>1.01</v>
      </c>
      <c r="E6653" s="16">
        <f>IFERROR(__xludf.DUMMYFUNCTION("""COMPUTED_VALUE"""),66.0)</f>
        <v>66</v>
      </c>
      <c r="F6653" s="19" t="str">
        <f>IFERROR(__xludf.DUMMYFUNCTION("""COMPUTED_VALUE"""),"BLACK")</f>
        <v>BLACK</v>
      </c>
      <c r="G6653" s="20" t="str">
        <f>IFERROR(__xludf.DUMMYFUNCTION("""COMPUTED_VALUE"""),"Uncle Sams Cider (04/04/2023)")</f>
        <v>Uncle Sams Cider (04/04/2023)</v>
      </c>
      <c r="H6653" s="19"/>
    </row>
    <row r="6654">
      <c r="A6654" s="9"/>
      <c r="B6654" s="15"/>
      <c r="C6654" s="9">
        <f>IFERROR(__xludf.DUMMYFUNCTION("""COMPUTED_VALUE"""),45074.5353581365)</f>
        <v>45074.53536</v>
      </c>
      <c r="D6654" s="15">
        <f>IFERROR(__xludf.DUMMYFUNCTION("""COMPUTED_VALUE"""),1.01)</f>
        <v>1.01</v>
      </c>
      <c r="E6654" s="16">
        <f>IFERROR(__xludf.DUMMYFUNCTION("""COMPUTED_VALUE"""),66.0)</f>
        <v>66</v>
      </c>
      <c r="F6654" s="19" t="str">
        <f>IFERROR(__xludf.DUMMYFUNCTION("""COMPUTED_VALUE"""),"BLACK")</f>
        <v>BLACK</v>
      </c>
      <c r="G6654" s="20" t="str">
        <f>IFERROR(__xludf.DUMMYFUNCTION("""COMPUTED_VALUE"""),"Uncle Sams Cider (04/04/2023)")</f>
        <v>Uncle Sams Cider (04/04/2023)</v>
      </c>
      <c r="H6654" s="19"/>
    </row>
    <row r="6655">
      <c r="A6655" s="9"/>
      <c r="B6655" s="15"/>
      <c r="C6655" s="9">
        <f>IFERROR(__xludf.DUMMYFUNCTION("""COMPUTED_VALUE"""),45074.524934699)</f>
        <v>45074.52493</v>
      </c>
      <c r="D6655" s="15">
        <f>IFERROR(__xludf.DUMMYFUNCTION("""COMPUTED_VALUE"""),1.01)</f>
        <v>1.01</v>
      </c>
      <c r="E6655" s="16">
        <f>IFERROR(__xludf.DUMMYFUNCTION("""COMPUTED_VALUE"""),66.0)</f>
        <v>66</v>
      </c>
      <c r="F6655" s="19" t="str">
        <f>IFERROR(__xludf.DUMMYFUNCTION("""COMPUTED_VALUE"""),"BLACK")</f>
        <v>BLACK</v>
      </c>
      <c r="G6655" s="20" t="str">
        <f>IFERROR(__xludf.DUMMYFUNCTION("""COMPUTED_VALUE"""),"Uncle Sams Cider (04/04/2023)")</f>
        <v>Uncle Sams Cider (04/04/2023)</v>
      </c>
      <c r="H6655" s="19"/>
    </row>
    <row r="6656">
      <c r="A6656" s="9"/>
      <c r="B6656" s="15"/>
      <c r="C6656" s="9">
        <f>IFERROR(__xludf.DUMMYFUNCTION("""COMPUTED_VALUE"""),45074.5145139814)</f>
        <v>45074.51451</v>
      </c>
      <c r="D6656" s="15">
        <f>IFERROR(__xludf.DUMMYFUNCTION("""COMPUTED_VALUE"""),1.01)</f>
        <v>1.01</v>
      </c>
      <c r="E6656" s="16">
        <f>IFERROR(__xludf.DUMMYFUNCTION("""COMPUTED_VALUE"""),66.0)</f>
        <v>66</v>
      </c>
      <c r="F6656" s="19" t="str">
        <f>IFERROR(__xludf.DUMMYFUNCTION("""COMPUTED_VALUE"""),"BLACK")</f>
        <v>BLACK</v>
      </c>
      <c r="G6656" s="20" t="str">
        <f>IFERROR(__xludf.DUMMYFUNCTION("""COMPUTED_VALUE"""),"Uncle Sams Cider (04/04/2023)")</f>
        <v>Uncle Sams Cider (04/04/2023)</v>
      </c>
      <c r="H6656" s="19"/>
    </row>
    <row r="6657">
      <c r="A6657" s="9"/>
      <c r="B6657" s="15"/>
      <c r="C6657" s="9">
        <f>IFERROR(__xludf.DUMMYFUNCTION("""COMPUTED_VALUE"""),45074.5040799305)</f>
        <v>45074.50408</v>
      </c>
      <c r="D6657" s="15">
        <f>IFERROR(__xludf.DUMMYFUNCTION("""COMPUTED_VALUE"""),1.01)</f>
        <v>1.01</v>
      </c>
      <c r="E6657" s="16">
        <f>IFERROR(__xludf.DUMMYFUNCTION("""COMPUTED_VALUE"""),66.0)</f>
        <v>66</v>
      </c>
      <c r="F6657" s="19" t="str">
        <f>IFERROR(__xludf.DUMMYFUNCTION("""COMPUTED_VALUE"""),"BLACK")</f>
        <v>BLACK</v>
      </c>
      <c r="G6657" s="20" t="str">
        <f>IFERROR(__xludf.DUMMYFUNCTION("""COMPUTED_VALUE"""),"Uncle Sams Cider (04/04/2023)")</f>
        <v>Uncle Sams Cider (04/04/2023)</v>
      </c>
      <c r="H6657" s="19"/>
    </row>
    <row r="6658">
      <c r="A6658" s="9"/>
      <c r="B6658" s="15"/>
      <c r="C6658" s="9">
        <f>IFERROR(__xludf.DUMMYFUNCTION("""COMPUTED_VALUE"""),45074.4936575347)</f>
        <v>45074.49366</v>
      </c>
      <c r="D6658" s="15">
        <f>IFERROR(__xludf.DUMMYFUNCTION("""COMPUTED_VALUE"""),1.01)</f>
        <v>1.01</v>
      </c>
      <c r="E6658" s="16">
        <f>IFERROR(__xludf.DUMMYFUNCTION("""COMPUTED_VALUE"""),66.0)</f>
        <v>66</v>
      </c>
      <c r="F6658" s="19" t="str">
        <f>IFERROR(__xludf.DUMMYFUNCTION("""COMPUTED_VALUE"""),"BLACK")</f>
        <v>BLACK</v>
      </c>
      <c r="G6658" s="20" t="str">
        <f>IFERROR(__xludf.DUMMYFUNCTION("""COMPUTED_VALUE"""),"Uncle Sams Cider (04/04/2023)")</f>
        <v>Uncle Sams Cider (04/04/2023)</v>
      </c>
      <c r="H6658" s="19"/>
    </row>
    <row r="6659">
      <c r="A6659" s="9"/>
      <c r="B6659" s="15"/>
      <c r="C6659" s="9">
        <f>IFERROR(__xludf.DUMMYFUNCTION("""COMPUTED_VALUE"""),45074.4832368634)</f>
        <v>45074.48324</v>
      </c>
      <c r="D6659" s="15">
        <f>IFERROR(__xludf.DUMMYFUNCTION("""COMPUTED_VALUE"""),1.01)</f>
        <v>1.01</v>
      </c>
      <c r="E6659" s="16">
        <f>IFERROR(__xludf.DUMMYFUNCTION("""COMPUTED_VALUE"""),66.0)</f>
        <v>66</v>
      </c>
      <c r="F6659" s="19" t="str">
        <f>IFERROR(__xludf.DUMMYFUNCTION("""COMPUTED_VALUE"""),"BLACK")</f>
        <v>BLACK</v>
      </c>
      <c r="G6659" s="20" t="str">
        <f>IFERROR(__xludf.DUMMYFUNCTION("""COMPUTED_VALUE"""),"Uncle Sams Cider (04/04/2023)")</f>
        <v>Uncle Sams Cider (04/04/2023)</v>
      </c>
      <c r="H6659" s="19"/>
    </row>
    <row r="6660">
      <c r="A6660" s="9"/>
      <c r="B6660" s="15"/>
      <c r="C6660" s="9">
        <f>IFERROR(__xludf.DUMMYFUNCTION("""COMPUTED_VALUE"""),45074.4728140856)</f>
        <v>45074.47281</v>
      </c>
      <c r="D6660" s="15">
        <f>IFERROR(__xludf.DUMMYFUNCTION("""COMPUTED_VALUE"""),1.01)</f>
        <v>1.01</v>
      </c>
      <c r="E6660" s="16">
        <f>IFERROR(__xludf.DUMMYFUNCTION("""COMPUTED_VALUE"""),66.0)</f>
        <v>66</v>
      </c>
      <c r="F6660" s="19" t="str">
        <f>IFERROR(__xludf.DUMMYFUNCTION("""COMPUTED_VALUE"""),"BLACK")</f>
        <v>BLACK</v>
      </c>
      <c r="G6660" s="20" t="str">
        <f>IFERROR(__xludf.DUMMYFUNCTION("""COMPUTED_VALUE"""),"Uncle Sams Cider (04/04/2023)")</f>
        <v>Uncle Sams Cider (04/04/2023)</v>
      </c>
      <c r="H6660" s="19"/>
    </row>
    <row r="6661">
      <c r="A6661" s="9"/>
      <c r="B6661" s="15"/>
      <c r="C6661" s="9">
        <f>IFERROR(__xludf.DUMMYFUNCTION("""COMPUTED_VALUE"""),45074.4623817129)</f>
        <v>45074.46238</v>
      </c>
      <c r="D6661" s="15">
        <f>IFERROR(__xludf.DUMMYFUNCTION("""COMPUTED_VALUE"""),1.01)</f>
        <v>1.01</v>
      </c>
      <c r="E6661" s="16">
        <f>IFERROR(__xludf.DUMMYFUNCTION("""COMPUTED_VALUE"""),66.0)</f>
        <v>66</v>
      </c>
      <c r="F6661" s="19" t="str">
        <f>IFERROR(__xludf.DUMMYFUNCTION("""COMPUTED_VALUE"""),"BLACK")</f>
        <v>BLACK</v>
      </c>
      <c r="G6661" s="20" t="str">
        <f>IFERROR(__xludf.DUMMYFUNCTION("""COMPUTED_VALUE"""),"Uncle Sams Cider (04/04/2023)")</f>
        <v>Uncle Sams Cider (04/04/2023)</v>
      </c>
      <c r="H6661" s="19"/>
    </row>
    <row r="6662">
      <c r="A6662" s="9"/>
      <c r="B6662" s="15"/>
      <c r="C6662" s="9">
        <f>IFERROR(__xludf.DUMMYFUNCTION("""COMPUTED_VALUE"""),45074.4519374421)</f>
        <v>45074.45194</v>
      </c>
      <c r="D6662" s="15">
        <f>IFERROR(__xludf.DUMMYFUNCTION("""COMPUTED_VALUE"""),1.01)</f>
        <v>1.01</v>
      </c>
      <c r="E6662" s="16">
        <f>IFERROR(__xludf.DUMMYFUNCTION("""COMPUTED_VALUE"""),66.0)</f>
        <v>66</v>
      </c>
      <c r="F6662" s="19" t="str">
        <f>IFERROR(__xludf.DUMMYFUNCTION("""COMPUTED_VALUE"""),"BLACK")</f>
        <v>BLACK</v>
      </c>
      <c r="G6662" s="20" t="str">
        <f>IFERROR(__xludf.DUMMYFUNCTION("""COMPUTED_VALUE"""),"Uncle Sams Cider (04/04/2023)")</f>
        <v>Uncle Sams Cider (04/04/2023)</v>
      </c>
      <c r="H6662" s="19"/>
    </row>
    <row r="6663">
      <c r="A6663" s="9"/>
      <c r="B6663" s="15"/>
      <c r="C6663" s="9">
        <f>IFERROR(__xludf.DUMMYFUNCTION("""COMPUTED_VALUE"""),45074.44151625)</f>
        <v>45074.44152</v>
      </c>
      <c r="D6663" s="15">
        <f>IFERROR(__xludf.DUMMYFUNCTION("""COMPUTED_VALUE"""),1.01)</f>
        <v>1.01</v>
      </c>
      <c r="E6663" s="16">
        <f>IFERROR(__xludf.DUMMYFUNCTION("""COMPUTED_VALUE"""),66.0)</f>
        <v>66</v>
      </c>
      <c r="F6663" s="19" t="str">
        <f>IFERROR(__xludf.DUMMYFUNCTION("""COMPUTED_VALUE"""),"BLACK")</f>
        <v>BLACK</v>
      </c>
      <c r="G6663" s="20" t="str">
        <f>IFERROR(__xludf.DUMMYFUNCTION("""COMPUTED_VALUE"""),"Uncle Sams Cider (04/04/2023)")</f>
        <v>Uncle Sams Cider (04/04/2023)</v>
      </c>
      <c r="H6663" s="19"/>
    </row>
    <row r="6664">
      <c r="A6664" s="9"/>
      <c r="B6664" s="15"/>
      <c r="C6664" s="9">
        <f>IFERROR(__xludf.DUMMYFUNCTION("""COMPUTED_VALUE"""),45074.4310952546)</f>
        <v>45074.4311</v>
      </c>
      <c r="D6664" s="15">
        <f>IFERROR(__xludf.DUMMYFUNCTION("""COMPUTED_VALUE"""),1.01)</f>
        <v>1.01</v>
      </c>
      <c r="E6664" s="16">
        <f>IFERROR(__xludf.DUMMYFUNCTION("""COMPUTED_VALUE"""),66.0)</f>
        <v>66</v>
      </c>
      <c r="F6664" s="19" t="str">
        <f>IFERROR(__xludf.DUMMYFUNCTION("""COMPUTED_VALUE"""),"BLACK")</f>
        <v>BLACK</v>
      </c>
      <c r="G6664" s="20" t="str">
        <f>IFERROR(__xludf.DUMMYFUNCTION("""COMPUTED_VALUE"""),"Uncle Sams Cider (04/04/2023)")</f>
        <v>Uncle Sams Cider (04/04/2023)</v>
      </c>
      <c r="H6664" s="19"/>
    </row>
    <row r="6665">
      <c r="A6665" s="9"/>
      <c r="B6665" s="15"/>
      <c r="C6665" s="9">
        <f>IFERROR(__xludf.DUMMYFUNCTION("""COMPUTED_VALUE"""),45074.4206635416)</f>
        <v>45074.42066</v>
      </c>
      <c r="D6665" s="15">
        <f>IFERROR(__xludf.DUMMYFUNCTION("""COMPUTED_VALUE"""),1.01)</f>
        <v>1.01</v>
      </c>
      <c r="E6665" s="16">
        <f>IFERROR(__xludf.DUMMYFUNCTION("""COMPUTED_VALUE"""),66.0)</f>
        <v>66</v>
      </c>
      <c r="F6665" s="19" t="str">
        <f>IFERROR(__xludf.DUMMYFUNCTION("""COMPUTED_VALUE"""),"BLACK")</f>
        <v>BLACK</v>
      </c>
      <c r="G6665" s="20" t="str">
        <f>IFERROR(__xludf.DUMMYFUNCTION("""COMPUTED_VALUE"""),"Uncle Sams Cider (04/04/2023)")</f>
        <v>Uncle Sams Cider (04/04/2023)</v>
      </c>
      <c r="H6665" s="19"/>
    </row>
    <row r="6666">
      <c r="A6666" s="9"/>
      <c r="B6666" s="15"/>
      <c r="C6666" s="9">
        <f>IFERROR(__xludf.DUMMYFUNCTION("""COMPUTED_VALUE"""),45074.4102182754)</f>
        <v>45074.41022</v>
      </c>
      <c r="D6666" s="15">
        <f>IFERROR(__xludf.DUMMYFUNCTION("""COMPUTED_VALUE"""),1.01)</f>
        <v>1.01</v>
      </c>
      <c r="E6666" s="16">
        <f>IFERROR(__xludf.DUMMYFUNCTION("""COMPUTED_VALUE"""),66.0)</f>
        <v>66</v>
      </c>
      <c r="F6666" s="19" t="str">
        <f>IFERROR(__xludf.DUMMYFUNCTION("""COMPUTED_VALUE"""),"BLACK")</f>
        <v>BLACK</v>
      </c>
      <c r="G6666" s="20" t="str">
        <f>IFERROR(__xludf.DUMMYFUNCTION("""COMPUTED_VALUE"""),"Uncle Sams Cider (04/04/2023)")</f>
        <v>Uncle Sams Cider (04/04/2023)</v>
      </c>
      <c r="H6666" s="19"/>
    </row>
    <row r="6667">
      <c r="A6667" s="9"/>
      <c r="B6667" s="15"/>
      <c r="C6667" s="9">
        <f>IFERROR(__xludf.DUMMYFUNCTION("""COMPUTED_VALUE"""),45074.3997952083)</f>
        <v>45074.3998</v>
      </c>
      <c r="D6667" s="15">
        <f>IFERROR(__xludf.DUMMYFUNCTION("""COMPUTED_VALUE"""),1.01)</f>
        <v>1.01</v>
      </c>
      <c r="E6667" s="16">
        <f>IFERROR(__xludf.DUMMYFUNCTION("""COMPUTED_VALUE"""),66.0)</f>
        <v>66</v>
      </c>
      <c r="F6667" s="19" t="str">
        <f>IFERROR(__xludf.DUMMYFUNCTION("""COMPUTED_VALUE"""),"BLACK")</f>
        <v>BLACK</v>
      </c>
      <c r="G6667" s="20" t="str">
        <f>IFERROR(__xludf.DUMMYFUNCTION("""COMPUTED_VALUE"""),"Uncle Sams Cider (04/04/2023)")</f>
        <v>Uncle Sams Cider (04/04/2023)</v>
      </c>
      <c r="H6667" s="19"/>
    </row>
    <row r="6668">
      <c r="A6668" s="9"/>
      <c r="B6668" s="15"/>
      <c r="C6668" s="9">
        <f>IFERROR(__xludf.DUMMYFUNCTION("""COMPUTED_VALUE"""),45074.3893736805)</f>
        <v>45074.38937</v>
      </c>
      <c r="D6668" s="15">
        <f>IFERROR(__xludf.DUMMYFUNCTION("""COMPUTED_VALUE"""),1.01)</f>
        <v>1.01</v>
      </c>
      <c r="E6668" s="16">
        <f>IFERROR(__xludf.DUMMYFUNCTION("""COMPUTED_VALUE"""),66.0)</f>
        <v>66</v>
      </c>
      <c r="F6668" s="19" t="str">
        <f>IFERROR(__xludf.DUMMYFUNCTION("""COMPUTED_VALUE"""),"BLACK")</f>
        <v>BLACK</v>
      </c>
      <c r="G6668" s="20" t="str">
        <f>IFERROR(__xludf.DUMMYFUNCTION("""COMPUTED_VALUE"""),"Uncle Sams Cider (04/04/2023)")</f>
        <v>Uncle Sams Cider (04/04/2023)</v>
      </c>
      <c r="H6668" s="19"/>
    </row>
    <row r="6669">
      <c r="A6669" s="9"/>
      <c r="B6669" s="15"/>
      <c r="C6669" s="9">
        <f>IFERROR(__xludf.DUMMYFUNCTION("""COMPUTED_VALUE"""),45074.3789535185)</f>
        <v>45074.37895</v>
      </c>
      <c r="D6669" s="15">
        <f>IFERROR(__xludf.DUMMYFUNCTION("""COMPUTED_VALUE"""),1.01)</f>
        <v>1.01</v>
      </c>
      <c r="E6669" s="16">
        <f>IFERROR(__xludf.DUMMYFUNCTION("""COMPUTED_VALUE"""),66.0)</f>
        <v>66</v>
      </c>
      <c r="F6669" s="19" t="str">
        <f>IFERROR(__xludf.DUMMYFUNCTION("""COMPUTED_VALUE"""),"BLACK")</f>
        <v>BLACK</v>
      </c>
      <c r="G6669" s="20" t="str">
        <f>IFERROR(__xludf.DUMMYFUNCTION("""COMPUTED_VALUE"""),"Uncle Sams Cider (04/04/2023)")</f>
        <v>Uncle Sams Cider (04/04/2023)</v>
      </c>
      <c r="H6669" s="19"/>
    </row>
    <row r="6670">
      <c r="A6670" s="9"/>
      <c r="B6670" s="15"/>
      <c r="C6670" s="9">
        <f>IFERROR(__xludf.DUMMYFUNCTION("""COMPUTED_VALUE"""),45074.3685320833)</f>
        <v>45074.36853</v>
      </c>
      <c r="D6670" s="15">
        <f>IFERROR(__xludf.DUMMYFUNCTION("""COMPUTED_VALUE"""),1.01)</f>
        <v>1.01</v>
      </c>
      <c r="E6670" s="16">
        <f>IFERROR(__xludf.DUMMYFUNCTION("""COMPUTED_VALUE"""),66.0)</f>
        <v>66</v>
      </c>
      <c r="F6670" s="19" t="str">
        <f>IFERROR(__xludf.DUMMYFUNCTION("""COMPUTED_VALUE"""),"BLACK")</f>
        <v>BLACK</v>
      </c>
      <c r="G6670" s="20" t="str">
        <f>IFERROR(__xludf.DUMMYFUNCTION("""COMPUTED_VALUE"""),"Uncle Sams Cider (04/04/2023)")</f>
        <v>Uncle Sams Cider (04/04/2023)</v>
      </c>
      <c r="H6670" s="19"/>
    </row>
    <row r="6671">
      <c r="A6671" s="9"/>
      <c r="B6671" s="15"/>
      <c r="C6671" s="9">
        <f>IFERROR(__xludf.DUMMYFUNCTION("""COMPUTED_VALUE"""),45074.3580993287)</f>
        <v>45074.3581</v>
      </c>
      <c r="D6671" s="15">
        <f>IFERROR(__xludf.DUMMYFUNCTION("""COMPUTED_VALUE"""),1.01)</f>
        <v>1.01</v>
      </c>
      <c r="E6671" s="16">
        <f>IFERROR(__xludf.DUMMYFUNCTION("""COMPUTED_VALUE"""),66.0)</f>
        <v>66</v>
      </c>
      <c r="F6671" s="19" t="str">
        <f>IFERROR(__xludf.DUMMYFUNCTION("""COMPUTED_VALUE"""),"BLACK")</f>
        <v>BLACK</v>
      </c>
      <c r="G6671" s="20" t="str">
        <f>IFERROR(__xludf.DUMMYFUNCTION("""COMPUTED_VALUE"""),"Uncle Sams Cider (04/04/2023)")</f>
        <v>Uncle Sams Cider (04/04/2023)</v>
      </c>
      <c r="H6671" s="19"/>
    </row>
    <row r="6672">
      <c r="A6672" s="9"/>
      <c r="B6672" s="15"/>
      <c r="C6672" s="9">
        <f>IFERROR(__xludf.DUMMYFUNCTION("""COMPUTED_VALUE"""),45074.347677743)</f>
        <v>45074.34768</v>
      </c>
      <c r="D6672" s="15">
        <f>IFERROR(__xludf.DUMMYFUNCTION("""COMPUTED_VALUE"""),1.01)</f>
        <v>1.01</v>
      </c>
      <c r="E6672" s="16">
        <f>IFERROR(__xludf.DUMMYFUNCTION("""COMPUTED_VALUE"""),66.0)</f>
        <v>66</v>
      </c>
      <c r="F6672" s="19" t="str">
        <f>IFERROR(__xludf.DUMMYFUNCTION("""COMPUTED_VALUE"""),"BLACK")</f>
        <v>BLACK</v>
      </c>
      <c r="G6672" s="20" t="str">
        <f>IFERROR(__xludf.DUMMYFUNCTION("""COMPUTED_VALUE"""),"Uncle Sams Cider (04/04/2023)")</f>
        <v>Uncle Sams Cider (04/04/2023)</v>
      </c>
      <c r="H6672" s="19"/>
    </row>
    <row r="6673">
      <c r="A6673" s="9"/>
      <c r="B6673" s="15"/>
      <c r="C6673" s="9">
        <f>IFERROR(__xludf.DUMMYFUNCTION("""COMPUTED_VALUE"""),45074.3372461689)</f>
        <v>45074.33725</v>
      </c>
      <c r="D6673" s="15">
        <f>IFERROR(__xludf.DUMMYFUNCTION("""COMPUTED_VALUE"""),1.01)</f>
        <v>1.01</v>
      </c>
      <c r="E6673" s="16">
        <f>IFERROR(__xludf.DUMMYFUNCTION("""COMPUTED_VALUE"""),66.0)</f>
        <v>66</v>
      </c>
      <c r="F6673" s="19" t="str">
        <f>IFERROR(__xludf.DUMMYFUNCTION("""COMPUTED_VALUE"""),"BLACK")</f>
        <v>BLACK</v>
      </c>
      <c r="G6673" s="20" t="str">
        <f>IFERROR(__xludf.DUMMYFUNCTION("""COMPUTED_VALUE"""),"Uncle Sams Cider (04/04/2023)")</f>
        <v>Uncle Sams Cider (04/04/2023)</v>
      </c>
      <c r="H6673" s="19"/>
    </row>
    <row r="6674">
      <c r="A6674" s="9"/>
      <c r="B6674" s="15"/>
      <c r="C6674" s="9">
        <f>IFERROR(__xludf.DUMMYFUNCTION("""COMPUTED_VALUE"""),45074.3164045949)</f>
        <v>45074.3164</v>
      </c>
      <c r="D6674" s="15">
        <f>IFERROR(__xludf.DUMMYFUNCTION("""COMPUTED_VALUE"""),1.01)</f>
        <v>1.01</v>
      </c>
      <c r="E6674" s="16">
        <f>IFERROR(__xludf.DUMMYFUNCTION("""COMPUTED_VALUE"""),66.0)</f>
        <v>66</v>
      </c>
      <c r="F6674" s="19" t="str">
        <f>IFERROR(__xludf.DUMMYFUNCTION("""COMPUTED_VALUE"""),"BLACK")</f>
        <v>BLACK</v>
      </c>
      <c r="G6674" s="20" t="str">
        <f>IFERROR(__xludf.DUMMYFUNCTION("""COMPUTED_VALUE"""),"Uncle Sams Cider (04/04/2023)")</f>
        <v>Uncle Sams Cider (04/04/2023)</v>
      </c>
      <c r="H6674" s="19"/>
    </row>
    <row r="6675">
      <c r="A6675" s="9"/>
      <c r="B6675" s="15"/>
      <c r="C6675" s="9">
        <f>IFERROR(__xludf.DUMMYFUNCTION("""COMPUTED_VALUE"""),45074.30598375)</f>
        <v>45074.30598</v>
      </c>
      <c r="D6675" s="15">
        <f>IFERROR(__xludf.DUMMYFUNCTION("""COMPUTED_VALUE"""),1.01)</f>
        <v>1.01</v>
      </c>
      <c r="E6675" s="16">
        <f>IFERROR(__xludf.DUMMYFUNCTION("""COMPUTED_VALUE"""),66.0)</f>
        <v>66</v>
      </c>
      <c r="F6675" s="19" t="str">
        <f>IFERROR(__xludf.DUMMYFUNCTION("""COMPUTED_VALUE"""),"BLACK")</f>
        <v>BLACK</v>
      </c>
      <c r="G6675" s="20" t="str">
        <f>IFERROR(__xludf.DUMMYFUNCTION("""COMPUTED_VALUE"""),"Uncle Sams Cider (04/04/2023)")</f>
        <v>Uncle Sams Cider (04/04/2023)</v>
      </c>
      <c r="H6675" s="19"/>
    </row>
    <row r="6676">
      <c r="A6676" s="9"/>
      <c r="B6676" s="15"/>
      <c r="C6676" s="9">
        <f>IFERROR(__xludf.DUMMYFUNCTION("""COMPUTED_VALUE"""),45074.2955398842)</f>
        <v>45074.29554</v>
      </c>
      <c r="D6676" s="15">
        <f>IFERROR(__xludf.DUMMYFUNCTION("""COMPUTED_VALUE"""),1.01)</f>
        <v>1.01</v>
      </c>
      <c r="E6676" s="16">
        <f>IFERROR(__xludf.DUMMYFUNCTION("""COMPUTED_VALUE"""),66.0)</f>
        <v>66</v>
      </c>
      <c r="F6676" s="19" t="str">
        <f>IFERROR(__xludf.DUMMYFUNCTION("""COMPUTED_VALUE"""),"BLACK")</f>
        <v>BLACK</v>
      </c>
      <c r="G6676" s="20" t="str">
        <f>IFERROR(__xludf.DUMMYFUNCTION("""COMPUTED_VALUE"""),"Uncle Sams Cider (04/04/2023)")</f>
        <v>Uncle Sams Cider (04/04/2023)</v>
      </c>
      <c r="H6676" s="19"/>
    </row>
    <row r="6677">
      <c r="A6677" s="9"/>
      <c r="B6677" s="15"/>
      <c r="C6677" s="9">
        <f>IFERROR(__xludf.DUMMYFUNCTION("""COMPUTED_VALUE"""),45074.2851188773)</f>
        <v>45074.28512</v>
      </c>
      <c r="D6677" s="15">
        <f>IFERROR(__xludf.DUMMYFUNCTION("""COMPUTED_VALUE"""),1.01)</f>
        <v>1.01</v>
      </c>
      <c r="E6677" s="16">
        <f>IFERROR(__xludf.DUMMYFUNCTION("""COMPUTED_VALUE"""),66.0)</f>
        <v>66</v>
      </c>
      <c r="F6677" s="19" t="str">
        <f>IFERROR(__xludf.DUMMYFUNCTION("""COMPUTED_VALUE"""),"BLACK")</f>
        <v>BLACK</v>
      </c>
      <c r="G6677" s="20" t="str">
        <f>IFERROR(__xludf.DUMMYFUNCTION("""COMPUTED_VALUE"""),"Uncle Sams Cider (04/04/2023)")</f>
        <v>Uncle Sams Cider (04/04/2023)</v>
      </c>
      <c r="H6677" s="19"/>
    </row>
    <row r="6678">
      <c r="A6678" s="9"/>
      <c r="B6678" s="15"/>
      <c r="C6678" s="9">
        <f>IFERROR(__xludf.DUMMYFUNCTION("""COMPUTED_VALUE"""),45074.2746975115)</f>
        <v>45074.2747</v>
      </c>
      <c r="D6678" s="15">
        <f>IFERROR(__xludf.DUMMYFUNCTION("""COMPUTED_VALUE"""),1.01)</f>
        <v>1.01</v>
      </c>
      <c r="E6678" s="16">
        <f>IFERROR(__xludf.DUMMYFUNCTION("""COMPUTED_VALUE"""),66.0)</f>
        <v>66</v>
      </c>
      <c r="F6678" s="19" t="str">
        <f>IFERROR(__xludf.DUMMYFUNCTION("""COMPUTED_VALUE"""),"BLACK")</f>
        <v>BLACK</v>
      </c>
      <c r="G6678" s="20" t="str">
        <f>IFERROR(__xludf.DUMMYFUNCTION("""COMPUTED_VALUE"""),"Uncle Sams Cider (04/04/2023)")</f>
        <v>Uncle Sams Cider (04/04/2023)</v>
      </c>
      <c r="H6678" s="19"/>
    </row>
    <row r="6679">
      <c r="A6679" s="9"/>
      <c r="B6679" s="15"/>
      <c r="C6679" s="9">
        <f>IFERROR(__xludf.DUMMYFUNCTION("""COMPUTED_VALUE"""),45074.2642764583)</f>
        <v>45074.26428</v>
      </c>
      <c r="D6679"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     <f>IFERROR(__xludf.DUMMYFUNCTION("""COMPUTED_VALUE"""),"BLACK")</f>
        <v>BLACK</v>
      </c>
      <c r="G6679" s="20" t="str">
        <f>IFERROR(__xludf.DUMMYFUNCTION("""COMPUTED_VALUE"""),"Uncle Sams Cider (04/04/2023)")</f>
        <v>Uncle Sams Cider (04/04/2023)</v>
      </c>
      <c r="H6679" s="19"/>
    </row>
    <row r="6680">
      <c r="A6680" s="9"/>
      <c r="B6680" s="15"/>
      <c r="C6680" s="9">
        <f>IFERROR(__xludf.DUMMYFUNCTION("""COMPUTED_VALUE"""),45074.2538544907)</f>
        <v>45074.25385</v>
      </c>
      <c r="D6680" s="15">
        <f>IFERROR(__xludf.DUMMYFUNCTION("""COMPUTED_VALUE"""),1.011)</f>
        <v>1.011</v>
      </c>
      <c r="E6680" s="16">
        <f>IFERROR(__xludf.DUMMYFUNCTION("""COMPUTED_VALUE"""),66.0)</f>
        <v>66</v>
      </c>
      <c r="F6680" s="19" t="str">
        <f>IFERROR(__xludf.DUMMYFUNCTION("""COMPUTED_VALUE"""),"BLACK")</f>
        <v>BLACK</v>
      </c>
      <c r="G6680" s="20" t="str">
        <f>IFERROR(__xludf.DUMMYFUNCTION("""COMPUTED_VALUE"""),"Uncle Sams Cider (04/04/2023)")</f>
        <v>Uncle Sams Cider (04/04/2023)</v>
      </c>
      <c r="H6680" s="19"/>
    </row>
    <row r="6681">
      <c r="A6681" s="9"/>
      <c r="B6681" s="15"/>
      <c r="C6681" s="9">
        <f>IFERROR(__xludf.DUMMYFUNCTION("""COMPUTED_VALUE"""),45074.2434209375)</f>
        <v>45074.24342</v>
      </c>
      <c r="D6681" s="15">
        <f>IFERROR(__xludf.DUMMYFUNCTION("""COMPUTED_VALUE"""),1.01)</f>
        <v>1.01</v>
      </c>
      <c r="E6681" s="16">
        <f>IFERROR(__xludf.DUMMYFUNCTION("""COMPUTED_VALUE"""),66.0)</f>
        <v>66</v>
      </c>
      <c r="F6681" s="19" t="str">
        <f>IFERROR(__xludf.DUMMYFUNCTION("""COMPUTED_VALUE"""),"BLACK")</f>
        <v>BLACK</v>
      </c>
      <c r="G6681" s="20" t="str">
        <f>IFERROR(__xludf.DUMMYFUNCTION("""COMPUTED_VALUE"""),"Uncle Sams Cider (04/04/2023)")</f>
        <v>Uncle Sams Cider (04/04/2023)</v>
      </c>
      <c r="H6681" s="19"/>
    </row>
    <row r="6682">
      <c r="A6682" s="9"/>
      <c r="B6682" s="15"/>
      <c r="C6682" s="9">
        <f>IFERROR(__xludf.DUMMYFUNCTION("""COMPUTED_VALUE"""),45074.2329977893)</f>
        <v>45074.233</v>
      </c>
      <c r="D6682" s="15">
        <f>IFERROR(__xludf.DUMMYFUNCTION("""COMPUTED_VALUE"""),1.01)</f>
        <v>1.01</v>
      </c>
      <c r="E6682" s="16">
        <f>IFERROR(__xludf.DUMMYFUNCTION("""COMPUTED_VALUE"""),66.0)</f>
        <v>66</v>
      </c>
      <c r="F6682" s="19" t="str">
        <f>IFERROR(__xludf.DUMMYFUNCTION("""COMPUTED_VALUE"""),"BLACK")</f>
        <v>BLACK</v>
      </c>
      <c r="G6682" s="20" t="str">
        <f>IFERROR(__xludf.DUMMYFUNCTION("""COMPUTED_VALUE"""),"Uncle Sams Cider (04/04/2023)")</f>
        <v>Uncle Sams Cider (04/04/2023)</v>
      </c>
      <c r="H6682" s="19"/>
    </row>
    <row r="6683">
      <c r="A6683" s="9"/>
      <c r="B6683" s="15"/>
      <c r="C6683" s="9">
        <f>IFERROR(__xludf.DUMMYFUNCTION("""COMPUTED_VALUE"""),45074.2225760879)</f>
        <v>45074.22258</v>
      </c>
      <c r="D6683" s="15">
        <f>IFERROR(__xludf.DUMMYFUNCTION("""COMPUTED_VALUE"""),1.01)</f>
        <v>1.01</v>
      </c>
      <c r="E6683" s="16">
        <f>IFERROR(__xludf.DUMMYFUNCTION("""COMPUTED_VALUE"""),66.0)</f>
        <v>66</v>
      </c>
      <c r="F6683" s="19" t="str">
        <f>IFERROR(__xludf.DUMMYFUNCTION("""COMPUTED_VALUE"""),"BLACK")</f>
        <v>BLACK</v>
      </c>
      <c r="G6683" s="20" t="str">
        <f>IFERROR(__xludf.DUMMYFUNCTION("""COMPUTED_VALUE"""),"Uncle Sams Cider (04/04/2023)")</f>
        <v>Uncle Sams Cider (04/04/2023)</v>
      </c>
      <c r="H6683" s="19"/>
    </row>
    <row r="6684">
      <c r="A6684" s="9"/>
      <c r="B6684" s="15"/>
      <c r="C6684" s="9">
        <f>IFERROR(__xludf.DUMMYFUNCTION("""COMPUTED_VALUE"""),45074.2121439467)</f>
        <v>45074.21214</v>
      </c>
      <c r="D6684" s="15">
        <f>IFERROR(__xludf.DUMMYFUNCTION("""COMPUTED_VALUE"""),1.01)</f>
        <v>1.01</v>
      </c>
      <c r="E6684" s="16">
        <f>IFERROR(__xludf.DUMMYFUNCTION("""COMPUTED_VALUE"""),66.0)</f>
        <v>66</v>
      </c>
      <c r="F6684" s="19" t="str">
        <f>IFERROR(__xludf.DUMMYFUNCTION("""COMPUTED_VALUE"""),"BLACK")</f>
        <v>BLACK</v>
      </c>
      <c r="G6684" s="20" t="str">
        <f>IFERROR(__xludf.DUMMYFUNCTION("""COMPUTED_VALUE"""),"Uncle Sams Cider (04/04/2023)")</f>
        <v>Uncle Sams Cider (04/04/2023)</v>
      </c>
      <c r="H6684" s="19"/>
    </row>
    <row r="6685">
      <c r="A6685" s="9"/>
      <c r="B6685" s="15"/>
      <c r="C6685" s="9">
        <f>IFERROR(__xludf.DUMMYFUNCTION("""COMPUTED_VALUE"""),45074.2016874652)</f>
        <v>45074.20169</v>
      </c>
      <c r="D6685" s="15">
        <f>IFERROR(__xludf.DUMMYFUNCTION("""COMPUTED_VALUE"""),1.011)</f>
        <v>1.011</v>
      </c>
      <c r="E6685" s="16">
        <f>IFERROR(__xludf.DUMMYFUNCTION("""COMPUTED_VALUE"""),66.0)</f>
        <v>66</v>
      </c>
      <c r="F6685" s="19" t="str">
        <f>IFERROR(__xludf.DUMMYFUNCTION("""COMPUTED_VALUE"""),"BLACK")</f>
        <v>BLACK</v>
      </c>
      <c r="G6685" s="20" t="str">
        <f>IFERROR(__xludf.DUMMYFUNCTION("""COMPUTED_VALUE"""),"Uncle Sams Cider (04/04/2023)")</f>
        <v>Uncle Sams Cider (04/04/2023)</v>
      </c>
      <c r="H6685" s="19"/>
    </row>
    <row r="6686">
      <c r="A6686" s="9"/>
      <c r="B6686" s="15"/>
      <c r="C6686" s="9">
        <f>IFERROR(__xludf.DUMMYFUNCTION("""COMPUTED_VALUE"""),45074.1912645023)</f>
        <v>45074.19126</v>
      </c>
      <c r="D6686" s="15">
        <f>IFERROR(__xludf.DUMMYFUNCTION("""COMPUTED_VALUE"""),1.01)</f>
        <v>1.01</v>
      </c>
      <c r="E6686" s="16">
        <f>IFERROR(__xludf.DUMMYFUNCTION("""COMPUTED_VALUE"""),66.0)</f>
        <v>66</v>
      </c>
      <c r="F6686" s="19" t="str">
        <f>IFERROR(__xludf.DUMMYFUNCTION("""COMPUTED_VALUE"""),"BLACK")</f>
        <v>BLACK</v>
      </c>
      <c r="G6686" s="20" t="str">
        <f>IFERROR(__xludf.DUMMYFUNCTION("""COMPUTED_VALUE"""),"Uncle Sams Cider (04/04/2023)")</f>
        <v>Uncle Sams Cider (04/04/2023)</v>
      </c>
      <c r="H6686" s="19"/>
    </row>
    <row r="6687">
      <c r="A6687" s="9"/>
      <c r="B6687" s="15"/>
      <c r="C6687" s="9">
        <f>IFERROR(__xludf.DUMMYFUNCTION("""COMPUTED_VALUE"""),45074.1808428588)</f>
        <v>45074.18084</v>
      </c>
      <c r="D6687" s="15">
        <f>IFERROR(__xludf.DUMMYFUNCTION("""COMPUTED_VALUE"""),1.01)</f>
        <v>1.01</v>
      </c>
      <c r="E6687" s="16">
        <f>IFERROR(__xludf.DUMMYFUNCTION("""COMPUTED_VALUE"""),66.0)</f>
        <v>66</v>
      </c>
      <c r="F6687" s="19" t="str">
        <f>IFERROR(__xludf.DUMMYFUNCTION("""COMPUTED_VALUE"""),"BLACK")</f>
        <v>BLACK</v>
      </c>
      <c r="G6687" s="20" t="str">
        <f>IFERROR(__xludf.DUMMYFUNCTION("""COMPUTED_VALUE"""),"Uncle Sams Cider (04/04/2023)")</f>
        <v>Uncle Sams Cider (04/04/2023)</v>
      </c>
      <c r="H6687" s="19"/>
    </row>
    <row r="6688">
      <c r="A6688" s="9"/>
      <c r="B6688" s="15"/>
      <c r="C6688" s="9">
        <f>IFERROR(__xludf.DUMMYFUNCTION("""COMPUTED_VALUE"""),45074.1704219444)</f>
        <v>45074.17042</v>
      </c>
      <c r="D6688" s="15">
        <f>IFERROR(__xludf.DUMMYFUNCTION("""COMPUTED_VALUE"""),1.01)</f>
        <v>1.01</v>
      </c>
      <c r="E6688" s="16">
        <f>IFERROR(__xludf.DUMMYFUNCTION("""COMPUTED_VALUE"""),66.0)</f>
        <v>66</v>
      </c>
      <c r="F6688" s="19" t="str">
        <f>IFERROR(__xludf.DUMMYFUNCTION("""COMPUTED_VALUE"""),"BLACK")</f>
        <v>BLACK</v>
      </c>
      <c r="G6688" s="20" t="str">
        <f>IFERROR(__xludf.DUMMYFUNCTION("""COMPUTED_VALUE"""),"Uncle Sams Cider (04/04/2023)")</f>
        <v>Uncle Sams Cider (04/04/2023)</v>
      </c>
      <c r="H6688" s="19"/>
    </row>
    <row r="6689">
      <c r="A6689" s="9"/>
      <c r="B6689" s="15"/>
      <c r="C6689" s="9">
        <f>IFERROR(__xludf.DUMMYFUNCTION("""COMPUTED_VALUE"""),45074.1599896643)</f>
        <v>45074.15999</v>
      </c>
      <c r="D6689" s="15">
        <f>IFERROR(__xludf.DUMMYFUNCTION("""COMPUTED_VALUE"""),1.011)</f>
        <v>1.011</v>
      </c>
      <c r="E6689" s="16">
        <f>IFERROR(__xludf.DUMMYFUNCTION("""COMPUTED_VALUE"""),66.0)</f>
        <v>66</v>
      </c>
      <c r="F6689" s="19" t="str">
        <f>IFERROR(__xludf.DUMMYFUNCTION("""COMPUTED_VALUE"""),"BLACK")</f>
        <v>BLACK</v>
      </c>
      <c r="G6689" s="20" t="str">
        <f>IFERROR(__xludf.DUMMYFUNCTION("""COMPUTED_VALUE"""),"Uncle Sams Cider (04/04/2023)")</f>
        <v>Uncle Sams Cider (04/04/2023)</v>
      </c>
      <c r="H6689" s="19"/>
    </row>
    <row r="6690">
      <c r="A6690" s="9"/>
      <c r="B6690" s="15"/>
      <c r="C6690" s="9">
        <f>IFERROR(__xludf.DUMMYFUNCTION("""COMPUTED_VALUE"""),45074.149569699)</f>
        <v>45074.14957</v>
      </c>
      <c r="D6690" s="15">
        <f>IFERROR(__xludf.DUMMYFUNCTION("""COMPUTED_VALUE"""),1.011)</f>
        <v>1.011</v>
      </c>
      <c r="E6690" s="16">
        <f>IFERROR(__xludf.DUMMYFUNCTION("""COMPUTED_VALUE"""),66.0)</f>
        <v>66</v>
      </c>
      <c r="F6690" s="19" t="str">
        <f>IFERROR(__xludf.DUMMYFUNCTION("""COMPUTED_VALUE"""),"BLACK")</f>
        <v>BLACK</v>
      </c>
      <c r="G6690" s="20" t="str">
        <f>IFERROR(__xludf.DUMMYFUNCTION("""COMPUTED_VALUE"""),"Uncle Sams Cider (04/04/2023)")</f>
        <v>Uncle Sams Cider (04/04/2023)</v>
      </c>
      <c r="H6690" s="19"/>
    </row>
    <row r="6691">
      <c r="A6691" s="9"/>
      <c r="B6691" s="15"/>
      <c r="C6691" s="9">
        <f>IFERROR(__xludf.DUMMYFUNCTION("""COMPUTED_VALUE"""),45074.1391480208)</f>
        <v>45074.13915</v>
      </c>
      <c r="D6691" s="15">
        <f>IFERROR(__xludf.DUMMYFUNCTION("""COMPUTED_VALUE"""),1.011)</f>
        <v>1.011</v>
      </c>
      <c r="E6691" s="16">
        <f>IFERROR(__xludf.DUMMYFUNCTION("""COMPUTED_VALUE"""),66.0)</f>
        <v>66</v>
      </c>
      <c r="F6691" s="19" t="str">
        <f>IFERROR(__xludf.DUMMYFUNCTION("""COMPUTED_VALUE"""),"BLACK")</f>
        <v>BLACK</v>
      </c>
      <c r="G6691" s="20" t="str">
        <f>IFERROR(__xludf.DUMMYFUNCTION("""COMPUTED_VALUE"""),"Uncle Sams Cider (04/04/2023)")</f>
        <v>Uncle Sams Cider (04/04/2023)</v>
      </c>
      <c r="H6691" s="19"/>
    </row>
    <row r="6692">
      <c r="A6692" s="9"/>
      <c r="B6692" s="15"/>
      <c r="C6692" s="9">
        <f>IFERROR(__xludf.DUMMYFUNCTION("""COMPUTED_VALUE"""),45074.1287173958)</f>
        <v>45074.12872</v>
      </c>
      <c r="D6692" s="15">
        <f>IFERROR(__xludf.DUMMYFUNCTION("""COMPUTED_VALUE"""),1.01)</f>
        <v>1.01</v>
      </c>
      <c r="E6692" s="16">
        <f>IFERROR(__xludf.DUMMYFUNCTION("""COMPUTED_VALUE"""),66.0)</f>
        <v>66</v>
      </c>
      <c r="F6692" s="19" t="str">
        <f>IFERROR(__xludf.DUMMYFUNCTION("""COMPUTED_VALUE"""),"BLACK")</f>
        <v>BLACK</v>
      </c>
      <c r="G6692" s="20" t="str">
        <f>IFERROR(__xludf.DUMMYFUNCTION("""COMPUTED_VALUE"""),"Uncle Sams Cider (04/04/2023)")</f>
        <v>Uncle Sams Cider (04/04/2023)</v>
      </c>
      <c r="H6692" s="19"/>
    </row>
    <row r="6693">
      <c r="A6693" s="9"/>
      <c r="B6693" s="15"/>
      <c r="C6693" s="9">
        <f>IFERROR(__xludf.DUMMYFUNCTION("""COMPUTED_VALUE"""),45074.1182959606)</f>
        <v>45074.1183</v>
      </c>
      <c r="D6693" s="15">
        <f>IFERROR(__xludf.DUMMYFUNCTION("""COMPUTED_VALUE"""),1.011)</f>
        <v>1.011</v>
      </c>
      <c r="E6693" s="16">
        <f>IFERROR(__xludf.DUMMYFUNCTION("""COMPUTED_VALUE"""),66.0)</f>
        <v>66</v>
      </c>
      <c r="F6693" s="19" t="str">
        <f>IFERROR(__xludf.DUMMYFUNCTION("""COMPUTED_VALUE"""),"BLACK")</f>
        <v>BLACK</v>
      </c>
      <c r="G6693" s="20" t="str">
        <f>IFERROR(__xludf.DUMMYFUNCTION("""COMPUTED_VALUE"""),"Uncle Sams Cider (04/04/2023)")</f>
        <v>Uncle Sams Cider (04/04/2023)</v>
      </c>
      <c r="H6693" s="19"/>
    </row>
    <row r="6694">
      <c r="A6694" s="9"/>
      <c r="B6694" s="15"/>
      <c r="C6694" s="9">
        <f>IFERROR(__xludf.DUMMYFUNCTION("""COMPUTED_VALUE"""),45074.1078619097)</f>
        <v>45074.10786</v>
      </c>
      <c r="D6694" s="15">
        <f>IFERROR(__xludf.DUMMYFUNCTION("""COMPUTED_VALUE"""),1.01)</f>
        <v>1.01</v>
      </c>
      <c r="E6694" s="16">
        <f>IFERROR(__xludf.DUMMYFUNCTION("""COMPUTED_VALUE"""),66.0)</f>
        <v>66</v>
      </c>
      <c r="F6694" s="19" t="str">
        <f>IFERROR(__xludf.DUMMYFUNCTION("""COMPUTED_VALUE"""),"BLACK")</f>
        <v>BLACK</v>
      </c>
      <c r="G6694" s="20" t="str">
        <f>IFERROR(__xludf.DUMMYFUNCTION("""COMPUTED_VALUE"""),"Uncle Sams Cider (04/04/2023)")</f>
        <v>Uncle Sams Cider (04/04/2023)</v>
      </c>
      <c r="H6694" s="19"/>
    </row>
    <row r="6695">
      <c r="A6695" s="9"/>
      <c r="B6695" s="15"/>
      <c r="C6695" s="9">
        <f>IFERROR(__xludf.DUMMYFUNCTION("""COMPUTED_VALUE"""),45074.0974395138)</f>
        <v>45074.09744</v>
      </c>
      <c r="D6695" s="15">
        <f>IFERROR(__xludf.DUMMYFUNCTION("""COMPUTED_VALUE"""),1.011)</f>
        <v>1.011</v>
      </c>
      <c r="E6695" s="16">
        <f>IFERROR(__xludf.DUMMYFUNCTION("""COMPUTED_VALUE"""),66.0)</f>
        <v>66</v>
      </c>
      <c r="F6695" s="19" t="str">
        <f>IFERROR(__xludf.DUMMYFUNCTION("""COMPUTED_VALUE"""),"BLACK")</f>
        <v>BLACK</v>
      </c>
      <c r="G6695" s="20" t="str">
        <f>IFERROR(__xludf.DUMMYFUNCTION("""COMPUTED_VALUE"""),"Uncle Sams Cider (04/04/2023)")</f>
        <v>Uncle Sams Cider (04/04/2023)</v>
      </c>
      <c r="H6695" s="19"/>
    </row>
    <row r="6696">
      <c r="A6696" s="9"/>
      <c r="B6696" s="15"/>
      <c r="C6696" s="9">
        <f>IFERROR(__xludf.DUMMYFUNCTION("""COMPUTED_VALUE"""),45074.0870188773)</f>
        <v>45074.08702</v>
      </c>
      <c r="D6696" s="15">
        <f>IFERROR(__xludf.DUMMYFUNCTION("""COMPUTED_VALUE"""),1.011)</f>
        <v>1.011</v>
      </c>
      <c r="E6696" s="16">
        <f>IFERROR(__xludf.DUMMYFUNCTION("""COMPUTED_VALUE"""),66.0)</f>
        <v>66</v>
      </c>
      <c r="F6696" s="19" t="str">
        <f>IFERROR(__xludf.DUMMYFUNCTION("""COMPUTED_VALUE"""),"BLACK")</f>
        <v>BLACK</v>
      </c>
      <c r="G6696" s="20" t="str">
        <f>IFERROR(__xludf.DUMMYFUNCTION("""COMPUTED_VALUE"""),"Uncle Sams Cider (04/04/2023)")</f>
        <v>Uncle Sams Cider (04/04/2023)</v>
      </c>
      <c r="H6696" s="19"/>
    </row>
    <row r="6697">
      <c r="A6697" s="9"/>
      <c r="B6697" s="15"/>
      <c r="C6697" s="9">
        <f>IFERROR(__xludf.DUMMYFUNCTION("""COMPUTED_VALUE"""),45074.0765965856)</f>
        <v>45074.0766</v>
      </c>
      <c r="D6697" s="15">
        <f>IFERROR(__xludf.DUMMYFUNCTION("""COMPUTED_VALUE"""),1.01)</f>
        <v>1.01</v>
      </c>
      <c r="E6697" s="16">
        <f>IFERROR(__xludf.DUMMYFUNCTION("""COMPUTED_VALUE"""),66.0)</f>
        <v>66</v>
      </c>
      <c r="F6697" s="19" t="str">
        <f>IFERROR(__xludf.DUMMYFUNCTION("""COMPUTED_VALUE"""),"BLACK")</f>
        <v>BLACK</v>
      </c>
      <c r="G6697" s="20" t="str">
        <f>IFERROR(__xludf.DUMMYFUNCTION("""COMPUTED_VALUE"""),"Uncle Sams Cider (04/04/2023)")</f>
        <v>Uncle Sams Cider (04/04/2023)</v>
      </c>
      <c r="H6697" s="19"/>
    </row>
    <row r="6698">
      <c r="A6698" s="9"/>
      <c r="B6698" s="15"/>
      <c r="C6698" s="9">
        <f>IFERROR(__xludf.DUMMYFUNCTION("""COMPUTED_VALUE"""),45074.0661641203)</f>
        <v>45074.06616</v>
      </c>
      <c r="D6698" s="15">
        <f>IFERROR(__xludf.DUMMYFUNCTION("""COMPUTED_VALUE"""),1.01)</f>
        <v>1.01</v>
      </c>
      <c r="E6698" s="16">
        <f>IFERROR(__xludf.DUMMYFUNCTION("""COMPUTED_VALUE"""),66.0)</f>
        <v>66</v>
      </c>
      <c r="F6698" s="19" t="str">
        <f>IFERROR(__xludf.DUMMYFUNCTION("""COMPUTED_VALUE"""),"BLACK")</f>
        <v>BLACK</v>
      </c>
      <c r="G6698" s="20" t="str">
        <f>IFERROR(__xludf.DUMMYFUNCTION("""COMPUTED_VALUE"""),"Uncle Sams Cider (04/04/2023)")</f>
        <v>Uncle Sams Cider (04/04/2023)</v>
      </c>
      <c r="H6698" s="19"/>
    </row>
    <row r="6699">
      <c r="A6699" s="9"/>
      <c r="B6699" s="15"/>
      <c r="C6699" s="9">
        <f>IFERROR(__xludf.DUMMYFUNCTION("""COMPUTED_VALUE"""),45074.0557439814)</f>
        <v>45074.05574</v>
      </c>
      <c r="D6699" s="15">
        <f>IFERROR(__xludf.DUMMYFUNCTION("""COMPUTED_VALUE"""),1.01)</f>
        <v>1.01</v>
      </c>
      <c r="E6699" s="16">
        <f>IFERROR(__xludf.DUMMYFUNCTION("""COMPUTED_VALUE"""),66.0)</f>
        <v>66</v>
      </c>
      <c r="F6699" s="19" t="str">
        <f>IFERROR(__xludf.DUMMYFUNCTION("""COMPUTED_VALUE"""),"BLACK")</f>
        <v>BLACK</v>
      </c>
      <c r="G6699" s="20" t="str">
        <f>IFERROR(__xludf.DUMMYFUNCTION("""COMPUTED_VALUE"""),"Uncle Sams Cider (04/04/2023)")</f>
        <v>Uncle Sams Cider (04/04/2023)</v>
      </c>
      <c r="H6699" s="19"/>
    </row>
    <row r="6700">
      <c r="A6700" s="9"/>
      <c r="B6700" s="15"/>
      <c r="C6700" s="9">
        <f>IFERROR(__xludf.DUMMYFUNCTION("""COMPUTED_VALUE"""),45074.0453229166)</f>
        <v>45074.04532</v>
      </c>
      <c r="D6700" s="15">
        <f>IFERROR(__xludf.DUMMYFUNCTION("""COMPUTED_VALUE"""),1.01)</f>
        <v>1.01</v>
      </c>
      <c r="E6700" s="16">
        <f>IFERROR(__xludf.DUMMYFUNCTION("""COMPUTED_VALUE"""),66.0)</f>
        <v>66</v>
      </c>
      <c r="F6700" s="19" t="str">
        <f>IFERROR(__xludf.DUMMYFUNCTION("""COMPUTED_VALUE"""),"BLACK")</f>
        <v>BLACK</v>
      </c>
      <c r="G6700" s="20" t="str">
        <f>IFERROR(__xludf.DUMMYFUNCTION("""COMPUTED_VALUE"""),"Uncle Sams Cider (04/04/2023)")</f>
        <v>Uncle Sams Cider (04/04/2023)</v>
      </c>
      <c r="H6700" s="19"/>
    </row>
    <row r="6701">
      <c r="A6701" s="9"/>
      <c r="B6701" s="15"/>
      <c r="C6701" s="9">
        <f>IFERROR(__xludf.DUMMYFUNCTION("""COMPUTED_VALUE"""),45074.0349004976)</f>
        <v>45074.0349</v>
      </c>
      <c r="D6701" s="15">
        <f>IFERROR(__xludf.DUMMYFUNCTION("""COMPUTED_VALUE"""),1.01)</f>
        <v>1.01</v>
      </c>
      <c r="E6701" s="16">
        <f>IFERROR(__xludf.DUMMYFUNCTION("""COMPUTED_VALUE"""),66.0)</f>
        <v>66</v>
      </c>
      <c r="F6701" s="19" t="str">
        <f>IFERROR(__xludf.DUMMYFUNCTION("""COMPUTED_VALUE"""),"BLACK")</f>
        <v>BLACK</v>
      </c>
      <c r="G6701" s="20" t="str">
        <f>IFERROR(__xludf.DUMMYFUNCTION("""COMPUTED_VALUE"""),"Uncle Sams Cider (04/04/2023)")</f>
        <v>Uncle Sams Cider (04/04/2023)</v>
      </c>
      <c r="H6701" s="19"/>
    </row>
    <row r="6702">
      <c r="A6702" s="9"/>
      <c r="B6702" s="15"/>
      <c r="C6702" s="9">
        <f>IFERROR(__xludf.DUMMYFUNCTION("""COMPUTED_VALUE"""),45074.0244690509)</f>
        <v>45074.02447</v>
      </c>
      <c r="D6702" s="15">
        <f>IFERROR(__xludf.DUMMYFUNCTION("""COMPUTED_VALUE"""),1.01)</f>
        <v>1.01</v>
      </c>
      <c r="E6702" s="16">
        <f>IFERROR(__xludf.DUMMYFUNCTION("""COMPUTED_VALUE"""),66.0)</f>
        <v>66</v>
      </c>
      <c r="F6702" s="19" t="str">
        <f>IFERROR(__xludf.DUMMYFUNCTION("""COMPUTED_VALUE"""),"BLACK")</f>
        <v>BLACK</v>
      </c>
      <c r="G6702" s="20" t="str">
        <f>IFERROR(__xludf.DUMMYFUNCTION("""COMPUTED_VALUE"""),"Uncle Sams Cider (04/04/2023)")</f>
        <v>Uncle Sams Cider (04/04/2023)</v>
      </c>
      <c r="H6702" s="19"/>
    </row>
    <row r="6703">
      <c r="A6703" s="9"/>
      <c r="B6703" s="15"/>
      <c r="C6703" s="9">
        <f>IFERROR(__xludf.DUMMYFUNCTION("""COMPUTED_VALUE"""),45074.0140480324)</f>
        <v>45074.01405</v>
      </c>
      <c r="D6703" s="15">
        <f>IFERROR(__xludf.DUMMYFUNCTION("""COMPUTED_VALUE"""),1.01)</f>
        <v>1.01</v>
      </c>
      <c r="E6703" s="16">
        <f>IFERROR(__xludf.DUMMYFUNCTION("""COMPUTED_VALUE"""),66.0)</f>
        <v>66</v>
      </c>
      <c r="F6703" s="19" t="str">
        <f>IFERROR(__xludf.DUMMYFUNCTION("""COMPUTED_VALUE"""),"BLACK")</f>
        <v>BLACK</v>
      </c>
      <c r="G6703" s="20" t="str">
        <f>IFERROR(__xludf.DUMMYFUNCTION("""COMPUTED_VALUE"""),"Uncle Sams Cider (04/04/2023)")</f>
        <v>Uncle Sams Cider (04/04/2023)</v>
      </c>
      <c r="H6703" s="19"/>
    </row>
    <row r="6704">
      <c r="A6704" s="9"/>
      <c r="B6704" s="15"/>
      <c r="C6704" s="9">
        <f>IFERROR(__xludf.DUMMYFUNCTION("""COMPUTED_VALUE"""),45074.0036151273)</f>
        <v>45074.00362</v>
      </c>
      <c r="D6704" s="15">
        <f>IFERROR(__xludf.DUMMYFUNCTION("""COMPUTED_VALUE"""),1.01)</f>
        <v>1.01</v>
      </c>
      <c r="E6704" s="16">
        <f>IFERROR(__xludf.DUMMYFUNCTION("""COMPUTED_VALUE"""),66.0)</f>
        <v>66</v>
      </c>
      <c r="F6704" s="19" t="str">
        <f>IFERROR(__xludf.DUMMYFUNCTION("""COMPUTED_VALUE"""),"BLACK")</f>
        <v>BLACK</v>
      </c>
      <c r="G6704" s="20" t="str">
        <f>IFERROR(__xludf.DUMMYFUNCTION("""COMPUTED_VALUE"""),"Uncle Sams Cider (04/04/2023)")</f>
        <v>Uncle Sams Cider (04/04/2023)</v>
      </c>
      <c r="H6704" s="19"/>
    </row>
    <row r="6705">
      <c r="A6705" s="9"/>
      <c r="B6705" s="15"/>
      <c r="C6705" s="9">
        <f>IFERROR(__xludf.DUMMYFUNCTION("""COMPUTED_VALUE"""),45073.9931950694)</f>
        <v>45073.9932</v>
      </c>
      <c r="D6705" s="15">
        <f>IFERROR(__xludf.DUMMYFUNCTION("""COMPUTED_VALUE"""),1.01)</f>
        <v>1.01</v>
      </c>
      <c r="E6705" s="16">
        <f>IFERROR(__xludf.DUMMYFUNCTION("""COMPUTED_VALUE"""),66.0)</f>
        <v>66</v>
      </c>
      <c r="F6705" s="19" t="str">
        <f>IFERROR(__xludf.DUMMYFUNCTION("""COMPUTED_VALUE"""),"BLACK")</f>
        <v>BLACK</v>
      </c>
      <c r="G6705" s="20" t="str">
        <f>IFERROR(__xludf.DUMMYFUNCTION("""COMPUTED_VALUE"""),"Uncle Sams Cider (04/04/2023)")</f>
        <v>Uncle Sams Cider (04/04/2023)</v>
      </c>
      <c r="H6705" s="19"/>
    </row>
    <row r="6706">
      <c r="A6706" s="9"/>
      <c r="B6706" s="15"/>
      <c r="C6706" s="9">
        <f>IFERROR(__xludf.DUMMYFUNCTION("""COMPUTED_VALUE"""),45073.9827732638)</f>
        <v>45073.98277</v>
      </c>
      <c r="D6706" s="15">
        <f>IFERROR(__xludf.DUMMYFUNCTION("""COMPUTED_VALUE"""),1.01)</f>
        <v>1.01</v>
      </c>
      <c r="E6706" s="16">
        <f>IFERROR(__xludf.DUMMYFUNCTION("""COMPUTED_VALUE"""),66.0)</f>
        <v>66</v>
      </c>
      <c r="F6706" s="19" t="str">
        <f>IFERROR(__xludf.DUMMYFUNCTION("""COMPUTED_VALUE"""),"BLACK")</f>
        <v>BLACK</v>
      </c>
      <c r="G6706" s="20" t="str">
        <f>IFERROR(__xludf.DUMMYFUNCTION("""COMPUTED_VALUE"""),"Uncle Sams Cider (04/04/2023)")</f>
        <v>Uncle Sams Cider (04/04/2023)</v>
      </c>
      <c r="H6706" s="19"/>
    </row>
    <row r="6707">
      <c r="A6707" s="9"/>
      <c r="B6707" s="15"/>
      <c r="C6707" s="9">
        <f>IFERROR(__xludf.DUMMYFUNCTION("""COMPUTED_VALUE"""),45073.9723525463)</f>
        <v>45073.97235</v>
      </c>
      <c r="D6707" s="15">
        <f>IFERROR(__xludf.DUMMYFUNCTION("""COMPUTED_VALUE"""),1.01)</f>
        <v>1.01</v>
      </c>
      <c r="E6707" s="16">
        <f>IFERROR(__xludf.DUMMYFUNCTION("""COMPUTED_VALUE"""),66.0)</f>
        <v>66</v>
      </c>
      <c r="F6707" s="19" t="str">
        <f>IFERROR(__xludf.DUMMYFUNCTION("""COMPUTED_VALUE"""),"BLACK")</f>
        <v>BLACK</v>
      </c>
      <c r="G6707" s="20" t="str">
        <f>IFERROR(__xludf.DUMMYFUNCTION("""COMPUTED_VALUE"""),"Uncle Sams Cider (04/04/2023)")</f>
        <v>Uncle Sams Cider (04/04/2023)</v>
      </c>
      <c r="H6707" s="19"/>
    </row>
    <row r="6708">
      <c r="A6708" s="9"/>
      <c r="B6708" s="15"/>
      <c r="C6708" s="9">
        <f>IFERROR(__xludf.DUMMYFUNCTION("""COMPUTED_VALUE"""),45073.9619308217)</f>
        <v>45073.96193</v>
      </c>
      <c r="D6708" s="15">
        <f>IFERROR(__xludf.DUMMYFUNCTION("""COMPUTED_VALUE"""),1.011)</f>
        <v>1.011</v>
      </c>
      <c r="E6708" s="16">
        <f>IFERROR(__xludf.DUMMYFUNCTION("""COMPUTED_VALUE"""),66.0)</f>
        <v>66</v>
      </c>
      <c r="F6708" s="19" t="str">
        <f>IFERROR(__xludf.DUMMYFUNCTION("""COMPUTED_VALUE"""),"BLACK")</f>
        <v>BLACK</v>
      </c>
      <c r="G6708" s="20" t="str">
        <f>IFERROR(__xludf.DUMMYFUNCTION("""COMPUTED_VALUE"""),"Uncle Sams Cider (04/04/2023)")</f>
        <v>Uncle Sams Cider (04/04/2023)</v>
      </c>
      <c r="H6708" s="19"/>
    </row>
    <row r="6709">
      <c r="A6709" s="9"/>
      <c r="B6709" s="15"/>
      <c r="C6709" s="9">
        <f>IFERROR(__xludf.DUMMYFUNCTION("""COMPUTED_VALUE"""),45073.9514967939)</f>
        <v>45073.9515</v>
      </c>
      <c r="D6709" s="15">
        <f>IFERROR(__xludf.DUMMYFUNCTION("""COMPUTED_VALUE"""),1.01)</f>
        <v>1.01</v>
      </c>
      <c r="E6709" s="16">
        <f>IFERROR(__xludf.DUMMYFUNCTION("""COMPUTED_VALUE"""),66.0)</f>
        <v>66</v>
      </c>
      <c r="F6709" s="19" t="str">
        <f>IFERROR(__xludf.DUMMYFUNCTION("""COMPUTED_VALUE"""),"BLACK")</f>
        <v>BLACK</v>
      </c>
      <c r="G6709" s="20" t="str">
        <f>IFERROR(__xludf.DUMMYFUNCTION("""COMPUTED_VALUE"""),"Uncle Sams Cider (04/04/2023)")</f>
        <v>Uncle Sams Cider (04/04/2023)</v>
      </c>
      <c r="H6709" s="19"/>
    </row>
    <row r="6710">
      <c r="A6710" s="9"/>
      <c r="B6710" s="15"/>
      <c r="C6710" s="9">
        <f>IFERROR(__xludf.DUMMYFUNCTION("""COMPUTED_VALUE"""),45073.9410624537)</f>
        <v>45073.94106</v>
      </c>
      <c r="D6710" s="15">
        <f>IFERROR(__xludf.DUMMYFUNCTION("""COMPUTED_VALUE"""),1.01)</f>
        <v>1.01</v>
      </c>
      <c r="E6710" s="16">
        <f>IFERROR(__xludf.DUMMYFUNCTION("""COMPUTED_VALUE"""),66.0)</f>
        <v>66</v>
      </c>
      <c r="F6710" s="19" t="str">
        <f>IFERROR(__xludf.DUMMYFUNCTION("""COMPUTED_VALUE"""),"BLACK")</f>
        <v>BLACK</v>
      </c>
      <c r="G6710" s="20" t="str">
        <f>IFERROR(__xludf.DUMMYFUNCTION("""COMPUTED_VALUE"""),"Uncle Sams Cider (04/04/2023)")</f>
        <v>Uncle Sams Cider (04/04/2023)</v>
      </c>
      <c r="H6710" s="19"/>
    </row>
    <row r="6711">
      <c r="A6711" s="9"/>
      <c r="B6711" s="15"/>
      <c r="C6711" s="9">
        <f>IFERROR(__xludf.DUMMYFUNCTION("""COMPUTED_VALUE"""),45073.9306403935)</f>
        <v>45073.93064</v>
      </c>
      <c r="D6711" s="15">
        <f>IFERROR(__xludf.DUMMYFUNCTION("""COMPUTED_VALUE"""),1.01)</f>
        <v>1.01</v>
      </c>
      <c r="E6711" s="16">
        <f>IFERROR(__xludf.DUMMYFUNCTION("""COMPUTED_VALUE"""),66.0)</f>
        <v>66</v>
      </c>
      <c r="F6711" s="19" t="str">
        <f>IFERROR(__xludf.DUMMYFUNCTION("""COMPUTED_VALUE"""),"BLACK")</f>
        <v>BLACK</v>
      </c>
      <c r="G6711" s="20" t="str">
        <f>IFERROR(__xludf.DUMMYFUNCTION("""COMPUTED_VALUE"""),"Uncle Sams Cider (04/04/2023)")</f>
        <v>Uncle Sams Cider (04/04/2023)</v>
      </c>
      <c r="H6711" s="19"/>
    </row>
    <row r="6712">
      <c r="A6712" s="9"/>
      <c r="B6712" s="15"/>
      <c r="C6712" s="9">
        <f>IFERROR(__xludf.DUMMYFUNCTION("""COMPUTED_VALUE"""),45073.9202194791)</f>
        <v>45073.92022</v>
      </c>
      <c r="D6712" s="15">
        <f>IFERROR(__xludf.DUMMYFUNCTION("""COMPUTED_VALUE"""),1.01)</f>
        <v>1.01</v>
      </c>
      <c r="E6712" s="16">
        <f>IFERROR(__xludf.DUMMYFUNCTION("""COMPUTED_VALUE"""),66.0)</f>
        <v>66</v>
      </c>
      <c r="F6712" s="19" t="str">
        <f>IFERROR(__xludf.DUMMYFUNCTION("""COMPUTED_VALUE"""),"BLACK")</f>
        <v>BLACK</v>
      </c>
      <c r="G6712" s="20" t="str">
        <f>IFERROR(__xludf.DUMMYFUNCTION("""COMPUTED_VALUE"""),"Uncle Sams Cider (04/04/2023)")</f>
        <v>Uncle Sams Cider (04/04/2023)</v>
      </c>
      <c r="H6712" s="19"/>
    </row>
    <row r="6713">
      <c r="A6713" s="9"/>
      <c r="B6713" s="15"/>
      <c r="C6713" s="9">
        <f>IFERROR(__xludf.DUMMYFUNCTION("""COMPUTED_VALUE"""),45073.9097873263)</f>
        <v>45073.90979</v>
      </c>
      <c r="D6713" s="15">
        <f>IFERROR(__xludf.DUMMYFUNCTION("""COMPUTED_VALUE"""),1.01)</f>
        <v>1.01</v>
      </c>
      <c r="E6713" s="16">
        <f>IFERROR(__xludf.DUMMYFUNCTION("""COMPUTED_VALUE"""),66.0)</f>
        <v>66</v>
      </c>
      <c r="F6713" s="19" t="str">
        <f>IFERROR(__xludf.DUMMYFUNCTION("""COMPUTED_VALUE"""),"BLACK")</f>
        <v>BLACK</v>
      </c>
      <c r="G6713" s="20" t="str">
        <f>IFERROR(__xludf.DUMMYFUNCTION("""COMPUTED_VALUE"""),"Uncle Sams Cider (04/04/2023)")</f>
        <v>Uncle Sams Cider (04/04/2023)</v>
      </c>
      <c r="H6713" s="19"/>
    </row>
    <row r="6714">
      <c r="A6714" s="9"/>
      <c r="B6714" s="15"/>
      <c r="C6714" s="9">
        <f>IFERROR(__xludf.DUMMYFUNCTION("""COMPUTED_VALUE"""),45073.899365706)</f>
        <v>45073.89937</v>
      </c>
      <c r="D6714" s="15">
        <f>IFERROR(__xludf.DUMMYFUNCTION("""COMPUTED_VALUE"""),1.01)</f>
        <v>1.01</v>
      </c>
      <c r="E6714" s="16">
        <f>IFERROR(__xludf.DUMMYFUNCTION("""COMPUTED_VALUE"""),66.0)</f>
        <v>66</v>
      </c>
      <c r="F6714" s="19" t="str">
        <f>IFERROR(__xludf.DUMMYFUNCTION("""COMPUTED_VALUE"""),"BLACK")</f>
        <v>BLACK</v>
      </c>
      <c r="G6714" s="20" t="str">
        <f>IFERROR(__xludf.DUMMYFUNCTION("""COMPUTED_VALUE"""),"Uncle Sams Cider (04/04/2023)")</f>
        <v>Uncle Sams Cider (04/04/2023)</v>
      </c>
      <c r="H6714" s="19"/>
    </row>
    <row r="6715">
      <c r="A6715" s="9"/>
      <c r="B6715" s="15"/>
      <c r="C6715" s="9">
        <f>IFERROR(__xludf.DUMMYFUNCTION("""COMPUTED_VALUE"""),45073.8889344791)</f>
        <v>45073.88893</v>
      </c>
      <c r="D6715" s="15">
        <f>IFERROR(__xludf.DUMMYFUNCTION("""COMPUTED_VALUE"""),1.011)</f>
        <v>1.011</v>
      </c>
      <c r="E6715" s="16">
        <f>IFERROR(__xludf.DUMMYFUNCTION("""COMPUTED_VALUE"""),66.0)</f>
        <v>66</v>
      </c>
      <c r="F6715" s="19" t="str">
        <f>IFERROR(__xludf.DUMMYFUNCTION("""COMPUTED_VALUE"""),"BLACK")</f>
        <v>BLACK</v>
      </c>
      <c r="G6715" s="20" t="str">
        <f>IFERROR(__xludf.DUMMYFUNCTION("""COMPUTED_VALUE"""),"Uncle Sams Cider (04/04/2023)")</f>
        <v>Uncle Sams Cider (04/04/2023)</v>
      </c>
      <c r="H6715" s="19"/>
    </row>
    <row r="6716">
      <c r="A6716" s="9"/>
      <c r="B6716" s="15"/>
      <c r="C6716" s="9">
        <f>IFERROR(__xludf.DUMMYFUNCTION("""COMPUTED_VALUE"""),45073.8785134143)</f>
        <v>45073.87851</v>
      </c>
      <c r="D6716" s="15">
        <f>IFERROR(__xludf.DUMMYFUNCTION("""COMPUTED_VALUE"""),1.011)</f>
        <v>1.011</v>
      </c>
      <c r="E6716" s="16">
        <f>IFERROR(__xludf.DUMMYFUNCTION("""COMPUTED_VALUE"""),66.0)</f>
        <v>66</v>
      </c>
      <c r="F6716" s="19" t="str">
        <f>IFERROR(__xludf.DUMMYFUNCTION("""COMPUTED_VALUE"""),"BLACK")</f>
        <v>BLACK</v>
      </c>
      <c r="G6716" s="20" t="str">
        <f>IFERROR(__xludf.DUMMYFUNCTION("""COMPUTED_VALUE"""),"Uncle Sams Cider (04/04/2023)")</f>
        <v>Uncle Sams Cider (04/04/2023)</v>
      </c>
      <c r="H6716" s="19"/>
    </row>
    <row r="6717">
      <c r="A6717" s="9"/>
      <c r="B6717" s="15"/>
      <c r="C6717" s="9">
        <f>IFERROR(__xludf.DUMMYFUNCTION("""COMPUTED_VALUE"""),45073.8680939467)</f>
        <v>45073.86809</v>
      </c>
      <c r="D6717" s="15">
        <f>IFERROR(__xludf.DUMMYFUNCTION("""COMPUTED_VALUE"""),1.01)</f>
        <v>1.01</v>
      </c>
      <c r="E6717" s="16">
        <f>IFERROR(__xludf.DUMMYFUNCTION("""COMPUTED_VALUE"""),66.0)</f>
        <v>66</v>
      </c>
      <c r="F6717" s="19" t="str">
        <f>IFERROR(__xludf.DUMMYFUNCTION("""COMPUTED_VALUE"""),"BLACK")</f>
        <v>BLACK</v>
      </c>
      <c r="G6717" s="20" t="str">
        <f>IFERROR(__xludf.DUMMYFUNCTION("""COMPUTED_VALUE"""),"Uncle Sams Cider (04/04/2023)")</f>
        <v>Uncle Sams Cider (04/04/2023)</v>
      </c>
      <c r="H6717" s="19"/>
    </row>
    <row r="6718">
      <c r="A6718" s="9"/>
      <c r="B6718" s="15"/>
      <c r="C6718" s="9">
        <f>IFERROR(__xludf.DUMMYFUNCTION("""COMPUTED_VALUE"""),45073.857671412)</f>
        <v>45073.85767</v>
      </c>
      <c r="D6718" s="15">
        <f>IFERROR(__xludf.DUMMYFUNCTION("""COMPUTED_VALUE"""),1.011)</f>
        <v>1.011</v>
      </c>
      <c r="E6718" s="16">
        <f>IFERROR(__xludf.DUMMYFUNCTION("""COMPUTED_VALUE"""),66.0)</f>
        <v>66</v>
      </c>
      <c r="F6718" s="19" t="str">
        <f>IFERROR(__xludf.DUMMYFUNCTION("""COMPUTED_VALUE"""),"BLACK")</f>
        <v>BLACK</v>
      </c>
      <c r="G6718" s="20" t="str">
        <f>IFERROR(__xludf.DUMMYFUNCTION("""COMPUTED_VALUE"""),"Uncle Sams Cider (04/04/2023)")</f>
        <v>Uncle Sams Cider (04/04/2023)</v>
      </c>
      <c r="H6718" s="19"/>
    </row>
    <row r="6719">
      <c r="A6719" s="9"/>
      <c r="B6719" s="15"/>
      <c r="C6719" s="9">
        <f>IFERROR(__xludf.DUMMYFUNCTION("""COMPUTED_VALUE"""),45073.8472516088)</f>
        <v>45073.84725</v>
      </c>
      <c r="D6719" s="15">
        <f>IFERROR(__xludf.DUMMYFUNCTION("""COMPUTED_VALUE"""),1.011)</f>
        <v>1.011</v>
      </c>
      <c r="E6719" s="16">
        <f>IFERROR(__xludf.DUMMYFUNCTION("""COMPUTED_VALUE"""),66.0)</f>
        <v>66</v>
      </c>
      <c r="F6719" s="19" t="str">
        <f>IFERROR(__xludf.DUMMYFUNCTION("""COMPUTED_VALUE"""),"BLACK")</f>
        <v>BLACK</v>
      </c>
      <c r="G6719" s="20" t="str">
        <f>IFERROR(__xludf.DUMMYFUNCTION("""COMPUTED_VALUE"""),"Uncle Sams Cider (04/04/2023)")</f>
        <v>Uncle Sams Cider (04/04/2023)</v>
      </c>
      <c r="H6719" s="19"/>
    </row>
    <row r="6720">
      <c r="A6720" s="9"/>
      <c r="B6720" s="15"/>
      <c r="C6720" s="9">
        <f>IFERROR(__xludf.DUMMYFUNCTION("""COMPUTED_VALUE"""),45073.8368303009)</f>
        <v>45073.83683</v>
      </c>
      <c r="D6720" s="15">
        <f>IFERROR(__xludf.DUMMYFUNCTION("""COMPUTED_VALUE"""),1.011)</f>
        <v>1.011</v>
      </c>
      <c r="E6720" s="16">
        <f>IFERROR(__xludf.DUMMYFUNCTION("""COMPUTED_VALUE"""),66.0)</f>
        <v>66</v>
      </c>
      <c r="F6720" s="19" t="str">
        <f>IFERROR(__xludf.DUMMYFUNCTION("""COMPUTED_VALUE"""),"BLACK")</f>
        <v>BLACK</v>
      </c>
      <c r="G6720" s="20" t="str">
        <f>IFERROR(__xludf.DUMMYFUNCTION("""COMPUTED_VALUE"""),"Uncle Sams Cider (04/04/2023)")</f>
        <v>Uncle Sams Cider (04/04/2023)</v>
      </c>
      <c r="H6720" s="19"/>
    </row>
    <row r="6721">
      <c r="A6721" s="9"/>
      <c r="B6721" s="15"/>
      <c r="C6721" s="9">
        <f>IFERROR(__xludf.DUMMYFUNCTION("""COMPUTED_VALUE"""),45073.8264097569)</f>
        <v>45073.82641</v>
      </c>
      <c r="D6721" s="15">
        <f>IFERROR(__xludf.DUMMYFUNCTION("""COMPUTED_VALUE"""),1.01)</f>
        <v>1.01</v>
      </c>
      <c r="E6721" s="16">
        <f>IFERROR(__xludf.DUMMYFUNCTION("""COMPUTED_VALUE"""),66.0)</f>
        <v>66</v>
      </c>
      <c r="F6721" s="19" t="str">
        <f>IFERROR(__xludf.DUMMYFUNCTION("""COMPUTED_VALUE"""),"BLACK")</f>
        <v>BLACK</v>
      </c>
      <c r="G6721" s="20" t="str">
        <f>IFERROR(__xludf.DUMMYFUNCTION("""COMPUTED_VALUE"""),"Uncle Sams Cider (04/04/2023)")</f>
        <v>Uncle Sams Cider (04/04/2023)</v>
      </c>
      <c r="H6721" s="19"/>
    </row>
    <row r="6722">
      <c r="A6722" s="9"/>
      <c r="B6722" s="15"/>
      <c r="C6722" s="9">
        <f>IFERROR(__xludf.DUMMYFUNCTION("""COMPUTED_VALUE"""),45073.8159776736)</f>
        <v>45073.81598</v>
      </c>
      <c r="D6722" s="15">
        <f>IFERROR(__xludf.DUMMYFUNCTION("""COMPUTED_VALUE"""),1.01)</f>
        <v>1.01</v>
      </c>
      <c r="E6722" s="16">
        <f>IFERROR(__xludf.DUMMYFUNCTION("""COMPUTED_VALUE"""),66.0)</f>
        <v>66</v>
      </c>
      <c r="F6722" s="19" t="str">
        <f>IFERROR(__xludf.DUMMYFUNCTION("""COMPUTED_VALUE"""),"BLACK")</f>
        <v>BLACK</v>
      </c>
      <c r="G6722" s="20" t="str">
        <f>IFERROR(__xludf.DUMMYFUNCTION("""COMPUTED_VALUE"""),"Uncle Sams Cider (04/04/2023)")</f>
        <v>Uncle Sams Cider (04/04/2023)</v>
      </c>
      <c r="H6722" s="19"/>
    </row>
    <row r="6723">
      <c r="A6723" s="9"/>
      <c r="B6723" s="15"/>
      <c r="C6723" s="9">
        <f>IFERROR(__xludf.DUMMYFUNCTION("""COMPUTED_VALUE"""),45073.8055333217)</f>
        <v>45073.80553</v>
      </c>
      <c r="D6723" s="15">
        <f>IFERROR(__xludf.DUMMYFUNCTION("""COMPUTED_VALUE"""),1.011)</f>
        <v>1.011</v>
      </c>
      <c r="E6723" s="16">
        <f>IFERROR(__xludf.DUMMYFUNCTION("""COMPUTED_VALUE"""),66.0)</f>
        <v>66</v>
      </c>
      <c r="F6723" s="19" t="str">
        <f>IFERROR(__xludf.DUMMYFUNCTION("""COMPUTED_VALUE"""),"BLACK")</f>
        <v>BLACK</v>
      </c>
      <c r="G6723" s="20" t="str">
        <f>IFERROR(__xludf.DUMMYFUNCTION("""COMPUTED_VALUE"""),"Uncle Sams Cider (04/04/2023)")</f>
        <v>Uncle Sams Cider (04/04/2023)</v>
      </c>
      <c r="H6723" s="19"/>
    </row>
    <row r="6724">
      <c r="A6724" s="9"/>
      <c r="B6724" s="15"/>
      <c r="C6724" s="9">
        <f>IFERROR(__xludf.DUMMYFUNCTION("""COMPUTED_VALUE"""),45073.7951005208)</f>
        <v>45073.7951</v>
      </c>
      <c r="D6724" s="15">
        <f>IFERROR(__xludf.DUMMYFUNCTION("""COMPUTED_VALUE"""),1.01)</f>
        <v>1.01</v>
      </c>
      <c r="E6724" s="16">
        <f>IFERROR(__xludf.DUMMYFUNCTION("""COMPUTED_VALUE"""),66.0)</f>
        <v>66</v>
      </c>
      <c r="F6724" s="19" t="str">
        <f>IFERROR(__xludf.DUMMYFUNCTION("""COMPUTED_VALUE"""),"BLACK")</f>
        <v>BLACK</v>
      </c>
      <c r="G6724" s="20" t="str">
        <f>IFERROR(__xludf.DUMMYFUNCTION("""COMPUTED_VALUE"""),"Uncle Sams Cider (04/04/2023)")</f>
        <v>Uncle Sams Cider (04/04/2023)</v>
      </c>
      <c r="H6724" s="19"/>
    </row>
    <row r="6725">
      <c r="A6725" s="9"/>
      <c r="B6725" s="15"/>
      <c r="C6725" s="9">
        <f>IFERROR(__xludf.DUMMYFUNCTION("""COMPUTED_VALUE"""),45073.7846794328)</f>
        <v>45073.78468</v>
      </c>
      <c r="D6725" s="15">
        <f>IFERROR(__xludf.DUMMYFUNCTION("""COMPUTED_VALUE"""),1.01)</f>
        <v>1.01</v>
      </c>
      <c r="E6725" s="16">
        <f>IFERROR(__xludf.DUMMYFUNCTION("""COMPUTED_VALUE"""),66.0)</f>
        <v>66</v>
      </c>
      <c r="F6725" s="19" t="str">
        <f>IFERROR(__xludf.DUMMYFUNCTION("""COMPUTED_VALUE"""),"BLACK")</f>
        <v>BLACK</v>
      </c>
      <c r="G6725" s="20" t="str">
        <f>IFERROR(__xludf.DUMMYFUNCTION("""COMPUTED_VALUE"""),"Uncle Sams Cider (04/04/2023)")</f>
        <v>Uncle Sams Cider (04/04/2023)</v>
      </c>
      <c r="H6725" s="19"/>
    </row>
    <row r="6726">
      <c r="A6726" s="9"/>
      <c r="B6726" s="15"/>
      <c r="C6726" s="9">
        <f>IFERROR(__xludf.DUMMYFUNCTION("""COMPUTED_VALUE"""),45073.7742603819)</f>
        <v>45073.77426</v>
      </c>
      <c r="D6726" s="15">
        <f>IFERROR(__xludf.DUMMYFUNCTION("""COMPUTED_VALUE"""),1.01)</f>
        <v>1.01</v>
      </c>
      <c r="E6726" s="16">
        <f>IFERROR(__xludf.DUMMYFUNCTION("""COMPUTED_VALUE"""),66.0)</f>
        <v>66</v>
      </c>
      <c r="F6726" s="19" t="str">
        <f>IFERROR(__xludf.DUMMYFUNCTION("""COMPUTED_VALUE"""),"BLACK")</f>
        <v>BLACK</v>
      </c>
      <c r="G6726" s="20" t="str">
        <f>IFERROR(__xludf.DUMMYFUNCTION("""COMPUTED_VALUE"""),"Uncle Sams Cider (04/04/2023)")</f>
        <v>Uncle Sams Cider (04/04/2023)</v>
      </c>
      <c r="H6726" s="19"/>
    </row>
    <row r="6727">
      <c r="A6727" s="9"/>
      <c r="B6727" s="15"/>
      <c r="C6727" s="9">
        <f>IFERROR(__xludf.DUMMYFUNCTION("""COMPUTED_VALUE"""),45073.7638394907)</f>
        <v>45073.76384</v>
      </c>
      <c r="D6727" s="15">
        <f>IFERROR(__xludf.DUMMYFUNCTION("""COMPUTED_VALUE"""),1.01)</f>
        <v>1.01</v>
      </c>
      <c r="E6727" s="16">
        <f>IFERROR(__xludf.DUMMYFUNCTION("""COMPUTED_VALUE"""),66.0)</f>
        <v>66</v>
      </c>
      <c r="F6727" s="19" t="str">
        <f>IFERROR(__xludf.DUMMYFUNCTION("""COMPUTED_VALUE"""),"BLACK")</f>
        <v>BLACK</v>
      </c>
      <c r="G6727" s="20" t="str">
        <f>IFERROR(__xludf.DUMMYFUNCTION("""COMPUTED_VALUE"""),"Uncle Sams Cider (04/04/2023)")</f>
        <v>Uncle Sams Cider (04/04/2023)</v>
      </c>
      <c r="H6727" s="19"/>
    </row>
    <row r="6728">
      <c r="A6728" s="9"/>
      <c r="B6728" s="15"/>
      <c r="C6728" s="9">
        <f>IFERROR(__xludf.DUMMYFUNCTION("""COMPUTED_VALUE"""),45073.7534181365)</f>
        <v>45073.75342</v>
      </c>
      <c r="D6728" s="15">
        <f>IFERROR(__xludf.DUMMYFUNCTION("""COMPUTED_VALUE"""),1.01)</f>
        <v>1.01</v>
      </c>
      <c r="E6728" s="16">
        <f>IFERROR(__xludf.DUMMYFUNCTION("""COMPUTED_VALUE"""),66.0)</f>
        <v>66</v>
      </c>
      <c r="F6728" s="19" t="str">
        <f>IFERROR(__xludf.DUMMYFUNCTION("""COMPUTED_VALUE"""),"BLACK")</f>
        <v>BLACK</v>
      </c>
      <c r="G6728" s="20" t="str">
        <f>IFERROR(__xludf.DUMMYFUNCTION("""COMPUTED_VALUE"""),"Uncle Sams Cider (04/04/2023)")</f>
        <v>Uncle Sams Cider (04/04/2023)</v>
      </c>
      <c r="H6728" s="19"/>
    </row>
    <row r="6729">
      <c r="A6729" s="9"/>
      <c r="B6729" s="15"/>
      <c r="C6729" s="9">
        <f>IFERROR(__xludf.DUMMYFUNCTION("""COMPUTED_VALUE"""),45073.742997037)</f>
        <v>45073.743</v>
      </c>
      <c r="D6729" s="15">
        <f>IFERROR(__xludf.DUMMYFUNCTION("""COMPUTED_VALUE"""),1.01)</f>
        <v>1.01</v>
      </c>
      <c r="E6729" s="16">
        <f>IFERROR(__xludf.DUMMYFUNCTION("""COMPUTED_VALUE"""),66.0)</f>
        <v>66</v>
      </c>
      <c r="F6729" s="19" t="str">
        <f>IFERROR(__xludf.DUMMYFUNCTION("""COMPUTED_VALUE"""),"BLACK")</f>
        <v>BLACK</v>
      </c>
      <c r="G6729" s="20" t="str">
        <f>IFERROR(__xludf.DUMMYFUNCTION("""COMPUTED_VALUE"""),"Uncle Sams Cider (04/04/2023)")</f>
        <v>Uncle Sams Cider (04/04/2023)</v>
      </c>
      <c r="H6729" s="19"/>
    </row>
    <row r="6730">
      <c r="A6730" s="9"/>
      <c r="B6730" s="15"/>
      <c r="C6730" s="9">
        <f>IFERROR(__xludf.DUMMYFUNCTION("""COMPUTED_VALUE"""),45073.7325517476)</f>
        <v>45073.73255</v>
      </c>
      <c r="D6730" s="15">
        <f>IFERROR(__xludf.DUMMYFUNCTION("""COMPUTED_VALUE"""),1.01)</f>
        <v>1.01</v>
      </c>
      <c r="E6730" s="16">
        <f>IFERROR(__xludf.DUMMYFUNCTION("""COMPUTED_VALUE"""),66.0)</f>
        <v>66</v>
      </c>
      <c r="F6730" s="19" t="str">
        <f>IFERROR(__xludf.DUMMYFUNCTION("""COMPUTED_VALUE"""),"BLACK")</f>
        <v>BLACK</v>
      </c>
      <c r="G6730" s="20" t="str">
        <f>IFERROR(__xludf.DUMMYFUNCTION("""COMPUTED_VALUE"""),"Uncle Sams Cider (04/04/2023)")</f>
        <v>Uncle Sams Cider (04/04/2023)</v>
      </c>
      <c r="H6730" s="19"/>
    </row>
    <row r="6731">
      <c r="A6731" s="9"/>
      <c r="B6731" s="15"/>
      <c r="C6731" s="9">
        <f>IFERROR(__xludf.DUMMYFUNCTION("""COMPUTED_VALUE"""),45073.7221302777)</f>
        <v>45073.72213</v>
      </c>
      <c r="D6731" s="15">
        <f>IFERROR(__xludf.DUMMYFUNCTION("""COMPUTED_VALUE"""),1.011)</f>
        <v>1.011</v>
      </c>
      <c r="E6731" s="16">
        <f>IFERROR(__xludf.DUMMYFUNCTION("""COMPUTED_VALUE"""),66.0)</f>
        <v>66</v>
      </c>
      <c r="F6731" s="19" t="str">
        <f>IFERROR(__xludf.DUMMYFUNCTION("""COMPUTED_VALUE"""),"BLACK")</f>
        <v>BLACK</v>
      </c>
      <c r="G6731" s="20" t="str">
        <f>IFERROR(__xludf.DUMMYFUNCTION("""COMPUTED_VALUE"""),"Uncle Sams Cider (04/04/2023)")</f>
        <v>Uncle Sams Cider (04/04/2023)</v>
      </c>
      <c r="H6731" s="19"/>
    </row>
    <row r="6732">
      <c r="A6732" s="9"/>
      <c r="B6732" s="15"/>
      <c r="C6732" s="9">
        <f>IFERROR(__xludf.DUMMYFUNCTION("""COMPUTED_VALUE"""),45073.7116961689)</f>
        <v>45073.7117</v>
      </c>
      <c r="D6732" s="15">
        <f>IFERROR(__xludf.DUMMYFUNCTION("""COMPUTED_VALUE"""),1.01)</f>
        <v>1.01</v>
      </c>
      <c r="E6732" s="16">
        <f>IFERROR(__xludf.DUMMYFUNCTION("""COMPUTED_VALUE"""),66.0)</f>
        <v>66</v>
      </c>
      <c r="F6732" s="19" t="str">
        <f>IFERROR(__xludf.DUMMYFUNCTION("""COMPUTED_VALUE"""),"BLACK")</f>
        <v>BLACK</v>
      </c>
      <c r="G6732" s="20" t="str">
        <f>IFERROR(__xludf.DUMMYFUNCTION("""COMPUTED_VALUE"""),"Uncle Sams Cider (04/04/2023)")</f>
        <v>Uncle Sams Cider (04/04/2023)</v>
      </c>
      <c r="H6732" s="19"/>
    </row>
    <row r="6733">
      <c r="A6733" s="9"/>
      <c r="B6733" s="15"/>
      <c r="C6733" s="9">
        <f>IFERROR(__xludf.DUMMYFUNCTION("""COMPUTED_VALUE"""),45073.7012754976)</f>
        <v>45073.70128</v>
      </c>
      <c r="D6733" s="15">
        <f>IFERROR(__xludf.DUMMYFUNCTION("""COMPUTED_VALUE"""),1.011)</f>
        <v>1.011</v>
      </c>
      <c r="E6733" s="16">
        <f>IFERROR(__xludf.DUMMYFUNCTION("""COMPUTED_VALUE"""),66.0)</f>
        <v>66</v>
      </c>
      <c r="F6733" s="19" t="str">
        <f>IFERROR(__xludf.DUMMYFUNCTION("""COMPUTED_VALUE"""),"BLACK")</f>
        <v>BLACK</v>
      </c>
      <c r="G6733" s="20" t="str">
        <f>IFERROR(__xludf.DUMMYFUNCTION("""COMPUTED_VALUE"""),"Uncle Sams Cider (04/04/2023)")</f>
        <v>Uncle Sams Cider (04/04/2023)</v>
      </c>
      <c r="H6733" s="19"/>
    </row>
    <row r="6734">
      <c r="A6734" s="9"/>
      <c r="B6734" s="15"/>
      <c r="C6734" s="9">
        <f>IFERROR(__xludf.DUMMYFUNCTION("""COMPUTED_VALUE"""),45073.6908417824)</f>
        <v>45073.69084</v>
      </c>
      <c r="D6734" s="15">
        <f>IFERROR(__xludf.DUMMYFUNCTION("""COMPUTED_VALUE"""),1.01)</f>
        <v>1.01</v>
      </c>
      <c r="E6734" s="16">
        <f>IFERROR(__xludf.DUMMYFUNCTION("""COMPUTED_VALUE"""),66.0)</f>
        <v>66</v>
      </c>
      <c r="F6734" s="19" t="str">
        <f>IFERROR(__xludf.DUMMYFUNCTION("""COMPUTED_VALUE"""),"BLACK")</f>
        <v>BLACK</v>
      </c>
      <c r="G6734" s="20" t="str">
        <f>IFERROR(__xludf.DUMMYFUNCTION("""COMPUTED_VALUE"""),"Uncle Sams Cider (04/04/2023)")</f>
        <v>Uncle Sams Cider (04/04/2023)</v>
      </c>
      <c r="H6734" s="19"/>
    </row>
    <row r="6735">
      <c r="A6735" s="9"/>
      <c r="B6735" s="15"/>
      <c r="C6735" s="9">
        <f>IFERROR(__xludf.DUMMYFUNCTION("""COMPUTED_VALUE"""),45073.6804206828)</f>
        <v>45073.68042</v>
      </c>
      <c r="D6735" s="15">
        <f>IFERROR(__xludf.DUMMYFUNCTION("""COMPUTED_VALUE"""),1.01)</f>
        <v>1.01</v>
      </c>
      <c r="E6735" s="16">
        <f>IFERROR(__xludf.DUMMYFUNCTION("""COMPUTED_VALUE"""),66.0)</f>
        <v>66</v>
      </c>
      <c r="F6735" s="19" t="str">
        <f>IFERROR(__xludf.DUMMYFUNCTION("""COMPUTED_VALUE"""),"BLACK")</f>
        <v>BLACK</v>
      </c>
      <c r="G6735" s="20" t="str">
        <f>IFERROR(__xludf.DUMMYFUNCTION("""COMPUTED_VALUE"""),"Uncle Sams Cider (04/04/2023)")</f>
        <v>Uncle Sams Cider (04/04/2023)</v>
      </c>
      <c r="H6735" s="19"/>
    </row>
    <row r="6736">
      <c r="A6736" s="9"/>
      <c r="B6736" s="15"/>
      <c r="C6736" s="9">
        <f>IFERROR(__xludf.DUMMYFUNCTION("""COMPUTED_VALUE"""),45073.6699875115)</f>
        <v>45073.66999</v>
      </c>
      <c r="D6736" s="15">
        <f>IFERROR(__xludf.DUMMYFUNCTION("""COMPUTED_VALUE"""),1.01)</f>
        <v>1.01</v>
      </c>
      <c r="E6736" s="16">
        <f>IFERROR(__xludf.DUMMYFUNCTION("""COMPUTED_VALUE"""),66.0)</f>
        <v>66</v>
      </c>
      <c r="F6736" s="19" t="str">
        <f>IFERROR(__xludf.DUMMYFUNCTION("""COMPUTED_VALUE"""),"BLACK")</f>
        <v>BLACK</v>
      </c>
      <c r="G6736" s="20" t="str">
        <f>IFERROR(__xludf.DUMMYFUNCTION("""COMPUTED_VALUE"""),"Uncle Sams Cider (04/04/2023)")</f>
        <v>Uncle Sams Cider (04/04/2023)</v>
      </c>
      <c r="H6736" s="19"/>
    </row>
    <row r="6737">
      <c r="A6737" s="9"/>
      <c r="B6737" s="15"/>
      <c r="C6737" s="9">
        <f>IFERROR(__xludf.DUMMYFUNCTION("""COMPUTED_VALUE"""),45073.6595669213)</f>
        <v>45073.65957</v>
      </c>
      <c r="D6737" s="15">
        <f>IFERROR(__xludf.DUMMYFUNCTION("""COMPUTED_VALUE"""),1.011)</f>
        <v>1.011</v>
      </c>
      <c r="E6737" s="16">
        <f>IFERROR(__xludf.DUMMYFUNCTION("""COMPUTED_VALUE"""),66.0)</f>
        <v>66</v>
      </c>
      <c r="F6737" s="19" t="str">
        <f>IFERROR(__xludf.DUMMYFUNCTION("""COMPUTED_VALUE"""),"BLACK")</f>
        <v>BLACK</v>
      </c>
      <c r="G6737" s="20" t="str">
        <f>IFERROR(__xludf.DUMMYFUNCTION("""COMPUTED_VALUE"""),"Uncle Sams Cider (04/04/2023)")</f>
        <v>Uncle Sams Cider (04/04/2023)</v>
      </c>
      <c r="H6737" s="19"/>
    </row>
    <row r="6738">
      <c r="A6738" s="9"/>
      <c r="B6738" s="15"/>
      <c r="C6738" s="9">
        <f>IFERROR(__xludf.DUMMYFUNCTION("""COMPUTED_VALUE"""),45073.6491449537)</f>
        <v>45073.64914</v>
      </c>
      <c r="D6738" s="15">
        <f>IFERROR(__xludf.DUMMYFUNCTION("""COMPUTED_VALUE"""),1.011)</f>
        <v>1.011</v>
      </c>
      <c r="E6738" s="16">
        <f>IFERROR(__xludf.DUMMYFUNCTION("""COMPUTED_VALUE"""),66.0)</f>
        <v>66</v>
      </c>
      <c r="F6738" s="19" t="str">
        <f>IFERROR(__xludf.DUMMYFUNCTION("""COMPUTED_VALUE"""),"BLACK")</f>
        <v>BLACK</v>
      </c>
      <c r="G6738" s="20" t="str">
        <f>IFERROR(__xludf.DUMMYFUNCTION("""COMPUTED_VALUE"""),"Uncle Sams Cider (04/04/2023)")</f>
        <v>Uncle Sams Cider (04/04/2023)</v>
      </c>
      <c r="H6738" s="19"/>
    </row>
    <row r="6739">
      <c r="A6739" s="9"/>
      <c r="B6739" s="15"/>
      <c r="C6739" s="9">
        <f>IFERROR(__xludf.DUMMYFUNCTION("""COMPUTED_VALUE"""),45073.638712199)</f>
        <v>45073.63871</v>
      </c>
      <c r="D6739" s="15">
        <f>IFERROR(__xludf.DUMMYFUNCTION("""COMPUTED_VALUE"""),1.011)</f>
        <v>1.011</v>
      </c>
      <c r="E6739" s="16">
        <f>IFERROR(__xludf.DUMMYFUNCTION("""COMPUTED_VALUE"""),66.0)</f>
        <v>66</v>
      </c>
      <c r="F6739" s="19" t="str">
        <f>IFERROR(__xludf.DUMMYFUNCTION("""COMPUTED_VALUE"""),"BLACK")</f>
        <v>BLACK</v>
      </c>
      <c r="G6739" s="20" t="str">
        <f>IFERROR(__xludf.DUMMYFUNCTION("""COMPUTED_VALUE"""),"Uncle Sams Cider (04/04/2023)")</f>
        <v>Uncle Sams Cider (04/04/2023)</v>
      </c>
      <c r="H6739" s="19"/>
    </row>
    <row r="6740">
      <c r="A6740" s="9"/>
      <c r="B6740" s="15"/>
      <c r="C6740" s="9">
        <f>IFERROR(__xludf.DUMMYFUNCTION("""COMPUTED_VALUE"""),45073.6282904282)</f>
        <v>45073.62829</v>
      </c>
      <c r="D6740" s="15">
        <f>IFERROR(__xludf.DUMMYFUNCTION("""COMPUTED_VALUE"""),1.011)</f>
        <v>1.011</v>
      </c>
      <c r="E6740" s="16">
        <f>IFERROR(__xludf.DUMMYFUNCTION("""COMPUTED_VALUE"""),66.0)</f>
        <v>66</v>
      </c>
      <c r="F6740" s="19" t="str">
        <f>IFERROR(__xludf.DUMMYFUNCTION("""COMPUTED_VALUE"""),"BLACK")</f>
        <v>BLACK</v>
      </c>
      <c r="G6740" s="20" t="str">
        <f>IFERROR(__xludf.DUMMYFUNCTION("""COMPUTED_VALUE"""),"Uncle Sams Cider (04/04/2023)")</f>
        <v>Uncle Sams Cider (04/04/2023)</v>
      </c>
      <c r="H6740" s="19"/>
    </row>
    <row r="6741">
      <c r="A6741" s="9"/>
      <c r="B6741" s="15"/>
      <c r="C6741" s="9">
        <f>IFERROR(__xludf.DUMMYFUNCTION("""COMPUTED_VALUE"""),45073.6178698263)</f>
        <v>45073.61787</v>
      </c>
      <c r="D6741" s="15">
        <f>IFERROR(__xludf.DUMMYFUNCTION("""COMPUTED_VALUE"""),1.01)</f>
        <v>1.01</v>
      </c>
      <c r="E6741" s="16">
        <f>IFERROR(__xludf.DUMMYFUNCTION("""COMPUTED_VALUE"""),66.0)</f>
        <v>66</v>
      </c>
      <c r="F6741" s="19" t="str">
        <f>IFERROR(__xludf.DUMMYFUNCTION("""COMPUTED_VALUE"""),"BLACK")</f>
        <v>BLACK</v>
      </c>
      <c r="G6741" s="20" t="str">
        <f>IFERROR(__xludf.DUMMYFUNCTION("""COMPUTED_VALUE"""),"Uncle Sams Cider (04/04/2023)")</f>
        <v>Uncle Sams Cider (04/04/2023)</v>
      </c>
      <c r="H6741" s="19"/>
    </row>
    <row r="6742">
      <c r="A6742" s="9"/>
      <c r="B6742" s="15"/>
      <c r="C6742" s="9">
        <f>IFERROR(__xludf.DUMMYFUNCTION("""COMPUTED_VALUE"""),45073.6074392361)</f>
        <v>45073.60744</v>
      </c>
      <c r="D6742" s="15">
        <f>IFERROR(__xludf.DUMMYFUNCTION("""COMPUTED_VALUE"""),1.011)</f>
        <v>1.011</v>
      </c>
      <c r="E6742" s="16">
        <f>IFERROR(__xludf.DUMMYFUNCTION("""COMPUTED_VALUE"""),66.0)</f>
        <v>66</v>
      </c>
      <c r="F6742" s="19" t="str">
        <f>IFERROR(__xludf.DUMMYFUNCTION("""COMPUTED_VALUE"""),"BLACK")</f>
        <v>BLACK</v>
      </c>
      <c r="G6742" s="20" t="str">
        <f>IFERROR(__xludf.DUMMYFUNCTION("""COMPUTED_VALUE"""),"Uncle Sams Cider (04/04/2023)")</f>
        <v>Uncle Sams Cider (04/04/2023)</v>
      </c>
      <c r="H6742" s="19"/>
    </row>
    <row r="6743">
      <c r="A6743" s="9"/>
      <c r="B6743" s="15"/>
      <c r="C6743" s="9">
        <f>IFERROR(__xludf.DUMMYFUNCTION("""COMPUTED_VALUE"""),45073.5970197569)</f>
        <v>45073.59702</v>
      </c>
      <c r="D6743" s="15">
        <f>IFERROR(__xludf.DUMMYFUNCTION("""COMPUTED_VALUE"""),1.011)</f>
        <v>1.011</v>
      </c>
      <c r="E6743" s="16">
        <f>IFERROR(__xludf.DUMMYFUNCTION("""COMPUTED_VALUE"""),66.0)</f>
        <v>66</v>
      </c>
      <c r="F6743" s="19" t="str">
        <f>IFERROR(__xludf.DUMMYFUNCTION("""COMPUTED_VALUE"""),"BLACK")</f>
        <v>BLACK</v>
      </c>
      <c r="G6743" s="20" t="str">
        <f>IFERROR(__xludf.DUMMYFUNCTION("""COMPUTED_VALUE"""),"Uncle Sams Cider (04/04/2023)")</f>
        <v>Uncle Sams Cider (04/04/2023)</v>
      </c>
      <c r="H6743" s="19"/>
    </row>
    <row r="6744">
      <c r="A6744" s="9"/>
      <c r="B6744" s="15"/>
      <c r="C6744" s="9">
        <f>IFERROR(__xludf.DUMMYFUNCTION("""COMPUTED_VALUE"""),45073.5865972106)</f>
        <v>45073.5866</v>
      </c>
      <c r="D6744" s="15">
        <f>IFERROR(__xludf.DUMMYFUNCTION("""COMPUTED_VALUE"""),1.011)</f>
        <v>1.011</v>
      </c>
      <c r="E6744" s="16">
        <f>IFERROR(__xludf.DUMMYFUNCTION("""COMPUTED_VALUE"""),66.0)</f>
        <v>66</v>
      </c>
      <c r="F6744" s="19" t="str">
        <f>IFERROR(__xludf.DUMMYFUNCTION("""COMPUTED_VALUE"""),"BLACK")</f>
        <v>BLACK</v>
      </c>
      <c r="G6744" s="20" t="str">
        <f>IFERROR(__xludf.DUMMYFUNCTION("""COMPUTED_VALUE"""),"Uncle Sams Cider (04/04/2023)")</f>
        <v>Uncle Sams Cider (04/04/2023)</v>
      </c>
      <c r="H6744" s="19"/>
    </row>
    <row r="6745">
      <c r="A6745" s="9"/>
      <c r="B6745" s="15"/>
      <c r="C6745" s="9">
        <f>IFERROR(__xludf.DUMMYFUNCTION("""COMPUTED_VALUE"""),45073.5761629282)</f>
        <v>45073.57616</v>
      </c>
      <c r="D6745" s="15">
        <f>IFERROR(__xludf.DUMMYFUNCTION("""COMPUTED_VALUE"""),1.011)</f>
        <v>1.011</v>
      </c>
      <c r="E6745" s="16">
        <f>IFERROR(__xludf.DUMMYFUNCTION("""COMPUTED_VALUE"""),66.0)</f>
        <v>66</v>
      </c>
      <c r="F6745" s="19" t="str">
        <f>IFERROR(__xludf.DUMMYFUNCTION("""COMPUTED_VALUE"""),"BLACK")</f>
        <v>BLACK</v>
      </c>
      <c r="G6745" s="20" t="str">
        <f>IFERROR(__xludf.DUMMYFUNCTION("""COMPUTED_VALUE"""),"Uncle Sams Cider (04/04/2023)")</f>
        <v>Uncle Sams Cider (04/04/2023)</v>
      </c>
      <c r="H6745" s="19"/>
    </row>
    <row r="6746">
      <c r="A6746" s="9"/>
      <c r="B6746" s="15"/>
      <c r="C6746" s="9">
        <f>IFERROR(__xludf.DUMMYFUNCTION("""COMPUTED_VALUE"""),45073.5657414699)</f>
        <v>45073.56574</v>
      </c>
      <c r="D6746" s="15">
        <f>IFERROR(__xludf.DUMMYFUNCTION("""COMPUTED_VALUE"""),1.011)</f>
        <v>1.011</v>
      </c>
      <c r="E6746" s="16">
        <f>IFERROR(__xludf.DUMMYFUNCTION("""COMPUTED_VALUE"""),66.0)</f>
        <v>66</v>
      </c>
      <c r="F6746" s="19" t="str">
        <f>IFERROR(__xludf.DUMMYFUNCTION("""COMPUTED_VALUE"""),"BLACK")</f>
        <v>BLACK</v>
      </c>
      <c r="G6746" s="20" t="str">
        <f>IFERROR(__xludf.DUMMYFUNCTION("""COMPUTED_VALUE"""),"Uncle Sams Cider (04/04/2023)")</f>
        <v>Uncle Sams Cider (04/04/2023)</v>
      </c>
      <c r="H6746" s="19"/>
    </row>
    <row r="6747">
      <c r="A6747" s="9"/>
      <c r="B6747" s="15"/>
      <c r="C6747" s="9">
        <f>IFERROR(__xludf.DUMMYFUNCTION("""COMPUTED_VALUE"""),45073.555321412)</f>
        <v>45073.55532</v>
      </c>
      <c r="D6747" s="15">
        <f>IFERROR(__xludf.DUMMYFUNCTION("""COMPUTED_VALUE"""),1.011)</f>
        <v>1.011</v>
      </c>
      <c r="E6747" s="16">
        <f>IFERROR(__xludf.DUMMYFUNCTION("""COMPUTED_VALUE"""),66.0)</f>
        <v>66</v>
      </c>
      <c r="F6747" s="19" t="str">
        <f>IFERROR(__xludf.DUMMYFUNCTION("""COMPUTED_VALUE"""),"BLACK")</f>
        <v>BLACK</v>
      </c>
      <c r="G6747" s="20" t="str">
        <f>IFERROR(__xludf.DUMMYFUNCTION("""COMPUTED_VALUE"""),"Uncle Sams Cider (04/04/2023)")</f>
        <v>Uncle Sams Cider (04/04/2023)</v>
      </c>
      <c r="H6747" s="19"/>
    </row>
    <row r="6748">
      <c r="A6748" s="9"/>
      <c r="B6748" s="15"/>
      <c r="C6748" s="9">
        <f>IFERROR(__xludf.DUMMYFUNCTION("""COMPUTED_VALUE"""),45073.5448987384)</f>
        <v>45073.5449</v>
      </c>
      <c r="D6748" s="15">
        <f>IFERROR(__xludf.DUMMYFUNCTION("""COMPUTED_VALUE"""),1.011)</f>
        <v>1.011</v>
      </c>
      <c r="E6748" s="16">
        <f>IFERROR(__xludf.DUMMYFUNCTION("""COMPUTED_VALUE"""),66.0)</f>
        <v>66</v>
      </c>
      <c r="F6748" s="19" t="str">
        <f>IFERROR(__xludf.DUMMYFUNCTION("""COMPUTED_VALUE"""),"BLACK")</f>
        <v>BLACK</v>
      </c>
      <c r="G6748" s="20" t="str">
        <f>IFERROR(__xludf.DUMMYFUNCTION("""COMPUTED_VALUE"""),"Uncle Sams Cider (04/04/2023)")</f>
        <v>Uncle Sams Cider (04/04/2023)</v>
      </c>
      <c r="H6748" s="19"/>
    </row>
    <row r="6749">
      <c r="A6749" s="9"/>
      <c r="B6749" s="15"/>
      <c r="C6749" s="9">
        <f>IFERROR(__xludf.DUMMYFUNCTION("""COMPUTED_VALUE"""),45073.5344770949)</f>
        <v>45073.53448</v>
      </c>
      <c r="D6749" s="15">
        <f>IFERROR(__xludf.DUMMYFUNCTION("""COMPUTED_VALUE"""),1.011)</f>
        <v>1.011</v>
      </c>
      <c r="E6749" s="16">
        <f>IFERROR(__xludf.DUMMYFUNCTION("""COMPUTED_VALUE"""),66.0)</f>
        <v>66</v>
      </c>
      <c r="F6749" s="19" t="str">
        <f>IFERROR(__xludf.DUMMYFUNCTION("""COMPUTED_VALUE"""),"BLACK")</f>
        <v>BLACK</v>
      </c>
      <c r="G6749" s="20" t="str">
        <f>IFERROR(__xludf.DUMMYFUNCTION("""COMPUTED_VALUE"""),"Uncle Sams Cider (04/04/2023)")</f>
        <v>Uncle Sams Cider (04/04/2023)</v>
      </c>
      <c r="H6749" s="19"/>
    </row>
    <row r="6750">
      <c r="A6750" s="9"/>
      <c r="B6750" s="15"/>
      <c r="C6750" s="9">
        <f>IFERROR(__xludf.DUMMYFUNCTION("""COMPUTED_VALUE"""),45073.5240462037)</f>
        <v>45073.52405</v>
      </c>
      <c r="D6750" s="15">
        <f>IFERROR(__xludf.DUMMYFUNCTION("""COMPUTED_VALUE"""),1.011)</f>
        <v>1.011</v>
      </c>
      <c r="E6750" s="16">
        <f>IFERROR(__xludf.DUMMYFUNCTION("""COMPUTED_VALUE"""),66.0)</f>
        <v>66</v>
      </c>
      <c r="F6750" s="19" t="str">
        <f>IFERROR(__xludf.DUMMYFUNCTION("""COMPUTED_VALUE"""),"BLACK")</f>
        <v>BLACK</v>
      </c>
      <c r="G6750" s="20" t="str">
        <f>IFERROR(__xludf.DUMMYFUNCTION("""COMPUTED_VALUE"""),"Uncle Sams Cider (04/04/2023)")</f>
        <v>Uncle Sams Cider (04/04/2023)</v>
      </c>
      <c r="H6750" s="19"/>
    </row>
    <row r="6751">
      <c r="A6751" s="9"/>
      <c r="B6751" s="15"/>
      <c r="C6751" s="9">
        <f>IFERROR(__xludf.DUMMYFUNCTION("""COMPUTED_VALUE"""),45073.5136237962)</f>
        <v>45073.51362</v>
      </c>
      <c r="D6751" s="15">
        <f>IFERROR(__xludf.DUMMYFUNCTION("""COMPUTED_VALUE"""),1.011)</f>
        <v>1.011</v>
      </c>
      <c r="E6751" s="16">
        <f>IFERROR(__xludf.DUMMYFUNCTION("""COMPUTED_VALUE"""),66.0)</f>
        <v>66</v>
      </c>
      <c r="F6751" s="19" t="str">
        <f>IFERROR(__xludf.DUMMYFUNCTION("""COMPUTED_VALUE"""),"BLACK")</f>
        <v>BLACK</v>
      </c>
      <c r="G6751" s="20" t="str">
        <f>IFERROR(__xludf.DUMMYFUNCTION("""COMPUTED_VALUE"""),"Uncle Sams Cider (04/04/2023)")</f>
        <v>Uncle Sams Cider (04/04/2023)</v>
      </c>
      <c r="H6751" s="19"/>
    </row>
    <row r="6752">
      <c r="A6752" s="9"/>
      <c r="B6752" s="15"/>
      <c r="C6752" s="9">
        <f>IFERROR(__xludf.DUMMYFUNCTION("""COMPUTED_VALUE"""),45073.5031785648)</f>
        <v>45073.50318</v>
      </c>
      <c r="D6752" s="15">
        <f>IFERROR(__xludf.DUMMYFUNCTION("""COMPUTED_VALUE"""),1.011)</f>
        <v>1.011</v>
      </c>
      <c r="E6752" s="16">
        <f>IFERROR(__xludf.DUMMYFUNCTION("""COMPUTED_VALUE"""),66.0)</f>
        <v>66</v>
      </c>
      <c r="F6752" s="19" t="str">
        <f>IFERROR(__xludf.DUMMYFUNCTION("""COMPUTED_VALUE"""),"BLACK")</f>
        <v>BLACK</v>
      </c>
      <c r="G6752" s="20" t="str">
        <f>IFERROR(__xludf.DUMMYFUNCTION("""COMPUTED_VALUE"""),"Uncle Sams Cider (04/04/2023)")</f>
        <v>Uncle Sams Cider (04/04/2023)</v>
      </c>
      <c r="H6752" s="19"/>
    </row>
    <row r="6753">
      <c r="A6753" s="9"/>
      <c r="B6753" s="15"/>
      <c r="C6753" s="9">
        <f>IFERROR(__xludf.DUMMYFUNCTION("""COMPUTED_VALUE"""),45073.4927210532)</f>
        <v>45073.49272</v>
      </c>
      <c r="D6753" s="15">
        <f>IFERROR(__xludf.DUMMYFUNCTION("""COMPUTED_VALUE"""),1.011)</f>
        <v>1.011</v>
      </c>
      <c r="E6753" s="16">
        <f>IFERROR(__xludf.DUMMYFUNCTION("""COMPUTED_VALUE"""),66.0)</f>
        <v>66</v>
      </c>
      <c r="F6753" s="19" t="str">
        <f>IFERROR(__xludf.DUMMYFUNCTION("""COMPUTED_VALUE"""),"BLACK")</f>
        <v>BLACK</v>
      </c>
      <c r="G6753" s="20" t="str">
        <f>IFERROR(__xludf.DUMMYFUNCTION("""COMPUTED_VALUE"""),"Uncle Sams Cider (04/04/2023)")</f>
        <v>Uncle Sams Cider (04/04/2023)</v>
      </c>
      <c r="H6753" s="19"/>
    </row>
    <row r="6754">
      <c r="A6754" s="9"/>
      <c r="B6754" s="15"/>
      <c r="C6754" s="9">
        <f>IFERROR(__xludf.DUMMYFUNCTION("""COMPUTED_VALUE"""),45073.4822870486)</f>
        <v>45073.48229</v>
      </c>
      <c r="D6754" s="15">
        <f>IFERROR(__xludf.DUMMYFUNCTION("""COMPUTED_VALUE"""),1.011)</f>
        <v>1.011</v>
      </c>
      <c r="E6754" s="16">
        <f>IFERROR(__xludf.DUMMYFUNCTION("""COMPUTED_VALUE"""),66.0)</f>
        <v>66</v>
      </c>
      <c r="F6754" s="19" t="str">
        <f>IFERROR(__xludf.DUMMYFUNCTION("""COMPUTED_VALUE"""),"BLACK")</f>
        <v>BLACK</v>
      </c>
      <c r="G6754" s="20" t="str">
        <f>IFERROR(__xludf.DUMMYFUNCTION("""COMPUTED_VALUE"""),"Uncle Sams Cider (04/04/2023)")</f>
        <v>Uncle Sams Cider (04/04/2023)</v>
      </c>
      <c r="H6754" s="19"/>
    </row>
    <row r="6755">
      <c r="A6755" s="9"/>
      <c r="B6755" s="15"/>
      <c r="C6755" s="9">
        <f>IFERROR(__xludf.DUMMYFUNCTION("""COMPUTED_VALUE"""),45073.4718420486)</f>
        <v>45073.47184</v>
      </c>
      <c r="D6755" s="15">
        <f>IFERROR(__xludf.DUMMYFUNCTION("""COMPUTED_VALUE"""),1.011)</f>
        <v>1.011</v>
      </c>
      <c r="E6755" s="16">
        <f>IFERROR(__xludf.DUMMYFUNCTION("""COMPUTED_VALUE"""),66.0)</f>
        <v>66</v>
      </c>
      <c r="F6755" s="19" t="str">
        <f>IFERROR(__xludf.DUMMYFUNCTION("""COMPUTED_VALUE"""),"BLACK")</f>
        <v>BLACK</v>
      </c>
      <c r="G6755" s="20" t="str">
        <f>IFERROR(__xludf.DUMMYFUNCTION("""COMPUTED_VALUE"""),"Uncle Sams Cider (04/04/2023)")</f>
        <v>Uncle Sams Cider (04/04/2023)</v>
      </c>
      <c r="H6755" s="19"/>
    </row>
    <row r="6756">
      <c r="A6756" s="9"/>
      <c r="B6756" s="15"/>
      <c r="C6756" s="9">
        <f>IFERROR(__xludf.DUMMYFUNCTION("""COMPUTED_VALUE"""),45073.4614225578)</f>
        <v>45073.46142</v>
      </c>
      <c r="D6756" s="15">
        <f>IFERROR(__xludf.DUMMYFUNCTION("""COMPUTED_VALUE"""),1.011)</f>
        <v>1.011</v>
      </c>
      <c r="E6756" s="16">
        <f>IFERROR(__xludf.DUMMYFUNCTION("""COMPUTED_VALUE"""),66.0)</f>
        <v>66</v>
      </c>
      <c r="F6756" s="19" t="str">
        <f>IFERROR(__xludf.DUMMYFUNCTION("""COMPUTED_VALUE"""),"BLACK")</f>
        <v>BLACK</v>
      </c>
      <c r="G6756" s="20" t="str">
        <f>IFERROR(__xludf.DUMMYFUNCTION("""COMPUTED_VALUE"""),"Uncle Sams Cider (04/04/2023)")</f>
        <v>Uncle Sams Cider (04/04/2023)</v>
      </c>
      <c r="H6756" s="19"/>
    </row>
    <row r="6757">
      <c r="A6757" s="9"/>
      <c r="B6757" s="15"/>
      <c r="C6757" s="9">
        <f>IFERROR(__xludf.DUMMYFUNCTION("""COMPUTED_VALUE"""),45073.4509895486)</f>
        <v>45073.45099</v>
      </c>
      <c r="D6757" s="15">
        <f>IFERROR(__xludf.DUMMYFUNCTION("""COMPUTED_VALUE"""),1.011)</f>
        <v>1.011</v>
      </c>
      <c r="E6757" s="16">
        <f>IFERROR(__xludf.DUMMYFUNCTION("""COMPUTED_VALUE"""),66.0)</f>
        <v>66</v>
      </c>
      <c r="F6757" s="19" t="str">
        <f>IFERROR(__xludf.DUMMYFUNCTION("""COMPUTED_VALUE"""),"BLACK")</f>
        <v>BLACK</v>
      </c>
      <c r="G6757" s="20" t="str">
        <f>IFERROR(__xludf.DUMMYFUNCTION("""COMPUTED_VALUE"""),"Uncle Sams Cider (04/04/2023)")</f>
        <v>Uncle Sams Cider (04/04/2023)</v>
      </c>
      <c r="H6757" s="19"/>
    </row>
    <row r="6758">
      <c r="A6758" s="9"/>
      <c r="B6758" s="15"/>
      <c r="C6758" s="9">
        <f>IFERROR(__xludf.DUMMYFUNCTION("""COMPUTED_VALUE"""),45073.4405471064)</f>
        <v>45073.44055</v>
      </c>
      <c r="D6758" s="15">
        <f>IFERROR(__xludf.DUMMYFUNCTION("""COMPUTED_VALUE"""),1.011)</f>
        <v>1.011</v>
      </c>
      <c r="E6758" s="16">
        <f>IFERROR(__xludf.DUMMYFUNCTION("""COMPUTED_VALUE"""),66.0)</f>
        <v>66</v>
      </c>
      <c r="F6758" s="19" t="str">
        <f>IFERROR(__xludf.DUMMYFUNCTION("""COMPUTED_VALUE"""),"BLACK")</f>
        <v>BLACK</v>
      </c>
      <c r="G6758" s="20" t="str">
        <f>IFERROR(__xludf.DUMMYFUNCTION("""COMPUTED_VALUE"""),"Uncle Sams Cider (04/04/2023)")</f>
        <v>Uncle Sams Cider (04/04/2023)</v>
      </c>
      <c r="H6758" s="19"/>
    </row>
    <row r="6759">
      <c r="A6759" s="9"/>
      <c r="B6759" s="15"/>
      <c r="C6759" s="9">
        <f>IFERROR(__xludf.DUMMYFUNCTION("""COMPUTED_VALUE"""),45073.4301135301)</f>
        <v>45073.43011</v>
      </c>
      <c r="D6759" s="15">
        <f>IFERROR(__xludf.DUMMYFUNCTION("""COMPUTED_VALUE"""),1.011)</f>
        <v>1.011</v>
      </c>
      <c r="E6759" s="16">
        <f>IFERROR(__xludf.DUMMYFUNCTION("""COMPUTED_VALUE"""),66.0)</f>
        <v>66</v>
      </c>
      <c r="F6759" s="19" t="str">
        <f>IFERROR(__xludf.DUMMYFUNCTION("""COMPUTED_VALUE"""),"BLACK")</f>
        <v>BLACK</v>
      </c>
      <c r="G6759" s="20" t="str">
        <f>IFERROR(__xludf.DUMMYFUNCTION("""COMPUTED_VALUE"""),"Uncle Sams Cider (04/04/2023)")</f>
        <v>Uncle Sams Cider (04/04/2023)</v>
      </c>
      <c r="H6759" s="19"/>
    </row>
    <row r="6760">
      <c r="A6760" s="9"/>
      <c r="B6760" s="15"/>
      <c r="C6760" s="9">
        <f>IFERROR(__xludf.DUMMYFUNCTION("""COMPUTED_VALUE"""),45073.419690243)</f>
        <v>45073.41969</v>
      </c>
      <c r="D6760" s="15">
        <f>IFERROR(__xludf.DUMMYFUNCTION("""COMPUTED_VALUE"""),1.011)</f>
        <v>1.011</v>
      </c>
      <c r="E6760" s="16">
        <f>IFERROR(__xludf.DUMMYFUNCTION("""COMPUTED_VALUE"""),66.0)</f>
        <v>66</v>
      </c>
      <c r="F6760" s="19" t="str">
        <f>IFERROR(__xludf.DUMMYFUNCTION("""COMPUTED_VALUE"""),"BLACK")</f>
        <v>BLACK</v>
      </c>
      <c r="G6760" s="20" t="str">
        <f>IFERROR(__xludf.DUMMYFUNCTION("""COMPUTED_VALUE"""),"Uncle Sams Cider (04/04/2023)")</f>
        <v>Uncle Sams Cider (04/04/2023)</v>
      </c>
      <c r="H6760" s="19"/>
    </row>
    <row r="6761">
      <c r="A6761" s="9"/>
      <c r="B6761" s="15"/>
      <c r="C6761" s="9">
        <f>IFERROR(__xludf.DUMMYFUNCTION("""COMPUTED_VALUE"""),45073.4092675231)</f>
        <v>45073.40927</v>
      </c>
      <c r="D6761" s="15">
        <f>IFERROR(__xludf.DUMMYFUNCTION("""COMPUTED_VALUE"""),1.011)</f>
        <v>1.011</v>
      </c>
      <c r="E6761" s="16">
        <f>IFERROR(__xludf.DUMMYFUNCTION("""COMPUTED_VALUE"""),66.0)</f>
        <v>66</v>
      </c>
      <c r="F6761" s="19" t="str">
        <f>IFERROR(__xludf.DUMMYFUNCTION("""COMPUTED_VALUE"""),"BLACK")</f>
        <v>BLACK</v>
      </c>
      <c r="G6761" s="20" t="str">
        <f>IFERROR(__xludf.DUMMYFUNCTION("""COMPUTED_VALUE"""),"Uncle Sams Cider (04/04/2023)")</f>
        <v>Uncle Sams Cider (04/04/2023)</v>
      </c>
      <c r="H6761" s="19"/>
    </row>
    <row r="6762">
      <c r="A6762" s="9"/>
      <c r="B6762" s="15"/>
      <c r="C6762" s="9">
        <f>IFERROR(__xludf.DUMMYFUNCTION("""COMPUTED_VALUE"""),45073.3988451851)</f>
        <v>45073.39885</v>
      </c>
      <c r="D6762" s="15">
        <f>IFERROR(__xludf.DUMMYFUNCTION("""COMPUTED_VALUE"""),1.011)</f>
        <v>1.011</v>
      </c>
      <c r="E6762" s="16">
        <f>IFERROR(__xludf.DUMMYFUNCTION("""COMPUTED_VALUE"""),66.0)</f>
        <v>66</v>
      </c>
      <c r="F6762" s="19" t="str">
        <f>IFERROR(__xludf.DUMMYFUNCTION("""COMPUTED_VALUE"""),"BLACK")</f>
        <v>BLACK</v>
      </c>
      <c r="G6762" s="20" t="str">
        <f>IFERROR(__xludf.DUMMYFUNCTION("""COMPUTED_VALUE"""),"Uncle Sams Cider (04/04/2023)")</f>
        <v>Uncle Sams Cider (04/04/2023)</v>
      </c>
      <c r="H6762" s="19"/>
    </row>
    <row r="6763">
      <c r="A6763" s="9"/>
      <c r="B6763" s="15"/>
      <c r="C6763" s="9">
        <f>IFERROR(__xludf.DUMMYFUNCTION("""COMPUTED_VALUE"""),45073.3884243865)</f>
        <v>45073.38842</v>
      </c>
      <c r="D6763" s="15">
        <f>IFERROR(__xludf.DUMMYFUNCTION("""COMPUTED_VALUE"""),1.011)</f>
        <v>1.011</v>
      </c>
      <c r="E6763" s="16">
        <f>IFERROR(__xludf.DUMMYFUNCTION("""COMPUTED_VALUE"""),66.0)</f>
        <v>66</v>
      </c>
      <c r="F6763" s="19" t="str">
        <f>IFERROR(__xludf.DUMMYFUNCTION("""COMPUTED_VALUE"""),"BLACK")</f>
        <v>BLACK</v>
      </c>
      <c r="G6763" s="20" t="str">
        <f>IFERROR(__xludf.DUMMYFUNCTION("""COMPUTED_VALUE"""),"Uncle Sams Cider (04/04/2023)")</f>
        <v>Uncle Sams Cider (04/04/2023)</v>
      </c>
      <c r="H6763" s="19"/>
    </row>
    <row r="6764">
      <c r="A6764" s="9"/>
      <c r="B6764" s="15"/>
      <c r="C6764" s="9">
        <f>IFERROR(__xludf.DUMMYFUNCTION("""COMPUTED_VALUE"""),45073.3780020138)</f>
        <v>45073.378</v>
      </c>
      <c r="D6764" s="15">
        <f>IFERROR(__xludf.DUMMYFUNCTION("""COMPUTED_VALUE"""),1.011)</f>
        <v>1.011</v>
      </c>
      <c r="E6764" s="16">
        <f>IFERROR(__xludf.DUMMYFUNCTION("""COMPUTED_VALUE"""),66.0)</f>
        <v>66</v>
      </c>
      <c r="F6764" s="19" t="str">
        <f>IFERROR(__xludf.DUMMYFUNCTION("""COMPUTED_VALUE"""),"BLACK")</f>
        <v>BLACK</v>
      </c>
      <c r="G6764" s="20" t="str">
        <f>IFERROR(__xludf.DUMMYFUNCTION("""COMPUTED_VALUE"""),"Uncle Sams Cider (04/04/2023)")</f>
        <v>Uncle Sams Cider (04/04/2023)</v>
      </c>
      <c r="H6764" s="19"/>
    </row>
    <row r="6765">
      <c r="A6765" s="9"/>
      <c r="B6765" s="15"/>
      <c r="C6765" s="9">
        <f>IFERROR(__xludf.DUMMYFUNCTION("""COMPUTED_VALUE"""),45073.3675698726)</f>
        <v>45073.36757</v>
      </c>
      <c r="D6765" s="15">
        <f>IFERROR(__xludf.DUMMYFUNCTION("""COMPUTED_VALUE"""),1.011)</f>
        <v>1.011</v>
      </c>
      <c r="E6765" s="16">
        <f>IFERROR(__xludf.DUMMYFUNCTION("""COMPUTED_VALUE"""),66.0)</f>
        <v>66</v>
      </c>
      <c r="F6765" s="19" t="str">
        <f>IFERROR(__xludf.DUMMYFUNCTION("""COMPUTED_VALUE"""),"BLACK")</f>
        <v>BLACK</v>
      </c>
      <c r="G6765" s="20" t="str">
        <f>IFERROR(__xludf.DUMMYFUNCTION("""COMPUTED_VALUE"""),"Uncle Sams Cider (04/04/2023)")</f>
        <v>Uncle Sams Cider (04/04/2023)</v>
      </c>
      <c r="H6765" s="19"/>
    </row>
    <row r="6766">
      <c r="A6766" s="9"/>
      <c r="B6766" s="15"/>
      <c r="C6766" s="9">
        <f>IFERROR(__xludf.DUMMYFUNCTION("""COMPUTED_VALUE"""),45073.357146875)</f>
        <v>45073.35715</v>
      </c>
      <c r="D6766" s="15">
        <f>IFERROR(__xludf.DUMMYFUNCTION("""COMPUTED_VALUE"""),1.011)</f>
        <v>1.011</v>
      </c>
      <c r="E6766" s="16">
        <f>IFERROR(__xludf.DUMMYFUNCTION("""COMPUTED_VALUE"""),66.0)</f>
        <v>66</v>
      </c>
      <c r="F6766" s="19" t="str">
        <f>IFERROR(__xludf.DUMMYFUNCTION("""COMPUTED_VALUE"""),"BLACK")</f>
        <v>BLACK</v>
      </c>
      <c r="G6766" s="20" t="str">
        <f>IFERROR(__xludf.DUMMYFUNCTION("""COMPUTED_VALUE"""),"Uncle Sams Cider (04/04/2023)")</f>
        <v>Uncle Sams Cider (04/04/2023)</v>
      </c>
      <c r="H6766" s="19"/>
    </row>
    <row r="6767">
      <c r="A6767" s="9"/>
      <c r="B6767" s="15"/>
      <c r="C6767" s="9">
        <f>IFERROR(__xludf.DUMMYFUNCTION("""COMPUTED_VALUE"""),45073.3467274884)</f>
        <v>45073.34673</v>
      </c>
      <c r="D6767" s="15">
        <f>IFERROR(__xludf.DUMMYFUNCTION("""COMPUTED_VALUE"""),1.01)</f>
        <v>1.01</v>
      </c>
      <c r="E6767" s="16">
        <f>IFERROR(__xludf.DUMMYFUNCTION("""COMPUTED_VALUE"""),66.0)</f>
        <v>66</v>
      </c>
      <c r="F6767" s="19" t="str">
        <f>IFERROR(__xludf.DUMMYFUNCTION("""COMPUTED_VALUE"""),"BLACK")</f>
        <v>BLACK</v>
      </c>
      <c r="G6767" s="20" t="str">
        <f>IFERROR(__xludf.DUMMYFUNCTION("""COMPUTED_VALUE"""),"Uncle Sams Cider (04/04/2023)")</f>
        <v>Uncle Sams Cider (04/04/2023)</v>
      </c>
      <c r="H6767" s="19"/>
    </row>
    <row r="6768">
      <c r="A6768" s="9"/>
      <c r="B6768" s="15"/>
      <c r="C6768" s="9">
        <f>IFERROR(__xludf.DUMMYFUNCTION("""COMPUTED_VALUE"""),45073.3363054861)</f>
        <v>45073.33631</v>
      </c>
      <c r="D6768" s="15">
        <f>IFERROR(__xludf.DUMMYFUNCTION("""COMPUTED_VALUE"""),1.011)</f>
        <v>1.011</v>
      </c>
      <c r="E6768" s="16">
        <f>IFERROR(__xludf.DUMMYFUNCTION("""COMPUTED_VALUE"""),66.0)</f>
        <v>66</v>
      </c>
      <c r="F6768" s="19" t="str">
        <f>IFERROR(__xludf.DUMMYFUNCTION("""COMPUTED_VALUE"""),"BLACK")</f>
        <v>BLACK</v>
      </c>
      <c r="G6768" s="20" t="str">
        <f>IFERROR(__xludf.DUMMYFUNCTION("""COMPUTED_VALUE"""),"Uncle Sams Cider (04/04/2023)")</f>
        <v>Uncle Sams Cider (04/04/2023)</v>
      </c>
      <c r="H6768" s="19"/>
    </row>
    <row r="6769">
      <c r="A6769" s="9"/>
      <c r="B6769" s="15"/>
      <c r="C6769" s="9">
        <f>IFERROR(__xludf.DUMMYFUNCTION("""COMPUTED_VALUE"""),45073.3258840856)</f>
        <v>45073.32588</v>
      </c>
      <c r="D6769" s="15">
        <f>IFERROR(__xludf.DUMMYFUNCTION("""COMPUTED_VALUE"""),1.011)</f>
        <v>1.011</v>
      </c>
      <c r="E6769" s="16">
        <f>IFERROR(__xludf.DUMMYFUNCTION("""COMPUTED_VALUE"""),66.0)</f>
        <v>66</v>
      </c>
      <c r="F6769" s="19" t="str">
        <f>IFERROR(__xludf.DUMMYFUNCTION("""COMPUTED_VALUE"""),"BLACK")</f>
        <v>BLACK</v>
      </c>
      <c r="G6769" s="20" t="str">
        <f>IFERROR(__xludf.DUMMYFUNCTION("""COMPUTED_VALUE"""),"Uncle Sams Cider (04/04/2023)")</f>
        <v>Uncle Sams Cider (04/04/2023)</v>
      </c>
      <c r="H6769" s="19"/>
    </row>
    <row r="6770">
      <c r="A6770" s="9"/>
      <c r="B6770" s="15"/>
      <c r="C6770" s="9">
        <f>IFERROR(__xludf.DUMMYFUNCTION("""COMPUTED_VALUE"""),45073.3154624074)</f>
        <v>45073.31546</v>
      </c>
      <c r="D6770" s="15">
        <f>IFERROR(__xludf.DUMMYFUNCTION("""COMPUTED_VALUE"""),1.011)</f>
        <v>1.011</v>
      </c>
      <c r="E6770" s="16">
        <f>IFERROR(__xludf.DUMMYFUNCTION("""COMPUTED_VALUE"""),66.0)</f>
        <v>66</v>
      </c>
      <c r="F6770" s="19" t="str">
        <f>IFERROR(__xludf.DUMMYFUNCTION("""COMPUTED_VALUE"""),"BLACK")</f>
        <v>BLACK</v>
      </c>
      <c r="G6770" s="20" t="str">
        <f>IFERROR(__xludf.DUMMYFUNCTION("""COMPUTED_VALUE"""),"Uncle Sams Cider (04/04/2023)")</f>
        <v>Uncle Sams Cider (04/04/2023)</v>
      </c>
      <c r="H6770" s="19"/>
    </row>
    <row r="6771">
      <c r="A6771" s="9"/>
      <c r="B6771" s="15"/>
      <c r="C6771" s="9">
        <f>IFERROR(__xludf.DUMMYFUNCTION("""COMPUTED_VALUE"""),45073.305031956)</f>
        <v>45073.30503</v>
      </c>
      <c r="D6771" s="15">
        <f>IFERROR(__xludf.DUMMYFUNCTION("""COMPUTED_VALUE"""),1.011)</f>
        <v>1.011</v>
      </c>
      <c r="E6771" s="16">
        <f>IFERROR(__xludf.DUMMYFUNCTION("""COMPUTED_VALUE"""),66.0)</f>
        <v>66</v>
      </c>
      <c r="F6771" s="19" t="str">
        <f>IFERROR(__xludf.DUMMYFUNCTION("""COMPUTED_VALUE"""),"BLACK")</f>
        <v>BLACK</v>
      </c>
      <c r="G6771" s="20" t="str">
        <f>IFERROR(__xludf.DUMMYFUNCTION("""COMPUTED_VALUE"""),"Uncle Sams Cider (04/04/2023)")</f>
        <v>Uncle Sams Cider (04/04/2023)</v>
      </c>
      <c r="H6771" s="19"/>
    </row>
    <row r="6772">
      <c r="A6772" s="9"/>
      <c r="B6772" s="15"/>
      <c r="C6772" s="9">
        <f>IFERROR(__xludf.DUMMYFUNCTION("""COMPUTED_VALUE"""),45073.2946132986)</f>
        <v>45073.29461</v>
      </c>
      <c r="D6772" s="15">
        <f>IFERROR(__xludf.DUMMYFUNCTION("""COMPUTED_VALUE"""),1.011)</f>
        <v>1.011</v>
      </c>
      <c r="E6772" s="16">
        <f>IFERROR(__xludf.DUMMYFUNCTION("""COMPUTED_VALUE"""),66.0)</f>
        <v>66</v>
      </c>
      <c r="F6772" s="19" t="str">
        <f>IFERROR(__xludf.DUMMYFUNCTION("""COMPUTED_VALUE"""),"BLACK")</f>
        <v>BLACK</v>
      </c>
      <c r="G6772" s="20" t="str">
        <f>IFERROR(__xludf.DUMMYFUNCTION("""COMPUTED_VALUE"""),"Uncle Sams Cider (04/04/2023)")</f>
        <v>Uncle Sams Cider (04/04/2023)</v>
      </c>
      <c r="H6772" s="19"/>
    </row>
    <row r="6773">
      <c r="A6773" s="9"/>
      <c r="B6773" s="15"/>
      <c r="C6773" s="9">
        <f>IFERROR(__xludf.DUMMYFUNCTION("""COMPUTED_VALUE"""),45073.2841688657)</f>
        <v>45073.28417</v>
      </c>
      <c r="D6773" s="15">
        <f>IFERROR(__xludf.DUMMYFUNCTION("""COMPUTED_VALUE"""),1.011)</f>
        <v>1.011</v>
      </c>
      <c r="E6773" s="16">
        <f>IFERROR(__xludf.DUMMYFUNCTION("""COMPUTED_VALUE"""),66.0)</f>
        <v>66</v>
      </c>
      <c r="F6773" s="19" t="str">
        <f>IFERROR(__xludf.DUMMYFUNCTION("""COMPUTED_VALUE"""),"BLACK")</f>
        <v>BLACK</v>
      </c>
      <c r="G6773" s="20" t="str">
        <f>IFERROR(__xludf.DUMMYFUNCTION("""COMPUTED_VALUE"""),"Uncle Sams Cider (04/04/2023)")</f>
        <v>Uncle Sams Cider (04/04/2023)</v>
      </c>
      <c r="H6773" s="19"/>
    </row>
    <row r="6774">
      <c r="A6774" s="9"/>
      <c r="B6774" s="15"/>
      <c r="C6774" s="9">
        <f>IFERROR(__xludf.DUMMYFUNCTION("""COMPUTED_VALUE"""),45073.2737472338)</f>
        <v>45073.27375</v>
      </c>
      <c r="D6774" s="15">
        <f>IFERROR(__xludf.DUMMYFUNCTION("""COMPUTED_VALUE"""),1.011)</f>
        <v>1.011</v>
      </c>
      <c r="E6774" s="16">
        <f>IFERROR(__xludf.DUMMYFUNCTION("""COMPUTED_VALUE"""),66.0)</f>
        <v>66</v>
      </c>
      <c r="F6774" s="19" t="str">
        <f>IFERROR(__xludf.DUMMYFUNCTION("""COMPUTED_VALUE"""),"BLACK")</f>
        <v>BLACK</v>
      </c>
      <c r="G6774" s="20" t="str">
        <f>IFERROR(__xludf.DUMMYFUNCTION("""COMPUTED_VALUE"""),"Uncle Sams Cider (04/04/2023)")</f>
        <v>Uncle Sams Cider (04/04/2023)</v>
      </c>
      <c r="H6774" s="19"/>
    </row>
    <row r="6775">
      <c r="A6775" s="9"/>
      <c r="B6775" s="15"/>
      <c r="C6775" s="9">
        <f>IFERROR(__xludf.DUMMYFUNCTION("""COMPUTED_VALUE"""),45073.2633255555)</f>
        <v>45073.26333</v>
      </c>
      <c r="D6775" s="15">
        <f>IFERROR(__xludf.DUMMYFUNCTION("""COMPUTED_VALUE"""),1.011)</f>
        <v>1.011</v>
      </c>
      <c r="E6775" s="16">
        <f>IFERROR(__xludf.DUMMYFUNCTION("""COMPUTED_VALUE"""),66.0)</f>
        <v>66</v>
      </c>
      <c r="F6775" s="19" t="str">
        <f>IFERROR(__xludf.DUMMYFUNCTION("""COMPUTED_VALUE"""),"BLACK")</f>
        <v>BLACK</v>
      </c>
      <c r="G6775" s="20" t="str">
        <f>IFERROR(__xludf.DUMMYFUNCTION("""COMPUTED_VALUE"""),"Uncle Sams Cider (04/04/2023)")</f>
        <v>Uncle Sams Cider (04/04/2023)</v>
      </c>
      <c r="H6775" s="19"/>
    </row>
    <row r="6776">
      <c r="A6776" s="9"/>
      <c r="B6776" s="15"/>
      <c r="C6776" s="9">
        <f>IFERROR(__xludf.DUMMYFUNCTION("""COMPUTED_VALUE"""),45073.2529054745)</f>
        <v>45073.25291</v>
      </c>
      <c r="D6776" s="15">
        <f>IFERROR(__xludf.DUMMYFUNCTION("""COMPUTED_VALUE"""),1.011)</f>
        <v>1.011</v>
      </c>
      <c r="E6776" s="16">
        <f>IFERROR(__xludf.DUMMYFUNCTION("""COMPUTED_VALUE"""),66.0)</f>
        <v>66</v>
      </c>
      <c r="F6776" s="19" t="str">
        <f>IFERROR(__xludf.DUMMYFUNCTION("""COMPUTED_VALUE"""),"BLACK")</f>
        <v>BLACK</v>
      </c>
      <c r="G6776" s="20" t="str">
        <f>IFERROR(__xludf.DUMMYFUNCTION("""COMPUTED_VALUE"""),"Uncle Sams Cider (04/04/2023)")</f>
        <v>Uncle Sams Cider (04/04/2023)</v>
      </c>
      <c r="H6776" s="19"/>
    </row>
    <row r="6777">
      <c r="A6777" s="9"/>
      <c r="B6777" s="15"/>
      <c r="C6777" s="9">
        <f>IFERROR(__xludf.DUMMYFUNCTION("""COMPUTED_VALUE"""),45073.2424734143)</f>
        <v>45073.24247</v>
      </c>
      <c r="D6777" s="15">
        <f>IFERROR(__xludf.DUMMYFUNCTION("""COMPUTED_VALUE"""),1.011)</f>
        <v>1.011</v>
      </c>
      <c r="E6777" s="16">
        <f>IFERROR(__xludf.DUMMYFUNCTION("""COMPUTED_VALUE"""),66.0)</f>
        <v>66</v>
      </c>
      <c r="F6777" s="19" t="str">
        <f>IFERROR(__xludf.DUMMYFUNCTION("""COMPUTED_VALUE"""),"BLACK")</f>
        <v>BLACK</v>
      </c>
      <c r="G6777" s="20" t="str">
        <f>IFERROR(__xludf.DUMMYFUNCTION("""COMPUTED_VALUE"""),"Uncle Sams Cider (04/04/2023)")</f>
        <v>Uncle Sams Cider (04/04/2023)</v>
      </c>
      <c r="H6777" s="19"/>
    </row>
    <row r="6778">
      <c r="A6778" s="9"/>
      <c r="B6778" s="15"/>
      <c r="C6778" s="9">
        <f>IFERROR(__xludf.DUMMYFUNCTION("""COMPUTED_VALUE"""),45073.2320510879)</f>
        <v>45073.23205</v>
      </c>
      <c r="D6778" s="15">
        <f>IFERROR(__xludf.DUMMYFUNCTION("""COMPUTED_VALUE"""),1.011)</f>
        <v>1.011</v>
      </c>
      <c r="E6778" s="16">
        <f>IFERROR(__xludf.DUMMYFUNCTION("""COMPUTED_VALUE"""),66.0)</f>
        <v>66</v>
      </c>
      <c r="F6778" s="19" t="str">
        <f>IFERROR(__xludf.DUMMYFUNCTION("""COMPUTED_VALUE"""),"BLACK")</f>
        <v>BLACK</v>
      </c>
      <c r="G6778" s="20" t="str">
        <f>IFERROR(__xludf.DUMMYFUNCTION("""COMPUTED_VALUE"""),"Uncle Sams Cider (04/04/2023)")</f>
        <v>Uncle Sams Cider (04/04/2023)</v>
      </c>
      <c r="H6778" s="19"/>
    </row>
    <row r="6779">
      <c r="A6779" s="9"/>
      <c r="B6779" s="15"/>
      <c r="C6779" s="9">
        <f>IFERROR(__xludf.DUMMYFUNCTION("""COMPUTED_VALUE"""),45073.2216180324)</f>
        <v>45073.22162</v>
      </c>
      <c r="D6779" s="15">
        <f>IFERROR(__xludf.DUMMYFUNCTION("""COMPUTED_VALUE"""),1.011)</f>
        <v>1.011</v>
      </c>
      <c r="E6779" s="16">
        <f>IFERROR(__xludf.DUMMYFUNCTION("""COMPUTED_VALUE"""),66.0)</f>
        <v>66</v>
      </c>
      <c r="F6779" s="19" t="str">
        <f>IFERROR(__xludf.DUMMYFUNCTION("""COMPUTED_VALUE"""),"BLACK")</f>
        <v>BLACK</v>
      </c>
      <c r="G6779" s="20" t="str">
        <f>IFERROR(__xludf.DUMMYFUNCTION("""COMPUTED_VALUE"""),"Uncle Sams Cider (04/04/2023)")</f>
        <v>Uncle Sams Cider (04/04/2023)</v>
      </c>
      <c r="H6779" s="19"/>
    </row>
    <row r="6780">
      <c r="A6780" s="9"/>
      <c r="B6780" s="15"/>
      <c r="C6780" s="9">
        <f>IFERROR(__xludf.DUMMYFUNCTION("""COMPUTED_VALUE"""),45073.21119875)</f>
        <v>45073.2112</v>
      </c>
      <c r="D6780" s="15">
        <f>IFERROR(__xludf.DUMMYFUNCTION("""COMPUTED_VALUE"""),1.011)</f>
        <v>1.011</v>
      </c>
      <c r="E6780" s="16">
        <f>IFERROR(__xludf.DUMMYFUNCTION("""COMPUTED_VALUE"""),66.0)</f>
        <v>66</v>
      </c>
      <c r="F6780" s="19" t="str">
        <f>IFERROR(__xludf.DUMMYFUNCTION("""COMPUTED_VALUE"""),"BLACK")</f>
        <v>BLACK</v>
      </c>
      <c r="G6780" s="20" t="str">
        <f>IFERROR(__xludf.DUMMYFUNCTION("""COMPUTED_VALUE"""),"Uncle Sams Cider (04/04/2023)")</f>
        <v>Uncle Sams Cider (04/04/2023)</v>
      </c>
      <c r="H6780" s="19"/>
    </row>
    <row r="6781">
      <c r="A6781" s="9"/>
      <c r="B6781" s="15"/>
      <c r="C6781" s="9">
        <f>IFERROR(__xludf.DUMMYFUNCTION("""COMPUTED_VALUE"""),45073.2007778009)</f>
        <v>45073.20078</v>
      </c>
      <c r="D6781" s="15">
        <f>IFERROR(__xludf.DUMMYFUNCTION("""COMPUTED_VALUE"""),1.011)</f>
        <v>1.011</v>
      </c>
      <c r="E6781" s="16">
        <f>IFERROR(__xludf.DUMMYFUNCTION("""COMPUTED_VALUE"""),66.0)</f>
        <v>66</v>
      </c>
      <c r="F6781" s="19" t="str">
        <f>IFERROR(__xludf.DUMMYFUNCTION("""COMPUTED_VALUE"""),"BLACK")</f>
        <v>BLACK</v>
      </c>
      <c r="G6781" s="20" t="str">
        <f>IFERROR(__xludf.DUMMYFUNCTION("""COMPUTED_VALUE"""),"Uncle Sams Cider (04/04/2023)")</f>
        <v>Uncle Sams Cider (04/04/2023)</v>
      </c>
      <c r="H6781" s="19"/>
    </row>
    <row r="6782">
      <c r="A6782" s="9"/>
      <c r="B6782" s="15"/>
      <c r="C6782" s="9">
        <f>IFERROR(__xludf.DUMMYFUNCTION("""COMPUTED_VALUE"""),45073.1903548263)</f>
        <v>45073.19035</v>
      </c>
      <c r="D6782" s="15">
        <f>IFERROR(__xludf.DUMMYFUNCTION("""COMPUTED_VALUE"""),1.011)</f>
        <v>1.011</v>
      </c>
      <c r="E6782" s="16">
        <f>IFERROR(__xludf.DUMMYFUNCTION("""COMPUTED_VALUE"""),66.0)</f>
        <v>66</v>
      </c>
      <c r="F6782" s="19" t="str">
        <f>IFERROR(__xludf.DUMMYFUNCTION("""COMPUTED_VALUE"""),"BLACK")</f>
        <v>BLACK</v>
      </c>
      <c r="G6782" s="20" t="str">
        <f>IFERROR(__xludf.DUMMYFUNCTION("""COMPUTED_VALUE"""),"Uncle Sams Cider (04/04/2023)")</f>
        <v>Uncle Sams Cider (04/04/2023)</v>
      </c>
      <c r="H6782" s="19"/>
    </row>
    <row r="6783">
      <c r="A6783" s="9"/>
      <c r="B6783" s="15"/>
      <c r="C6783" s="9">
        <f>IFERROR(__xludf.DUMMYFUNCTION("""COMPUTED_VALUE"""),45073.179933449)</f>
        <v>45073.17993</v>
      </c>
      <c r="D6783" s="15">
        <f>IFERROR(__xludf.DUMMYFUNCTION("""COMPUTED_VALUE"""),1.011)</f>
        <v>1.011</v>
      </c>
      <c r="E6783" s="16">
        <f>IFERROR(__xludf.DUMMYFUNCTION("""COMPUTED_VALUE"""),66.0)</f>
        <v>66</v>
      </c>
      <c r="F6783" s="19" t="str">
        <f>IFERROR(__xludf.DUMMYFUNCTION("""COMPUTED_VALUE"""),"BLACK")</f>
        <v>BLACK</v>
      </c>
      <c r="G6783" s="20" t="str">
        <f>IFERROR(__xludf.DUMMYFUNCTION("""COMPUTED_VALUE"""),"Uncle Sams Cider (04/04/2023)")</f>
        <v>Uncle Sams Cider (04/04/2023)</v>
      </c>
      <c r="H6783" s="19"/>
    </row>
    <row r="6784">
      <c r="A6784" s="9"/>
      <c r="B6784" s="15"/>
      <c r="C6784" s="9">
        <f>IFERROR(__xludf.DUMMYFUNCTION("""COMPUTED_VALUE"""),45073.1695122685)</f>
        <v>45073.16951</v>
      </c>
      <c r="D6784" s="15">
        <f>IFERROR(__xludf.DUMMYFUNCTION("""COMPUTED_VALUE"""),1.011)</f>
        <v>1.011</v>
      </c>
      <c r="E6784" s="16">
        <f>IFERROR(__xludf.DUMMYFUNCTION("""COMPUTED_VALUE"""),66.0)</f>
        <v>66</v>
      </c>
      <c r="F6784" s="19" t="str">
        <f>IFERROR(__xludf.DUMMYFUNCTION("""COMPUTED_VALUE"""),"BLACK")</f>
        <v>BLACK</v>
      </c>
      <c r="G6784" s="20" t="str">
        <f>IFERROR(__xludf.DUMMYFUNCTION("""COMPUTED_VALUE"""),"Uncle Sams Cider (04/04/2023)")</f>
        <v>Uncle Sams Cider (04/04/2023)</v>
      </c>
      <c r="H6784" s="19"/>
    </row>
    <row r="6785">
      <c r="A6785" s="9"/>
      <c r="B6785" s="15"/>
      <c r="C6785" s="9">
        <f>IFERROR(__xludf.DUMMYFUNCTION("""COMPUTED_VALUE"""),45073.1590667361)</f>
        <v>45073.15907</v>
      </c>
      <c r="D6785" s="15">
        <f>IFERROR(__xludf.DUMMYFUNCTION("""COMPUTED_VALUE"""),1.011)</f>
        <v>1.011</v>
      </c>
      <c r="E6785" s="16">
        <f>IFERROR(__xludf.DUMMYFUNCTION("""COMPUTED_VALUE"""),66.0)</f>
        <v>66</v>
      </c>
      <c r="F6785" s="19" t="str">
        <f>IFERROR(__xludf.DUMMYFUNCTION("""COMPUTED_VALUE"""),"BLACK")</f>
        <v>BLACK</v>
      </c>
      <c r="G6785" s="20" t="str">
        <f>IFERROR(__xludf.DUMMYFUNCTION("""COMPUTED_VALUE"""),"Uncle Sams Cider (04/04/2023)")</f>
        <v>Uncle Sams Cider (04/04/2023)</v>
      </c>
      <c r="H6785" s="19"/>
    </row>
    <row r="6786">
      <c r="A6786" s="9"/>
      <c r="B6786" s="15"/>
      <c r="C6786" s="9">
        <f>IFERROR(__xludf.DUMMYFUNCTION("""COMPUTED_VALUE"""),45073.1486454745)</f>
        <v>45073.14865</v>
      </c>
      <c r="D6786" s="15">
        <f>IFERROR(__xludf.DUMMYFUNCTION("""COMPUTED_VALUE"""),1.011)</f>
        <v>1.011</v>
      </c>
      <c r="E6786" s="16">
        <f>IFERROR(__xludf.DUMMYFUNCTION("""COMPUTED_VALUE"""),66.0)</f>
        <v>66</v>
      </c>
      <c r="F6786" s="19" t="str">
        <f>IFERROR(__xludf.DUMMYFUNCTION("""COMPUTED_VALUE"""),"BLACK")</f>
        <v>BLACK</v>
      </c>
      <c r="G6786" s="20" t="str">
        <f>IFERROR(__xludf.DUMMYFUNCTION("""COMPUTED_VALUE"""),"Uncle Sams Cider (04/04/2023)")</f>
        <v>Uncle Sams Cider (04/04/2023)</v>
      </c>
      <c r="H6786" s="19"/>
    </row>
    <row r="6787">
      <c r="A6787" s="9"/>
      <c r="B6787" s="15"/>
      <c r="C6787" s="9">
        <f>IFERROR(__xludf.DUMMYFUNCTION("""COMPUTED_VALUE"""),45073.1382013773)</f>
        <v>45073.1382</v>
      </c>
      <c r="D6787" s="15">
        <f>IFERROR(__xludf.DUMMYFUNCTION("""COMPUTED_VALUE"""),1.011)</f>
        <v>1.011</v>
      </c>
      <c r="E6787" s="16">
        <f>IFERROR(__xludf.DUMMYFUNCTION("""COMPUTED_VALUE"""),66.0)</f>
        <v>66</v>
      </c>
      <c r="F6787" s="19" t="str">
        <f>IFERROR(__xludf.DUMMYFUNCTION("""COMPUTED_VALUE"""),"BLACK")</f>
        <v>BLACK</v>
      </c>
      <c r="G6787" s="20" t="str">
        <f>IFERROR(__xludf.DUMMYFUNCTION("""COMPUTED_VALUE"""),"Uncle Sams Cider (04/04/2023)")</f>
        <v>Uncle Sams Cider (04/04/2023)</v>
      </c>
      <c r="H6787" s="19"/>
    </row>
    <row r="6788">
      <c r="A6788" s="9"/>
      <c r="B6788" s="15"/>
      <c r="C6788" s="9">
        <f>IFERROR(__xludf.DUMMYFUNCTION("""COMPUTED_VALUE"""),45073.1277229398)</f>
        <v>45073.12772</v>
      </c>
      <c r="D6788" s="15">
        <f>IFERROR(__xludf.DUMMYFUNCTION("""COMPUTED_VALUE"""),1.011)</f>
        <v>1.011</v>
      </c>
      <c r="E6788" s="16">
        <f>IFERROR(__xludf.DUMMYFUNCTION("""COMPUTED_VALUE"""),66.0)</f>
        <v>66</v>
      </c>
      <c r="F6788" s="19" t="str">
        <f>IFERROR(__xludf.DUMMYFUNCTION("""COMPUTED_VALUE"""),"BLACK")</f>
        <v>BLACK</v>
      </c>
      <c r="G6788" s="20" t="str">
        <f>IFERROR(__xludf.DUMMYFUNCTION("""COMPUTED_VALUE"""),"Uncle Sams Cider (04/04/2023)")</f>
        <v>Uncle Sams Cider (04/04/2023)</v>
      </c>
      <c r="H6788" s="19"/>
    </row>
    <row r="6789">
      <c r="A6789" s="9"/>
      <c r="B6789" s="15"/>
      <c r="C6789" s="9">
        <f>IFERROR(__xludf.DUMMYFUNCTION("""COMPUTED_VALUE"""),45073.1172803356)</f>
        <v>45073.11728</v>
      </c>
      <c r="D6789" s="15">
        <f>IFERROR(__xludf.DUMMYFUNCTION("""COMPUTED_VALUE"""),1.011)</f>
        <v>1.011</v>
      </c>
      <c r="E6789" s="16">
        <f>IFERROR(__xludf.DUMMYFUNCTION("""COMPUTED_VALUE"""),66.0)</f>
        <v>66</v>
      </c>
      <c r="F6789" s="19" t="str">
        <f>IFERROR(__xludf.DUMMYFUNCTION("""COMPUTED_VALUE"""),"BLACK")</f>
        <v>BLACK</v>
      </c>
      <c r="G6789" s="20" t="str">
        <f>IFERROR(__xludf.DUMMYFUNCTION("""COMPUTED_VALUE"""),"Uncle Sams Cider (04/04/2023)")</f>
        <v>Uncle Sams Cider (04/04/2023)</v>
      </c>
      <c r="H6789" s="19"/>
    </row>
    <row r="6790">
      <c r="A6790" s="9"/>
      <c r="B6790" s="15"/>
      <c r="C6790" s="9">
        <f>IFERROR(__xludf.DUMMYFUNCTION("""COMPUTED_VALUE"""),45073.1068599305)</f>
        <v>45073.10686</v>
      </c>
      <c r="D6790" s="15">
        <f>IFERROR(__xludf.DUMMYFUNCTION("""COMPUTED_VALUE"""),1.011)</f>
        <v>1.011</v>
      </c>
      <c r="E6790" s="16">
        <f>IFERROR(__xludf.DUMMYFUNCTION("""COMPUTED_VALUE"""),66.0)</f>
        <v>66</v>
      </c>
      <c r="F6790" s="19" t="str">
        <f>IFERROR(__xludf.DUMMYFUNCTION("""COMPUTED_VALUE"""),"BLACK")</f>
        <v>BLACK</v>
      </c>
      <c r="G6790" s="20" t="str">
        <f>IFERROR(__xludf.DUMMYFUNCTION("""COMPUTED_VALUE"""),"Uncle Sams Cider (04/04/2023)")</f>
        <v>Uncle Sams Cider (04/04/2023)</v>
      </c>
      <c r="H6790" s="19"/>
    </row>
    <row r="6791">
      <c r="A6791" s="9"/>
      <c r="B6791" s="15"/>
      <c r="C6791" s="9">
        <f>IFERROR(__xludf.DUMMYFUNCTION("""COMPUTED_VALUE"""),45073.0964377662)</f>
        <v>45073.09644</v>
      </c>
      <c r="D6791" s="15">
        <f>IFERROR(__xludf.DUMMYFUNCTION("""COMPUTED_VALUE"""),1.011)</f>
        <v>1.011</v>
      </c>
      <c r="E6791" s="16">
        <f>IFERROR(__xludf.DUMMYFUNCTION("""COMPUTED_VALUE"""),66.0)</f>
        <v>66</v>
      </c>
      <c r="F6791" s="19" t="str">
        <f>IFERROR(__xludf.DUMMYFUNCTION("""COMPUTED_VALUE"""),"BLACK")</f>
        <v>BLACK</v>
      </c>
      <c r="G6791" s="20" t="str">
        <f>IFERROR(__xludf.DUMMYFUNCTION("""COMPUTED_VALUE"""),"Uncle Sams Cider (04/04/2023)")</f>
        <v>Uncle Sams Cider (04/04/2023)</v>
      </c>
      <c r="H6791" s="19"/>
    </row>
    <row r="6792">
      <c r="A6792" s="9"/>
      <c r="B6792" s="15"/>
      <c r="C6792" s="9">
        <f>IFERROR(__xludf.DUMMYFUNCTION("""COMPUTED_VALUE"""),45073.0860165162)</f>
        <v>45073.08602</v>
      </c>
      <c r="D6792" s="15">
        <f>IFERROR(__xludf.DUMMYFUNCTION("""COMPUTED_VALUE"""),1.011)</f>
        <v>1.011</v>
      </c>
      <c r="E6792" s="16">
        <f>IFERROR(__xludf.DUMMYFUNCTION("""COMPUTED_VALUE"""),66.0)</f>
        <v>66</v>
      </c>
      <c r="F6792" s="19" t="str">
        <f>IFERROR(__xludf.DUMMYFUNCTION("""COMPUTED_VALUE"""),"BLACK")</f>
        <v>BLACK</v>
      </c>
      <c r="G6792" s="20" t="str">
        <f>IFERROR(__xludf.DUMMYFUNCTION("""COMPUTED_VALUE"""),"Uncle Sams Cider (04/04/2023)")</f>
        <v>Uncle Sams Cider (04/04/2023)</v>
      </c>
      <c r="H6792" s="19"/>
    </row>
    <row r="6793">
      <c r="A6793" s="9"/>
      <c r="B6793" s="15"/>
      <c r="C6793" s="9">
        <f>IFERROR(__xludf.DUMMYFUNCTION("""COMPUTED_VALUE"""),45073.0755940509)</f>
        <v>45073.07559</v>
      </c>
      <c r="D6793" s="15">
        <f>IFERROR(__xludf.DUMMYFUNCTION("""COMPUTED_VALUE"""),1.011)</f>
        <v>1.011</v>
      </c>
      <c r="E6793" s="16">
        <f>IFERROR(__xludf.DUMMYFUNCTION("""COMPUTED_VALUE"""),66.0)</f>
        <v>66</v>
      </c>
      <c r="F6793" s="19" t="str">
        <f>IFERROR(__xludf.DUMMYFUNCTION("""COMPUTED_VALUE"""),"BLACK")</f>
        <v>BLACK</v>
      </c>
      <c r="G6793" s="20" t="str">
        <f>IFERROR(__xludf.DUMMYFUNCTION("""COMPUTED_VALUE"""),"Uncle Sams Cider (04/04/2023)")</f>
        <v>Uncle Sams Cider (04/04/2023)</v>
      </c>
      <c r="H6793" s="19"/>
    </row>
    <row r="6794">
      <c r="A6794" s="9"/>
      <c r="B6794" s="15"/>
      <c r="C6794" s="9">
        <f>IFERROR(__xludf.DUMMYFUNCTION("""COMPUTED_VALUE"""),45073.0651709838)</f>
        <v>45073.06517</v>
      </c>
      <c r="D6794" s="15">
        <f>IFERROR(__xludf.DUMMYFUNCTION("""COMPUTED_VALUE"""),1.011)</f>
        <v>1.011</v>
      </c>
      <c r="E6794" s="16">
        <f>IFERROR(__xludf.DUMMYFUNCTION("""COMPUTED_VALUE"""),66.0)</f>
        <v>66</v>
      </c>
      <c r="F6794" s="19" t="str">
        <f>IFERROR(__xludf.DUMMYFUNCTION("""COMPUTED_VALUE"""),"BLACK")</f>
        <v>BLACK</v>
      </c>
      <c r="G6794" s="20" t="str">
        <f>IFERROR(__xludf.DUMMYFUNCTION("""COMPUTED_VALUE"""),"Uncle Sams Cider (04/04/2023)")</f>
        <v>Uncle Sams Cider (04/04/2023)</v>
      </c>
      <c r="H6794" s="19"/>
    </row>
    <row r="6795">
      <c r="A6795" s="9"/>
      <c r="B6795" s="15"/>
      <c r="C6795" s="9">
        <f>IFERROR(__xludf.DUMMYFUNCTION("""COMPUTED_VALUE"""),45073.0547487384)</f>
        <v>45073.05475</v>
      </c>
      <c r="D6795" s="15">
        <f>IFERROR(__xludf.DUMMYFUNCTION("""COMPUTED_VALUE"""),1.011)</f>
        <v>1.011</v>
      </c>
      <c r="E6795" s="16">
        <f>IFERROR(__xludf.DUMMYFUNCTION("""COMPUTED_VALUE"""),66.0)</f>
        <v>66</v>
      </c>
      <c r="F6795" s="19" t="str">
        <f>IFERROR(__xludf.DUMMYFUNCTION("""COMPUTED_VALUE"""),"BLACK")</f>
        <v>BLACK</v>
      </c>
      <c r="G6795" s="20" t="str">
        <f>IFERROR(__xludf.DUMMYFUNCTION("""COMPUTED_VALUE"""),"Uncle Sams Cider (04/04/2023)")</f>
        <v>Uncle Sams Cider (04/04/2023)</v>
      </c>
      <c r="H6795" s="19"/>
    </row>
    <row r="6796">
      <c r="A6796" s="9"/>
      <c r="B6796" s="15"/>
      <c r="C6796" s="9">
        <f>IFERROR(__xludf.DUMMYFUNCTION("""COMPUTED_VALUE"""),45073.0443270949)</f>
        <v>45073.04433</v>
      </c>
      <c r="D6796" s="15">
        <f>IFERROR(__xludf.DUMMYFUNCTION("""COMPUTED_VALUE"""),1.011)</f>
        <v>1.011</v>
      </c>
      <c r="E6796" s="16">
        <f>IFERROR(__xludf.DUMMYFUNCTION("""COMPUTED_VALUE"""),66.0)</f>
        <v>66</v>
      </c>
      <c r="F6796" s="19" t="str">
        <f>IFERROR(__xludf.DUMMYFUNCTION("""COMPUTED_VALUE"""),"BLACK")</f>
        <v>BLACK</v>
      </c>
      <c r="G6796" s="20" t="str">
        <f>IFERROR(__xludf.DUMMYFUNCTION("""COMPUTED_VALUE"""),"Uncle Sams Cider (04/04/2023)")</f>
        <v>Uncle Sams Cider (04/04/2023)</v>
      </c>
      <c r="H6796" s="19"/>
    </row>
    <row r="6797">
      <c r="A6797" s="9"/>
      <c r="B6797" s="15"/>
      <c r="C6797" s="9">
        <f>IFERROR(__xludf.DUMMYFUNCTION("""COMPUTED_VALUE"""),45073.033906331)</f>
        <v>45073.03391</v>
      </c>
      <c r="D6797" s="15">
        <f>IFERROR(__xludf.DUMMYFUNCTION("""COMPUTED_VALUE"""),1.011)</f>
        <v>1.011</v>
      </c>
      <c r="E6797" s="16">
        <f>IFERROR(__xludf.DUMMYFUNCTION("""COMPUTED_VALUE"""),66.0)</f>
        <v>66</v>
      </c>
      <c r="F6797" s="19" t="str">
        <f>IFERROR(__xludf.DUMMYFUNCTION("""COMPUTED_VALUE"""),"BLACK")</f>
        <v>BLACK</v>
      </c>
      <c r="G6797" s="20" t="str">
        <f>IFERROR(__xludf.DUMMYFUNCTION("""COMPUTED_VALUE"""),"Uncle Sams Cider (04/04/2023)")</f>
        <v>Uncle Sams Cider (04/04/2023)</v>
      </c>
      <c r="H6797" s="19"/>
    </row>
    <row r="6798">
      <c r="A6798" s="9"/>
      <c r="B6798" s="15"/>
      <c r="C6798" s="9">
        <f>IFERROR(__xludf.DUMMYFUNCTION("""COMPUTED_VALUE"""),45073.023484074)</f>
        <v>45073.02348</v>
      </c>
      <c r="D6798" s="15">
        <f>IFERROR(__xludf.DUMMYFUNCTION("""COMPUTED_VALUE"""),1.011)</f>
        <v>1.011</v>
      </c>
      <c r="E6798" s="16">
        <f>IFERROR(__xludf.DUMMYFUNCTION("""COMPUTED_VALUE"""),66.0)</f>
        <v>66</v>
      </c>
      <c r="F6798" s="19" t="str">
        <f>IFERROR(__xludf.DUMMYFUNCTION("""COMPUTED_VALUE"""),"BLACK")</f>
        <v>BLACK</v>
      </c>
      <c r="G6798" s="20" t="str">
        <f>IFERROR(__xludf.DUMMYFUNCTION("""COMPUTED_VALUE"""),"Uncle Sams Cider (04/04/2023)")</f>
        <v>Uncle Sams Cider (04/04/2023)</v>
      </c>
      <c r="H6798" s="19"/>
    </row>
    <row r="6799">
      <c r="A6799" s="9"/>
      <c r="B6799" s="15"/>
      <c r="C6799" s="9">
        <f>IFERROR(__xludf.DUMMYFUNCTION("""COMPUTED_VALUE"""),45073.0130637152)</f>
        <v>45073.01306</v>
      </c>
      <c r="D6799" s="15">
        <f>IFERROR(__xludf.DUMMYFUNCTION("""COMPUTED_VALUE"""),1.011)</f>
        <v>1.011</v>
      </c>
      <c r="E6799" s="16">
        <f>IFERROR(__xludf.DUMMYFUNCTION("""COMPUTED_VALUE"""),66.0)</f>
        <v>66</v>
      </c>
      <c r="F6799" s="19" t="str">
        <f>IFERROR(__xludf.DUMMYFUNCTION("""COMPUTED_VALUE"""),"BLACK")</f>
        <v>BLACK</v>
      </c>
      <c r="G6799" s="20" t="str">
        <f>IFERROR(__xludf.DUMMYFUNCTION("""COMPUTED_VALUE"""),"Uncle Sams Cider (04/04/2023)")</f>
        <v>Uncle Sams Cider (04/04/2023)</v>
      </c>
      <c r="H6799" s="19"/>
    </row>
    <row r="6800">
      <c r="A6800" s="9"/>
      <c r="B6800" s="15"/>
      <c r="C6800" s="9">
        <f>IFERROR(__xludf.DUMMYFUNCTION("""COMPUTED_VALUE"""),45073.0026318981)</f>
        <v>45073.00263</v>
      </c>
      <c r="D6800" s="15">
        <f>IFERROR(__xludf.DUMMYFUNCTION("""COMPUTED_VALUE"""),1.011)</f>
        <v>1.011</v>
      </c>
      <c r="E6800" s="16">
        <f>IFERROR(__xludf.DUMMYFUNCTION("""COMPUTED_VALUE"""),66.0)</f>
        <v>66</v>
      </c>
      <c r="F6800" s="19" t="str">
        <f>IFERROR(__xludf.DUMMYFUNCTION("""COMPUTED_VALUE"""),"BLACK")</f>
        <v>BLACK</v>
      </c>
      <c r="G6800" s="20" t="str">
        <f>IFERROR(__xludf.DUMMYFUNCTION("""COMPUTED_VALUE"""),"Uncle Sams Cider (04/04/2023)")</f>
        <v>Uncle Sams Cider (04/04/2023)</v>
      </c>
      <c r="H6800" s="19"/>
    </row>
    <row r="6801">
      <c r="A6801" s="9"/>
      <c r="B6801" s="15"/>
      <c r="C6801" s="9">
        <f>IFERROR(__xludf.DUMMYFUNCTION("""COMPUTED_VALUE"""),45072.9922093055)</f>
        <v>45072.99221</v>
      </c>
      <c r="D6801" s="15">
        <f>IFERROR(__xludf.DUMMYFUNCTION("""COMPUTED_VALUE"""),1.011)</f>
        <v>1.011</v>
      </c>
      <c r="E6801" s="16">
        <f>IFERROR(__xludf.DUMMYFUNCTION("""COMPUTED_VALUE"""),66.0)</f>
        <v>66</v>
      </c>
      <c r="F6801" s="19" t="str">
        <f>IFERROR(__xludf.DUMMYFUNCTION("""COMPUTED_VALUE"""),"BLACK")</f>
        <v>BLACK</v>
      </c>
      <c r="G6801" s="20" t="str">
        <f>IFERROR(__xludf.DUMMYFUNCTION("""COMPUTED_VALUE"""),"Uncle Sams Cider (04/04/2023)")</f>
        <v>Uncle Sams Cider (04/04/2023)</v>
      </c>
      <c r="H6801" s="19"/>
    </row>
    <row r="6802">
      <c r="A6802" s="9"/>
      <c r="B6802" s="15"/>
      <c r="C6802" s="9">
        <f>IFERROR(__xludf.DUMMYFUNCTION("""COMPUTED_VALUE"""),45072.9817891319)</f>
        <v>45072.98179</v>
      </c>
      <c r="D6802" s="15">
        <f>IFERROR(__xludf.DUMMYFUNCTION("""COMPUTED_VALUE"""),1.011)</f>
        <v>1.011</v>
      </c>
      <c r="E6802" s="16">
        <f>IFERROR(__xludf.DUMMYFUNCTION("""COMPUTED_VALUE"""),66.0)</f>
        <v>66</v>
      </c>
      <c r="F6802" s="19" t="str">
        <f>IFERROR(__xludf.DUMMYFUNCTION("""COMPUTED_VALUE"""),"BLACK")</f>
        <v>BLACK</v>
      </c>
      <c r="G6802" s="20" t="str">
        <f>IFERROR(__xludf.DUMMYFUNCTION("""COMPUTED_VALUE"""),"Uncle Sams Cider (04/04/2023)")</f>
        <v>Uncle Sams Cider (04/04/2023)</v>
      </c>
      <c r="H6802" s="19"/>
    </row>
    <row r="6803">
      <c r="A6803" s="9"/>
      <c r="B6803" s="15"/>
      <c r="C6803" s="9">
        <f>IFERROR(__xludf.DUMMYFUNCTION("""COMPUTED_VALUE"""),45072.9713687963)</f>
        <v>45072.97137</v>
      </c>
      <c r="D6803" s="15">
        <f>IFERROR(__xludf.DUMMYFUNCTION("""COMPUTED_VALUE"""),1.011)</f>
        <v>1.011</v>
      </c>
      <c r="E6803" s="16">
        <f>IFERROR(__xludf.DUMMYFUNCTION("""COMPUTED_VALUE"""),66.0)</f>
        <v>66</v>
      </c>
      <c r="F6803" s="19" t="str">
        <f>IFERROR(__xludf.DUMMYFUNCTION("""COMPUTED_VALUE"""),"BLACK")</f>
        <v>BLACK</v>
      </c>
      <c r="G6803" s="20" t="str">
        <f>IFERROR(__xludf.DUMMYFUNCTION("""COMPUTED_VALUE"""),"Uncle Sams Cider (04/04/2023)")</f>
        <v>Uncle Sams Cider (04/04/2023)</v>
      </c>
      <c r="H6803" s="19"/>
    </row>
    <row r="6804">
      <c r="A6804" s="9"/>
      <c r="B6804" s="15"/>
      <c r="C6804" s="9">
        <f>IFERROR(__xludf.DUMMYFUNCTION("""COMPUTED_VALUE"""),45072.960935787)</f>
        <v>45072.96094</v>
      </c>
      <c r="D6804" s="15">
        <f>IFERROR(__xludf.DUMMYFUNCTION("""COMPUTED_VALUE"""),1.011)</f>
        <v>1.011</v>
      </c>
      <c r="E6804" s="16">
        <f>IFERROR(__xludf.DUMMYFUNCTION("""COMPUTED_VALUE"""),66.0)</f>
        <v>66</v>
      </c>
      <c r="F6804" s="19" t="str">
        <f>IFERROR(__xludf.DUMMYFUNCTION("""COMPUTED_VALUE"""),"BLACK")</f>
        <v>BLACK</v>
      </c>
      <c r="G6804" s="20" t="str">
        <f>IFERROR(__xludf.DUMMYFUNCTION("""COMPUTED_VALUE"""),"Uncle Sams Cider (04/04/2023)")</f>
        <v>Uncle Sams Cider (04/04/2023)</v>
      </c>
      <c r="H6804" s="19"/>
    </row>
    <row r="6805">
      <c r="A6805" s="9"/>
      <c r="B6805" s="15"/>
      <c r="C6805" s="9">
        <f>IFERROR(__xludf.DUMMYFUNCTION("""COMPUTED_VALUE"""),45072.950515162)</f>
        <v>45072.95052</v>
      </c>
      <c r="D6805" s="15">
        <f>IFERROR(__xludf.DUMMYFUNCTION("""COMPUTED_VALUE"""),1.011)</f>
        <v>1.011</v>
      </c>
      <c r="E6805" s="16">
        <f>IFERROR(__xludf.DUMMYFUNCTION("""COMPUTED_VALUE"""),66.0)</f>
        <v>66</v>
      </c>
      <c r="F6805" s="19" t="str">
        <f>IFERROR(__xludf.DUMMYFUNCTION("""COMPUTED_VALUE"""),"BLACK")</f>
        <v>BLACK</v>
      </c>
      <c r="G6805" s="20" t="str">
        <f>IFERROR(__xludf.DUMMYFUNCTION("""COMPUTED_VALUE"""),"Uncle Sams Cider (04/04/2023)")</f>
        <v>Uncle Sams Cider (04/04/2023)</v>
      </c>
      <c r="H6805" s="19"/>
    </row>
    <row r="6806">
      <c r="A6806" s="9"/>
      <c r="B6806" s="15"/>
      <c r="C6806" s="9">
        <f>IFERROR(__xludf.DUMMYFUNCTION("""COMPUTED_VALUE"""),45072.9400813773)</f>
        <v>45072.94008</v>
      </c>
      <c r="D6806" s="15">
        <f>IFERROR(__xludf.DUMMYFUNCTION("""COMPUTED_VALUE"""),1.011)</f>
        <v>1.011</v>
      </c>
      <c r="E6806" s="16">
        <f>IFERROR(__xludf.DUMMYFUNCTION("""COMPUTED_VALUE"""),66.0)</f>
        <v>66</v>
      </c>
      <c r="F6806" s="19" t="str">
        <f>IFERROR(__xludf.DUMMYFUNCTION("""COMPUTED_VALUE"""),"BLACK")</f>
        <v>BLACK</v>
      </c>
      <c r="G6806" s="20" t="str">
        <f>IFERROR(__xludf.DUMMYFUNCTION("""COMPUTED_VALUE"""),"Uncle Sams Cider (04/04/2023)")</f>
        <v>Uncle Sams Cider (04/04/2023)</v>
      </c>
      <c r="H6806" s="19"/>
    </row>
    <row r="6807">
      <c r="A6807" s="9"/>
      <c r="B6807" s="15"/>
      <c r="C6807" s="9">
        <f>IFERROR(__xludf.DUMMYFUNCTION("""COMPUTED_VALUE"""),45072.9296604629)</f>
        <v>45072.92966</v>
      </c>
      <c r="D6807" s="15">
        <f>IFERROR(__xludf.DUMMYFUNCTION("""COMPUTED_VALUE"""),1.011)</f>
        <v>1.011</v>
      </c>
      <c r="E6807" s="16">
        <f>IFERROR(__xludf.DUMMYFUNCTION("""COMPUTED_VALUE"""),66.0)</f>
        <v>66</v>
      </c>
      <c r="F6807" s="19" t="str">
        <f>IFERROR(__xludf.DUMMYFUNCTION("""COMPUTED_VALUE"""),"BLACK")</f>
        <v>BLACK</v>
      </c>
      <c r="G6807" s="20" t="str">
        <f>IFERROR(__xludf.DUMMYFUNCTION("""COMPUTED_VALUE"""),"Uncle Sams Cider (04/04/2023)")</f>
        <v>Uncle Sams Cider (04/04/2023)</v>
      </c>
      <c r="H6807" s="19"/>
    </row>
    <row r="6808">
      <c r="A6808" s="9"/>
      <c r="B6808" s="15"/>
      <c r="C6808" s="9">
        <f>IFERROR(__xludf.DUMMYFUNCTION("""COMPUTED_VALUE"""),45072.9192351504)</f>
        <v>45072.91924</v>
      </c>
      <c r="D6808" s="15">
        <f>IFERROR(__xludf.DUMMYFUNCTION("""COMPUTED_VALUE"""),1.011)</f>
        <v>1.011</v>
      </c>
      <c r="E6808" s="16">
        <f>IFERROR(__xludf.DUMMYFUNCTION("""COMPUTED_VALUE"""),66.0)</f>
        <v>66</v>
      </c>
      <c r="F6808" s="19" t="str">
        <f>IFERROR(__xludf.DUMMYFUNCTION("""COMPUTED_VALUE"""),"BLACK")</f>
        <v>BLACK</v>
      </c>
      <c r="G6808" s="20" t="str">
        <f>IFERROR(__xludf.DUMMYFUNCTION("""COMPUTED_VALUE"""),"Uncle Sams Cider (04/04/2023)")</f>
        <v>Uncle Sams Cider (04/04/2023)</v>
      </c>
      <c r="H6808" s="19"/>
    </row>
    <row r="6809">
      <c r="A6809" s="9"/>
      <c r="B6809" s="15"/>
      <c r="C6809" s="9">
        <f>IFERROR(__xludf.DUMMYFUNCTION("""COMPUTED_VALUE"""),45072.9087568055)</f>
        <v>45072.90876</v>
      </c>
      <c r="D6809" s="15">
        <f>IFERROR(__xludf.DUMMYFUNCTION("""COMPUTED_VALUE"""),1.011)</f>
        <v>1.011</v>
      </c>
      <c r="E6809" s="16">
        <f>IFERROR(__xludf.DUMMYFUNCTION("""COMPUTED_VALUE"""),66.0)</f>
        <v>66</v>
      </c>
      <c r="F6809" s="19" t="str">
        <f>IFERROR(__xludf.DUMMYFUNCTION("""COMPUTED_VALUE"""),"BLACK")</f>
        <v>BLACK</v>
      </c>
      <c r="G6809" s="20" t="str">
        <f>IFERROR(__xludf.DUMMYFUNCTION("""COMPUTED_VALUE"""),"Uncle Sams Cider (04/04/2023)")</f>
        <v>Uncle Sams Cider (04/04/2023)</v>
      </c>
      <c r="H6809" s="19"/>
    </row>
    <row r="6810">
      <c r="A6810" s="9"/>
      <c r="B6810" s="15"/>
      <c r="C6810" s="9">
        <f>IFERROR(__xludf.DUMMYFUNCTION("""COMPUTED_VALUE"""),45072.8983353703)</f>
        <v>45072.89834</v>
      </c>
      <c r="D6810" s="15">
        <f>IFERROR(__xludf.DUMMYFUNCTION("""COMPUTED_VALUE"""),1.011)</f>
        <v>1.011</v>
      </c>
      <c r="E6810" s="16">
        <f>IFERROR(__xludf.DUMMYFUNCTION("""COMPUTED_VALUE"""),66.0)</f>
        <v>66</v>
      </c>
      <c r="F6810" s="19" t="str">
        <f>IFERROR(__xludf.DUMMYFUNCTION("""COMPUTED_VALUE"""),"BLACK")</f>
        <v>BLACK</v>
      </c>
      <c r="G6810" s="20" t="str">
        <f>IFERROR(__xludf.DUMMYFUNCTION("""COMPUTED_VALUE"""),"Uncle Sams Cider (04/04/2023)")</f>
        <v>Uncle Sams Cider (04/04/2023)</v>
      </c>
      <c r="H6810" s="19"/>
    </row>
    <row r="6811">
      <c r="A6811" s="9"/>
      <c r="B6811" s="15"/>
      <c r="C6811" s="9">
        <f>IFERROR(__xludf.DUMMYFUNCTION("""COMPUTED_VALUE"""),45072.8879141319)</f>
        <v>45072.88791</v>
      </c>
      <c r="D6811" s="15">
        <f>IFERROR(__xludf.DUMMYFUNCTION("""COMPUTED_VALUE"""),1.011)</f>
        <v>1.011</v>
      </c>
      <c r="E6811" s="16">
        <f>IFERROR(__xludf.DUMMYFUNCTION("""COMPUTED_VALUE"""),66.0)</f>
        <v>66</v>
      </c>
      <c r="F6811" s="19" t="str">
        <f>IFERROR(__xludf.DUMMYFUNCTION("""COMPUTED_VALUE"""),"BLACK")</f>
        <v>BLACK</v>
      </c>
      <c r="G6811" s="20" t="str">
        <f>IFERROR(__xludf.DUMMYFUNCTION("""COMPUTED_VALUE"""),"Uncle Sams Cider (04/04/2023)")</f>
        <v>Uncle Sams Cider (04/04/2023)</v>
      </c>
      <c r="H6811" s="19"/>
    </row>
    <row r="6812">
      <c r="A6812" s="9"/>
      <c r="B6812" s="15"/>
      <c r="C6812" s="9">
        <f>IFERROR(__xludf.DUMMYFUNCTION("""COMPUTED_VALUE"""),45072.8774903125)</f>
        <v>45072.87749</v>
      </c>
      <c r="D6812" s="15">
        <f>IFERROR(__xludf.DUMMYFUNCTION("""COMPUTED_VALUE"""),1.011)</f>
        <v>1.011</v>
      </c>
      <c r="E6812" s="16">
        <f>IFERROR(__xludf.DUMMYFUNCTION("""COMPUTED_VALUE"""),66.0)</f>
        <v>66</v>
      </c>
      <c r="F6812" s="19" t="str">
        <f>IFERROR(__xludf.DUMMYFUNCTION("""COMPUTED_VALUE"""),"BLACK")</f>
        <v>BLACK</v>
      </c>
      <c r="G6812" s="20" t="str">
        <f>IFERROR(__xludf.DUMMYFUNCTION("""COMPUTED_VALUE"""),"Uncle Sams Cider (04/04/2023)")</f>
        <v>Uncle Sams Cider (04/04/2023)</v>
      </c>
      <c r="H6812" s="19"/>
    </row>
    <row r="6813">
      <c r="A6813" s="9"/>
      <c r="B6813" s="15"/>
      <c r="C6813" s="9">
        <f>IFERROR(__xludf.DUMMYFUNCTION("""COMPUTED_VALUE"""),45072.8670696643)</f>
        <v>45072.86707</v>
      </c>
      <c r="D6813" s="15">
        <f>IFERROR(__xludf.DUMMYFUNCTION("""COMPUTED_VALUE"""),1.011)</f>
        <v>1.011</v>
      </c>
      <c r="E6813" s="16">
        <f>IFERROR(__xludf.DUMMYFUNCTION("""COMPUTED_VALUE"""),66.0)</f>
        <v>66</v>
      </c>
      <c r="F6813" s="19" t="str">
        <f>IFERROR(__xludf.DUMMYFUNCTION("""COMPUTED_VALUE"""),"BLACK")</f>
        <v>BLACK</v>
      </c>
      <c r="G6813" s="20" t="str">
        <f>IFERROR(__xludf.DUMMYFUNCTION("""COMPUTED_VALUE"""),"Uncle Sams Cider (04/04/2023)")</f>
        <v>Uncle Sams Cider (04/04/2023)</v>
      </c>
      <c r="H6813" s="19"/>
    </row>
    <row r="6814">
      <c r="A6814" s="9"/>
      <c r="B6814" s="15"/>
      <c r="C6814" s="9">
        <f>IFERROR(__xludf.DUMMYFUNCTION("""COMPUTED_VALUE"""),45072.8566503819)</f>
        <v>45072.85665</v>
      </c>
      <c r="D6814" s="15">
        <f>IFERROR(__xludf.DUMMYFUNCTION("""COMPUTED_VALUE"""),1.011)</f>
        <v>1.011</v>
      </c>
      <c r="E6814" s="16">
        <f>IFERROR(__xludf.DUMMYFUNCTION("""COMPUTED_VALUE"""),66.0)</f>
        <v>66</v>
      </c>
      <c r="F6814" s="19" t="str">
        <f>IFERROR(__xludf.DUMMYFUNCTION("""COMPUTED_VALUE"""),"BLACK")</f>
        <v>BLACK</v>
      </c>
      <c r="G6814" s="20" t="str">
        <f>IFERROR(__xludf.DUMMYFUNCTION("""COMPUTED_VALUE"""),"Uncle Sams Cider (04/04/2023)")</f>
        <v>Uncle Sams Cider (04/04/2023)</v>
      </c>
      <c r="H6814" s="19"/>
    </row>
    <row r="6815">
      <c r="A6815" s="9"/>
      <c r="B6815" s="15"/>
      <c r="C6815" s="9">
        <f>IFERROR(__xludf.DUMMYFUNCTION("""COMPUTED_VALUE"""),45072.8462289351)</f>
        <v>45072.84623</v>
      </c>
      <c r="D6815" s="15">
        <f>IFERROR(__xludf.DUMMYFUNCTION("""COMPUTED_VALUE"""),1.011)</f>
        <v>1.011</v>
      </c>
      <c r="E6815" s="16">
        <f>IFERROR(__xludf.DUMMYFUNCTION("""COMPUTED_VALUE"""),66.0)</f>
        <v>66</v>
      </c>
      <c r="F6815" s="19" t="str">
        <f>IFERROR(__xludf.DUMMYFUNCTION("""COMPUTED_VALUE"""),"BLACK")</f>
        <v>BLACK</v>
      </c>
      <c r="G6815" s="20" t="str">
        <f>IFERROR(__xludf.DUMMYFUNCTION("""COMPUTED_VALUE"""),"Uncle Sams Cider (04/04/2023)")</f>
        <v>Uncle Sams Cider (04/04/2023)</v>
      </c>
      <c r="H6815" s="19"/>
    </row>
    <row r="6816">
      <c r="A6816" s="9"/>
      <c r="B6816" s="15"/>
      <c r="C6816" s="9">
        <f>IFERROR(__xludf.DUMMYFUNCTION("""COMPUTED_VALUE"""),45072.8358066782)</f>
        <v>45072.83581</v>
      </c>
      <c r="D6816" s="15">
        <f>IFERROR(__xludf.DUMMYFUNCTION("""COMPUTED_VALUE"""),1.011)</f>
        <v>1.011</v>
      </c>
      <c r="E6816" s="16">
        <f>IFERROR(__xludf.DUMMYFUNCTION("""COMPUTED_VALUE"""),66.0)</f>
        <v>66</v>
      </c>
      <c r="F6816" s="19" t="str">
        <f>IFERROR(__xludf.DUMMYFUNCTION("""COMPUTED_VALUE"""),"BLACK")</f>
        <v>BLACK</v>
      </c>
      <c r="G6816" s="20" t="str">
        <f>IFERROR(__xludf.DUMMYFUNCTION("""COMPUTED_VALUE"""),"Uncle Sams Cider (04/04/2023)")</f>
        <v>Uncle Sams Cider (04/04/2023)</v>
      </c>
      <c r="H6816" s="19"/>
    </row>
    <row r="6817">
      <c r="A6817" s="9"/>
      <c r="B6817" s="15"/>
      <c r="C6817" s="9">
        <f>IFERROR(__xludf.DUMMYFUNCTION("""COMPUTED_VALUE"""),45072.8253846759)</f>
        <v>45072.82538</v>
      </c>
      <c r="D6817" s="15">
        <f>IFERROR(__xludf.DUMMYFUNCTION("""COMPUTED_VALUE"""),1.011)</f>
        <v>1.011</v>
      </c>
      <c r="E6817" s="16">
        <f>IFERROR(__xludf.DUMMYFUNCTION("""COMPUTED_VALUE"""),66.0)</f>
        <v>66</v>
      </c>
      <c r="F6817" s="19" t="str">
        <f>IFERROR(__xludf.DUMMYFUNCTION("""COMPUTED_VALUE"""),"BLACK")</f>
        <v>BLACK</v>
      </c>
      <c r="G6817" s="20" t="str">
        <f>IFERROR(__xludf.DUMMYFUNCTION("""COMPUTED_VALUE"""),"Uncle Sams Cider (04/04/2023)")</f>
        <v>Uncle Sams Cider (04/04/2023)</v>
      </c>
      <c r="H6817" s="19"/>
    </row>
    <row r="6818">
      <c r="A6818" s="9"/>
      <c r="B6818" s="15"/>
      <c r="C6818" s="9">
        <f>IFERROR(__xludf.DUMMYFUNCTION("""COMPUTED_VALUE"""),45072.8149499074)</f>
        <v>45072.81495</v>
      </c>
      <c r="D6818" s="15">
        <f>IFERROR(__xludf.DUMMYFUNCTION("""COMPUTED_VALUE"""),1.011)</f>
        <v>1.011</v>
      </c>
      <c r="E6818" s="16">
        <f>IFERROR(__xludf.DUMMYFUNCTION("""COMPUTED_VALUE"""),66.0)</f>
        <v>66</v>
      </c>
      <c r="F6818" s="19" t="str">
        <f>IFERROR(__xludf.DUMMYFUNCTION("""COMPUTED_VALUE"""),"BLACK")</f>
        <v>BLACK</v>
      </c>
      <c r="G6818" s="20" t="str">
        <f>IFERROR(__xludf.DUMMYFUNCTION("""COMPUTED_VALUE"""),"Uncle Sams Cider (04/04/2023)")</f>
        <v>Uncle Sams Cider (04/04/2023)</v>
      </c>
      <c r="H6818" s="19"/>
    </row>
    <row r="6819">
      <c r="A6819" s="9"/>
      <c r="B6819" s="15"/>
      <c r="C6819" s="9">
        <f>IFERROR(__xludf.DUMMYFUNCTION("""COMPUTED_VALUE"""),45072.804516574)</f>
        <v>45072.80452</v>
      </c>
      <c r="D6819" s="15">
        <f>IFERROR(__xludf.DUMMYFUNCTION("""COMPUTED_VALUE"""),1.011)</f>
        <v>1.011</v>
      </c>
      <c r="E6819" s="16">
        <f>IFERROR(__xludf.DUMMYFUNCTION("""COMPUTED_VALUE"""),66.0)</f>
        <v>66</v>
      </c>
      <c r="F6819" s="19" t="str">
        <f>IFERROR(__xludf.DUMMYFUNCTION("""COMPUTED_VALUE"""),"BLACK")</f>
        <v>BLACK</v>
      </c>
      <c r="G6819" s="20" t="str">
        <f>IFERROR(__xludf.DUMMYFUNCTION("""COMPUTED_VALUE"""),"Uncle Sams Cider (04/04/2023)")</f>
        <v>Uncle Sams Cider (04/04/2023)</v>
      </c>
      <c r="H6819" s="19"/>
    </row>
    <row r="6820">
      <c r="A6820" s="9"/>
      <c r="B6820" s="15"/>
      <c r="C6820" s="9">
        <f>IFERROR(__xludf.DUMMYFUNCTION("""COMPUTED_VALUE"""),45072.7940975)</f>
        <v>45072.7941</v>
      </c>
      <c r="D6820" s="15">
        <f>IFERROR(__xludf.DUMMYFUNCTION("""COMPUTED_VALUE"""),1.011)</f>
        <v>1.011</v>
      </c>
      <c r="E6820" s="16">
        <f>IFERROR(__xludf.DUMMYFUNCTION("""COMPUTED_VALUE"""),66.0)</f>
        <v>66</v>
      </c>
      <c r="F6820" s="19" t="str">
        <f>IFERROR(__xludf.DUMMYFUNCTION("""COMPUTED_VALUE"""),"BLACK")</f>
        <v>BLACK</v>
      </c>
      <c r="G6820" s="20" t="str">
        <f>IFERROR(__xludf.DUMMYFUNCTION("""COMPUTED_VALUE"""),"Uncle Sams Cider (04/04/2023)")</f>
        <v>Uncle Sams Cider (04/04/2023)</v>
      </c>
      <c r="H6820" s="19"/>
    </row>
    <row r="6821">
      <c r="A6821" s="9"/>
      <c r="B6821" s="15"/>
      <c r="C6821" s="9">
        <f>IFERROR(__xludf.DUMMYFUNCTION("""COMPUTED_VALUE"""),45072.7836768518)</f>
        <v>45072.78368</v>
      </c>
      <c r="D6821" s="15">
        <f>IFERROR(__xludf.DUMMYFUNCTION("""COMPUTED_VALUE"""),1.011)</f>
        <v>1.011</v>
      </c>
      <c r="E6821" s="16">
        <f>IFERROR(__xludf.DUMMYFUNCTION("""COMPUTED_VALUE"""),66.0)</f>
        <v>66</v>
      </c>
      <c r="F6821" s="19" t="str">
        <f>IFERROR(__xludf.DUMMYFUNCTION("""COMPUTED_VALUE"""),"BLACK")</f>
        <v>BLACK</v>
      </c>
      <c r="G6821" s="20" t="str">
        <f>IFERROR(__xludf.DUMMYFUNCTION("""COMPUTED_VALUE"""),"Uncle Sams Cider (04/04/2023)")</f>
        <v>Uncle Sams Cider (04/04/2023)</v>
      </c>
      <c r="H6821" s="19"/>
    </row>
    <row r="6822">
      <c r="A6822" s="9"/>
      <c r="B6822" s="15"/>
      <c r="C6822" s="9">
        <f>IFERROR(__xludf.DUMMYFUNCTION("""COMPUTED_VALUE"""),45072.7732447106)</f>
        <v>45072.77324</v>
      </c>
      <c r="D6822" s="15">
        <f>IFERROR(__xludf.DUMMYFUNCTION("""COMPUTED_VALUE"""),1.011)</f>
        <v>1.011</v>
      </c>
      <c r="E6822" s="16">
        <f>IFERROR(__xludf.DUMMYFUNCTION("""COMPUTED_VALUE"""),66.0)</f>
        <v>66</v>
      </c>
      <c r="F6822" s="19" t="str">
        <f>IFERROR(__xludf.DUMMYFUNCTION("""COMPUTED_VALUE"""),"BLACK")</f>
        <v>BLACK</v>
      </c>
      <c r="G6822" s="20" t="str">
        <f>IFERROR(__xludf.DUMMYFUNCTION("""COMPUTED_VALUE"""),"Uncle Sams Cider (04/04/2023)")</f>
        <v>Uncle Sams Cider (04/04/2023)</v>
      </c>
      <c r="H6822" s="19"/>
    </row>
    <row r="6823">
      <c r="A6823" s="9"/>
      <c r="B6823" s="15"/>
      <c r="C6823" s="9">
        <f>IFERROR(__xludf.DUMMYFUNCTION("""COMPUTED_VALUE"""),45072.7628219213)</f>
        <v>45072.76282</v>
      </c>
      <c r="D6823" s="15">
        <f>IFERROR(__xludf.DUMMYFUNCTION("""COMPUTED_VALUE"""),1.011)</f>
        <v>1.011</v>
      </c>
      <c r="E6823" s="16">
        <f>IFERROR(__xludf.DUMMYFUNCTION("""COMPUTED_VALUE"""),66.0)</f>
        <v>66</v>
      </c>
      <c r="F6823" s="19" t="str">
        <f>IFERROR(__xludf.DUMMYFUNCTION("""COMPUTED_VALUE"""),"BLACK")</f>
        <v>BLACK</v>
      </c>
      <c r="G6823" s="20" t="str">
        <f>IFERROR(__xludf.DUMMYFUNCTION("""COMPUTED_VALUE"""),"Uncle Sams Cider (04/04/2023)")</f>
        <v>Uncle Sams Cider (04/04/2023)</v>
      </c>
      <c r="H6823" s="19"/>
    </row>
    <row r="6824">
      <c r="A6824" s="9"/>
      <c r="B6824" s="15"/>
      <c r="C6824" s="9">
        <f>IFERROR(__xludf.DUMMYFUNCTION("""COMPUTED_VALUE"""),45072.7523993287)</f>
        <v>45072.7524</v>
      </c>
      <c r="D6824" s="15">
        <f>IFERROR(__xludf.DUMMYFUNCTION("""COMPUTED_VALUE"""),1.011)</f>
        <v>1.011</v>
      </c>
      <c r="E6824" s="16">
        <f>IFERROR(__xludf.DUMMYFUNCTION("""COMPUTED_VALUE"""),66.0)</f>
        <v>66</v>
      </c>
      <c r="F6824" s="19" t="str">
        <f>IFERROR(__xludf.DUMMYFUNCTION("""COMPUTED_VALUE"""),"BLACK")</f>
        <v>BLACK</v>
      </c>
      <c r="G6824" s="20" t="str">
        <f>IFERROR(__xludf.DUMMYFUNCTION("""COMPUTED_VALUE"""),"Uncle Sams Cider (04/04/2023)")</f>
        <v>Uncle Sams Cider (04/04/2023)</v>
      </c>
      <c r="H6824" s="19"/>
    </row>
    <row r="6825">
      <c r="A6825" s="9"/>
      <c r="B6825" s="15"/>
      <c r="C6825" s="9">
        <f>IFERROR(__xludf.DUMMYFUNCTION("""COMPUTED_VALUE"""),45072.7419785416)</f>
        <v>45072.74198</v>
      </c>
      <c r="D6825" s="15">
        <f>IFERROR(__xludf.DUMMYFUNCTION("""COMPUTED_VALUE"""),1.011)</f>
        <v>1.011</v>
      </c>
      <c r="E6825" s="16">
        <f>IFERROR(__xludf.DUMMYFUNCTION("""COMPUTED_VALUE"""),66.0)</f>
        <v>66</v>
      </c>
      <c r="F6825" s="19" t="str">
        <f>IFERROR(__xludf.DUMMYFUNCTION("""COMPUTED_VALUE"""),"BLACK")</f>
        <v>BLACK</v>
      </c>
      <c r="G6825" s="20" t="str">
        <f>IFERROR(__xludf.DUMMYFUNCTION("""COMPUTED_VALUE"""),"Uncle Sams Cider (04/04/2023)")</f>
        <v>Uncle Sams Cider (04/04/2023)</v>
      </c>
      <c r="H6825" s="19"/>
    </row>
    <row r="6826">
      <c r="A6826" s="9"/>
      <c r="B6826" s="15"/>
      <c r="C6826" s="9">
        <f>IFERROR(__xludf.DUMMYFUNCTION("""COMPUTED_VALUE"""),45072.7315561921)</f>
        <v>45072.73156</v>
      </c>
      <c r="D6826" s="15">
        <f>IFERROR(__xludf.DUMMYFUNCTION("""COMPUTED_VALUE"""),1.011)</f>
        <v>1.011</v>
      </c>
      <c r="E6826" s="16">
        <f>IFERROR(__xludf.DUMMYFUNCTION("""COMPUTED_VALUE"""),66.0)</f>
        <v>66</v>
      </c>
      <c r="F6826" s="19" t="str">
        <f>IFERROR(__xludf.DUMMYFUNCTION("""COMPUTED_VALUE"""),"BLACK")</f>
        <v>BLACK</v>
      </c>
      <c r="G6826" s="20" t="str">
        <f>IFERROR(__xludf.DUMMYFUNCTION("""COMPUTED_VALUE"""),"Uncle Sams Cider (04/04/2023)")</f>
        <v>Uncle Sams Cider (04/04/2023)</v>
      </c>
      <c r="H6826" s="19"/>
    </row>
    <row r="6827">
      <c r="A6827" s="9"/>
      <c r="B6827" s="15"/>
      <c r="C6827" s="9">
        <f>IFERROR(__xludf.DUMMYFUNCTION("""COMPUTED_VALUE"""),45072.721135243)</f>
        <v>45072.72114</v>
      </c>
      <c r="D6827" s="15">
        <f>IFERROR(__xludf.DUMMYFUNCTION("""COMPUTED_VALUE"""),1.011)</f>
        <v>1.011</v>
      </c>
      <c r="E6827" s="16">
        <f>IFERROR(__xludf.DUMMYFUNCTION("""COMPUTED_VALUE"""),66.0)</f>
        <v>66</v>
      </c>
      <c r="F6827" s="19" t="str">
        <f>IFERROR(__xludf.DUMMYFUNCTION("""COMPUTED_VALUE"""),"BLACK")</f>
        <v>BLACK</v>
      </c>
      <c r="G6827" s="20" t="str">
        <f>IFERROR(__xludf.DUMMYFUNCTION("""COMPUTED_VALUE"""),"Uncle Sams Cider (04/04/2023)")</f>
        <v>Uncle Sams Cider (04/04/2023)</v>
      </c>
      <c r="H6827" s="19"/>
    </row>
    <row r="6828">
      <c r="A6828" s="9"/>
      <c r="B6828" s="15"/>
      <c r="C6828" s="9">
        <f>IFERROR(__xludf.DUMMYFUNCTION("""COMPUTED_VALUE"""),45072.7106902893)</f>
        <v>45072.71069</v>
      </c>
      <c r="D6828" s="15">
        <f>IFERROR(__xludf.DUMMYFUNCTION("""COMPUTED_VALUE"""),1.011)</f>
        <v>1.011</v>
      </c>
      <c r="E6828" s="16">
        <f>IFERROR(__xludf.DUMMYFUNCTION("""COMPUTED_VALUE"""),66.0)</f>
        <v>66</v>
      </c>
      <c r="F6828" s="19" t="str">
        <f>IFERROR(__xludf.DUMMYFUNCTION("""COMPUTED_VALUE"""),"BLACK")</f>
        <v>BLACK</v>
      </c>
      <c r="G6828" s="20" t="str">
        <f>IFERROR(__xludf.DUMMYFUNCTION("""COMPUTED_VALUE"""),"Uncle Sams Cider (04/04/2023)")</f>
        <v>Uncle Sams Cider (04/04/2023)</v>
      </c>
      <c r="H6828" s="19"/>
    </row>
    <row r="6829">
      <c r="A6829" s="9"/>
      <c r="B6829" s="15"/>
      <c r="C6829" s="9">
        <f>IFERROR(__xludf.DUMMYFUNCTION("""COMPUTED_VALUE"""),45072.7002352662)</f>
        <v>45072.70024</v>
      </c>
      <c r="D6829" s="15">
        <f>IFERROR(__xludf.DUMMYFUNCTION("""COMPUTED_VALUE"""),1.011)</f>
        <v>1.011</v>
      </c>
      <c r="E6829" s="16">
        <f>IFERROR(__xludf.DUMMYFUNCTION("""COMPUTED_VALUE"""),66.0)</f>
        <v>66</v>
      </c>
      <c r="F6829" s="19" t="str">
        <f>IFERROR(__xludf.DUMMYFUNCTION("""COMPUTED_VALUE"""),"BLACK")</f>
        <v>BLACK</v>
      </c>
      <c r="G6829" s="20" t="str">
        <f>IFERROR(__xludf.DUMMYFUNCTION("""COMPUTED_VALUE"""),"Uncle Sams Cider (04/04/2023)")</f>
        <v>Uncle Sams Cider (04/04/2023)</v>
      </c>
      <c r="H6829" s="19"/>
    </row>
    <row r="6830">
      <c r="A6830" s="9"/>
      <c r="B6830" s="15"/>
      <c r="C6830" s="9">
        <f>IFERROR(__xludf.DUMMYFUNCTION("""COMPUTED_VALUE"""),45072.6898035185)</f>
        <v>45072.6898</v>
      </c>
      <c r="D6830" s="15">
        <f>IFERROR(__xludf.DUMMYFUNCTION("""COMPUTED_VALUE"""),1.011)</f>
        <v>1.011</v>
      </c>
      <c r="E6830" s="16">
        <f>IFERROR(__xludf.DUMMYFUNCTION("""COMPUTED_VALUE"""),66.0)</f>
        <v>66</v>
      </c>
      <c r="F6830" s="19" t="str">
        <f>IFERROR(__xludf.DUMMYFUNCTION("""COMPUTED_VALUE"""),"BLACK")</f>
        <v>BLACK</v>
      </c>
      <c r="G6830" s="20" t="str">
        <f>IFERROR(__xludf.DUMMYFUNCTION("""COMPUTED_VALUE"""),"Uncle Sams Cider (04/04/2023)")</f>
        <v>Uncle Sams Cider (04/04/2023)</v>
      </c>
      <c r="H6830" s="19"/>
    </row>
    <row r="6831">
      <c r="A6831" s="9"/>
      <c r="B6831" s="15"/>
      <c r="C6831" s="9">
        <f>IFERROR(__xludf.DUMMYFUNCTION("""COMPUTED_VALUE"""),45072.6793695486)</f>
        <v>45072.67937</v>
      </c>
      <c r="D6831" s="15">
        <f>IFERROR(__xludf.DUMMYFUNCTION("""COMPUTED_VALUE"""),1.011)</f>
        <v>1.011</v>
      </c>
      <c r="E6831" s="16">
        <f>IFERROR(__xludf.DUMMYFUNCTION("""COMPUTED_VALUE"""),66.0)</f>
        <v>66</v>
      </c>
      <c r="F6831" s="19" t="str">
        <f>IFERROR(__xludf.DUMMYFUNCTION("""COMPUTED_VALUE"""),"BLACK")</f>
        <v>BLACK</v>
      </c>
      <c r="G6831" s="20" t="str">
        <f>IFERROR(__xludf.DUMMYFUNCTION("""COMPUTED_VALUE"""),"Uncle Sams Cider (04/04/2023)")</f>
        <v>Uncle Sams Cider (04/04/2023)</v>
      </c>
      <c r="H6831" s="19"/>
    </row>
    <row r="6832">
      <c r="A6832" s="9"/>
      <c r="B6832" s="15"/>
      <c r="C6832" s="9">
        <f>IFERROR(__xludf.DUMMYFUNCTION("""COMPUTED_VALUE"""),45072.668948206)</f>
        <v>45072.66895</v>
      </c>
      <c r="D6832" s="15">
        <f>IFERROR(__xludf.DUMMYFUNCTION("""COMPUTED_VALUE"""),1.011)</f>
        <v>1.011</v>
      </c>
      <c r="E6832" s="16">
        <f>IFERROR(__xludf.DUMMYFUNCTION("""COMPUTED_VALUE"""),66.0)</f>
        <v>66</v>
      </c>
      <c r="F6832" s="19" t="str">
        <f>IFERROR(__xludf.DUMMYFUNCTION("""COMPUTED_VALUE"""),"BLACK")</f>
        <v>BLACK</v>
      </c>
      <c r="G6832" s="20" t="str">
        <f>IFERROR(__xludf.DUMMYFUNCTION("""COMPUTED_VALUE"""),"Uncle Sams Cider (04/04/2023)")</f>
        <v>Uncle Sams Cider (04/04/2023)</v>
      </c>
      <c r="H6832" s="19"/>
    </row>
    <row r="6833">
      <c r="A6833" s="9"/>
      <c r="B6833" s="15"/>
      <c r="C6833" s="9">
        <f>IFERROR(__xludf.DUMMYFUNCTION("""COMPUTED_VALUE"""),45072.6585266203)</f>
        <v>45072.65853</v>
      </c>
      <c r="D6833" s="15">
        <f>IFERROR(__xludf.DUMMYFUNCTION("""COMPUTED_VALUE"""),1.011)</f>
        <v>1.011</v>
      </c>
      <c r="E6833" s="16">
        <f>IFERROR(__xludf.DUMMYFUNCTION("""COMPUTED_VALUE"""),66.0)</f>
        <v>66</v>
      </c>
      <c r="F6833" s="19" t="str">
        <f>IFERROR(__xludf.DUMMYFUNCTION("""COMPUTED_VALUE"""),"BLACK")</f>
        <v>BLACK</v>
      </c>
      <c r="G6833" s="20" t="str">
        <f>IFERROR(__xludf.DUMMYFUNCTION("""COMPUTED_VALUE"""),"Uncle Sams Cider (04/04/2023)")</f>
        <v>Uncle Sams Cider (04/04/2023)</v>
      </c>
      <c r="H6833" s="19"/>
    </row>
    <row r="6834">
      <c r="A6834" s="9"/>
      <c r="B6834" s="15"/>
      <c r="C6834" s="9">
        <f>IFERROR(__xludf.DUMMYFUNCTION("""COMPUTED_VALUE"""),45072.6481039351)</f>
        <v>45072.6481</v>
      </c>
      <c r="D6834" s="15">
        <f>IFERROR(__xludf.DUMMYFUNCTION("""COMPUTED_VALUE"""),1.011)</f>
        <v>1.011</v>
      </c>
      <c r="E6834" s="16">
        <f>IFERROR(__xludf.DUMMYFUNCTION("""COMPUTED_VALUE"""),66.0)</f>
        <v>66</v>
      </c>
      <c r="F6834" s="19" t="str">
        <f>IFERROR(__xludf.DUMMYFUNCTION("""COMPUTED_VALUE"""),"BLACK")</f>
        <v>BLACK</v>
      </c>
      <c r="G6834" s="20" t="str">
        <f>IFERROR(__xludf.DUMMYFUNCTION("""COMPUTED_VALUE"""),"Uncle Sams Cider (04/04/2023)")</f>
        <v>Uncle Sams Cider (04/04/2023)</v>
      </c>
      <c r="H6834" s="19"/>
    </row>
    <row r="6835">
      <c r="A6835" s="9"/>
      <c r="B6835" s="15"/>
      <c r="C6835" s="9">
        <f>IFERROR(__xludf.DUMMYFUNCTION("""COMPUTED_VALUE"""),45072.6376804282)</f>
        <v>45072.63768</v>
      </c>
      <c r="D6835" s="15">
        <f>IFERROR(__xludf.DUMMYFUNCTION("""COMPUTED_VALUE"""),1.011)</f>
        <v>1.011</v>
      </c>
      <c r="E6835" s="16">
        <f>IFERROR(__xludf.DUMMYFUNCTION("""COMPUTED_VALUE"""),66.0)</f>
        <v>66</v>
      </c>
      <c r="F6835" s="19" t="str">
        <f>IFERROR(__xludf.DUMMYFUNCTION("""COMPUTED_VALUE"""),"BLACK")</f>
        <v>BLACK</v>
      </c>
      <c r="G6835" s="20" t="str">
        <f>IFERROR(__xludf.DUMMYFUNCTION("""COMPUTED_VALUE"""),"Uncle Sams Cider (04/04/2023)")</f>
        <v>Uncle Sams Cider (04/04/2023)</v>
      </c>
      <c r="H6835" s="19"/>
    </row>
    <row r="6836">
      <c r="A6836" s="9"/>
      <c r="B6836" s="15"/>
      <c r="C6836" s="9">
        <f>IFERROR(__xludf.DUMMYFUNCTION("""COMPUTED_VALUE"""),45072.6272581713)</f>
        <v>45072.62726</v>
      </c>
      <c r="D6836" s="15">
        <f>IFERROR(__xludf.DUMMYFUNCTION("""COMPUTED_VALUE"""),1.011)</f>
        <v>1.011</v>
      </c>
      <c r="E6836" s="16">
        <f>IFERROR(__xludf.DUMMYFUNCTION("""COMPUTED_VALUE"""),66.0)</f>
        <v>66</v>
      </c>
      <c r="F6836" s="19" t="str">
        <f>IFERROR(__xludf.DUMMYFUNCTION("""COMPUTED_VALUE"""),"BLACK")</f>
        <v>BLACK</v>
      </c>
      <c r="G6836" s="20" t="str">
        <f>IFERROR(__xludf.DUMMYFUNCTION("""COMPUTED_VALUE"""),"Uncle Sams Cider (04/04/2023)")</f>
        <v>Uncle Sams Cider (04/04/2023)</v>
      </c>
      <c r="H6836" s="19"/>
    </row>
    <row r="6837">
      <c r="A6837" s="9"/>
      <c r="B6837" s="15"/>
      <c r="C6837" s="9">
        <f>IFERROR(__xludf.DUMMYFUNCTION("""COMPUTED_VALUE"""),45072.6168371527)</f>
        <v>45072.61684</v>
      </c>
      <c r="D6837" s="15">
        <f>IFERROR(__xludf.DUMMYFUNCTION("""COMPUTED_VALUE"""),1.011)</f>
        <v>1.011</v>
      </c>
      <c r="E6837" s="16">
        <f>IFERROR(__xludf.DUMMYFUNCTION("""COMPUTED_VALUE"""),66.0)</f>
        <v>66</v>
      </c>
      <c r="F6837" s="19" t="str">
        <f>IFERROR(__xludf.DUMMYFUNCTION("""COMPUTED_VALUE"""),"BLACK")</f>
        <v>BLACK</v>
      </c>
      <c r="G6837" s="20" t="str">
        <f>IFERROR(__xludf.DUMMYFUNCTION("""COMPUTED_VALUE"""),"Uncle Sams Cider (04/04/2023)")</f>
        <v>Uncle Sams Cider (04/04/2023)</v>
      </c>
      <c r="H6837" s="19"/>
    </row>
    <row r="6838">
      <c r="A6838" s="9"/>
      <c r="B6838" s="15"/>
      <c r="C6838" s="9">
        <f>IFERROR(__xludf.DUMMYFUNCTION("""COMPUTED_VALUE"""),45072.6064163541)</f>
        <v>45072.60642</v>
      </c>
      <c r="D6838" s="15">
        <f>IFERROR(__xludf.DUMMYFUNCTION("""COMPUTED_VALUE"""),1.011)</f>
        <v>1.011</v>
      </c>
      <c r="E6838" s="16">
        <f>IFERROR(__xludf.DUMMYFUNCTION("""COMPUTED_VALUE"""),66.0)</f>
        <v>66</v>
      </c>
      <c r="F6838" s="19" t="str">
        <f>IFERROR(__xludf.DUMMYFUNCTION("""COMPUTED_VALUE"""),"BLACK")</f>
        <v>BLACK</v>
      </c>
      <c r="G6838" s="20" t="str">
        <f>IFERROR(__xludf.DUMMYFUNCTION("""COMPUTED_VALUE"""),"Uncle Sams Cider (04/04/2023)")</f>
        <v>Uncle Sams Cider (04/04/2023)</v>
      </c>
      <c r="H6838" s="19"/>
    </row>
    <row r="6839">
      <c r="A6839" s="9"/>
      <c r="B6839" s="15"/>
      <c r="C6839" s="9">
        <f>IFERROR(__xludf.DUMMYFUNCTION("""COMPUTED_VALUE"""),45072.5959729398)</f>
        <v>45072.59597</v>
      </c>
      <c r="D6839" s="15">
        <f>IFERROR(__xludf.DUMMYFUNCTION("""COMPUTED_VALUE"""),1.011)</f>
        <v>1.011</v>
      </c>
      <c r="E6839" s="16">
        <f>IFERROR(__xludf.DUMMYFUNCTION("""COMPUTED_VALUE"""),66.0)</f>
        <v>66</v>
      </c>
      <c r="F6839" s="19" t="str">
        <f>IFERROR(__xludf.DUMMYFUNCTION("""COMPUTED_VALUE"""),"BLACK")</f>
        <v>BLACK</v>
      </c>
      <c r="G6839" s="20" t="str">
        <f>IFERROR(__xludf.DUMMYFUNCTION("""COMPUTED_VALUE"""),"Uncle Sams Cider (04/04/2023)")</f>
        <v>Uncle Sams Cider (04/04/2023)</v>
      </c>
      <c r="H6839" s="19"/>
    </row>
    <row r="6840">
      <c r="A6840" s="9"/>
      <c r="B6840" s="15"/>
      <c r="C6840" s="9">
        <f>IFERROR(__xludf.DUMMYFUNCTION("""COMPUTED_VALUE"""),45072.5855403703)</f>
        <v>45072.58554</v>
      </c>
      <c r="D6840" s="15">
        <f>IFERROR(__xludf.DUMMYFUNCTION("""COMPUTED_VALUE"""),1.011)</f>
        <v>1.011</v>
      </c>
      <c r="E6840" s="16">
        <f>IFERROR(__xludf.DUMMYFUNCTION("""COMPUTED_VALUE"""),66.0)</f>
        <v>66</v>
      </c>
      <c r="F6840" s="19" t="str">
        <f>IFERROR(__xludf.DUMMYFUNCTION("""COMPUTED_VALUE"""),"BLACK")</f>
        <v>BLACK</v>
      </c>
      <c r="G6840" s="20" t="str">
        <f>IFERROR(__xludf.DUMMYFUNCTION("""COMPUTED_VALUE"""),"Uncle Sams Cider (04/04/2023)")</f>
        <v>Uncle Sams Cider (04/04/2023)</v>
      </c>
      <c r="H6840" s="19"/>
    </row>
    <row r="6841">
      <c r="A6841" s="9"/>
      <c r="B6841" s="15"/>
      <c r="C6841" s="9">
        <f>IFERROR(__xludf.DUMMYFUNCTION("""COMPUTED_VALUE"""),45072.5751080208)</f>
        <v>45072.57511</v>
      </c>
      <c r="D6841" s="15">
        <f>IFERROR(__xludf.DUMMYFUNCTION("""COMPUTED_VALUE"""),1.011)</f>
        <v>1.011</v>
      </c>
      <c r="E6841" s="16">
        <f>IFERROR(__xludf.DUMMYFUNCTION("""COMPUTED_VALUE"""),66.0)</f>
        <v>66</v>
      </c>
      <c r="F6841" s="19" t="str">
        <f>IFERROR(__xludf.DUMMYFUNCTION("""COMPUTED_VALUE"""),"BLACK")</f>
        <v>BLACK</v>
      </c>
      <c r="G6841" s="20" t="str">
        <f>IFERROR(__xludf.DUMMYFUNCTION("""COMPUTED_VALUE"""),"Uncle Sams Cider (04/04/2023)")</f>
        <v>Uncle Sams Cider (04/04/2023)</v>
      </c>
      <c r="H6841" s="19"/>
    </row>
    <row r="6842">
      <c r="A6842" s="9"/>
      <c r="B6842" s="15"/>
      <c r="C6842" s="9">
        <f>IFERROR(__xludf.DUMMYFUNCTION("""COMPUTED_VALUE"""),45072.5646861111)</f>
        <v>45072.56469</v>
      </c>
      <c r="D6842" s="15">
        <f>IFERROR(__xludf.DUMMYFUNCTION("""COMPUTED_VALUE"""),1.011)</f>
        <v>1.011</v>
      </c>
      <c r="E6842" s="16">
        <f>IFERROR(__xludf.DUMMYFUNCTION("""COMPUTED_VALUE"""),66.0)</f>
        <v>66</v>
      </c>
      <c r="F6842" s="19" t="str">
        <f>IFERROR(__xludf.DUMMYFUNCTION("""COMPUTED_VALUE"""),"BLACK")</f>
        <v>BLACK</v>
      </c>
      <c r="G6842" s="20" t="str">
        <f>IFERROR(__xludf.DUMMYFUNCTION("""COMPUTED_VALUE"""),"Uncle Sams Cider (04/04/2023)")</f>
        <v>Uncle Sams Cider (04/04/2023)</v>
      </c>
      <c r="H6842" s="19"/>
    </row>
    <row r="6843">
      <c r="A6843" s="9"/>
      <c r="B6843" s="15"/>
      <c r="C6843" s="9">
        <f>IFERROR(__xludf.DUMMYFUNCTION("""COMPUTED_VALUE"""),45072.5542515856)</f>
        <v>45072.55425</v>
      </c>
      <c r="D6843" s="15">
        <f>IFERROR(__xludf.DUMMYFUNCTION("""COMPUTED_VALUE"""),1.011)</f>
        <v>1.011</v>
      </c>
      <c r="E6843" s="16">
        <f>IFERROR(__xludf.DUMMYFUNCTION("""COMPUTED_VALUE"""),66.0)</f>
        <v>66</v>
      </c>
      <c r="F6843" s="19" t="str">
        <f>IFERROR(__xludf.DUMMYFUNCTION("""COMPUTED_VALUE"""),"BLACK")</f>
        <v>BLACK</v>
      </c>
      <c r="G6843" s="20" t="str">
        <f>IFERROR(__xludf.DUMMYFUNCTION("""COMPUTED_VALUE"""),"Uncle Sams Cider (04/04/2023)")</f>
        <v>Uncle Sams Cider (04/04/2023)</v>
      </c>
      <c r="H6843" s="19"/>
    </row>
    <row r="6844">
      <c r="A6844" s="9"/>
      <c r="B6844" s="15"/>
      <c r="C6844" s="9">
        <f>IFERROR(__xludf.DUMMYFUNCTION("""COMPUTED_VALUE"""),45072.5438302083)</f>
        <v>45072.54383</v>
      </c>
      <c r="D6844" s="15">
        <f>IFERROR(__xludf.DUMMYFUNCTION("""COMPUTED_VALUE"""),1.011)</f>
        <v>1.011</v>
      </c>
      <c r="E6844" s="16">
        <f>IFERROR(__xludf.DUMMYFUNCTION("""COMPUTED_VALUE"""),66.0)</f>
        <v>66</v>
      </c>
      <c r="F6844" s="19" t="str">
        <f>IFERROR(__xludf.DUMMYFUNCTION("""COMPUTED_VALUE"""),"BLACK")</f>
        <v>BLACK</v>
      </c>
      <c r="G6844" s="20" t="str">
        <f>IFERROR(__xludf.DUMMYFUNCTION("""COMPUTED_VALUE"""),"Uncle Sams Cider (04/04/2023)")</f>
        <v>Uncle Sams Cider (04/04/2023)</v>
      </c>
      <c r="H6844" s="19"/>
    </row>
    <row r="6845">
      <c r="A6845" s="9"/>
      <c r="B6845" s="15"/>
      <c r="C6845" s="9">
        <f>IFERROR(__xludf.DUMMYFUNCTION("""COMPUTED_VALUE"""),45072.5334098495)</f>
        <v>45072.53341</v>
      </c>
      <c r="D6845" s="15">
        <f>IFERROR(__xludf.DUMMYFUNCTION("""COMPUTED_VALUE"""),1.011)</f>
        <v>1.011</v>
      </c>
      <c r="E6845" s="16">
        <f>IFERROR(__xludf.DUMMYFUNCTION("""COMPUTED_VALUE"""),66.0)</f>
        <v>66</v>
      </c>
      <c r="F6845" s="19" t="str">
        <f>IFERROR(__xludf.DUMMYFUNCTION("""COMPUTED_VALUE"""),"BLACK")</f>
        <v>BLACK</v>
      </c>
      <c r="G6845" s="20" t="str">
        <f>IFERROR(__xludf.DUMMYFUNCTION("""COMPUTED_VALUE"""),"Uncle Sams Cider (04/04/2023)")</f>
        <v>Uncle Sams Cider (04/04/2023)</v>
      </c>
      <c r="H6845" s="19"/>
    </row>
    <row r="6846">
      <c r="A6846" s="9"/>
      <c r="B6846" s="15"/>
      <c r="C6846" s="9">
        <f>IFERROR(__xludf.DUMMYFUNCTION("""COMPUTED_VALUE"""),45072.5229879513)</f>
        <v>45072.52299</v>
      </c>
      <c r="D6846" s="15">
        <f>IFERROR(__xludf.DUMMYFUNCTION("""COMPUTED_VALUE"""),1.011)</f>
        <v>1.011</v>
      </c>
      <c r="E6846" s="16">
        <f>IFERROR(__xludf.DUMMYFUNCTION("""COMPUTED_VALUE"""),66.0)</f>
        <v>66</v>
      </c>
      <c r="F6846" s="19" t="str">
        <f>IFERROR(__xludf.DUMMYFUNCTION("""COMPUTED_VALUE"""),"BLACK")</f>
        <v>BLACK</v>
      </c>
      <c r="G6846" s="20" t="str">
        <f>IFERROR(__xludf.DUMMYFUNCTION("""COMPUTED_VALUE"""),"Uncle Sams Cider (04/04/2023)")</f>
        <v>Uncle Sams Cider (04/04/2023)</v>
      </c>
      <c r="H6846" s="19"/>
    </row>
    <row r="6847">
      <c r="A6847" s="9"/>
      <c r="B6847" s="15"/>
      <c r="C6847" s="9">
        <f>IFERROR(__xludf.DUMMYFUNCTION("""COMPUTED_VALUE"""),45072.5125544328)</f>
        <v>45072.51255</v>
      </c>
      <c r="D6847" s="15">
        <f>IFERROR(__xludf.DUMMYFUNCTION("""COMPUTED_VALUE"""),1.011)</f>
        <v>1.011</v>
      </c>
      <c r="E6847" s="16">
        <f>IFERROR(__xludf.DUMMYFUNCTION("""COMPUTED_VALUE"""),66.0)</f>
        <v>66</v>
      </c>
      <c r="F6847" s="19" t="str">
        <f>IFERROR(__xludf.DUMMYFUNCTION("""COMPUTED_VALUE"""),"BLACK")</f>
        <v>BLACK</v>
      </c>
      <c r="G6847" s="20" t="str">
        <f>IFERROR(__xludf.DUMMYFUNCTION("""COMPUTED_VALUE"""),"Uncle Sams Cider (04/04/2023)")</f>
        <v>Uncle Sams Cider (04/04/2023)</v>
      </c>
      <c r="H6847" s="19"/>
    </row>
    <row r="6848">
      <c r="A6848" s="9"/>
      <c r="B6848" s="15"/>
      <c r="C6848" s="9">
        <f>IFERROR(__xludf.DUMMYFUNCTION("""COMPUTED_VALUE"""),45072.5021220023)</f>
        <v>45072.50212</v>
      </c>
      <c r="D6848" s="15">
        <f>IFERROR(__xludf.DUMMYFUNCTION("""COMPUTED_VALUE"""),1.011)</f>
        <v>1.011</v>
      </c>
      <c r="E6848" s="16">
        <f>IFERROR(__xludf.DUMMYFUNCTION("""COMPUTED_VALUE"""),66.0)</f>
        <v>66</v>
      </c>
      <c r="F6848" s="19" t="str">
        <f>IFERROR(__xludf.DUMMYFUNCTION("""COMPUTED_VALUE"""),"BLACK")</f>
        <v>BLACK</v>
      </c>
      <c r="G6848" s="20" t="str">
        <f>IFERROR(__xludf.DUMMYFUNCTION("""COMPUTED_VALUE"""),"Uncle Sams Cider (04/04/2023)")</f>
        <v>Uncle Sams Cider (04/04/2023)</v>
      </c>
      <c r="H6848" s="19"/>
    </row>
    <row r="6849">
      <c r="A6849" s="9"/>
      <c r="B6849" s="15"/>
      <c r="C6849" s="9">
        <f>IFERROR(__xludf.DUMMYFUNCTION("""COMPUTED_VALUE"""),45072.491705243)</f>
        <v>45072.49171</v>
      </c>
      <c r="D6849" s="15">
        <f>IFERROR(__xludf.DUMMYFUNCTION("""COMPUTED_VALUE"""),1.011)</f>
        <v>1.011</v>
      </c>
      <c r="E6849" s="16">
        <f>IFERROR(__xludf.DUMMYFUNCTION("""COMPUTED_VALUE"""),66.0)</f>
        <v>66</v>
      </c>
      <c r="F6849" s="19" t="str">
        <f>IFERROR(__xludf.DUMMYFUNCTION("""COMPUTED_VALUE"""),"BLACK")</f>
        <v>BLACK</v>
      </c>
      <c r="G6849" s="20" t="str">
        <f>IFERROR(__xludf.DUMMYFUNCTION("""COMPUTED_VALUE"""),"Uncle Sams Cider (04/04/2023)")</f>
        <v>Uncle Sams Cider (04/04/2023)</v>
      </c>
      <c r="H6849" s="19"/>
    </row>
    <row r="6850">
      <c r="A6850" s="9"/>
      <c r="B6850" s="15"/>
      <c r="C6850" s="9">
        <f>IFERROR(__xludf.DUMMYFUNCTION("""COMPUTED_VALUE"""),45072.481284618)</f>
        <v>45072.48128</v>
      </c>
      <c r="D6850" s="15">
        <f>IFERROR(__xludf.DUMMYFUNCTION("""COMPUTED_VALUE"""),1.011)</f>
        <v>1.011</v>
      </c>
      <c r="E6850" s="16">
        <f>IFERROR(__xludf.DUMMYFUNCTION("""COMPUTED_VALUE"""),66.0)</f>
        <v>66</v>
      </c>
      <c r="F6850" s="19" t="str">
        <f>IFERROR(__xludf.DUMMYFUNCTION("""COMPUTED_VALUE"""),"BLACK")</f>
        <v>BLACK</v>
      </c>
      <c r="G6850" s="20" t="str">
        <f>IFERROR(__xludf.DUMMYFUNCTION("""COMPUTED_VALUE"""),"Uncle Sams Cider (04/04/2023)")</f>
        <v>Uncle Sams Cider (04/04/2023)</v>
      </c>
      <c r="H6850" s="19"/>
    </row>
    <row r="6851">
      <c r="A6851" s="9"/>
      <c r="B6851" s="15"/>
      <c r="C6851" s="9">
        <f>IFERROR(__xludf.DUMMYFUNCTION("""COMPUTED_VALUE"""),45072.4708380787)</f>
        <v>45072.47084</v>
      </c>
      <c r="D6851" s="15">
        <f>IFERROR(__xludf.DUMMYFUNCTION("""COMPUTED_VALUE"""),1.011)</f>
        <v>1.011</v>
      </c>
      <c r="E6851" s="16">
        <f>IFERROR(__xludf.DUMMYFUNCTION("""COMPUTED_VALUE"""),66.0)</f>
        <v>66</v>
      </c>
      <c r="F6851" s="19" t="str">
        <f>IFERROR(__xludf.DUMMYFUNCTION("""COMPUTED_VALUE"""),"BLACK")</f>
        <v>BLACK</v>
      </c>
      <c r="G6851" s="20" t="str">
        <f>IFERROR(__xludf.DUMMYFUNCTION("""COMPUTED_VALUE"""),"Uncle Sams Cider (04/04/2023)")</f>
        <v>Uncle Sams Cider (04/04/2023)</v>
      </c>
      <c r="H6851" s="19"/>
    </row>
    <row r="6852">
      <c r="A6852" s="9"/>
      <c r="B6852" s="15"/>
      <c r="C6852" s="9">
        <f>IFERROR(__xludf.DUMMYFUNCTION("""COMPUTED_VALUE"""),45072.4604059837)</f>
        <v>45072.46041</v>
      </c>
      <c r="D6852" s="15">
        <f>IFERROR(__xludf.DUMMYFUNCTION("""COMPUTED_VALUE"""),1.011)</f>
        <v>1.011</v>
      </c>
      <c r="E6852" s="16">
        <f>IFERROR(__xludf.DUMMYFUNCTION("""COMPUTED_VALUE"""),66.0)</f>
        <v>66</v>
      </c>
      <c r="F6852" s="19" t="str">
        <f>IFERROR(__xludf.DUMMYFUNCTION("""COMPUTED_VALUE"""),"BLACK")</f>
        <v>BLACK</v>
      </c>
      <c r="G6852" s="20" t="str">
        <f>IFERROR(__xludf.DUMMYFUNCTION("""COMPUTED_VALUE"""),"Uncle Sams Cider (04/04/2023)")</f>
        <v>Uncle Sams Cider (04/04/2023)</v>
      </c>
      <c r="H6852" s="19"/>
    </row>
    <row r="6853">
      <c r="A6853" s="9"/>
      <c r="B6853" s="15"/>
      <c r="C6853" s="9">
        <f>IFERROR(__xludf.DUMMYFUNCTION("""COMPUTED_VALUE"""),45072.449983449)</f>
        <v>45072.44998</v>
      </c>
      <c r="D6853" s="15">
        <f>IFERROR(__xludf.DUMMYFUNCTION("""COMPUTED_VALUE"""),1.011)</f>
        <v>1.011</v>
      </c>
      <c r="E6853" s="16">
        <f>IFERROR(__xludf.DUMMYFUNCTION("""COMPUTED_VALUE"""),66.0)</f>
        <v>66</v>
      </c>
      <c r="F6853" s="19" t="str">
        <f>IFERROR(__xludf.DUMMYFUNCTION("""COMPUTED_VALUE"""),"BLACK")</f>
        <v>BLACK</v>
      </c>
      <c r="G6853" s="20" t="str">
        <f>IFERROR(__xludf.DUMMYFUNCTION("""COMPUTED_VALUE"""),"Uncle Sams Cider (04/04/2023)")</f>
        <v>Uncle Sams Cider (04/04/2023)</v>
      </c>
      <c r="H6853" s="19"/>
    </row>
    <row r="6854">
      <c r="A6854" s="9"/>
      <c r="B6854" s="15"/>
      <c r="C6854" s="9">
        <f>IFERROR(__xludf.DUMMYFUNCTION("""COMPUTED_VALUE"""),45072.439562824)</f>
        <v>45072.43956</v>
      </c>
      <c r="D6854" s="15">
        <f>IFERROR(__xludf.DUMMYFUNCTION("""COMPUTED_VALUE"""),1.011)</f>
        <v>1.011</v>
      </c>
      <c r="E6854" s="16">
        <f>IFERROR(__xludf.DUMMYFUNCTION("""COMPUTED_VALUE"""),66.0)</f>
        <v>66</v>
      </c>
      <c r="F6854" s="19" t="str">
        <f>IFERROR(__xludf.DUMMYFUNCTION("""COMPUTED_VALUE"""),"BLACK")</f>
        <v>BLACK</v>
      </c>
      <c r="G6854" s="20" t="str">
        <f>IFERROR(__xludf.DUMMYFUNCTION("""COMPUTED_VALUE"""),"Uncle Sams Cider (04/04/2023)")</f>
        <v>Uncle Sams Cider (04/04/2023)</v>
      </c>
      <c r="H6854" s="19"/>
    </row>
    <row r="6855">
      <c r="A6855" s="9"/>
      <c r="B6855" s="15"/>
      <c r="C6855" s="9">
        <f>IFERROR(__xludf.DUMMYFUNCTION("""COMPUTED_VALUE"""),45072.429140949)</f>
        <v>45072.42914</v>
      </c>
      <c r="D6855" s="15">
        <f>IFERROR(__xludf.DUMMYFUNCTION("""COMPUTED_VALUE"""),1.011)</f>
        <v>1.011</v>
      </c>
      <c r="E6855" s="16">
        <f>IFERROR(__xludf.DUMMYFUNCTION("""COMPUTED_VALUE"""),66.0)</f>
        <v>66</v>
      </c>
      <c r="F6855" s="19" t="str">
        <f>IFERROR(__xludf.DUMMYFUNCTION("""COMPUTED_VALUE"""),"BLACK")</f>
        <v>BLACK</v>
      </c>
      <c r="G6855" s="20" t="str">
        <f>IFERROR(__xludf.DUMMYFUNCTION("""COMPUTED_VALUE"""),"Uncle Sams Cider (04/04/2023)")</f>
        <v>Uncle Sams Cider (04/04/2023)</v>
      </c>
      <c r="H6855" s="19"/>
    </row>
    <row r="6856">
      <c r="A6856" s="9"/>
      <c r="B6856" s="15"/>
      <c r="C6856" s="9">
        <f>IFERROR(__xludf.DUMMYFUNCTION("""COMPUTED_VALUE"""),45072.41871978)</f>
        <v>45072.41872</v>
      </c>
      <c r="D6856" s="15">
        <f>IFERROR(__xludf.DUMMYFUNCTION("""COMPUTED_VALUE"""),1.011)</f>
        <v>1.011</v>
      </c>
      <c r="E6856" s="16">
        <f>IFERROR(__xludf.DUMMYFUNCTION("""COMPUTED_VALUE"""),66.0)</f>
        <v>66</v>
      </c>
      <c r="F6856" s="19" t="str">
        <f>IFERROR(__xludf.DUMMYFUNCTION("""COMPUTED_VALUE"""),"BLACK")</f>
        <v>BLACK</v>
      </c>
      <c r="G6856" s="20" t="str">
        <f>IFERROR(__xludf.DUMMYFUNCTION("""COMPUTED_VALUE"""),"Uncle Sams Cider (04/04/2023)")</f>
        <v>Uncle Sams Cider (04/04/2023)</v>
      </c>
      <c r="H6856" s="19"/>
    </row>
    <row r="6857">
      <c r="A6857" s="9"/>
      <c r="B6857" s="15"/>
      <c r="C6857" s="9">
        <f>IFERROR(__xludf.DUMMYFUNCTION("""COMPUTED_VALUE"""),45072.4082757291)</f>
        <v>45072.40828</v>
      </c>
      <c r="D6857" s="15">
        <f>IFERROR(__xludf.DUMMYFUNCTION("""COMPUTED_VALUE"""),1.011)</f>
        <v>1.011</v>
      </c>
      <c r="E6857" s="16">
        <f>IFERROR(__xludf.DUMMYFUNCTION("""COMPUTED_VALUE"""),66.0)</f>
        <v>66</v>
      </c>
      <c r="F6857" s="19" t="str">
        <f>IFERROR(__xludf.DUMMYFUNCTION("""COMPUTED_VALUE"""),"BLACK")</f>
        <v>BLACK</v>
      </c>
      <c r="G6857" s="20" t="str">
        <f>IFERROR(__xludf.DUMMYFUNCTION("""COMPUTED_VALUE"""),"Uncle Sams Cider (04/04/2023)")</f>
        <v>Uncle Sams Cider (04/04/2023)</v>
      </c>
      <c r="H6857" s="19"/>
    </row>
    <row r="6858">
      <c r="A6858" s="9"/>
      <c r="B6858" s="15"/>
      <c r="C6858" s="9">
        <f>IFERROR(__xludf.DUMMYFUNCTION("""COMPUTED_VALUE"""),45072.3978542939)</f>
        <v>45072.39785</v>
      </c>
      <c r="D6858" s="15">
        <f>IFERROR(__xludf.DUMMYFUNCTION("""COMPUTED_VALUE"""),1.011)</f>
        <v>1.011</v>
      </c>
      <c r="E6858" s="16">
        <f>IFERROR(__xludf.DUMMYFUNCTION("""COMPUTED_VALUE"""),66.0)</f>
        <v>66</v>
      </c>
      <c r="F6858" s="19" t="str">
        <f>IFERROR(__xludf.DUMMYFUNCTION("""COMPUTED_VALUE"""),"BLACK")</f>
        <v>BLACK</v>
      </c>
      <c r="G6858" s="20" t="str">
        <f>IFERROR(__xludf.DUMMYFUNCTION("""COMPUTED_VALUE"""),"Uncle Sams Cider (04/04/2023)")</f>
        <v>Uncle Sams Cider (04/04/2023)</v>
      </c>
      <c r="H6858" s="19"/>
    </row>
    <row r="6859">
      <c r="A6859" s="9"/>
      <c r="B6859" s="15"/>
      <c r="C6859" s="9">
        <f>IFERROR(__xludf.DUMMYFUNCTION("""COMPUTED_VALUE"""),45072.3874334606)</f>
        <v>45072.38743</v>
      </c>
      <c r="D6859" s="15">
        <f>IFERROR(__xludf.DUMMYFUNCTION("""COMPUTED_VALUE"""),1.011)</f>
        <v>1.011</v>
      </c>
      <c r="E6859" s="16">
        <f>IFERROR(__xludf.DUMMYFUNCTION("""COMPUTED_VALUE"""),66.0)</f>
        <v>66</v>
      </c>
      <c r="F6859" s="19" t="str">
        <f>IFERROR(__xludf.DUMMYFUNCTION("""COMPUTED_VALUE"""),"BLACK")</f>
        <v>BLACK</v>
      </c>
      <c r="G6859" s="20" t="str">
        <f>IFERROR(__xludf.DUMMYFUNCTION("""COMPUTED_VALUE"""),"Uncle Sams Cider (04/04/2023)")</f>
        <v>Uncle Sams Cider (04/04/2023)</v>
      </c>
      <c r="H6859" s="19"/>
    </row>
    <row r="6860">
      <c r="A6860" s="9"/>
      <c r="B6860" s="15"/>
      <c r="C6860" s="9">
        <f>IFERROR(__xludf.DUMMYFUNCTION("""COMPUTED_VALUE"""),45072.3770013194)</f>
        <v>45072.377</v>
      </c>
      <c r="D6860" s="15">
        <f>IFERROR(__xludf.DUMMYFUNCTION("""COMPUTED_VALUE"""),1.011)</f>
        <v>1.011</v>
      </c>
      <c r="E6860" s="16">
        <f>IFERROR(__xludf.DUMMYFUNCTION("""COMPUTED_VALUE"""),66.0)</f>
        <v>66</v>
      </c>
      <c r="F6860" s="19" t="str">
        <f>IFERROR(__xludf.DUMMYFUNCTION("""COMPUTED_VALUE"""),"BLACK")</f>
        <v>BLACK</v>
      </c>
      <c r="G6860" s="20" t="str">
        <f>IFERROR(__xludf.DUMMYFUNCTION("""COMPUTED_VALUE"""),"Uncle Sams Cider (04/04/2023)")</f>
        <v>Uncle Sams Cider (04/04/2023)</v>
      </c>
      <c r="H6860" s="19"/>
    </row>
    <row r="6861">
      <c r="A6861" s="9"/>
      <c r="B6861" s="15"/>
      <c r="C6861" s="9">
        <f>IFERROR(__xludf.DUMMYFUNCTION("""COMPUTED_VALUE"""),45072.3665807986)</f>
        <v>45072.36658</v>
      </c>
      <c r="D6861" s="15">
        <f>IFERROR(__xludf.DUMMYFUNCTION("""COMPUTED_VALUE"""),1.011)</f>
        <v>1.011</v>
      </c>
      <c r="E6861" s="16">
        <f>IFERROR(__xludf.DUMMYFUNCTION("""COMPUTED_VALUE"""),66.0)</f>
        <v>66</v>
      </c>
      <c r="F6861" s="19" t="str">
        <f>IFERROR(__xludf.DUMMYFUNCTION("""COMPUTED_VALUE"""),"BLACK")</f>
        <v>BLACK</v>
      </c>
      <c r="G6861" s="20" t="str">
        <f>IFERROR(__xludf.DUMMYFUNCTION("""COMPUTED_VALUE"""),"Uncle Sams Cider (04/04/2023)")</f>
        <v>Uncle Sams Cider (04/04/2023)</v>
      </c>
      <c r="H6861" s="19"/>
    </row>
    <row r="6862">
      <c r="A6862" s="9"/>
      <c r="B6862" s="15"/>
      <c r="C6862" s="9">
        <f>IFERROR(__xludf.DUMMYFUNCTION("""COMPUTED_VALUE"""),45072.3561605671)</f>
        <v>45072.35616</v>
      </c>
      <c r="D6862" s="15">
        <f>IFERROR(__xludf.DUMMYFUNCTION("""COMPUTED_VALUE"""),1.011)</f>
        <v>1.011</v>
      </c>
      <c r="E6862" s="16">
        <f>IFERROR(__xludf.DUMMYFUNCTION("""COMPUTED_VALUE"""),66.0)</f>
        <v>66</v>
      </c>
      <c r="F6862" s="19" t="str">
        <f>IFERROR(__xludf.DUMMYFUNCTION("""COMPUTED_VALUE"""),"BLACK")</f>
        <v>BLACK</v>
      </c>
      <c r="G6862" s="20" t="str">
        <f>IFERROR(__xludf.DUMMYFUNCTION("""COMPUTED_VALUE"""),"Uncle Sams Cider (04/04/2023)")</f>
        <v>Uncle Sams Cider (04/04/2023)</v>
      </c>
      <c r="H6862" s="19"/>
    </row>
    <row r="6863">
      <c r="A6863" s="9"/>
      <c r="B6863" s="15"/>
      <c r="C6863" s="9">
        <f>IFERROR(__xludf.DUMMYFUNCTION("""COMPUTED_VALUE"""),45072.3457271759)</f>
        <v>45072.34573</v>
      </c>
      <c r="D6863" s="15">
        <f>IFERROR(__xludf.DUMMYFUNCTION("""COMPUTED_VALUE"""),1.011)</f>
        <v>1.011</v>
      </c>
      <c r="E6863" s="16">
        <f>IFERROR(__xludf.DUMMYFUNCTION("""COMPUTED_VALUE"""),66.0)</f>
        <v>66</v>
      </c>
      <c r="F6863" s="19" t="str">
        <f>IFERROR(__xludf.DUMMYFUNCTION("""COMPUTED_VALUE"""),"BLACK")</f>
        <v>BLACK</v>
      </c>
      <c r="G6863" s="20" t="str">
        <f>IFERROR(__xludf.DUMMYFUNCTION("""COMPUTED_VALUE"""),"Uncle Sams Cider (04/04/2023)")</f>
        <v>Uncle Sams Cider (04/04/2023)</v>
      </c>
      <c r="H6863" s="19"/>
    </row>
    <row r="6864">
      <c r="A6864" s="9"/>
      <c r="B6864" s="15"/>
      <c r="C6864" s="9">
        <f>IFERROR(__xludf.DUMMYFUNCTION("""COMPUTED_VALUE"""),45072.3352949768)</f>
        <v>45072.33529</v>
      </c>
      <c r="D6864" s="15">
        <f>IFERROR(__xludf.DUMMYFUNCTION("""COMPUTED_VALUE"""),1.011)</f>
        <v>1.011</v>
      </c>
      <c r="E6864" s="16">
        <f>IFERROR(__xludf.DUMMYFUNCTION("""COMPUTED_VALUE"""),66.0)</f>
        <v>66</v>
      </c>
      <c r="F6864" s="19" t="str">
        <f>IFERROR(__xludf.DUMMYFUNCTION("""COMPUTED_VALUE"""),"BLACK")</f>
        <v>BLACK</v>
      </c>
      <c r="G6864" s="20" t="str">
        <f>IFERROR(__xludf.DUMMYFUNCTION("""COMPUTED_VALUE"""),"Uncle Sams Cider (04/04/2023)")</f>
        <v>Uncle Sams Cider (04/04/2023)</v>
      </c>
      <c r="H6864" s="19"/>
    </row>
    <row r="6865">
      <c r="A6865" s="9"/>
      <c r="B6865" s="15"/>
      <c r="C6865" s="9">
        <f>IFERROR(__xludf.DUMMYFUNCTION("""COMPUTED_VALUE"""),45072.32487353)</f>
        <v>45072.32487</v>
      </c>
      <c r="D6865" s="15">
        <f>IFERROR(__xludf.DUMMYFUNCTION("""COMPUTED_VALUE"""),1.011)</f>
        <v>1.011</v>
      </c>
      <c r="E6865" s="16">
        <f>IFERROR(__xludf.DUMMYFUNCTION("""COMPUTED_VALUE"""),66.0)</f>
        <v>66</v>
      </c>
      <c r="F6865" s="19" t="str">
        <f>IFERROR(__xludf.DUMMYFUNCTION("""COMPUTED_VALUE"""),"BLACK")</f>
        <v>BLACK</v>
      </c>
      <c r="G6865" s="20" t="str">
        <f>IFERROR(__xludf.DUMMYFUNCTION("""COMPUTED_VALUE"""),"Uncle Sams Cider (04/04/2023)")</f>
        <v>Uncle Sams Cider (04/04/2023)</v>
      </c>
      <c r="H6865" s="19"/>
    </row>
    <row r="6866">
      <c r="A6866" s="9"/>
      <c r="B6866" s="15"/>
      <c r="C6866" s="9">
        <f>IFERROR(__xludf.DUMMYFUNCTION("""COMPUTED_VALUE"""),45072.3144516898)</f>
        <v>45072.31445</v>
      </c>
      <c r="D6866" s="15">
        <f>IFERROR(__xludf.DUMMYFUNCTION("""COMPUTED_VALUE"""),1.011)</f>
        <v>1.011</v>
      </c>
      <c r="E6866" s="16">
        <f>IFERROR(__xludf.DUMMYFUNCTION("""COMPUTED_VALUE"""),66.0)</f>
        <v>66</v>
      </c>
      <c r="F6866" s="19" t="str">
        <f>IFERROR(__xludf.DUMMYFUNCTION("""COMPUTED_VALUE"""),"BLACK")</f>
        <v>BLACK</v>
      </c>
      <c r="G6866" s="20" t="str">
        <f>IFERROR(__xludf.DUMMYFUNCTION("""COMPUTED_VALUE"""),"Uncle Sams Cider (04/04/2023)")</f>
        <v>Uncle Sams Cider (04/04/2023)</v>
      </c>
      <c r="H6866" s="19"/>
    </row>
    <row r="6867">
      <c r="A6867" s="9"/>
      <c r="B6867" s="15"/>
      <c r="C6867" s="9">
        <f>IFERROR(__xludf.DUMMYFUNCTION("""COMPUTED_VALUE"""),45072.3040284375)</f>
        <v>45072.30403</v>
      </c>
      <c r="D6867" s="15">
        <f>IFERROR(__xludf.DUMMYFUNCTION("""COMPUTED_VALUE"""),1.011)</f>
        <v>1.011</v>
      </c>
      <c r="E6867" s="16">
        <f>IFERROR(__xludf.DUMMYFUNCTION("""COMPUTED_VALUE"""),66.0)</f>
        <v>66</v>
      </c>
      <c r="F6867" s="19" t="str">
        <f>IFERROR(__xludf.DUMMYFUNCTION("""COMPUTED_VALUE"""),"BLACK")</f>
        <v>BLACK</v>
      </c>
      <c r="G6867" s="20" t="str">
        <f>IFERROR(__xludf.DUMMYFUNCTION("""COMPUTED_VALUE"""),"Uncle Sams Cider (04/04/2023)")</f>
        <v>Uncle Sams Cider (04/04/2023)</v>
      </c>
      <c r="H6867" s="19"/>
    </row>
    <row r="6868">
      <c r="A6868" s="9"/>
      <c r="B6868" s="15"/>
      <c r="C6868" s="9">
        <f>IFERROR(__xludf.DUMMYFUNCTION("""COMPUTED_VALUE"""),45072.2936068865)</f>
        <v>45072.29361</v>
      </c>
      <c r="D6868" s="15">
        <f>IFERROR(__xludf.DUMMYFUNCTION("""COMPUTED_VALUE"""),1.011)</f>
        <v>1.011</v>
      </c>
      <c r="E6868" s="16">
        <f>IFERROR(__xludf.DUMMYFUNCTION("""COMPUTED_VALUE"""),66.0)</f>
        <v>66</v>
      </c>
      <c r="F6868" s="19" t="str">
        <f>IFERROR(__xludf.DUMMYFUNCTION("""COMPUTED_VALUE"""),"BLACK")</f>
        <v>BLACK</v>
      </c>
      <c r="G6868" s="20" t="str">
        <f>IFERROR(__xludf.DUMMYFUNCTION("""COMPUTED_VALUE"""),"Uncle Sams Cider (04/04/2023)")</f>
        <v>Uncle Sams Cider (04/04/2023)</v>
      </c>
      <c r="H6868" s="19"/>
    </row>
    <row r="6869">
      <c r="A6869" s="9"/>
      <c r="B6869" s="15"/>
      <c r="C6869" s="9">
        <f>IFERROR(__xludf.DUMMYFUNCTION("""COMPUTED_VALUE"""),45072.2831853472)</f>
        <v>45072.28319</v>
      </c>
      <c r="D6869" s="15">
        <f>IFERROR(__xludf.DUMMYFUNCTION("""COMPUTED_VALUE"""),1.011)</f>
        <v>1.011</v>
      </c>
      <c r="E6869" s="16">
        <f>IFERROR(__xludf.DUMMYFUNCTION("""COMPUTED_VALUE"""),66.0)</f>
        <v>66</v>
      </c>
      <c r="F6869" s="19" t="str">
        <f>IFERROR(__xludf.DUMMYFUNCTION("""COMPUTED_VALUE"""),"BLACK")</f>
        <v>BLACK</v>
      </c>
      <c r="G6869" s="20" t="str">
        <f>IFERROR(__xludf.DUMMYFUNCTION("""COMPUTED_VALUE"""),"Uncle Sams Cider (04/04/2023)")</f>
        <v>Uncle Sams Cider (04/04/2023)</v>
      </c>
      <c r="H6869" s="19"/>
    </row>
    <row r="6870">
      <c r="A6870" s="9"/>
      <c r="B6870" s="15"/>
      <c r="C6870" s="9">
        <f>IFERROR(__xludf.DUMMYFUNCTION("""COMPUTED_VALUE"""),45072.2727640625)</f>
        <v>45072.27276</v>
      </c>
      <c r="D6870" s="15">
        <f>IFERROR(__xludf.DUMMYFUNCTION("""COMPUTED_VALUE"""),1.011)</f>
        <v>1.011</v>
      </c>
      <c r="E6870" s="16">
        <f>IFERROR(__xludf.DUMMYFUNCTION("""COMPUTED_VALUE"""),66.0)</f>
        <v>66</v>
      </c>
      <c r="F6870" s="19" t="str">
        <f>IFERROR(__xludf.DUMMYFUNCTION("""COMPUTED_VALUE"""),"BLACK")</f>
        <v>BLACK</v>
      </c>
      <c r="G6870" s="20" t="str">
        <f>IFERROR(__xludf.DUMMYFUNCTION("""COMPUTED_VALUE"""),"Uncle Sams Cider (04/04/2023)")</f>
        <v>Uncle Sams Cider (04/04/2023)</v>
      </c>
      <c r="H6870" s="19"/>
    </row>
    <row r="6871">
      <c r="A6871" s="9"/>
      <c r="B6871" s="15"/>
      <c r="C6871" s="9">
        <f>IFERROR(__xludf.DUMMYFUNCTION("""COMPUTED_VALUE"""),45072.2623430092)</f>
        <v>45072.26234</v>
      </c>
      <c r="D6871" s="15">
        <f>IFERROR(__xludf.DUMMYFUNCTION("""COMPUTED_VALUE"""),1.011)</f>
        <v>1.011</v>
      </c>
      <c r="E6871" s="16">
        <f>IFERROR(__xludf.DUMMYFUNCTION("""COMPUTED_VALUE"""),66.0)</f>
        <v>66</v>
      </c>
      <c r="F6871" s="19" t="str">
        <f>IFERROR(__xludf.DUMMYFUNCTION("""COMPUTED_VALUE"""),"BLACK")</f>
        <v>BLACK</v>
      </c>
      <c r="G6871" s="20" t="str">
        <f>IFERROR(__xludf.DUMMYFUNCTION("""COMPUTED_VALUE"""),"Uncle Sams Cider (04/04/2023)")</f>
        <v>Uncle Sams Cider (04/04/2023)</v>
      </c>
      <c r="H6871" s="19"/>
    </row>
    <row r="6872">
      <c r="A6872" s="9"/>
      <c r="B6872" s="15"/>
      <c r="C6872" s="9">
        <f>IFERROR(__xludf.DUMMYFUNCTION("""COMPUTED_VALUE"""),45072.2519207986)</f>
        <v>45072.25192</v>
      </c>
      <c r="D6872" s="15">
        <f>IFERROR(__xludf.DUMMYFUNCTION("""COMPUTED_VALUE"""),1.011)</f>
        <v>1.011</v>
      </c>
      <c r="E6872" s="16">
        <f>IFERROR(__xludf.DUMMYFUNCTION("""COMPUTED_VALUE"""),66.0)</f>
        <v>66</v>
      </c>
      <c r="F6872" s="19" t="str">
        <f>IFERROR(__xludf.DUMMYFUNCTION("""COMPUTED_VALUE"""),"BLACK")</f>
        <v>BLACK</v>
      </c>
      <c r="G6872" s="20" t="str">
        <f>IFERROR(__xludf.DUMMYFUNCTION("""COMPUTED_VALUE"""),"Uncle Sams Cider (04/04/2023)")</f>
        <v>Uncle Sams Cider (04/04/2023)</v>
      </c>
      <c r="H6872" s="19"/>
    </row>
    <row r="6873">
      <c r="A6873" s="9"/>
      <c r="B6873" s="15"/>
      <c r="C6873" s="9">
        <f>IFERROR(__xludf.DUMMYFUNCTION("""COMPUTED_VALUE"""),45072.2415012615)</f>
        <v>45072.2415</v>
      </c>
      <c r="D6873" s="15">
        <f>IFERROR(__xludf.DUMMYFUNCTION("""COMPUTED_VALUE"""),1.011)</f>
        <v>1.011</v>
      </c>
      <c r="E6873" s="16">
        <f>IFERROR(__xludf.DUMMYFUNCTION("""COMPUTED_VALUE"""),66.0)</f>
        <v>66</v>
      </c>
      <c r="F6873" s="19" t="str">
        <f>IFERROR(__xludf.DUMMYFUNCTION("""COMPUTED_VALUE"""),"BLACK")</f>
        <v>BLACK</v>
      </c>
      <c r="G6873" s="20" t="str">
        <f>IFERROR(__xludf.DUMMYFUNCTION("""COMPUTED_VALUE"""),"Uncle Sams Cider (04/04/2023)")</f>
        <v>Uncle Sams Cider (04/04/2023)</v>
      </c>
      <c r="H6873" s="19"/>
    </row>
    <row r="6874">
      <c r="A6874" s="9"/>
      <c r="B6874" s="15"/>
      <c r="C6874" s="9">
        <f>IFERROR(__xludf.DUMMYFUNCTION("""COMPUTED_VALUE"""),45072.2310812384)</f>
        <v>45072.23108</v>
      </c>
      <c r="D6874" s="15">
        <f>IFERROR(__xludf.DUMMYFUNCTION("""COMPUTED_VALUE"""),1.011)</f>
        <v>1.011</v>
      </c>
      <c r="E6874" s="16">
        <f>IFERROR(__xludf.DUMMYFUNCTION("""COMPUTED_VALUE"""),66.0)</f>
        <v>66</v>
      </c>
      <c r="F6874" s="19" t="str">
        <f>IFERROR(__xludf.DUMMYFUNCTION("""COMPUTED_VALUE"""),"BLACK")</f>
        <v>BLACK</v>
      </c>
      <c r="G6874" s="20" t="str">
        <f>IFERROR(__xludf.DUMMYFUNCTION("""COMPUTED_VALUE"""),"Uncle Sams Cider (04/04/2023)")</f>
        <v>Uncle Sams Cider (04/04/2023)</v>
      </c>
      <c r="H6874" s="19"/>
    </row>
    <row r="6875">
      <c r="A6875" s="9"/>
      <c r="B6875" s="15"/>
      <c r="C6875" s="9">
        <f>IFERROR(__xludf.DUMMYFUNCTION("""COMPUTED_VALUE"""),45072.2206598611)</f>
        <v>45072.22066</v>
      </c>
      <c r="D6875" s="15">
        <f>IFERROR(__xludf.DUMMYFUNCTION("""COMPUTED_VALUE"""),1.011)</f>
        <v>1.011</v>
      </c>
      <c r="E6875" s="16">
        <f>IFERROR(__xludf.DUMMYFUNCTION("""COMPUTED_VALUE"""),66.0)</f>
        <v>66</v>
      </c>
      <c r="F6875" s="19" t="str">
        <f>IFERROR(__xludf.DUMMYFUNCTION("""COMPUTED_VALUE"""),"BLACK")</f>
        <v>BLACK</v>
      </c>
      <c r="G6875" s="20" t="str">
        <f>IFERROR(__xludf.DUMMYFUNCTION("""COMPUTED_VALUE"""),"Uncle Sams Cider (04/04/2023)")</f>
        <v>Uncle Sams Cider (04/04/2023)</v>
      </c>
      <c r="H6875" s="19"/>
    </row>
    <row r="6876">
      <c r="A6876" s="9"/>
      <c r="B6876" s="15"/>
      <c r="C6876" s="9">
        <f>IFERROR(__xludf.DUMMYFUNCTION("""COMPUTED_VALUE"""),45072.2102396875)</f>
        <v>45072.21024</v>
      </c>
      <c r="D6876" s="15">
        <f>IFERROR(__xludf.DUMMYFUNCTION("""COMPUTED_VALUE"""),1.011)</f>
        <v>1.011</v>
      </c>
      <c r="E6876" s="16">
        <f>IFERROR(__xludf.DUMMYFUNCTION("""COMPUTED_VALUE"""),66.0)</f>
        <v>66</v>
      </c>
      <c r="F6876" s="19" t="str">
        <f>IFERROR(__xludf.DUMMYFUNCTION("""COMPUTED_VALUE"""),"BLACK")</f>
        <v>BLACK</v>
      </c>
      <c r="G6876" s="20" t="str">
        <f>IFERROR(__xludf.DUMMYFUNCTION("""COMPUTED_VALUE"""),"Uncle Sams Cider (04/04/2023)")</f>
        <v>Uncle Sams Cider (04/04/2023)</v>
      </c>
      <c r="H6876" s="19"/>
    </row>
    <row r="6877">
      <c r="A6877" s="9"/>
      <c r="B6877" s="15"/>
      <c r="C6877" s="9">
        <f>IFERROR(__xludf.DUMMYFUNCTION("""COMPUTED_VALUE"""),45072.199818993)</f>
        <v>45072.19982</v>
      </c>
      <c r="D6877" s="15">
        <f>IFERROR(__xludf.DUMMYFUNCTION("""COMPUTED_VALUE"""),1.011)</f>
        <v>1.011</v>
      </c>
      <c r="E6877" s="16">
        <f>IFERROR(__xludf.DUMMYFUNCTION("""COMPUTED_VALUE"""),66.0)</f>
        <v>66</v>
      </c>
      <c r="F6877" s="19" t="str">
        <f>IFERROR(__xludf.DUMMYFUNCTION("""COMPUTED_VALUE"""),"BLACK")</f>
        <v>BLACK</v>
      </c>
      <c r="G6877" s="20" t="str">
        <f>IFERROR(__xludf.DUMMYFUNCTION("""COMPUTED_VALUE"""),"Uncle Sams Cider (04/04/2023)")</f>
        <v>Uncle Sams Cider (04/04/2023)</v>
      </c>
      <c r="H6877" s="19"/>
    </row>
    <row r="6878">
      <c r="A6878" s="9"/>
      <c r="B6878" s="15"/>
      <c r="C6878" s="9">
        <f>IFERROR(__xludf.DUMMYFUNCTION("""COMPUTED_VALUE"""),45072.1893967939)</f>
        <v>45072.1894</v>
      </c>
      <c r="D6878" s="15">
        <f>IFERROR(__xludf.DUMMYFUNCTION("""COMPUTED_VALUE"""),1.011)</f>
        <v>1.011</v>
      </c>
      <c r="E6878" s="16">
        <f>IFERROR(__xludf.DUMMYFUNCTION("""COMPUTED_VALUE"""),66.0)</f>
        <v>66</v>
      </c>
      <c r="F6878" s="19" t="str">
        <f>IFERROR(__xludf.DUMMYFUNCTION("""COMPUTED_VALUE"""),"BLACK")</f>
        <v>BLACK</v>
      </c>
      <c r="G6878" s="20" t="str">
        <f>IFERROR(__xludf.DUMMYFUNCTION("""COMPUTED_VALUE"""),"Uncle Sams Cider (04/04/2023)")</f>
        <v>Uncle Sams Cider (04/04/2023)</v>
      </c>
      <c r="H6878" s="19"/>
    </row>
    <row r="6879">
      <c r="A6879" s="9"/>
      <c r="B6879" s="15"/>
      <c r="C6879" s="9">
        <f>IFERROR(__xludf.DUMMYFUNCTION("""COMPUTED_VALUE"""),45072.1789760416)</f>
        <v>45072.17898</v>
      </c>
      <c r="D6879" s="15">
        <f>IFERROR(__xludf.DUMMYFUNCTION("""COMPUTED_VALUE"""),1.011)</f>
        <v>1.011</v>
      </c>
      <c r="E6879" s="16">
        <f>IFERROR(__xludf.DUMMYFUNCTION("""COMPUTED_VALUE"""),66.0)</f>
        <v>66</v>
      </c>
      <c r="F6879" s="19" t="str">
        <f>IFERROR(__xludf.DUMMYFUNCTION("""COMPUTED_VALUE"""),"BLACK")</f>
        <v>BLACK</v>
      </c>
      <c r="G6879" s="20" t="str">
        <f>IFERROR(__xludf.DUMMYFUNCTION("""COMPUTED_VALUE"""),"Uncle Sams Cider (04/04/2023)")</f>
        <v>Uncle Sams Cider (04/04/2023)</v>
      </c>
      <c r="H6879" s="19"/>
    </row>
    <row r="6880">
      <c r="A6880" s="9"/>
      <c r="B6880" s="15"/>
      <c r="C6880" s="9">
        <f>IFERROR(__xludf.DUMMYFUNCTION("""COMPUTED_VALUE"""),45072.1685539236)</f>
        <v>45072.16855</v>
      </c>
      <c r="D6880" s="15">
        <f>IFERROR(__xludf.DUMMYFUNCTION("""COMPUTED_VALUE"""),1.011)</f>
        <v>1.011</v>
      </c>
      <c r="E6880" s="16">
        <f>IFERROR(__xludf.DUMMYFUNCTION("""COMPUTED_VALUE"""),66.0)</f>
        <v>66</v>
      </c>
      <c r="F6880" s="19" t="str">
        <f>IFERROR(__xludf.DUMMYFUNCTION("""COMPUTED_VALUE"""),"BLACK")</f>
        <v>BLACK</v>
      </c>
      <c r="G6880" s="20" t="str">
        <f>IFERROR(__xludf.DUMMYFUNCTION("""COMPUTED_VALUE"""),"Uncle Sams Cider (04/04/2023)")</f>
        <v>Uncle Sams Cider (04/04/2023)</v>
      </c>
      <c r="H6880" s="19"/>
    </row>
    <row r="6881">
      <c r="A6881" s="9"/>
      <c r="B6881" s="15"/>
      <c r="C6881" s="9">
        <f>IFERROR(__xludf.DUMMYFUNCTION("""COMPUTED_VALUE"""),45072.1581203587)</f>
        <v>45072.15812</v>
      </c>
      <c r="D6881" s="15">
        <f>IFERROR(__xludf.DUMMYFUNCTION("""COMPUTED_VALUE"""),1.011)</f>
        <v>1.011</v>
      </c>
      <c r="E6881" s="16">
        <f>IFERROR(__xludf.DUMMYFUNCTION("""COMPUTED_VALUE"""),66.0)</f>
        <v>66</v>
      </c>
      <c r="F6881" s="19" t="str">
        <f>IFERROR(__xludf.DUMMYFUNCTION("""COMPUTED_VALUE"""),"BLACK")</f>
        <v>BLACK</v>
      </c>
      <c r="G6881" s="20" t="str">
        <f>IFERROR(__xludf.DUMMYFUNCTION("""COMPUTED_VALUE"""),"Uncle Sams Cider (04/04/2023)")</f>
        <v>Uncle Sams Cider (04/04/2023)</v>
      </c>
      <c r="H6881" s="19"/>
    </row>
    <row r="6882">
      <c r="A6882" s="9"/>
      <c r="B6882" s="15"/>
      <c r="C6882" s="9">
        <f>IFERROR(__xludf.DUMMYFUNCTION("""COMPUTED_VALUE"""),45072.1476985069)</f>
        <v>45072.1477</v>
      </c>
      <c r="D6882" s="15">
        <f>IFERROR(__xludf.DUMMYFUNCTION("""COMPUTED_VALUE"""),1.011)</f>
        <v>1.011</v>
      </c>
      <c r="E6882" s="16">
        <f>IFERROR(__xludf.DUMMYFUNCTION("""COMPUTED_VALUE"""),66.0)</f>
        <v>66</v>
      </c>
      <c r="F6882" s="19" t="str">
        <f>IFERROR(__xludf.DUMMYFUNCTION("""COMPUTED_VALUE"""),"BLACK")</f>
        <v>BLACK</v>
      </c>
      <c r="G6882" s="20" t="str">
        <f>IFERROR(__xludf.DUMMYFUNCTION("""COMPUTED_VALUE"""),"Uncle Sams Cider (04/04/2023)")</f>
        <v>Uncle Sams Cider (04/04/2023)</v>
      </c>
      <c r="H6882" s="19"/>
    </row>
    <row r="6883">
      <c r="A6883" s="9"/>
      <c r="B6883" s="15"/>
      <c r="C6883" s="9">
        <f>IFERROR(__xludf.DUMMYFUNCTION("""COMPUTED_VALUE"""),45072.137276412)</f>
        <v>45072.13728</v>
      </c>
      <c r="D6883" s="15">
        <f>IFERROR(__xludf.DUMMYFUNCTION("""COMPUTED_VALUE"""),1.011)</f>
        <v>1.011</v>
      </c>
      <c r="E6883" s="16">
        <f>IFERROR(__xludf.DUMMYFUNCTION("""COMPUTED_VALUE"""),66.0)</f>
        <v>66</v>
      </c>
      <c r="F6883" s="19" t="str">
        <f>IFERROR(__xludf.DUMMYFUNCTION("""COMPUTED_VALUE"""),"BLACK")</f>
        <v>BLACK</v>
      </c>
      <c r="G6883" s="20" t="str">
        <f>IFERROR(__xludf.DUMMYFUNCTION("""COMPUTED_VALUE"""),"Uncle Sams Cider (04/04/2023)")</f>
        <v>Uncle Sams Cider (04/04/2023)</v>
      </c>
      <c r="H6883" s="19"/>
    </row>
    <row r="6884">
      <c r="A6884" s="9"/>
      <c r="B6884" s="15"/>
      <c r="C6884" s="9">
        <f>IFERROR(__xludf.DUMMYFUNCTION("""COMPUTED_VALUE"""),45072.1268562731)</f>
        <v>45072.12686</v>
      </c>
      <c r="D6884" s="15">
        <f>IFERROR(__xludf.DUMMYFUNCTION("""COMPUTED_VALUE"""),1.011)</f>
        <v>1.011</v>
      </c>
      <c r="E6884" s="16">
        <f>IFERROR(__xludf.DUMMYFUNCTION("""COMPUTED_VALUE"""),66.0)</f>
        <v>66</v>
      </c>
      <c r="F6884" s="19" t="str">
        <f>IFERROR(__xludf.DUMMYFUNCTION("""COMPUTED_VALUE"""),"BLACK")</f>
        <v>BLACK</v>
      </c>
      <c r="G6884" s="20" t="str">
        <f>IFERROR(__xludf.DUMMYFUNCTION("""COMPUTED_VALUE"""),"Uncle Sams Cider (04/04/2023)")</f>
        <v>Uncle Sams Cider (04/04/2023)</v>
      </c>
      <c r="H6884" s="19"/>
    </row>
    <row r="6885">
      <c r="A6885" s="9"/>
      <c r="B6885" s="15"/>
      <c r="C6885" s="9">
        <f>IFERROR(__xludf.DUMMYFUNCTION("""COMPUTED_VALUE"""),45072.1164346296)</f>
        <v>45072.11643</v>
      </c>
      <c r="D6885" s="15">
        <f>IFERROR(__xludf.DUMMYFUNCTION("""COMPUTED_VALUE"""),1.011)</f>
        <v>1.011</v>
      </c>
      <c r="E6885" s="16">
        <f>IFERROR(__xludf.DUMMYFUNCTION("""COMPUTED_VALUE"""),66.0)</f>
        <v>66</v>
      </c>
      <c r="F6885" s="19" t="str">
        <f>IFERROR(__xludf.DUMMYFUNCTION("""COMPUTED_VALUE"""),"BLACK")</f>
        <v>BLACK</v>
      </c>
      <c r="G6885" s="20" t="str">
        <f>IFERROR(__xludf.DUMMYFUNCTION("""COMPUTED_VALUE"""),"Uncle Sams Cider (04/04/2023)")</f>
        <v>Uncle Sams Cider (04/04/2023)</v>
      </c>
      <c r="H6885" s="19"/>
    </row>
    <row r="6886">
      <c r="A6886" s="9"/>
      <c r="B6886" s="15"/>
      <c r="C6886" s="9">
        <f>IFERROR(__xludf.DUMMYFUNCTION("""COMPUTED_VALUE"""),45072.1060146064)</f>
        <v>45072.10601</v>
      </c>
      <c r="D6886" s="15">
        <f>IFERROR(__xludf.DUMMYFUNCTION("""COMPUTED_VALUE"""),1.011)</f>
        <v>1.011</v>
      </c>
      <c r="E6886" s="16">
        <f>IFERROR(__xludf.DUMMYFUNCTION("""COMPUTED_VALUE"""),66.0)</f>
        <v>66</v>
      </c>
      <c r="F6886" s="19" t="str">
        <f>IFERROR(__xludf.DUMMYFUNCTION("""COMPUTED_VALUE"""),"BLACK")</f>
        <v>BLACK</v>
      </c>
      <c r="G6886" s="20" t="str">
        <f>IFERROR(__xludf.DUMMYFUNCTION("""COMPUTED_VALUE"""),"Uncle Sams Cider (04/04/2023)")</f>
        <v>Uncle Sams Cider (04/04/2023)</v>
      </c>
      <c r="H6886" s="19"/>
    </row>
    <row r="6887">
      <c r="A6887" s="9"/>
      <c r="B6887" s="15"/>
      <c r="C6887" s="9">
        <f>IFERROR(__xludf.DUMMYFUNCTION("""COMPUTED_VALUE"""),45072.0955831944)</f>
        <v>45072.09558</v>
      </c>
      <c r="D6887" s="15">
        <f>IFERROR(__xludf.DUMMYFUNCTION("""COMPUTED_VALUE"""),1.011)</f>
        <v>1.011</v>
      </c>
      <c r="E6887" s="16">
        <f>IFERROR(__xludf.DUMMYFUNCTION("""COMPUTED_VALUE"""),66.0)</f>
        <v>66</v>
      </c>
      <c r="F6887" s="19" t="str">
        <f>IFERROR(__xludf.DUMMYFUNCTION("""COMPUTED_VALUE"""),"BLACK")</f>
        <v>BLACK</v>
      </c>
      <c r="G6887" s="20" t="str">
        <f>IFERROR(__xludf.DUMMYFUNCTION("""COMPUTED_VALUE"""),"Uncle Sams Cider (04/04/2023)")</f>
        <v>Uncle Sams Cider (04/04/2023)</v>
      </c>
      <c r="H6887" s="19"/>
    </row>
    <row r="6888">
      <c r="A6888" s="9"/>
      <c r="B6888" s="15"/>
      <c r="C6888" s="9">
        <f>IFERROR(__xludf.DUMMYFUNCTION("""COMPUTED_VALUE"""),45072.0851625347)</f>
        <v>45072.08516</v>
      </c>
      <c r="D6888" s="15">
        <f>IFERROR(__xludf.DUMMYFUNCTION("""COMPUTED_VALUE"""),1.011)</f>
        <v>1.011</v>
      </c>
      <c r="E6888" s="16">
        <f>IFERROR(__xludf.DUMMYFUNCTION("""COMPUTED_VALUE"""),66.0)</f>
        <v>66</v>
      </c>
      <c r="F6888" s="19" t="str">
        <f>IFERROR(__xludf.DUMMYFUNCTION("""COMPUTED_VALUE"""),"BLACK")</f>
        <v>BLACK</v>
      </c>
      <c r="G6888" s="20" t="str">
        <f>IFERROR(__xludf.DUMMYFUNCTION("""COMPUTED_VALUE"""),"Uncle Sams Cider (04/04/2023)")</f>
        <v>Uncle Sams Cider (04/04/2023)</v>
      </c>
      <c r="H6888" s="19"/>
    </row>
    <row r="6889">
      <c r="A6889" s="9"/>
      <c r="B6889" s="15"/>
      <c r="C6889" s="9">
        <f>IFERROR(__xludf.DUMMYFUNCTION("""COMPUTED_VALUE"""),45072.0747433333)</f>
        <v>45072.07474</v>
      </c>
      <c r="D6889" s="15">
        <f>IFERROR(__xludf.DUMMYFUNCTION("""COMPUTED_VALUE"""),1.011)</f>
        <v>1.011</v>
      </c>
      <c r="E6889" s="16">
        <f>IFERROR(__xludf.DUMMYFUNCTION("""COMPUTED_VALUE"""),66.0)</f>
        <v>66</v>
      </c>
      <c r="F6889" s="19" t="str">
        <f>IFERROR(__xludf.DUMMYFUNCTION("""COMPUTED_VALUE"""),"BLACK")</f>
        <v>BLACK</v>
      </c>
      <c r="G6889" s="20" t="str">
        <f>IFERROR(__xludf.DUMMYFUNCTION("""COMPUTED_VALUE"""),"Uncle Sams Cider (04/04/2023)")</f>
        <v>Uncle Sams Cider (04/04/2023)</v>
      </c>
      <c r="H6889" s="19"/>
    </row>
    <row r="6890">
      <c r="A6890" s="9"/>
      <c r="B6890" s="15"/>
      <c r="C6890" s="9">
        <f>IFERROR(__xludf.DUMMYFUNCTION("""COMPUTED_VALUE"""),45072.0643213541)</f>
        <v>45072.06432</v>
      </c>
      <c r="D6890" s="15">
        <f>IFERROR(__xludf.DUMMYFUNCTION("""COMPUTED_VALUE"""),1.011)</f>
        <v>1.011</v>
      </c>
      <c r="E6890" s="16">
        <f>IFERROR(__xludf.DUMMYFUNCTION("""COMPUTED_VALUE"""),66.0)</f>
        <v>66</v>
      </c>
      <c r="F6890" s="19" t="str">
        <f>IFERROR(__xludf.DUMMYFUNCTION("""COMPUTED_VALUE"""),"BLACK")</f>
        <v>BLACK</v>
      </c>
      <c r="G6890" s="20" t="str">
        <f>IFERROR(__xludf.DUMMYFUNCTION("""COMPUTED_VALUE"""),"Uncle Sams Cider (04/04/2023)")</f>
        <v>Uncle Sams Cider (04/04/2023)</v>
      </c>
      <c r="H6890" s="19"/>
    </row>
    <row r="6891">
      <c r="A6891" s="9"/>
      <c r="B6891" s="15"/>
      <c r="C6891" s="9">
        <f>IFERROR(__xludf.DUMMYFUNCTION("""COMPUTED_VALUE"""),45072.0538770138)</f>
        <v>45072.05388</v>
      </c>
      <c r="D6891" s="15">
        <f>IFERROR(__xludf.DUMMYFUNCTION("""COMPUTED_VALUE"""),1.011)</f>
        <v>1.011</v>
      </c>
      <c r="E6891" s="16">
        <f>IFERROR(__xludf.DUMMYFUNCTION("""COMPUTED_VALUE"""),66.0)</f>
        <v>66</v>
      </c>
      <c r="F6891" s="19" t="str">
        <f>IFERROR(__xludf.DUMMYFUNCTION("""COMPUTED_VALUE"""),"BLACK")</f>
        <v>BLACK</v>
      </c>
      <c r="G6891" s="20" t="str">
        <f>IFERROR(__xludf.DUMMYFUNCTION("""COMPUTED_VALUE"""),"Uncle Sams Cider (04/04/2023)")</f>
        <v>Uncle Sams Cider (04/04/2023)</v>
      </c>
      <c r="H6891" s="19"/>
    </row>
    <row r="6892">
      <c r="A6892" s="9"/>
      <c r="B6892" s="15"/>
      <c r="C6892" s="9">
        <f>IFERROR(__xludf.DUMMYFUNCTION("""COMPUTED_VALUE"""),45072.0434552546)</f>
        <v>45072.04346</v>
      </c>
      <c r="D6892" s="15">
        <f>IFERROR(__xludf.DUMMYFUNCTION("""COMPUTED_VALUE"""),1.011)</f>
        <v>1.011</v>
      </c>
      <c r="E6892" s="16">
        <f>IFERROR(__xludf.DUMMYFUNCTION("""COMPUTED_VALUE"""),66.0)</f>
        <v>66</v>
      </c>
      <c r="F6892" s="19" t="str">
        <f>IFERROR(__xludf.DUMMYFUNCTION("""COMPUTED_VALUE"""),"BLACK")</f>
        <v>BLACK</v>
      </c>
      <c r="G6892" s="20" t="str">
        <f>IFERROR(__xludf.DUMMYFUNCTION("""COMPUTED_VALUE"""),"Uncle Sams Cider (04/04/2023)")</f>
        <v>Uncle Sams Cider (04/04/2023)</v>
      </c>
      <c r="H6892" s="19"/>
    </row>
    <row r="6893">
      <c r="A6893" s="9"/>
      <c r="B6893" s="15"/>
      <c r="C6893" s="9">
        <f>IFERROR(__xludf.DUMMYFUNCTION("""COMPUTED_VALUE"""),45072.0330334606)</f>
        <v>45072.03303</v>
      </c>
      <c r="D6893" s="15">
        <f>IFERROR(__xludf.DUMMYFUNCTION("""COMPUTED_VALUE"""),1.012)</f>
        <v>1.012</v>
      </c>
      <c r="E6893" s="16">
        <f>IFERROR(__xludf.DUMMYFUNCTION("""COMPUTED_VALUE"""),66.0)</f>
        <v>66</v>
      </c>
      <c r="F6893" s="19" t="str">
        <f>IFERROR(__xludf.DUMMYFUNCTION("""COMPUTED_VALUE"""),"BLACK")</f>
        <v>BLACK</v>
      </c>
      <c r="G6893" s="20" t="str">
        <f>IFERROR(__xludf.DUMMYFUNCTION("""COMPUTED_VALUE"""),"Uncle Sams Cider (04/04/2023)")</f>
        <v>Uncle Sams Cider (04/04/2023)</v>
      </c>
      <c r="H6893" s="19"/>
    </row>
    <row r="6894">
      <c r="A6894" s="9"/>
      <c r="B6894" s="15"/>
      <c r="C6894" s="9">
        <f>IFERROR(__xludf.DUMMYFUNCTION("""COMPUTED_VALUE"""),45072.0226138773)</f>
        <v>45072.02261</v>
      </c>
      <c r="D6894" s="15">
        <f>IFERROR(__xludf.DUMMYFUNCTION("""COMPUTED_VALUE"""),1.011)</f>
        <v>1.011</v>
      </c>
      <c r="E6894" s="16">
        <f>IFERROR(__xludf.DUMMYFUNCTION("""COMPUTED_VALUE"""),66.0)</f>
        <v>66</v>
      </c>
      <c r="F6894" s="19" t="str">
        <f>IFERROR(__xludf.DUMMYFUNCTION("""COMPUTED_VALUE"""),"BLACK")</f>
        <v>BLACK</v>
      </c>
      <c r="G6894" s="20" t="str">
        <f>IFERROR(__xludf.DUMMYFUNCTION("""COMPUTED_VALUE"""),"Uncle Sams Cider (04/04/2023)")</f>
        <v>Uncle Sams Cider (04/04/2023)</v>
      </c>
      <c r="H6894" s="19"/>
    </row>
    <row r="6895">
      <c r="A6895" s="9"/>
      <c r="B6895" s="15"/>
      <c r="C6895" s="9">
        <f>IFERROR(__xludf.DUMMYFUNCTION("""COMPUTED_VALUE"""),45072.0121937847)</f>
        <v>45072.01219</v>
      </c>
      <c r="D6895" s="15">
        <f>IFERROR(__xludf.DUMMYFUNCTION("""COMPUTED_VALUE"""),1.011)</f>
        <v>1.011</v>
      </c>
      <c r="E6895" s="16">
        <f>IFERROR(__xludf.DUMMYFUNCTION("""COMPUTED_VALUE"""),66.0)</f>
        <v>66</v>
      </c>
      <c r="F6895" s="19" t="str">
        <f>IFERROR(__xludf.DUMMYFUNCTION("""COMPUTED_VALUE"""),"BLACK")</f>
        <v>BLACK</v>
      </c>
      <c r="G6895" s="20" t="str">
        <f>IFERROR(__xludf.DUMMYFUNCTION("""COMPUTED_VALUE"""),"Uncle Sams Cider (04/04/2023)")</f>
        <v>Uncle Sams Cider (04/04/2023)</v>
      </c>
      <c r="H6895" s="19"/>
    </row>
    <row r="6896">
      <c r="A6896" s="9"/>
      <c r="B6896" s="15"/>
      <c r="C6896" s="9">
        <f>IFERROR(__xludf.DUMMYFUNCTION("""COMPUTED_VALUE"""),45072.0017719444)</f>
        <v>45072.00177</v>
      </c>
      <c r="D6896" s="15">
        <f>IFERROR(__xludf.DUMMYFUNCTION("""COMPUTED_VALUE"""),1.011)</f>
        <v>1.011</v>
      </c>
      <c r="E6896" s="16">
        <f>IFERROR(__xludf.DUMMYFUNCTION("""COMPUTED_VALUE"""),66.0)</f>
        <v>66</v>
      </c>
      <c r="F6896" s="19" t="str">
        <f>IFERROR(__xludf.DUMMYFUNCTION("""COMPUTED_VALUE"""),"BLACK")</f>
        <v>BLACK</v>
      </c>
      <c r="G6896" s="20" t="str">
        <f>IFERROR(__xludf.DUMMYFUNCTION("""COMPUTED_VALUE"""),"Uncle Sams Cider (04/04/2023)")</f>
        <v>Uncle Sams Cider (04/04/2023)</v>
      </c>
      <c r="H6896" s="19"/>
    </row>
    <row r="6897">
      <c r="A6897" s="9"/>
      <c r="B6897" s="15"/>
      <c r="C6897" s="9">
        <f>IFERROR(__xludf.DUMMYFUNCTION("""COMPUTED_VALUE"""),45071.991351331)</f>
        <v>45071.99135</v>
      </c>
      <c r="D6897" s="15">
        <f>IFERROR(__xludf.DUMMYFUNCTION("""COMPUTED_VALUE"""),1.011)</f>
        <v>1.011</v>
      </c>
      <c r="E6897" s="16">
        <f>IFERROR(__xludf.DUMMYFUNCTION("""COMPUTED_VALUE"""),66.0)</f>
        <v>66</v>
      </c>
      <c r="F6897" s="19" t="str">
        <f>IFERROR(__xludf.DUMMYFUNCTION("""COMPUTED_VALUE"""),"BLACK")</f>
        <v>BLACK</v>
      </c>
      <c r="G6897" s="20" t="str">
        <f>IFERROR(__xludf.DUMMYFUNCTION("""COMPUTED_VALUE"""),"Uncle Sams Cider (04/04/2023)")</f>
        <v>Uncle Sams Cider (04/04/2023)</v>
      </c>
      <c r="H6897" s="19"/>
    </row>
    <row r="6898">
      <c r="A6898" s="9"/>
      <c r="B6898" s="15"/>
      <c r="C6898" s="9">
        <f>IFERROR(__xludf.DUMMYFUNCTION("""COMPUTED_VALUE"""),45071.9809291435)</f>
        <v>45071.98093</v>
      </c>
      <c r="D6898" s="15">
        <f>IFERROR(__xludf.DUMMYFUNCTION("""COMPUTED_VALUE"""),1.011)</f>
        <v>1.011</v>
      </c>
      <c r="E6898" s="16">
        <f>IFERROR(__xludf.DUMMYFUNCTION("""COMPUTED_VALUE"""),66.0)</f>
        <v>66</v>
      </c>
      <c r="F6898" s="19" t="str">
        <f>IFERROR(__xludf.DUMMYFUNCTION("""COMPUTED_VALUE"""),"BLACK")</f>
        <v>BLACK</v>
      </c>
      <c r="G6898" s="20" t="str">
        <f>IFERROR(__xludf.DUMMYFUNCTION("""COMPUTED_VALUE"""),"Uncle Sams Cider (04/04/2023)")</f>
        <v>Uncle Sams Cider (04/04/2023)</v>
      </c>
      <c r="H6898" s="19"/>
    </row>
    <row r="6899">
      <c r="A6899" s="9"/>
      <c r="B6899" s="15"/>
      <c r="C6899" s="9">
        <f>IFERROR(__xludf.DUMMYFUNCTION("""COMPUTED_VALUE"""),45071.9705074768)</f>
        <v>45071.97051</v>
      </c>
      <c r="D6899" s="15">
        <f>IFERROR(__xludf.DUMMYFUNCTION("""COMPUTED_VALUE"""),1.011)</f>
        <v>1.011</v>
      </c>
      <c r="E6899" s="16">
        <f>IFERROR(__xludf.DUMMYFUNCTION("""COMPUTED_VALUE"""),66.0)</f>
        <v>66</v>
      </c>
      <c r="F6899" s="19" t="str">
        <f>IFERROR(__xludf.DUMMYFUNCTION("""COMPUTED_VALUE"""),"BLACK")</f>
        <v>BLACK</v>
      </c>
      <c r="G6899" s="20" t="str">
        <f>IFERROR(__xludf.DUMMYFUNCTION("""COMPUTED_VALUE"""),"Uncle Sams Cider (04/04/2023)")</f>
        <v>Uncle Sams Cider (04/04/2023)</v>
      </c>
      <c r="H6899" s="19"/>
    </row>
    <row r="6900">
      <c r="A6900" s="9"/>
      <c r="B6900" s="15"/>
      <c r="C6900" s="9">
        <f>IFERROR(__xludf.DUMMYFUNCTION("""COMPUTED_VALUE"""),45071.960086331)</f>
        <v>45071.96009</v>
      </c>
      <c r="D6900" s="15">
        <f>IFERROR(__xludf.DUMMYFUNCTION("""COMPUTED_VALUE"""),1.011)</f>
        <v>1.011</v>
      </c>
      <c r="E6900" s="16">
        <f>IFERROR(__xludf.DUMMYFUNCTION("""COMPUTED_VALUE"""),66.0)</f>
        <v>66</v>
      </c>
      <c r="F6900" s="19" t="str">
        <f>IFERROR(__xludf.DUMMYFUNCTION("""COMPUTED_VALUE"""),"BLACK")</f>
        <v>BLACK</v>
      </c>
      <c r="G6900" s="20" t="str">
        <f>IFERROR(__xludf.DUMMYFUNCTION("""COMPUTED_VALUE"""),"Uncle Sams Cider (04/04/2023)")</f>
        <v>Uncle Sams Cider (04/04/2023)</v>
      </c>
      <c r="H6900" s="19"/>
    </row>
    <row r="6901">
      <c r="A6901" s="9"/>
      <c r="B6901" s="15"/>
      <c r="C6901" s="9">
        <f>IFERROR(__xludf.DUMMYFUNCTION("""COMPUTED_VALUE"""),45071.9496659259)</f>
        <v>45071.94967</v>
      </c>
      <c r="D6901" s="15">
        <f>IFERROR(__xludf.DUMMYFUNCTION("""COMPUTED_VALUE"""),1.011)</f>
        <v>1.011</v>
      </c>
      <c r="E6901" s="16">
        <f>IFERROR(__xludf.DUMMYFUNCTION("""COMPUTED_VALUE"""),66.0)</f>
        <v>66</v>
      </c>
      <c r="F6901" s="19" t="str">
        <f>IFERROR(__xludf.DUMMYFUNCTION("""COMPUTED_VALUE"""),"BLACK")</f>
        <v>BLACK</v>
      </c>
      <c r="G6901" s="20" t="str">
        <f>IFERROR(__xludf.DUMMYFUNCTION("""COMPUTED_VALUE"""),"Uncle Sams Cider (04/04/2023)")</f>
        <v>Uncle Sams Cider (04/04/2023)</v>
      </c>
      <c r="H6901" s="19"/>
    </row>
    <row r="6902">
      <c r="A6902" s="9"/>
      <c r="B6902" s="15"/>
      <c r="C6902" s="9">
        <f>IFERROR(__xludf.DUMMYFUNCTION("""COMPUTED_VALUE"""),45071.9392441088)</f>
        <v>45071.93924</v>
      </c>
      <c r="D6902" s="15">
        <f>IFERROR(__xludf.DUMMYFUNCTION("""COMPUTED_VALUE"""),1.011)</f>
        <v>1.011</v>
      </c>
      <c r="E6902" s="16">
        <f>IFERROR(__xludf.DUMMYFUNCTION("""COMPUTED_VALUE"""),66.0)</f>
        <v>66</v>
      </c>
      <c r="F6902" s="19" t="str">
        <f>IFERROR(__xludf.DUMMYFUNCTION("""COMPUTED_VALUE"""),"BLACK")</f>
        <v>BLACK</v>
      </c>
      <c r="G6902" s="20" t="str">
        <f>IFERROR(__xludf.DUMMYFUNCTION("""COMPUTED_VALUE"""),"Uncle Sams Cider (04/04/2023)")</f>
        <v>Uncle Sams Cider (04/04/2023)</v>
      </c>
      <c r="H6902" s="19"/>
    </row>
    <row r="6903">
      <c r="A6903" s="9"/>
      <c r="B6903" s="15"/>
      <c r="C6903" s="9">
        <f>IFERROR(__xludf.DUMMYFUNCTION("""COMPUTED_VALUE"""),45071.9288235185)</f>
        <v>45071.92882</v>
      </c>
      <c r="D6903" s="15">
        <f>IFERROR(__xludf.DUMMYFUNCTION("""COMPUTED_VALUE"""),1.011)</f>
        <v>1.011</v>
      </c>
      <c r="E6903" s="16">
        <f>IFERROR(__xludf.DUMMYFUNCTION("""COMPUTED_VALUE"""),66.0)</f>
        <v>66</v>
      </c>
      <c r="F6903" s="19" t="str">
        <f>IFERROR(__xludf.DUMMYFUNCTION("""COMPUTED_VALUE"""),"BLACK")</f>
        <v>BLACK</v>
      </c>
      <c r="G6903" s="20" t="str">
        <f>IFERROR(__xludf.DUMMYFUNCTION("""COMPUTED_VALUE"""),"Uncle Sams Cider (04/04/2023)")</f>
        <v>Uncle Sams Cider (04/04/2023)</v>
      </c>
      <c r="H6903" s="19"/>
    </row>
    <row r="6904">
      <c r="A6904" s="9"/>
      <c r="B6904" s="15"/>
      <c r="C6904" s="9">
        <f>IFERROR(__xludf.DUMMYFUNCTION("""COMPUTED_VALUE"""),45071.9183934027)</f>
        <v>45071.91839</v>
      </c>
      <c r="D6904" s="15">
        <f>IFERROR(__xludf.DUMMYFUNCTION("""COMPUTED_VALUE"""),1.012)</f>
        <v>1.012</v>
      </c>
      <c r="E6904" s="16">
        <f>IFERROR(__xludf.DUMMYFUNCTION("""COMPUTED_VALUE"""),66.0)</f>
        <v>66</v>
      </c>
      <c r="F6904" s="19" t="str">
        <f>IFERROR(__xludf.DUMMYFUNCTION("""COMPUTED_VALUE"""),"BLACK")</f>
        <v>BLACK</v>
      </c>
      <c r="G6904" s="20" t="str">
        <f>IFERROR(__xludf.DUMMYFUNCTION("""COMPUTED_VALUE"""),"Uncle Sams Cider (04/04/2023)")</f>
        <v>Uncle Sams Cider (04/04/2023)</v>
      </c>
      <c r="H6904" s="19"/>
    </row>
    <row r="6905">
      <c r="A6905" s="9"/>
      <c r="B6905" s="15"/>
      <c r="C6905" s="9">
        <f>IFERROR(__xludf.DUMMYFUNCTION("""COMPUTED_VALUE"""),45071.9079364004)</f>
        <v>45071.90794</v>
      </c>
      <c r="D6905" s="15">
        <f>IFERROR(__xludf.DUMMYFUNCTION("""COMPUTED_VALUE"""),1.011)</f>
        <v>1.011</v>
      </c>
      <c r="E6905" s="16">
        <f>IFERROR(__xludf.DUMMYFUNCTION("""COMPUTED_VALUE"""),66.0)</f>
        <v>66</v>
      </c>
      <c r="F6905" s="19" t="str">
        <f>IFERROR(__xludf.DUMMYFUNCTION("""COMPUTED_VALUE"""),"BLACK")</f>
        <v>BLACK</v>
      </c>
      <c r="G6905" s="20" t="str">
        <f>IFERROR(__xludf.DUMMYFUNCTION("""COMPUTED_VALUE"""),"Uncle Sams Cider (04/04/2023)")</f>
        <v>Uncle Sams Cider (04/04/2023)</v>
      </c>
      <c r="H6905" s="19"/>
    </row>
    <row r="6906">
      <c r="A6906" s="9"/>
      <c r="B6906" s="15"/>
      <c r="C6906" s="9">
        <f>IFERROR(__xludf.DUMMYFUNCTION("""COMPUTED_VALUE"""),45071.8975148958)</f>
        <v>45071.89751</v>
      </c>
      <c r="D6906" s="15">
        <f>IFERROR(__xludf.DUMMYFUNCTION("""COMPUTED_VALUE"""),1.012)</f>
        <v>1.012</v>
      </c>
      <c r="E6906" s="16">
        <f>IFERROR(__xludf.DUMMYFUNCTION("""COMPUTED_VALUE"""),66.0)</f>
        <v>66</v>
      </c>
      <c r="F6906" s="19" t="str">
        <f>IFERROR(__xludf.DUMMYFUNCTION("""COMPUTED_VALUE"""),"BLACK")</f>
        <v>BLACK</v>
      </c>
      <c r="G6906" s="20" t="str">
        <f>IFERROR(__xludf.DUMMYFUNCTION("""COMPUTED_VALUE"""),"Uncle Sams Cider (04/04/2023)")</f>
        <v>Uncle Sams Cider (04/04/2023)</v>
      </c>
      <c r="H6906" s="19"/>
    </row>
    <row r="6907">
      <c r="A6907" s="9"/>
      <c r="B6907" s="15"/>
      <c r="C6907" s="9">
        <f>IFERROR(__xludf.DUMMYFUNCTION("""COMPUTED_VALUE"""),45071.8870824884)</f>
        <v>45071.88708</v>
      </c>
      <c r="D6907" s="15">
        <f>IFERROR(__xludf.DUMMYFUNCTION("""COMPUTED_VALUE"""),1.011)</f>
        <v>1.011</v>
      </c>
      <c r="E6907" s="16">
        <f>IFERROR(__xludf.DUMMYFUNCTION("""COMPUTED_VALUE"""),66.0)</f>
        <v>66</v>
      </c>
      <c r="F6907" s="19" t="str">
        <f>IFERROR(__xludf.DUMMYFUNCTION("""COMPUTED_VALUE"""),"BLACK")</f>
        <v>BLACK</v>
      </c>
      <c r="G6907" s="20" t="str">
        <f>IFERROR(__xludf.DUMMYFUNCTION("""COMPUTED_VALUE"""),"Uncle Sams Cider (04/04/2023)")</f>
        <v>Uncle Sams Cider (04/04/2023)</v>
      </c>
      <c r="H6907" s="19"/>
    </row>
    <row r="6908">
      <c r="A6908" s="9"/>
      <c r="B6908" s="15"/>
      <c r="C6908" s="9">
        <f>IFERROR(__xludf.DUMMYFUNCTION("""COMPUTED_VALUE"""),45071.8766502314)</f>
        <v>45071.87665</v>
      </c>
      <c r="D6908" s="15">
        <f>IFERROR(__xludf.DUMMYFUNCTION("""COMPUTED_VALUE"""),1.011)</f>
        <v>1.011</v>
      </c>
      <c r="E6908" s="16">
        <f>IFERROR(__xludf.DUMMYFUNCTION("""COMPUTED_VALUE"""),66.0)</f>
        <v>66</v>
      </c>
      <c r="F6908" s="19" t="str">
        <f>IFERROR(__xludf.DUMMYFUNCTION("""COMPUTED_VALUE"""),"BLACK")</f>
        <v>BLACK</v>
      </c>
      <c r="G6908" s="20" t="str">
        <f>IFERROR(__xludf.DUMMYFUNCTION("""COMPUTED_VALUE"""),"Uncle Sams Cider (04/04/2023)")</f>
        <v>Uncle Sams Cider (04/04/2023)</v>
      </c>
      <c r="H6908" s="19"/>
    </row>
    <row r="6909">
      <c r="A6909" s="9"/>
      <c r="B6909" s="15"/>
      <c r="C6909" s="9">
        <f>IFERROR(__xludf.DUMMYFUNCTION("""COMPUTED_VALUE"""),45071.8662182523)</f>
        <v>45071.86622</v>
      </c>
      <c r="D6909" s="15">
        <f>IFERROR(__xludf.DUMMYFUNCTION("""COMPUTED_VALUE"""),1.011)</f>
        <v>1.011</v>
      </c>
      <c r="E6909" s="16">
        <f>IFERROR(__xludf.DUMMYFUNCTION("""COMPUTED_VALUE"""),66.0)</f>
        <v>66</v>
      </c>
      <c r="F6909" s="19" t="str">
        <f>IFERROR(__xludf.DUMMYFUNCTION("""COMPUTED_VALUE"""),"BLACK")</f>
        <v>BLACK</v>
      </c>
      <c r="G6909" s="20" t="str">
        <f>IFERROR(__xludf.DUMMYFUNCTION("""COMPUTED_VALUE"""),"Uncle Sams Cider (04/04/2023)")</f>
        <v>Uncle Sams Cider (04/04/2023)</v>
      </c>
      <c r="H6909" s="19"/>
    </row>
    <row r="6910">
      <c r="A6910" s="9"/>
      <c r="B6910" s="15"/>
      <c r="C6910" s="9">
        <f>IFERROR(__xludf.DUMMYFUNCTION("""COMPUTED_VALUE"""),45071.855797037)</f>
        <v>45071.8558</v>
      </c>
      <c r="D6910" s="15">
        <f>IFERROR(__xludf.DUMMYFUNCTION("""COMPUTED_VALUE"""),1.011)</f>
        <v>1.011</v>
      </c>
      <c r="E6910" s="16">
        <f>IFERROR(__xludf.DUMMYFUNCTION("""COMPUTED_VALUE"""),66.0)</f>
        <v>66</v>
      </c>
      <c r="F6910" s="19" t="str">
        <f>IFERROR(__xludf.DUMMYFUNCTION("""COMPUTED_VALUE"""),"BLACK")</f>
        <v>BLACK</v>
      </c>
      <c r="G6910" s="20" t="str">
        <f>IFERROR(__xludf.DUMMYFUNCTION("""COMPUTED_VALUE"""),"Uncle Sams Cider (04/04/2023)")</f>
        <v>Uncle Sams Cider (04/04/2023)</v>
      </c>
      <c r="H6910" s="19"/>
    </row>
    <row r="6911">
      <c r="A6911" s="9"/>
      <c r="B6911" s="15"/>
      <c r="C6911" s="9">
        <f>IFERROR(__xludf.DUMMYFUNCTION("""COMPUTED_VALUE"""),45071.8453754513)</f>
        <v>45071.84538</v>
      </c>
      <c r="D6911" s="15">
        <f>IFERROR(__xludf.DUMMYFUNCTION("""COMPUTED_VALUE"""),1.011)</f>
        <v>1.011</v>
      </c>
      <c r="E6911" s="16">
        <f>IFERROR(__xludf.DUMMYFUNCTION("""COMPUTED_VALUE"""),66.0)</f>
        <v>66</v>
      </c>
      <c r="F6911" s="19" t="str">
        <f>IFERROR(__xludf.DUMMYFUNCTION("""COMPUTED_VALUE"""),"BLACK")</f>
        <v>BLACK</v>
      </c>
      <c r="G6911" s="20" t="str">
        <f>IFERROR(__xludf.DUMMYFUNCTION("""COMPUTED_VALUE"""),"Uncle Sams Cider (04/04/2023)")</f>
        <v>Uncle Sams Cider (04/04/2023)</v>
      </c>
      <c r="H6911" s="19"/>
    </row>
    <row r="6912">
      <c r="A6912" s="9"/>
      <c r="B6912" s="15"/>
      <c r="C6912" s="9">
        <f>IFERROR(__xludf.DUMMYFUNCTION("""COMPUTED_VALUE"""),45071.8349541203)</f>
        <v>45071.83495</v>
      </c>
      <c r="D6912" s="15">
        <f>IFERROR(__xludf.DUMMYFUNCTION("""COMPUTED_VALUE"""),1.011)</f>
        <v>1.011</v>
      </c>
      <c r="E6912" s="16">
        <f>IFERROR(__xludf.DUMMYFUNCTION("""COMPUTED_VALUE"""),66.0)</f>
        <v>66</v>
      </c>
      <c r="F6912" s="19" t="str">
        <f>IFERROR(__xludf.DUMMYFUNCTION("""COMPUTED_VALUE"""),"BLACK")</f>
        <v>BLACK</v>
      </c>
      <c r="G6912" s="20" t="str">
        <f>IFERROR(__xludf.DUMMYFUNCTION("""COMPUTED_VALUE"""),"Uncle Sams Cider (04/04/2023)")</f>
        <v>Uncle Sams Cider (04/04/2023)</v>
      </c>
      <c r="H6912" s="19"/>
    </row>
    <row r="6913">
      <c r="A6913" s="9"/>
      <c r="B6913" s="15"/>
      <c r="C6913" s="9">
        <f>IFERROR(__xludf.DUMMYFUNCTION("""COMPUTED_VALUE"""),45071.824532199)</f>
        <v>45071.82453</v>
      </c>
      <c r="D6913" s="15">
        <f>IFERROR(__xludf.DUMMYFUNCTION("""COMPUTED_VALUE"""),1.011)</f>
        <v>1.011</v>
      </c>
      <c r="E6913" s="16">
        <f>IFERROR(__xludf.DUMMYFUNCTION("""COMPUTED_VALUE"""),66.0)</f>
        <v>66</v>
      </c>
      <c r="F6913" s="19" t="str">
        <f>IFERROR(__xludf.DUMMYFUNCTION("""COMPUTED_VALUE"""),"BLACK")</f>
        <v>BLACK</v>
      </c>
      <c r="G6913" s="20" t="str">
        <f>IFERROR(__xludf.DUMMYFUNCTION("""COMPUTED_VALUE"""),"Uncle Sams Cider (04/04/2023)")</f>
        <v>Uncle Sams Cider (04/04/2023)</v>
      </c>
      <c r="H6913" s="19"/>
    </row>
    <row r="6914">
      <c r="A6914" s="9"/>
      <c r="B6914" s="15"/>
      <c r="C6914" s="9">
        <f>IFERROR(__xludf.DUMMYFUNCTION("""COMPUTED_VALUE"""),45071.8141124884)</f>
        <v>45071.81411</v>
      </c>
      <c r="D6914" s="15">
        <f>IFERROR(__xludf.DUMMYFUNCTION("""COMPUTED_VALUE"""),1.011)</f>
        <v>1.011</v>
      </c>
      <c r="E6914" s="16">
        <f>IFERROR(__xludf.DUMMYFUNCTION("""COMPUTED_VALUE"""),66.0)</f>
        <v>66</v>
      </c>
      <c r="F6914" s="19" t="str">
        <f>IFERROR(__xludf.DUMMYFUNCTION("""COMPUTED_VALUE"""),"BLACK")</f>
        <v>BLACK</v>
      </c>
      <c r="G6914" s="20" t="str">
        <f>IFERROR(__xludf.DUMMYFUNCTION("""COMPUTED_VALUE"""),"Uncle Sams Cider (04/04/2023)")</f>
        <v>Uncle Sams Cider (04/04/2023)</v>
      </c>
      <c r="H6914" s="19"/>
    </row>
    <row r="6915">
      <c r="A6915" s="9"/>
      <c r="B6915" s="15"/>
      <c r="C6915" s="9">
        <f>IFERROR(__xludf.DUMMYFUNCTION("""COMPUTED_VALUE"""),45071.8036895486)</f>
        <v>45071.80369</v>
      </c>
      <c r="D6915" s="15">
        <f>IFERROR(__xludf.DUMMYFUNCTION("""COMPUTED_VALUE"""),1.011)</f>
        <v>1.011</v>
      </c>
      <c r="E6915" s="16">
        <f>IFERROR(__xludf.DUMMYFUNCTION("""COMPUTED_VALUE"""),66.0)</f>
        <v>66</v>
      </c>
      <c r="F6915" s="19" t="str">
        <f>IFERROR(__xludf.DUMMYFUNCTION("""COMPUTED_VALUE"""),"BLACK")</f>
        <v>BLACK</v>
      </c>
      <c r="G6915" s="20" t="str">
        <f>IFERROR(__xludf.DUMMYFUNCTION("""COMPUTED_VALUE"""),"Uncle Sams Cider (04/04/2023)")</f>
        <v>Uncle Sams Cider (04/04/2023)</v>
      </c>
      <c r="H6915" s="19"/>
    </row>
    <row r="6916">
      <c r="A6916" s="9"/>
      <c r="B6916" s="15"/>
      <c r="C6916" s="9">
        <f>IFERROR(__xludf.DUMMYFUNCTION("""COMPUTED_VALUE"""),45071.7932679398)</f>
        <v>45071.79327</v>
      </c>
      <c r="D6916" s="15">
        <f>IFERROR(__xludf.DUMMYFUNCTION("""COMPUTED_VALUE"""),1.011)</f>
        <v>1.011</v>
      </c>
      <c r="E6916" s="16">
        <f>IFERROR(__xludf.DUMMYFUNCTION("""COMPUTED_VALUE"""),66.0)</f>
        <v>66</v>
      </c>
      <c r="F6916" s="19" t="str">
        <f>IFERROR(__xludf.DUMMYFUNCTION("""COMPUTED_VALUE"""),"BLACK")</f>
        <v>BLACK</v>
      </c>
      <c r="G6916" s="20" t="str">
        <f>IFERROR(__xludf.DUMMYFUNCTION("""COMPUTED_VALUE"""),"Uncle Sams Cider (04/04/2023)")</f>
        <v>Uncle Sams Cider (04/04/2023)</v>
      </c>
      <c r="H6916" s="19"/>
    </row>
    <row r="6917">
      <c r="A6917" s="9"/>
      <c r="B6917" s="15"/>
      <c r="C6917" s="9">
        <f>IFERROR(__xludf.DUMMYFUNCTION("""COMPUTED_VALUE"""),45071.7828369444)</f>
        <v>45071.78284</v>
      </c>
      <c r="D6917" s="15">
        <f>IFERROR(__xludf.DUMMYFUNCTION("""COMPUTED_VALUE"""),1.011)</f>
        <v>1.011</v>
      </c>
      <c r="E6917" s="16">
        <f>IFERROR(__xludf.DUMMYFUNCTION("""COMPUTED_VALUE"""),66.0)</f>
        <v>66</v>
      </c>
      <c r="F6917" s="19" t="str">
        <f>IFERROR(__xludf.DUMMYFUNCTION("""COMPUTED_VALUE"""),"BLACK")</f>
        <v>BLACK</v>
      </c>
      <c r="G6917" s="20" t="str">
        <f>IFERROR(__xludf.DUMMYFUNCTION("""COMPUTED_VALUE"""),"Uncle Sams Cider (04/04/2023)")</f>
        <v>Uncle Sams Cider (04/04/2023)</v>
      </c>
      <c r="H6917" s="19"/>
    </row>
    <row r="6918">
      <c r="A6918" s="9"/>
      <c r="B6918" s="15"/>
      <c r="C6918" s="9">
        <f>IFERROR(__xludf.DUMMYFUNCTION("""COMPUTED_VALUE"""),45071.772369155)</f>
        <v>45071.77237</v>
      </c>
      <c r="D6918" s="15">
        <f>IFERROR(__xludf.DUMMYFUNCTION("""COMPUTED_VALUE"""),1.011)</f>
        <v>1.011</v>
      </c>
      <c r="E6918" s="16">
        <f>IFERROR(__xludf.DUMMYFUNCTION("""COMPUTED_VALUE"""),66.0)</f>
        <v>66</v>
      </c>
      <c r="F6918" s="19" t="str">
        <f>IFERROR(__xludf.DUMMYFUNCTION("""COMPUTED_VALUE"""),"BLACK")</f>
        <v>BLACK</v>
      </c>
      <c r="G6918" s="20" t="str">
        <f>IFERROR(__xludf.DUMMYFUNCTION("""COMPUTED_VALUE"""),"Uncle Sams Cider (04/04/2023)")</f>
        <v>Uncle Sams Cider (04/04/2023)</v>
      </c>
      <c r="H6918" s="19"/>
    </row>
    <row r="6919">
      <c r="A6919" s="9"/>
      <c r="B6919" s="15"/>
      <c r="C6919" s="9">
        <f>IFERROR(__xludf.DUMMYFUNCTION("""COMPUTED_VALUE"""),45071.7619477314)</f>
        <v>45071.76195</v>
      </c>
      <c r="D6919" s="15">
        <f>IFERROR(__xludf.DUMMYFUNCTION("""COMPUTED_VALUE"""),1.011)</f>
        <v>1.011</v>
      </c>
      <c r="E6919" s="16">
        <f>IFERROR(__xludf.DUMMYFUNCTION("""COMPUTED_VALUE"""),66.0)</f>
        <v>66</v>
      </c>
      <c r="F6919" s="19" t="str">
        <f>IFERROR(__xludf.DUMMYFUNCTION("""COMPUTED_VALUE"""),"BLACK")</f>
        <v>BLACK</v>
      </c>
      <c r="G6919" s="20" t="str">
        <f>IFERROR(__xludf.DUMMYFUNCTION("""COMPUTED_VALUE"""),"Uncle Sams Cider (04/04/2023)")</f>
        <v>Uncle Sams Cider (04/04/2023)</v>
      </c>
      <c r="H6919" s="19"/>
    </row>
    <row r="6920">
      <c r="A6920" s="9"/>
      <c r="B6920" s="15"/>
      <c r="C6920" s="9">
        <f>IFERROR(__xludf.DUMMYFUNCTION("""COMPUTED_VALUE"""),45071.7515156481)</f>
        <v>45071.75152</v>
      </c>
      <c r="D6920" s="15">
        <f>IFERROR(__xludf.DUMMYFUNCTION("""COMPUTED_VALUE"""),1.011)</f>
        <v>1.011</v>
      </c>
      <c r="E6920" s="16">
        <f>IFERROR(__xludf.DUMMYFUNCTION("""COMPUTED_VALUE"""),66.0)</f>
        <v>66</v>
      </c>
      <c r="F6920" s="19" t="str">
        <f>IFERROR(__xludf.DUMMYFUNCTION("""COMPUTED_VALUE"""),"BLACK")</f>
        <v>BLACK</v>
      </c>
      <c r="G6920" s="20" t="str">
        <f>IFERROR(__xludf.DUMMYFUNCTION("""COMPUTED_VALUE"""),"Uncle Sams Cider (04/04/2023)")</f>
        <v>Uncle Sams Cider (04/04/2023)</v>
      </c>
      <c r="H6920" s="19"/>
    </row>
    <row r="6921">
      <c r="A6921" s="9"/>
      <c r="B6921" s="15"/>
      <c r="C6921" s="9">
        <f>IFERROR(__xludf.DUMMYFUNCTION("""COMPUTED_VALUE"""),45071.741095243)</f>
        <v>45071.7411</v>
      </c>
      <c r="D6921" s="15">
        <f>IFERROR(__xludf.DUMMYFUNCTION("""COMPUTED_VALUE"""),1.011)</f>
        <v>1.011</v>
      </c>
      <c r="E6921" s="16">
        <f>IFERROR(__xludf.DUMMYFUNCTION("""COMPUTED_VALUE"""),66.0)</f>
        <v>66</v>
      </c>
      <c r="F6921" s="19" t="str">
        <f>IFERROR(__xludf.DUMMYFUNCTION("""COMPUTED_VALUE"""),"BLACK")</f>
        <v>BLACK</v>
      </c>
      <c r="G6921" s="20" t="str">
        <f>IFERROR(__xludf.DUMMYFUNCTION("""COMPUTED_VALUE"""),"Uncle Sams Cider (04/04/2023)")</f>
        <v>Uncle Sams Cider (04/04/2023)</v>
      </c>
      <c r="H6921" s="19"/>
    </row>
    <row r="6922">
      <c r="A6922" s="9"/>
      <c r="B6922" s="15"/>
      <c r="C6922" s="9">
        <f>IFERROR(__xludf.DUMMYFUNCTION("""COMPUTED_VALUE"""),45071.7306508101)</f>
        <v>45071.73065</v>
      </c>
      <c r="D6922" s="15">
        <f>IFERROR(__xludf.DUMMYFUNCTION("""COMPUTED_VALUE"""),1.011)</f>
        <v>1.011</v>
      </c>
      <c r="E6922" s="16">
        <f>IFERROR(__xludf.DUMMYFUNCTION("""COMPUTED_VALUE"""),66.0)</f>
        <v>66</v>
      </c>
      <c r="F6922" s="19" t="str">
        <f>IFERROR(__xludf.DUMMYFUNCTION("""COMPUTED_VALUE"""),"BLACK")</f>
        <v>BLACK</v>
      </c>
      <c r="G6922" s="20" t="str">
        <f>IFERROR(__xludf.DUMMYFUNCTION("""COMPUTED_VALUE"""),"Uncle Sams Cider (04/04/2023)")</f>
        <v>Uncle Sams Cider (04/04/2023)</v>
      </c>
      <c r="H6922" s="19"/>
    </row>
    <row r="6923">
      <c r="A6923" s="9"/>
      <c r="B6923" s="15"/>
      <c r="C6923" s="9">
        <f>IFERROR(__xludf.DUMMYFUNCTION("""COMPUTED_VALUE"""),45071.7202297916)</f>
        <v>45071.72023</v>
      </c>
      <c r="D6923" s="15">
        <f>IFERROR(__xludf.DUMMYFUNCTION("""COMPUTED_VALUE"""),1.011)</f>
        <v>1.011</v>
      </c>
      <c r="E6923" s="16">
        <f>IFERROR(__xludf.DUMMYFUNCTION("""COMPUTED_VALUE"""),66.0)</f>
        <v>66</v>
      </c>
      <c r="F6923" s="19" t="str">
        <f>IFERROR(__xludf.DUMMYFUNCTION("""COMPUTED_VALUE"""),"BLACK")</f>
        <v>BLACK</v>
      </c>
      <c r="G6923" s="20" t="str">
        <f>IFERROR(__xludf.DUMMYFUNCTION("""COMPUTED_VALUE"""),"Uncle Sams Cider (04/04/2023)")</f>
        <v>Uncle Sams Cider (04/04/2023)</v>
      </c>
      <c r="H6923" s="19"/>
    </row>
    <row r="6924">
      <c r="A6924" s="9"/>
      <c r="B6924" s="15"/>
      <c r="C6924" s="9">
        <f>IFERROR(__xludf.DUMMYFUNCTION("""COMPUTED_VALUE"""),45071.6993753819)</f>
        <v>45071.69938</v>
      </c>
      <c r="D6924" s="15">
        <f>IFERROR(__xludf.DUMMYFUNCTION("""COMPUTED_VALUE"""),1.011)</f>
        <v>1.011</v>
      </c>
      <c r="E6924" s="16">
        <f>IFERROR(__xludf.DUMMYFUNCTION("""COMPUTED_VALUE"""),66.0)</f>
        <v>66</v>
      </c>
      <c r="F6924" s="19" t="str">
        <f>IFERROR(__xludf.DUMMYFUNCTION("""COMPUTED_VALUE"""),"BLACK")</f>
        <v>BLACK</v>
      </c>
      <c r="G6924" s="20" t="str">
        <f>IFERROR(__xludf.DUMMYFUNCTION("""COMPUTED_VALUE"""),"Uncle Sams Cider (04/04/2023)")</f>
        <v>Uncle Sams Cider (04/04/2023)</v>
      </c>
      <c r="H6924" s="19"/>
    </row>
    <row r="6925">
      <c r="A6925" s="9"/>
      <c r="B6925" s="15"/>
      <c r="C6925" s="9">
        <f>IFERROR(__xludf.DUMMYFUNCTION("""COMPUTED_VALUE"""),45071.6889544328)</f>
        <v>45071.68895</v>
      </c>
      <c r="D6925" s="15">
        <f>IFERROR(__xludf.DUMMYFUNCTION("""COMPUTED_VALUE"""),1.011)</f>
        <v>1.011</v>
      </c>
      <c r="E6925" s="16">
        <f>IFERROR(__xludf.DUMMYFUNCTION("""COMPUTED_VALUE"""),66.0)</f>
        <v>66</v>
      </c>
      <c r="F6925" s="19" t="str">
        <f>IFERROR(__xludf.DUMMYFUNCTION("""COMPUTED_VALUE"""),"BLACK")</f>
        <v>BLACK</v>
      </c>
      <c r="G6925" s="20" t="str">
        <f>IFERROR(__xludf.DUMMYFUNCTION("""COMPUTED_VALUE"""),"Uncle Sams Cider (04/04/2023)")</f>
        <v>Uncle Sams Cider (04/04/2023)</v>
      </c>
      <c r="H6925" s="19"/>
    </row>
    <row r="6926">
      <c r="A6926" s="9"/>
      <c r="B6926" s="15"/>
      <c r="C6926" s="9">
        <f>IFERROR(__xludf.DUMMYFUNCTION("""COMPUTED_VALUE"""),45071.6785332986)</f>
        <v>45071.67853</v>
      </c>
      <c r="D6926" s="15">
        <f>IFERROR(__xludf.DUMMYFUNCTION("""COMPUTED_VALUE"""),1.012)</f>
        <v>1.012</v>
      </c>
      <c r="E6926" s="16">
        <f>IFERROR(__xludf.DUMMYFUNCTION("""COMPUTED_VALUE"""),66.0)</f>
        <v>66</v>
      </c>
      <c r="F6926" s="19" t="str">
        <f>IFERROR(__xludf.DUMMYFUNCTION("""COMPUTED_VALUE"""),"BLACK")</f>
        <v>BLACK</v>
      </c>
      <c r="G6926" s="20" t="str">
        <f>IFERROR(__xludf.DUMMYFUNCTION("""COMPUTED_VALUE"""),"Uncle Sams Cider (04/04/2023)")</f>
        <v>Uncle Sams Cider (04/04/2023)</v>
      </c>
      <c r="H6926" s="19"/>
    </row>
    <row r="6927">
      <c r="A6927" s="9"/>
      <c r="B6927" s="15"/>
      <c r="C6927" s="9">
        <f>IFERROR(__xludf.DUMMYFUNCTION("""COMPUTED_VALUE"""),45071.6681000463)</f>
        <v>45071.6681</v>
      </c>
      <c r="D6927" s="15">
        <f>IFERROR(__xludf.DUMMYFUNCTION("""COMPUTED_VALUE"""),1.011)</f>
        <v>1.011</v>
      </c>
      <c r="E6927" s="16">
        <f>IFERROR(__xludf.DUMMYFUNCTION("""COMPUTED_VALUE"""),66.0)</f>
        <v>66</v>
      </c>
      <c r="F6927" s="19" t="str">
        <f>IFERROR(__xludf.DUMMYFUNCTION("""COMPUTED_VALUE"""),"BLACK")</f>
        <v>BLACK</v>
      </c>
      <c r="G6927" s="20" t="str">
        <f>IFERROR(__xludf.DUMMYFUNCTION("""COMPUTED_VALUE"""),"Uncle Sams Cider (04/04/2023)")</f>
        <v>Uncle Sams Cider (04/04/2023)</v>
      </c>
      <c r="H6927" s="19"/>
    </row>
    <row r="6928">
      <c r="A6928" s="9"/>
      <c r="B6928" s="15"/>
      <c r="C6928" s="9">
        <f>IFERROR(__xludf.DUMMYFUNCTION("""COMPUTED_VALUE"""),45071.6576663773)</f>
        <v>45071.65767</v>
      </c>
      <c r="D6928" s="15">
        <f>IFERROR(__xludf.DUMMYFUNCTION("""COMPUTED_VALUE"""),1.011)</f>
        <v>1.011</v>
      </c>
      <c r="E6928" s="16">
        <f>IFERROR(__xludf.DUMMYFUNCTION("""COMPUTED_VALUE"""),66.0)</f>
        <v>66</v>
      </c>
      <c r="F6928" s="19" t="str">
        <f>IFERROR(__xludf.DUMMYFUNCTION("""COMPUTED_VALUE"""),"BLACK")</f>
        <v>BLACK</v>
      </c>
      <c r="G6928" s="20" t="str">
        <f>IFERROR(__xludf.DUMMYFUNCTION("""COMPUTED_VALUE"""),"Uncle Sams Cider (04/04/2023)")</f>
        <v>Uncle Sams Cider (04/04/2023)</v>
      </c>
      <c r="H6928" s="19"/>
    </row>
    <row r="6929">
      <c r="A6929" s="9"/>
      <c r="B6929" s="15"/>
      <c r="C6929" s="9">
        <f>IFERROR(__xludf.DUMMYFUNCTION("""COMPUTED_VALUE"""),45071.6472454861)</f>
        <v>45071.64725</v>
      </c>
      <c r="D6929" s="15">
        <f>IFERROR(__xludf.DUMMYFUNCTION("""COMPUTED_VALUE"""),1.011)</f>
        <v>1.011</v>
      </c>
      <c r="E6929" s="16">
        <f>IFERROR(__xludf.DUMMYFUNCTION("""COMPUTED_VALUE"""),66.0)</f>
        <v>66</v>
      </c>
      <c r="F6929" s="19" t="str">
        <f>IFERROR(__xludf.DUMMYFUNCTION("""COMPUTED_VALUE"""),"BLACK")</f>
        <v>BLACK</v>
      </c>
      <c r="G6929" s="20" t="str">
        <f>IFERROR(__xludf.DUMMYFUNCTION("""COMPUTED_VALUE"""),"Uncle Sams Cider (04/04/2023)")</f>
        <v>Uncle Sams Cider (04/04/2023)</v>
      </c>
      <c r="H6929" s="19"/>
    </row>
    <row r="6930">
      <c r="A6930" s="9"/>
      <c r="B6930" s="15"/>
      <c r="C6930" s="9">
        <f>IFERROR(__xludf.DUMMYFUNCTION("""COMPUTED_VALUE"""),45071.6368233796)</f>
        <v>45071.63682</v>
      </c>
      <c r="D6930" s="15">
        <f>IFERROR(__xludf.DUMMYFUNCTION("""COMPUTED_VALUE"""),1.011)</f>
        <v>1.011</v>
      </c>
      <c r="E6930" s="16">
        <f>IFERROR(__xludf.DUMMYFUNCTION("""COMPUTED_VALUE"""),66.0)</f>
        <v>66</v>
      </c>
      <c r="F6930" s="19" t="str">
        <f>IFERROR(__xludf.DUMMYFUNCTION("""COMPUTED_VALUE"""),"BLACK")</f>
        <v>BLACK</v>
      </c>
      <c r="G6930" s="20" t="str">
        <f>IFERROR(__xludf.DUMMYFUNCTION("""COMPUTED_VALUE"""),"Uncle Sams Cider (04/04/2023)")</f>
        <v>Uncle Sams Cider (04/04/2023)</v>
      </c>
      <c r="H6930" s="19"/>
    </row>
    <row r="6931">
      <c r="A6931" s="9"/>
      <c r="B6931" s="15"/>
      <c r="C6931" s="9">
        <f>IFERROR(__xludf.DUMMYFUNCTION("""COMPUTED_VALUE"""),45071.6264017245)</f>
        <v>45071.6264</v>
      </c>
      <c r="D6931" s="15">
        <f>IFERROR(__xludf.DUMMYFUNCTION("""COMPUTED_VALUE"""),1.012)</f>
        <v>1.012</v>
      </c>
      <c r="E6931" s="16">
        <f>IFERROR(__xludf.DUMMYFUNCTION("""COMPUTED_VALUE"""),66.0)</f>
        <v>66</v>
      </c>
      <c r="F6931" s="19" t="str">
        <f>IFERROR(__xludf.DUMMYFUNCTION("""COMPUTED_VALUE"""),"BLACK")</f>
        <v>BLACK</v>
      </c>
      <c r="G6931" s="20" t="str">
        <f>IFERROR(__xludf.DUMMYFUNCTION("""COMPUTED_VALUE"""),"Uncle Sams Cider (04/04/2023)")</f>
        <v>Uncle Sams Cider (04/04/2023)</v>
      </c>
      <c r="H6931" s="19"/>
    </row>
    <row r="6932">
      <c r="A6932" s="9"/>
      <c r="B6932" s="15"/>
      <c r="C6932" s="9">
        <f>IFERROR(__xludf.DUMMYFUNCTION("""COMPUTED_VALUE"""),45071.6159698958)</f>
        <v>45071.61597</v>
      </c>
      <c r="D6932" s="15">
        <f>IFERROR(__xludf.DUMMYFUNCTION("""COMPUTED_VALUE"""),1.011)</f>
        <v>1.011</v>
      </c>
      <c r="E6932" s="16">
        <f>IFERROR(__xludf.DUMMYFUNCTION("""COMPUTED_VALUE"""),66.0)</f>
        <v>66</v>
      </c>
      <c r="F6932" s="19" t="str">
        <f>IFERROR(__xludf.DUMMYFUNCTION("""COMPUTED_VALUE"""),"BLACK")</f>
        <v>BLACK</v>
      </c>
      <c r="G6932" s="20" t="str">
        <f>IFERROR(__xludf.DUMMYFUNCTION("""COMPUTED_VALUE"""),"Uncle Sams Cider (04/04/2023)")</f>
        <v>Uncle Sams Cider (04/04/2023)</v>
      </c>
      <c r="H6932" s="19"/>
    </row>
    <row r="6933">
      <c r="A6933" s="9"/>
      <c r="B6933" s="15"/>
      <c r="C6933" s="9">
        <f>IFERROR(__xludf.DUMMYFUNCTION("""COMPUTED_VALUE"""),45071.6055466551)</f>
        <v>45071.60555</v>
      </c>
      <c r="D6933" s="15">
        <f>IFERROR(__xludf.DUMMYFUNCTION("""COMPUTED_VALUE"""),1.012)</f>
        <v>1.012</v>
      </c>
      <c r="E6933" s="16">
        <f>IFERROR(__xludf.DUMMYFUNCTION("""COMPUTED_VALUE"""),66.0)</f>
        <v>66</v>
      </c>
      <c r="F6933" s="19" t="str">
        <f>IFERROR(__xludf.DUMMYFUNCTION("""COMPUTED_VALUE"""),"BLACK")</f>
        <v>BLACK</v>
      </c>
      <c r="G6933" s="20" t="str">
        <f>IFERROR(__xludf.DUMMYFUNCTION("""COMPUTED_VALUE"""),"Uncle Sams Cider (04/04/2023)")</f>
        <v>Uncle Sams Cider (04/04/2023)</v>
      </c>
      <c r="H6933" s="19"/>
    </row>
    <row r="6934">
      <c r="A6934" s="9"/>
      <c r="B6934" s="15"/>
      <c r="C6934" s="9">
        <f>IFERROR(__xludf.DUMMYFUNCTION("""COMPUTED_VALUE"""),45071.5951249652)</f>
        <v>45071.59512</v>
      </c>
      <c r="D6934" s="15">
        <f>IFERROR(__xludf.DUMMYFUNCTION("""COMPUTED_VALUE"""),1.012)</f>
        <v>1.012</v>
      </c>
      <c r="E6934" s="16">
        <f>IFERROR(__xludf.DUMMYFUNCTION("""COMPUTED_VALUE"""),66.0)</f>
        <v>66</v>
      </c>
      <c r="F6934" s="19" t="str">
        <f>IFERROR(__xludf.DUMMYFUNCTION("""COMPUTED_VALUE"""),"BLACK")</f>
        <v>BLACK</v>
      </c>
      <c r="G6934" s="20" t="str">
        <f>IFERROR(__xludf.DUMMYFUNCTION("""COMPUTED_VALUE"""),"Uncle Sams Cider (04/04/2023)")</f>
        <v>Uncle Sams Cider (04/04/2023)</v>
      </c>
      <c r="H6934" s="19"/>
    </row>
    <row r="6935">
      <c r="A6935" s="9"/>
      <c r="B6935" s="15"/>
      <c r="C6935" s="9">
        <f>IFERROR(__xludf.DUMMYFUNCTION("""COMPUTED_VALUE"""),45071.5847018402)</f>
        <v>45071.5847</v>
      </c>
      <c r="D6935" s="15">
        <f>IFERROR(__xludf.DUMMYFUNCTION("""COMPUTED_VALUE"""),1.011)</f>
        <v>1.011</v>
      </c>
      <c r="E6935" s="16">
        <f>IFERROR(__xludf.DUMMYFUNCTION("""COMPUTED_VALUE"""),66.0)</f>
        <v>66</v>
      </c>
      <c r="F6935" s="19" t="str">
        <f>IFERROR(__xludf.DUMMYFUNCTION("""COMPUTED_VALUE"""),"BLACK")</f>
        <v>BLACK</v>
      </c>
      <c r="G6935" s="20" t="str">
        <f>IFERROR(__xludf.DUMMYFUNCTION("""COMPUTED_VALUE"""),"Uncle Sams Cider (04/04/2023)")</f>
        <v>Uncle Sams Cider (04/04/2023)</v>
      </c>
      <c r="H6935" s="19"/>
    </row>
    <row r="6936">
      <c r="A6936" s="9"/>
      <c r="B6936" s="15"/>
      <c r="C6936" s="9">
        <f>IFERROR(__xludf.DUMMYFUNCTION("""COMPUTED_VALUE"""),45071.574279074)</f>
        <v>45071.57428</v>
      </c>
      <c r="D6936" s="15">
        <f>IFERROR(__xludf.DUMMYFUNCTION("""COMPUTED_VALUE"""),1.011)</f>
        <v>1.011</v>
      </c>
      <c r="E6936" s="16">
        <f>IFERROR(__xludf.DUMMYFUNCTION("""COMPUTED_VALUE"""),66.0)</f>
        <v>66</v>
      </c>
      <c r="F6936" s="19" t="str">
        <f>IFERROR(__xludf.DUMMYFUNCTION("""COMPUTED_VALUE"""),"BLACK")</f>
        <v>BLACK</v>
      </c>
      <c r="G6936" s="20" t="str">
        <f>IFERROR(__xludf.DUMMYFUNCTION("""COMPUTED_VALUE"""),"Uncle Sams Cider (04/04/2023)")</f>
        <v>Uncle Sams Cider (04/04/2023)</v>
      </c>
      <c r="H6936" s="19"/>
    </row>
    <row r="6937">
      <c r="A6937" s="9"/>
      <c r="B6937" s="15"/>
      <c r="C6937" s="9">
        <f>IFERROR(__xludf.DUMMYFUNCTION("""COMPUTED_VALUE"""),45071.5638453703)</f>
        <v>45071.56385</v>
      </c>
      <c r="D6937" s="15">
        <f>IFERROR(__xludf.DUMMYFUNCTION("""COMPUTED_VALUE"""),1.011)</f>
        <v>1.011</v>
      </c>
      <c r="E6937" s="16">
        <f>IFERROR(__xludf.DUMMYFUNCTION("""COMPUTED_VALUE"""),66.0)</f>
        <v>66</v>
      </c>
      <c r="F6937" s="19" t="str">
        <f>IFERROR(__xludf.DUMMYFUNCTION("""COMPUTED_VALUE"""),"BLACK")</f>
        <v>BLACK</v>
      </c>
      <c r="G6937" s="20" t="str">
        <f>IFERROR(__xludf.DUMMYFUNCTION("""COMPUTED_VALUE"""),"Uncle Sams Cider (04/04/2023)")</f>
        <v>Uncle Sams Cider (04/04/2023)</v>
      </c>
      <c r="H6937" s="19"/>
    </row>
    <row r="6938">
      <c r="A6938" s="9"/>
      <c r="B6938" s="15"/>
      <c r="C6938" s="9">
        <f>IFERROR(__xludf.DUMMYFUNCTION("""COMPUTED_VALUE"""),45071.5430002083)</f>
        <v>45071.543</v>
      </c>
      <c r="D6938" s="15">
        <f>IFERROR(__xludf.DUMMYFUNCTION("""COMPUTED_VALUE"""),1.012)</f>
        <v>1.012</v>
      </c>
      <c r="E6938" s="16">
        <f>IFERROR(__xludf.DUMMYFUNCTION("""COMPUTED_VALUE"""),66.0)</f>
        <v>66</v>
      </c>
      <c r="F6938" s="19" t="str">
        <f>IFERROR(__xludf.DUMMYFUNCTION("""COMPUTED_VALUE"""),"BLACK")</f>
        <v>BLACK</v>
      </c>
      <c r="G6938" s="20" t="str">
        <f>IFERROR(__xludf.DUMMYFUNCTION("""COMPUTED_VALUE"""),"Uncle Sams Cider (04/04/2023)")</f>
        <v>Uncle Sams Cider (04/04/2023)</v>
      </c>
      <c r="H6938" s="19"/>
    </row>
    <row r="6939">
      <c r="A6939" s="9"/>
      <c r="B6939" s="15"/>
      <c r="C6939" s="9">
        <f>IFERROR(__xludf.DUMMYFUNCTION("""COMPUTED_VALUE"""),45071.532578287)</f>
        <v>45071.53258</v>
      </c>
      <c r="D6939" s="15">
        <f>IFERROR(__xludf.DUMMYFUNCTION("""COMPUTED_VALUE"""),1.011)</f>
        <v>1.011</v>
      </c>
      <c r="E6939" s="16">
        <f>IFERROR(__xludf.DUMMYFUNCTION("""COMPUTED_VALUE"""),66.0)</f>
        <v>66</v>
      </c>
      <c r="F6939" s="19" t="str">
        <f>IFERROR(__xludf.DUMMYFUNCTION("""COMPUTED_VALUE"""),"BLACK")</f>
        <v>BLACK</v>
      </c>
      <c r="G6939" s="20" t="str">
        <f>IFERROR(__xludf.DUMMYFUNCTION("""COMPUTED_VALUE"""),"Uncle Sams Cider (04/04/2023)")</f>
        <v>Uncle Sams Cider (04/04/2023)</v>
      </c>
      <c r="H6939" s="19"/>
    </row>
    <row r="6940">
      <c r="A6940" s="9"/>
      <c r="B6940" s="15"/>
      <c r="C6940" s="9">
        <f>IFERROR(__xludf.DUMMYFUNCTION("""COMPUTED_VALUE"""),45071.5221457754)</f>
        <v>45071.52215</v>
      </c>
      <c r="D6940" s="15">
        <f>IFERROR(__xludf.DUMMYFUNCTION("""COMPUTED_VALUE"""),1.011)</f>
        <v>1.011</v>
      </c>
      <c r="E6940" s="16">
        <f>IFERROR(__xludf.DUMMYFUNCTION("""COMPUTED_VALUE"""),66.0)</f>
        <v>66</v>
      </c>
      <c r="F6940" s="19" t="str">
        <f>IFERROR(__xludf.DUMMYFUNCTION("""COMPUTED_VALUE"""),"BLACK")</f>
        <v>BLACK</v>
      </c>
      <c r="G6940" s="20" t="str">
        <f>IFERROR(__xludf.DUMMYFUNCTION("""COMPUTED_VALUE"""),"Uncle Sams Cider (04/04/2023)")</f>
        <v>Uncle Sams Cider (04/04/2023)</v>
      </c>
      <c r="H6940" s="19"/>
    </row>
    <row r="6941">
      <c r="A6941" s="9"/>
      <c r="B6941" s="15"/>
      <c r="C6941" s="9">
        <f>IFERROR(__xludf.DUMMYFUNCTION("""COMPUTED_VALUE"""),45071.5117252546)</f>
        <v>45071.51173</v>
      </c>
      <c r="D6941" s="15">
        <f>IFERROR(__xludf.DUMMYFUNCTION("""COMPUTED_VALUE"""),1.011)</f>
        <v>1.011</v>
      </c>
      <c r="E6941" s="16">
        <f>IFERROR(__xludf.DUMMYFUNCTION("""COMPUTED_VALUE"""),66.0)</f>
        <v>66</v>
      </c>
      <c r="F6941" s="19" t="str">
        <f>IFERROR(__xludf.DUMMYFUNCTION("""COMPUTED_VALUE"""),"BLACK")</f>
        <v>BLACK</v>
      </c>
      <c r="G6941" s="20" t="str">
        <f>IFERROR(__xludf.DUMMYFUNCTION("""COMPUTED_VALUE"""),"Uncle Sams Cider (04/04/2023)")</f>
        <v>Uncle Sams Cider (04/04/2023)</v>
      </c>
      <c r="H6941" s="19"/>
    </row>
    <row r="6942">
      <c r="A6942" s="9"/>
      <c r="B6942" s="15"/>
      <c r="C6942" s="9">
        <f>IFERROR(__xludf.DUMMYFUNCTION("""COMPUTED_VALUE"""),45071.5013054513)</f>
        <v>45071.50131</v>
      </c>
      <c r="D6942" s="15">
        <f>IFERROR(__xludf.DUMMYFUNCTION("""COMPUTED_VALUE"""),1.011)</f>
        <v>1.011</v>
      </c>
      <c r="E6942" s="16">
        <f>IFERROR(__xludf.DUMMYFUNCTION("""COMPUTED_VALUE"""),66.0)</f>
        <v>66</v>
      </c>
      <c r="F6942" s="19" t="str">
        <f>IFERROR(__xludf.DUMMYFUNCTION("""COMPUTED_VALUE"""),"BLACK")</f>
        <v>BLACK</v>
      </c>
      <c r="G6942" s="20" t="str">
        <f>IFERROR(__xludf.DUMMYFUNCTION("""COMPUTED_VALUE"""),"Uncle Sams Cider (04/04/2023)")</f>
        <v>Uncle Sams Cider (04/04/2023)</v>
      </c>
      <c r="H6942" s="19"/>
    </row>
    <row r="6943">
      <c r="A6943" s="9"/>
      <c r="B6943" s="15"/>
      <c r="C6943" s="9">
        <f>IFERROR(__xludf.DUMMYFUNCTION("""COMPUTED_VALUE"""),45071.4908831828)</f>
        <v>45071.49088</v>
      </c>
      <c r="D6943" s="15">
        <f>IFERROR(__xludf.DUMMYFUNCTION("""COMPUTED_VALUE"""),1.012)</f>
        <v>1.012</v>
      </c>
      <c r="E6943" s="16">
        <f>IFERROR(__xludf.DUMMYFUNCTION("""COMPUTED_VALUE"""),66.0)</f>
        <v>66</v>
      </c>
      <c r="F6943" s="19" t="str">
        <f>IFERROR(__xludf.DUMMYFUNCTION("""COMPUTED_VALUE"""),"BLACK")</f>
        <v>BLACK</v>
      </c>
      <c r="G6943" s="20" t="str">
        <f>IFERROR(__xludf.DUMMYFUNCTION("""COMPUTED_VALUE"""),"Uncle Sams Cider (04/04/2023)")</f>
        <v>Uncle Sams Cider (04/04/2023)</v>
      </c>
      <c r="H6943" s="19"/>
    </row>
    <row r="6944">
      <c r="A6944" s="9"/>
      <c r="B6944" s="15"/>
      <c r="C6944" s="9">
        <f>IFERROR(__xludf.DUMMYFUNCTION("""COMPUTED_VALUE"""),45071.4700285301)</f>
        <v>45071.47003</v>
      </c>
      <c r="D6944" s="15">
        <f>IFERROR(__xludf.DUMMYFUNCTION("""COMPUTED_VALUE"""),1.011)</f>
        <v>1.011</v>
      </c>
      <c r="E6944" s="16">
        <f>IFERROR(__xludf.DUMMYFUNCTION("""COMPUTED_VALUE"""),66.0)</f>
        <v>66</v>
      </c>
      <c r="F6944" s="19" t="str">
        <f>IFERROR(__xludf.DUMMYFUNCTION("""COMPUTED_VALUE"""),"BLACK")</f>
        <v>BLACK</v>
      </c>
      <c r="G6944" s="20" t="str">
        <f>IFERROR(__xludf.DUMMYFUNCTION("""COMPUTED_VALUE"""),"Uncle Sams Cider (04/04/2023)")</f>
        <v>Uncle Sams Cider (04/04/2023)</v>
      </c>
      <c r="H6944" s="19"/>
    </row>
    <row r="6945">
      <c r="A6945" s="9"/>
      <c r="B6945" s="15"/>
      <c r="C6945" s="9">
        <f>IFERROR(__xludf.DUMMYFUNCTION("""COMPUTED_VALUE"""),45071.4596068287)</f>
        <v>45071.45961</v>
      </c>
      <c r="D6945" s="15">
        <f>IFERROR(__xludf.DUMMYFUNCTION("""COMPUTED_VALUE"""),1.012)</f>
        <v>1.012</v>
      </c>
      <c r="E6945" s="16">
        <f>IFERROR(__xludf.DUMMYFUNCTION("""COMPUTED_VALUE"""),66.0)</f>
        <v>66</v>
      </c>
      <c r="F6945" s="19" t="str">
        <f>IFERROR(__xludf.DUMMYFUNCTION("""COMPUTED_VALUE"""),"BLACK")</f>
        <v>BLACK</v>
      </c>
      <c r="G6945" s="20" t="str">
        <f>IFERROR(__xludf.DUMMYFUNCTION("""COMPUTED_VALUE"""),"Uncle Sams Cider (04/04/2023)")</f>
        <v>Uncle Sams Cider (04/04/2023)</v>
      </c>
      <c r="H6945" s="19"/>
    </row>
    <row r="6946">
      <c r="A6946" s="9"/>
      <c r="B6946" s="15"/>
      <c r="C6946" s="9">
        <f>IFERROR(__xludf.DUMMYFUNCTION("""COMPUTED_VALUE"""),45071.449161956)</f>
        <v>45071.44916</v>
      </c>
      <c r="D6946" s="15">
        <f>IFERROR(__xludf.DUMMYFUNCTION("""COMPUTED_VALUE"""),1.012)</f>
        <v>1.012</v>
      </c>
      <c r="E6946" s="16">
        <f>IFERROR(__xludf.DUMMYFUNCTION("""COMPUTED_VALUE"""),66.0)</f>
        <v>66</v>
      </c>
      <c r="F6946" s="19" t="str">
        <f>IFERROR(__xludf.DUMMYFUNCTION("""COMPUTED_VALUE"""),"BLACK")</f>
        <v>BLACK</v>
      </c>
      <c r="G6946" s="20" t="str">
        <f>IFERROR(__xludf.DUMMYFUNCTION("""COMPUTED_VALUE"""),"Uncle Sams Cider (04/04/2023)")</f>
        <v>Uncle Sams Cider (04/04/2023)</v>
      </c>
      <c r="H6946" s="19"/>
    </row>
    <row r="6947">
      <c r="A6947" s="9"/>
      <c r="B6947" s="15"/>
      <c r="C6947" s="9">
        <f>IFERROR(__xludf.DUMMYFUNCTION("""COMPUTED_VALUE"""),45071.4387394791)</f>
        <v>45071.43874</v>
      </c>
      <c r="D6947" s="15">
        <f>IFERROR(__xludf.DUMMYFUNCTION("""COMPUTED_VALUE"""),1.012)</f>
        <v>1.012</v>
      </c>
      <c r="E6947" s="16">
        <f>IFERROR(__xludf.DUMMYFUNCTION("""COMPUTED_VALUE"""),66.0)</f>
        <v>66</v>
      </c>
      <c r="F6947" s="19" t="str">
        <f>IFERROR(__xludf.DUMMYFUNCTION("""COMPUTED_VALUE"""),"BLACK")</f>
        <v>BLACK</v>
      </c>
      <c r="G6947" s="20" t="str">
        <f>IFERROR(__xludf.DUMMYFUNCTION("""COMPUTED_VALUE"""),"Uncle Sams Cider (04/04/2023)")</f>
        <v>Uncle Sams Cider (04/04/2023)</v>
      </c>
      <c r="H6947" s="19"/>
    </row>
    <row r="6948">
      <c r="A6948" s="9"/>
      <c r="B6948" s="15"/>
      <c r="C6948" s="9">
        <f>IFERROR(__xludf.DUMMYFUNCTION("""COMPUTED_VALUE"""),45071.4283186458)</f>
        <v>45071.42832</v>
      </c>
      <c r="D6948" s="15">
        <f>IFERROR(__xludf.DUMMYFUNCTION("""COMPUTED_VALUE"""),1.011)</f>
        <v>1.011</v>
      </c>
      <c r="E6948" s="16">
        <f>IFERROR(__xludf.DUMMYFUNCTION("""COMPUTED_VALUE"""),66.0)</f>
        <v>66</v>
      </c>
      <c r="F6948" s="19" t="str">
        <f>IFERROR(__xludf.DUMMYFUNCTION("""COMPUTED_VALUE"""),"BLACK")</f>
        <v>BLACK</v>
      </c>
      <c r="G6948" s="20" t="str">
        <f>IFERROR(__xludf.DUMMYFUNCTION("""COMPUTED_VALUE"""),"Uncle Sams Cider (04/04/2023)")</f>
        <v>Uncle Sams Cider (04/04/2023)</v>
      </c>
      <c r="H6948" s="19"/>
    </row>
    <row r="6949">
      <c r="A6949" s="9"/>
      <c r="B6949" s="15"/>
      <c r="C6949" s="9">
        <f>IFERROR(__xludf.DUMMYFUNCTION("""COMPUTED_VALUE"""),45071.4074765625)</f>
        <v>45071.40748</v>
      </c>
      <c r="D6949" s="15">
        <f>IFERROR(__xludf.DUMMYFUNCTION("""COMPUTED_VALUE"""),1.012)</f>
        <v>1.012</v>
      </c>
      <c r="E6949" s="16">
        <f>IFERROR(__xludf.DUMMYFUNCTION("""COMPUTED_VALUE"""),66.0)</f>
        <v>66</v>
      </c>
      <c r="F6949" s="19" t="str">
        <f>IFERROR(__xludf.DUMMYFUNCTION("""COMPUTED_VALUE"""),"BLACK")</f>
        <v>BLACK</v>
      </c>
      <c r="G6949" s="20" t="str">
        <f>IFERROR(__xludf.DUMMYFUNCTION("""COMPUTED_VALUE"""),"Uncle Sams Cider (04/04/2023)")</f>
        <v>Uncle Sams Cider (04/04/2023)</v>
      </c>
      <c r="H6949" s="19"/>
    </row>
    <row r="6950">
      <c r="A6950" s="9"/>
      <c r="B6950" s="15"/>
      <c r="C6950" s="9">
        <f>IFERROR(__xludf.DUMMYFUNCTION("""COMPUTED_VALUE"""),45071.3970433564)</f>
        <v>45071.39704</v>
      </c>
      <c r="D6950" s="15">
        <f>IFERROR(__xludf.DUMMYFUNCTION("""COMPUTED_VALUE"""),1.012)</f>
        <v>1.012</v>
      </c>
      <c r="E6950" s="16">
        <f>IFERROR(__xludf.DUMMYFUNCTION("""COMPUTED_VALUE"""),66.0)</f>
        <v>66</v>
      </c>
      <c r="F6950" s="19" t="str">
        <f>IFERROR(__xludf.DUMMYFUNCTION("""COMPUTED_VALUE"""),"BLACK")</f>
        <v>BLACK</v>
      </c>
      <c r="G6950" s="20" t="str">
        <f>IFERROR(__xludf.DUMMYFUNCTION("""COMPUTED_VALUE"""),"Uncle Sams Cider (04/04/2023)")</f>
        <v>Uncle Sams Cider (04/04/2023)</v>
      </c>
      <c r="H6950" s="19"/>
    </row>
    <row r="6951">
      <c r="A6951" s="9"/>
      <c r="B6951" s="15"/>
      <c r="C6951" s="9">
        <f>IFERROR(__xludf.DUMMYFUNCTION("""COMPUTED_VALUE"""),45071.3761881481)</f>
        <v>45071.37619</v>
      </c>
      <c r="D6951" s="15">
        <f>IFERROR(__xludf.DUMMYFUNCTION("""COMPUTED_VALUE"""),1.011)</f>
        <v>1.011</v>
      </c>
      <c r="E6951" s="16">
        <f>IFERROR(__xludf.DUMMYFUNCTION("""COMPUTED_VALUE"""),66.0)</f>
        <v>66</v>
      </c>
      <c r="F6951" s="19" t="str">
        <f>IFERROR(__xludf.DUMMYFUNCTION("""COMPUTED_VALUE"""),"BLACK")</f>
        <v>BLACK</v>
      </c>
      <c r="G6951" s="20" t="str">
        <f>IFERROR(__xludf.DUMMYFUNCTION("""COMPUTED_VALUE"""),"Uncle Sams Cider (04/04/2023)")</f>
        <v>Uncle Sams Cider (04/04/2023)</v>
      </c>
      <c r="H6951" s="19"/>
    </row>
    <row r="6952">
      <c r="A6952" s="9"/>
      <c r="B6952" s="15"/>
      <c r="C6952" s="9">
        <f>IFERROR(__xludf.DUMMYFUNCTION("""COMPUTED_VALUE"""),45071.3657663194)</f>
        <v>45071.36577</v>
      </c>
      <c r="D6952" s="15">
        <f>IFERROR(__xludf.DUMMYFUNCTION("""COMPUTED_VALUE"""),1.012)</f>
        <v>1.012</v>
      </c>
      <c r="E6952" s="16">
        <f>IFERROR(__xludf.DUMMYFUNCTION("""COMPUTED_VALUE"""),66.0)</f>
        <v>66</v>
      </c>
      <c r="F6952" s="19" t="str">
        <f>IFERROR(__xludf.DUMMYFUNCTION("""COMPUTED_VALUE"""),"BLACK")</f>
        <v>BLACK</v>
      </c>
      <c r="G6952" s="20" t="str">
        <f>IFERROR(__xludf.DUMMYFUNCTION("""COMPUTED_VALUE"""),"Uncle Sams Cider (04/04/2023)")</f>
        <v>Uncle Sams Cider (04/04/2023)</v>
      </c>
      <c r="H6952" s="19"/>
    </row>
    <row r="6953">
      <c r="A6953" s="9"/>
      <c r="B6953" s="15"/>
      <c r="C6953" s="9">
        <f>IFERROR(__xludf.DUMMYFUNCTION("""COMPUTED_VALUE"""),45071.3553336574)</f>
        <v>45071.35533</v>
      </c>
      <c r="D6953" s="15">
        <f>IFERROR(__xludf.DUMMYFUNCTION("""COMPUTED_VALUE"""),1.011)</f>
        <v>1.011</v>
      </c>
      <c r="E6953" s="16">
        <f>IFERROR(__xludf.DUMMYFUNCTION("""COMPUTED_VALUE"""),66.0)</f>
        <v>66</v>
      </c>
      <c r="F6953" s="19" t="str">
        <f>IFERROR(__xludf.DUMMYFUNCTION("""COMPUTED_VALUE"""),"BLACK")</f>
        <v>BLACK</v>
      </c>
      <c r="G6953" s="20" t="str">
        <f>IFERROR(__xludf.DUMMYFUNCTION("""COMPUTED_VALUE"""),"Uncle Sams Cider (04/04/2023)")</f>
        <v>Uncle Sams Cider (04/04/2023)</v>
      </c>
      <c r="H6953" s="19"/>
    </row>
    <row r="6954">
      <c r="A6954" s="9"/>
      <c r="B6954" s="15"/>
      <c r="C6954" s="9">
        <f>IFERROR(__xludf.DUMMYFUNCTION("""COMPUTED_VALUE"""),45071.3449112963)</f>
        <v>45071.34491</v>
      </c>
      <c r="D6954" s="15">
        <f>IFERROR(__xludf.DUMMYFUNCTION("""COMPUTED_VALUE"""),1.011)</f>
        <v>1.011</v>
      </c>
      <c r="E6954" s="16">
        <f>IFERROR(__xludf.DUMMYFUNCTION("""COMPUTED_VALUE"""),66.0)</f>
        <v>66</v>
      </c>
      <c r="F6954" s="19" t="str">
        <f>IFERROR(__xludf.DUMMYFUNCTION("""COMPUTED_VALUE"""),"BLACK")</f>
        <v>BLACK</v>
      </c>
      <c r="G6954" s="20" t="str">
        <f>IFERROR(__xludf.DUMMYFUNCTION("""COMPUTED_VALUE"""),"Uncle Sams Cider (04/04/2023)")</f>
        <v>Uncle Sams Cider (04/04/2023)</v>
      </c>
      <c r="H6954" s="19"/>
    </row>
    <row r="6955">
      <c r="A6955" s="9"/>
      <c r="B6955" s="15"/>
      <c r="C6955" s="9">
        <f>IFERROR(__xludf.DUMMYFUNCTION("""COMPUTED_VALUE"""),45071.3344780555)</f>
        <v>45071.33448</v>
      </c>
      <c r="D6955" s="15">
        <f>IFERROR(__xludf.DUMMYFUNCTION("""COMPUTED_VALUE"""),1.012)</f>
        <v>1.012</v>
      </c>
      <c r="E6955" s="16">
        <f>IFERROR(__xludf.DUMMYFUNCTION("""COMPUTED_VALUE"""),66.0)</f>
        <v>66</v>
      </c>
      <c r="F6955" s="19" t="str">
        <f>IFERROR(__xludf.DUMMYFUNCTION("""COMPUTED_VALUE"""),"BLACK")</f>
        <v>BLACK</v>
      </c>
      <c r="G6955" s="20" t="str">
        <f>IFERROR(__xludf.DUMMYFUNCTION("""COMPUTED_VALUE"""),"Uncle Sams Cider (04/04/2023)")</f>
        <v>Uncle Sams Cider (04/04/2023)</v>
      </c>
      <c r="H6955" s="19"/>
    </row>
    <row r="6956">
      <c r="A6956" s="9"/>
      <c r="B6956" s="15"/>
      <c r="C6956" s="9">
        <f>IFERROR(__xludf.DUMMYFUNCTION("""COMPUTED_VALUE"""),45071.324045787)</f>
        <v>45071.32405</v>
      </c>
      <c r="D6956" s="15">
        <f>IFERROR(__xludf.DUMMYFUNCTION("""COMPUTED_VALUE"""),1.011)</f>
        <v>1.011</v>
      </c>
      <c r="E6956" s="16">
        <f>IFERROR(__xludf.DUMMYFUNCTION("""COMPUTED_VALUE"""),66.0)</f>
        <v>66</v>
      </c>
      <c r="F6956" s="19" t="str">
        <f>IFERROR(__xludf.DUMMYFUNCTION("""COMPUTED_VALUE"""),"BLACK")</f>
        <v>BLACK</v>
      </c>
      <c r="G6956" s="20" t="str">
        <f>IFERROR(__xludf.DUMMYFUNCTION("""COMPUTED_VALUE"""),"Uncle Sams Cider (04/04/2023)")</f>
        <v>Uncle Sams Cider (04/04/2023)</v>
      </c>
      <c r="H6956" s="19"/>
    </row>
    <row r="6957">
      <c r="A6957" s="9"/>
      <c r="B6957" s="15"/>
      <c r="C6957" s="9">
        <f>IFERROR(__xludf.DUMMYFUNCTION("""COMPUTED_VALUE"""),45071.313588287)</f>
        <v>45071.31359</v>
      </c>
      <c r="D6957" s="15">
        <f>IFERROR(__xludf.DUMMYFUNCTION("""COMPUTED_VALUE"""),1.012)</f>
        <v>1.012</v>
      </c>
      <c r="E6957" s="16">
        <f>IFERROR(__xludf.DUMMYFUNCTION("""COMPUTED_VALUE"""),66.0)</f>
        <v>66</v>
      </c>
      <c r="F6957" s="19" t="str">
        <f>IFERROR(__xludf.DUMMYFUNCTION("""COMPUTED_VALUE"""),"BLACK")</f>
        <v>BLACK</v>
      </c>
      <c r="G6957" s="20" t="str">
        <f>IFERROR(__xludf.DUMMYFUNCTION("""COMPUTED_VALUE"""),"Uncle Sams Cider (04/04/2023)")</f>
        <v>Uncle Sams Cider (04/04/2023)</v>
      </c>
      <c r="H6957" s="19"/>
    </row>
    <row r="6958">
      <c r="A6958" s="9"/>
      <c r="B6958" s="15"/>
      <c r="C6958" s="9">
        <f>IFERROR(__xludf.DUMMYFUNCTION("""COMPUTED_VALUE"""),45071.3031666088)</f>
        <v>45071.30317</v>
      </c>
      <c r="D6958" s="15">
        <f>IFERROR(__xludf.DUMMYFUNCTION("""COMPUTED_VALUE"""),1.011)</f>
        <v>1.011</v>
      </c>
      <c r="E6958" s="16">
        <f>IFERROR(__xludf.DUMMYFUNCTION("""COMPUTED_VALUE"""),66.0)</f>
        <v>66</v>
      </c>
      <c r="F6958" s="19" t="str">
        <f>IFERROR(__xludf.DUMMYFUNCTION("""COMPUTED_VALUE"""),"BLACK")</f>
        <v>BLACK</v>
      </c>
      <c r="G6958" s="20" t="str">
        <f>IFERROR(__xludf.DUMMYFUNCTION("""COMPUTED_VALUE"""),"Uncle Sams Cider (04/04/2023)")</f>
        <v>Uncle Sams Cider (04/04/2023)</v>
      </c>
      <c r="H6958" s="19"/>
    </row>
    <row r="6959">
      <c r="A6959" s="9"/>
      <c r="B6959" s="15"/>
      <c r="C6959" s="9">
        <f>IFERROR(__xludf.DUMMYFUNCTION("""COMPUTED_VALUE"""),45071.2927445601)</f>
        <v>45071.29274</v>
      </c>
      <c r="D6959" s="15">
        <f>IFERROR(__xludf.DUMMYFUNCTION("""COMPUTED_VALUE"""),1.012)</f>
        <v>1.012</v>
      </c>
      <c r="E6959" s="16">
        <f>IFERROR(__xludf.DUMMYFUNCTION("""COMPUTED_VALUE"""),66.0)</f>
        <v>66</v>
      </c>
      <c r="F6959" s="19" t="str">
        <f>IFERROR(__xludf.DUMMYFUNCTION("""COMPUTED_VALUE"""),"BLACK")</f>
        <v>BLACK</v>
      </c>
      <c r="G6959" s="20" t="str">
        <f>IFERROR(__xludf.DUMMYFUNCTION("""COMPUTED_VALUE"""),"Uncle Sams Cider (04/04/2023)")</f>
        <v>Uncle Sams Cider (04/04/2023)</v>
      </c>
      <c r="H6959" s="19"/>
    </row>
    <row r="6960">
      <c r="A6960" s="9"/>
      <c r="B6960" s="15"/>
      <c r="C6960" s="9">
        <f>IFERROR(__xludf.DUMMYFUNCTION("""COMPUTED_VALUE"""),45071.2823235416)</f>
        <v>45071.28232</v>
      </c>
      <c r="D6960" s="15">
        <f>IFERROR(__xludf.DUMMYFUNCTION("""COMPUTED_VALUE"""),1.011)</f>
        <v>1.011</v>
      </c>
      <c r="E6960" s="16">
        <f>IFERROR(__xludf.DUMMYFUNCTION("""COMPUTED_VALUE"""),66.0)</f>
        <v>66</v>
      </c>
      <c r="F6960" s="19" t="str">
        <f>IFERROR(__xludf.DUMMYFUNCTION("""COMPUTED_VALUE"""),"BLACK")</f>
        <v>BLACK</v>
      </c>
      <c r="G6960" s="20" t="str">
        <f>IFERROR(__xludf.DUMMYFUNCTION("""COMPUTED_VALUE"""),"Uncle Sams Cider (04/04/2023)")</f>
        <v>Uncle Sams Cider (04/04/2023)</v>
      </c>
      <c r="H6960" s="19"/>
    </row>
    <row r="6961">
      <c r="A6961" s="9"/>
      <c r="B6961" s="15"/>
      <c r="C6961" s="9">
        <f>IFERROR(__xludf.DUMMYFUNCTION("""COMPUTED_VALUE"""),45071.2719017129)</f>
        <v>45071.2719</v>
      </c>
      <c r="D6961" s="15">
        <f>IFERROR(__xludf.DUMMYFUNCTION("""COMPUTED_VALUE"""),1.012)</f>
        <v>1.012</v>
      </c>
      <c r="E6961" s="16">
        <f>IFERROR(__xludf.DUMMYFUNCTION("""COMPUTED_VALUE"""),66.0)</f>
        <v>66</v>
      </c>
      <c r="F6961" s="19" t="str">
        <f>IFERROR(__xludf.DUMMYFUNCTION("""COMPUTED_VALUE"""),"BLACK")</f>
        <v>BLACK</v>
      </c>
      <c r="G6961" s="20" t="str">
        <f>IFERROR(__xludf.DUMMYFUNCTION("""COMPUTED_VALUE"""),"Uncle Sams Cider (04/04/2023)")</f>
        <v>Uncle Sams Cider (04/04/2023)</v>
      </c>
      <c r="H6961" s="19"/>
    </row>
    <row r="6962">
      <c r="A6962" s="9"/>
      <c r="B6962" s="15"/>
      <c r="C6962" s="9">
        <f>IFERROR(__xludf.DUMMYFUNCTION("""COMPUTED_VALUE"""),45071.2614674305)</f>
        <v>45071.26147</v>
      </c>
      <c r="D6962" s="15">
        <f>IFERROR(__xludf.DUMMYFUNCTION("""COMPUTED_VALUE"""),1.012)</f>
        <v>1.012</v>
      </c>
      <c r="E6962" s="16">
        <f>IFERROR(__xludf.DUMMYFUNCTION("""COMPUTED_VALUE"""),66.0)</f>
        <v>66</v>
      </c>
      <c r="F6962" s="19" t="str">
        <f>IFERROR(__xludf.DUMMYFUNCTION("""COMPUTED_VALUE"""),"BLACK")</f>
        <v>BLACK</v>
      </c>
      <c r="G6962" s="20" t="str">
        <f>IFERROR(__xludf.DUMMYFUNCTION("""COMPUTED_VALUE"""),"Uncle Sams Cider (04/04/2023)")</f>
        <v>Uncle Sams Cider (04/04/2023)</v>
      </c>
      <c r="H6962" s="19"/>
    </row>
    <row r="6963">
      <c r="A6963" s="9"/>
      <c r="B6963" s="15"/>
      <c r="C6963" s="9">
        <f>IFERROR(__xludf.DUMMYFUNCTION("""COMPUTED_VALUE"""),45071.2510333333)</f>
        <v>45071.25103</v>
      </c>
      <c r="D6963" s="15">
        <f>IFERROR(__xludf.DUMMYFUNCTION("""COMPUTED_VALUE"""),1.012)</f>
        <v>1.012</v>
      </c>
      <c r="E6963" s="16">
        <f>IFERROR(__xludf.DUMMYFUNCTION("""COMPUTED_VALUE"""),66.0)</f>
        <v>66</v>
      </c>
      <c r="F6963" s="19" t="str">
        <f>IFERROR(__xludf.DUMMYFUNCTION("""COMPUTED_VALUE"""),"BLACK")</f>
        <v>BLACK</v>
      </c>
      <c r="G6963" s="20" t="str">
        <f>IFERROR(__xludf.DUMMYFUNCTION("""COMPUTED_VALUE"""),"Uncle Sams Cider (04/04/2023)")</f>
        <v>Uncle Sams Cider (04/04/2023)</v>
      </c>
      <c r="H6963" s="19"/>
    </row>
    <row r="6964">
      <c r="A6964" s="9"/>
      <c r="B6964" s="15"/>
      <c r="C6964" s="9">
        <f>IFERROR(__xludf.DUMMYFUNCTION("""COMPUTED_VALUE"""),45071.2406134606)</f>
        <v>45071.24061</v>
      </c>
      <c r="D6964" s="15">
        <f>IFERROR(__xludf.DUMMYFUNCTION("""COMPUTED_VALUE"""),1.012)</f>
        <v>1.012</v>
      </c>
      <c r="E6964" s="16">
        <f>IFERROR(__xludf.DUMMYFUNCTION("""COMPUTED_VALUE"""),66.0)</f>
        <v>66</v>
      </c>
      <c r="F6964" s="19" t="str">
        <f>IFERROR(__xludf.DUMMYFUNCTION("""COMPUTED_VALUE"""),"BLACK")</f>
        <v>BLACK</v>
      </c>
      <c r="G6964" s="20" t="str">
        <f>IFERROR(__xludf.DUMMYFUNCTION("""COMPUTED_VALUE"""),"Uncle Sams Cider (04/04/2023)")</f>
        <v>Uncle Sams Cider (04/04/2023)</v>
      </c>
      <c r="H6964" s="19"/>
    </row>
    <row r="6965">
      <c r="A6965" s="9"/>
      <c r="B6965" s="15"/>
      <c r="C6965" s="9">
        <f>IFERROR(__xludf.DUMMYFUNCTION("""COMPUTED_VALUE"""),45071.2301796643)</f>
        <v>45071.23018</v>
      </c>
      <c r="D6965" s="15">
        <f>IFERROR(__xludf.DUMMYFUNCTION("""COMPUTED_VALUE"""),1.012)</f>
        <v>1.012</v>
      </c>
      <c r="E6965" s="16">
        <f>IFERROR(__xludf.DUMMYFUNCTION("""COMPUTED_VALUE"""),66.0)</f>
        <v>66</v>
      </c>
      <c r="F6965" s="19" t="str">
        <f>IFERROR(__xludf.DUMMYFUNCTION("""COMPUTED_VALUE"""),"BLACK")</f>
        <v>BLACK</v>
      </c>
      <c r="G6965" s="20" t="str">
        <f>IFERROR(__xludf.DUMMYFUNCTION("""COMPUTED_VALUE"""),"Uncle Sams Cider (04/04/2023)")</f>
        <v>Uncle Sams Cider (04/04/2023)</v>
      </c>
      <c r="H6965" s="19"/>
    </row>
    <row r="6966">
      <c r="A6966" s="9"/>
      <c r="B6966" s="15"/>
      <c r="C6966" s="9">
        <f>IFERROR(__xludf.DUMMYFUNCTION("""COMPUTED_VALUE"""),45071.2197595833)</f>
        <v>45071.21976</v>
      </c>
      <c r="D6966" s="15">
        <f>IFERROR(__xludf.DUMMYFUNCTION("""COMPUTED_VALUE"""),1.011)</f>
        <v>1.011</v>
      </c>
      <c r="E6966" s="16">
        <f>IFERROR(__xludf.DUMMYFUNCTION("""COMPUTED_VALUE"""),66.0)</f>
        <v>66</v>
      </c>
      <c r="F6966" s="19" t="str">
        <f>IFERROR(__xludf.DUMMYFUNCTION("""COMPUTED_VALUE"""),"BLACK")</f>
        <v>BLACK</v>
      </c>
      <c r="G6966" s="20" t="str">
        <f>IFERROR(__xludf.DUMMYFUNCTION("""COMPUTED_VALUE"""),"Uncle Sams Cider (04/04/2023)")</f>
        <v>Uncle Sams Cider (04/04/2023)</v>
      </c>
      <c r="H6966" s="19"/>
    </row>
    <row r="6967">
      <c r="A6967" s="9"/>
      <c r="B6967" s="15"/>
      <c r="C6967" s="9">
        <f>IFERROR(__xludf.DUMMYFUNCTION("""COMPUTED_VALUE"""),45071.2093261458)</f>
        <v>45071.20933</v>
      </c>
      <c r="D6967" s="15">
        <f>IFERROR(__xludf.DUMMYFUNCTION("""COMPUTED_VALUE"""),1.012)</f>
        <v>1.012</v>
      </c>
      <c r="E6967" s="16">
        <f>IFERROR(__xludf.DUMMYFUNCTION("""COMPUTED_VALUE"""),66.0)</f>
        <v>66</v>
      </c>
      <c r="F6967" s="19" t="str">
        <f>IFERROR(__xludf.DUMMYFUNCTION("""COMPUTED_VALUE"""),"BLACK")</f>
        <v>BLACK</v>
      </c>
      <c r="G6967" s="20" t="str">
        <f>IFERROR(__xludf.DUMMYFUNCTION("""COMPUTED_VALUE"""),"Uncle Sams Cider (04/04/2023)")</f>
        <v>Uncle Sams Cider (04/04/2023)</v>
      </c>
      <c r="H6967" s="19"/>
    </row>
    <row r="6968">
      <c r="A6968" s="9"/>
      <c r="B6968" s="15"/>
      <c r="C6968" s="9">
        <f>IFERROR(__xludf.DUMMYFUNCTION("""COMPUTED_VALUE"""),45071.1989048842)</f>
        <v>45071.1989</v>
      </c>
      <c r="D6968" s="15">
        <f>IFERROR(__xludf.DUMMYFUNCTION("""COMPUTED_VALUE"""),1.011)</f>
        <v>1.011</v>
      </c>
      <c r="E6968" s="16">
        <f>IFERROR(__xludf.DUMMYFUNCTION("""COMPUTED_VALUE"""),66.0)</f>
        <v>66</v>
      </c>
      <c r="F6968" s="19" t="str">
        <f>IFERROR(__xludf.DUMMYFUNCTION("""COMPUTED_VALUE"""),"BLACK")</f>
        <v>BLACK</v>
      </c>
      <c r="G6968" s="20" t="str">
        <f>IFERROR(__xludf.DUMMYFUNCTION("""COMPUTED_VALUE"""),"Uncle Sams Cider (04/04/2023)")</f>
        <v>Uncle Sams Cider (04/04/2023)</v>
      </c>
      <c r="H6968" s="19"/>
    </row>
    <row r="6969">
      <c r="A6969" s="9"/>
      <c r="B6969" s="15"/>
      <c r="C6969" s="9">
        <f>IFERROR(__xludf.DUMMYFUNCTION("""COMPUTED_VALUE"""),45071.188483831)</f>
        <v>45071.18848</v>
      </c>
      <c r="D6969" s="15">
        <f>IFERROR(__xludf.DUMMYFUNCTION("""COMPUTED_VALUE"""),1.011)</f>
        <v>1.011</v>
      </c>
      <c r="E6969" s="16">
        <f>IFERROR(__xludf.DUMMYFUNCTION("""COMPUTED_VALUE"""),66.0)</f>
        <v>66</v>
      </c>
      <c r="F6969" s="19" t="str">
        <f>IFERROR(__xludf.DUMMYFUNCTION("""COMPUTED_VALUE"""),"BLACK")</f>
        <v>BLACK</v>
      </c>
      <c r="G6969" s="20" t="str">
        <f>IFERROR(__xludf.DUMMYFUNCTION("""COMPUTED_VALUE"""),"Uncle Sams Cider (04/04/2023)")</f>
        <v>Uncle Sams Cider (04/04/2023)</v>
      </c>
      <c r="H6969" s="19"/>
    </row>
    <row r="6970">
      <c r="A6970" s="9"/>
      <c r="B6970" s="15"/>
      <c r="C6970" s="9">
        <f>IFERROR(__xludf.DUMMYFUNCTION("""COMPUTED_VALUE"""),45071.1780398611)</f>
        <v>45071.17804</v>
      </c>
      <c r="D6970" s="15">
        <f>IFERROR(__xludf.DUMMYFUNCTION("""COMPUTED_VALUE"""),1.012)</f>
        <v>1.012</v>
      </c>
      <c r="E6970" s="16">
        <f>IFERROR(__xludf.DUMMYFUNCTION("""COMPUTED_VALUE"""),66.0)</f>
        <v>66</v>
      </c>
      <c r="F6970" s="19" t="str">
        <f>IFERROR(__xludf.DUMMYFUNCTION("""COMPUTED_VALUE"""),"BLACK")</f>
        <v>BLACK</v>
      </c>
      <c r="G6970" s="20" t="str">
        <f>IFERROR(__xludf.DUMMYFUNCTION("""COMPUTED_VALUE"""),"Uncle Sams Cider (04/04/2023)")</f>
        <v>Uncle Sams Cider (04/04/2023)</v>
      </c>
      <c r="H6970" s="19"/>
    </row>
    <row r="6971">
      <c r="A6971" s="9"/>
      <c r="B6971" s="15"/>
      <c r="C6971" s="9">
        <f>IFERROR(__xludf.DUMMYFUNCTION("""COMPUTED_VALUE"""),45071.1676182754)</f>
        <v>45071.16762</v>
      </c>
      <c r="D6971" s="15">
        <f>IFERROR(__xludf.DUMMYFUNCTION("""COMPUTED_VALUE"""),1.012)</f>
        <v>1.012</v>
      </c>
      <c r="E6971" s="16">
        <f>IFERROR(__xludf.DUMMYFUNCTION("""COMPUTED_VALUE"""),66.0)</f>
        <v>66</v>
      </c>
      <c r="F6971" s="19" t="str">
        <f>IFERROR(__xludf.DUMMYFUNCTION("""COMPUTED_VALUE"""),"BLACK")</f>
        <v>BLACK</v>
      </c>
      <c r="G6971" s="20" t="str">
        <f>IFERROR(__xludf.DUMMYFUNCTION("""COMPUTED_VALUE"""),"Uncle Sams Cider (04/04/2023)")</f>
        <v>Uncle Sams Cider (04/04/2023)</v>
      </c>
      <c r="H6971" s="19"/>
    </row>
    <row r="6972">
      <c r="A6972" s="9"/>
      <c r="B6972" s="15"/>
      <c r="C6972" s="9">
        <f>IFERROR(__xludf.DUMMYFUNCTION("""COMPUTED_VALUE"""),45071.1571972685)</f>
        <v>45071.1572</v>
      </c>
      <c r="D6972" s="15">
        <f>IFERROR(__xludf.DUMMYFUNCTION("""COMPUTED_VALUE"""),1.011)</f>
        <v>1.011</v>
      </c>
      <c r="E6972" s="16">
        <f>IFERROR(__xludf.DUMMYFUNCTION("""COMPUTED_VALUE"""),66.0)</f>
        <v>66</v>
      </c>
      <c r="F6972" s="19" t="str">
        <f>IFERROR(__xludf.DUMMYFUNCTION("""COMPUTED_VALUE"""),"BLACK")</f>
        <v>BLACK</v>
      </c>
      <c r="G6972" s="20" t="str">
        <f>IFERROR(__xludf.DUMMYFUNCTION("""COMPUTED_VALUE"""),"Uncle Sams Cider (04/04/2023)")</f>
        <v>Uncle Sams Cider (04/04/2023)</v>
      </c>
      <c r="H6972" s="19"/>
    </row>
    <row r="6973">
      <c r="A6973" s="9"/>
      <c r="B6973" s="15"/>
      <c r="C6973" s="9">
        <f>IFERROR(__xludf.DUMMYFUNCTION("""COMPUTED_VALUE"""),45071.1467746875)</f>
        <v>45071.14677</v>
      </c>
      <c r="D6973" s="15">
        <f>IFERROR(__xludf.DUMMYFUNCTION("""COMPUTED_VALUE"""),1.012)</f>
        <v>1.012</v>
      </c>
      <c r="E6973" s="16">
        <f>IFERROR(__xludf.DUMMYFUNCTION("""COMPUTED_VALUE"""),66.0)</f>
        <v>66</v>
      </c>
      <c r="F6973" s="19" t="str">
        <f>IFERROR(__xludf.DUMMYFUNCTION("""COMPUTED_VALUE"""),"BLACK")</f>
        <v>BLACK</v>
      </c>
      <c r="G6973" s="20" t="str">
        <f>IFERROR(__xludf.DUMMYFUNCTION("""COMPUTED_VALUE"""),"Uncle Sams Cider (04/04/2023)")</f>
        <v>Uncle Sams Cider (04/04/2023)</v>
      </c>
      <c r="H6973" s="19"/>
    </row>
    <row r="6974">
      <c r="A6974" s="9"/>
      <c r="B6974" s="15"/>
      <c r="C6974" s="9">
        <f>IFERROR(__xludf.DUMMYFUNCTION("""COMPUTED_VALUE"""),45071.136351875)</f>
        <v>45071.13635</v>
      </c>
      <c r="D6974" s="15">
        <f>IFERROR(__xludf.DUMMYFUNCTION("""COMPUTED_VALUE"""),1.012)</f>
        <v>1.012</v>
      </c>
      <c r="E6974" s="16">
        <f>IFERROR(__xludf.DUMMYFUNCTION("""COMPUTED_VALUE"""),66.0)</f>
        <v>66</v>
      </c>
      <c r="F6974" s="19" t="str">
        <f>IFERROR(__xludf.DUMMYFUNCTION("""COMPUTED_VALUE"""),"BLACK")</f>
        <v>BLACK</v>
      </c>
      <c r="G6974" s="20" t="str">
        <f>IFERROR(__xludf.DUMMYFUNCTION("""COMPUTED_VALUE"""),"Uncle Sams Cider (04/04/2023)")</f>
        <v>Uncle Sams Cider (04/04/2023)</v>
      </c>
      <c r="H6974" s="19"/>
    </row>
    <row r="6975">
      <c r="A6975" s="9"/>
      <c r="B6975" s="15"/>
      <c r="C6975" s="9">
        <f>IFERROR(__xludf.DUMMYFUNCTION("""COMPUTED_VALUE"""),45071.1259291666)</f>
        <v>45071.12593</v>
      </c>
      <c r="D6975" s="15">
        <f>IFERROR(__xludf.DUMMYFUNCTION("""COMPUTED_VALUE"""),1.011)</f>
        <v>1.011</v>
      </c>
      <c r="E6975" s="16">
        <f>IFERROR(__xludf.DUMMYFUNCTION("""COMPUTED_VALUE"""),66.0)</f>
        <v>66</v>
      </c>
      <c r="F6975" s="19" t="str">
        <f>IFERROR(__xludf.DUMMYFUNCTION("""COMPUTED_VALUE"""),"BLACK")</f>
        <v>BLACK</v>
      </c>
      <c r="G6975" s="20" t="str">
        <f>IFERROR(__xludf.DUMMYFUNCTION("""COMPUTED_VALUE"""),"Uncle Sams Cider (04/04/2023)")</f>
        <v>Uncle Sams Cider (04/04/2023)</v>
      </c>
      <c r="H6975" s="19"/>
    </row>
    <row r="6976">
      <c r="A6976" s="9"/>
      <c r="B6976" s="15"/>
      <c r="C6976" s="9">
        <f>IFERROR(__xludf.DUMMYFUNCTION("""COMPUTED_VALUE"""),45071.1154959837)</f>
        <v>45071.1155</v>
      </c>
      <c r="D6976" s="15">
        <f>IFERROR(__xludf.DUMMYFUNCTION("""COMPUTED_VALUE"""),1.011)</f>
        <v>1.011</v>
      </c>
      <c r="E6976" s="16">
        <f>IFERROR(__xludf.DUMMYFUNCTION("""COMPUTED_VALUE"""),66.0)</f>
        <v>66</v>
      </c>
      <c r="F6976" s="19" t="str">
        <f>IFERROR(__xludf.DUMMYFUNCTION("""COMPUTED_VALUE"""),"BLACK")</f>
        <v>BLACK</v>
      </c>
      <c r="G6976" s="20" t="str">
        <f>IFERROR(__xludf.DUMMYFUNCTION("""COMPUTED_VALUE"""),"Uncle Sams Cider (04/04/2023)")</f>
        <v>Uncle Sams Cider (04/04/2023)</v>
      </c>
      <c r="H6976" s="19"/>
    </row>
    <row r="6977">
      <c r="A6977" s="9"/>
      <c r="B6977" s="15"/>
      <c r="C6977" s="9">
        <f>IFERROR(__xludf.DUMMYFUNCTION("""COMPUTED_VALUE"""),45071.1050734375)</f>
        <v>45071.10507</v>
      </c>
      <c r="D6977" s="15">
        <f>IFERROR(__xludf.DUMMYFUNCTION("""COMPUTED_VALUE"""),1.011)</f>
        <v>1.011</v>
      </c>
      <c r="E6977" s="16">
        <f>IFERROR(__xludf.DUMMYFUNCTION("""COMPUTED_VALUE"""),66.0)</f>
        <v>66</v>
      </c>
      <c r="F6977" s="19" t="str">
        <f>IFERROR(__xludf.DUMMYFUNCTION("""COMPUTED_VALUE"""),"BLACK")</f>
        <v>BLACK</v>
      </c>
      <c r="G6977" s="20" t="str">
        <f>IFERROR(__xludf.DUMMYFUNCTION("""COMPUTED_VALUE"""),"Uncle Sams Cider (04/04/2023)")</f>
        <v>Uncle Sams Cider (04/04/2023)</v>
      </c>
      <c r="H6977" s="19"/>
    </row>
    <row r="6978">
      <c r="A6978" s="9"/>
      <c r="B6978" s="15"/>
      <c r="C6978" s="9">
        <f>IFERROR(__xludf.DUMMYFUNCTION("""COMPUTED_VALUE"""),45071.0946530439)</f>
        <v>45071.09465</v>
      </c>
      <c r="D6978" s="15">
        <f>IFERROR(__xludf.DUMMYFUNCTION("""COMPUTED_VALUE"""),1.012)</f>
        <v>1.012</v>
      </c>
      <c r="E6978" s="16">
        <f>IFERROR(__xludf.DUMMYFUNCTION("""COMPUTED_VALUE"""),66.0)</f>
        <v>66</v>
      </c>
      <c r="F6978" s="19" t="str">
        <f>IFERROR(__xludf.DUMMYFUNCTION("""COMPUTED_VALUE"""),"BLACK")</f>
        <v>BLACK</v>
      </c>
      <c r="G6978" s="20" t="str">
        <f>IFERROR(__xludf.DUMMYFUNCTION("""COMPUTED_VALUE"""),"Uncle Sams Cider (04/04/2023)")</f>
        <v>Uncle Sams Cider (04/04/2023)</v>
      </c>
      <c r="H6978" s="19"/>
    </row>
    <row r="6979">
      <c r="A6979" s="9"/>
      <c r="B6979" s="15"/>
      <c r="C6979" s="9">
        <f>IFERROR(__xludf.DUMMYFUNCTION("""COMPUTED_VALUE"""),45071.0738097569)</f>
        <v>45071.07381</v>
      </c>
      <c r="D6979" s="15">
        <f>IFERROR(__xludf.DUMMYFUNCTION("""COMPUTED_VALUE"""),1.012)</f>
        <v>1.012</v>
      </c>
      <c r="E6979" s="16">
        <f>IFERROR(__xludf.DUMMYFUNCTION("""COMPUTED_VALUE"""),66.0)</f>
        <v>66</v>
      </c>
      <c r="F6979" s="19" t="str">
        <f>IFERROR(__xludf.DUMMYFUNCTION("""COMPUTED_VALUE"""),"BLACK")</f>
        <v>BLACK</v>
      </c>
      <c r="G6979" s="20" t="str">
        <f>IFERROR(__xludf.DUMMYFUNCTION("""COMPUTED_VALUE"""),"Uncle Sams Cider (04/04/2023)")</f>
        <v>Uncle Sams Cider (04/04/2023)</v>
      </c>
      <c r="H6979" s="19"/>
    </row>
    <row r="6980">
      <c r="A6980" s="9"/>
      <c r="B6980" s="15"/>
      <c r="C6980" s="9">
        <f>IFERROR(__xludf.DUMMYFUNCTION("""COMPUTED_VALUE"""),45071.0633901967)</f>
        <v>45071.06339</v>
      </c>
      <c r="D6980" s="15">
        <f>IFERROR(__xludf.DUMMYFUNCTION("""COMPUTED_VALUE"""),1.012)</f>
        <v>1.012</v>
      </c>
      <c r="E6980" s="16">
        <f>IFERROR(__xludf.DUMMYFUNCTION("""COMPUTED_VALUE"""),66.0)</f>
        <v>66</v>
      </c>
      <c r="F6980" s="19" t="str">
        <f>IFERROR(__xludf.DUMMYFUNCTION("""COMPUTED_VALUE"""),"BLACK")</f>
        <v>BLACK</v>
      </c>
      <c r="G6980" s="20" t="str">
        <f>IFERROR(__xludf.DUMMYFUNCTION("""COMPUTED_VALUE"""),"Uncle Sams Cider (04/04/2023)")</f>
        <v>Uncle Sams Cider (04/04/2023)</v>
      </c>
      <c r="H6980" s="19"/>
    </row>
    <row r="6981">
      <c r="A6981" s="9"/>
      <c r="B6981" s="15"/>
      <c r="C6981" s="9">
        <f>IFERROR(__xludf.DUMMYFUNCTION("""COMPUTED_VALUE"""),45071.0529695486)</f>
        <v>45071.05297</v>
      </c>
      <c r="D6981" s="15">
        <f>IFERROR(__xludf.DUMMYFUNCTION("""COMPUTED_VALUE"""),1.011)</f>
        <v>1.011</v>
      </c>
      <c r="E6981" s="16">
        <f>IFERROR(__xludf.DUMMYFUNCTION("""COMPUTED_VALUE"""),66.0)</f>
        <v>66</v>
      </c>
      <c r="F6981" s="19" t="str">
        <f>IFERROR(__xludf.DUMMYFUNCTION("""COMPUTED_VALUE"""),"BLACK")</f>
        <v>BLACK</v>
      </c>
      <c r="G6981" s="20" t="str">
        <f>IFERROR(__xludf.DUMMYFUNCTION("""COMPUTED_VALUE"""),"Uncle Sams Cider (04/04/2023)")</f>
        <v>Uncle Sams Cider (04/04/2023)</v>
      </c>
      <c r="H6981" s="19"/>
    </row>
    <row r="6982">
      <c r="A6982" s="9"/>
      <c r="B6982" s="15"/>
      <c r="C6982" s="9">
        <f>IFERROR(__xludf.DUMMYFUNCTION("""COMPUTED_VALUE"""),45071.042525949)</f>
        <v>45071.04253</v>
      </c>
      <c r="D6982" s="15">
        <f>IFERROR(__xludf.DUMMYFUNCTION("""COMPUTED_VALUE"""),1.012)</f>
        <v>1.012</v>
      </c>
      <c r="E6982" s="16">
        <f>IFERROR(__xludf.DUMMYFUNCTION("""COMPUTED_VALUE"""),66.0)</f>
        <v>66</v>
      </c>
      <c r="F6982" s="19" t="str">
        <f>IFERROR(__xludf.DUMMYFUNCTION("""COMPUTED_VALUE"""),"BLACK")</f>
        <v>BLACK</v>
      </c>
      <c r="G6982" s="20" t="str">
        <f>IFERROR(__xludf.DUMMYFUNCTION("""COMPUTED_VALUE"""),"Uncle Sams Cider (04/04/2023)")</f>
        <v>Uncle Sams Cider (04/04/2023)</v>
      </c>
      <c r="H6982" s="19"/>
    </row>
    <row r="6983">
      <c r="A6983" s="9"/>
      <c r="B6983" s="15"/>
      <c r="C6983" s="9">
        <f>IFERROR(__xludf.DUMMYFUNCTION("""COMPUTED_VALUE"""),45071.0321044444)</f>
        <v>45071.0321</v>
      </c>
      <c r="D6983" s="15">
        <f>IFERROR(__xludf.DUMMYFUNCTION("""COMPUTED_VALUE"""),1.012)</f>
        <v>1.012</v>
      </c>
      <c r="E6983" s="16">
        <f>IFERROR(__xludf.DUMMYFUNCTION("""COMPUTED_VALUE"""),66.0)</f>
        <v>66</v>
      </c>
      <c r="F6983" s="19" t="str">
        <f>IFERROR(__xludf.DUMMYFUNCTION("""COMPUTED_VALUE"""),"BLACK")</f>
        <v>BLACK</v>
      </c>
      <c r="G6983" s="20" t="str">
        <f>IFERROR(__xludf.DUMMYFUNCTION("""COMPUTED_VALUE"""),"Uncle Sams Cider (04/04/2023)")</f>
        <v>Uncle Sams Cider (04/04/2023)</v>
      </c>
      <c r="H6983" s="19"/>
    </row>
    <row r="6984">
      <c r="A6984" s="9"/>
      <c r="B6984" s="15"/>
      <c r="C6984" s="9">
        <f>IFERROR(__xludf.DUMMYFUNCTION("""COMPUTED_VALUE"""),45071.0216833796)</f>
        <v>45071.02168</v>
      </c>
      <c r="D6984" s="15">
        <f>IFERROR(__xludf.DUMMYFUNCTION("""COMPUTED_VALUE"""),1.011)</f>
        <v>1.011</v>
      </c>
      <c r="E6984" s="16">
        <f>IFERROR(__xludf.DUMMYFUNCTION("""COMPUTED_VALUE"""),66.0)</f>
        <v>66</v>
      </c>
      <c r="F6984" s="19" t="str">
        <f>IFERROR(__xludf.DUMMYFUNCTION("""COMPUTED_VALUE"""),"BLACK")</f>
        <v>BLACK</v>
      </c>
      <c r="G6984" s="20" t="str">
        <f>IFERROR(__xludf.DUMMYFUNCTION("""COMPUTED_VALUE"""),"Uncle Sams Cider (04/04/2023)")</f>
        <v>Uncle Sams Cider (04/04/2023)</v>
      </c>
      <c r="H6984" s="19"/>
    </row>
    <row r="6985">
      <c r="A6985" s="9"/>
      <c r="B6985" s="15"/>
      <c r="C6985" s="9">
        <f>IFERROR(__xludf.DUMMYFUNCTION("""COMPUTED_VALUE"""),45071.0112619676)</f>
        <v>45071.01126</v>
      </c>
      <c r="D6985" s="15">
        <f>IFERROR(__xludf.DUMMYFUNCTION("""COMPUTED_VALUE"""),1.012)</f>
        <v>1.012</v>
      </c>
      <c r="E6985" s="16">
        <f>IFERROR(__xludf.DUMMYFUNCTION("""COMPUTED_VALUE"""),66.0)</f>
        <v>66</v>
      </c>
      <c r="F6985" s="19" t="str">
        <f>IFERROR(__xludf.DUMMYFUNCTION("""COMPUTED_VALUE"""),"BLACK")</f>
        <v>BLACK</v>
      </c>
      <c r="G6985" s="20" t="str">
        <f>IFERROR(__xludf.DUMMYFUNCTION("""COMPUTED_VALUE"""),"Uncle Sams Cider (04/04/2023)")</f>
        <v>Uncle Sams Cider (04/04/2023)</v>
      </c>
      <c r="H6985" s="19"/>
    </row>
    <row r="6986">
      <c r="A6986" s="9"/>
      <c r="B6986" s="15"/>
      <c r="C6986" s="9">
        <f>IFERROR(__xludf.DUMMYFUNCTION("""COMPUTED_VALUE"""),45071.0008405208)</f>
        <v>45071.00084</v>
      </c>
      <c r="D6986" s="15">
        <f>IFERROR(__xludf.DUMMYFUNCTION("""COMPUTED_VALUE"""),1.011)</f>
        <v>1.011</v>
      </c>
      <c r="E6986" s="16">
        <f>IFERROR(__xludf.DUMMYFUNCTION("""COMPUTED_VALUE"""),66.0)</f>
        <v>66</v>
      </c>
      <c r="F6986" s="19" t="str">
        <f>IFERROR(__xludf.DUMMYFUNCTION("""COMPUTED_VALUE"""),"BLACK")</f>
        <v>BLACK</v>
      </c>
      <c r="G6986" s="20" t="str">
        <f>IFERROR(__xludf.DUMMYFUNCTION("""COMPUTED_VALUE"""),"Uncle Sams Cider (04/04/2023)")</f>
        <v>Uncle Sams Cider (04/04/2023)</v>
      </c>
      <c r="H6986" s="19"/>
    </row>
    <row r="6987">
      <c r="A6987" s="9"/>
      <c r="B6987" s="15"/>
      <c r="C6987" s="9">
        <f>IFERROR(__xludf.DUMMYFUNCTION("""COMPUTED_VALUE"""),45070.9904202546)</f>
        <v>45070.99042</v>
      </c>
      <c r="D6987" s="15">
        <f>IFERROR(__xludf.DUMMYFUNCTION("""COMPUTED_VALUE"""),1.011)</f>
        <v>1.011</v>
      </c>
      <c r="E6987" s="16">
        <f>IFERROR(__xludf.DUMMYFUNCTION("""COMPUTED_VALUE"""),66.0)</f>
        <v>66</v>
      </c>
      <c r="F6987" s="19" t="str">
        <f>IFERROR(__xludf.DUMMYFUNCTION("""COMPUTED_VALUE"""),"BLACK")</f>
        <v>BLACK</v>
      </c>
      <c r="G6987" s="20" t="str">
        <f>IFERROR(__xludf.DUMMYFUNCTION("""COMPUTED_VALUE"""),"Uncle Sams Cider (04/04/2023)")</f>
        <v>Uncle Sams Cider (04/04/2023)</v>
      </c>
      <c r="H6987" s="19"/>
    </row>
    <row r="6988">
      <c r="A6988" s="9"/>
      <c r="B6988" s="15"/>
      <c r="C6988" s="9">
        <f>IFERROR(__xludf.DUMMYFUNCTION("""COMPUTED_VALUE"""),45070.9799963773)</f>
        <v>45070.98</v>
      </c>
      <c r="D6988" s="15">
        <f>IFERROR(__xludf.DUMMYFUNCTION("""COMPUTED_VALUE"""),1.012)</f>
        <v>1.012</v>
      </c>
      <c r="E6988" s="16">
        <f>IFERROR(__xludf.DUMMYFUNCTION("""COMPUTED_VALUE"""),66.0)</f>
        <v>66</v>
      </c>
      <c r="F6988" s="19" t="str">
        <f>IFERROR(__xludf.DUMMYFUNCTION("""COMPUTED_VALUE"""),"BLACK")</f>
        <v>BLACK</v>
      </c>
      <c r="G6988" s="20" t="str">
        <f>IFERROR(__xludf.DUMMYFUNCTION("""COMPUTED_VALUE"""),"Uncle Sams Cider (04/04/2023)")</f>
        <v>Uncle Sams Cider (04/04/2023)</v>
      </c>
      <c r="H6988" s="19"/>
    </row>
    <row r="6989">
      <c r="A6989" s="9"/>
      <c r="B6989" s="15"/>
      <c r="C6989" s="9">
        <f>IFERROR(__xludf.DUMMYFUNCTION("""COMPUTED_VALUE"""),45070.9695751504)</f>
        <v>45070.96958</v>
      </c>
      <c r="D6989" s="15">
        <f>IFERROR(__xludf.DUMMYFUNCTION("""COMPUTED_VALUE"""),1.012)</f>
        <v>1.012</v>
      </c>
      <c r="E6989" s="16">
        <f>IFERROR(__xludf.DUMMYFUNCTION("""COMPUTED_VALUE"""),66.0)</f>
        <v>66</v>
      </c>
      <c r="F6989" s="19" t="str">
        <f>IFERROR(__xludf.DUMMYFUNCTION("""COMPUTED_VALUE"""),"BLACK")</f>
        <v>BLACK</v>
      </c>
      <c r="G6989" s="20" t="str">
        <f>IFERROR(__xludf.DUMMYFUNCTION("""COMPUTED_VALUE"""),"Uncle Sams Cider (04/04/2023)")</f>
        <v>Uncle Sams Cider (04/04/2023)</v>
      </c>
      <c r="H6989" s="19"/>
    </row>
    <row r="6990">
      <c r="A6990" s="9"/>
      <c r="B6990" s="15"/>
      <c r="C6990" s="9">
        <f>IFERROR(__xludf.DUMMYFUNCTION("""COMPUTED_VALUE"""),45070.9591544212)</f>
        <v>45070.95915</v>
      </c>
      <c r="D6990" s="15">
        <f>IFERROR(__xludf.DUMMYFUNCTION("""COMPUTED_VALUE"""),1.011)</f>
        <v>1.011</v>
      </c>
      <c r="E6990" s="16">
        <f>IFERROR(__xludf.DUMMYFUNCTION("""COMPUTED_VALUE"""),66.0)</f>
        <v>66</v>
      </c>
      <c r="F6990" s="19" t="str">
        <f>IFERROR(__xludf.DUMMYFUNCTION("""COMPUTED_VALUE"""),"BLACK")</f>
        <v>BLACK</v>
      </c>
      <c r="G6990" s="20" t="str">
        <f>IFERROR(__xludf.DUMMYFUNCTION("""COMPUTED_VALUE"""),"Uncle Sams Cider (04/04/2023)")</f>
        <v>Uncle Sams Cider (04/04/2023)</v>
      </c>
      <c r="H6990" s="19"/>
    </row>
    <row r="6991">
      <c r="A6991" s="9"/>
      <c r="B6991" s="15"/>
      <c r="C6991" s="9">
        <f>IFERROR(__xludf.DUMMYFUNCTION("""COMPUTED_VALUE"""),45070.9487335648)</f>
        <v>45070.94873</v>
      </c>
      <c r="D6991" s="15">
        <f>IFERROR(__xludf.DUMMYFUNCTION("""COMPUTED_VALUE"""),1.012)</f>
        <v>1.012</v>
      </c>
      <c r="E6991" s="16">
        <f>IFERROR(__xludf.DUMMYFUNCTION("""COMPUTED_VALUE"""),66.0)</f>
        <v>66</v>
      </c>
      <c r="F6991" s="19" t="str">
        <f>IFERROR(__xludf.DUMMYFUNCTION("""COMPUTED_VALUE"""),"BLACK")</f>
        <v>BLACK</v>
      </c>
      <c r="G6991" s="20" t="str">
        <f>IFERROR(__xludf.DUMMYFUNCTION("""COMPUTED_VALUE"""),"Uncle Sams Cider (04/04/2023)")</f>
        <v>Uncle Sams Cider (04/04/2023)</v>
      </c>
      <c r="H6991" s="19"/>
    </row>
    <row r="6992">
      <c r="A6992" s="9"/>
      <c r="B6992" s="15"/>
      <c r="C6992" s="9">
        <f>IFERROR(__xludf.DUMMYFUNCTION("""COMPUTED_VALUE"""),45070.9383120949)</f>
        <v>45070.93831</v>
      </c>
      <c r="D6992" s="15">
        <f>IFERROR(__xludf.DUMMYFUNCTION("""COMPUTED_VALUE"""),1.012)</f>
        <v>1.012</v>
      </c>
      <c r="E6992" s="16">
        <f>IFERROR(__xludf.DUMMYFUNCTION("""COMPUTED_VALUE"""),66.0)</f>
        <v>66</v>
      </c>
      <c r="F6992" s="19" t="str">
        <f>IFERROR(__xludf.DUMMYFUNCTION("""COMPUTED_VALUE"""),"BLACK")</f>
        <v>BLACK</v>
      </c>
      <c r="G6992" s="20" t="str">
        <f>IFERROR(__xludf.DUMMYFUNCTION("""COMPUTED_VALUE"""),"Uncle Sams Cider (04/04/2023)")</f>
        <v>Uncle Sams Cider (04/04/2023)</v>
      </c>
      <c r="H6992" s="19"/>
    </row>
    <row r="6993">
      <c r="A6993" s="9"/>
      <c r="B6993" s="15"/>
      <c r="C6993" s="9">
        <f>IFERROR(__xludf.DUMMYFUNCTION("""COMPUTED_VALUE"""),45070.9278911574)</f>
        <v>45070.92789</v>
      </c>
      <c r="D6993" s="15">
        <f>IFERROR(__xludf.DUMMYFUNCTION("""COMPUTED_VALUE"""),1.012)</f>
        <v>1.012</v>
      </c>
      <c r="E6993" s="16">
        <f>IFERROR(__xludf.DUMMYFUNCTION("""COMPUTED_VALUE"""),66.0)</f>
        <v>66</v>
      </c>
      <c r="F6993" s="19" t="str">
        <f>IFERROR(__xludf.DUMMYFUNCTION("""COMPUTED_VALUE"""),"BLACK")</f>
        <v>BLACK</v>
      </c>
      <c r="G6993" s="20" t="str">
        <f>IFERROR(__xludf.DUMMYFUNCTION("""COMPUTED_VALUE"""),"Uncle Sams Cider (04/04/2023)")</f>
        <v>Uncle Sams Cider (04/04/2023)</v>
      </c>
      <c r="H6993" s="19"/>
    </row>
    <row r="6994">
      <c r="A6994" s="9"/>
      <c r="B6994" s="15"/>
      <c r="C6994" s="9">
        <f>IFERROR(__xludf.DUMMYFUNCTION("""COMPUTED_VALUE"""),45070.9174703009)</f>
        <v>45070.91747</v>
      </c>
      <c r="D6994" s="15">
        <f>IFERROR(__xludf.DUMMYFUNCTION("""COMPUTED_VALUE"""),1.011)</f>
        <v>1.011</v>
      </c>
      <c r="E6994" s="16">
        <f>IFERROR(__xludf.DUMMYFUNCTION("""COMPUTED_VALUE"""),66.0)</f>
        <v>66</v>
      </c>
      <c r="F6994" s="19" t="str">
        <f>IFERROR(__xludf.DUMMYFUNCTION("""COMPUTED_VALUE"""),"BLACK")</f>
        <v>BLACK</v>
      </c>
      <c r="G6994" s="20" t="str">
        <f>IFERROR(__xludf.DUMMYFUNCTION("""COMPUTED_VALUE"""),"Uncle Sams Cider (04/04/2023)")</f>
        <v>Uncle Sams Cider (04/04/2023)</v>
      </c>
      <c r="H6994" s="19"/>
    </row>
    <row r="6995">
      <c r="A6995" s="9"/>
      <c r="B6995" s="15"/>
      <c r="C6995" s="9">
        <f>IFERROR(__xludf.DUMMYFUNCTION("""COMPUTED_VALUE"""),45070.8966049305)</f>
        <v>45070.8966</v>
      </c>
      <c r="D6995" s="15">
        <f>IFERROR(__xludf.DUMMYFUNCTION("""COMPUTED_VALUE"""),1.012)</f>
        <v>1.012</v>
      </c>
      <c r="E6995" s="16">
        <f>IFERROR(__xludf.DUMMYFUNCTION("""COMPUTED_VALUE"""),66.0)</f>
        <v>66</v>
      </c>
      <c r="F6995" s="19" t="str">
        <f>IFERROR(__xludf.DUMMYFUNCTION("""COMPUTED_VALUE"""),"BLACK")</f>
        <v>BLACK</v>
      </c>
      <c r="G6995" s="20" t="str">
        <f>IFERROR(__xludf.DUMMYFUNCTION("""COMPUTED_VALUE"""),"Uncle Sams Cider (04/04/2023)")</f>
        <v>Uncle Sams Cider (04/04/2023)</v>
      </c>
      <c r="H6995" s="19"/>
    </row>
    <row r="6996">
      <c r="A6996" s="9"/>
      <c r="B6996" s="15"/>
      <c r="C6996" s="9">
        <f>IFERROR(__xludf.DUMMYFUNCTION("""COMPUTED_VALUE"""),45070.8861596296)</f>
        <v>45070.88616</v>
      </c>
      <c r="D6996" s="15">
        <f>IFERROR(__xludf.DUMMYFUNCTION("""COMPUTED_VALUE"""),1.012)</f>
        <v>1.012</v>
      </c>
      <c r="E6996" s="16">
        <f>IFERROR(__xludf.DUMMYFUNCTION("""COMPUTED_VALUE"""),66.0)</f>
        <v>66</v>
      </c>
      <c r="F6996" s="19" t="str">
        <f>IFERROR(__xludf.DUMMYFUNCTION("""COMPUTED_VALUE"""),"BLACK")</f>
        <v>BLACK</v>
      </c>
      <c r="G6996" s="20" t="str">
        <f>IFERROR(__xludf.DUMMYFUNCTION("""COMPUTED_VALUE"""),"Uncle Sams Cider (04/04/2023)")</f>
        <v>Uncle Sams Cider (04/04/2023)</v>
      </c>
      <c r="H6996" s="19"/>
    </row>
    <row r="6997">
      <c r="A6997" s="9"/>
      <c r="B6997" s="15"/>
      <c r="C6997" s="9">
        <f>IFERROR(__xludf.DUMMYFUNCTION("""COMPUTED_VALUE"""),45070.8757374074)</f>
        <v>45070.87574</v>
      </c>
      <c r="D6997" s="15">
        <f>IFERROR(__xludf.DUMMYFUNCTION("""COMPUTED_VALUE"""),1.011)</f>
        <v>1.011</v>
      </c>
      <c r="E6997" s="16">
        <f>IFERROR(__xludf.DUMMYFUNCTION("""COMPUTED_VALUE"""),66.0)</f>
        <v>66</v>
      </c>
      <c r="F6997" s="19" t="str">
        <f>IFERROR(__xludf.DUMMYFUNCTION("""COMPUTED_VALUE"""),"BLACK")</f>
        <v>BLACK</v>
      </c>
      <c r="G6997" s="20" t="str">
        <f>IFERROR(__xludf.DUMMYFUNCTION("""COMPUTED_VALUE"""),"Uncle Sams Cider (04/04/2023)")</f>
        <v>Uncle Sams Cider (04/04/2023)</v>
      </c>
      <c r="H6997" s="19"/>
    </row>
    <row r="6998">
      <c r="A6998" s="9"/>
      <c r="B6998" s="15"/>
      <c r="C6998" s="9">
        <f>IFERROR(__xludf.DUMMYFUNCTION("""COMPUTED_VALUE"""),45070.8653171064)</f>
        <v>45070.86532</v>
      </c>
      <c r="D6998" s="15">
        <f>IFERROR(__xludf.DUMMYFUNCTION("""COMPUTED_VALUE"""),1.012)</f>
        <v>1.012</v>
      </c>
      <c r="E6998" s="16">
        <f>IFERROR(__xludf.DUMMYFUNCTION("""COMPUTED_VALUE"""),66.0)</f>
        <v>66</v>
      </c>
      <c r="F6998" s="19" t="str">
        <f>IFERROR(__xludf.DUMMYFUNCTION("""COMPUTED_VALUE"""),"BLACK")</f>
        <v>BLACK</v>
      </c>
      <c r="G6998" s="20" t="str">
        <f>IFERROR(__xludf.DUMMYFUNCTION("""COMPUTED_VALUE"""),"Uncle Sams Cider (04/04/2023)")</f>
        <v>Uncle Sams Cider (04/04/2023)</v>
      </c>
      <c r="H6998" s="19"/>
    </row>
    <row r="6999">
      <c r="A6999" s="9"/>
      <c r="B6999" s="15"/>
      <c r="C6999" s="9">
        <f>IFERROR(__xludf.DUMMYFUNCTION("""COMPUTED_VALUE"""),45070.8548929398)</f>
        <v>45070.85489</v>
      </c>
      <c r="D6999" s="15">
        <f>IFERROR(__xludf.DUMMYFUNCTION("""COMPUTED_VALUE"""),1.012)</f>
        <v>1.012</v>
      </c>
      <c r="E6999" s="16">
        <f>IFERROR(__xludf.DUMMYFUNCTION("""COMPUTED_VALUE"""),66.0)</f>
        <v>66</v>
      </c>
      <c r="F6999" s="19" t="str">
        <f>IFERROR(__xludf.DUMMYFUNCTION("""COMPUTED_VALUE"""),"BLACK")</f>
        <v>BLACK</v>
      </c>
      <c r="G6999" s="20" t="str">
        <f>IFERROR(__xludf.DUMMYFUNCTION("""COMPUTED_VALUE"""),"Uncle Sams Cider (04/04/2023)")</f>
        <v>Uncle Sams Cider (04/04/2023)</v>
      </c>
      <c r="H6999" s="19"/>
    </row>
    <row r="7000">
      <c r="A7000" s="9"/>
      <c r="B7000" s="15"/>
      <c r="C7000" s="9">
        <f>IFERROR(__xludf.DUMMYFUNCTION("""COMPUTED_VALUE"""),45070.8444717824)</f>
        <v>45070.84447</v>
      </c>
      <c r="D7000" s="15">
        <f>IFERROR(__xludf.DUMMYFUNCTION("""COMPUTED_VALUE"""),1.012)</f>
        <v>1.012</v>
      </c>
      <c r="E7000" s="16">
        <f>IFERROR(__xludf.DUMMYFUNCTION("""COMPUTED_VALUE"""),66.0)</f>
        <v>66</v>
      </c>
      <c r="F7000" s="19" t="str">
        <f>IFERROR(__xludf.DUMMYFUNCTION("""COMPUTED_VALUE"""),"BLACK")</f>
        <v>BLACK</v>
      </c>
      <c r="G7000" s="20" t="str">
        <f>IFERROR(__xludf.DUMMYFUNCTION("""COMPUTED_VALUE"""),"Uncle Sams Cider (04/04/2023)")</f>
        <v>Uncle Sams Cider (04/04/2023)</v>
      </c>
      <c r="H7000" s="19"/>
    </row>
    <row r="7001">
      <c r="A7001" s="9"/>
      <c r="B7001" s="15"/>
      <c r="C7001" s="9">
        <f>IFERROR(__xludf.DUMMYFUNCTION("""COMPUTED_VALUE"""),45070.8340500694)</f>
        <v>45070.83405</v>
      </c>
      <c r="D7001" s="15">
        <f>IFERROR(__xludf.DUMMYFUNCTION("""COMPUTED_VALUE"""),1.012)</f>
        <v>1.012</v>
      </c>
      <c r="E7001" s="16">
        <f>IFERROR(__xludf.DUMMYFUNCTION("""COMPUTED_VALUE"""),66.0)</f>
        <v>66</v>
      </c>
      <c r="F7001" s="19" t="str">
        <f>IFERROR(__xludf.DUMMYFUNCTION("""COMPUTED_VALUE"""),"BLACK")</f>
        <v>BLACK</v>
      </c>
      <c r="G7001" s="20" t="str">
        <f>IFERROR(__xludf.DUMMYFUNCTION("""COMPUTED_VALUE"""),"Uncle Sams Cider (04/04/2023)")</f>
        <v>Uncle Sams Cider (04/04/2023)</v>
      </c>
      <c r="H7001" s="19"/>
    </row>
    <row r="7002">
      <c r="A7002" s="9"/>
      <c r="B7002" s="15"/>
      <c r="C7002" s="9">
        <f>IFERROR(__xludf.DUMMYFUNCTION("""COMPUTED_VALUE"""),45070.8236304629)</f>
        <v>45070.82363</v>
      </c>
      <c r="D7002" s="15">
        <f>IFERROR(__xludf.DUMMYFUNCTION("""COMPUTED_VALUE"""),1.011)</f>
        <v>1.011</v>
      </c>
      <c r="E7002" s="16">
        <f>IFERROR(__xludf.DUMMYFUNCTION("""COMPUTED_VALUE"""),66.0)</f>
        <v>66</v>
      </c>
      <c r="F7002" s="19" t="str">
        <f>IFERROR(__xludf.DUMMYFUNCTION("""COMPUTED_VALUE"""),"BLACK")</f>
        <v>BLACK</v>
      </c>
      <c r="G7002" s="20" t="str">
        <f>IFERROR(__xludf.DUMMYFUNCTION("""COMPUTED_VALUE"""),"Uncle Sams Cider (04/04/2023)")</f>
        <v>Uncle Sams Cider (04/04/2023)</v>
      </c>
      <c r="H7002" s="19"/>
    </row>
    <row r="7003">
      <c r="A7003" s="9"/>
      <c r="B7003" s="15"/>
      <c r="C7003" s="9">
        <f>IFERROR(__xludf.DUMMYFUNCTION("""COMPUTED_VALUE"""),45070.802790324)</f>
        <v>45070.80279</v>
      </c>
      <c r="D7003" s="15">
        <f>IFERROR(__xludf.DUMMYFUNCTION("""COMPUTED_VALUE"""),1.012)</f>
        <v>1.012</v>
      </c>
      <c r="E7003" s="16">
        <f>IFERROR(__xludf.DUMMYFUNCTION("""COMPUTED_VALUE"""),66.0)</f>
        <v>66</v>
      </c>
      <c r="F7003" s="19" t="str">
        <f>IFERROR(__xludf.DUMMYFUNCTION("""COMPUTED_VALUE"""),"BLACK")</f>
        <v>BLACK</v>
      </c>
      <c r="G7003" s="20" t="str">
        <f>IFERROR(__xludf.DUMMYFUNCTION("""COMPUTED_VALUE"""),"Uncle Sams Cider (04/04/2023)")</f>
        <v>Uncle Sams Cider (04/04/2023)</v>
      </c>
      <c r="H7003" s="19"/>
    </row>
    <row r="7004">
      <c r="A7004" s="9"/>
      <c r="B7004" s="15"/>
      <c r="C7004" s="9">
        <f>IFERROR(__xludf.DUMMYFUNCTION("""COMPUTED_VALUE"""),45070.7923700231)</f>
        <v>45070.79237</v>
      </c>
      <c r="D7004" s="15">
        <f>IFERROR(__xludf.DUMMYFUNCTION("""COMPUTED_VALUE"""),1.012)</f>
        <v>1.012</v>
      </c>
      <c r="E7004" s="16">
        <f>IFERROR(__xludf.DUMMYFUNCTION("""COMPUTED_VALUE"""),66.0)</f>
        <v>66</v>
      </c>
      <c r="F7004" s="19" t="str">
        <f>IFERROR(__xludf.DUMMYFUNCTION("""COMPUTED_VALUE"""),"BLACK")</f>
        <v>BLACK</v>
      </c>
      <c r="G7004" s="20" t="str">
        <f>IFERROR(__xludf.DUMMYFUNCTION("""COMPUTED_VALUE"""),"Uncle Sams Cider (04/04/2023)")</f>
        <v>Uncle Sams Cider (04/04/2023)</v>
      </c>
      <c r="H7004" s="19"/>
    </row>
    <row r="7005">
      <c r="A7005" s="9"/>
      <c r="B7005" s="15"/>
      <c r="C7005" s="9">
        <f>IFERROR(__xludf.DUMMYFUNCTION("""COMPUTED_VALUE"""),45070.7819481597)</f>
        <v>45070.78195</v>
      </c>
      <c r="D7005" s="15">
        <f>IFERROR(__xludf.DUMMYFUNCTION("""COMPUTED_VALUE"""),1.012)</f>
        <v>1.012</v>
      </c>
      <c r="E7005" s="16">
        <f>IFERROR(__xludf.DUMMYFUNCTION("""COMPUTED_VALUE"""),66.0)</f>
        <v>66</v>
      </c>
      <c r="F7005" s="19" t="str">
        <f>IFERROR(__xludf.DUMMYFUNCTION("""COMPUTED_VALUE"""),"BLACK")</f>
        <v>BLACK</v>
      </c>
      <c r="G7005" s="20" t="str">
        <f>IFERROR(__xludf.DUMMYFUNCTION("""COMPUTED_VALUE"""),"Uncle Sams Cider (04/04/2023)")</f>
        <v>Uncle Sams Cider (04/04/2023)</v>
      </c>
      <c r="H7005" s="19"/>
    </row>
    <row r="7006">
      <c r="A7006" s="9"/>
      <c r="B7006" s="15"/>
      <c r="C7006" s="9">
        <f>IFERROR(__xludf.DUMMYFUNCTION("""COMPUTED_VALUE"""),45070.771528206)</f>
        <v>45070.77153</v>
      </c>
      <c r="D7006" s="15">
        <f>IFERROR(__xludf.DUMMYFUNCTION("""COMPUTED_VALUE"""),1.012)</f>
        <v>1.012</v>
      </c>
      <c r="E7006" s="16">
        <f>IFERROR(__xludf.DUMMYFUNCTION("""COMPUTED_VALUE"""),66.0)</f>
        <v>66</v>
      </c>
      <c r="F7006" s="19" t="str">
        <f>IFERROR(__xludf.DUMMYFUNCTION("""COMPUTED_VALUE"""),"BLACK")</f>
        <v>BLACK</v>
      </c>
      <c r="G7006" s="20" t="str">
        <f>IFERROR(__xludf.DUMMYFUNCTION("""COMPUTED_VALUE"""),"Uncle Sams Cider (04/04/2023)")</f>
        <v>Uncle Sams Cider (04/04/2023)</v>
      </c>
      <c r="H7006" s="19"/>
    </row>
    <row r="7007">
      <c r="A7007" s="9"/>
      <c r="B7007" s="15"/>
      <c r="C7007" s="9">
        <f>IFERROR(__xludf.DUMMYFUNCTION("""COMPUTED_VALUE"""),45070.7611086111)</f>
        <v>45070.76111</v>
      </c>
      <c r="D7007" s="15">
        <f>IFERROR(__xludf.DUMMYFUNCTION("""COMPUTED_VALUE"""),1.011)</f>
        <v>1.011</v>
      </c>
      <c r="E7007" s="16">
        <f>IFERROR(__xludf.DUMMYFUNCTION("""COMPUTED_VALUE"""),66.0)</f>
        <v>66</v>
      </c>
      <c r="F7007" s="19" t="str">
        <f>IFERROR(__xludf.DUMMYFUNCTION("""COMPUTED_VALUE"""),"BLACK")</f>
        <v>BLACK</v>
      </c>
      <c r="G7007" s="20" t="str">
        <f>IFERROR(__xludf.DUMMYFUNCTION("""COMPUTED_VALUE"""),"Uncle Sams Cider (04/04/2023)")</f>
        <v>Uncle Sams Cider (04/04/2023)</v>
      </c>
      <c r="H7007" s="19"/>
    </row>
    <row r="7008">
      <c r="A7008" s="9"/>
      <c r="B7008" s="15"/>
      <c r="C7008" s="9">
        <f>IFERROR(__xludf.DUMMYFUNCTION("""COMPUTED_VALUE"""),45070.7506764814)</f>
        <v>45070.75068</v>
      </c>
      <c r="D7008" s="15">
        <f>IFERROR(__xludf.DUMMYFUNCTION("""COMPUTED_VALUE"""),1.012)</f>
        <v>1.012</v>
      </c>
      <c r="E7008" s="16">
        <f>IFERROR(__xludf.DUMMYFUNCTION("""COMPUTED_VALUE"""),66.0)</f>
        <v>66</v>
      </c>
      <c r="F7008" s="19" t="str">
        <f>IFERROR(__xludf.DUMMYFUNCTION("""COMPUTED_VALUE"""),"BLACK")</f>
        <v>BLACK</v>
      </c>
      <c r="G7008" s="20" t="str">
        <f>IFERROR(__xludf.DUMMYFUNCTION("""COMPUTED_VALUE"""),"Uncle Sams Cider (04/04/2023)")</f>
        <v>Uncle Sams Cider (04/04/2023)</v>
      </c>
      <c r="H7008" s="19"/>
    </row>
    <row r="7009">
      <c r="A7009" s="9"/>
      <c r="B7009" s="15"/>
      <c r="C7009" s="9">
        <f>IFERROR(__xludf.DUMMYFUNCTION("""COMPUTED_VALUE"""),45070.740220324)</f>
        <v>45070.74022</v>
      </c>
      <c r="D7009" s="15">
        <f>IFERROR(__xludf.DUMMYFUNCTION("""COMPUTED_VALUE"""),1.012)</f>
        <v>1.012</v>
      </c>
      <c r="E7009" s="16">
        <f>IFERROR(__xludf.DUMMYFUNCTION("""COMPUTED_VALUE"""),66.0)</f>
        <v>66</v>
      </c>
      <c r="F7009" s="19" t="str">
        <f>IFERROR(__xludf.DUMMYFUNCTION("""COMPUTED_VALUE"""),"BLACK")</f>
        <v>BLACK</v>
      </c>
      <c r="G7009" s="20" t="str">
        <f>IFERROR(__xludf.DUMMYFUNCTION("""COMPUTED_VALUE"""),"Uncle Sams Cider (04/04/2023)")</f>
        <v>Uncle Sams Cider (04/04/2023)</v>
      </c>
      <c r="H7009" s="19"/>
    </row>
    <row r="7010">
      <c r="A7010" s="9"/>
      <c r="B7010" s="15"/>
      <c r="C7010" s="9">
        <f>IFERROR(__xludf.DUMMYFUNCTION("""COMPUTED_VALUE"""),45070.7297866898)</f>
        <v>45070.72979</v>
      </c>
      <c r="D7010" s="15">
        <f>IFERROR(__xludf.DUMMYFUNCTION("""COMPUTED_VALUE"""),1.012)</f>
        <v>1.012</v>
      </c>
      <c r="E7010" s="16">
        <f>IFERROR(__xludf.DUMMYFUNCTION("""COMPUTED_VALUE"""),66.0)</f>
        <v>66</v>
      </c>
      <c r="F7010" s="19" t="str">
        <f>IFERROR(__xludf.DUMMYFUNCTION("""COMPUTED_VALUE"""),"BLACK")</f>
        <v>BLACK</v>
      </c>
      <c r="G7010" s="20" t="str">
        <f>IFERROR(__xludf.DUMMYFUNCTION("""COMPUTED_VALUE"""),"Uncle Sams Cider (04/04/2023)")</f>
        <v>Uncle Sams Cider (04/04/2023)</v>
      </c>
      <c r="H7010" s="19"/>
    </row>
    <row r="7011">
      <c r="A7011" s="9"/>
      <c r="B7011" s="15"/>
      <c r="C7011" s="9">
        <f>IFERROR(__xludf.DUMMYFUNCTION("""COMPUTED_VALUE"""),45070.7193653703)</f>
        <v>45070.71937</v>
      </c>
      <c r="D7011" s="15">
        <f>IFERROR(__xludf.DUMMYFUNCTION("""COMPUTED_VALUE"""),1.012)</f>
        <v>1.012</v>
      </c>
      <c r="E7011" s="16">
        <f>IFERROR(__xludf.DUMMYFUNCTION("""COMPUTED_VALUE"""),66.0)</f>
        <v>66</v>
      </c>
      <c r="F7011" s="19" t="str">
        <f>IFERROR(__xludf.DUMMYFUNCTION("""COMPUTED_VALUE"""),"BLACK")</f>
        <v>BLACK</v>
      </c>
      <c r="G7011" s="20" t="str">
        <f>IFERROR(__xludf.DUMMYFUNCTION("""COMPUTED_VALUE"""),"Uncle Sams Cider (04/04/2023)")</f>
        <v>Uncle Sams Cider (04/04/2023)</v>
      </c>
      <c r="H7011" s="19"/>
    </row>
    <row r="7012">
      <c r="A7012" s="9"/>
      <c r="B7012" s="15"/>
      <c r="C7012" s="9">
        <f>IFERROR(__xludf.DUMMYFUNCTION("""COMPUTED_VALUE"""),45070.7089466435)</f>
        <v>45070.70895</v>
      </c>
      <c r="D7012" s="15">
        <f>IFERROR(__xludf.DUMMYFUNCTION("""COMPUTED_VALUE"""),1.012)</f>
        <v>1.012</v>
      </c>
      <c r="E7012" s="16">
        <f>IFERROR(__xludf.DUMMYFUNCTION("""COMPUTED_VALUE"""),66.0)</f>
        <v>66</v>
      </c>
      <c r="F7012" s="19" t="str">
        <f>IFERROR(__xludf.DUMMYFUNCTION("""COMPUTED_VALUE"""),"BLACK")</f>
        <v>BLACK</v>
      </c>
      <c r="G7012" s="20" t="str">
        <f>IFERROR(__xludf.DUMMYFUNCTION("""COMPUTED_VALUE"""),"Uncle Sams Cider (04/04/2023)")</f>
        <v>Uncle Sams Cider (04/04/2023)</v>
      </c>
      <c r="H7012" s="19"/>
    </row>
    <row r="7013">
      <c r="A7013" s="9"/>
      <c r="B7013" s="15"/>
      <c r="C7013" s="9">
        <f>IFERROR(__xludf.DUMMYFUNCTION("""COMPUTED_VALUE"""),45070.6985264699)</f>
        <v>45070.69853</v>
      </c>
      <c r="D7013" s="15">
        <f>IFERROR(__xludf.DUMMYFUNCTION("""COMPUTED_VALUE"""),1.012)</f>
        <v>1.012</v>
      </c>
      <c r="E7013" s="16">
        <f>IFERROR(__xludf.DUMMYFUNCTION("""COMPUTED_VALUE"""),66.0)</f>
        <v>66</v>
      </c>
      <c r="F7013" s="19" t="str">
        <f>IFERROR(__xludf.DUMMYFUNCTION("""COMPUTED_VALUE"""),"BLACK")</f>
        <v>BLACK</v>
      </c>
      <c r="G7013" s="20" t="str">
        <f>IFERROR(__xludf.DUMMYFUNCTION("""COMPUTED_VALUE"""),"Uncle Sams Cider (04/04/2023)")</f>
        <v>Uncle Sams Cider (04/04/2023)</v>
      </c>
      <c r="H7013" s="19"/>
    </row>
    <row r="7014">
      <c r="A7014" s="9"/>
      <c r="B7014" s="15"/>
      <c r="C7014" s="9">
        <f>IFERROR(__xludf.DUMMYFUNCTION("""COMPUTED_VALUE"""),45070.6881052083)</f>
        <v>45070.68811</v>
      </c>
      <c r="D7014" s="15">
        <f>IFERROR(__xludf.DUMMYFUNCTION("""COMPUTED_VALUE"""),1.011)</f>
        <v>1.011</v>
      </c>
      <c r="E7014" s="16">
        <f>IFERROR(__xludf.DUMMYFUNCTION("""COMPUTED_VALUE"""),66.0)</f>
        <v>66</v>
      </c>
      <c r="F7014" s="19" t="str">
        <f>IFERROR(__xludf.DUMMYFUNCTION("""COMPUTED_VALUE"""),"BLACK")</f>
        <v>BLACK</v>
      </c>
      <c r="G7014" s="20" t="str">
        <f>IFERROR(__xludf.DUMMYFUNCTION("""COMPUTED_VALUE"""),"Uncle Sams Cider (04/04/2023)")</f>
        <v>Uncle Sams Cider (04/04/2023)</v>
      </c>
      <c r="H7014" s="19"/>
    </row>
    <row r="7015">
      <c r="A7015" s="9"/>
      <c r="B7015" s="15"/>
      <c r="C7015" s="9">
        <f>IFERROR(__xludf.DUMMYFUNCTION("""COMPUTED_VALUE"""),45070.6776826967)</f>
        <v>45070.67768</v>
      </c>
      <c r="D7015" s="15">
        <f>IFERROR(__xludf.DUMMYFUNCTION("""COMPUTED_VALUE"""),1.012)</f>
        <v>1.012</v>
      </c>
      <c r="E7015" s="16">
        <f>IFERROR(__xludf.DUMMYFUNCTION("""COMPUTED_VALUE"""),66.0)</f>
        <v>66</v>
      </c>
      <c r="F7015" s="19" t="str">
        <f>IFERROR(__xludf.DUMMYFUNCTION("""COMPUTED_VALUE"""),"BLACK")</f>
        <v>BLACK</v>
      </c>
      <c r="G7015" s="20" t="str">
        <f>IFERROR(__xludf.DUMMYFUNCTION("""COMPUTED_VALUE"""),"Uncle Sams Cider (04/04/2023)")</f>
        <v>Uncle Sams Cider (04/04/2023)</v>
      </c>
      <c r="H7015" s="19"/>
    </row>
    <row r="7016">
      <c r="A7016" s="9"/>
      <c r="B7016" s="15"/>
      <c r="C7016" s="9">
        <f>IFERROR(__xludf.DUMMYFUNCTION("""COMPUTED_VALUE"""),45070.6672514004)</f>
        <v>45070.66725</v>
      </c>
      <c r="D7016" s="15">
        <f>IFERROR(__xludf.DUMMYFUNCTION("""COMPUTED_VALUE"""),1.011)</f>
        <v>1.011</v>
      </c>
      <c r="E7016" s="16">
        <f>IFERROR(__xludf.DUMMYFUNCTION("""COMPUTED_VALUE"""),66.0)</f>
        <v>66</v>
      </c>
      <c r="F7016" s="19" t="str">
        <f>IFERROR(__xludf.DUMMYFUNCTION("""COMPUTED_VALUE"""),"BLACK")</f>
        <v>BLACK</v>
      </c>
      <c r="G7016" s="20" t="str">
        <f>IFERROR(__xludf.DUMMYFUNCTION("""COMPUTED_VALUE"""),"Uncle Sams Cider (04/04/2023)")</f>
        <v>Uncle Sams Cider (04/04/2023)</v>
      </c>
      <c r="H7016" s="19"/>
    </row>
    <row r="7017">
      <c r="A7017" s="9"/>
      <c r="B7017" s="15"/>
      <c r="C7017" s="9">
        <f>IFERROR(__xludf.DUMMYFUNCTION("""COMPUTED_VALUE"""),45070.65683103)</f>
        <v>45070.65683</v>
      </c>
      <c r="D7017" s="15">
        <f>IFERROR(__xludf.DUMMYFUNCTION("""COMPUTED_VALUE"""),1.012)</f>
        <v>1.012</v>
      </c>
      <c r="E7017" s="16">
        <f>IFERROR(__xludf.DUMMYFUNCTION("""COMPUTED_VALUE"""),66.0)</f>
        <v>66</v>
      </c>
      <c r="F7017" s="19" t="str">
        <f>IFERROR(__xludf.DUMMYFUNCTION("""COMPUTED_VALUE"""),"BLACK")</f>
        <v>BLACK</v>
      </c>
      <c r="G7017" s="20" t="str">
        <f>IFERROR(__xludf.DUMMYFUNCTION("""COMPUTED_VALUE"""),"Uncle Sams Cider (04/04/2023)")</f>
        <v>Uncle Sams Cider (04/04/2023)</v>
      </c>
      <c r="H7017" s="19"/>
    </row>
    <row r="7018">
      <c r="A7018" s="9"/>
      <c r="B7018" s="15"/>
      <c r="C7018" s="9">
        <f>IFERROR(__xludf.DUMMYFUNCTION("""COMPUTED_VALUE"""),45070.6463974652)</f>
        <v>45070.6464</v>
      </c>
      <c r="D7018" s="15">
        <f>IFERROR(__xludf.DUMMYFUNCTION("""COMPUTED_VALUE"""),1.012)</f>
        <v>1.012</v>
      </c>
      <c r="E7018" s="16">
        <f>IFERROR(__xludf.DUMMYFUNCTION("""COMPUTED_VALUE"""),66.0)</f>
        <v>66</v>
      </c>
      <c r="F7018" s="19" t="str">
        <f>IFERROR(__xludf.DUMMYFUNCTION("""COMPUTED_VALUE"""),"BLACK")</f>
        <v>BLACK</v>
      </c>
      <c r="G7018" s="20" t="str">
        <f>IFERROR(__xludf.DUMMYFUNCTION("""COMPUTED_VALUE"""),"Uncle Sams Cider (04/04/2023)")</f>
        <v>Uncle Sams Cider (04/04/2023)</v>
      </c>
      <c r="H7018" s="19"/>
    </row>
    <row r="7019">
      <c r="A7019" s="9"/>
      <c r="B7019" s="15"/>
      <c r="C7019" s="9">
        <f>IFERROR(__xludf.DUMMYFUNCTION("""COMPUTED_VALUE"""),45070.6359772338)</f>
        <v>45070.63598</v>
      </c>
      <c r="D7019" s="15">
        <f>IFERROR(__xludf.DUMMYFUNCTION("""COMPUTED_VALUE"""),1.012)</f>
        <v>1.012</v>
      </c>
      <c r="E7019" s="16">
        <f>IFERROR(__xludf.DUMMYFUNCTION("""COMPUTED_VALUE"""),66.0)</f>
        <v>66</v>
      </c>
      <c r="F7019" s="19" t="str">
        <f>IFERROR(__xludf.DUMMYFUNCTION("""COMPUTED_VALUE"""),"BLACK")</f>
        <v>BLACK</v>
      </c>
      <c r="G7019" s="20" t="str">
        <f>IFERROR(__xludf.DUMMYFUNCTION("""COMPUTED_VALUE"""),"Uncle Sams Cider (04/04/2023)")</f>
        <v>Uncle Sams Cider (04/04/2023)</v>
      </c>
      <c r="H7019" s="19"/>
    </row>
    <row r="7020">
      <c r="A7020" s="9"/>
      <c r="B7020" s="15"/>
      <c r="C7020" s="9">
        <f>IFERROR(__xludf.DUMMYFUNCTION("""COMPUTED_VALUE"""),45070.6151359838)</f>
        <v>45070.61514</v>
      </c>
      <c r="D7020" s="15">
        <f>IFERROR(__xludf.DUMMYFUNCTION("""COMPUTED_VALUE"""),1.012)</f>
        <v>1.012</v>
      </c>
      <c r="E7020" s="16">
        <f>IFERROR(__xludf.DUMMYFUNCTION("""COMPUTED_VALUE"""),66.0)</f>
        <v>66</v>
      </c>
      <c r="F7020" s="19" t="str">
        <f>IFERROR(__xludf.DUMMYFUNCTION("""COMPUTED_VALUE"""),"BLACK")</f>
        <v>BLACK</v>
      </c>
      <c r="G7020" s="20" t="str">
        <f>IFERROR(__xludf.DUMMYFUNCTION("""COMPUTED_VALUE"""),"Uncle Sams Cider (04/04/2023)")</f>
        <v>Uncle Sams Cider (04/04/2023)</v>
      </c>
      <c r="H7020" s="19"/>
    </row>
    <row r="7021">
      <c r="A7021" s="9"/>
      <c r="B7021" s="15"/>
      <c r="C7021" s="9">
        <f>IFERROR(__xludf.DUMMYFUNCTION("""COMPUTED_VALUE"""),45070.6047158912)</f>
        <v>45070.60472</v>
      </c>
      <c r="D7021" s="15">
        <f>IFERROR(__xludf.DUMMYFUNCTION("""COMPUTED_VALUE"""),1.012)</f>
        <v>1.012</v>
      </c>
      <c r="E7021" s="16">
        <f>IFERROR(__xludf.DUMMYFUNCTION("""COMPUTED_VALUE"""),66.0)</f>
        <v>66</v>
      </c>
      <c r="F7021" s="19" t="str">
        <f>IFERROR(__xludf.DUMMYFUNCTION("""COMPUTED_VALUE"""),"BLACK")</f>
        <v>BLACK</v>
      </c>
      <c r="G7021" s="20" t="str">
        <f>IFERROR(__xludf.DUMMYFUNCTION("""COMPUTED_VALUE"""),"Uncle Sams Cider (04/04/2023)")</f>
        <v>Uncle Sams Cider (04/04/2023)</v>
      </c>
      <c r="H7021" s="19"/>
    </row>
    <row r="7022">
      <c r="A7022" s="9"/>
      <c r="B7022" s="15"/>
      <c r="C7022" s="9">
        <f>IFERROR(__xludf.DUMMYFUNCTION("""COMPUTED_VALUE"""),45070.5942950578)</f>
        <v>45070.5943</v>
      </c>
      <c r="D7022" s="15">
        <f>IFERROR(__xludf.DUMMYFUNCTION("""COMPUTED_VALUE"""),1.012)</f>
        <v>1.012</v>
      </c>
      <c r="E7022" s="16">
        <f>IFERROR(__xludf.DUMMYFUNCTION("""COMPUTED_VALUE"""),66.0)</f>
        <v>66</v>
      </c>
      <c r="F7022" s="19" t="str">
        <f>IFERROR(__xludf.DUMMYFUNCTION("""COMPUTED_VALUE"""),"BLACK")</f>
        <v>BLACK</v>
      </c>
      <c r="G7022" s="20" t="str">
        <f>IFERROR(__xludf.DUMMYFUNCTION("""COMPUTED_VALUE"""),"Uncle Sams Cider (04/04/2023)")</f>
        <v>Uncle Sams Cider (04/04/2023)</v>
      </c>
      <c r="H7022" s="19"/>
    </row>
    <row r="7023">
      <c r="A7023" s="9"/>
      <c r="B7023" s="15"/>
      <c r="C7023" s="9">
        <f>IFERROR(__xludf.DUMMYFUNCTION("""COMPUTED_VALUE"""),45070.5838737731)</f>
        <v>45070.58387</v>
      </c>
      <c r="D7023" s="15">
        <f>IFERROR(__xludf.DUMMYFUNCTION("""COMPUTED_VALUE"""),1.012)</f>
        <v>1.012</v>
      </c>
      <c r="E7023" s="16">
        <f>IFERROR(__xludf.DUMMYFUNCTION("""COMPUTED_VALUE"""),66.0)</f>
        <v>66</v>
      </c>
      <c r="F7023" s="19" t="str">
        <f>IFERROR(__xludf.DUMMYFUNCTION("""COMPUTED_VALUE"""),"BLACK")</f>
        <v>BLACK</v>
      </c>
      <c r="G7023" s="20" t="str">
        <f>IFERROR(__xludf.DUMMYFUNCTION("""COMPUTED_VALUE"""),"Uncle Sams Cider (04/04/2023)")</f>
        <v>Uncle Sams Cider (04/04/2023)</v>
      </c>
      <c r="H7023" s="19"/>
    </row>
    <row r="7024">
      <c r="A7024" s="9"/>
      <c r="B7024" s="15"/>
      <c r="C7024" s="9">
        <f>IFERROR(__xludf.DUMMYFUNCTION("""COMPUTED_VALUE"""),45070.5734531713)</f>
        <v>45070.57345</v>
      </c>
      <c r="D7024" s="15">
        <f>IFERROR(__xludf.DUMMYFUNCTION("""COMPUTED_VALUE"""),1.012)</f>
        <v>1.012</v>
      </c>
      <c r="E7024" s="16">
        <f>IFERROR(__xludf.DUMMYFUNCTION("""COMPUTED_VALUE"""),66.0)</f>
        <v>66</v>
      </c>
      <c r="F7024" s="19" t="str">
        <f>IFERROR(__xludf.DUMMYFUNCTION("""COMPUTED_VALUE"""),"BLACK")</f>
        <v>BLACK</v>
      </c>
      <c r="G7024" s="20" t="str">
        <f>IFERROR(__xludf.DUMMYFUNCTION("""COMPUTED_VALUE"""),"Uncle Sams Cider (04/04/2023)")</f>
        <v>Uncle Sams Cider (04/04/2023)</v>
      </c>
      <c r="H7024" s="19"/>
    </row>
    <row r="7025">
      <c r="A7025" s="9"/>
      <c r="B7025" s="15"/>
      <c r="C7025" s="9">
        <f>IFERROR(__xludf.DUMMYFUNCTION("""COMPUTED_VALUE"""),45070.5630324421)</f>
        <v>45070.56303</v>
      </c>
      <c r="D7025" s="15">
        <f>IFERROR(__xludf.DUMMYFUNCTION("""COMPUTED_VALUE"""),1.012)</f>
        <v>1.012</v>
      </c>
      <c r="E7025" s="16">
        <f>IFERROR(__xludf.DUMMYFUNCTION("""COMPUTED_VALUE"""),66.0)</f>
        <v>66</v>
      </c>
      <c r="F7025" s="19" t="str">
        <f>IFERROR(__xludf.DUMMYFUNCTION("""COMPUTED_VALUE"""),"BLACK")</f>
        <v>BLACK</v>
      </c>
      <c r="G7025" s="20" t="str">
        <f>IFERROR(__xludf.DUMMYFUNCTION("""COMPUTED_VALUE"""),"Uncle Sams Cider (04/04/2023)")</f>
        <v>Uncle Sams Cider (04/04/2023)</v>
      </c>
      <c r="H7025" s="19"/>
    </row>
    <row r="7026">
      <c r="A7026" s="9"/>
      <c r="B7026" s="15"/>
      <c r="C7026" s="9">
        <f>IFERROR(__xludf.DUMMYFUNCTION("""COMPUTED_VALUE"""),45070.5525998148)</f>
        <v>45070.5526</v>
      </c>
      <c r="D7026" s="15">
        <f>IFERROR(__xludf.DUMMYFUNCTION("""COMPUTED_VALUE"""),1.012)</f>
        <v>1.012</v>
      </c>
      <c r="E7026" s="16">
        <f>IFERROR(__xludf.DUMMYFUNCTION("""COMPUTED_VALUE"""),66.0)</f>
        <v>66</v>
      </c>
      <c r="F7026" s="19" t="str">
        <f>IFERROR(__xludf.DUMMYFUNCTION("""COMPUTED_VALUE"""),"BLACK")</f>
        <v>BLACK</v>
      </c>
      <c r="G7026" s="20" t="str">
        <f>IFERROR(__xludf.DUMMYFUNCTION("""COMPUTED_VALUE"""),"Uncle Sams Cider (04/04/2023)")</f>
        <v>Uncle Sams Cider (04/04/2023)</v>
      </c>
      <c r="H7026" s="19"/>
    </row>
    <row r="7027">
      <c r="A7027" s="9"/>
      <c r="B7027" s="15"/>
      <c r="C7027" s="9">
        <f>IFERROR(__xludf.DUMMYFUNCTION("""COMPUTED_VALUE"""),45070.5421546064)</f>
        <v>45070.54215</v>
      </c>
      <c r="D7027" s="15">
        <f>IFERROR(__xludf.DUMMYFUNCTION("""COMPUTED_VALUE"""),1.012)</f>
        <v>1.012</v>
      </c>
      <c r="E7027" s="16">
        <f>IFERROR(__xludf.DUMMYFUNCTION("""COMPUTED_VALUE"""),66.0)</f>
        <v>66</v>
      </c>
      <c r="F7027" s="19" t="str">
        <f>IFERROR(__xludf.DUMMYFUNCTION("""COMPUTED_VALUE"""),"BLACK")</f>
        <v>BLACK</v>
      </c>
      <c r="G7027" s="20" t="str">
        <f>IFERROR(__xludf.DUMMYFUNCTION("""COMPUTED_VALUE"""),"Uncle Sams Cider (04/04/2023)")</f>
        <v>Uncle Sams Cider (04/04/2023)</v>
      </c>
      <c r="H7027" s="19"/>
    </row>
    <row r="7028">
      <c r="A7028" s="9"/>
      <c r="B7028" s="15"/>
      <c r="C7028" s="9">
        <f>IFERROR(__xludf.DUMMYFUNCTION("""COMPUTED_VALUE"""),45070.5317331018)</f>
        <v>45070.53173</v>
      </c>
      <c r="D7028" s="15">
        <f>IFERROR(__xludf.DUMMYFUNCTION("""COMPUTED_VALUE"""),1.012)</f>
        <v>1.012</v>
      </c>
      <c r="E7028" s="16">
        <f>IFERROR(__xludf.DUMMYFUNCTION("""COMPUTED_VALUE"""),66.0)</f>
        <v>66</v>
      </c>
      <c r="F7028" s="19" t="str">
        <f>IFERROR(__xludf.DUMMYFUNCTION("""COMPUTED_VALUE"""),"BLACK")</f>
        <v>BLACK</v>
      </c>
      <c r="G7028" s="20" t="str">
        <f>IFERROR(__xludf.DUMMYFUNCTION("""COMPUTED_VALUE"""),"Uncle Sams Cider (04/04/2023)")</f>
        <v>Uncle Sams Cider (04/04/2023)</v>
      </c>
      <c r="H7028" s="19"/>
    </row>
    <row r="7029">
      <c r="A7029" s="9"/>
      <c r="B7029" s="15"/>
      <c r="C7029" s="9">
        <f>IFERROR(__xludf.DUMMYFUNCTION("""COMPUTED_VALUE"""),45070.5213117129)</f>
        <v>45070.52131</v>
      </c>
      <c r="D7029" s="15">
        <f>IFERROR(__xludf.DUMMYFUNCTION("""COMPUTED_VALUE"""),1.012)</f>
        <v>1.012</v>
      </c>
      <c r="E7029" s="16">
        <f>IFERROR(__xludf.DUMMYFUNCTION("""COMPUTED_VALUE"""),66.0)</f>
        <v>66</v>
      </c>
      <c r="F7029" s="19" t="str">
        <f>IFERROR(__xludf.DUMMYFUNCTION("""COMPUTED_VALUE"""),"BLACK")</f>
        <v>BLACK</v>
      </c>
      <c r="G7029" s="20" t="str">
        <f>IFERROR(__xludf.DUMMYFUNCTION("""COMPUTED_VALUE"""),"Uncle Sams Cider (04/04/2023)")</f>
        <v>Uncle Sams Cider (04/04/2023)</v>
      </c>
      <c r="H7029" s="19"/>
    </row>
    <row r="7030">
      <c r="A7030" s="9"/>
      <c r="B7030" s="15"/>
      <c r="C7030" s="9">
        <f>IFERROR(__xludf.DUMMYFUNCTION("""COMPUTED_VALUE"""),45070.5108907986)</f>
        <v>45070.51089</v>
      </c>
      <c r="D7030" s="15">
        <f>IFERROR(__xludf.DUMMYFUNCTION("""COMPUTED_VALUE"""),1.012)</f>
        <v>1.012</v>
      </c>
      <c r="E7030" s="16">
        <f>IFERROR(__xludf.DUMMYFUNCTION("""COMPUTED_VALUE"""),66.0)</f>
        <v>66</v>
      </c>
      <c r="F7030" s="19" t="str">
        <f>IFERROR(__xludf.DUMMYFUNCTION("""COMPUTED_VALUE"""),"BLACK")</f>
        <v>BLACK</v>
      </c>
      <c r="G7030" s="20" t="str">
        <f>IFERROR(__xludf.DUMMYFUNCTION("""COMPUTED_VALUE"""),"Uncle Sams Cider (04/04/2023)")</f>
        <v>Uncle Sams Cider (04/04/2023)</v>
      </c>
      <c r="H7030" s="19"/>
    </row>
    <row r="7031">
      <c r="A7031" s="9"/>
      <c r="B7031" s="15"/>
      <c r="C7031" s="9">
        <f>IFERROR(__xludf.DUMMYFUNCTION("""COMPUTED_VALUE"""),45070.5004475231)</f>
        <v>45070.50045</v>
      </c>
      <c r="D7031" s="15">
        <f>IFERROR(__xludf.DUMMYFUNCTION("""COMPUTED_VALUE"""),1.012)</f>
        <v>1.012</v>
      </c>
      <c r="E7031" s="16">
        <f>IFERROR(__xludf.DUMMYFUNCTION("""COMPUTED_VALUE"""),66.0)</f>
        <v>66</v>
      </c>
      <c r="F7031" s="19" t="str">
        <f>IFERROR(__xludf.DUMMYFUNCTION("""COMPUTED_VALUE"""),"BLACK")</f>
        <v>BLACK</v>
      </c>
      <c r="G7031" s="20" t="str">
        <f>IFERROR(__xludf.DUMMYFUNCTION("""COMPUTED_VALUE"""),"Uncle Sams Cider (04/04/2023)")</f>
        <v>Uncle Sams Cider (04/04/2023)</v>
      </c>
      <c r="H7031" s="19"/>
    </row>
    <row r="7032">
      <c r="A7032" s="9"/>
      <c r="B7032" s="15"/>
      <c r="C7032" s="9">
        <f>IFERROR(__xludf.DUMMYFUNCTION("""COMPUTED_VALUE"""),45070.4899915509)</f>
        <v>45070.48999</v>
      </c>
      <c r="D7032" s="15">
        <f>IFERROR(__xludf.DUMMYFUNCTION("""COMPUTED_VALUE"""),1.012)</f>
        <v>1.012</v>
      </c>
      <c r="E7032" s="16">
        <f>IFERROR(__xludf.DUMMYFUNCTION("""COMPUTED_VALUE"""),66.0)</f>
        <v>66</v>
      </c>
      <c r="F7032" s="19" t="str">
        <f>IFERROR(__xludf.DUMMYFUNCTION("""COMPUTED_VALUE"""),"BLACK")</f>
        <v>BLACK</v>
      </c>
      <c r="G7032" s="20" t="str">
        <f>IFERROR(__xludf.DUMMYFUNCTION("""COMPUTED_VALUE"""),"Uncle Sams Cider (04/04/2023)")</f>
        <v>Uncle Sams Cider (04/04/2023)</v>
      </c>
      <c r="H7032" s="19"/>
    </row>
    <row r="7033">
      <c r="A7033" s="9"/>
      <c r="B7033" s="15"/>
      <c r="C7033" s="9">
        <f>IFERROR(__xludf.DUMMYFUNCTION("""COMPUTED_VALUE"""),45070.4795581713)</f>
        <v>45070.47956</v>
      </c>
      <c r="D7033" s="15">
        <f>IFERROR(__xludf.DUMMYFUNCTION("""COMPUTED_VALUE"""),1.012)</f>
        <v>1.012</v>
      </c>
      <c r="E7033" s="16">
        <f>IFERROR(__xludf.DUMMYFUNCTION("""COMPUTED_VALUE"""),66.0)</f>
        <v>66</v>
      </c>
      <c r="F7033" s="19" t="str">
        <f>IFERROR(__xludf.DUMMYFUNCTION("""COMPUTED_VALUE"""),"BLACK")</f>
        <v>BLACK</v>
      </c>
      <c r="G7033" s="20" t="str">
        <f>IFERROR(__xludf.DUMMYFUNCTION("""COMPUTED_VALUE"""),"Uncle Sams Cider (04/04/2023)")</f>
        <v>Uncle Sams Cider (04/04/2023)</v>
      </c>
      <c r="H7033" s="19"/>
    </row>
    <row r="7034">
      <c r="A7034" s="9"/>
      <c r="B7034" s="15"/>
      <c r="C7034" s="9">
        <f>IFERROR(__xludf.DUMMYFUNCTION("""COMPUTED_VALUE"""),45070.4691369907)</f>
        <v>45070.46914</v>
      </c>
      <c r="D7034" s="15">
        <f>IFERROR(__xludf.DUMMYFUNCTION("""COMPUTED_VALUE"""),1.011)</f>
        <v>1.011</v>
      </c>
      <c r="E7034" s="16">
        <f>IFERROR(__xludf.DUMMYFUNCTION("""COMPUTED_VALUE"""),66.0)</f>
        <v>66</v>
      </c>
      <c r="F7034" s="19" t="str">
        <f>IFERROR(__xludf.DUMMYFUNCTION("""COMPUTED_VALUE"""),"BLACK")</f>
        <v>BLACK</v>
      </c>
      <c r="G7034" s="20" t="str">
        <f>IFERROR(__xludf.DUMMYFUNCTION("""COMPUTED_VALUE"""),"Uncle Sams Cider (04/04/2023)")</f>
        <v>Uncle Sams Cider (04/04/2023)</v>
      </c>
      <c r="H7034" s="19"/>
    </row>
    <row r="7035">
      <c r="A7035" s="9"/>
      <c r="B7035" s="15"/>
      <c r="C7035" s="9">
        <f>IFERROR(__xludf.DUMMYFUNCTION("""COMPUTED_VALUE"""),45070.4587154976)</f>
        <v>45070.45872</v>
      </c>
      <c r="D7035" s="15">
        <f>IFERROR(__xludf.DUMMYFUNCTION("""COMPUTED_VALUE"""),1.012)</f>
        <v>1.012</v>
      </c>
      <c r="E7035" s="16">
        <f>IFERROR(__xludf.DUMMYFUNCTION("""COMPUTED_VALUE"""),66.0)</f>
        <v>66</v>
      </c>
      <c r="F7035" s="19" t="str">
        <f>IFERROR(__xludf.DUMMYFUNCTION("""COMPUTED_VALUE"""),"BLACK")</f>
        <v>BLACK</v>
      </c>
      <c r="G7035" s="20" t="str">
        <f>IFERROR(__xludf.DUMMYFUNCTION("""COMPUTED_VALUE"""),"Uncle Sams Cider (04/04/2023)")</f>
        <v>Uncle Sams Cider (04/04/2023)</v>
      </c>
      <c r="H7035" s="19"/>
    </row>
    <row r="7036">
      <c r="A7036" s="9"/>
      <c r="B7036" s="15"/>
      <c r="C7036" s="9">
        <f>IFERROR(__xludf.DUMMYFUNCTION("""COMPUTED_VALUE"""),45070.4482935995)</f>
        <v>45070.44829</v>
      </c>
      <c r="D7036" s="15">
        <f>IFERROR(__xludf.DUMMYFUNCTION("""COMPUTED_VALUE"""),1.012)</f>
        <v>1.012</v>
      </c>
      <c r="E7036" s="16">
        <f>IFERROR(__xludf.DUMMYFUNCTION("""COMPUTED_VALUE"""),66.0)</f>
        <v>66</v>
      </c>
      <c r="F7036" s="19" t="str">
        <f>IFERROR(__xludf.DUMMYFUNCTION("""COMPUTED_VALUE"""),"BLACK")</f>
        <v>BLACK</v>
      </c>
      <c r="G7036" s="20" t="str">
        <f>IFERROR(__xludf.DUMMYFUNCTION("""COMPUTED_VALUE"""),"Uncle Sams Cider (04/04/2023)")</f>
        <v>Uncle Sams Cider (04/04/2023)</v>
      </c>
      <c r="H7036" s="19"/>
    </row>
    <row r="7037">
      <c r="A7037" s="9"/>
      <c r="B7037" s="15"/>
      <c r="C7037" s="9">
        <f>IFERROR(__xludf.DUMMYFUNCTION("""COMPUTED_VALUE"""),45070.4378713888)</f>
        <v>45070.43787</v>
      </c>
      <c r="D7037" s="15">
        <f>IFERROR(__xludf.DUMMYFUNCTION("""COMPUTED_VALUE"""),1.012)</f>
        <v>1.012</v>
      </c>
      <c r="E7037" s="16">
        <f>IFERROR(__xludf.DUMMYFUNCTION("""COMPUTED_VALUE"""),66.0)</f>
        <v>66</v>
      </c>
      <c r="F7037" s="19" t="str">
        <f>IFERROR(__xludf.DUMMYFUNCTION("""COMPUTED_VALUE"""),"BLACK")</f>
        <v>BLACK</v>
      </c>
      <c r="G7037" s="20" t="str">
        <f>IFERROR(__xludf.DUMMYFUNCTION("""COMPUTED_VALUE"""),"Uncle Sams Cider (04/04/2023)")</f>
        <v>Uncle Sams Cider (04/04/2023)</v>
      </c>
      <c r="H7037" s="19"/>
    </row>
    <row r="7038">
      <c r="A7038" s="9"/>
      <c r="B7038" s="15"/>
      <c r="C7038" s="9">
        <f>IFERROR(__xludf.DUMMYFUNCTION("""COMPUTED_VALUE"""),45070.4274515393)</f>
        <v>45070.42745</v>
      </c>
      <c r="D7038" s="15">
        <f>IFERROR(__xludf.DUMMYFUNCTION("""COMPUTED_VALUE"""),1.012)</f>
        <v>1.012</v>
      </c>
      <c r="E7038" s="16">
        <f>IFERROR(__xludf.DUMMYFUNCTION("""COMPUTED_VALUE"""),66.0)</f>
        <v>66</v>
      </c>
      <c r="F7038" s="19" t="str">
        <f>IFERROR(__xludf.DUMMYFUNCTION("""COMPUTED_VALUE"""),"BLACK")</f>
        <v>BLACK</v>
      </c>
      <c r="G7038" s="20" t="str">
        <f>IFERROR(__xludf.DUMMYFUNCTION("""COMPUTED_VALUE"""),"Uncle Sams Cider (04/04/2023)")</f>
        <v>Uncle Sams Cider (04/04/2023)</v>
      </c>
      <c r="H7038" s="19"/>
    </row>
    <row r="7039">
      <c r="A7039" s="9"/>
      <c r="B7039" s="15"/>
      <c r="C7039" s="9">
        <f>IFERROR(__xludf.DUMMYFUNCTION("""COMPUTED_VALUE"""),45070.4170292939)</f>
        <v>45070.41703</v>
      </c>
      <c r="D7039" s="15">
        <f>IFERROR(__xludf.DUMMYFUNCTION("""COMPUTED_VALUE"""),1.012)</f>
        <v>1.012</v>
      </c>
      <c r="E7039" s="16">
        <f>IFERROR(__xludf.DUMMYFUNCTION("""COMPUTED_VALUE"""),66.0)</f>
        <v>66</v>
      </c>
      <c r="F7039" s="19" t="str">
        <f>IFERROR(__xludf.DUMMYFUNCTION("""COMPUTED_VALUE"""),"BLACK")</f>
        <v>BLACK</v>
      </c>
      <c r="G7039" s="20" t="str">
        <f>IFERROR(__xludf.DUMMYFUNCTION("""COMPUTED_VALUE"""),"Uncle Sams Cider (04/04/2023)")</f>
        <v>Uncle Sams Cider (04/04/2023)</v>
      </c>
      <c r="H7039" s="19"/>
    </row>
    <row r="7040">
      <c r="A7040" s="9"/>
      <c r="B7040" s="15"/>
      <c r="C7040" s="9">
        <f>IFERROR(__xludf.DUMMYFUNCTION("""COMPUTED_VALUE"""),45070.4066065509)</f>
        <v>45070.40661</v>
      </c>
      <c r="D7040" s="15">
        <f>IFERROR(__xludf.DUMMYFUNCTION("""COMPUTED_VALUE"""),1.011)</f>
        <v>1.011</v>
      </c>
      <c r="E7040" s="16">
        <f>IFERROR(__xludf.DUMMYFUNCTION("""COMPUTED_VALUE"""),66.0)</f>
        <v>66</v>
      </c>
      <c r="F7040" s="19" t="str">
        <f>IFERROR(__xludf.DUMMYFUNCTION("""COMPUTED_VALUE"""),"BLACK")</f>
        <v>BLACK</v>
      </c>
      <c r="G7040" s="20" t="str">
        <f>IFERROR(__xludf.DUMMYFUNCTION("""COMPUTED_VALUE"""),"Uncle Sams Cider (04/04/2023)")</f>
        <v>Uncle Sams Cider (04/04/2023)</v>
      </c>
      <c r="H7040" s="19"/>
    </row>
    <row r="7041">
      <c r="A7041" s="9"/>
      <c r="B7041" s="15"/>
      <c r="C7041" s="9">
        <f>IFERROR(__xludf.DUMMYFUNCTION("""COMPUTED_VALUE"""),45070.3961846296)</f>
        <v>45070.39618</v>
      </c>
      <c r="D7041" s="15">
        <f>IFERROR(__xludf.DUMMYFUNCTION("""COMPUTED_VALUE"""),1.012)</f>
        <v>1.012</v>
      </c>
      <c r="E7041" s="16">
        <f>IFERROR(__xludf.DUMMYFUNCTION("""COMPUTED_VALUE"""),66.0)</f>
        <v>66</v>
      </c>
      <c r="F7041" s="19" t="str">
        <f>IFERROR(__xludf.DUMMYFUNCTION("""COMPUTED_VALUE"""),"BLACK")</f>
        <v>BLACK</v>
      </c>
      <c r="G7041" s="20" t="str">
        <f>IFERROR(__xludf.DUMMYFUNCTION("""COMPUTED_VALUE"""),"Uncle Sams Cider (04/04/2023)")</f>
        <v>Uncle Sams Cider (04/04/2023)</v>
      </c>
      <c r="H7041" s="19"/>
    </row>
    <row r="7042">
      <c r="A7042" s="9"/>
      <c r="B7042" s="15"/>
      <c r="C7042" s="9">
        <f>IFERROR(__xludf.DUMMYFUNCTION("""COMPUTED_VALUE"""),45070.3857521064)</f>
        <v>45070.38575</v>
      </c>
      <c r="D7042" s="15">
        <f>IFERROR(__xludf.DUMMYFUNCTION("""COMPUTED_VALUE"""),1.011)</f>
        <v>1.011</v>
      </c>
      <c r="E7042" s="16">
        <f>IFERROR(__xludf.DUMMYFUNCTION("""COMPUTED_VALUE"""),66.0)</f>
        <v>66</v>
      </c>
      <c r="F7042" s="19" t="str">
        <f>IFERROR(__xludf.DUMMYFUNCTION("""COMPUTED_VALUE"""),"BLACK")</f>
        <v>BLACK</v>
      </c>
      <c r="G7042" s="20" t="str">
        <f>IFERROR(__xludf.DUMMYFUNCTION("""COMPUTED_VALUE"""),"Uncle Sams Cider (04/04/2023)")</f>
        <v>Uncle Sams Cider (04/04/2023)</v>
      </c>
      <c r="H7042" s="19"/>
    </row>
    <row r="7043">
      <c r="A7043" s="9"/>
      <c r="B7043" s="15"/>
      <c r="C7043" s="9">
        <f>IFERROR(__xludf.DUMMYFUNCTION("""COMPUTED_VALUE"""),45070.3753315509)</f>
        <v>45070.37533</v>
      </c>
      <c r="D7043" s="15">
        <f>IFERROR(__xludf.DUMMYFUNCTION("""COMPUTED_VALUE"""),1.012)</f>
        <v>1.012</v>
      </c>
      <c r="E7043" s="16">
        <f>IFERROR(__xludf.DUMMYFUNCTION("""COMPUTED_VALUE"""),66.0)</f>
        <v>66</v>
      </c>
      <c r="F7043" s="19" t="str">
        <f>IFERROR(__xludf.DUMMYFUNCTION("""COMPUTED_VALUE"""),"BLACK")</f>
        <v>BLACK</v>
      </c>
      <c r="G7043" s="20" t="str">
        <f>IFERROR(__xludf.DUMMYFUNCTION("""COMPUTED_VALUE"""),"Uncle Sams Cider (04/04/2023)")</f>
        <v>Uncle Sams Cider (04/04/2023)</v>
      </c>
      <c r="H7043" s="19"/>
    </row>
    <row r="7044">
      <c r="A7044" s="9"/>
      <c r="B7044" s="15"/>
      <c r="C7044" s="9">
        <f>IFERROR(__xludf.DUMMYFUNCTION("""COMPUTED_VALUE"""),45070.3649113194)</f>
        <v>45070.36491</v>
      </c>
      <c r="D7044" s="15">
        <f>IFERROR(__xludf.DUMMYFUNCTION("""COMPUTED_VALUE"""),1.012)</f>
        <v>1.012</v>
      </c>
      <c r="E7044" s="16">
        <f>IFERROR(__xludf.DUMMYFUNCTION("""COMPUTED_VALUE"""),66.0)</f>
        <v>66</v>
      </c>
      <c r="F7044" s="19" t="str">
        <f>IFERROR(__xludf.DUMMYFUNCTION("""COMPUTED_VALUE"""),"BLACK")</f>
        <v>BLACK</v>
      </c>
      <c r="G7044" s="20" t="str">
        <f>IFERROR(__xludf.DUMMYFUNCTION("""COMPUTED_VALUE"""),"Uncle Sams Cider (04/04/2023)")</f>
        <v>Uncle Sams Cider (04/04/2023)</v>
      </c>
      <c r="H7044" s="19"/>
    </row>
    <row r="7045">
      <c r="A7045" s="9"/>
      <c r="B7045" s="15"/>
      <c r="C7045" s="9">
        <f>IFERROR(__xludf.DUMMYFUNCTION("""COMPUTED_VALUE"""),45070.3544910069)</f>
        <v>45070.35449</v>
      </c>
      <c r="D7045" s="15">
        <f>IFERROR(__xludf.DUMMYFUNCTION("""COMPUTED_VALUE"""),1.012)</f>
        <v>1.012</v>
      </c>
      <c r="E7045" s="16">
        <f>IFERROR(__xludf.DUMMYFUNCTION("""COMPUTED_VALUE"""),66.0)</f>
        <v>66</v>
      </c>
      <c r="F7045" s="19" t="str">
        <f>IFERROR(__xludf.DUMMYFUNCTION("""COMPUTED_VALUE"""),"BLACK")</f>
        <v>BLACK</v>
      </c>
      <c r="G7045" s="20" t="str">
        <f>IFERROR(__xludf.DUMMYFUNCTION("""COMPUTED_VALUE"""),"Uncle Sams Cider (04/04/2023)")</f>
        <v>Uncle Sams Cider (04/04/2023)</v>
      </c>
      <c r="H7045" s="19"/>
    </row>
    <row r="7046">
      <c r="A7046" s="9"/>
      <c r="B7046" s="15"/>
      <c r="C7046" s="9">
        <f>IFERROR(__xludf.DUMMYFUNCTION("""COMPUTED_VALUE"""),45070.3440710879)</f>
        <v>45070.34407</v>
      </c>
      <c r="D7046" s="15">
        <f>IFERROR(__xludf.DUMMYFUNCTION("""COMPUTED_VALUE"""),1.012)</f>
        <v>1.012</v>
      </c>
      <c r="E7046" s="16">
        <f>IFERROR(__xludf.DUMMYFUNCTION("""COMPUTED_VALUE"""),66.0)</f>
        <v>66</v>
      </c>
      <c r="F7046" s="19" t="str">
        <f>IFERROR(__xludf.DUMMYFUNCTION("""COMPUTED_VALUE"""),"BLACK")</f>
        <v>BLACK</v>
      </c>
      <c r="G7046" s="20" t="str">
        <f>IFERROR(__xludf.DUMMYFUNCTION("""COMPUTED_VALUE"""),"Uncle Sams Cider (04/04/2023)")</f>
        <v>Uncle Sams Cider (04/04/2023)</v>
      </c>
      <c r="H7046" s="19"/>
    </row>
    <row r="7047">
      <c r="A7047" s="9"/>
      <c r="B7047" s="15"/>
      <c r="C7047" s="9">
        <f>IFERROR(__xludf.DUMMYFUNCTION("""COMPUTED_VALUE"""),45070.3336389467)</f>
        <v>45070.33364</v>
      </c>
      <c r="D7047" s="15">
        <f>IFERROR(__xludf.DUMMYFUNCTION("""COMPUTED_VALUE"""),1.012)</f>
        <v>1.012</v>
      </c>
      <c r="E7047" s="16">
        <f>IFERROR(__xludf.DUMMYFUNCTION("""COMPUTED_VALUE"""),66.0)</f>
        <v>66</v>
      </c>
      <c r="F7047" s="19" t="str">
        <f>IFERROR(__xludf.DUMMYFUNCTION("""COMPUTED_VALUE"""),"BLACK")</f>
        <v>BLACK</v>
      </c>
      <c r="G7047" s="20" t="str">
        <f>IFERROR(__xludf.DUMMYFUNCTION("""COMPUTED_VALUE"""),"Uncle Sams Cider (04/04/2023)")</f>
        <v>Uncle Sams Cider (04/04/2023)</v>
      </c>
      <c r="H7047" s="19"/>
    </row>
    <row r="7048">
      <c r="A7048" s="9"/>
      <c r="B7048" s="15"/>
      <c r="C7048" s="9">
        <f>IFERROR(__xludf.DUMMYFUNCTION("""COMPUTED_VALUE"""),45070.3232199884)</f>
        <v>45070.32322</v>
      </c>
      <c r="D7048" s="15">
        <f>IFERROR(__xludf.DUMMYFUNCTION("""COMPUTED_VALUE"""),1.011)</f>
        <v>1.011</v>
      </c>
      <c r="E7048" s="16">
        <f>IFERROR(__xludf.DUMMYFUNCTION("""COMPUTED_VALUE"""),66.0)</f>
        <v>66</v>
      </c>
      <c r="F7048" s="19" t="str">
        <f>IFERROR(__xludf.DUMMYFUNCTION("""COMPUTED_VALUE"""),"BLACK")</f>
        <v>BLACK</v>
      </c>
      <c r="G7048" s="20" t="str">
        <f>IFERROR(__xludf.DUMMYFUNCTION("""COMPUTED_VALUE"""),"Uncle Sams Cider (04/04/2023)")</f>
        <v>Uncle Sams Cider (04/04/2023)</v>
      </c>
      <c r="H7048" s="19"/>
    </row>
    <row r="7049">
      <c r="A7049" s="9"/>
      <c r="B7049" s="15"/>
      <c r="C7049" s="9">
        <f>IFERROR(__xludf.DUMMYFUNCTION("""COMPUTED_VALUE"""),45070.3127992592)</f>
        <v>45070.3128</v>
      </c>
      <c r="D7049" s="15">
        <f>IFERROR(__xludf.DUMMYFUNCTION("""COMPUTED_VALUE"""),1.012)</f>
        <v>1.012</v>
      </c>
      <c r="E7049" s="16">
        <f>IFERROR(__xludf.DUMMYFUNCTION("""COMPUTED_VALUE"""),66.0)</f>
        <v>66</v>
      </c>
      <c r="F7049" s="19" t="str">
        <f>IFERROR(__xludf.DUMMYFUNCTION("""COMPUTED_VALUE"""),"BLACK")</f>
        <v>BLACK</v>
      </c>
      <c r="G7049" s="20" t="str">
        <f>IFERROR(__xludf.DUMMYFUNCTION("""COMPUTED_VALUE"""),"Uncle Sams Cider (04/04/2023)")</f>
        <v>Uncle Sams Cider (04/04/2023)</v>
      </c>
      <c r="H7049" s="19"/>
    </row>
    <row r="7050">
      <c r="A7050" s="9"/>
      <c r="B7050" s="15"/>
      <c r="C7050" s="9">
        <f>IFERROR(__xludf.DUMMYFUNCTION("""COMPUTED_VALUE"""),45070.3023673611)</f>
        <v>45070.30237</v>
      </c>
      <c r="D7050" s="15">
        <f>IFERROR(__xludf.DUMMYFUNCTION("""COMPUTED_VALUE"""),1.012)</f>
        <v>1.012</v>
      </c>
      <c r="E7050" s="16">
        <f>IFERROR(__xludf.DUMMYFUNCTION("""COMPUTED_VALUE"""),66.0)</f>
        <v>66</v>
      </c>
      <c r="F7050" s="19" t="str">
        <f>IFERROR(__xludf.DUMMYFUNCTION("""COMPUTED_VALUE"""),"BLACK")</f>
        <v>BLACK</v>
      </c>
      <c r="G7050" s="20" t="str">
        <f>IFERROR(__xludf.DUMMYFUNCTION("""COMPUTED_VALUE"""),"Uncle Sams Cider (04/04/2023)")</f>
        <v>Uncle Sams Cider (04/04/2023)</v>
      </c>
      <c r="H7050" s="19"/>
    </row>
    <row r="7051">
      <c r="A7051" s="9"/>
      <c r="B7051" s="15"/>
      <c r="C7051" s="9">
        <f>IFERROR(__xludf.DUMMYFUNCTION("""COMPUTED_VALUE"""),45070.2919455671)</f>
        <v>45070.29195</v>
      </c>
      <c r="D7051" s="15">
        <f>IFERROR(__xludf.DUMMYFUNCTION("""COMPUTED_VALUE"""),1.012)</f>
        <v>1.012</v>
      </c>
      <c r="E7051" s="16">
        <f>IFERROR(__xludf.DUMMYFUNCTION("""COMPUTED_VALUE"""),66.0)</f>
        <v>66</v>
      </c>
      <c r="F7051" s="19" t="str">
        <f>IFERROR(__xludf.DUMMYFUNCTION("""COMPUTED_VALUE"""),"BLACK")</f>
        <v>BLACK</v>
      </c>
      <c r="G7051" s="20" t="str">
        <f>IFERROR(__xludf.DUMMYFUNCTION("""COMPUTED_VALUE"""),"Uncle Sams Cider (04/04/2023)")</f>
        <v>Uncle Sams Cider (04/04/2023)</v>
      </c>
      <c r="H7051" s="19"/>
    </row>
    <row r="7052">
      <c r="A7052" s="9"/>
      <c r="B7052" s="15"/>
      <c r="C7052" s="9">
        <f>IFERROR(__xludf.DUMMYFUNCTION("""COMPUTED_VALUE"""),45070.2815255092)</f>
        <v>45070.28153</v>
      </c>
      <c r="D7052" s="15">
        <f>IFERROR(__xludf.DUMMYFUNCTION("""COMPUTED_VALUE"""),1.012)</f>
        <v>1.012</v>
      </c>
      <c r="E7052" s="16">
        <f>IFERROR(__xludf.DUMMYFUNCTION("""COMPUTED_VALUE"""),66.0)</f>
        <v>66</v>
      </c>
      <c r="F7052" s="19" t="str">
        <f>IFERROR(__xludf.DUMMYFUNCTION("""COMPUTED_VALUE"""),"BLACK")</f>
        <v>BLACK</v>
      </c>
      <c r="G7052" s="20" t="str">
        <f>IFERROR(__xludf.DUMMYFUNCTION("""COMPUTED_VALUE"""),"Uncle Sams Cider (04/04/2023)")</f>
        <v>Uncle Sams Cider (04/04/2023)</v>
      </c>
      <c r="H7052" s="19"/>
    </row>
    <row r="7053">
      <c r="A7053" s="9"/>
      <c r="B7053" s="15"/>
      <c r="C7053" s="9">
        <f>IFERROR(__xludf.DUMMYFUNCTION("""COMPUTED_VALUE"""),45070.2710932175)</f>
        <v>45070.27109</v>
      </c>
      <c r="D7053" s="15">
        <f>IFERROR(__xludf.DUMMYFUNCTION("""COMPUTED_VALUE"""),1.012)</f>
        <v>1.012</v>
      </c>
      <c r="E7053" s="16">
        <f>IFERROR(__xludf.DUMMYFUNCTION("""COMPUTED_VALUE"""),66.0)</f>
        <v>66</v>
      </c>
      <c r="F7053" s="19" t="str">
        <f>IFERROR(__xludf.DUMMYFUNCTION("""COMPUTED_VALUE"""),"BLACK")</f>
        <v>BLACK</v>
      </c>
      <c r="G7053" s="20" t="str">
        <f>IFERROR(__xludf.DUMMYFUNCTION("""COMPUTED_VALUE"""),"Uncle Sams Cider (04/04/2023)")</f>
        <v>Uncle Sams Cider (04/04/2023)</v>
      </c>
      <c r="H7053" s="19"/>
    </row>
    <row r="7054">
      <c r="A7054" s="9"/>
      <c r="B7054" s="15"/>
      <c r="C7054" s="9">
        <f>IFERROR(__xludf.DUMMYFUNCTION("""COMPUTED_VALUE"""),45070.2606490277)</f>
        <v>45070.26065</v>
      </c>
      <c r="D7054" s="15">
        <f>IFERROR(__xludf.DUMMYFUNCTION("""COMPUTED_VALUE"""),1.012)</f>
        <v>1.012</v>
      </c>
      <c r="E7054" s="16">
        <f>IFERROR(__xludf.DUMMYFUNCTION("""COMPUTED_VALUE"""),66.0)</f>
        <v>66</v>
      </c>
      <c r="F7054" s="19" t="str">
        <f>IFERROR(__xludf.DUMMYFUNCTION("""COMPUTED_VALUE"""),"BLACK")</f>
        <v>BLACK</v>
      </c>
      <c r="G7054" s="20" t="str">
        <f>IFERROR(__xludf.DUMMYFUNCTION("""COMPUTED_VALUE"""),"Uncle Sams Cider (04/04/2023)")</f>
        <v>Uncle Sams Cider (04/04/2023)</v>
      </c>
      <c r="H7054" s="19"/>
    </row>
    <row r="7055">
      <c r="A7055" s="9"/>
      <c r="B7055" s="15"/>
      <c r="C7055" s="9">
        <f>IFERROR(__xludf.DUMMYFUNCTION("""COMPUTED_VALUE"""),45070.2502295138)</f>
        <v>45070.25023</v>
      </c>
      <c r="D7055" s="15">
        <f>IFERROR(__xludf.DUMMYFUNCTION("""COMPUTED_VALUE"""),1.012)</f>
        <v>1.012</v>
      </c>
      <c r="E7055" s="16">
        <f>IFERROR(__xludf.DUMMYFUNCTION("""COMPUTED_VALUE"""),66.0)</f>
        <v>66</v>
      </c>
      <c r="F7055" s="19" t="str">
        <f>IFERROR(__xludf.DUMMYFUNCTION("""COMPUTED_VALUE"""),"BLACK")</f>
        <v>BLACK</v>
      </c>
      <c r="G7055" s="20" t="str">
        <f>IFERROR(__xludf.DUMMYFUNCTION("""COMPUTED_VALUE"""),"Uncle Sams Cider (04/04/2023)")</f>
        <v>Uncle Sams Cider (04/04/2023)</v>
      </c>
      <c r="H7055" s="19"/>
    </row>
    <row r="7056">
      <c r="A7056" s="9"/>
      <c r="B7056" s="15"/>
      <c r="C7056" s="9">
        <f>IFERROR(__xludf.DUMMYFUNCTION("""COMPUTED_VALUE"""),45070.2398076504)</f>
        <v>45070.23981</v>
      </c>
      <c r="D7056" s="15">
        <f>IFERROR(__xludf.DUMMYFUNCTION("""COMPUTED_VALUE"""),1.012)</f>
        <v>1.012</v>
      </c>
      <c r="E7056" s="16">
        <f>IFERROR(__xludf.DUMMYFUNCTION("""COMPUTED_VALUE"""),66.0)</f>
        <v>66</v>
      </c>
      <c r="F7056" s="19" t="str">
        <f>IFERROR(__xludf.DUMMYFUNCTION("""COMPUTED_VALUE"""),"BLACK")</f>
        <v>BLACK</v>
      </c>
      <c r="G7056" s="20" t="str">
        <f>IFERROR(__xludf.DUMMYFUNCTION("""COMPUTED_VALUE"""),"Uncle Sams Cider (04/04/2023)")</f>
        <v>Uncle Sams Cider (04/04/2023)</v>
      </c>
      <c r="H7056" s="19"/>
    </row>
    <row r="7057">
      <c r="A7057" s="9"/>
      <c r="B7057" s="15"/>
      <c r="C7057" s="9">
        <f>IFERROR(__xludf.DUMMYFUNCTION("""COMPUTED_VALUE"""),45070.2293625)</f>
        <v>45070.22936</v>
      </c>
      <c r="D7057" s="15">
        <f>IFERROR(__xludf.DUMMYFUNCTION("""COMPUTED_VALUE"""),1.012)</f>
        <v>1.012</v>
      </c>
      <c r="E7057" s="16">
        <f>IFERROR(__xludf.DUMMYFUNCTION("""COMPUTED_VALUE"""),66.0)</f>
        <v>66</v>
      </c>
      <c r="F7057" s="19" t="str">
        <f>IFERROR(__xludf.DUMMYFUNCTION("""COMPUTED_VALUE"""),"BLACK")</f>
        <v>BLACK</v>
      </c>
      <c r="G7057" s="20" t="str">
        <f>IFERROR(__xludf.DUMMYFUNCTION("""COMPUTED_VALUE"""),"Uncle Sams Cider (04/04/2023)")</f>
        <v>Uncle Sams Cider (04/04/2023)</v>
      </c>
      <c r="H7057" s="19"/>
    </row>
    <row r="7058">
      <c r="A7058" s="9"/>
      <c r="B7058" s="15"/>
      <c r="C7058" s="9">
        <f>IFERROR(__xludf.DUMMYFUNCTION("""COMPUTED_VALUE"""),45070.218941956)</f>
        <v>45070.21894</v>
      </c>
      <c r="D7058" s="15">
        <f>IFERROR(__xludf.DUMMYFUNCTION("""COMPUTED_VALUE"""),1.012)</f>
        <v>1.012</v>
      </c>
      <c r="E7058" s="16">
        <f>IFERROR(__xludf.DUMMYFUNCTION("""COMPUTED_VALUE"""),66.0)</f>
        <v>66</v>
      </c>
      <c r="F7058" s="19" t="str">
        <f>IFERROR(__xludf.DUMMYFUNCTION("""COMPUTED_VALUE"""),"BLACK")</f>
        <v>BLACK</v>
      </c>
      <c r="G7058" s="20" t="str">
        <f>IFERROR(__xludf.DUMMYFUNCTION("""COMPUTED_VALUE"""),"Uncle Sams Cider (04/04/2023)")</f>
        <v>Uncle Sams Cider (04/04/2023)</v>
      </c>
      <c r="H7058" s="19"/>
    </row>
    <row r="7059">
      <c r="A7059" s="9"/>
      <c r="B7059" s="15"/>
      <c r="C7059" s="9">
        <f>IFERROR(__xludf.DUMMYFUNCTION("""COMPUTED_VALUE"""),45070.2085215856)</f>
        <v>45070.20852</v>
      </c>
      <c r="D7059" s="15">
        <f>IFERROR(__xludf.DUMMYFUNCTION("""COMPUTED_VALUE"""),1.012)</f>
        <v>1.012</v>
      </c>
      <c r="E7059" s="16">
        <f>IFERROR(__xludf.DUMMYFUNCTION("""COMPUTED_VALUE"""),66.0)</f>
        <v>66</v>
      </c>
      <c r="F7059" s="19" t="str">
        <f>IFERROR(__xludf.DUMMYFUNCTION("""COMPUTED_VALUE"""),"BLACK")</f>
        <v>BLACK</v>
      </c>
      <c r="G7059" s="20" t="str">
        <f>IFERROR(__xludf.DUMMYFUNCTION("""COMPUTED_VALUE"""),"Uncle Sams Cider (04/04/2023)")</f>
        <v>Uncle Sams Cider (04/04/2023)</v>
      </c>
      <c r="H7059" s="19"/>
    </row>
    <row r="7060">
      <c r="A7060" s="9"/>
      <c r="B7060" s="15"/>
      <c r="C7060" s="9">
        <f>IFERROR(__xludf.DUMMYFUNCTION("""COMPUTED_VALUE"""),45070.1980904398)</f>
        <v>45070.19809</v>
      </c>
      <c r="D7060" s="15">
        <f>IFERROR(__xludf.DUMMYFUNCTION("""COMPUTED_VALUE"""),1.012)</f>
        <v>1.012</v>
      </c>
      <c r="E7060" s="16">
        <f>IFERROR(__xludf.DUMMYFUNCTION("""COMPUTED_VALUE"""),66.0)</f>
        <v>66</v>
      </c>
      <c r="F7060" s="19" t="str">
        <f>IFERROR(__xludf.DUMMYFUNCTION("""COMPUTED_VALUE"""),"BLACK")</f>
        <v>BLACK</v>
      </c>
      <c r="G7060" s="20" t="str">
        <f>IFERROR(__xludf.DUMMYFUNCTION("""COMPUTED_VALUE"""),"Uncle Sams Cider (04/04/2023)")</f>
        <v>Uncle Sams Cider (04/04/2023)</v>
      </c>
      <c r="H7060" s="19"/>
    </row>
    <row r="7061">
      <c r="A7061" s="9"/>
      <c r="B7061" s="15"/>
      <c r="C7061" s="9">
        <f>IFERROR(__xludf.DUMMYFUNCTION("""COMPUTED_VALUE"""),45070.187670324)</f>
        <v>45070.18767</v>
      </c>
      <c r="D7061" s="15">
        <f>IFERROR(__xludf.DUMMYFUNCTION("""COMPUTED_VALUE"""),1.012)</f>
        <v>1.012</v>
      </c>
      <c r="E7061" s="16">
        <f>IFERROR(__xludf.DUMMYFUNCTION("""COMPUTED_VALUE"""),66.0)</f>
        <v>66</v>
      </c>
      <c r="F7061" s="19" t="str">
        <f>IFERROR(__xludf.DUMMYFUNCTION("""COMPUTED_VALUE"""),"BLACK")</f>
        <v>BLACK</v>
      </c>
      <c r="G7061" s="20" t="str">
        <f>IFERROR(__xludf.DUMMYFUNCTION("""COMPUTED_VALUE"""),"Uncle Sams Cider (04/04/2023)")</f>
        <v>Uncle Sams Cider (04/04/2023)</v>
      </c>
      <c r="H7061" s="19"/>
    </row>
    <row r="7062">
      <c r="A7062" s="9"/>
      <c r="B7062" s="15"/>
      <c r="C7062" s="9">
        <f>IFERROR(__xludf.DUMMYFUNCTION("""COMPUTED_VALUE"""),45070.1772372916)</f>
        <v>45070.17724</v>
      </c>
      <c r="D7062" s="15">
        <f>IFERROR(__xludf.DUMMYFUNCTION("""COMPUTED_VALUE"""),1.012)</f>
        <v>1.012</v>
      </c>
      <c r="E7062" s="16">
        <f>IFERROR(__xludf.DUMMYFUNCTION("""COMPUTED_VALUE"""),66.0)</f>
        <v>66</v>
      </c>
      <c r="F7062" s="19" t="str">
        <f>IFERROR(__xludf.DUMMYFUNCTION("""COMPUTED_VALUE"""),"BLACK")</f>
        <v>BLACK</v>
      </c>
      <c r="G7062" s="20" t="str">
        <f>IFERROR(__xludf.DUMMYFUNCTION("""COMPUTED_VALUE"""),"Uncle Sams Cider (04/04/2023)")</f>
        <v>Uncle Sams Cider (04/04/2023)</v>
      </c>
      <c r="H7062" s="19"/>
    </row>
    <row r="7063">
      <c r="A7063" s="9"/>
      <c r="B7063" s="15"/>
      <c r="C7063" s="9">
        <f>IFERROR(__xludf.DUMMYFUNCTION("""COMPUTED_VALUE"""),45070.1668165393)</f>
        <v>45070.16682</v>
      </c>
      <c r="D7063" s="15">
        <f>IFERROR(__xludf.DUMMYFUNCTION("""COMPUTED_VALUE"""),1.012)</f>
        <v>1.012</v>
      </c>
      <c r="E7063" s="16">
        <f>IFERROR(__xludf.DUMMYFUNCTION("""COMPUTED_VALUE"""),66.0)</f>
        <v>66</v>
      </c>
      <c r="F7063" s="19" t="str">
        <f>IFERROR(__xludf.DUMMYFUNCTION("""COMPUTED_VALUE"""),"BLACK")</f>
        <v>BLACK</v>
      </c>
      <c r="G7063" s="20" t="str">
        <f>IFERROR(__xludf.DUMMYFUNCTION("""COMPUTED_VALUE"""),"Uncle Sams Cider (04/04/2023)")</f>
        <v>Uncle Sams Cider (04/04/2023)</v>
      </c>
      <c r="H7063" s="19"/>
    </row>
    <row r="7064">
      <c r="A7064" s="9"/>
      <c r="B7064" s="15"/>
      <c r="C7064" s="9">
        <f>IFERROR(__xludf.DUMMYFUNCTION("""COMPUTED_VALUE"""),45070.156395868)</f>
        <v>45070.1564</v>
      </c>
      <c r="D7064" s="15">
        <f>IFERROR(__xludf.DUMMYFUNCTION("""COMPUTED_VALUE"""),1.012)</f>
        <v>1.012</v>
      </c>
      <c r="E7064" s="16">
        <f>IFERROR(__xludf.DUMMYFUNCTION("""COMPUTED_VALUE"""),66.0)</f>
        <v>66</v>
      </c>
      <c r="F7064" s="19" t="str">
        <f>IFERROR(__xludf.DUMMYFUNCTION("""COMPUTED_VALUE"""),"BLACK")</f>
        <v>BLACK</v>
      </c>
      <c r="G7064" s="20" t="str">
        <f>IFERROR(__xludf.DUMMYFUNCTION("""COMPUTED_VALUE"""),"Uncle Sams Cider (04/04/2023)")</f>
        <v>Uncle Sams Cider (04/04/2023)</v>
      </c>
      <c r="H7064" s="19"/>
    </row>
    <row r="7065">
      <c r="A7065" s="9"/>
      <c r="B7065" s="15"/>
      <c r="C7065" s="9">
        <f>IFERROR(__xludf.DUMMYFUNCTION("""COMPUTED_VALUE"""),45070.1459759837)</f>
        <v>45070.14598</v>
      </c>
      <c r="D7065" s="15">
        <f>IFERROR(__xludf.DUMMYFUNCTION("""COMPUTED_VALUE"""),1.012)</f>
        <v>1.012</v>
      </c>
      <c r="E7065" s="16">
        <f>IFERROR(__xludf.DUMMYFUNCTION("""COMPUTED_VALUE"""),66.0)</f>
        <v>66</v>
      </c>
      <c r="F7065" s="19" t="str">
        <f>IFERROR(__xludf.DUMMYFUNCTION("""COMPUTED_VALUE"""),"BLACK")</f>
        <v>BLACK</v>
      </c>
      <c r="G7065" s="20" t="str">
        <f>IFERROR(__xludf.DUMMYFUNCTION("""COMPUTED_VALUE"""),"Uncle Sams Cider (04/04/2023)")</f>
        <v>Uncle Sams Cider (04/04/2023)</v>
      </c>
      <c r="H7065" s="19"/>
    </row>
    <row r="7066">
      <c r="A7066" s="9"/>
      <c r="B7066" s="15"/>
      <c r="C7066" s="9">
        <f>IFERROR(__xludf.DUMMYFUNCTION("""COMPUTED_VALUE"""),45070.1355303472)</f>
        <v>45070.13553</v>
      </c>
      <c r="D7066" s="15">
        <f>IFERROR(__xludf.DUMMYFUNCTION("""COMPUTED_VALUE"""),1.012)</f>
        <v>1.012</v>
      </c>
      <c r="E7066" s="16">
        <f>IFERROR(__xludf.DUMMYFUNCTION("""COMPUTED_VALUE"""),66.0)</f>
        <v>66</v>
      </c>
      <c r="F7066" s="19" t="str">
        <f>IFERROR(__xludf.DUMMYFUNCTION("""COMPUTED_VALUE"""),"BLACK")</f>
        <v>BLACK</v>
      </c>
      <c r="G7066" s="20" t="str">
        <f>IFERROR(__xludf.DUMMYFUNCTION("""COMPUTED_VALUE"""),"Uncle Sams Cider (04/04/2023)")</f>
        <v>Uncle Sams Cider (04/04/2023)</v>
      </c>
      <c r="H7066" s="19"/>
    </row>
    <row r="7067">
      <c r="A7067" s="9"/>
      <c r="B7067" s="15"/>
      <c r="C7067" s="9">
        <f>IFERROR(__xludf.DUMMYFUNCTION("""COMPUTED_VALUE"""),45070.1250981828)</f>
        <v>45070.1251</v>
      </c>
      <c r="D7067" s="15">
        <f>IFERROR(__xludf.DUMMYFUNCTION("""COMPUTED_VALUE"""),1.012)</f>
        <v>1.012</v>
      </c>
      <c r="E7067" s="16">
        <f>IFERROR(__xludf.DUMMYFUNCTION("""COMPUTED_VALUE"""),66.0)</f>
        <v>66</v>
      </c>
      <c r="F7067" s="19" t="str">
        <f>IFERROR(__xludf.DUMMYFUNCTION("""COMPUTED_VALUE"""),"BLACK")</f>
        <v>BLACK</v>
      </c>
      <c r="G7067" s="20" t="str">
        <f>IFERROR(__xludf.DUMMYFUNCTION("""COMPUTED_VALUE"""),"Uncle Sams Cider (04/04/2023)")</f>
        <v>Uncle Sams Cider (04/04/2023)</v>
      </c>
      <c r="H7067" s="19"/>
    </row>
    <row r="7068">
      <c r="A7068" s="9"/>
      <c r="B7068" s="15"/>
      <c r="C7068" s="9">
        <f>IFERROR(__xludf.DUMMYFUNCTION("""COMPUTED_VALUE"""),45070.114676412)</f>
        <v>45070.11468</v>
      </c>
      <c r="D7068" s="15">
        <f>IFERROR(__xludf.DUMMYFUNCTION("""COMPUTED_VALUE"""),1.012)</f>
        <v>1.012</v>
      </c>
      <c r="E7068" s="16">
        <f>IFERROR(__xludf.DUMMYFUNCTION("""COMPUTED_VALUE"""),66.0)</f>
        <v>66</v>
      </c>
      <c r="F7068" s="19" t="str">
        <f>IFERROR(__xludf.DUMMYFUNCTION("""COMPUTED_VALUE"""),"BLACK")</f>
        <v>BLACK</v>
      </c>
      <c r="G7068" s="20" t="str">
        <f>IFERROR(__xludf.DUMMYFUNCTION("""COMPUTED_VALUE"""),"Uncle Sams Cider (04/04/2023)")</f>
        <v>Uncle Sams Cider (04/04/2023)</v>
      </c>
      <c r="H7068" s="19"/>
    </row>
    <row r="7069">
      <c r="A7069" s="9"/>
      <c r="B7069" s="15"/>
      <c r="C7069" s="9">
        <f>IFERROR(__xludf.DUMMYFUNCTION("""COMPUTED_VALUE"""),45070.1042545486)</f>
        <v>45070.10425</v>
      </c>
      <c r="D7069" s="15">
        <f>IFERROR(__xludf.DUMMYFUNCTION("""COMPUTED_VALUE"""),1.012)</f>
        <v>1.012</v>
      </c>
      <c r="E7069" s="16">
        <f>IFERROR(__xludf.DUMMYFUNCTION("""COMPUTED_VALUE"""),66.0)</f>
        <v>66</v>
      </c>
      <c r="F7069" s="19" t="str">
        <f>IFERROR(__xludf.DUMMYFUNCTION("""COMPUTED_VALUE"""),"BLACK")</f>
        <v>BLACK</v>
      </c>
      <c r="G7069" s="20" t="str">
        <f>IFERROR(__xludf.DUMMYFUNCTION("""COMPUTED_VALUE"""),"Uncle Sams Cider (04/04/2023)")</f>
        <v>Uncle Sams Cider (04/04/2023)</v>
      </c>
      <c r="H7069" s="19"/>
    </row>
    <row r="7070">
      <c r="A7070" s="9"/>
      <c r="B7070" s="15"/>
      <c r="C7070" s="9">
        <f>IFERROR(__xludf.DUMMYFUNCTION("""COMPUTED_VALUE"""),45070.0938322106)</f>
        <v>45070.09383</v>
      </c>
      <c r="D7070" s="15">
        <f>IFERROR(__xludf.DUMMYFUNCTION("""COMPUTED_VALUE"""),1.012)</f>
        <v>1.012</v>
      </c>
      <c r="E7070" s="16">
        <f>IFERROR(__xludf.DUMMYFUNCTION("""COMPUTED_VALUE"""),66.0)</f>
        <v>66</v>
      </c>
      <c r="F7070" s="19" t="str">
        <f>IFERROR(__xludf.DUMMYFUNCTION("""COMPUTED_VALUE"""),"BLACK")</f>
        <v>BLACK</v>
      </c>
      <c r="G7070" s="20" t="str">
        <f>IFERROR(__xludf.DUMMYFUNCTION("""COMPUTED_VALUE"""),"Uncle Sams Cider (04/04/2023)")</f>
        <v>Uncle Sams Cider (04/04/2023)</v>
      </c>
      <c r="H7070" s="19"/>
    </row>
    <row r="7071">
      <c r="A7071" s="9"/>
      <c r="B7071" s="15"/>
      <c r="C7071" s="9">
        <f>IFERROR(__xludf.DUMMYFUNCTION("""COMPUTED_VALUE"""),45070.0834109027)</f>
        <v>45070.08341</v>
      </c>
      <c r="D7071" s="15">
        <f>IFERROR(__xludf.DUMMYFUNCTION("""COMPUTED_VALUE"""),1.012)</f>
        <v>1.012</v>
      </c>
      <c r="E7071" s="16">
        <f>IFERROR(__xludf.DUMMYFUNCTION("""COMPUTED_VALUE"""),66.0)</f>
        <v>66</v>
      </c>
      <c r="F7071" s="19" t="str">
        <f>IFERROR(__xludf.DUMMYFUNCTION("""COMPUTED_VALUE"""),"BLACK")</f>
        <v>BLACK</v>
      </c>
      <c r="G7071" s="20" t="str">
        <f>IFERROR(__xludf.DUMMYFUNCTION("""COMPUTED_VALUE"""),"Uncle Sams Cider (04/04/2023)")</f>
        <v>Uncle Sams Cider (04/04/2023)</v>
      </c>
      <c r="H7071" s="19"/>
    </row>
    <row r="7072">
      <c r="A7072" s="9"/>
      <c r="B7072" s="15"/>
      <c r="C7072" s="9">
        <f>IFERROR(__xludf.DUMMYFUNCTION("""COMPUTED_VALUE"""),45070.0729901851)</f>
        <v>45070.07299</v>
      </c>
      <c r="D7072" s="15">
        <f>IFERROR(__xludf.DUMMYFUNCTION("""COMPUTED_VALUE"""),1.012)</f>
        <v>1.012</v>
      </c>
      <c r="E7072" s="16">
        <f>IFERROR(__xludf.DUMMYFUNCTION("""COMPUTED_VALUE"""),66.0)</f>
        <v>66</v>
      </c>
      <c r="F7072" s="19" t="str">
        <f>IFERROR(__xludf.DUMMYFUNCTION("""COMPUTED_VALUE"""),"BLACK")</f>
        <v>BLACK</v>
      </c>
      <c r="G7072" s="20" t="str">
        <f>IFERROR(__xludf.DUMMYFUNCTION("""COMPUTED_VALUE"""),"Uncle Sams Cider (04/04/2023)")</f>
        <v>Uncle Sams Cider (04/04/2023)</v>
      </c>
      <c r="H7072" s="19"/>
    </row>
    <row r="7073">
      <c r="A7073" s="9"/>
      <c r="B7073" s="15"/>
      <c r="C7073" s="9">
        <f>IFERROR(__xludf.DUMMYFUNCTION("""COMPUTED_VALUE"""),45070.0521366666)</f>
        <v>45070.05214</v>
      </c>
      <c r="D7073" s="15">
        <f>IFERROR(__xludf.DUMMYFUNCTION("""COMPUTED_VALUE"""),1.012)</f>
        <v>1.012</v>
      </c>
      <c r="E7073" s="16">
        <f>IFERROR(__xludf.DUMMYFUNCTION("""COMPUTED_VALUE"""),66.0)</f>
        <v>66</v>
      </c>
      <c r="F7073" s="19" t="str">
        <f>IFERROR(__xludf.DUMMYFUNCTION("""COMPUTED_VALUE"""),"BLACK")</f>
        <v>BLACK</v>
      </c>
      <c r="G7073" s="20" t="str">
        <f>IFERROR(__xludf.DUMMYFUNCTION("""COMPUTED_VALUE"""),"Uncle Sams Cider (04/04/2023)")</f>
        <v>Uncle Sams Cider (04/04/2023)</v>
      </c>
      <c r="H7073" s="19"/>
    </row>
    <row r="7074">
      <c r="A7074" s="9"/>
      <c r="B7074" s="15"/>
      <c r="C7074" s="9">
        <f>IFERROR(__xludf.DUMMYFUNCTION("""COMPUTED_VALUE"""),45070.0417029282)</f>
        <v>45070.0417</v>
      </c>
      <c r="D7074" s="15">
        <f>IFERROR(__xludf.DUMMYFUNCTION("""COMPUTED_VALUE"""),1.012)</f>
        <v>1.012</v>
      </c>
      <c r="E7074" s="16">
        <f>IFERROR(__xludf.DUMMYFUNCTION("""COMPUTED_VALUE"""),66.0)</f>
        <v>66</v>
      </c>
      <c r="F7074" s="19" t="str">
        <f>IFERROR(__xludf.DUMMYFUNCTION("""COMPUTED_VALUE"""),"BLACK")</f>
        <v>BLACK</v>
      </c>
      <c r="G7074" s="20" t="str">
        <f>IFERROR(__xludf.DUMMYFUNCTION("""COMPUTED_VALUE"""),"Uncle Sams Cider (04/04/2023)")</f>
        <v>Uncle Sams Cider (04/04/2023)</v>
      </c>
      <c r="H7074" s="19"/>
    </row>
    <row r="7075">
      <c r="A7075" s="9"/>
      <c r="B7075" s="15"/>
      <c r="C7075" s="9">
        <f>IFERROR(__xludf.DUMMYFUNCTION("""COMPUTED_VALUE"""),45070.0312822569)</f>
        <v>45070.03128</v>
      </c>
      <c r="D7075" s="15">
        <f>IFERROR(__xludf.DUMMYFUNCTION("""COMPUTED_VALUE"""),1.012)</f>
        <v>1.012</v>
      </c>
      <c r="E7075" s="16">
        <f>IFERROR(__xludf.DUMMYFUNCTION("""COMPUTED_VALUE"""),66.0)</f>
        <v>66</v>
      </c>
      <c r="F7075" s="19" t="str">
        <f>IFERROR(__xludf.DUMMYFUNCTION("""COMPUTED_VALUE"""),"BLACK")</f>
        <v>BLACK</v>
      </c>
      <c r="G7075" s="20" t="str">
        <f>IFERROR(__xludf.DUMMYFUNCTION("""COMPUTED_VALUE"""),"Uncle Sams Cider (04/04/2023)")</f>
        <v>Uncle Sams Cider (04/04/2023)</v>
      </c>
      <c r="H7075" s="19"/>
    </row>
    <row r="7076">
      <c r="A7076" s="9"/>
      <c r="B7076" s="15"/>
      <c r="C7076" s="9">
        <f>IFERROR(__xludf.DUMMYFUNCTION("""COMPUTED_VALUE"""),45070.0208491319)</f>
        <v>45070.02085</v>
      </c>
      <c r="D7076" s="15">
        <f>IFERROR(__xludf.DUMMYFUNCTION("""COMPUTED_VALUE"""),1.012)</f>
        <v>1.012</v>
      </c>
      <c r="E7076" s="16">
        <f>IFERROR(__xludf.DUMMYFUNCTION("""COMPUTED_VALUE"""),66.0)</f>
        <v>66</v>
      </c>
      <c r="F7076" s="19" t="str">
        <f>IFERROR(__xludf.DUMMYFUNCTION("""COMPUTED_VALUE"""),"BLACK")</f>
        <v>BLACK</v>
      </c>
      <c r="G7076" s="20" t="str">
        <f>IFERROR(__xludf.DUMMYFUNCTION("""COMPUTED_VALUE"""),"Uncle Sams Cider (04/04/2023)")</f>
        <v>Uncle Sams Cider (04/04/2023)</v>
      </c>
      <c r="H7076" s="19"/>
    </row>
    <row r="7077">
      <c r="A7077" s="9"/>
      <c r="B7077" s="15"/>
      <c r="C7077" s="9">
        <f>IFERROR(__xludf.DUMMYFUNCTION("""COMPUTED_VALUE"""),45070.010426412)</f>
        <v>45070.01043</v>
      </c>
      <c r="D7077" s="15">
        <f>IFERROR(__xludf.DUMMYFUNCTION("""COMPUTED_VALUE"""),1.012)</f>
        <v>1.012</v>
      </c>
      <c r="E7077" s="16">
        <f>IFERROR(__xludf.DUMMYFUNCTION("""COMPUTED_VALUE"""),66.0)</f>
        <v>66</v>
      </c>
      <c r="F7077" s="19" t="str">
        <f>IFERROR(__xludf.DUMMYFUNCTION("""COMPUTED_VALUE"""),"BLACK")</f>
        <v>BLACK</v>
      </c>
      <c r="G7077" s="20" t="str">
        <f>IFERROR(__xludf.DUMMYFUNCTION("""COMPUTED_VALUE"""),"Uncle Sams Cider (04/04/2023)")</f>
        <v>Uncle Sams Cider (04/04/2023)</v>
      </c>
      <c r="H7077" s="19"/>
    </row>
    <row r="7078">
      <c r="A7078" s="9"/>
      <c r="B7078" s="15"/>
      <c r="C7078" s="9">
        <f>IFERROR(__xludf.DUMMYFUNCTION("""COMPUTED_VALUE"""),45070.0000043055)</f>
        <v>45070</v>
      </c>
      <c r="D7078" s="15">
        <f>IFERROR(__xludf.DUMMYFUNCTION("""COMPUTED_VALUE"""),1.012)</f>
        <v>1.012</v>
      </c>
      <c r="E7078" s="16">
        <f>IFERROR(__xludf.DUMMYFUNCTION("""COMPUTED_VALUE"""),66.0)</f>
        <v>66</v>
      </c>
      <c r="F7078" s="19" t="str">
        <f>IFERROR(__xludf.DUMMYFUNCTION("""COMPUTED_VALUE"""),"BLACK")</f>
        <v>BLACK</v>
      </c>
      <c r="G7078" s="20" t="str">
        <f>IFERROR(__xludf.DUMMYFUNCTION("""COMPUTED_VALUE"""),"Uncle Sams Cider (04/04/2023)")</f>
        <v>Uncle Sams Cider (04/04/2023)</v>
      </c>
      <c r="H7078" s="19"/>
    </row>
    <row r="7079">
      <c r="A7079" s="9"/>
      <c r="B7079" s="15"/>
      <c r="C7079" s="9">
        <f>IFERROR(__xludf.DUMMYFUNCTION("""COMPUTED_VALUE"""),45069.9791660185)</f>
        <v>45069.97917</v>
      </c>
      <c r="D7079" s="15">
        <f>IFERROR(__xludf.DUMMYFUNCTION("""COMPUTED_VALUE"""),1.012)</f>
        <v>1.012</v>
      </c>
      <c r="E7079" s="16">
        <f>IFERROR(__xludf.DUMMYFUNCTION("""COMPUTED_VALUE"""),66.0)</f>
        <v>66</v>
      </c>
      <c r="F7079" s="19" t="str">
        <f>IFERROR(__xludf.DUMMYFUNCTION("""COMPUTED_VALUE"""),"BLACK")</f>
        <v>BLACK</v>
      </c>
      <c r="G7079" s="20" t="str">
        <f>IFERROR(__xludf.DUMMYFUNCTION("""COMPUTED_VALUE"""),"Uncle Sams Cider (04/04/2023)")</f>
        <v>Uncle Sams Cider (04/04/2023)</v>
      </c>
      <c r="H7079" s="19"/>
    </row>
    <row r="7080">
      <c r="A7080" s="9"/>
      <c r="B7080" s="15"/>
      <c r="C7080" s="9">
        <f>IFERROR(__xludf.DUMMYFUNCTION("""COMPUTED_VALUE"""),45069.9687451851)</f>
        <v>45069.96875</v>
      </c>
      <c r="D7080" s="15">
        <f>IFERROR(__xludf.DUMMYFUNCTION("""COMPUTED_VALUE"""),1.012)</f>
        <v>1.012</v>
      </c>
      <c r="E7080" s="16">
        <f>IFERROR(__xludf.DUMMYFUNCTION("""COMPUTED_VALUE"""),66.0)</f>
        <v>66</v>
      </c>
      <c r="F7080" s="19" t="str">
        <f>IFERROR(__xludf.DUMMYFUNCTION("""COMPUTED_VALUE"""),"BLACK")</f>
        <v>BLACK</v>
      </c>
      <c r="G7080" s="20" t="str">
        <f>IFERROR(__xludf.DUMMYFUNCTION("""COMPUTED_VALUE"""),"Uncle Sams Cider (04/04/2023)")</f>
        <v>Uncle Sams Cider (04/04/2023)</v>
      </c>
      <c r="H7080" s="19"/>
    </row>
    <row r="7081">
      <c r="A7081" s="9"/>
      <c r="B7081" s="15"/>
      <c r="C7081" s="9">
        <f>IFERROR(__xludf.DUMMYFUNCTION("""COMPUTED_VALUE"""),45069.9583247569)</f>
        <v>45069.95832</v>
      </c>
      <c r="D7081" s="15">
        <f>IFERROR(__xludf.DUMMYFUNCTION("""COMPUTED_VALUE"""),1.012)</f>
        <v>1.012</v>
      </c>
      <c r="E7081" s="16">
        <f>IFERROR(__xludf.DUMMYFUNCTION("""COMPUTED_VALUE"""),66.0)</f>
        <v>66</v>
      </c>
      <c r="F7081" s="19" t="str">
        <f>IFERROR(__xludf.DUMMYFUNCTION("""COMPUTED_VALUE"""),"BLACK")</f>
        <v>BLACK</v>
      </c>
      <c r="G7081" s="20" t="str">
        <f>IFERROR(__xludf.DUMMYFUNCTION("""COMPUTED_VALUE"""),"Uncle Sams Cider (04/04/2023)")</f>
        <v>Uncle Sams Cider (04/04/2023)</v>
      </c>
      <c r="H7081" s="19"/>
    </row>
    <row r="7082">
      <c r="A7082" s="9"/>
      <c r="B7082" s="15"/>
      <c r="C7082" s="9">
        <f>IFERROR(__xludf.DUMMYFUNCTION("""COMPUTED_VALUE"""),45069.9479048842)</f>
        <v>45069.9479</v>
      </c>
      <c r="D7082" s="15">
        <f>IFERROR(__xludf.DUMMYFUNCTION("""COMPUTED_VALUE"""),1.012)</f>
        <v>1.012</v>
      </c>
      <c r="E7082" s="16">
        <f>IFERROR(__xludf.DUMMYFUNCTION("""COMPUTED_VALUE"""),66.0)</f>
        <v>66</v>
      </c>
      <c r="F7082" s="19" t="str">
        <f>IFERROR(__xludf.DUMMYFUNCTION("""COMPUTED_VALUE"""),"BLACK")</f>
        <v>BLACK</v>
      </c>
      <c r="G7082" s="20" t="str">
        <f>IFERROR(__xludf.DUMMYFUNCTION("""COMPUTED_VALUE"""),"Uncle Sams Cider (04/04/2023)")</f>
        <v>Uncle Sams Cider (04/04/2023)</v>
      </c>
      <c r="H7082" s="19"/>
    </row>
    <row r="7083">
      <c r="A7083" s="9"/>
      <c r="B7083" s="15"/>
      <c r="C7083" s="9">
        <f>IFERROR(__xludf.DUMMYFUNCTION("""COMPUTED_VALUE"""),45069.9374601273)</f>
        <v>45069.93746</v>
      </c>
      <c r="D7083" s="15">
        <f>IFERROR(__xludf.DUMMYFUNCTION("""COMPUTED_VALUE"""),1.012)</f>
        <v>1.012</v>
      </c>
      <c r="E7083" s="16">
        <f>IFERROR(__xludf.DUMMYFUNCTION("""COMPUTED_VALUE"""),66.0)</f>
        <v>66</v>
      </c>
      <c r="F7083" s="19" t="str">
        <f>IFERROR(__xludf.DUMMYFUNCTION("""COMPUTED_VALUE"""),"BLACK")</f>
        <v>BLACK</v>
      </c>
      <c r="G7083" s="20" t="str">
        <f>IFERROR(__xludf.DUMMYFUNCTION("""COMPUTED_VALUE"""),"Uncle Sams Cider (04/04/2023)")</f>
        <v>Uncle Sams Cider (04/04/2023)</v>
      </c>
      <c r="H7083" s="19"/>
    </row>
    <row r="7084">
      <c r="A7084" s="9"/>
      <c r="B7084" s="15"/>
      <c r="C7084" s="9">
        <f>IFERROR(__xludf.DUMMYFUNCTION("""COMPUTED_VALUE"""),45069.9270266782)</f>
        <v>45069.92703</v>
      </c>
      <c r="D7084" s="15">
        <f>IFERROR(__xludf.DUMMYFUNCTION("""COMPUTED_VALUE"""),1.012)</f>
        <v>1.012</v>
      </c>
      <c r="E7084" s="16">
        <f>IFERROR(__xludf.DUMMYFUNCTION("""COMPUTED_VALUE"""),66.0)</f>
        <v>66</v>
      </c>
      <c r="F7084" s="19" t="str">
        <f>IFERROR(__xludf.DUMMYFUNCTION("""COMPUTED_VALUE"""),"BLACK")</f>
        <v>BLACK</v>
      </c>
      <c r="G7084" s="20" t="str">
        <f>IFERROR(__xludf.DUMMYFUNCTION("""COMPUTED_VALUE"""),"Uncle Sams Cider (04/04/2023)")</f>
        <v>Uncle Sams Cider (04/04/2023)</v>
      </c>
      <c r="H7084" s="19"/>
    </row>
    <row r="7085">
      <c r="A7085" s="9"/>
      <c r="B7085" s="15"/>
      <c r="C7085" s="9">
        <f>IFERROR(__xludf.DUMMYFUNCTION("""COMPUTED_VALUE"""),45069.916604375)</f>
        <v>45069.9166</v>
      </c>
      <c r="D7085" s="15">
        <f>IFERROR(__xludf.DUMMYFUNCTION("""COMPUTED_VALUE"""),1.012)</f>
        <v>1.012</v>
      </c>
      <c r="E7085" s="16">
        <f>IFERROR(__xludf.DUMMYFUNCTION("""COMPUTED_VALUE"""),66.0)</f>
        <v>66</v>
      </c>
      <c r="F7085" s="19" t="str">
        <f>IFERROR(__xludf.DUMMYFUNCTION("""COMPUTED_VALUE"""),"BLACK")</f>
        <v>BLACK</v>
      </c>
      <c r="G7085" s="20" t="str">
        <f>IFERROR(__xludf.DUMMYFUNCTION("""COMPUTED_VALUE"""),"Uncle Sams Cider (04/04/2023)")</f>
        <v>Uncle Sams Cider (04/04/2023)</v>
      </c>
      <c r="H7085" s="19"/>
    </row>
    <row r="7086">
      <c r="A7086" s="9"/>
      <c r="B7086" s="15"/>
      <c r="C7086" s="9">
        <f>IFERROR(__xludf.DUMMYFUNCTION("""COMPUTED_VALUE"""),45069.9061830439)</f>
        <v>45069.90618</v>
      </c>
      <c r="D7086" s="15">
        <f>IFERROR(__xludf.DUMMYFUNCTION("""COMPUTED_VALUE"""),1.012)</f>
        <v>1.012</v>
      </c>
      <c r="E7086" s="16">
        <f>IFERROR(__xludf.DUMMYFUNCTION("""COMPUTED_VALUE"""),66.0)</f>
        <v>66</v>
      </c>
      <c r="F7086" s="19" t="str">
        <f>IFERROR(__xludf.DUMMYFUNCTION("""COMPUTED_VALUE"""),"BLACK")</f>
        <v>BLACK</v>
      </c>
      <c r="G7086" s="20" t="str">
        <f>IFERROR(__xludf.DUMMYFUNCTION("""COMPUTED_VALUE"""),"Uncle Sams Cider (04/04/2023)")</f>
        <v>Uncle Sams Cider (04/04/2023)</v>
      </c>
      <c r="H7086" s="19"/>
    </row>
    <row r="7087">
      <c r="A7087" s="9"/>
      <c r="B7087" s="15"/>
      <c r="C7087" s="9">
        <f>IFERROR(__xludf.DUMMYFUNCTION("""COMPUTED_VALUE"""),45069.8957617013)</f>
        <v>45069.89576</v>
      </c>
      <c r="D7087" s="15">
        <f>IFERROR(__xludf.DUMMYFUNCTION("""COMPUTED_VALUE"""),1.012)</f>
        <v>1.012</v>
      </c>
      <c r="E7087" s="16">
        <f>IFERROR(__xludf.DUMMYFUNCTION("""COMPUTED_VALUE"""),66.0)</f>
        <v>66</v>
      </c>
      <c r="F7087" s="19" t="str">
        <f>IFERROR(__xludf.DUMMYFUNCTION("""COMPUTED_VALUE"""),"BLACK")</f>
        <v>BLACK</v>
      </c>
      <c r="G7087" s="20" t="str">
        <f>IFERROR(__xludf.DUMMYFUNCTION("""COMPUTED_VALUE"""),"Uncle Sams Cider (04/04/2023)")</f>
        <v>Uncle Sams Cider (04/04/2023)</v>
      </c>
      <c r="H7087" s="19"/>
    </row>
    <row r="7088">
      <c r="A7088" s="9"/>
      <c r="B7088" s="15"/>
      <c r="C7088" s="9">
        <f>IFERROR(__xludf.DUMMYFUNCTION("""COMPUTED_VALUE"""),45069.8853398842)</f>
        <v>45069.88534</v>
      </c>
      <c r="D7088" s="15">
        <f>IFERROR(__xludf.DUMMYFUNCTION("""COMPUTED_VALUE"""),1.012)</f>
        <v>1.012</v>
      </c>
      <c r="E7088" s="16">
        <f>IFERROR(__xludf.DUMMYFUNCTION("""COMPUTED_VALUE"""),66.0)</f>
        <v>66</v>
      </c>
      <c r="F7088" s="19" t="str">
        <f>IFERROR(__xludf.DUMMYFUNCTION("""COMPUTED_VALUE"""),"BLACK")</f>
        <v>BLACK</v>
      </c>
      <c r="G7088" s="20" t="str">
        <f>IFERROR(__xludf.DUMMYFUNCTION("""COMPUTED_VALUE"""),"Uncle Sams Cider (04/04/2023)")</f>
        <v>Uncle Sams Cider (04/04/2023)</v>
      </c>
      <c r="H7088" s="19"/>
    </row>
    <row r="7089">
      <c r="A7089" s="9"/>
      <c r="B7089" s="15"/>
      <c r="C7089" s="9">
        <f>IFERROR(__xludf.DUMMYFUNCTION("""COMPUTED_VALUE"""),45069.8749215046)</f>
        <v>45069.87492</v>
      </c>
      <c r="D7089" s="15">
        <f>IFERROR(__xludf.DUMMYFUNCTION("""COMPUTED_VALUE"""),1.012)</f>
        <v>1.012</v>
      </c>
      <c r="E7089" s="16">
        <f>IFERROR(__xludf.DUMMYFUNCTION("""COMPUTED_VALUE"""),66.0)</f>
        <v>66</v>
      </c>
      <c r="F7089" s="19" t="str">
        <f>IFERROR(__xludf.DUMMYFUNCTION("""COMPUTED_VALUE"""),"BLACK")</f>
        <v>BLACK</v>
      </c>
      <c r="G7089" s="20" t="str">
        <f>IFERROR(__xludf.DUMMYFUNCTION("""COMPUTED_VALUE"""),"Uncle Sams Cider (04/04/2023)")</f>
        <v>Uncle Sams Cider (04/04/2023)</v>
      </c>
      <c r="H7089" s="19"/>
    </row>
    <row r="7090">
      <c r="A7090" s="9"/>
      <c r="B7090" s="15"/>
      <c r="C7090" s="9">
        <f>IFERROR(__xludf.DUMMYFUNCTION("""COMPUTED_VALUE"""),45069.8645006365)</f>
        <v>45069.8645</v>
      </c>
      <c r="D7090" s="15">
        <f>IFERROR(__xludf.DUMMYFUNCTION("""COMPUTED_VALUE"""),1.012)</f>
        <v>1.012</v>
      </c>
      <c r="E7090" s="16">
        <f>IFERROR(__xludf.DUMMYFUNCTION("""COMPUTED_VALUE"""),66.0)</f>
        <v>66</v>
      </c>
      <c r="F7090" s="19" t="str">
        <f>IFERROR(__xludf.DUMMYFUNCTION("""COMPUTED_VALUE"""),"BLACK")</f>
        <v>BLACK</v>
      </c>
      <c r="G7090" s="20" t="str">
        <f>IFERROR(__xludf.DUMMYFUNCTION("""COMPUTED_VALUE"""),"Uncle Sams Cider (04/04/2023)")</f>
        <v>Uncle Sams Cider (04/04/2023)</v>
      </c>
      <c r="H7090" s="19"/>
    </row>
    <row r="7091">
      <c r="A7091" s="9"/>
      <c r="B7091" s="15"/>
      <c r="C7091" s="9">
        <f>IFERROR(__xludf.DUMMYFUNCTION("""COMPUTED_VALUE"""),45069.854079618)</f>
        <v>45069.85408</v>
      </c>
      <c r="D7091" s="15">
        <f>IFERROR(__xludf.DUMMYFUNCTION("""COMPUTED_VALUE"""),1.012)</f>
        <v>1.012</v>
      </c>
      <c r="E7091" s="16">
        <f>IFERROR(__xludf.DUMMYFUNCTION("""COMPUTED_VALUE"""),66.0)</f>
        <v>66</v>
      </c>
      <c r="F7091" s="19" t="str">
        <f>IFERROR(__xludf.DUMMYFUNCTION("""COMPUTED_VALUE"""),"BLACK")</f>
        <v>BLACK</v>
      </c>
      <c r="G7091" s="20" t="str">
        <f>IFERROR(__xludf.DUMMYFUNCTION("""COMPUTED_VALUE"""),"Uncle Sams Cider (04/04/2023)")</f>
        <v>Uncle Sams Cider (04/04/2023)</v>
      </c>
      <c r="H7091" s="19"/>
    </row>
    <row r="7092">
      <c r="A7092" s="9"/>
      <c r="B7092" s="15"/>
      <c r="C7092" s="9">
        <f>IFERROR(__xludf.DUMMYFUNCTION("""COMPUTED_VALUE"""),45069.8332379629)</f>
        <v>45069.83324</v>
      </c>
      <c r="D7092" s="15">
        <f>IFERROR(__xludf.DUMMYFUNCTION("""COMPUTED_VALUE"""),1.012)</f>
        <v>1.012</v>
      </c>
      <c r="E7092" s="16">
        <f>IFERROR(__xludf.DUMMYFUNCTION("""COMPUTED_VALUE"""),66.0)</f>
        <v>66</v>
      </c>
      <c r="F7092" s="19" t="str">
        <f>IFERROR(__xludf.DUMMYFUNCTION("""COMPUTED_VALUE"""),"BLACK")</f>
        <v>BLACK</v>
      </c>
      <c r="G7092" s="20" t="str">
        <f>IFERROR(__xludf.DUMMYFUNCTION("""COMPUTED_VALUE"""),"Uncle Sams Cider (04/04/2023)")</f>
        <v>Uncle Sams Cider (04/04/2023)</v>
      </c>
      <c r="H7092" s="19"/>
    </row>
    <row r="7093">
      <c r="A7093" s="9"/>
      <c r="B7093" s="15"/>
      <c r="C7093" s="9">
        <f>IFERROR(__xludf.DUMMYFUNCTION("""COMPUTED_VALUE"""),45069.8228167013)</f>
        <v>45069.82282</v>
      </c>
      <c r="D7093" s="15">
        <f>IFERROR(__xludf.DUMMYFUNCTION("""COMPUTED_VALUE"""),1.012)</f>
        <v>1.012</v>
      </c>
      <c r="E7093" s="16">
        <f>IFERROR(__xludf.DUMMYFUNCTION("""COMPUTED_VALUE"""),66.0)</f>
        <v>66</v>
      </c>
      <c r="F7093" s="19" t="str">
        <f>IFERROR(__xludf.DUMMYFUNCTION("""COMPUTED_VALUE"""),"BLACK")</f>
        <v>BLACK</v>
      </c>
      <c r="G7093" s="20" t="str">
        <f>IFERROR(__xludf.DUMMYFUNCTION("""COMPUTED_VALUE"""),"Uncle Sams Cider (04/04/2023)")</f>
        <v>Uncle Sams Cider (04/04/2023)</v>
      </c>
      <c r="H7093" s="19"/>
    </row>
    <row r="7094">
      <c r="A7094" s="9"/>
      <c r="B7094" s="15"/>
      <c r="C7094" s="9">
        <f>IFERROR(__xludf.DUMMYFUNCTION("""COMPUTED_VALUE"""),45069.8123840509)</f>
        <v>45069.81238</v>
      </c>
      <c r="D7094" s="15">
        <f>IFERROR(__xludf.DUMMYFUNCTION("""COMPUTED_VALUE"""),1.012)</f>
        <v>1.012</v>
      </c>
      <c r="E7094" s="16">
        <f>IFERROR(__xludf.DUMMYFUNCTION("""COMPUTED_VALUE"""),66.0)</f>
        <v>66</v>
      </c>
      <c r="F7094" s="19" t="str">
        <f>IFERROR(__xludf.DUMMYFUNCTION("""COMPUTED_VALUE"""),"BLACK")</f>
        <v>BLACK</v>
      </c>
      <c r="G7094" s="20" t="str">
        <f>IFERROR(__xludf.DUMMYFUNCTION("""COMPUTED_VALUE"""),"Uncle Sams Cider (04/04/2023)")</f>
        <v>Uncle Sams Cider (04/04/2023)</v>
      </c>
      <c r="H7094" s="19"/>
    </row>
    <row r="7095">
      <c r="A7095" s="9"/>
      <c r="B7095" s="15"/>
      <c r="C7095" s="9">
        <f>IFERROR(__xludf.DUMMYFUNCTION("""COMPUTED_VALUE"""),45069.8019509838)</f>
        <v>45069.80195</v>
      </c>
      <c r="D7095" s="15">
        <f>IFERROR(__xludf.DUMMYFUNCTION("""COMPUTED_VALUE"""),1.012)</f>
        <v>1.012</v>
      </c>
      <c r="E7095" s="16">
        <f>IFERROR(__xludf.DUMMYFUNCTION("""COMPUTED_VALUE"""),66.0)</f>
        <v>66</v>
      </c>
      <c r="F7095" s="19" t="str">
        <f>IFERROR(__xludf.DUMMYFUNCTION("""COMPUTED_VALUE"""),"BLACK")</f>
        <v>BLACK</v>
      </c>
      <c r="G7095" s="20" t="str">
        <f>IFERROR(__xludf.DUMMYFUNCTION("""COMPUTED_VALUE"""),"Uncle Sams Cider (04/04/2023)")</f>
        <v>Uncle Sams Cider (04/04/2023)</v>
      </c>
      <c r="H7095" s="19"/>
    </row>
    <row r="7096">
      <c r="A7096" s="9"/>
      <c r="B7096" s="15"/>
      <c r="C7096" s="9">
        <f>IFERROR(__xludf.DUMMYFUNCTION("""COMPUTED_VALUE"""),45069.7915309838)</f>
        <v>45069.79153</v>
      </c>
      <c r="D7096" s="15">
        <f>IFERROR(__xludf.DUMMYFUNCTION("""COMPUTED_VALUE"""),1.012)</f>
        <v>1.012</v>
      </c>
      <c r="E7096" s="16">
        <f>IFERROR(__xludf.DUMMYFUNCTION("""COMPUTED_VALUE"""),66.0)</f>
        <v>66</v>
      </c>
      <c r="F7096" s="19" t="str">
        <f>IFERROR(__xludf.DUMMYFUNCTION("""COMPUTED_VALUE"""),"BLACK")</f>
        <v>BLACK</v>
      </c>
      <c r="G7096" s="20" t="str">
        <f>IFERROR(__xludf.DUMMYFUNCTION("""COMPUTED_VALUE"""),"Uncle Sams Cider (04/04/2023)")</f>
        <v>Uncle Sams Cider (04/04/2023)</v>
      </c>
      <c r="H7096" s="19"/>
    </row>
    <row r="7097">
      <c r="A7097" s="9"/>
      <c r="B7097" s="15"/>
      <c r="C7097" s="9">
        <f>IFERROR(__xludf.DUMMYFUNCTION("""COMPUTED_VALUE"""),45069.7810965277)</f>
        <v>45069.7811</v>
      </c>
      <c r="D7097" s="15">
        <f>IFERROR(__xludf.DUMMYFUNCTION("""COMPUTED_VALUE"""),1.012)</f>
        <v>1.012</v>
      </c>
      <c r="E7097" s="16">
        <f>IFERROR(__xludf.DUMMYFUNCTION("""COMPUTED_VALUE"""),66.0)</f>
        <v>66</v>
      </c>
      <c r="F7097" s="19" t="str">
        <f>IFERROR(__xludf.DUMMYFUNCTION("""COMPUTED_VALUE"""),"BLACK")</f>
        <v>BLACK</v>
      </c>
      <c r="G7097" s="20" t="str">
        <f>IFERROR(__xludf.DUMMYFUNCTION("""COMPUTED_VALUE"""),"Uncle Sams Cider (04/04/2023)")</f>
        <v>Uncle Sams Cider (04/04/2023)</v>
      </c>
      <c r="H7097" s="19"/>
    </row>
    <row r="7098">
      <c r="A7098" s="9"/>
      <c r="B7098" s="15"/>
      <c r="C7098" s="9">
        <f>IFERROR(__xludf.DUMMYFUNCTION("""COMPUTED_VALUE"""),45069.7706760879)</f>
        <v>45069.77068</v>
      </c>
      <c r="D7098" s="15">
        <f>IFERROR(__xludf.DUMMYFUNCTION("""COMPUTED_VALUE"""),1.012)</f>
        <v>1.012</v>
      </c>
      <c r="E7098" s="16">
        <f>IFERROR(__xludf.DUMMYFUNCTION("""COMPUTED_VALUE"""),66.0)</f>
        <v>66</v>
      </c>
      <c r="F7098" s="19" t="str">
        <f>IFERROR(__xludf.DUMMYFUNCTION("""COMPUTED_VALUE"""),"BLACK")</f>
        <v>BLACK</v>
      </c>
      <c r="G7098" s="20" t="str">
        <f>IFERROR(__xludf.DUMMYFUNCTION("""COMPUTED_VALUE"""),"Uncle Sams Cider (04/04/2023)")</f>
        <v>Uncle Sams Cider (04/04/2023)</v>
      </c>
      <c r="H7098" s="19"/>
    </row>
    <row r="7099">
      <c r="A7099" s="9"/>
      <c r="B7099" s="15"/>
      <c r="C7099" s="9">
        <f>IFERROR(__xludf.DUMMYFUNCTION("""COMPUTED_VALUE"""),45069.7602581134)</f>
        <v>45069.76026</v>
      </c>
      <c r="D7099" s="15">
        <f>IFERROR(__xludf.DUMMYFUNCTION("""COMPUTED_VALUE"""),1.012)</f>
        <v>1.012</v>
      </c>
      <c r="E7099" s="16">
        <f>IFERROR(__xludf.DUMMYFUNCTION("""COMPUTED_VALUE"""),66.0)</f>
        <v>66</v>
      </c>
      <c r="F7099" s="19" t="str">
        <f>IFERROR(__xludf.DUMMYFUNCTION("""COMPUTED_VALUE"""),"BLACK")</f>
        <v>BLACK</v>
      </c>
      <c r="G7099" s="20" t="str">
        <f>IFERROR(__xludf.DUMMYFUNCTION("""COMPUTED_VALUE"""),"Uncle Sams Cider (04/04/2023)")</f>
        <v>Uncle Sams Cider (04/04/2023)</v>
      </c>
      <c r="H7099" s="19"/>
    </row>
    <row r="7100">
      <c r="A7100" s="9"/>
      <c r="B7100" s="15"/>
      <c r="C7100" s="9">
        <f>IFERROR(__xludf.DUMMYFUNCTION("""COMPUTED_VALUE"""),45069.7498242013)</f>
        <v>45069.74982</v>
      </c>
      <c r="D7100" s="15">
        <f>IFERROR(__xludf.DUMMYFUNCTION("""COMPUTED_VALUE"""),1.012)</f>
        <v>1.012</v>
      </c>
      <c r="E7100" s="16">
        <f>IFERROR(__xludf.DUMMYFUNCTION("""COMPUTED_VALUE"""),66.0)</f>
        <v>66</v>
      </c>
      <c r="F7100" s="19" t="str">
        <f>IFERROR(__xludf.DUMMYFUNCTION("""COMPUTED_VALUE"""),"BLACK")</f>
        <v>BLACK</v>
      </c>
      <c r="G7100" s="20" t="str">
        <f>IFERROR(__xludf.DUMMYFUNCTION("""COMPUTED_VALUE"""),"Uncle Sams Cider (04/04/2023)")</f>
        <v>Uncle Sams Cider (04/04/2023)</v>
      </c>
      <c r="H7100" s="19"/>
    </row>
    <row r="7101">
      <c r="A7101" s="9"/>
      <c r="B7101" s="15"/>
      <c r="C7101" s="9">
        <f>IFERROR(__xludf.DUMMYFUNCTION("""COMPUTED_VALUE"""),45069.739404699)</f>
        <v>45069.7394</v>
      </c>
      <c r="D7101" s="15">
        <f>IFERROR(__xludf.DUMMYFUNCTION("""COMPUTED_VALUE"""),1.012)</f>
        <v>1.012</v>
      </c>
      <c r="E7101" s="16">
        <f>IFERROR(__xludf.DUMMYFUNCTION("""COMPUTED_VALUE"""),66.0)</f>
        <v>66</v>
      </c>
      <c r="F7101" s="19" t="str">
        <f>IFERROR(__xludf.DUMMYFUNCTION("""COMPUTED_VALUE"""),"BLACK")</f>
        <v>BLACK</v>
      </c>
      <c r="G7101" s="20" t="str">
        <f>IFERROR(__xludf.DUMMYFUNCTION("""COMPUTED_VALUE"""),"Uncle Sams Cider (04/04/2023)")</f>
        <v>Uncle Sams Cider (04/04/2023)</v>
      </c>
      <c r="H7101" s="19"/>
    </row>
    <row r="7102">
      <c r="A7102" s="9"/>
      <c r="B7102" s="15"/>
      <c r="C7102" s="9">
        <f>IFERROR(__xludf.DUMMYFUNCTION("""COMPUTED_VALUE"""),45069.7081286342)</f>
        <v>45069.70813</v>
      </c>
      <c r="D7102" s="15">
        <f>IFERROR(__xludf.DUMMYFUNCTION("""COMPUTED_VALUE"""),1.012)</f>
        <v>1.012</v>
      </c>
      <c r="E7102" s="16">
        <f>IFERROR(__xludf.DUMMYFUNCTION("""COMPUTED_VALUE"""),66.0)</f>
        <v>66</v>
      </c>
      <c r="F7102" s="19" t="str">
        <f>IFERROR(__xludf.DUMMYFUNCTION("""COMPUTED_VALUE"""),"BLACK")</f>
        <v>BLACK</v>
      </c>
      <c r="G7102" s="20" t="str">
        <f>IFERROR(__xludf.DUMMYFUNCTION("""COMPUTED_VALUE"""),"Uncle Sams Cider (04/04/2023)")</f>
        <v>Uncle Sams Cider (04/04/2023)</v>
      </c>
      <c r="H7102" s="19"/>
    </row>
    <row r="7103">
      <c r="A7103" s="9"/>
      <c r="B7103" s="15"/>
      <c r="C7103" s="9">
        <f>IFERROR(__xludf.DUMMYFUNCTION("""COMPUTED_VALUE"""),45069.6976856365)</f>
        <v>45069.69769</v>
      </c>
      <c r="D7103" s="15">
        <f>IFERROR(__xludf.DUMMYFUNCTION("""COMPUTED_VALUE"""),1.012)</f>
        <v>1.012</v>
      </c>
      <c r="E7103" s="16">
        <f>IFERROR(__xludf.DUMMYFUNCTION("""COMPUTED_VALUE"""),66.0)</f>
        <v>66</v>
      </c>
      <c r="F7103" s="19" t="str">
        <f>IFERROR(__xludf.DUMMYFUNCTION("""COMPUTED_VALUE"""),"BLACK")</f>
        <v>BLACK</v>
      </c>
      <c r="G7103" s="20" t="str">
        <f>IFERROR(__xludf.DUMMYFUNCTION("""COMPUTED_VALUE"""),"Uncle Sams Cider (04/04/2023)")</f>
        <v>Uncle Sams Cider (04/04/2023)</v>
      </c>
      <c r="H7103" s="19"/>
    </row>
    <row r="7104">
      <c r="A7104" s="9"/>
      <c r="B7104" s="15"/>
      <c r="C7104" s="9">
        <f>IFERROR(__xludf.DUMMYFUNCTION("""COMPUTED_VALUE"""),45069.6872525925)</f>
        <v>45069.68725</v>
      </c>
      <c r="D7104" s="15">
        <f>IFERROR(__xludf.DUMMYFUNCTION("""COMPUTED_VALUE"""),1.012)</f>
        <v>1.012</v>
      </c>
      <c r="E7104" s="16">
        <f>IFERROR(__xludf.DUMMYFUNCTION("""COMPUTED_VALUE"""),66.0)</f>
        <v>66</v>
      </c>
      <c r="F7104" s="19" t="str">
        <f>IFERROR(__xludf.DUMMYFUNCTION("""COMPUTED_VALUE"""),"BLACK")</f>
        <v>BLACK</v>
      </c>
      <c r="G7104" s="20" t="str">
        <f>IFERROR(__xludf.DUMMYFUNCTION("""COMPUTED_VALUE"""),"Uncle Sams Cider (04/04/2023)")</f>
        <v>Uncle Sams Cider (04/04/2023)</v>
      </c>
      <c r="H7104" s="19"/>
    </row>
    <row r="7105">
      <c r="A7105" s="9"/>
      <c r="B7105" s="15"/>
      <c r="C7105" s="9">
        <f>IFERROR(__xludf.DUMMYFUNCTION("""COMPUTED_VALUE"""),45069.6768321875)</f>
        <v>45069.67683</v>
      </c>
      <c r="D7105" s="15">
        <f>IFERROR(__xludf.DUMMYFUNCTION("""COMPUTED_VALUE"""),1.012)</f>
        <v>1.012</v>
      </c>
      <c r="E7105" s="16">
        <f>IFERROR(__xludf.DUMMYFUNCTION("""COMPUTED_VALUE"""),66.0)</f>
        <v>66</v>
      </c>
      <c r="F7105" s="19" t="str">
        <f>IFERROR(__xludf.DUMMYFUNCTION("""COMPUTED_VALUE"""),"BLACK")</f>
        <v>BLACK</v>
      </c>
      <c r="G7105" s="20" t="str">
        <f>IFERROR(__xludf.DUMMYFUNCTION("""COMPUTED_VALUE"""),"Uncle Sams Cider (04/04/2023)")</f>
        <v>Uncle Sams Cider (04/04/2023)</v>
      </c>
      <c r="H7105" s="19"/>
    </row>
    <row r="7106">
      <c r="A7106" s="9"/>
      <c r="B7106" s="15"/>
      <c r="C7106" s="9">
        <f>IFERROR(__xludf.DUMMYFUNCTION("""COMPUTED_VALUE"""),45069.6664102777)</f>
        <v>45069.66641</v>
      </c>
      <c r="D7106" s="15">
        <f>IFERROR(__xludf.DUMMYFUNCTION("""COMPUTED_VALUE"""),1.012)</f>
        <v>1.012</v>
      </c>
      <c r="E7106" s="16">
        <f>IFERROR(__xludf.DUMMYFUNCTION("""COMPUTED_VALUE"""),66.0)</f>
        <v>66</v>
      </c>
      <c r="F7106" s="19" t="str">
        <f>IFERROR(__xludf.DUMMYFUNCTION("""COMPUTED_VALUE"""),"BLACK")</f>
        <v>BLACK</v>
      </c>
      <c r="G7106" s="20" t="str">
        <f>IFERROR(__xludf.DUMMYFUNCTION("""COMPUTED_VALUE"""),"Uncle Sams Cider (04/04/2023)")</f>
        <v>Uncle Sams Cider (04/04/2023)</v>
      </c>
      <c r="H7106" s="19"/>
    </row>
    <row r="7107">
      <c r="A7107" s="9"/>
      <c r="B7107" s="15"/>
      <c r="C7107" s="9">
        <f>IFERROR(__xludf.DUMMYFUNCTION("""COMPUTED_VALUE"""),45069.6559893518)</f>
        <v>45069.65599</v>
      </c>
      <c r="D7107" s="15">
        <f>IFERROR(__xludf.DUMMYFUNCTION("""COMPUTED_VALUE"""),1.012)</f>
        <v>1.012</v>
      </c>
      <c r="E7107" s="16">
        <f>IFERROR(__xludf.DUMMYFUNCTION("""COMPUTED_VALUE"""),66.0)</f>
        <v>66</v>
      </c>
      <c r="F7107" s="19" t="str">
        <f>IFERROR(__xludf.DUMMYFUNCTION("""COMPUTED_VALUE"""),"BLACK")</f>
        <v>BLACK</v>
      </c>
      <c r="G7107" s="20" t="str">
        <f>IFERROR(__xludf.DUMMYFUNCTION("""COMPUTED_VALUE"""),"Uncle Sams Cider (04/04/2023)")</f>
        <v>Uncle Sams Cider (04/04/2023)</v>
      </c>
      <c r="H7107" s="19"/>
    </row>
    <row r="7108">
      <c r="A7108" s="9"/>
      <c r="B7108" s="15"/>
      <c r="C7108" s="9">
        <f>IFERROR(__xludf.DUMMYFUNCTION("""COMPUTED_VALUE"""),45069.6455676967)</f>
        <v>45069.64557</v>
      </c>
      <c r="D7108" s="15">
        <f>IFERROR(__xludf.DUMMYFUNCTION("""COMPUTED_VALUE"""),1.012)</f>
        <v>1.012</v>
      </c>
      <c r="E7108" s="16">
        <f>IFERROR(__xludf.DUMMYFUNCTION("""COMPUTED_VALUE"""),66.0)</f>
        <v>66</v>
      </c>
      <c r="F7108" s="19" t="str">
        <f>IFERROR(__xludf.DUMMYFUNCTION("""COMPUTED_VALUE"""),"BLACK")</f>
        <v>BLACK</v>
      </c>
      <c r="G7108" s="20" t="str">
        <f>IFERROR(__xludf.DUMMYFUNCTION("""COMPUTED_VALUE"""),"Uncle Sams Cider (04/04/2023)")</f>
        <v>Uncle Sams Cider (04/04/2023)</v>
      </c>
      <c r="H7108" s="19"/>
    </row>
    <row r="7109">
      <c r="A7109" s="9"/>
      <c r="B7109" s="15"/>
      <c r="C7109" s="9">
        <f>IFERROR(__xludf.DUMMYFUNCTION("""COMPUTED_VALUE"""),45069.6351346527)</f>
        <v>45069.63513</v>
      </c>
      <c r="D7109" s="15">
        <f>IFERROR(__xludf.DUMMYFUNCTION("""COMPUTED_VALUE"""),1.012)</f>
        <v>1.012</v>
      </c>
      <c r="E7109" s="16">
        <f>IFERROR(__xludf.DUMMYFUNCTION("""COMPUTED_VALUE"""),66.0)</f>
        <v>66</v>
      </c>
      <c r="F7109" s="19" t="str">
        <f>IFERROR(__xludf.DUMMYFUNCTION("""COMPUTED_VALUE"""),"BLACK")</f>
        <v>BLACK</v>
      </c>
      <c r="G7109" s="20" t="str">
        <f>IFERROR(__xludf.DUMMYFUNCTION("""COMPUTED_VALUE"""),"Uncle Sams Cider (04/04/2023)")</f>
        <v>Uncle Sams Cider (04/04/2023)</v>
      </c>
      <c r="H7109" s="19"/>
    </row>
    <row r="7110">
      <c r="A7110" s="9"/>
      <c r="B7110" s="15"/>
      <c r="C7110" s="9">
        <f>IFERROR(__xludf.DUMMYFUNCTION("""COMPUTED_VALUE"""),45069.6247120833)</f>
        <v>45069.62471</v>
      </c>
      <c r="D7110" s="15">
        <f>IFERROR(__xludf.DUMMYFUNCTION("""COMPUTED_VALUE"""),1.012)</f>
        <v>1.012</v>
      </c>
      <c r="E7110" s="16">
        <f>IFERROR(__xludf.DUMMYFUNCTION("""COMPUTED_VALUE"""),66.0)</f>
        <v>66</v>
      </c>
      <c r="F7110" s="19" t="str">
        <f>IFERROR(__xludf.DUMMYFUNCTION("""COMPUTED_VALUE"""),"BLACK")</f>
        <v>BLACK</v>
      </c>
      <c r="G7110" s="20" t="str">
        <f>IFERROR(__xludf.DUMMYFUNCTION("""COMPUTED_VALUE"""),"Uncle Sams Cider (04/04/2023)")</f>
        <v>Uncle Sams Cider (04/04/2023)</v>
      </c>
      <c r="H7110" s="19"/>
    </row>
    <row r="7111">
      <c r="A7111" s="9"/>
      <c r="B7111" s="15"/>
      <c r="C7111" s="9">
        <f>IFERROR(__xludf.DUMMYFUNCTION("""COMPUTED_VALUE"""),45069.6142911574)</f>
        <v>45069.61429</v>
      </c>
      <c r="D7111" s="15">
        <f>IFERROR(__xludf.DUMMYFUNCTION("""COMPUTED_VALUE"""),1.012)</f>
        <v>1.012</v>
      </c>
      <c r="E7111" s="16">
        <f>IFERROR(__xludf.DUMMYFUNCTION("""COMPUTED_VALUE"""),66.0)</f>
        <v>66</v>
      </c>
      <c r="F7111" s="19" t="str">
        <f>IFERROR(__xludf.DUMMYFUNCTION("""COMPUTED_VALUE"""),"BLACK")</f>
        <v>BLACK</v>
      </c>
      <c r="G7111" s="20" t="str">
        <f>IFERROR(__xludf.DUMMYFUNCTION("""COMPUTED_VALUE"""),"Uncle Sams Cider (04/04/2023)")</f>
        <v>Uncle Sams Cider (04/04/2023)</v>
      </c>
      <c r="H7111" s="19"/>
    </row>
    <row r="7112">
      <c r="A7112" s="9"/>
      <c r="B7112" s="15"/>
      <c r="C7112" s="9">
        <f>IFERROR(__xludf.DUMMYFUNCTION("""COMPUTED_VALUE"""),45069.6038595138)</f>
        <v>45069.60386</v>
      </c>
      <c r="D7112" s="15">
        <f>IFERROR(__xludf.DUMMYFUNCTION("""COMPUTED_VALUE"""),1.012)</f>
        <v>1.012</v>
      </c>
      <c r="E7112" s="16">
        <f>IFERROR(__xludf.DUMMYFUNCTION("""COMPUTED_VALUE"""),66.0)</f>
        <v>66</v>
      </c>
      <c r="F7112" s="19" t="str">
        <f>IFERROR(__xludf.DUMMYFUNCTION("""COMPUTED_VALUE"""),"BLACK")</f>
        <v>BLACK</v>
      </c>
      <c r="G7112" s="20" t="str">
        <f>IFERROR(__xludf.DUMMYFUNCTION("""COMPUTED_VALUE"""),"Uncle Sams Cider (04/04/2023)")</f>
        <v>Uncle Sams Cider (04/04/2023)</v>
      </c>
      <c r="H7112" s="19"/>
    </row>
    <row r="7113">
      <c r="A7113" s="9"/>
      <c r="B7113" s="15"/>
      <c r="C7113" s="9">
        <f>IFERROR(__xludf.DUMMYFUNCTION("""COMPUTED_VALUE"""),45069.5934360995)</f>
        <v>45069.59344</v>
      </c>
      <c r="D7113" s="15">
        <f>IFERROR(__xludf.DUMMYFUNCTION("""COMPUTED_VALUE"""),1.012)</f>
        <v>1.012</v>
      </c>
      <c r="E7113" s="16">
        <f>IFERROR(__xludf.DUMMYFUNCTION("""COMPUTED_VALUE"""),66.0)</f>
        <v>66</v>
      </c>
      <c r="F7113" s="19" t="str">
        <f>IFERROR(__xludf.DUMMYFUNCTION("""COMPUTED_VALUE"""),"BLACK")</f>
        <v>BLACK</v>
      </c>
      <c r="G7113" s="20" t="str">
        <f>IFERROR(__xludf.DUMMYFUNCTION("""COMPUTED_VALUE"""),"Uncle Sams Cider (04/04/2023)")</f>
        <v>Uncle Sams Cider (04/04/2023)</v>
      </c>
      <c r="H7113" s="19"/>
    </row>
    <row r="7114">
      <c r="A7114" s="9"/>
      <c r="B7114" s="15"/>
      <c r="C7114" s="9">
        <f>IFERROR(__xludf.DUMMYFUNCTION("""COMPUTED_VALUE"""),45069.5830148726)</f>
        <v>45069.58301</v>
      </c>
      <c r="D7114" s="15">
        <f>IFERROR(__xludf.DUMMYFUNCTION("""COMPUTED_VALUE"""),1.012)</f>
        <v>1.012</v>
      </c>
      <c r="E7114" s="16">
        <f>IFERROR(__xludf.DUMMYFUNCTION("""COMPUTED_VALUE"""),66.0)</f>
        <v>66</v>
      </c>
      <c r="F7114" s="19" t="str">
        <f>IFERROR(__xludf.DUMMYFUNCTION("""COMPUTED_VALUE"""),"BLACK")</f>
        <v>BLACK</v>
      </c>
      <c r="G7114" s="20" t="str">
        <f>IFERROR(__xludf.DUMMYFUNCTION("""COMPUTED_VALUE"""),"Uncle Sams Cider (04/04/2023)")</f>
        <v>Uncle Sams Cider (04/04/2023)</v>
      </c>
      <c r="H7114" s="19"/>
    </row>
    <row r="7115">
      <c r="A7115" s="9"/>
      <c r="B7115" s="15"/>
      <c r="C7115" s="9">
        <f>IFERROR(__xludf.DUMMYFUNCTION("""COMPUTED_VALUE"""),45069.5725816666)</f>
        <v>45069.57258</v>
      </c>
      <c r="D7115" s="15">
        <f>IFERROR(__xludf.DUMMYFUNCTION("""COMPUTED_VALUE"""),1.012)</f>
        <v>1.012</v>
      </c>
      <c r="E7115" s="16">
        <f>IFERROR(__xludf.DUMMYFUNCTION("""COMPUTED_VALUE"""),66.0)</f>
        <v>66</v>
      </c>
      <c r="F7115" s="19" t="str">
        <f>IFERROR(__xludf.DUMMYFUNCTION("""COMPUTED_VALUE"""),"BLACK")</f>
        <v>BLACK</v>
      </c>
      <c r="G7115" s="20" t="str">
        <f>IFERROR(__xludf.DUMMYFUNCTION("""COMPUTED_VALUE"""),"Uncle Sams Cider (04/04/2023)")</f>
        <v>Uncle Sams Cider (04/04/2023)</v>
      </c>
      <c r="H7115" s="19"/>
    </row>
    <row r="7116">
      <c r="A7116" s="9"/>
      <c r="B7116" s="15"/>
      <c r="C7116" s="9">
        <f>IFERROR(__xludf.DUMMYFUNCTION("""COMPUTED_VALUE"""),45069.5621369907)</f>
        <v>45069.56214</v>
      </c>
      <c r="D7116" s="15">
        <f>IFERROR(__xludf.DUMMYFUNCTION("""COMPUTED_VALUE"""),1.012)</f>
        <v>1.012</v>
      </c>
      <c r="E7116" s="16">
        <f>IFERROR(__xludf.DUMMYFUNCTION("""COMPUTED_VALUE"""),66.0)</f>
        <v>66</v>
      </c>
      <c r="F7116" s="19" t="str">
        <f>IFERROR(__xludf.DUMMYFUNCTION("""COMPUTED_VALUE"""),"BLACK")</f>
        <v>BLACK</v>
      </c>
      <c r="G7116" s="20" t="str">
        <f>IFERROR(__xludf.DUMMYFUNCTION("""COMPUTED_VALUE"""),"Uncle Sams Cider (04/04/2023)")</f>
        <v>Uncle Sams Cider (04/04/2023)</v>
      </c>
      <c r="H7116" s="19"/>
    </row>
    <row r="7117">
      <c r="A7117" s="9"/>
      <c r="B7117" s="15"/>
      <c r="C7117" s="9">
        <f>IFERROR(__xludf.DUMMYFUNCTION("""COMPUTED_VALUE"""),45069.5517181365)</f>
        <v>45069.55172</v>
      </c>
      <c r="D7117" s="15">
        <f>IFERROR(__xludf.DUMMYFUNCTION("""COMPUTED_VALUE"""),1.012)</f>
        <v>1.012</v>
      </c>
      <c r="E7117" s="16">
        <f>IFERROR(__xludf.DUMMYFUNCTION("""COMPUTED_VALUE"""),66.0)</f>
        <v>66</v>
      </c>
      <c r="F7117" s="19" t="str">
        <f>IFERROR(__xludf.DUMMYFUNCTION("""COMPUTED_VALUE"""),"BLACK")</f>
        <v>BLACK</v>
      </c>
      <c r="G7117" s="20" t="str">
        <f>IFERROR(__xludf.DUMMYFUNCTION("""COMPUTED_VALUE"""),"Uncle Sams Cider (04/04/2023)")</f>
        <v>Uncle Sams Cider (04/04/2023)</v>
      </c>
      <c r="H7117" s="19"/>
    </row>
    <row r="7118">
      <c r="A7118" s="9"/>
      <c r="B7118" s="15"/>
      <c r="C7118" s="9">
        <f>IFERROR(__xludf.DUMMYFUNCTION("""COMPUTED_VALUE"""),45069.5412857407)</f>
        <v>45069.54129</v>
      </c>
      <c r="D7118" s="15">
        <f>IFERROR(__xludf.DUMMYFUNCTION("""COMPUTED_VALUE"""),1.012)</f>
        <v>1.012</v>
      </c>
      <c r="E7118" s="16">
        <f>IFERROR(__xludf.DUMMYFUNCTION("""COMPUTED_VALUE"""),66.0)</f>
        <v>66</v>
      </c>
      <c r="F7118" s="19" t="str">
        <f>IFERROR(__xludf.DUMMYFUNCTION("""COMPUTED_VALUE"""),"BLACK")</f>
        <v>BLACK</v>
      </c>
      <c r="G7118" s="20" t="str">
        <f>IFERROR(__xludf.DUMMYFUNCTION("""COMPUTED_VALUE"""),"Uncle Sams Cider (04/04/2023)")</f>
        <v>Uncle Sams Cider (04/04/2023)</v>
      </c>
      <c r="H7118" s="19"/>
    </row>
    <row r="7119">
      <c r="A7119" s="9"/>
      <c r="B7119" s="15"/>
      <c r="C7119" s="9">
        <f>IFERROR(__xludf.DUMMYFUNCTION("""COMPUTED_VALUE"""),45069.530851655)</f>
        <v>45069.53085</v>
      </c>
      <c r="D7119" s="15">
        <f>IFERROR(__xludf.DUMMYFUNCTION("""COMPUTED_VALUE"""),1.012)</f>
        <v>1.012</v>
      </c>
      <c r="E7119" s="16">
        <f>IFERROR(__xludf.DUMMYFUNCTION("""COMPUTED_VALUE"""),66.0)</f>
        <v>66</v>
      </c>
      <c r="F7119" s="19" t="str">
        <f>IFERROR(__xludf.DUMMYFUNCTION("""COMPUTED_VALUE"""),"BLACK")</f>
        <v>BLACK</v>
      </c>
      <c r="G7119" s="20" t="str">
        <f>IFERROR(__xludf.DUMMYFUNCTION("""COMPUTED_VALUE"""),"Uncle Sams Cider (04/04/2023)")</f>
        <v>Uncle Sams Cider (04/04/2023)</v>
      </c>
      <c r="H7119" s="19"/>
    </row>
    <row r="7120">
      <c r="A7120" s="9"/>
      <c r="B7120" s="15"/>
      <c r="C7120" s="9">
        <f>IFERROR(__xludf.DUMMYFUNCTION("""COMPUTED_VALUE"""),45069.5204304745)</f>
        <v>45069.52043</v>
      </c>
      <c r="D7120" s="15">
        <f>IFERROR(__xludf.DUMMYFUNCTION("""COMPUTED_VALUE"""),1.012)</f>
        <v>1.012</v>
      </c>
      <c r="E7120" s="16">
        <f>IFERROR(__xludf.DUMMYFUNCTION("""COMPUTED_VALUE"""),66.0)</f>
        <v>66</v>
      </c>
      <c r="F7120" s="19" t="str">
        <f>IFERROR(__xludf.DUMMYFUNCTION("""COMPUTED_VALUE"""),"BLACK")</f>
        <v>BLACK</v>
      </c>
      <c r="G7120" s="20" t="str">
        <f>IFERROR(__xludf.DUMMYFUNCTION("""COMPUTED_VALUE"""),"Uncle Sams Cider (04/04/2023)")</f>
        <v>Uncle Sams Cider (04/04/2023)</v>
      </c>
      <c r="H7120" s="19"/>
    </row>
    <row r="7121">
      <c r="A7121" s="9"/>
      <c r="B7121" s="15"/>
      <c r="C7121" s="9">
        <f>IFERROR(__xludf.DUMMYFUNCTION("""COMPUTED_VALUE"""),45069.5099874074)</f>
        <v>45069.50999</v>
      </c>
      <c r="D7121" s="15">
        <f>IFERROR(__xludf.DUMMYFUNCTION("""COMPUTED_VALUE"""),1.012)</f>
        <v>1.012</v>
      </c>
      <c r="E7121" s="16">
        <f>IFERROR(__xludf.DUMMYFUNCTION("""COMPUTED_VALUE"""),66.0)</f>
        <v>66</v>
      </c>
      <c r="F7121" s="19" t="str">
        <f>IFERROR(__xludf.DUMMYFUNCTION("""COMPUTED_VALUE"""),"BLACK")</f>
        <v>BLACK</v>
      </c>
      <c r="G7121" s="20" t="str">
        <f>IFERROR(__xludf.DUMMYFUNCTION("""COMPUTED_VALUE"""),"Uncle Sams Cider (04/04/2023)")</f>
        <v>Uncle Sams Cider (04/04/2023)</v>
      </c>
      <c r="H7121" s="19"/>
    </row>
    <row r="7122">
      <c r="A7122" s="9"/>
      <c r="B7122" s="15"/>
      <c r="C7122" s="9">
        <f>IFERROR(__xludf.DUMMYFUNCTION("""COMPUTED_VALUE"""),45069.4995545717)</f>
        <v>45069.49955</v>
      </c>
      <c r="D7122" s="15">
        <f>IFERROR(__xludf.DUMMYFUNCTION("""COMPUTED_VALUE"""),1.012)</f>
        <v>1.012</v>
      </c>
      <c r="E7122" s="16">
        <f>IFERROR(__xludf.DUMMYFUNCTION("""COMPUTED_VALUE"""),66.0)</f>
        <v>66</v>
      </c>
      <c r="F7122" s="19" t="str">
        <f>IFERROR(__xludf.DUMMYFUNCTION("""COMPUTED_VALUE"""),"BLACK")</f>
        <v>BLACK</v>
      </c>
      <c r="G7122" s="20" t="str">
        <f>IFERROR(__xludf.DUMMYFUNCTION("""COMPUTED_VALUE"""),"Uncle Sams Cider (04/04/2023)")</f>
        <v>Uncle Sams Cider (04/04/2023)</v>
      </c>
      <c r="H7122" s="19"/>
    </row>
    <row r="7123">
      <c r="A7123" s="9"/>
      <c r="B7123" s="15"/>
      <c r="C7123" s="9">
        <f>IFERROR(__xludf.DUMMYFUNCTION("""COMPUTED_VALUE"""),45069.4891361574)</f>
        <v>45069.48914</v>
      </c>
      <c r="D7123" s="15">
        <f>IFERROR(__xludf.DUMMYFUNCTION("""COMPUTED_VALUE"""),1.012)</f>
        <v>1.012</v>
      </c>
      <c r="E7123" s="16">
        <f>IFERROR(__xludf.DUMMYFUNCTION("""COMPUTED_VALUE"""),66.0)</f>
        <v>66</v>
      </c>
      <c r="F7123" s="19" t="str">
        <f>IFERROR(__xludf.DUMMYFUNCTION("""COMPUTED_VALUE"""),"BLACK")</f>
        <v>BLACK</v>
      </c>
      <c r="G7123" s="20" t="str">
        <f>IFERROR(__xludf.DUMMYFUNCTION("""COMPUTED_VALUE"""),"Uncle Sams Cider (04/04/2023)")</f>
        <v>Uncle Sams Cider (04/04/2023)</v>
      </c>
      <c r="H7123" s="19"/>
    </row>
    <row r="7124">
      <c r="A7124" s="9"/>
      <c r="B7124" s="15"/>
      <c r="C7124" s="9">
        <f>IFERROR(__xludf.DUMMYFUNCTION("""COMPUTED_VALUE"""),45069.4787027546)</f>
        <v>45069.4787</v>
      </c>
      <c r="D7124" s="15">
        <f>IFERROR(__xludf.DUMMYFUNCTION("""COMPUTED_VALUE"""),1.012)</f>
        <v>1.012</v>
      </c>
      <c r="E7124" s="16">
        <f>IFERROR(__xludf.DUMMYFUNCTION("""COMPUTED_VALUE"""),66.0)</f>
        <v>66</v>
      </c>
      <c r="F7124" s="19" t="str">
        <f>IFERROR(__xludf.DUMMYFUNCTION("""COMPUTED_VALUE"""),"BLACK")</f>
        <v>BLACK</v>
      </c>
      <c r="G7124" s="20" t="str">
        <f>IFERROR(__xludf.DUMMYFUNCTION("""COMPUTED_VALUE"""),"Uncle Sams Cider (04/04/2023)")</f>
        <v>Uncle Sams Cider (04/04/2023)</v>
      </c>
      <c r="H7124" s="19"/>
    </row>
    <row r="7125">
      <c r="A7125" s="9"/>
      <c r="B7125" s="15"/>
      <c r="C7125" s="9">
        <f>IFERROR(__xludf.DUMMYFUNCTION("""COMPUTED_VALUE"""),45069.4682823495)</f>
        <v>45069.46828</v>
      </c>
      <c r="D7125" s="15">
        <f>IFERROR(__xludf.DUMMYFUNCTION("""COMPUTED_VALUE"""),1.012)</f>
        <v>1.012</v>
      </c>
      <c r="E7125" s="16">
        <f>IFERROR(__xludf.DUMMYFUNCTION("""COMPUTED_VALUE"""),66.0)</f>
        <v>66</v>
      </c>
      <c r="F7125" s="19" t="str">
        <f>IFERROR(__xludf.DUMMYFUNCTION("""COMPUTED_VALUE"""),"BLACK")</f>
        <v>BLACK</v>
      </c>
      <c r="G7125" s="20" t="str">
        <f>IFERROR(__xludf.DUMMYFUNCTION("""COMPUTED_VALUE"""),"Uncle Sams Cider (04/04/2023)")</f>
        <v>Uncle Sams Cider (04/04/2023)</v>
      </c>
      <c r="H7125" s="19"/>
    </row>
    <row r="7126">
      <c r="A7126" s="9"/>
      <c r="B7126" s="15"/>
      <c r="C7126" s="9">
        <f>IFERROR(__xludf.DUMMYFUNCTION("""COMPUTED_VALUE"""),45069.4578494907)</f>
        <v>45069.45785</v>
      </c>
      <c r="D7126" s="15">
        <f>IFERROR(__xludf.DUMMYFUNCTION("""COMPUTED_VALUE"""),1.012)</f>
        <v>1.012</v>
      </c>
      <c r="E7126" s="16">
        <f>IFERROR(__xludf.DUMMYFUNCTION("""COMPUTED_VALUE"""),66.0)</f>
        <v>66</v>
      </c>
      <c r="F7126" s="19" t="str">
        <f>IFERROR(__xludf.DUMMYFUNCTION("""COMPUTED_VALUE"""),"BLACK")</f>
        <v>BLACK</v>
      </c>
      <c r="G7126" s="20" t="str">
        <f>IFERROR(__xludf.DUMMYFUNCTION("""COMPUTED_VALUE"""),"Uncle Sams Cider (04/04/2023)")</f>
        <v>Uncle Sams Cider (04/04/2023)</v>
      </c>
      <c r="H7126" s="19"/>
    </row>
    <row r="7127">
      <c r="A7127" s="9"/>
      <c r="B7127" s="15"/>
      <c r="C7127" s="9">
        <f>IFERROR(__xludf.DUMMYFUNCTION("""COMPUTED_VALUE"""),45069.4474282523)</f>
        <v>45069.44743</v>
      </c>
      <c r="D7127" s="15">
        <f>IFERROR(__xludf.DUMMYFUNCTION("""COMPUTED_VALUE"""),1.012)</f>
        <v>1.012</v>
      </c>
      <c r="E7127" s="16">
        <f>IFERROR(__xludf.DUMMYFUNCTION("""COMPUTED_VALUE"""),66.0)</f>
        <v>66</v>
      </c>
      <c r="F7127" s="19" t="str">
        <f>IFERROR(__xludf.DUMMYFUNCTION("""COMPUTED_VALUE"""),"BLACK")</f>
        <v>BLACK</v>
      </c>
      <c r="G7127" s="20" t="str">
        <f>IFERROR(__xludf.DUMMYFUNCTION("""COMPUTED_VALUE"""),"Uncle Sams Cider (04/04/2023)")</f>
        <v>Uncle Sams Cider (04/04/2023)</v>
      </c>
      <c r="H7127" s="19"/>
    </row>
    <row r="7128">
      <c r="A7128" s="9"/>
      <c r="B7128" s="15"/>
      <c r="C7128" s="9">
        <f>IFERROR(__xludf.DUMMYFUNCTION("""COMPUTED_VALUE"""),45069.4370065393)</f>
        <v>45069.43701</v>
      </c>
      <c r="D7128" s="15">
        <f>IFERROR(__xludf.DUMMYFUNCTION("""COMPUTED_VALUE"""),1.012)</f>
        <v>1.012</v>
      </c>
      <c r="E7128" s="16">
        <f>IFERROR(__xludf.DUMMYFUNCTION("""COMPUTED_VALUE"""),66.0)</f>
        <v>66</v>
      </c>
      <c r="F7128" s="19" t="str">
        <f>IFERROR(__xludf.DUMMYFUNCTION("""COMPUTED_VALUE"""),"BLACK")</f>
        <v>BLACK</v>
      </c>
      <c r="G7128" s="20" t="str">
        <f>IFERROR(__xludf.DUMMYFUNCTION("""COMPUTED_VALUE"""),"Uncle Sams Cider (04/04/2023)")</f>
        <v>Uncle Sams Cider (04/04/2023)</v>
      </c>
      <c r="H7128" s="19"/>
    </row>
    <row r="7129">
      <c r="A7129" s="9"/>
      <c r="B7129" s="15"/>
      <c r="C7129" s="9">
        <f>IFERROR(__xludf.DUMMYFUNCTION("""COMPUTED_VALUE"""),45069.4265732986)</f>
        <v>45069.42657</v>
      </c>
      <c r="D7129" s="15">
        <f>IFERROR(__xludf.DUMMYFUNCTION("""COMPUTED_VALUE"""),1.012)</f>
        <v>1.012</v>
      </c>
      <c r="E7129" s="16">
        <f>IFERROR(__xludf.DUMMYFUNCTION("""COMPUTED_VALUE"""),66.0)</f>
        <v>66</v>
      </c>
      <c r="F7129" s="19" t="str">
        <f>IFERROR(__xludf.DUMMYFUNCTION("""COMPUTED_VALUE"""),"BLACK")</f>
        <v>BLACK</v>
      </c>
      <c r="G7129" s="20" t="str">
        <f>IFERROR(__xludf.DUMMYFUNCTION("""COMPUTED_VALUE"""),"Uncle Sams Cider (04/04/2023)")</f>
        <v>Uncle Sams Cider (04/04/2023)</v>
      </c>
      <c r="H7129" s="19"/>
    </row>
    <row r="7130">
      <c r="A7130" s="9"/>
      <c r="B7130" s="15"/>
      <c r="C7130" s="9">
        <f>IFERROR(__xludf.DUMMYFUNCTION("""COMPUTED_VALUE"""),45069.4161530439)</f>
        <v>45069.41615</v>
      </c>
      <c r="D7130" s="15">
        <f>IFERROR(__xludf.DUMMYFUNCTION("""COMPUTED_VALUE"""),1.012)</f>
        <v>1.012</v>
      </c>
      <c r="E7130" s="16">
        <f>IFERROR(__xludf.DUMMYFUNCTION("""COMPUTED_VALUE"""),66.0)</f>
        <v>66</v>
      </c>
      <c r="F7130" s="19" t="str">
        <f>IFERROR(__xludf.DUMMYFUNCTION("""COMPUTED_VALUE"""),"BLACK")</f>
        <v>BLACK</v>
      </c>
      <c r="G7130" s="20" t="str">
        <f>IFERROR(__xludf.DUMMYFUNCTION("""COMPUTED_VALUE"""),"Uncle Sams Cider (04/04/2023)")</f>
        <v>Uncle Sams Cider (04/04/2023)</v>
      </c>
      <c r="H7130" s="19"/>
    </row>
    <row r="7131">
      <c r="A7131" s="9"/>
      <c r="B7131" s="15"/>
      <c r="C7131" s="9">
        <f>IFERROR(__xludf.DUMMYFUNCTION("""COMPUTED_VALUE"""),45069.4057222916)</f>
        <v>45069.40572</v>
      </c>
      <c r="D7131" s="15">
        <f>IFERROR(__xludf.DUMMYFUNCTION("""COMPUTED_VALUE"""),1.012)</f>
        <v>1.012</v>
      </c>
      <c r="E7131" s="16">
        <f>IFERROR(__xludf.DUMMYFUNCTION("""COMPUTED_VALUE"""),66.0)</f>
        <v>66</v>
      </c>
      <c r="F7131" s="19" t="str">
        <f>IFERROR(__xludf.DUMMYFUNCTION("""COMPUTED_VALUE"""),"BLACK")</f>
        <v>BLACK</v>
      </c>
      <c r="G7131" s="20" t="str">
        <f>IFERROR(__xludf.DUMMYFUNCTION("""COMPUTED_VALUE"""),"Uncle Sams Cider (04/04/2023)")</f>
        <v>Uncle Sams Cider (04/04/2023)</v>
      </c>
      <c r="H7131" s="19"/>
    </row>
    <row r="7132">
      <c r="A7132" s="9"/>
      <c r="B7132" s="15"/>
      <c r="C7132" s="9">
        <f>IFERROR(__xludf.DUMMYFUNCTION("""COMPUTED_VALUE"""),45069.3848596527)</f>
        <v>45069.38486</v>
      </c>
      <c r="D7132" s="15">
        <f>IFERROR(__xludf.DUMMYFUNCTION("""COMPUTED_VALUE"""),1.012)</f>
        <v>1.012</v>
      </c>
      <c r="E7132" s="16">
        <f>IFERROR(__xludf.DUMMYFUNCTION("""COMPUTED_VALUE"""),66.0)</f>
        <v>66</v>
      </c>
      <c r="F7132" s="19" t="str">
        <f>IFERROR(__xludf.DUMMYFUNCTION("""COMPUTED_VALUE"""),"BLACK")</f>
        <v>BLACK</v>
      </c>
      <c r="G7132" s="20" t="str">
        <f>IFERROR(__xludf.DUMMYFUNCTION("""COMPUTED_VALUE"""),"Uncle Sams Cider (04/04/2023)")</f>
        <v>Uncle Sams Cider (04/04/2023)</v>
      </c>
      <c r="H7132" s="19"/>
    </row>
    <row r="7133">
      <c r="A7133" s="9"/>
      <c r="B7133" s="15"/>
      <c r="C7133" s="9">
        <f>IFERROR(__xludf.DUMMYFUNCTION("""COMPUTED_VALUE"""),45069.3744261111)</f>
        <v>45069.37443</v>
      </c>
      <c r="D7133" s="15">
        <f>IFERROR(__xludf.DUMMYFUNCTION("""COMPUTED_VALUE"""),1.012)</f>
        <v>1.012</v>
      </c>
      <c r="E7133" s="16">
        <f>IFERROR(__xludf.DUMMYFUNCTION("""COMPUTED_VALUE"""),66.0)</f>
        <v>66</v>
      </c>
      <c r="F7133" s="19" t="str">
        <f>IFERROR(__xludf.DUMMYFUNCTION("""COMPUTED_VALUE"""),"BLACK")</f>
        <v>BLACK</v>
      </c>
      <c r="G7133" s="20" t="str">
        <f>IFERROR(__xludf.DUMMYFUNCTION("""COMPUTED_VALUE"""),"Uncle Sams Cider (04/04/2023)")</f>
        <v>Uncle Sams Cider (04/04/2023)</v>
      </c>
      <c r="H7133" s="19"/>
    </row>
    <row r="7134">
      <c r="A7134" s="9"/>
      <c r="B7134" s="15"/>
      <c r="C7134" s="9">
        <f>IFERROR(__xludf.DUMMYFUNCTION("""COMPUTED_VALUE"""),45069.3639934027)</f>
        <v>45069.36399</v>
      </c>
      <c r="D7134" s="15">
        <f>IFERROR(__xludf.DUMMYFUNCTION("""COMPUTED_VALUE"""),1.012)</f>
        <v>1.012</v>
      </c>
      <c r="E7134" s="16">
        <f>IFERROR(__xludf.DUMMYFUNCTION("""COMPUTED_VALUE"""),66.0)</f>
        <v>66</v>
      </c>
      <c r="F7134" s="19" t="str">
        <f>IFERROR(__xludf.DUMMYFUNCTION("""COMPUTED_VALUE"""),"BLACK")</f>
        <v>BLACK</v>
      </c>
      <c r="G7134" s="20" t="str">
        <f>IFERROR(__xludf.DUMMYFUNCTION("""COMPUTED_VALUE"""),"Uncle Sams Cider (04/04/2023)")</f>
        <v>Uncle Sams Cider (04/04/2023)</v>
      </c>
      <c r="H7134" s="19"/>
    </row>
    <row r="7135">
      <c r="A7135" s="9"/>
      <c r="B7135" s="15"/>
      <c r="C7135" s="9">
        <f>IFERROR(__xludf.DUMMYFUNCTION("""COMPUTED_VALUE"""),45069.3535730555)</f>
        <v>45069.35357</v>
      </c>
      <c r="D7135" s="15">
        <f>IFERROR(__xludf.DUMMYFUNCTION("""COMPUTED_VALUE"""),1.012)</f>
        <v>1.012</v>
      </c>
      <c r="E7135" s="16">
        <f>IFERROR(__xludf.DUMMYFUNCTION("""COMPUTED_VALUE"""),66.0)</f>
        <v>66</v>
      </c>
      <c r="F7135" s="19" t="str">
        <f>IFERROR(__xludf.DUMMYFUNCTION("""COMPUTED_VALUE"""),"BLACK")</f>
        <v>BLACK</v>
      </c>
      <c r="G7135" s="20" t="str">
        <f>IFERROR(__xludf.DUMMYFUNCTION("""COMPUTED_VALUE"""),"Uncle Sams Cider (04/04/2023)")</f>
        <v>Uncle Sams Cider (04/04/2023)</v>
      </c>
      <c r="H7135" s="19"/>
    </row>
    <row r="7136">
      <c r="A7136" s="9"/>
      <c r="B7136" s="15"/>
      <c r="C7136" s="9">
        <f>IFERROR(__xludf.DUMMYFUNCTION("""COMPUTED_VALUE"""),45069.3431531134)</f>
        <v>45069.34315</v>
      </c>
      <c r="D7136" s="15">
        <f>IFERROR(__xludf.DUMMYFUNCTION("""COMPUTED_VALUE"""),1.012)</f>
        <v>1.012</v>
      </c>
      <c r="E7136" s="16">
        <f>IFERROR(__xludf.DUMMYFUNCTION("""COMPUTED_VALUE"""),66.0)</f>
        <v>66</v>
      </c>
      <c r="F7136" s="19" t="str">
        <f>IFERROR(__xludf.DUMMYFUNCTION("""COMPUTED_VALUE"""),"BLACK")</f>
        <v>BLACK</v>
      </c>
      <c r="G7136" s="20" t="str">
        <f>IFERROR(__xludf.DUMMYFUNCTION("""COMPUTED_VALUE"""),"Uncle Sams Cider (04/04/2023)")</f>
        <v>Uncle Sams Cider (04/04/2023)</v>
      </c>
      <c r="H7136" s="19"/>
    </row>
    <row r="7137">
      <c r="A7137" s="9"/>
      <c r="B7137" s="15"/>
      <c r="C7137" s="9">
        <f>IFERROR(__xludf.DUMMYFUNCTION("""COMPUTED_VALUE"""),45069.3327217013)</f>
        <v>45069.33272</v>
      </c>
      <c r="D7137" s="15">
        <f>IFERROR(__xludf.DUMMYFUNCTION("""COMPUTED_VALUE"""),1.012)</f>
        <v>1.012</v>
      </c>
      <c r="E7137" s="16">
        <f>IFERROR(__xludf.DUMMYFUNCTION("""COMPUTED_VALUE"""),66.0)</f>
        <v>66</v>
      </c>
      <c r="F7137" s="19" t="str">
        <f>IFERROR(__xludf.DUMMYFUNCTION("""COMPUTED_VALUE"""),"BLACK")</f>
        <v>BLACK</v>
      </c>
      <c r="G7137" s="20" t="str">
        <f>IFERROR(__xludf.DUMMYFUNCTION("""COMPUTED_VALUE"""),"Uncle Sams Cider (04/04/2023)")</f>
        <v>Uncle Sams Cider (04/04/2023)</v>
      </c>
      <c r="H7137" s="19"/>
    </row>
    <row r="7138">
      <c r="A7138" s="9"/>
      <c r="B7138" s="15"/>
      <c r="C7138" s="9">
        <f>IFERROR(__xludf.DUMMYFUNCTION("""COMPUTED_VALUE"""),45069.3222888773)</f>
        <v>45069.32229</v>
      </c>
      <c r="D7138" s="15">
        <f>IFERROR(__xludf.DUMMYFUNCTION("""COMPUTED_VALUE"""),1.012)</f>
        <v>1.012</v>
      </c>
      <c r="E7138" s="16">
        <f>IFERROR(__xludf.DUMMYFUNCTION("""COMPUTED_VALUE"""),66.0)</f>
        <v>66</v>
      </c>
      <c r="F7138" s="19" t="str">
        <f>IFERROR(__xludf.DUMMYFUNCTION("""COMPUTED_VALUE"""),"BLACK")</f>
        <v>BLACK</v>
      </c>
      <c r="G7138" s="20" t="str">
        <f>IFERROR(__xludf.DUMMYFUNCTION("""COMPUTED_VALUE"""),"Uncle Sams Cider (04/04/2023)")</f>
        <v>Uncle Sams Cider (04/04/2023)</v>
      </c>
      <c r="H7138" s="19"/>
    </row>
    <row r="7139">
      <c r="A7139" s="9"/>
      <c r="B7139" s="15"/>
      <c r="C7139" s="9">
        <f>IFERROR(__xludf.DUMMYFUNCTION("""COMPUTED_VALUE"""),45069.3118682291)</f>
        <v>45069.31187</v>
      </c>
      <c r="D7139" s="15">
        <f>IFERROR(__xludf.DUMMYFUNCTION("""COMPUTED_VALUE"""),1.012)</f>
        <v>1.012</v>
      </c>
      <c r="E7139" s="16">
        <f>IFERROR(__xludf.DUMMYFUNCTION("""COMPUTED_VALUE"""),66.0)</f>
        <v>66</v>
      </c>
      <c r="F7139" s="19" t="str">
        <f>IFERROR(__xludf.DUMMYFUNCTION("""COMPUTED_VALUE"""),"BLACK")</f>
        <v>BLACK</v>
      </c>
      <c r="G7139" s="20" t="str">
        <f>IFERROR(__xludf.DUMMYFUNCTION("""COMPUTED_VALUE"""),"Uncle Sams Cider (04/04/2023)")</f>
        <v>Uncle Sams Cider (04/04/2023)</v>
      </c>
      <c r="H7139" s="19"/>
    </row>
    <row r="7140">
      <c r="A7140" s="9"/>
      <c r="B7140" s="15"/>
      <c r="C7140" s="9">
        <f>IFERROR(__xludf.DUMMYFUNCTION("""COMPUTED_VALUE"""),45069.3014474537)</f>
        <v>45069.30145</v>
      </c>
      <c r="D7140" s="15">
        <f>IFERROR(__xludf.DUMMYFUNCTION("""COMPUTED_VALUE"""),1.012)</f>
        <v>1.012</v>
      </c>
      <c r="E7140" s="16">
        <f>IFERROR(__xludf.DUMMYFUNCTION("""COMPUTED_VALUE"""),66.0)</f>
        <v>66</v>
      </c>
      <c r="F7140" s="19" t="str">
        <f>IFERROR(__xludf.DUMMYFUNCTION("""COMPUTED_VALUE"""),"BLACK")</f>
        <v>BLACK</v>
      </c>
      <c r="G7140" s="20" t="str">
        <f>IFERROR(__xludf.DUMMYFUNCTION("""COMPUTED_VALUE"""),"Uncle Sams Cider (04/04/2023)")</f>
        <v>Uncle Sams Cider (04/04/2023)</v>
      </c>
      <c r="H7140" s="19"/>
    </row>
    <row r="7141">
      <c r="A7141" s="9"/>
      <c r="B7141" s="15"/>
      <c r="C7141" s="9">
        <f>IFERROR(__xludf.DUMMYFUNCTION("""COMPUTED_VALUE"""),45069.2910266551)</f>
        <v>45069.29103</v>
      </c>
      <c r="D7141" s="15">
        <f>IFERROR(__xludf.DUMMYFUNCTION("""COMPUTED_VALUE"""),1.012)</f>
        <v>1.012</v>
      </c>
      <c r="E7141" s="16">
        <f>IFERROR(__xludf.DUMMYFUNCTION("""COMPUTED_VALUE"""),66.0)</f>
        <v>66</v>
      </c>
      <c r="F7141" s="19" t="str">
        <f>IFERROR(__xludf.DUMMYFUNCTION("""COMPUTED_VALUE"""),"BLACK")</f>
        <v>BLACK</v>
      </c>
      <c r="G7141" s="20" t="str">
        <f>IFERROR(__xludf.DUMMYFUNCTION("""COMPUTED_VALUE"""),"Uncle Sams Cider (04/04/2023)")</f>
        <v>Uncle Sams Cider (04/04/2023)</v>
      </c>
      <c r="H7141" s="19"/>
    </row>
    <row r="7142">
      <c r="A7142" s="9"/>
      <c r="B7142" s="15"/>
      <c r="C7142" s="9">
        <f>IFERROR(__xludf.DUMMYFUNCTION("""COMPUTED_VALUE"""),45069.2805827777)</f>
        <v>45069.28058</v>
      </c>
      <c r="D7142" s="15">
        <f>IFERROR(__xludf.DUMMYFUNCTION("""COMPUTED_VALUE"""),1.012)</f>
        <v>1.012</v>
      </c>
      <c r="E7142" s="16">
        <f>IFERROR(__xludf.DUMMYFUNCTION("""COMPUTED_VALUE"""),66.0)</f>
        <v>66</v>
      </c>
      <c r="F7142" s="19" t="str">
        <f>IFERROR(__xludf.DUMMYFUNCTION("""COMPUTED_VALUE"""),"BLACK")</f>
        <v>BLACK</v>
      </c>
      <c r="G7142" s="20" t="str">
        <f>IFERROR(__xludf.DUMMYFUNCTION("""COMPUTED_VALUE"""),"Uncle Sams Cider (04/04/2023)")</f>
        <v>Uncle Sams Cider (04/04/2023)</v>
      </c>
      <c r="H7142" s="19"/>
    </row>
    <row r="7143">
      <c r="A7143" s="9"/>
      <c r="B7143" s="15"/>
      <c r="C7143" s="9">
        <f>IFERROR(__xludf.DUMMYFUNCTION("""COMPUTED_VALUE"""),45069.2701613194)</f>
        <v>45069.27016</v>
      </c>
      <c r="D7143" s="15">
        <f>IFERROR(__xludf.DUMMYFUNCTION("""COMPUTED_VALUE"""),1.012)</f>
        <v>1.012</v>
      </c>
      <c r="E7143" s="16">
        <f>IFERROR(__xludf.DUMMYFUNCTION("""COMPUTED_VALUE"""),66.0)</f>
        <v>66</v>
      </c>
      <c r="F7143" s="19" t="str">
        <f>IFERROR(__xludf.DUMMYFUNCTION("""COMPUTED_VALUE"""),"BLACK")</f>
        <v>BLACK</v>
      </c>
      <c r="G7143" s="20" t="str">
        <f>IFERROR(__xludf.DUMMYFUNCTION("""COMPUTED_VALUE"""),"Uncle Sams Cider (04/04/2023)")</f>
        <v>Uncle Sams Cider (04/04/2023)</v>
      </c>
      <c r="H7143" s="19"/>
    </row>
    <row r="7144">
      <c r="A7144" s="9"/>
      <c r="B7144" s="15"/>
      <c r="C7144" s="9">
        <f>IFERROR(__xludf.DUMMYFUNCTION("""COMPUTED_VALUE"""),45069.2597395486)</f>
        <v>45069.25974</v>
      </c>
      <c r="D7144" s="15">
        <f>IFERROR(__xludf.DUMMYFUNCTION("""COMPUTED_VALUE"""),1.012)</f>
        <v>1.012</v>
      </c>
      <c r="E7144" s="16">
        <f>IFERROR(__xludf.DUMMYFUNCTION("""COMPUTED_VALUE"""),66.0)</f>
        <v>66</v>
      </c>
      <c r="F7144" s="19" t="str">
        <f>IFERROR(__xludf.DUMMYFUNCTION("""COMPUTED_VALUE"""),"BLACK")</f>
        <v>BLACK</v>
      </c>
      <c r="G7144" s="20" t="str">
        <f>IFERROR(__xludf.DUMMYFUNCTION("""COMPUTED_VALUE"""),"Uncle Sams Cider (04/04/2023)")</f>
        <v>Uncle Sams Cider (04/04/2023)</v>
      </c>
      <c r="H7144" s="19"/>
    </row>
    <row r="7145">
      <c r="A7145" s="9"/>
      <c r="B7145" s="15"/>
      <c r="C7145" s="9">
        <f>IFERROR(__xludf.DUMMYFUNCTION("""COMPUTED_VALUE"""),45069.2493193634)</f>
        <v>45069.24932</v>
      </c>
      <c r="D7145" s="15">
        <f>IFERROR(__xludf.DUMMYFUNCTION("""COMPUTED_VALUE"""),1.012)</f>
        <v>1.012</v>
      </c>
      <c r="E7145" s="16">
        <f>IFERROR(__xludf.DUMMYFUNCTION("""COMPUTED_VALUE"""),66.0)</f>
        <v>66</v>
      </c>
      <c r="F7145" s="19" t="str">
        <f>IFERROR(__xludf.DUMMYFUNCTION("""COMPUTED_VALUE"""),"BLACK")</f>
        <v>BLACK</v>
      </c>
      <c r="G7145" s="20" t="str">
        <f>IFERROR(__xludf.DUMMYFUNCTION("""COMPUTED_VALUE"""),"Uncle Sams Cider (04/04/2023)")</f>
        <v>Uncle Sams Cider (04/04/2023)</v>
      </c>
      <c r="H7145" s="19"/>
    </row>
    <row r="7146">
      <c r="A7146" s="9"/>
      <c r="B7146" s="15"/>
      <c r="C7146" s="9">
        <f>IFERROR(__xludf.DUMMYFUNCTION("""COMPUTED_VALUE"""),45069.2388748495)</f>
        <v>45069.23887</v>
      </c>
      <c r="D7146" s="15">
        <f>IFERROR(__xludf.DUMMYFUNCTION("""COMPUTED_VALUE"""),1.012)</f>
        <v>1.012</v>
      </c>
      <c r="E7146" s="16">
        <f>IFERROR(__xludf.DUMMYFUNCTION("""COMPUTED_VALUE"""),66.0)</f>
        <v>66</v>
      </c>
      <c r="F7146" s="19" t="str">
        <f>IFERROR(__xludf.DUMMYFUNCTION("""COMPUTED_VALUE"""),"BLACK")</f>
        <v>BLACK</v>
      </c>
      <c r="G7146" s="20" t="str">
        <f>IFERROR(__xludf.DUMMYFUNCTION("""COMPUTED_VALUE"""),"Uncle Sams Cider (04/04/2023)")</f>
        <v>Uncle Sams Cider (04/04/2023)</v>
      </c>
      <c r="H7146" s="19"/>
    </row>
    <row r="7147">
      <c r="A7147" s="9"/>
      <c r="B7147" s="15"/>
      <c r="C7147" s="9">
        <f>IFERROR(__xludf.DUMMYFUNCTION("""COMPUTED_VALUE"""),45069.2284414467)</f>
        <v>45069.22844</v>
      </c>
      <c r="D7147" s="15">
        <f>IFERROR(__xludf.DUMMYFUNCTION("""COMPUTED_VALUE"""),1.012)</f>
        <v>1.012</v>
      </c>
      <c r="E7147" s="16">
        <f>IFERROR(__xludf.DUMMYFUNCTION("""COMPUTED_VALUE"""),66.0)</f>
        <v>66</v>
      </c>
      <c r="F7147" s="19" t="str">
        <f>IFERROR(__xludf.DUMMYFUNCTION("""COMPUTED_VALUE"""),"BLACK")</f>
        <v>BLACK</v>
      </c>
      <c r="G7147" s="20" t="str">
        <f>IFERROR(__xludf.DUMMYFUNCTION("""COMPUTED_VALUE"""),"Uncle Sams Cider (04/04/2023)")</f>
        <v>Uncle Sams Cider (04/04/2023)</v>
      </c>
      <c r="H7147" s="19"/>
    </row>
    <row r="7148">
      <c r="A7148" s="9"/>
      <c r="B7148" s="15"/>
      <c r="C7148" s="9">
        <f>IFERROR(__xludf.DUMMYFUNCTION("""COMPUTED_VALUE"""),45069.218010243)</f>
        <v>45069.21801</v>
      </c>
      <c r="D7148" s="15">
        <f>IFERROR(__xludf.DUMMYFUNCTION("""COMPUTED_VALUE"""),1.012)</f>
        <v>1.012</v>
      </c>
      <c r="E7148" s="16">
        <f>IFERROR(__xludf.DUMMYFUNCTION("""COMPUTED_VALUE"""),66.0)</f>
        <v>66</v>
      </c>
      <c r="F7148" s="19" t="str">
        <f>IFERROR(__xludf.DUMMYFUNCTION("""COMPUTED_VALUE"""),"BLACK")</f>
        <v>BLACK</v>
      </c>
      <c r="G7148" s="20" t="str">
        <f>IFERROR(__xludf.DUMMYFUNCTION("""COMPUTED_VALUE"""),"Uncle Sams Cider (04/04/2023)")</f>
        <v>Uncle Sams Cider (04/04/2023)</v>
      </c>
      <c r="H7148" s="19"/>
    </row>
    <row r="7149">
      <c r="A7149" s="9"/>
      <c r="B7149" s="15"/>
      <c r="C7149" s="9">
        <f>IFERROR(__xludf.DUMMYFUNCTION("""COMPUTED_VALUE"""),45069.2075778125)</f>
        <v>45069.20758</v>
      </c>
      <c r="D7149" s="15">
        <f>IFERROR(__xludf.DUMMYFUNCTION("""COMPUTED_VALUE"""),1.012)</f>
        <v>1.012</v>
      </c>
      <c r="E7149" s="16">
        <f>IFERROR(__xludf.DUMMYFUNCTION("""COMPUTED_VALUE"""),66.0)</f>
        <v>66</v>
      </c>
      <c r="F7149" s="19" t="str">
        <f>IFERROR(__xludf.DUMMYFUNCTION("""COMPUTED_VALUE"""),"BLACK")</f>
        <v>BLACK</v>
      </c>
      <c r="G7149" s="20" t="str">
        <f>IFERROR(__xludf.DUMMYFUNCTION("""COMPUTED_VALUE"""),"Uncle Sams Cider (04/04/2023)")</f>
        <v>Uncle Sams Cider (04/04/2023)</v>
      </c>
      <c r="H7149" s="19"/>
    </row>
    <row r="7150">
      <c r="A7150" s="9"/>
      <c r="B7150" s="15"/>
      <c r="C7150" s="9">
        <f>IFERROR(__xludf.DUMMYFUNCTION("""COMPUTED_VALUE"""),45069.1971335069)</f>
        <v>45069.19713</v>
      </c>
      <c r="D7150" s="15">
        <f>IFERROR(__xludf.DUMMYFUNCTION("""COMPUTED_VALUE"""),1.012)</f>
        <v>1.012</v>
      </c>
      <c r="E7150" s="16">
        <f>IFERROR(__xludf.DUMMYFUNCTION("""COMPUTED_VALUE"""),66.0)</f>
        <v>66</v>
      </c>
      <c r="F7150" s="19" t="str">
        <f>IFERROR(__xludf.DUMMYFUNCTION("""COMPUTED_VALUE"""),"BLACK")</f>
        <v>BLACK</v>
      </c>
      <c r="G7150" s="20" t="str">
        <f>IFERROR(__xludf.DUMMYFUNCTION("""COMPUTED_VALUE"""),"Uncle Sams Cider (04/04/2023)")</f>
        <v>Uncle Sams Cider (04/04/2023)</v>
      </c>
      <c r="H7150" s="19"/>
    </row>
    <row r="7151">
      <c r="A7151" s="9"/>
      <c r="B7151" s="15"/>
      <c r="C7151" s="9">
        <f>IFERROR(__xludf.DUMMYFUNCTION("""COMPUTED_VALUE"""),45069.1867129745)</f>
        <v>45069.18671</v>
      </c>
      <c r="D7151" s="15">
        <f>IFERROR(__xludf.DUMMYFUNCTION("""COMPUTED_VALUE"""),1.012)</f>
        <v>1.012</v>
      </c>
      <c r="E7151" s="16">
        <f>IFERROR(__xludf.DUMMYFUNCTION("""COMPUTED_VALUE"""),66.0)</f>
        <v>66</v>
      </c>
      <c r="F7151" s="19" t="str">
        <f>IFERROR(__xludf.DUMMYFUNCTION("""COMPUTED_VALUE"""),"BLACK")</f>
        <v>BLACK</v>
      </c>
      <c r="G7151" s="20" t="str">
        <f>IFERROR(__xludf.DUMMYFUNCTION("""COMPUTED_VALUE"""),"Uncle Sams Cider (04/04/2023)")</f>
        <v>Uncle Sams Cider (04/04/2023)</v>
      </c>
      <c r="H7151" s="19"/>
    </row>
    <row r="7152">
      <c r="A7152" s="9"/>
      <c r="B7152" s="15"/>
      <c r="C7152" s="9">
        <f>IFERROR(__xludf.DUMMYFUNCTION("""COMPUTED_VALUE"""),45069.1762912847)</f>
        <v>45069.17629</v>
      </c>
      <c r="D7152" s="15">
        <f>IFERROR(__xludf.DUMMYFUNCTION("""COMPUTED_VALUE"""),1.012)</f>
        <v>1.012</v>
      </c>
      <c r="E7152" s="16">
        <f>IFERROR(__xludf.DUMMYFUNCTION("""COMPUTED_VALUE"""),66.0)</f>
        <v>66</v>
      </c>
      <c r="F7152" s="19" t="str">
        <f>IFERROR(__xludf.DUMMYFUNCTION("""COMPUTED_VALUE"""),"BLACK")</f>
        <v>BLACK</v>
      </c>
      <c r="G7152" s="20" t="str">
        <f>IFERROR(__xludf.DUMMYFUNCTION("""COMPUTED_VALUE"""),"Uncle Sams Cider (04/04/2023)")</f>
        <v>Uncle Sams Cider (04/04/2023)</v>
      </c>
      <c r="H7152" s="19"/>
    </row>
    <row r="7153">
      <c r="A7153" s="9"/>
      <c r="B7153" s="15"/>
      <c r="C7153" s="9">
        <f>IFERROR(__xludf.DUMMYFUNCTION("""COMPUTED_VALUE"""),45069.1658589351)</f>
        <v>45069.16586</v>
      </c>
      <c r="D7153" s="15">
        <f>IFERROR(__xludf.DUMMYFUNCTION("""COMPUTED_VALUE"""),1.012)</f>
        <v>1.012</v>
      </c>
      <c r="E7153" s="16">
        <f>IFERROR(__xludf.DUMMYFUNCTION("""COMPUTED_VALUE"""),66.0)</f>
        <v>66</v>
      </c>
      <c r="F7153" s="19" t="str">
        <f>IFERROR(__xludf.DUMMYFUNCTION("""COMPUTED_VALUE"""),"BLACK")</f>
        <v>BLACK</v>
      </c>
      <c r="G7153" s="20" t="str">
        <f>IFERROR(__xludf.DUMMYFUNCTION("""COMPUTED_VALUE"""),"Uncle Sams Cider (04/04/2023)")</f>
        <v>Uncle Sams Cider (04/04/2023)</v>
      </c>
      <c r="H7153" s="19"/>
    </row>
    <row r="7154">
      <c r="A7154" s="9"/>
      <c r="B7154" s="15"/>
      <c r="C7154" s="9">
        <f>IFERROR(__xludf.DUMMYFUNCTION("""COMPUTED_VALUE"""),45069.1554375115)</f>
        <v>45069.15544</v>
      </c>
      <c r="D7154" s="15">
        <f>IFERROR(__xludf.DUMMYFUNCTION("""COMPUTED_VALUE"""),1.012)</f>
        <v>1.012</v>
      </c>
      <c r="E7154" s="16">
        <f>IFERROR(__xludf.DUMMYFUNCTION("""COMPUTED_VALUE"""),66.0)</f>
        <v>66</v>
      </c>
      <c r="F7154" s="19" t="str">
        <f>IFERROR(__xludf.DUMMYFUNCTION("""COMPUTED_VALUE"""),"BLACK")</f>
        <v>BLACK</v>
      </c>
      <c r="G7154" s="20" t="str">
        <f>IFERROR(__xludf.DUMMYFUNCTION("""COMPUTED_VALUE"""),"Uncle Sams Cider (04/04/2023)")</f>
        <v>Uncle Sams Cider (04/04/2023)</v>
      </c>
      <c r="H7154" s="19"/>
    </row>
    <row r="7155">
      <c r="A7155" s="9"/>
      <c r="B7155" s="15"/>
      <c r="C7155" s="9">
        <f>IFERROR(__xludf.DUMMYFUNCTION("""COMPUTED_VALUE"""),45069.1450032754)</f>
        <v>45069.145</v>
      </c>
      <c r="D7155" s="15">
        <f>IFERROR(__xludf.DUMMYFUNCTION("""COMPUTED_VALUE"""),1.012)</f>
        <v>1.012</v>
      </c>
      <c r="E7155" s="16">
        <f>IFERROR(__xludf.DUMMYFUNCTION("""COMPUTED_VALUE"""),66.0)</f>
        <v>66</v>
      </c>
      <c r="F7155" s="19" t="str">
        <f>IFERROR(__xludf.DUMMYFUNCTION("""COMPUTED_VALUE"""),"BLACK")</f>
        <v>BLACK</v>
      </c>
      <c r="G7155" s="20" t="str">
        <f>IFERROR(__xludf.DUMMYFUNCTION("""COMPUTED_VALUE"""),"Uncle Sams Cider (04/04/2023)")</f>
        <v>Uncle Sams Cider (04/04/2023)</v>
      </c>
      <c r="H7155" s="19"/>
    </row>
    <row r="7156">
      <c r="A7156" s="9"/>
      <c r="B7156" s="15"/>
      <c r="C7156" s="9">
        <f>IFERROR(__xludf.DUMMYFUNCTION("""COMPUTED_VALUE"""),45069.1345826851)</f>
        <v>45069.13458</v>
      </c>
      <c r="D7156" s="15">
        <f>IFERROR(__xludf.DUMMYFUNCTION("""COMPUTED_VALUE"""),1.012)</f>
        <v>1.012</v>
      </c>
      <c r="E7156" s="16">
        <f>IFERROR(__xludf.DUMMYFUNCTION("""COMPUTED_VALUE"""),66.0)</f>
        <v>66</v>
      </c>
      <c r="F7156" s="19" t="str">
        <f>IFERROR(__xludf.DUMMYFUNCTION("""COMPUTED_VALUE"""),"BLACK")</f>
        <v>BLACK</v>
      </c>
      <c r="G7156" s="20" t="str">
        <f>IFERROR(__xludf.DUMMYFUNCTION("""COMPUTED_VALUE"""),"Uncle Sams Cider (04/04/2023)")</f>
        <v>Uncle Sams Cider (04/04/2023)</v>
      </c>
      <c r="H7156" s="19"/>
    </row>
    <row r="7157">
      <c r="A7157" s="9"/>
      <c r="B7157" s="15"/>
      <c r="C7157" s="9">
        <f>IFERROR(__xludf.DUMMYFUNCTION("""COMPUTED_VALUE"""),45069.1241605902)</f>
        <v>45069.12416</v>
      </c>
      <c r="D7157" s="15">
        <f>IFERROR(__xludf.DUMMYFUNCTION("""COMPUTED_VALUE"""),1.012)</f>
        <v>1.012</v>
      </c>
      <c r="E7157" s="16">
        <f>IFERROR(__xludf.DUMMYFUNCTION("""COMPUTED_VALUE"""),66.0)</f>
        <v>66</v>
      </c>
      <c r="F7157" s="19" t="str">
        <f>IFERROR(__xludf.DUMMYFUNCTION("""COMPUTED_VALUE"""),"BLACK")</f>
        <v>BLACK</v>
      </c>
      <c r="G7157" s="20" t="str">
        <f>IFERROR(__xludf.DUMMYFUNCTION("""COMPUTED_VALUE"""),"Uncle Sams Cider (04/04/2023)")</f>
        <v>Uncle Sams Cider (04/04/2023)</v>
      </c>
      <c r="H7157" s="19"/>
    </row>
    <row r="7158">
      <c r="A7158" s="9"/>
      <c r="B7158" s="15"/>
      <c r="C7158" s="9">
        <f>IFERROR(__xludf.DUMMYFUNCTION("""COMPUTED_VALUE"""),45069.1137388425)</f>
        <v>45069.11374</v>
      </c>
      <c r="D7158" s="15">
        <f>IFERROR(__xludf.DUMMYFUNCTION("""COMPUTED_VALUE"""),1.012)</f>
        <v>1.012</v>
      </c>
      <c r="E7158" s="16">
        <f>IFERROR(__xludf.DUMMYFUNCTION("""COMPUTED_VALUE"""),66.0)</f>
        <v>66</v>
      </c>
      <c r="F7158" s="19" t="str">
        <f>IFERROR(__xludf.DUMMYFUNCTION("""COMPUTED_VALUE"""),"BLACK")</f>
        <v>BLACK</v>
      </c>
      <c r="G7158" s="20" t="str">
        <f>IFERROR(__xludf.DUMMYFUNCTION("""COMPUTED_VALUE"""),"Uncle Sams Cider (04/04/2023)")</f>
        <v>Uncle Sams Cider (04/04/2023)</v>
      </c>
      <c r="H7158" s="19"/>
    </row>
    <row r="7159">
      <c r="A7159" s="9"/>
      <c r="B7159" s="15"/>
      <c r="C7159" s="9">
        <f>IFERROR(__xludf.DUMMYFUNCTION("""COMPUTED_VALUE"""),45069.1033183333)</f>
        <v>45069.10332</v>
      </c>
      <c r="D7159" s="15">
        <f>IFERROR(__xludf.DUMMYFUNCTION("""COMPUTED_VALUE"""),1.012)</f>
        <v>1.012</v>
      </c>
      <c r="E7159" s="16">
        <f>IFERROR(__xludf.DUMMYFUNCTION("""COMPUTED_VALUE"""),66.0)</f>
        <v>66</v>
      </c>
      <c r="F7159" s="19" t="str">
        <f>IFERROR(__xludf.DUMMYFUNCTION("""COMPUTED_VALUE"""),"BLACK")</f>
        <v>BLACK</v>
      </c>
      <c r="G7159" s="20" t="str">
        <f>IFERROR(__xludf.DUMMYFUNCTION("""COMPUTED_VALUE"""),"Uncle Sams Cider (04/04/2023)")</f>
        <v>Uncle Sams Cider (04/04/2023)</v>
      </c>
      <c r="H7159" s="19"/>
    </row>
    <row r="7160">
      <c r="A7160" s="9"/>
      <c r="B7160" s="15"/>
      <c r="C7160" s="9">
        <f>IFERROR(__xludf.DUMMYFUNCTION("""COMPUTED_VALUE"""),45069.0928965046)</f>
        <v>45069.0929</v>
      </c>
      <c r="D7160" s="15">
        <f>IFERROR(__xludf.DUMMYFUNCTION("""COMPUTED_VALUE"""),1.012)</f>
        <v>1.012</v>
      </c>
      <c r="E7160" s="16">
        <f>IFERROR(__xludf.DUMMYFUNCTION("""COMPUTED_VALUE"""),66.0)</f>
        <v>66</v>
      </c>
      <c r="F7160" s="19" t="str">
        <f>IFERROR(__xludf.DUMMYFUNCTION("""COMPUTED_VALUE"""),"BLACK")</f>
        <v>BLACK</v>
      </c>
      <c r="G7160" s="20" t="str">
        <f>IFERROR(__xludf.DUMMYFUNCTION("""COMPUTED_VALUE"""),"Uncle Sams Cider (04/04/2023)")</f>
        <v>Uncle Sams Cider (04/04/2023)</v>
      </c>
      <c r="H7160" s="19"/>
    </row>
    <row r="7161">
      <c r="A7161" s="9"/>
      <c r="B7161" s="15"/>
      <c r="C7161" s="9">
        <f>IFERROR(__xludf.DUMMYFUNCTION("""COMPUTED_VALUE"""),45069.0824752662)</f>
        <v>45069.08248</v>
      </c>
      <c r="D7161" s="15">
        <f>IFERROR(__xludf.DUMMYFUNCTION("""COMPUTED_VALUE"""),1.012)</f>
        <v>1.012</v>
      </c>
      <c r="E7161" s="16">
        <f>IFERROR(__xludf.DUMMYFUNCTION("""COMPUTED_VALUE"""),66.0)</f>
        <v>66</v>
      </c>
      <c r="F7161" s="19" t="str">
        <f>IFERROR(__xludf.DUMMYFUNCTION("""COMPUTED_VALUE"""),"BLACK")</f>
        <v>BLACK</v>
      </c>
      <c r="G7161" s="20" t="str">
        <f>IFERROR(__xludf.DUMMYFUNCTION("""COMPUTED_VALUE"""),"Uncle Sams Cider (04/04/2023)")</f>
        <v>Uncle Sams Cider (04/04/2023)</v>
      </c>
      <c r="H7161" s="19"/>
    </row>
    <row r="7162">
      <c r="A7162" s="9"/>
      <c r="B7162" s="15"/>
      <c r="C7162" s="9">
        <f>IFERROR(__xludf.DUMMYFUNCTION("""COMPUTED_VALUE"""),45069.0720418634)</f>
        <v>45069.07204</v>
      </c>
      <c r="D7162" s="15">
        <f>IFERROR(__xludf.DUMMYFUNCTION("""COMPUTED_VALUE"""),1.012)</f>
        <v>1.012</v>
      </c>
      <c r="E7162" s="16">
        <f>IFERROR(__xludf.DUMMYFUNCTION("""COMPUTED_VALUE"""),66.0)</f>
        <v>66</v>
      </c>
      <c r="F7162" s="19" t="str">
        <f>IFERROR(__xludf.DUMMYFUNCTION("""COMPUTED_VALUE"""),"BLACK")</f>
        <v>BLACK</v>
      </c>
      <c r="G7162" s="20" t="str">
        <f>IFERROR(__xludf.DUMMYFUNCTION("""COMPUTED_VALUE"""),"Uncle Sams Cider (04/04/2023)")</f>
        <v>Uncle Sams Cider (04/04/2023)</v>
      </c>
      <c r="H7162" s="19"/>
    </row>
    <row r="7163">
      <c r="A7163" s="9"/>
      <c r="B7163" s="15"/>
      <c r="C7163" s="9">
        <f>IFERROR(__xludf.DUMMYFUNCTION("""COMPUTED_VALUE"""),45069.0616215856)</f>
        <v>45069.06162</v>
      </c>
      <c r="D7163" s="15">
        <f>IFERROR(__xludf.DUMMYFUNCTION("""COMPUTED_VALUE"""),1.012)</f>
        <v>1.012</v>
      </c>
      <c r="E7163" s="16">
        <f>IFERROR(__xludf.DUMMYFUNCTION("""COMPUTED_VALUE"""),66.0)</f>
        <v>66</v>
      </c>
      <c r="F7163" s="19" t="str">
        <f>IFERROR(__xludf.DUMMYFUNCTION("""COMPUTED_VALUE"""),"BLACK")</f>
        <v>BLACK</v>
      </c>
      <c r="G7163" s="20" t="str">
        <f>IFERROR(__xludf.DUMMYFUNCTION("""COMPUTED_VALUE"""),"Uncle Sams Cider (04/04/2023)")</f>
        <v>Uncle Sams Cider (04/04/2023)</v>
      </c>
      <c r="H7163" s="19"/>
    </row>
    <row r="7164">
      <c r="A7164" s="9"/>
      <c r="B7164" s="15"/>
      <c r="C7164" s="9">
        <f>IFERROR(__xludf.DUMMYFUNCTION("""COMPUTED_VALUE"""),45069.0511999768)</f>
        <v>45069.0512</v>
      </c>
      <c r="D7164" s="15">
        <f>IFERROR(__xludf.DUMMYFUNCTION("""COMPUTED_VALUE"""),1.012)</f>
        <v>1.012</v>
      </c>
      <c r="E7164" s="16">
        <f>IFERROR(__xludf.DUMMYFUNCTION("""COMPUTED_VALUE"""),66.0)</f>
        <v>66</v>
      </c>
      <c r="F7164" s="19" t="str">
        <f>IFERROR(__xludf.DUMMYFUNCTION("""COMPUTED_VALUE"""),"BLACK")</f>
        <v>BLACK</v>
      </c>
      <c r="G7164" s="20" t="str">
        <f>IFERROR(__xludf.DUMMYFUNCTION("""COMPUTED_VALUE"""),"Uncle Sams Cider (04/04/2023)")</f>
        <v>Uncle Sams Cider (04/04/2023)</v>
      </c>
      <c r="H7164" s="19"/>
    </row>
    <row r="7165">
      <c r="A7165" s="9"/>
      <c r="B7165" s="15"/>
      <c r="C7165" s="9">
        <f>IFERROR(__xludf.DUMMYFUNCTION("""COMPUTED_VALUE"""),45069.040779618)</f>
        <v>45069.04078</v>
      </c>
      <c r="D7165" s="15">
        <f>IFERROR(__xludf.DUMMYFUNCTION("""COMPUTED_VALUE"""),1.012)</f>
        <v>1.012</v>
      </c>
      <c r="E7165" s="16">
        <f>IFERROR(__xludf.DUMMYFUNCTION("""COMPUTED_VALUE"""),66.0)</f>
        <v>66</v>
      </c>
      <c r="F7165" s="19" t="str">
        <f>IFERROR(__xludf.DUMMYFUNCTION("""COMPUTED_VALUE"""),"BLACK")</f>
        <v>BLACK</v>
      </c>
      <c r="G7165" s="20" t="str">
        <f>IFERROR(__xludf.DUMMYFUNCTION("""COMPUTED_VALUE"""),"Uncle Sams Cider (04/04/2023)")</f>
        <v>Uncle Sams Cider (04/04/2023)</v>
      </c>
      <c r="H7165" s="19"/>
    </row>
    <row r="7166">
      <c r="A7166" s="9"/>
      <c r="B7166" s="15"/>
      <c r="C7166" s="9">
        <f>IFERROR(__xludf.DUMMYFUNCTION("""COMPUTED_VALUE"""),45069.0303577199)</f>
        <v>45069.03036</v>
      </c>
      <c r="D7166" s="15">
        <f>IFERROR(__xludf.DUMMYFUNCTION("""COMPUTED_VALUE"""),1.012)</f>
        <v>1.012</v>
      </c>
      <c r="E7166" s="16">
        <f>IFERROR(__xludf.DUMMYFUNCTION("""COMPUTED_VALUE"""),66.0)</f>
        <v>66</v>
      </c>
      <c r="F7166" s="19" t="str">
        <f>IFERROR(__xludf.DUMMYFUNCTION("""COMPUTED_VALUE"""),"BLACK")</f>
        <v>BLACK</v>
      </c>
      <c r="G7166" s="20" t="str">
        <f>IFERROR(__xludf.DUMMYFUNCTION("""COMPUTED_VALUE"""),"Uncle Sams Cider (04/04/2023)")</f>
        <v>Uncle Sams Cider (04/04/2023)</v>
      </c>
      <c r="H7166" s="19"/>
    </row>
    <row r="7167">
      <c r="A7167" s="9"/>
      <c r="B7167" s="15"/>
      <c r="C7167" s="9">
        <f>IFERROR(__xludf.DUMMYFUNCTION("""COMPUTED_VALUE"""),45069.0199369097)</f>
        <v>45069.01994</v>
      </c>
      <c r="D7167" s="15">
        <f>IFERROR(__xludf.DUMMYFUNCTION("""COMPUTED_VALUE"""),1.012)</f>
        <v>1.012</v>
      </c>
      <c r="E7167" s="16">
        <f>IFERROR(__xludf.DUMMYFUNCTION("""COMPUTED_VALUE"""),66.0)</f>
        <v>66</v>
      </c>
      <c r="F7167" s="19" t="str">
        <f>IFERROR(__xludf.DUMMYFUNCTION("""COMPUTED_VALUE"""),"BLACK")</f>
        <v>BLACK</v>
      </c>
      <c r="G7167" s="20" t="str">
        <f>IFERROR(__xludf.DUMMYFUNCTION("""COMPUTED_VALUE"""),"Uncle Sams Cider (04/04/2023)")</f>
        <v>Uncle Sams Cider (04/04/2023)</v>
      </c>
      <c r="H7167" s="19"/>
    </row>
    <row r="7168">
      <c r="A7168" s="9"/>
      <c r="B7168" s="15"/>
      <c r="C7168" s="9">
        <f>IFERROR(__xludf.DUMMYFUNCTION("""COMPUTED_VALUE"""),45069.0095154398)</f>
        <v>45069.00952</v>
      </c>
      <c r="D7168" s="15">
        <f>IFERROR(__xludf.DUMMYFUNCTION("""COMPUTED_VALUE"""),1.012)</f>
        <v>1.012</v>
      </c>
      <c r="E7168" s="16">
        <f>IFERROR(__xludf.DUMMYFUNCTION("""COMPUTED_VALUE"""),66.0)</f>
        <v>66</v>
      </c>
      <c r="F7168" s="19" t="str">
        <f>IFERROR(__xludf.DUMMYFUNCTION("""COMPUTED_VALUE"""),"BLACK")</f>
        <v>BLACK</v>
      </c>
      <c r="G7168" s="20" t="str">
        <f>IFERROR(__xludf.DUMMYFUNCTION("""COMPUTED_VALUE"""),"Uncle Sams Cider (04/04/2023)")</f>
        <v>Uncle Sams Cider (04/04/2023)</v>
      </c>
      <c r="H7168" s="19"/>
    </row>
    <row r="7169">
      <c r="A7169" s="9"/>
      <c r="B7169" s="15"/>
      <c r="C7169" s="9">
        <f>IFERROR(__xludf.DUMMYFUNCTION("""COMPUTED_VALUE"""),45068.9990933796)</f>
        <v>45068.99909</v>
      </c>
      <c r="D7169" s="15">
        <f>IFERROR(__xludf.DUMMYFUNCTION("""COMPUTED_VALUE"""),1.012)</f>
        <v>1.012</v>
      </c>
      <c r="E7169" s="16">
        <f>IFERROR(__xludf.DUMMYFUNCTION("""COMPUTED_VALUE"""),66.0)</f>
        <v>66</v>
      </c>
      <c r="F7169" s="19" t="str">
        <f>IFERROR(__xludf.DUMMYFUNCTION("""COMPUTED_VALUE"""),"BLACK")</f>
        <v>BLACK</v>
      </c>
      <c r="G7169" s="20" t="str">
        <f>IFERROR(__xludf.DUMMYFUNCTION("""COMPUTED_VALUE"""),"Uncle Sams Cider (04/04/2023)")</f>
        <v>Uncle Sams Cider (04/04/2023)</v>
      </c>
      <c r="H7169" s="19"/>
    </row>
    <row r="7170">
      <c r="A7170" s="9"/>
      <c r="B7170" s="15"/>
      <c r="C7170" s="9">
        <f>IFERROR(__xludf.DUMMYFUNCTION("""COMPUTED_VALUE"""),45068.9886733912)</f>
        <v>45068.98867</v>
      </c>
      <c r="D7170" s="15">
        <f>IFERROR(__xludf.DUMMYFUNCTION("""COMPUTED_VALUE"""),1.012)</f>
        <v>1.012</v>
      </c>
      <c r="E7170" s="16">
        <f>IFERROR(__xludf.DUMMYFUNCTION("""COMPUTED_VALUE"""),66.0)</f>
        <v>66</v>
      </c>
      <c r="F7170" s="19" t="str">
        <f>IFERROR(__xludf.DUMMYFUNCTION("""COMPUTED_VALUE"""),"BLACK")</f>
        <v>BLACK</v>
      </c>
      <c r="G7170" s="20" t="str">
        <f>IFERROR(__xludf.DUMMYFUNCTION("""COMPUTED_VALUE"""),"Uncle Sams Cider (04/04/2023)")</f>
        <v>Uncle Sams Cider (04/04/2023)</v>
      </c>
      <c r="H7170" s="19"/>
    </row>
    <row r="7171">
      <c r="A7171" s="9"/>
      <c r="B7171" s="15"/>
      <c r="C7171" s="9">
        <f>IFERROR(__xludf.DUMMYFUNCTION("""COMPUTED_VALUE"""),45068.9782509606)</f>
        <v>45068.97825</v>
      </c>
      <c r="D7171" s="15">
        <f>IFERROR(__xludf.DUMMYFUNCTION("""COMPUTED_VALUE"""),1.012)</f>
        <v>1.012</v>
      </c>
      <c r="E7171" s="16">
        <f>IFERROR(__xludf.DUMMYFUNCTION("""COMPUTED_VALUE"""),66.0)</f>
        <v>66</v>
      </c>
      <c r="F7171" s="19" t="str">
        <f>IFERROR(__xludf.DUMMYFUNCTION("""COMPUTED_VALUE"""),"BLACK")</f>
        <v>BLACK</v>
      </c>
      <c r="G7171" s="20" t="str">
        <f>IFERROR(__xludf.DUMMYFUNCTION("""COMPUTED_VALUE"""),"Uncle Sams Cider (04/04/2023)")</f>
        <v>Uncle Sams Cider (04/04/2023)</v>
      </c>
      <c r="H7171" s="19"/>
    </row>
    <row r="7172">
      <c r="A7172" s="9"/>
      <c r="B7172" s="15"/>
      <c r="C7172" s="9">
        <f>IFERROR(__xludf.DUMMYFUNCTION("""COMPUTED_VALUE"""),45068.9678288657)</f>
        <v>45068.96783</v>
      </c>
      <c r="D7172" s="15">
        <f>IFERROR(__xludf.DUMMYFUNCTION("""COMPUTED_VALUE"""),1.012)</f>
        <v>1.012</v>
      </c>
      <c r="E7172" s="16">
        <f>IFERROR(__xludf.DUMMYFUNCTION("""COMPUTED_VALUE"""),66.0)</f>
        <v>66</v>
      </c>
      <c r="F7172" s="19" t="str">
        <f>IFERROR(__xludf.DUMMYFUNCTION("""COMPUTED_VALUE"""),"BLACK")</f>
        <v>BLACK</v>
      </c>
      <c r="G7172" s="20" t="str">
        <f>IFERROR(__xludf.DUMMYFUNCTION("""COMPUTED_VALUE"""),"Uncle Sams Cider (04/04/2023)")</f>
        <v>Uncle Sams Cider (04/04/2023)</v>
      </c>
      <c r="H7172" s="19"/>
    </row>
    <row r="7173">
      <c r="A7173" s="9"/>
      <c r="B7173" s="15"/>
      <c r="C7173" s="9">
        <f>IFERROR(__xludf.DUMMYFUNCTION("""COMPUTED_VALUE"""),45068.9574091088)</f>
        <v>45068.95741</v>
      </c>
      <c r="D7173" s="15">
        <f>IFERROR(__xludf.DUMMYFUNCTION("""COMPUTED_VALUE"""),1.012)</f>
        <v>1.012</v>
      </c>
      <c r="E7173" s="16">
        <f>IFERROR(__xludf.DUMMYFUNCTION("""COMPUTED_VALUE"""),66.0)</f>
        <v>66</v>
      </c>
      <c r="F7173" s="19" t="str">
        <f>IFERROR(__xludf.DUMMYFUNCTION("""COMPUTED_VALUE"""),"BLACK")</f>
        <v>BLACK</v>
      </c>
      <c r="G7173" s="20" t="str">
        <f>IFERROR(__xludf.DUMMYFUNCTION("""COMPUTED_VALUE"""),"Uncle Sams Cider (04/04/2023)")</f>
        <v>Uncle Sams Cider (04/04/2023)</v>
      </c>
      <c r="H7173" s="19"/>
    </row>
    <row r="7174">
      <c r="A7174" s="9"/>
      <c r="B7174" s="15"/>
      <c r="C7174" s="9">
        <f>IFERROR(__xludf.DUMMYFUNCTION("""COMPUTED_VALUE"""),45068.9469780902)</f>
        <v>45068.94698</v>
      </c>
      <c r="D7174" s="15">
        <f>IFERROR(__xludf.DUMMYFUNCTION("""COMPUTED_VALUE"""),1.012)</f>
        <v>1.012</v>
      </c>
      <c r="E7174" s="16">
        <f>IFERROR(__xludf.DUMMYFUNCTION("""COMPUTED_VALUE"""),66.0)</f>
        <v>66</v>
      </c>
      <c r="F7174" s="19" t="str">
        <f>IFERROR(__xludf.DUMMYFUNCTION("""COMPUTED_VALUE"""),"BLACK")</f>
        <v>BLACK</v>
      </c>
      <c r="G7174" s="20" t="str">
        <f>IFERROR(__xludf.DUMMYFUNCTION("""COMPUTED_VALUE"""),"Uncle Sams Cider (04/04/2023)")</f>
        <v>Uncle Sams Cider (04/04/2023)</v>
      </c>
      <c r="H7174" s="19"/>
    </row>
    <row r="7175">
      <c r="A7175" s="9"/>
      <c r="B7175" s="15"/>
      <c r="C7175" s="9">
        <f>IFERROR(__xludf.DUMMYFUNCTION("""COMPUTED_VALUE"""),45068.936556412)</f>
        <v>45068.93656</v>
      </c>
      <c r="D7175" s="15">
        <f>IFERROR(__xludf.DUMMYFUNCTION("""COMPUTED_VALUE"""),1.012)</f>
        <v>1.012</v>
      </c>
      <c r="E7175" s="16">
        <f>IFERROR(__xludf.DUMMYFUNCTION("""COMPUTED_VALUE"""),66.0)</f>
        <v>66</v>
      </c>
      <c r="F7175" s="19" t="str">
        <f>IFERROR(__xludf.DUMMYFUNCTION("""COMPUTED_VALUE"""),"BLACK")</f>
        <v>BLACK</v>
      </c>
      <c r="G7175" s="20" t="str">
        <f>IFERROR(__xludf.DUMMYFUNCTION("""COMPUTED_VALUE"""),"Uncle Sams Cider (04/04/2023)")</f>
        <v>Uncle Sams Cider (04/04/2023)</v>
      </c>
      <c r="H7175" s="19"/>
    </row>
    <row r="7176">
      <c r="A7176" s="9"/>
      <c r="B7176" s="15"/>
      <c r="C7176" s="9">
        <f>IFERROR(__xludf.DUMMYFUNCTION("""COMPUTED_VALUE"""),45068.9261357407)</f>
        <v>45068.92614</v>
      </c>
      <c r="D7176" s="15">
        <f>IFERROR(__xludf.DUMMYFUNCTION("""COMPUTED_VALUE"""),1.012)</f>
        <v>1.012</v>
      </c>
      <c r="E7176" s="16">
        <f>IFERROR(__xludf.DUMMYFUNCTION("""COMPUTED_VALUE"""),66.0)</f>
        <v>66</v>
      </c>
      <c r="F7176" s="19" t="str">
        <f>IFERROR(__xludf.DUMMYFUNCTION("""COMPUTED_VALUE"""),"BLACK")</f>
        <v>BLACK</v>
      </c>
      <c r="G7176" s="20" t="str">
        <f>IFERROR(__xludf.DUMMYFUNCTION("""COMPUTED_VALUE"""),"Uncle Sams Cider (04/04/2023)")</f>
        <v>Uncle Sams Cider (04/04/2023)</v>
      </c>
      <c r="H7176" s="19"/>
    </row>
    <row r="7177">
      <c r="A7177" s="9"/>
      <c r="B7177" s="15"/>
      <c r="C7177" s="9">
        <f>IFERROR(__xludf.DUMMYFUNCTION("""COMPUTED_VALUE"""),45068.9215422337)</f>
        <v>45068.92154</v>
      </c>
      <c r="D7177" s="15">
        <f>IFERROR(__xludf.DUMMYFUNCTION("""COMPUTED_VALUE"""),1.012)</f>
        <v>1.012</v>
      </c>
      <c r="E7177" s="16">
        <f>IFERROR(__xludf.DUMMYFUNCTION("""COMPUTED_VALUE"""),66.0)</f>
        <v>66</v>
      </c>
      <c r="F7177" s="19" t="str">
        <f>IFERROR(__xludf.DUMMYFUNCTION("""COMPUTED_VALUE"""),"BLACK")</f>
        <v>BLACK</v>
      </c>
      <c r="G7177" s="20" t="str">
        <f>IFERROR(__xludf.DUMMYFUNCTION("""COMPUTED_VALUE"""),"Uncle Sams Cider (04/04/2023)")</f>
        <v>Uncle Sams Cider (04/04/2023)</v>
      </c>
      <c r="H7177" s="19"/>
    </row>
    <row r="7178">
      <c r="A7178" s="9"/>
      <c r="B7178" s="15"/>
      <c r="C7178" s="9">
        <f>IFERROR(__xludf.DUMMYFUNCTION("""COMPUTED_VALUE"""),45068.9111219097)</f>
        <v>45068.91112</v>
      </c>
      <c r="D7178" s="15">
        <f>IFERROR(__xludf.DUMMYFUNCTION("""COMPUTED_VALUE"""),1.012)</f>
        <v>1.012</v>
      </c>
      <c r="E7178" s="16">
        <f>IFERROR(__xludf.DUMMYFUNCTION("""COMPUTED_VALUE"""),66.0)</f>
        <v>66</v>
      </c>
      <c r="F7178" s="19" t="str">
        <f>IFERROR(__xludf.DUMMYFUNCTION("""COMPUTED_VALUE"""),"BLACK")</f>
        <v>BLACK</v>
      </c>
      <c r="G7178" s="20" t="str">
        <f>IFERROR(__xludf.DUMMYFUNCTION("""COMPUTED_VALUE"""),"Uncle Sams Cider (04/04/2023)")</f>
        <v>Uncle Sams Cider (04/04/2023)</v>
      </c>
      <c r="H7178" s="19"/>
    </row>
    <row r="7179">
      <c r="A7179" s="9"/>
      <c r="B7179" s="15"/>
      <c r="C7179" s="9">
        <f>IFERROR(__xludf.DUMMYFUNCTION("""COMPUTED_VALUE"""),45068.9008519097)</f>
        <v>45068.90085</v>
      </c>
      <c r="D7179" s="15">
        <f>IFERROR(__xludf.DUMMYFUNCTION("""COMPUTED_VALUE"""),1.012)</f>
        <v>1.012</v>
      </c>
      <c r="E7179" s="16">
        <f>IFERROR(__xludf.DUMMYFUNCTION("""COMPUTED_VALUE"""),66.0)</f>
        <v>66</v>
      </c>
      <c r="F7179" s="19" t="str">
        <f>IFERROR(__xludf.DUMMYFUNCTION("""COMPUTED_VALUE"""),"BLACK")</f>
        <v>BLACK</v>
      </c>
      <c r="G7179" s="20" t="str">
        <f>IFERROR(__xludf.DUMMYFUNCTION("""COMPUTED_VALUE"""),"Uncle Sams Cider (04/04/2023)")</f>
        <v>Uncle Sams Cider (04/04/2023)</v>
      </c>
      <c r="H7179" s="19"/>
    </row>
    <row r="7180">
      <c r="A7180" s="9"/>
      <c r="B7180" s="15"/>
      <c r="C7180" s="9">
        <f>IFERROR(__xludf.DUMMYFUNCTION("""COMPUTED_VALUE"""),45068.8961334606)</f>
        <v>45068.89613</v>
      </c>
      <c r="D7180" s="15">
        <f>IFERROR(__xludf.DUMMYFUNCTION("""COMPUTED_VALUE"""),1.012)</f>
        <v>1.012</v>
      </c>
      <c r="E7180" s="16">
        <f>IFERROR(__xludf.DUMMYFUNCTION("""COMPUTED_VALUE"""),66.0)</f>
        <v>66</v>
      </c>
      <c r="F7180" s="19" t="str">
        <f>IFERROR(__xludf.DUMMYFUNCTION("""COMPUTED_VALUE"""),"BLACK")</f>
        <v>BLACK</v>
      </c>
      <c r="G7180" s="20" t="str">
        <f>IFERROR(__xludf.DUMMYFUNCTION("""COMPUTED_VALUE"""),"Uncle Sams Cider (04/04/2023)")</f>
        <v>Uncle Sams Cider (04/04/2023)</v>
      </c>
      <c r="H7180" s="19"/>
    </row>
    <row r="7181">
      <c r="A7181" s="9"/>
      <c r="B7181" s="15"/>
      <c r="C7181" s="9">
        <f>IFERROR(__xludf.DUMMYFUNCTION("""COMPUTED_VALUE"""),45068.8904318634)</f>
        <v>45068.89043</v>
      </c>
      <c r="D7181" s="15">
        <f>IFERROR(__xludf.DUMMYFUNCTION("""COMPUTED_VALUE"""),1.012)</f>
        <v>1.012</v>
      </c>
      <c r="E7181" s="16">
        <f>IFERROR(__xludf.DUMMYFUNCTION("""COMPUTED_VALUE"""),66.0)</f>
        <v>66</v>
      </c>
      <c r="F7181" s="19" t="str">
        <f>IFERROR(__xludf.DUMMYFUNCTION("""COMPUTED_VALUE"""),"BLACK")</f>
        <v>BLACK</v>
      </c>
      <c r="G7181" s="20" t="str">
        <f>IFERROR(__xludf.DUMMYFUNCTION("""COMPUTED_VALUE"""),"Uncle Sams Cider (04/04/2023)")</f>
        <v>Uncle Sams Cider (04/04/2023)</v>
      </c>
      <c r="H7181" s="19"/>
    </row>
    <row r="7182">
      <c r="A7182" s="9"/>
      <c r="B7182" s="15"/>
      <c r="C7182" s="9">
        <f>IFERROR(__xludf.DUMMYFUNCTION("""COMPUTED_VALUE"""),45068.879999456)</f>
        <v>45068.88</v>
      </c>
      <c r="D7182" s="15">
        <f>IFERROR(__xludf.DUMMYFUNCTION("""COMPUTED_VALUE"""),1.012)</f>
        <v>1.012</v>
      </c>
      <c r="E7182" s="16">
        <f>IFERROR(__xludf.DUMMYFUNCTION("""COMPUTED_VALUE"""),66.0)</f>
        <v>66</v>
      </c>
      <c r="F7182" s="19" t="str">
        <f>IFERROR(__xludf.DUMMYFUNCTION("""COMPUTED_VALUE"""),"BLACK")</f>
        <v>BLACK</v>
      </c>
      <c r="G7182" s="20" t="str">
        <f>IFERROR(__xludf.DUMMYFUNCTION("""COMPUTED_VALUE"""),"Uncle Sams Cider (04/04/2023)")</f>
        <v>Uncle Sams Cider (04/04/2023)</v>
      </c>
      <c r="H7182" s="19"/>
    </row>
    <row r="7183">
      <c r="A7183" s="9"/>
      <c r="B7183" s="15"/>
      <c r="C7183" s="9">
        <f>IFERROR(__xludf.DUMMYFUNCTION("""COMPUTED_VALUE"""),45068.8695661342)</f>
        <v>45068.86957</v>
      </c>
      <c r="D7183" s="15">
        <f>IFERROR(__xludf.DUMMYFUNCTION("""COMPUTED_VALUE"""),1.012)</f>
        <v>1.012</v>
      </c>
      <c r="E7183" s="16">
        <f>IFERROR(__xludf.DUMMYFUNCTION("""COMPUTED_VALUE"""),66.0)</f>
        <v>66</v>
      </c>
      <c r="F7183" s="19" t="str">
        <f>IFERROR(__xludf.DUMMYFUNCTION("""COMPUTED_VALUE"""),"BLACK")</f>
        <v>BLACK</v>
      </c>
      <c r="G7183" s="20" t="str">
        <f>IFERROR(__xludf.DUMMYFUNCTION("""COMPUTED_VALUE"""),"Uncle Sams Cider (04/04/2023)")</f>
        <v>Uncle Sams Cider (04/04/2023)</v>
      </c>
      <c r="H7183" s="19"/>
    </row>
    <row r="7184">
      <c r="A7184" s="9"/>
      <c r="B7184" s="15"/>
      <c r="C7184" s="9">
        <f>IFERROR(__xludf.DUMMYFUNCTION("""COMPUTED_VALUE"""),45068.8591454051)</f>
        <v>45068.85915</v>
      </c>
      <c r="D7184" s="15">
        <f>IFERROR(__xludf.DUMMYFUNCTION("""COMPUTED_VALUE"""),1.012)</f>
        <v>1.012</v>
      </c>
      <c r="E7184" s="16">
        <f>IFERROR(__xludf.DUMMYFUNCTION("""COMPUTED_VALUE"""),66.0)</f>
        <v>66</v>
      </c>
      <c r="F7184" s="19" t="str">
        <f>IFERROR(__xludf.DUMMYFUNCTION("""COMPUTED_VALUE"""),"BLACK")</f>
        <v>BLACK</v>
      </c>
      <c r="G7184" s="20" t="str">
        <f>IFERROR(__xludf.DUMMYFUNCTION("""COMPUTED_VALUE"""),"Uncle Sams Cider (04/04/2023)")</f>
        <v>Uncle Sams Cider (04/04/2023)</v>
      </c>
      <c r="H7184" s="19"/>
    </row>
    <row r="7185">
      <c r="A7185" s="9"/>
      <c r="B7185" s="15"/>
      <c r="C7185" s="9">
        <f>IFERROR(__xludf.DUMMYFUNCTION("""COMPUTED_VALUE"""),45068.8487227546)</f>
        <v>45068.84872</v>
      </c>
      <c r="D7185" s="15">
        <f>IFERROR(__xludf.DUMMYFUNCTION("""COMPUTED_VALUE"""),1.012)</f>
        <v>1.012</v>
      </c>
      <c r="E7185" s="16">
        <f>IFERROR(__xludf.DUMMYFUNCTION("""COMPUTED_VALUE"""),66.0)</f>
        <v>66</v>
      </c>
      <c r="F7185" s="19" t="str">
        <f>IFERROR(__xludf.DUMMYFUNCTION("""COMPUTED_VALUE"""),"BLACK")</f>
        <v>BLACK</v>
      </c>
      <c r="G7185" s="20" t="str">
        <f>IFERROR(__xludf.DUMMYFUNCTION("""COMPUTED_VALUE"""),"Uncle Sams Cider (04/04/2023)")</f>
        <v>Uncle Sams Cider (04/04/2023)</v>
      </c>
      <c r="H7185" s="19"/>
    </row>
    <row r="7186">
      <c r="A7186" s="9"/>
      <c r="B7186" s="15"/>
      <c r="C7186" s="9">
        <f>IFERROR(__xludf.DUMMYFUNCTION("""COMPUTED_VALUE"""),45068.8382772338)</f>
        <v>45068.83828</v>
      </c>
      <c r="D7186" s="15">
        <f>IFERROR(__xludf.DUMMYFUNCTION("""COMPUTED_VALUE"""),1.012)</f>
        <v>1.012</v>
      </c>
      <c r="E7186" s="16">
        <f>IFERROR(__xludf.DUMMYFUNCTION("""COMPUTED_VALUE"""),66.0)</f>
        <v>66</v>
      </c>
      <c r="F7186" s="19" t="str">
        <f>IFERROR(__xludf.DUMMYFUNCTION("""COMPUTED_VALUE"""),"BLACK")</f>
        <v>BLACK</v>
      </c>
      <c r="G7186" s="20" t="str">
        <f>IFERROR(__xludf.DUMMYFUNCTION("""COMPUTED_VALUE"""),"Uncle Sams Cider (04/04/2023)")</f>
        <v>Uncle Sams Cider (04/04/2023)</v>
      </c>
      <c r="H7186" s="19"/>
    </row>
    <row r="7187">
      <c r="A7187" s="9"/>
      <c r="B7187" s="15"/>
      <c r="C7187" s="9">
        <f>IFERROR(__xludf.DUMMYFUNCTION("""COMPUTED_VALUE"""),45068.8278571296)</f>
        <v>45068.82786</v>
      </c>
      <c r="D7187" s="15">
        <f>IFERROR(__xludf.DUMMYFUNCTION("""COMPUTED_VALUE"""),1.012)</f>
        <v>1.012</v>
      </c>
      <c r="E7187" s="16">
        <f>IFERROR(__xludf.DUMMYFUNCTION("""COMPUTED_VALUE"""),66.0)</f>
        <v>66</v>
      </c>
      <c r="F7187" s="19" t="str">
        <f>IFERROR(__xludf.DUMMYFUNCTION("""COMPUTED_VALUE"""),"BLACK")</f>
        <v>BLACK</v>
      </c>
      <c r="G7187" s="20" t="str">
        <f>IFERROR(__xludf.DUMMYFUNCTION("""COMPUTED_VALUE"""),"Uncle Sams Cider (04/04/2023)")</f>
        <v>Uncle Sams Cider (04/04/2023)</v>
      </c>
      <c r="H7187" s="19"/>
    </row>
    <row r="7188">
      <c r="A7188" s="9"/>
      <c r="B7188" s="15"/>
      <c r="C7188" s="9">
        <f>IFERROR(__xludf.DUMMYFUNCTION("""COMPUTED_VALUE"""),45068.8069576967)</f>
        <v>45068.80696</v>
      </c>
      <c r="D7188" s="15">
        <f>IFERROR(__xludf.DUMMYFUNCTION("""COMPUTED_VALUE"""),1.012)</f>
        <v>1.012</v>
      </c>
      <c r="E7188" s="16">
        <f>IFERROR(__xludf.DUMMYFUNCTION("""COMPUTED_VALUE"""),66.0)</f>
        <v>66</v>
      </c>
      <c r="F7188" s="19" t="str">
        <f>IFERROR(__xludf.DUMMYFUNCTION("""COMPUTED_VALUE"""),"BLACK")</f>
        <v>BLACK</v>
      </c>
      <c r="G7188" s="20" t="str">
        <f>IFERROR(__xludf.DUMMYFUNCTION("""COMPUTED_VALUE"""),"Uncle Sams Cider (04/04/2023)")</f>
        <v>Uncle Sams Cider (04/04/2023)</v>
      </c>
      <c r="H7188" s="19"/>
    </row>
    <row r="7189">
      <c r="A7189" s="9"/>
      <c r="B7189" s="15"/>
      <c r="C7189" s="9">
        <f>IFERROR(__xludf.DUMMYFUNCTION("""COMPUTED_VALUE"""),45068.7965025)</f>
        <v>45068.7965</v>
      </c>
      <c r="D7189" s="15">
        <f>IFERROR(__xludf.DUMMYFUNCTION("""COMPUTED_VALUE"""),1.012)</f>
        <v>1.012</v>
      </c>
      <c r="E7189" s="16">
        <f>IFERROR(__xludf.DUMMYFUNCTION("""COMPUTED_VALUE"""),66.0)</f>
        <v>66</v>
      </c>
      <c r="F7189" s="19" t="str">
        <f>IFERROR(__xludf.DUMMYFUNCTION("""COMPUTED_VALUE"""),"BLACK")</f>
        <v>BLACK</v>
      </c>
      <c r="G7189" s="20" t="str">
        <f>IFERROR(__xludf.DUMMYFUNCTION("""COMPUTED_VALUE"""),"Uncle Sams Cider (04/04/2023)")</f>
        <v>Uncle Sams Cider (04/04/2023)</v>
      </c>
      <c r="H7189" s="19"/>
    </row>
    <row r="7190">
      <c r="A7190" s="9"/>
      <c r="B7190" s="15"/>
      <c r="C7190" s="9">
        <f>IFERROR(__xludf.DUMMYFUNCTION("""COMPUTED_VALUE"""),45068.7860802083)</f>
        <v>45068.78608</v>
      </c>
      <c r="D7190" s="15">
        <f>IFERROR(__xludf.DUMMYFUNCTION("""COMPUTED_VALUE"""),1.012)</f>
        <v>1.012</v>
      </c>
      <c r="E7190" s="16">
        <f>IFERROR(__xludf.DUMMYFUNCTION("""COMPUTED_VALUE"""),66.0)</f>
        <v>66</v>
      </c>
      <c r="F7190" s="19" t="str">
        <f>IFERROR(__xludf.DUMMYFUNCTION("""COMPUTED_VALUE"""),"BLACK")</f>
        <v>BLACK</v>
      </c>
      <c r="G7190" s="20" t="str">
        <f>IFERROR(__xludf.DUMMYFUNCTION("""COMPUTED_VALUE"""),"Uncle Sams Cider (04/04/2023)")</f>
        <v>Uncle Sams Cider (04/04/2023)</v>
      </c>
      <c r="H7190" s="19"/>
    </row>
    <row r="7191">
      <c r="A7191" s="9"/>
      <c r="B7191" s="15"/>
      <c r="C7191" s="9">
        <f>IFERROR(__xludf.DUMMYFUNCTION("""COMPUTED_VALUE"""),45068.7756592361)</f>
        <v>45068.77566</v>
      </c>
      <c r="D7191" s="15">
        <f>IFERROR(__xludf.DUMMYFUNCTION("""COMPUTED_VALUE"""),1.012)</f>
        <v>1.012</v>
      </c>
      <c r="E7191" s="16">
        <f>IFERROR(__xludf.DUMMYFUNCTION("""COMPUTED_VALUE"""),66.0)</f>
        <v>66</v>
      </c>
      <c r="F7191" s="19" t="str">
        <f>IFERROR(__xludf.DUMMYFUNCTION("""COMPUTED_VALUE"""),"BLACK")</f>
        <v>BLACK</v>
      </c>
      <c r="G7191" s="20" t="str">
        <f>IFERROR(__xludf.DUMMYFUNCTION("""COMPUTED_VALUE"""),"Uncle Sams Cider (04/04/2023)")</f>
        <v>Uncle Sams Cider (04/04/2023)</v>
      </c>
      <c r="H7191" s="19"/>
    </row>
    <row r="7192">
      <c r="A7192" s="9"/>
      <c r="B7192" s="15"/>
      <c r="C7192" s="9">
        <f>IFERROR(__xludf.DUMMYFUNCTION("""COMPUTED_VALUE"""),45068.7652243634)</f>
        <v>45068.76522</v>
      </c>
      <c r="D7192" s="15">
        <f>IFERROR(__xludf.DUMMYFUNCTION("""COMPUTED_VALUE"""),1.012)</f>
        <v>1.012</v>
      </c>
      <c r="E7192" s="16">
        <f>IFERROR(__xludf.DUMMYFUNCTION("""COMPUTED_VALUE"""),66.0)</f>
        <v>66</v>
      </c>
      <c r="F7192" s="19" t="str">
        <f>IFERROR(__xludf.DUMMYFUNCTION("""COMPUTED_VALUE"""),"BLACK")</f>
        <v>BLACK</v>
      </c>
      <c r="G7192" s="20" t="str">
        <f>IFERROR(__xludf.DUMMYFUNCTION("""COMPUTED_VALUE"""),"Uncle Sams Cider (04/04/2023)")</f>
        <v>Uncle Sams Cider (04/04/2023)</v>
      </c>
      <c r="H7192" s="19"/>
    </row>
    <row r="7193">
      <c r="A7193" s="9"/>
      <c r="B7193" s="15"/>
      <c r="C7193" s="9">
        <f>IFERROR(__xludf.DUMMYFUNCTION("""COMPUTED_VALUE"""),45068.7548048263)</f>
        <v>45068.7548</v>
      </c>
      <c r="D7193" s="15">
        <f>IFERROR(__xludf.DUMMYFUNCTION("""COMPUTED_VALUE"""),1.012)</f>
        <v>1.012</v>
      </c>
      <c r="E7193" s="16">
        <f>IFERROR(__xludf.DUMMYFUNCTION("""COMPUTED_VALUE"""),66.0)</f>
        <v>66</v>
      </c>
      <c r="F7193" s="19" t="str">
        <f>IFERROR(__xludf.DUMMYFUNCTION("""COMPUTED_VALUE"""),"BLACK")</f>
        <v>BLACK</v>
      </c>
      <c r="G7193" s="20" t="str">
        <f>IFERROR(__xludf.DUMMYFUNCTION("""COMPUTED_VALUE"""),"Uncle Sams Cider (04/04/2023)")</f>
        <v>Uncle Sams Cider (04/04/2023)</v>
      </c>
      <c r="H7193" s="19"/>
    </row>
    <row r="7194">
      <c r="A7194" s="9"/>
      <c r="B7194" s="15"/>
      <c r="C7194" s="9">
        <f>IFERROR(__xludf.DUMMYFUNCTION("""COMPUTED_VALUE"""),45068.7443728588)</f>
        <v>45068.74437</v>
      </c>
      <c r="D7194" s="15">
        <f>IFERROR(__xludf.DUMMYFUNCTION("""COMPUTED_VALUE"""),1.012)</f>
        <v>1.012</v>
      </c>
      <c r="E7194" s="16">
        <f>IFERROR(__xludf.DUMMYFUNCTION("""COMPUTED_VALUE"""),66.0)</f>
        <v>66</v>
      </c>
      <c r="F7194" s="19" t="str">
        <f>IFERROR(__xludf.DUMMYFUNCTION("""COMPUTED_VALUE"""),"BLACK")</f>
        <v>BLACK</v>
      </c>
      <c r="G7194" s="20" t="str">
        <f>IFERROR(__xludf.DUMMYFUNCTION("""COMPUTED_VALUE"""),"Uncle Sams Cider (04/04/2023)")</f>
        <v>Uncle Sams Cider (04/04/2023)</v>
      </c>
      <c r="H7194" s="19"/>
    </row>
    <row r="7195">
      <c r="A7195" s="9"/>
      <c r="B7195" s="15"/>
      <c r="C7195" s="9">
        <f>IFERROR(__xludf.DUMMYFUNCTION("""COMPUTED_VALUE"""),45068.7339511458)</f>
        <v>45068.73395</v>
      </c>
      <c r="D7195" s="15">
        <f>IFERROR(__xludf.DUMMYFUNCTION("""COMPUTED_VALUE"""),1.012)</f>
        <v>1.012</v>
      </c>
      <c r="E7195" s="16">
        <f>IFERROR(__xludf.DUMMYFUNCTION("""COMPUTED_VALUE"""),66.0)</f>
        <v>66</v>
      </c>
      <c r="F7195" s="19" t="str">
        <f>IFERROR(__xludf.DUMMYFUNCTION("""COMPUTED_VALUE"""),"BLACK")</f>
        <v>BLACK</v>
      </c>
      <c r="G7195" s="20" t="str">
        <f>IFERROR(__xludf.DUMMYFUNCTION("""COMPUTED_VALUE"""),"Uncle Sams Cider (04/04/2023)")</f>
        <v>Uncle Sams Cider (04/04/2023)</v>
      </c>
      <c r="H7195" s="19"/>
    </row>
    <row r="7196">
      <c r="A7196" s="9"/>
      <c r="B7196" s="15"/>
      <c r="C7196" s="9">
        <f>IFERROR(__xludf.DUMMYFUNCTION("""COMPUTED_VALUE"""),45068.7235187152)</f>
        <v>45068.72352</v>
      </c>
      <c r="D7196" s="15">
        <f>IFERROR(__xludf.DUMMYFUNCTION("""COMPUTED_VALUE"""),1.012)</f>
        <v>1.012</v>
      </c>
      <c r="E7196" s="16">
        <f>IFERROR(__xludf.DUMMYFUNCTION("""COMPUTED_VALUE"""),66.0)</f>
        <v>66</v>
      </c>
      <c r="F7196" s="19" t="str">
        <f>IFERROR(__xludf.DUMMYFUNCTION("""COMPUTED_VALUE"""),"BLACK")</f>
        <v>BLACK</v>
      </c>
      <c r="G7196" s="20" t="str">
        <f>IFERROR(__xludf.DUMMYFUNCTION("""COMPUTED_VALUE"""),"Uncle Sams Cider (04/04/2023)")</f>
        <v>Uncle Sams Cider (04/04/2023)</v>
      </c>
      <c r="H7196" s="19"/>
    </row>
    <row r="7197">
      <c r="A7197" s="9"/>
      <c r="B7197" s="15"/>
      <c r="C7197" s="9">
        <f>IFERROR(__xludf.DUMMYFUNCTION("""COMPUTED_VALUE"""),45068.713096956)</f>
        <v>45068.7131</v>
      </c>
      <c r="D7197" s="15">
        <f>IFERROR(__xludf.DUMMYFUNCTION("""COMPUTED_VALUE"""),1.012)</f>
        <v>1.012</v>
      </c>
      <c r="E7197" s="16">
        <f>IFERROR(__xludf.DUMMYFUNCTION("""COMPUTED_VALUE"""),66.0)</f>
        <v>66</v>
      </c>
      <c r="F7197" s="19" t="str">
        <f>IFERROR(__xludf.DUMMYFUNCTION("""COMPUTED_VALUE"""),"BLACK")</f>
        <v>BLACK</v>
      </c>
      <c r="G7197" s="20" t="str">
        <f>IFERROR(__xludf.DUMMYFUNCTION("""COMPUTED_VALUE"""),"Uncle Sams Cider (04/04/2023)")</f>
        <v>Uncle Sams Cider (04/04/2023)</v>
      </c>
      <c r="H7197" s="19"/>
    </row>
    <row r="7198">
      <c r="A7198" s="9"/>
      <c r="B7198" s="15"/>
      <c r="C7198" s="9">
        <f>IFERROR(__xludf.DUMMYFUNCTION("""COMPUTED_VALUE"""),45068.7026540277)</f>
        <v>45068.70265</v>
      </c>
      <c r="D7198" s="15">
        <f>IFERROR(__xludf.DUMMYFUNCTION("""COMPUTED_VALUE"""),1.012)</f>
        <v>1.012</v>
      </c>
      <c r="E7198" s="16">
        <f>IFERROR(__xludf.DUMMYFUNCTION("""COMPUTED_VALUE"""),66.0)</f>
        <v>66</v>
      </c>
      <c r="F7198" s="19" t="str">
        <f>IFERROR(__xludf.DUMMYFUNCTION("""COMPUTED_VALUE"""),"BLACK")</f>
        <v>BLACK</v>
      </c>
      <c r="G7198" s="20" t="str">
        <f>IFERROR(__xludf.DUMMYFUNCTION("""COMPUTED_VALUE"""),"Uncle Sams Cider (04/04/2023)")</f>
        <v>Uncle Sams Cider (04/04/2023)</v>
      </c>
      <c r="H7198" s="19"/>
    </row>
    <row r="7199">
      <c r="A7199" s="9"/>
      <c r="B7199" s="15"/>
      <c r="C7199" s="9">
        <f>IFERROR(__xludf.DUMMYFUNCTION("""COMPUTED_VALUE"""),45068.6922318402)</f>
        <v>45068.69223</v>
      </c>
      <c r="D7199" s="15">
        <f>IFERROR(__xludf.DUMMYFUNCTION("""COMPUTED_VALUE"""),1.012)</f>
        <v>1.012</v>
      </c>
      <c r="E7199" s="16">
        <f>IFERROR(__xludf.DUMMYFUNCTION("""COMPUTED_VALUE"""),66.0)</f>
        <v>66</v>
      </c>
      <c r="F7199" s="19" t="str">
        <f>IFERROR(__xludf.DUMMYFUNCTION("""COMPUTED_VALUE"""),"BLACK")</f>
        <v>BLACK</v>
      </c>
      <c r="G7199" s="20" t="str">
        <f>IFERROR(__xludf.DUMMYFUNCTION("""COMPUTED_VALUE"""),"Uncle Sams Cider (04/04/2023)")</f>
        <v>Uncle Sams Cider (04/04/2023)</v>
      </c>
      <c r="H7199" s="19"/>
    </row>
    <row r="7200">
      <c r="A7200" s="9"/>
      <c r="B7200" s="15"/>
      <c r="C7200" s="9">
        <f>IFERROR(__xludf.DUMMYFUNCTION("""COMPUTED_VALUE"""),45068.6818107176)</f>
        <v>45068.68181</v>
      </c>
      <c r="D7200" s="15">
        <f>IFERROR(__xludf.DUMMYFUNCTION("""COMPUTED_VALUE"""),1.012)</f>
        <v>1.012</v>
      </c>
      <c r="E7200" s="16">
        <f>IFERROR(__xludf.DUMMYFUNCTION("""COMPUTED_VALUE"""),66.0)</f>
        <v>66</v>
      </c>
      <c r="F7200" s="19" t="str">
        <f>IFERROR(__xludf.DUMMYFUNCTION("""COMPUTED_VALUE"""),"BLACK")</f>
        <v>BLACK</v>
      </c>
      <c r="G7200" s="20" t="str">
        <f>IFERROR(__xludf.DUMMYFUNCTION("""COMPUTED_VALUE"""),"Uncle Sams Cider (04/04/2023)")</f>
        <v>Uncle Sams Cider (04/04/2023)</v>
      </c>
      <c r="H7200" s="19"/>
    </row>
    <row r="7201">
      <c r="A7201" s="9"/>
      <c r="B7201" s="15"/>
      <c r="C7201" s="9">
        <f>IFERROR(__xludf.DUMMYFUNCTION("""COMPUTED_VALUE"""),45068.6713890856)</f>
        <v>45068.67139</v>
      </c>
      <c r="D7201" s="15">
        <f>IFERROR(__xludf.DUMMYFUNCTION("""COMPUTED_VALUE"""),1.012)</f>
        <v>1.012</v>
      </c>
      <c r="E7201" s="16">
        <f>IFERROR(__xludf.DUMMYFUNCTION("""COMPUTED_VALUE"""),66.0)</f>
        <v>66</v>
      </c>
      <c r="F7201" s="19" t="str">
        <f>IFERROR(__xludf.DUMMYFUNCTION("""COMPUTED_VALUE"""),"BLACK")</f>
        <v>BLACK</v>
      </c>
      <c r="G7201" s="20" t="str">
        <f>IFERROR(__xludf.DUMMYFUNCTION("""COMPUTED_VALUE"""),"Uncle Sams Cider (04/04/2023)")</f>
        <v>Uncle Sams Cider (04/04/2023)</v>
      </c>
      <c r="H7201" s="19"/>
    </row>
    <row r="7202">
      <c r="A7202" s="9"/>
      <c r="B7202" s="15"/>
      <c r="C7202" s="9">
        <f>IFERROR(__xludf.DUMMYFUNCTION("""COMPUTED_VALUE"""),45068.6609673379)</f>
        <v>45068.66097</v>
      </c>
      <c r="D7202" s="15">
        <f>IFERROR(__xludf.DUMMYFUNCTION("""COMPUTED_VALUE"""),1.012)</f>
        <v>1.012</v>
      </c>
      <c r="E7202" s="16">
        <f>IFERROR(__xludf.DUMMYFUNCTION("""COMPUTED_VALUE"""),66.0)</f>
        <v>66</v>
      </c>
      <c r="F7202" s="19" t="str">
        <f>IFERROR(__xludf.DUMMYFUNCTION("""COMPUTED_VALUE"""),"BLACK")</f>
        <v>BLACK</v>
      </c>
      <c r="G7202" s="20" t="str">
        <f>IFERROR(__xludf.DUMMYFUNCTION("""COMPUTED_VALUE"""),"Uncle Sams Cider (04/04/2023)")</f>
        <v>Uncle Sams Cider (04/04/2023)</v>
      </c>
      <c r="H7202" s="19"/>
    </row>
    <row r="7203">
      <c r="A7203" s="9"/>
      <c r="B7203" s="15"/>
      <c r="C7203" s="9">
        <f>IFERROR(__xludf.DUMMYFUNCTION("""COMPUTED_VALUE"""),45068.6505454282)</f>
        <v>45068.65055</v>
      </c>
      <c r="D7203" s="15">
        <f>IFERROR(__xludf.DUMMYFUNCTION("""COMPUTED_VALUE"""),1.012)</f>
        <v>1.012</v>
      </c>
      <c r="E7203" s="16">
        <f>IFERROR(__xludf.DUMMYFUNCTION("""COMPUTED_VALUE"""),66.0)</f>
        <v>66</v>
      </c>
      <c r="F7203" s="19" t="str">
        <f>IFERROR(__xludf.DUMMYFUNCTION("""COMPUTED_VALUE"""),"BLACK")</f>
        <v>BLACK</v>
      </c>
      <c r="G7203" s="20" t="str">
        <f>IFERROR(__xludf.DUMMYFUNCTION("""COMPUTED_VALUE"""),"Uncle Sams Cider (04/04/2023)")</f>
        <v>Uncle Sams Cider (04/04/2023)</v>
      </c>
      <c r="H7203" s="19"/>
    </row>
    <row r="7204">
      <c r="A7204" s="9"/>
      <c r="B7204" s="15"/>
      <c r="C7204" s="9">
        <f>IFERROR(__xludf.DUMMYFUNCTION("""COMPUTED_VALUE"""),45068.6401245949)</f>
        <v>45068.64012</v>
      </c>
      <c r="D7204" s="15">
        <f>IFERROR(__xludf.DUMMYFUNCTION("""COMPUTED_VALUE"""),1.012)</f>
        <v>1.012</v>
      </c>
      <c r="E7204" s="16">
        <f>IFERROR(__xludf.DUMMYFUNCTION("""COMPUTED_VALUE"""),66.0)</f>
        <v>66</v>
      </c>
      <c r="F7204" s="19" t="str">
        <f>IFERROR(__xludf.DUMMYFUNCTION("""COMPUTED_VALUE"""),"BLACK")</f>
        <v>BLACK</v>
      </c>
      <c r="G7204" s="20" t="str">
        <f>IFERROR(__xludf.DUMMYFUNCTION("""COMPUTED_VALUE"""),"Uncle Sams Cider (04/04/2023)")</f>
        <v>Uncle Sams Cider (04/04/2023)</v>
      </c>
      <c r="H7204" s="19"/>
    </row>
    <row r="7205">
      <c r="A7205" s="9"/>
      <c r="B7205" s="15"/>
      <c r="C7205" s="9">
        <f>IFERROR(__xludf.DUMMYFUNCTION("""COMPUTED_VALUE"""),45068.6192697685)</f>
        <v>45068.61927</v>
      </c>
      <c r="D7205" s="15">
        <f>IFERROR(__xludf.DUMMYFUNCTION("""COMPUTED_VALUE"""),1.012)</f>
        <v>1.012</v>
      </c>
      <c r="E7205" s="16">
        <f>IFERROR(__xludf.DUMMYFUNCTION("""COMPUTED_VALUE"""),66.0)</f>
        <v>66</v>
      </c>
      <c r="F7205" s="19" t="str">
        <f>IFERROR(__xludf.DUMMYFUNCTION("""COMPUTED_VALUE"""),"BLACK")</f>
        <v>BLACK</v>
      </c>
      <c r="G7205" s="20" t="str">
        <f>IFERROR(__xludf.DUMMYFUNCTION("""COMPUTED_VALUE"""),"Uncle Sams Cider (04/04/2023)")</f>
        <v>Uncle Sams Cider (04/04/2023)</v>
      </c>
      <c r="H7205" s="19"/>
    </row>
    <row r="7206">
      <c r="A7206" s="9"/>
      <c r="B7206" s="15"/>
      <c r="C7206" s="9">
        <f>IFERROR(__xludf.DUMMYFUNCTION("""COMPUTED_VALUE"""),45068.6088364351)</f>
        <v>45068.60884</v>
      </c>
      <c r="D7206" s="15">
        <f>IFERROR(__xludf.DUMMYFUNCTION("""COMPUTED_VALUE"""),1.012)</f>
        <v>1.012</v>
      </c>
      <c r="E7206" s="16">
        <f>IFERROR(__xludf.DUMMYFUNCTION("""COMPUTED_VALUE"""),66.0)</f>
        <v>66</v>
      </c>
      <c r="F7206" s="19" t="str">
        <f>IFERROR(__xludf.DUMMYFUNCTION("""COMPUTED_VALUE"""),"BLACK")</f>
        <v>BLACK</v>
      </c>
      <c r="G7206" s="20" t="str">
        <f>IFERROR(__xludf.DUMMYFUNCTION("""COMPUTED_VALUE"""),"Uncle Sams Cider (04/04/2023)")</f>
        <v>Uncle Sams Cider (04/04/2023)</v>
      </c>
      <c r="H7206" s="19"/>
    </row>
    <row r="7207">
      <c r="A7207" s="9"/>
      <c r="B7207" s="15"/>
      <c r="C7207" s="9">
        <f>IFERROR(__xludf.DUMMYFUNCTION("""COMPUTED_VALUE"""),45068.5984161458)</f>
        <v>45068.59842</v>
      </c>
      <c r="D7207" s="15">
        <f>IFERROR(__xludf.DUMMYFUNCTION("""COMPUTED_VALUE"""),1.012)</f>
        <v>1.012</v>
      </c>
      <c r="E7207" s="16">
        <f>IFERROR(__xludf.DUMMYFUNCTION("""COMPUTED_VALUE"""),66.0)</f>
        <v>66</v>
      </c>
      <c r="F7207" s="19" t="str">
        <f>IFERROR(__xludf.DUMMYFUNCTION("""COMPUTED_VALUE"""),"BLACK")</f>
        <v>BLACK</v>
      </c>
      <c r="G7207" s="20" t="str">
        <f>IFERROR(__xludf.DUMMYFUNCTION("""COMPUTED_VALUE"""),"Uncle Sams Cider (04/04/2023)")</f>
        <v>Uncle Sams Cider (04/04/2023)</v>
      </c>
      <c r="H7207" s="19"/>
    </row>
    <row r="7208">
      <c r="A7208" s="9"/>
      <c r="B7208" s="15"/>
      <c r="C7208" s="9">
        <f>IFERROR(__xludf.DUMMYFUNCTION("""COMPUTED_VALUE"""),45068.5879715509)</f>
        <v>45068.58797</v>
      </c>
      <c r="D7208" s="15">
        <f>IFERROR(__xludf.DUMMYFUNCTION("""COMPUTED_VALUE"""),1.012)</f>
        <v>1.012</v>
      </c>
      <c r="E7208" s="16">
        <f>IFERROR(__xludf.DUMMYFUNCTION("""COMPUTED_VALUE"""),66.0)</f>
        <v>66</v>
      </c>
      <c r="F7208" s="19" t="str">
        <f>IFERROR(__xludf.DUMMYFUNCTION("""COMPUTED_VALUE"""),"BLACK")</f>
        <v>BLACK</v>
      </c>
      <c r="G7208" s="20" t="str">
        <f>IFERROR(__xludf.DUMMYFUNCTION("""COMPUTED_VALUE"""),"Uncle Sams Cider (04/04/2023)")</f>
        <v>Uncle Sams Cider (04/04/2023)</v>
      </c>
      <c r="H7208" s="19"/>
    </row>
    <row r="7209">
      <c r="A7209" s="9"/>
      <c r="B7209" s="15"/>
      <c r="C7209" s="9">
        <f>IFERROR(__xludf.DUMMYFUNCTION("""COMPUTED_VALUE"""),45068.5775516319)</f>
        <v>45068.57755</v>
      </c>
      <c r="D7209" s="15">
        <f>IFERROR(__xludf.DUMMYFUNCTION("""COMPUTED_VALUE"""),1.012)</f>
        <v>1.012</v>
      </c>
      <c r="E7209" s="16">
        <f>IFERROR(__xludf.DUMMYFUNCTION("""COMPUTED_VALUE"""),66.0)</f>
        <v>66</v>
      </c>
      <c r="F7209" s="19" t="str">
        <f>IFERROR(__xludf.DUMMYFUNCTION("""COMPUTED_VALUE"""),"BLACK")</f>
        <v>BLACK</v>
      </c>
      <c r="G7209" s="20" t="str">
        <f>IFERROR(__xludf.DUMMYFUNCTION("""COMPUTED_VALUE"""),"Uncle Sams Cider (04/04/2023)")</f>
        <v>Uncle Sams Cider (04/04/2023)</v>
      </c>
      <c r="H7209" s="19"/>
    </row>
    <row r="7210">
      <c r="A7210" s="9"/>
      <c r="B7210" s="15"/>
      <c r="C7210" s="9">
        <f>IFERROR(__xludf.DUMMYFUNCTION("""COMPUTED_VALUE"""),45068.5671304745)</f>
        <v>45068.56713</v>
      </c>
      <c r="D7210" s="15">
        <f>IFERROR(__xludf.DUMMYFUNCTION("""COMPUTED_VALUE"""),1.012)</f>
        <v>1.012</v>
      </c>
      <c r="E7210" s="16">
        <f>IFERROR(__xludf.DUMMYFUNCTION("""COMPUTED_VALUE"""),66.0)</f>
        <v>66</v>
      </c>
      <c r="F7210" s="19" t="str">
        <f>IFERROR(__xludf.DUMMYFUNCTION("""COMPUTED_VALUE"""),"BLACK")</f>
        <v>BLACK</v>
      </c>
      <c r="G7210" s="20" t="str">
        <f>IFERROR(__xludf.DUMMYFUNCTION("""COMPUTED_VALUE"""),"Uncle Sams Cider (04/04/2023)")</f>
        <v>Uncle Sams Cider (04/04/2023)</v>
      </c>
      <c r="H7210" s="19"/>
    </row>
    <row r="7211">
      <c r="A7211" s="9"/>
      <c r="B7211" s="15"/>
      <c r="C7211" s="9">
        <f>IFERROR(__xludf.DUMMYFUNCTION("""COMPUTED_VALUE"""),45068.5566876273)</f>
        <v>45068.55669</v>
      </c>
      <c r="D7211" s="15">
        <f>IFERROR(__xludf.DUMMYFUNCTION("""COMPUTED_VALUE"""),1.012)</f>
        <v>1.012</v>
      </c>
      <c r="E7211" s="16">
        <f>IFERROR(__xludf.DUMMYFUNCTION("""COMPUTED_VALUE"""),66.0)</f>
        <v>66</v>
      </c>
      <c r="F7211" s="19" t="str">
        <f>IFERROR(__xludf.DUMMYFUNCTION("""COMPUTED_VALUE"""),"BLACK")</f>
        <v>BLACK</v>
      </c>
      <c r="G7211" s="20" t="str">
        <f>IFERROR(__xludf.DUMMYFUNCTION("""COMPUTED_VALUE"""),"Uncle Sams Cider (04/04/2023)")</f>
        <v>Uncle Sams Cider (04/04/2023)</v>
      </c>
      <c r="H7211" s="19"/>
    </row>
    <row r="7212">
      <c r="A7212" s="9"/>
      <c r="B7212" s="15"/>
      <c r="C7212" s="9">
        <f>IFERROR(__xludf.DUMMYFUNCTION("""COMPUTED_VALUE"""),45068.5462651157)</f>
        <v>45068.54627</v>
      </c>
      <c r="D7212" s="15">
        <f>IFERROR(__xludf.DUMMYFUNCTION("""COMPUTED_VALUE"""),1.012)</f>
        <v>1.012</v>
      </c>
      <c r="E7212" s="16">
        <f>IFERROR(__xludf.DUMMYFUNCTION("""COMPUTED_VALUE"""),66.0)</f>
        <v>66</v>
      </c>
      <c r="F7212" s="19" t="str">
        <f>IFERROR(__xludf.DUMMYFUNCTION("""COMPUTED_VALUE"""),"BLACK")</f>
        <v>BLACK</v>
      </c>
      <c r="G7212" s="20" t="str">
        <f>IFERROR(__xludf.DUMMYFUNCTION("""COMPUTED_VALUE"""),"Uncle Sams Cider (04/04/2023)")</f>
        <v>Uncle Sams Cider (04/04/2023)</v>
      </c>
      <c r="H7212" s="19"/>
    </row>
    <row r="7213">
      <c r="A7213" s="9"/>
      <c r="B7213" s="15"/>
      <c r="C7213" s="9">
        <f>IFERROR(__xludf.DUMMYFUNCTION("""COMPUTED_VALUE"""),45068.5358457523)</f>
        <v>45068.53585</v>
      </c>
      <c r="D7213" s="15">
        <f>IFERROR(__xludf.DUMMYFUNCTION("""COMPUTED_VALUE"""),1.012)</f>
        <v>1.012</v>
      </c>
      <c r="E7213" s="16">
        <f>IFERROR(__xludf.DUMMYFUNCTION("""COMPUTED_VALUE"""),66.0)</f>
        <v>66</v>
      </c>
      <c r="F7213" s="19" t="str">
        <f>IFERROR(__xludf.DUMMYFUNCTION("""COMPUTED_VALUE"""),"BLACK")</f>
        <v>BLACK</v>
      </c>
      <c r="G7213" s="20" t="str">
        <f>IFERROR(__xludf.DUMMYFUNCTION("""COMPUTED_VALUE"""),"Uncle Sams Cider (04/04/2023)")</f>
        <v>Uncle Sams Cider (04/04/2023)</v>
      </c>
      <c r="H7213" s="19"/>
    </row>
    <row r="7214">
      <c r="A7214" s="9"/>
      <c r="B7214" s="15"/>
      <c r="C7214" s="9">
        <f>IFERROR(__xludf.DUMMYFUNCTION("""COMPUTED_VALUE"""),45068.5254140972)</f>
        <v>45068.52541</v>
      </c>
      <c r="D7214" s="15">
        <f>IFERROR(__xludf.DUMMYFUNCTION("""COMPUTED_VALUE"""),1.012)</f>
        <v>1.012</v>
      </c>
      <c r="E7214" s="16">
        <f>IFERROR(__xludf.DUMMYFUNCTION("""COMPUTED_VALUE"""),66.0)</f>
        <v>66</v>
      </c>
      <c r="F7214" s="19" t="str">
        <f>IFERROR(__xludf.DUMMYFUNCTION("""COMPUTED_VALUE"""),"BLACK")</f>
        <v>BLACK</v>
      </c>
      <c r="G7214" s="20" t="str">
        <f>IFERROR(__xludf.DUMMYFUNCTION("""COMPUTED_VALUE"""),"Uncle Sams Cider (04/04/2023)")</f>
        <v>Uncle Sams Cider (04/04/2023)</v>
      </c>
      <c r="H7214" s="19"/>
    </row>
    <row r="7215">
      <c r="A7215" s="9"/>
      <c r="B7215" s="15"/>
      <c r="C7215" s="9">
        <f>IFERROR(__xludf.DUMMYFUNCTION("""COMPUTED_VALUE"""),45068.5149919097)</f>
        <v>45068.51499</v>
      </c>
      <c r="D7215" s="15">
        <f>IFERROR(__xludf.DUMMYFUNCTION("""COMPUTED_VALUE"""),1.012)</f>
        <v>1.012</v>
      </c>
      <c r="E7215" s="16">
        <f>IFERROR(__xludf.DUMMYFUNCTION("""COMPUTED_VALUE"""),66.0)</f>
        <v>66</v>
      </c>
      <c r="F7215" s="19" t="str">
        <f>IFERROR(__xludf.DUMMYFUNCTION("""COMPUTED_VALUE"""),"BLACK")</f>
        <v>BLACK</v>
      </c>
      <c r="G7215" s="20" t="str">
        <f>IFERROR(__xludf.DUMMYFUNCTION("""COMPUTED_VALUE"""),"Uncle Sams Cider (04/04/2023)")</f>
        <v>Uncle Sams Cider (04/04/2023)</v>
      </c>
      <c r="H7215" s="19"/>
    </row>
    <row r="7216">
      <c r="A7216" s="9"/>
      <c r="B7216" s="15"/>
      <c r="C7216" s="9">
        <f>IFERROR(__xludf.DUMMYFUNCTION("""COMPUTED_VALUE"""),45068.5045697569)</f>
        <v>45068.50457</v>
      </c>
      <c r="D7216" s="15">
        <f>IFERROR(__xludf.DUMMYFUNCTION("""COMPUTED_VALUE"""),1.012)</f>
        <v>1.012</v>
      </c>
      <c r="E7216" s="16">
        <f>IFERROR(__xludf.DUMMYFUNCTION("""COMPUTED_VALUE"""),66.0)</f>
        <v>66</v>
      </c>
      <c r="F7216" s="19" t="str">
        <f>IFERROR(__xludf.DUMMYFUNCTION("""COMPUTED_VALUE"""),"BLACK")</f>
        <v>BLACK</v>
      </c>
      <c r="G7216" s="20" t="str">
        <f>IFERROR(__xludf.DUMMYFUNCTION("""COMPUTED_VALUE"""),"Uncle Sams Cider (04/04/2023)")</f>
        <v>Uncle Sams Cider (04/04/2023)</v>
      </c>
      <c r="H7216" s="19"/>
    </row>
    <row r="7217">
      <c r="A7217" s="9"/>
      <c r="B7217" s="15"/>
      <c r="C7217" s="9">
        <f>IFERROR(__xludf.DUMMYFUNCTION("""COMPUTED_VALUE"""),45068.4941248842)</f>
        <v>45068.49412</v>
      </c>
      <c r="D7217" s="15">
        <f>IFERROR(__xludf.DUMMYFUNCTION("""COMPUTED_VALUE"""),1.012)</f>
        <v>1.012</v>
      </c>
      <c r="E7217" s="16">
        <f>IFERROR(__xludf.DUMMYFUNCTION("""COMPUTED_VALUE"""),66.0)</f>
        <v>66</v>
      </c>
      <c r="F7217" s="19" t="str">
        <f>IFERROR(__xludf.DUMMYFUNCTION("""COMPUTED_VALUE"""),"BLACK")</f>
        <v>BLACK</v>
      </c>
      <c r="G7217" s="20" t="str">
        <f>IFERROR(__xludf.DUMMYFUNCTION("""COMPUTED_VALUE"""),"Uncle Sams Cider (04/04/2023)")</f>
        <v>Uncle Sams Cider (04/04/2023)</v>
      </c>
      <c r="H7217" s="19"/>
    </row>
    <row r="7218">
      <c r="A7218" s="9"/>
      <c r="B7218" s="15"/>
      <c r="C7218" s="9">
        <f>IFERROR(__xludf.DUMMYFUNCTION("""COMPUTED_VALUE"""),45068.4836928819)</f>
        <v>45068.48369</v>
      </c>
      <c r="D7218" s="15">
        <f>IFERROR(__xludf.DUMMYFUNCTION("""COMPUTED_VALUE"""),1.012)</f>
        <v>1.012</v>
      </c>
      <c r="E7218" s="16">
        <f>IFERROR(__xludf.DUMMYFUNCTION("""COMPUTED_VALUE"""),66.0)</f>
        <v>66</v>
      </c>
      <c r="F7218" s="19" t="str">
        <f>IFERROR(__xludf.DUMMYFUNCTION("""COMPUTED_VALUE"""),"BLACK")</f>
        <v>BLACK</v>
      </c>
      <c r="G7218" s="20" t="str">
        <f>IFERROR(__xludf.DUMMYFUNCTION("""COMPUTED_VALUE"""),"Uncle Sams Cider (04/04/2023)")</f>
        <v>Uncle Sams Cider (04/04/2023)</v>
      </c>
      <c r="H7218" s="19"/>
    </row>
    <row r="7219">
      <c r="A7219" s="9"/>
      <c r="B7219" s="15"/>
      <c r="C7219" s="9">
        <f>IFERROR(__xludf.DUMMYFUNCTION("""COMPUTED_VALUE"""),45068.4732719444)</f>
        <v>45068.47327</v>
      </c>
      <c r="D7219" s="15">
        <f>IFERROR(__xludf.DUMMYFUNCTION("""COMPUTED_VALUE"""),1.012)</f>
        <v>1.012</v>
      </c>
      <c r="E7219" s="16">
        <f>IFERROR(__xludf.DUMMYFUNCTION("""COMPUTED_VALUE"""),66.0)</f>
        <v>66</v>
      </c>
      <c r="F7219" s="19" t="str">
        <f>IFERROR(__xludf.DUMMYFUNCTION("""COMPUTED_VALUE"""),"BLACK")</f>
        <v>BLACK</v>
      </c>
      <c r="G7219" s="20" t="str">
        <f>IFERROR(__xludf.DUMMYFUNCTION("""COMPUTED_VALUE"""),"Uncle Sams Cider (04/04/2023)")</f>
        <v>Uncle Sams Cider (04/04/2023)</v>
      </c>
      <c r="H7219" s="19"/>
    </row>
    <row r="7220">
      <c r="A7220" s="9"/>
      <c r="B7220" s="15"/>
      <c r="C7220" s="9">
        <f>IFERROR(__xludf.DUMMYFUNCTION("""COMPUTED_VALUE"""),45068.4628515277)</f>
        <v>45068.46285</v>
      </c>
      <c r="D7220" s="15">
        <f>IFERROR(__xludf.DUMMYFUNCTION("""COMPUTED_VALUE"""),1.012)</f>
        <v>1.012</v>
      </c>
      <c r="E7220" s="16">
        <f>IFERROR(__xludf.DUMMYFUNCTION("""COMPUTED_VALUE"""),66.0)</f>
        <v>66</v>
      </c>
      <c r="F7220" s="19" t="str">
        <f>IFERROR(__xludf.DUMMYFUNCTION("""COMPUTED_VALUE"""),"BLACK")</f>
        <v>BLACK</v>
      </c>
      <c r="G7220" s="20" t="str">
        <f>IFERROR(__xludf.DUMMYFUNCTION("""COMPUTED_VALUE"""),"Uncle Sams Cider (04/04/2023)")</f>
        <v>Uncle Sams Cider (04/04/2023)</v>
      </c>
      <c r="H7220" s="19"/>
    </row>
    <row r="7221">
      <c r="A7221" s="9"/>
      <c r="B7221" s="15"/>
      <c r="C7221" s="9">
        <f>IFERROR(__xludf.DUMMYFUNCTION("""COMPUTED_VALUE"""),45068.4524310995)</f>
        <v>45068.45243</v>
      </c>
      <c r="D7221" s="15">
        <f>IFERROR(__xludf.DUMMYFUNCTION("""COMPUTED_VALUE"""),1.012)</f>
        <v>1.012</v>
      </c>
      <c r="E7221" s="16">
        <f>IFERROR(__xludf.DUMMYFUNCTION("""COMPUTED_VALUE"""),66.0)</f>
        <v>66</v>
      </c>
      <c r="F7221" s="19" t="str">
        <f>IFERROR(__xludf.DUMMYFUNCTION("""COMPUTED_VALUE"""),"BLACK")</f>
        <v>BLACK</v>
      </c>
      <c r="G7221" s="20" t="str">
        <f>IFERROR(__xludf.DUMMYFUNCTION("""COMPUTED_VALUE"""),"Uncle Sams Cider (04/04/2023)")</f>
        <v>Uncle Sams Cider (04/04/2023)</v>
      </c>
      <c r="H7221" s="19"/>
    </row>
    <row r="7222">
      <c r="A7222" s="9"/>
      <c r="B7222" s="15"/>
      <c r="C7222" s="9">
        <f>IFERROR(__xludf.DUMMYFUNCTION("""COMPUTED_VALUE"""),45068.4420094097)</f>
        <v>45068.44201</v>
      </c>
      <c r="D7222" s="15">
        <f>IFERROR(__xludf.DUMMYFUNCTION("""COMPUTED_VALUE"""),1.012)</f>
        <v>1.012</v>
      </c>
      <c r="E7222" s="16">
        <f>IFERROR(__xludf.DUMMYFUNCTION("""COMPUTED_VALUE"""),66.0)</f>
        <v>66</v>
      </c>
      <c r="F7222" s="19" t="str">
        <f>IFERROR(__xludf.DUMMYFUNCTION("""COMPUTED_VALUE"""),"BLACK")</f>
        <v>BLACK</v>
      </c>
      <c r="G7222" s="20" t="str">
        <f>IFERROR(__xludf.DUMMYFUNCTION("""COMPUTED_VALUE"""),"Uncle Sams Cider (04/04/2023)")</f>
        <v>Uncle Sams Cider (04/04/2023)</v>
      </c>
      <c r="H7222" s="19"/>
    </row>
    <row r="7223">
      <c r="A7223" s="9"/>
      <c r="B7223" s="15"/>
      <c r="C7223" s="9">
        <f>IFERROR(__xludf.DUMMYFUNCTION("""COMPUTED_VALUE"""),45068.4315287268)</f>
        <v>45068.43153</v>
      </c>
      <c r="D7223" s="15">
        <f>IFERROR(__xludf.DUMMYFUNCTION("""COMPUTED_VALUE"""),1.012)</f>
        <v>1.012</v>
      </c>
      <c r="E7223" s="16">
        <f>IFERROR(__xludf.DUMMYFUNCTION("""COMPUTED_VALUE"""),66.0)</f>
        <v>66</v>
      </c>
      <c r="F7223" s="19" t="str">
        <f>IFERROR(__xludf.DUMMYFUNCTION("""COMPUTED_VALUE"""),"BLACK")</f>
        <v>BLACK</v>
      </c>
      <c r="G7223" s="20" t="str">
        <f>IFERROR(__xludf.DUMMYFUNCTION("""COMPUTED_VALUE"""),"Uncle Sams Cider (04/04/2023)")</f>
        <v>Uncle Sams Cider (04/04/2023)</v>
      </c>
      <c r="H7223" s="19"/>
    </row>
    <row r="7224">
      <c r="A7224" s="9"/>
      <c r="B7224" s="15"/>
      <c r="C7224" s="9">
        <f>IFERROR(__xludf.DUMMYFUNCTION("""COMPUTED_VALUE"""),45068.4211070254)</f>
        <v>45068.42111</v>
      </c>
      <c r="D7224" s="15">
        <f>IFERROR(__xludf.DUMMYFUNCTION("""COMPUTED_VALUE"""),1.012)</f>
        <v>1.012</v>
      </c>
      <c r="E7224" s="16">
        <f>IFERROR(__xludf.DUMMYFUNCTION("""COMPUTED_VALUE"""),66.0)</f>
        <v>66</v>
      </c>
      <c r="F7224" s="19" t="str">
        <f>IFERROR(__xludf.DUMMYFUNCTION("""COMPUTED_VALUE"""),"BLACK")</f>
        <v>BLACK</v>
      </c>
      <c r="G7224" s="20" t="str">
        <f>IFERROR(__xludf.DUMMYFUNCTION("""COMPUTED_VALUE"""),"Uncle Sams Cider (04/04/2023)")</f>
        <v>Uncle Sams Cider (04/04/2023)</v>
      </c>
      <c r="H7224" s="19"/>
    </row>
    <row r="7225">
      <c r="A7225" s="9"/>
      <c r="B7225" s="15"/>
      <c r="C7225" s="9">
        <f>IFERROR(__xludf.DUMMYFUNCTION("""COMPUTED_VALUE"""),45068.410649618)</f>
        <v>45068.41065</v>
      </c>
      <c r="D7225" s="15">
        <f>IFERROR(__xludf.DUMMYFUNCTION("""COMPUTED_VALUE"""),1.012)</f>
        <v>1.012</v>
      </c>
      <c r="E7225" s="16">
        <f>IFERROR(__xludf.DUMMYFUNCTION("""COMPUTED_VALUE"""),66.0)</f>
        <v>66</v>
      </c>
      <c r="F7225" s="19" t="str">
        <f>IFERROR(__xludf.DUMMYFUNCTION("""COMPUTED_VALUE"""),"BLACK")</f>
        <v>BLACK</v>
      </c>
      <c r="G7225" s="20" t="str">
        <f>IFERROR(__xludf.DUMMYFUNCTION("""COMPUTED_VALUE"""),"Uncle Sams Cider (04/04/2023)")</f>
        <v>Uncle Sams Cider (04/04/2023)</v>
      </c>
      <c r="H7225" s="19"/>
    </row>
    <row r="7226">
      <c r="A7226" s="9"/>
      <c r="B7226" s="15"/>
      <c r="C7226" s="9">
        <f>IFERROR(__xludf.DUMMYFUNCTION("""COMPUTED_VALUE"""),45068.4002057986)</f>
        <v>45068.40021</v>
      </c>
      <c r="D7226" s="15">
        <f>IFERROR(__xludf.DUMMYFUNCTION("""COMPUTED_VALUE"""),1.012)</f>
        <v>1.012</v>
      </c>
      <c r="E7226" s="16">
        <f>IFERROR(__xludf.DUMMYFUNCTION("""COMPUTED_VALUE"""),66.0)</f>
        <v>66</v>
      </c>
      <c r="F7226" s="19" t="str">
        <f>IFERROR(__xludf.DUMMYFUNCTION("""COMPUTED_VALUE"""),"BLACK")</f>
        <v>BLACK</v>
      </c>
      <c r="G7226" s="20" t="str">
        <f>IFERROR(__xludf.DUMMYFUNCTION("""COMPUTED_VALUE"""),"Uncle Sams Cider (04/04/2023)")</f>
        <v>Uncle Sams Cider (04/04/2023)</v>
      </c>
      <c r="H7226" s="19"/>
    </row>
    <row r="7227">
      <c r="A7227" s="9"/>
      <c r="B7227" s="15"/>
      <c r="C7227" s="9">
        <f>IFERROR(__xludf.DUMMYFUNCTION("""COMPUTED_VALUE"""),45068.3897606018)</f>
        <v>45068.38976</v>
      </c>
      <c r="D7227" s="15">
        <f>IFERROR(__xludf.DUMMYFUNCTION("""COMPUTED_VALUE"""),1.012)</f>
        <v>1.012</v>
      </c>
      <c r="E7227" s="16">
        <f>IFERROR(__xludf.DUMMYFUNCTION("""COMPUTED_VALUE"""),66.0)</f>
        <v>66</v>
      </c>
      <c r="F7227" s="19" t="str">
        <f>IFERROR(__xludf.DUMMYFUNCTION("""COMPUTED_VALUE"""),"BLACK")</f>
        <v>BLACK</v>
      </c>
      <c r="G7227" s="20" t="str">
        <f>IFERROR(__xludf.DUMMYFUNCTION("""COMPUTED_VALUE"""),"Uncle Sams Cider (04/04/2023)")</f>
        <v>Uncle Sams Cider (04/04/2023)</v>
      </c>
      <c r="H7227" s="19"/>
    </row>
    <row r="7228">
      <c r="A7228" s="9"/>
      <c r="B7228" s="15"/>
      <c r="C7228" s="9">
        <f>IFERROR(__xludf.DUMMYFUNCTION("""COMPUTED_VALUE"""),45068.3793392361)</f>
        <v>45068.37934</v>
      </c>
      <c r="D7228" s="15">
        <f>IFERROR(__xludf.DUMMYFUNCTION("""COMPUTED_VALUE"""),1.012)</f>
        <v>1.012</v>
      </c>
      <c r="E7228" s="16">
        <f>IFERROR(__xludf.DUMMYFUNCTION("""COMPUTED_VALUE"""),66.0)</f>
        <v>66</v>
      </c>
      <c r="F7228" s="19" t="str">
        <f>IFERROR(__xludf.DUMMYFUNCTION("""COMPUTED_VALUE"""),"BLACK")</f>
        <v>BLACK</v>
      </c>
      <c r="G7228" s="20" t="str">
        <f>IFERROR(__xludf.DUMMYFUNCTION("""COMPUTED_VALUE"""),"Uncle Sams Cider (04/04/2023)")</f>
        <v>Uncle Sams Cider (04/04/2023)</v>
      </c>
      <c r="H7228" s="19"/>
    </row>
    <row r="7229">
      <c r="A7229" s="9"/>
      <c r="B7229" s="15"/>
      <c r="C7229" s="9">
        <f>IFERROR(__xludf.DUMMYFUNCTION("""COMPUTED_VALUE"""),45068.3689193287)</f>
        <v>45068.36892</v>
      </c>
      <c r="D7229" s="15">
        <f>IFERROR(__xludf.DUMMYFUNCTION("""COMPUTED_VALUE"""),1.013)</f>
        <v>1.013</v>
      </c>
      <c r="E7229" s="16">
        <f>IFERROR(__xludf.DUMMYFUNCTION("""COMPUTED_VALUE"""),66.0)</f>
        <v>66</v>
      </c>
      <c r="F7229" s="19" t="str">
        <f>IFERROR(__xludf.DUMMYFUNCTION("""COMPUTED_VALUE"""),"BLACK")</f>
        <v>BLACK</v>
      </c>
      <c r="G7229" s="20" t="str">
        <f>IFERROR(__xludf.DUMMYFUNCTION("""COMPUTED_VALUE"""),"Uncle Sams Cider (04/04/2023)")</f>
        <v>Uncle Sams Cider (04/04/2023)</v>
      </c>
      <c r="H7229" s="19"/>
    </row>
    <row r="7230">
      <c r="A7230" s="9"/>
      <c r="B7230" s="15"/>
      <c r="C7230" s="9">
        <f>IFERROR(__xludf.DUMMYFUNCTION("""COMPUTED_VALUE"""),45068.3584860185)</f>
        <v>45068.35849</v>
      </c>
      <c r="D7230" s="15">
        <f>IFERROR(__xludf.DUMMYFUNCTION("""COMPUTED_VALUE"""),1.012)</f>
        <v>1.012</v>
      </c>
      <c r="E7230" s="16">
        <f>IFERROR(__xludf.DUMMYFUNCTION("""COMPUTED_VALUE"""),66.0)</f>
        <v>66</v>
      </c>
      <c r="F7230" s="19" t="str">
        <f>IFERROR(__xludf.DUMMYFUNCTION("""COMPUTED_VALUE"""),"BLACK")</f>
        <v>BLACK</v>
      </c>
      <c r="G7230" s="20" t="str">
        <f>IFERROR(__xludf.DUMMYFUNCTION("""COMPUTED_VALUE"""),"Uncle Sams Cider (04/04/2023)")</f>
        <v>Uncle Sams Cider (04/04/2023)</v>
      </c>
      <c r="H7230" s="19"/>
    </row>
    <row r="7231">
      <c r="A7231" s="9"/>
      <c r="B7231" s="15"/>
      <c r="C7231" s="9">
        <f>IFERROR(__xludf.DUMMYFUNCTION("""COMPUTED_VALUE"""),45068.3480643287)</f>
        <v>45068.34806</v>
      </c>
      <c r="D7231" s="15">
        <f>IFERROR(__xludf.DUMMYFUNCTION("""COMPUTED_VALUE"""),1.012)</f>
        <v>1.012</v>
      </c>
      <c r="E7231" s="16">
        <f>IFERROR(__xludf.DUMMYFUNCTION("""COMPUTED_VALUE"""),66.0)</f>
        <v>66</v>
      </c>
      <c r="F7231" s="19" t="str">
        <f>IFERROR(__xludf.DUMMYFUNCTION("""COMPUTED_VALUE"""),"BLACK")</f>
        <v>BLACK</v>
      </c>
      <c r="G7231" s="20" t="str">
        <f>IFERROR(__xludf.DUMMYFUNCTION("""COMPUTED_VALUE"""),"Uncle Sams Cider (04/04/2023)")</f>
        <v>Uncle Sams Cider (04/04/2023)</v>
      </c>
      <c r="H7231" s="19"/>
    </row>
    <row r="7232">
      <c r="A7232" s="9"/>
      <c r="B7232" s="15"/>
      <c r="C7232" s="9">
        <f>IFERROR(__xludf.DUMMYFUNCTION("""COMPUTED_VALUE"""),45068.3376441088)</f>
        <v>45068.33764</v>
      </c>
      <c r="D7232" s="15">
        <f>IFERROR(__xludf.DUMMYFUNCTION("""COMPUTED_VALUE"""),1.012)</f>
        <v>1.012</v>
      </c>
      <c r="E7232" s="16">
        <f>IFERROR(__xludf.DUMMYFUNCTION("""COMPUTED_VALUE"""),66.0)</f>
        <v>66</v>
      </c>
      <c r="F7232" s="19" t="str">
        <f>IFERROR(__xludf.DUMMYFUNCTION("""COMPUTED_VALUE"""),"BLACK")</f>
        <v>BLACK</v>
      </c>
      <c r="G7232" s="20" t="str">
        <f>IFERROR(__xludf.DUMMYFUNCTION("""COMPUTED_VALUE"""),"Uncle Sams Cider (04/04/2023)")</f>
        <v>Uncle Sams Cider (04/04/2023)</v>
      </c>
      <c r="H7232" s="19"/>
    </row>
    <row r="7233">
      <c r="A7233" s="9"/>
      <c r="B7233" s="15"/>
      <c r="C7233" s="9">
        <f>IFERROR(__xludf.DUMMYFUNCTION("""COMPUTED_VALUE"""),45068.3272232638)</f>
        <v>45068.32722</v>
      </c>
      <c r="D7233" s="15">
        <f>IFERROR(__xludf.DUMMYFUNCTION("""COMPUTED_VALUE"""),1.012)</f>
        <v>1.012</v>
      </c>
      <c r="E7233" s="16">
        <f>IFERROR(__xludf.DUMMYFUNCTION("""COMPUTED_VALUE"""),66.0)</f>
        <v>66</v>
      </c>
      <c r="F7233" s="19" t="str">
        <f>IFERROR(__xludf.DUMMYFUNCTION("""COMPUTED_VALUE"""),"BLACK")</f>
        <v>BLACK</v>
      </c>
      <c r="G7233" s="20" t="str">
        <f>IFERROR(__xludf.DUMMYFUNCTION("""COMPUTED_VALUE"""),"Uncle Sams Cider (04/04/2023)")</f>
        <v>Uncle Sams Cider (04/04/2023)</v>
      </c>
      <c r="H7233" s="19"/>
    </row>
    <row r="7234">
      <c r="A7234" s="9"/>
      <c r="B7234" s="15"/>
      <c r="C7234" s="9">
        <f>IFERROR(__xludf.DUMMYFUNCTION("""COMPUTED_VALUE"""),45068.3168025)</f>
        <v>45068.3168</v>
      </c>
      <c r="D7234" s="15">
        <f>IFERROR(__xludf.DUMMYFUNCTION("""COMPUTED_VALUE"""),1.012)</f>
        <v>1.012</v>
      </c>
      <c r="E7234" s="16">
        <f>IFERROR(__xludf.DUMMYFUNCTION("""COMPUTED_VALUE"""),66.0)</f>
        <v>66</v>
      </c>
      <c r="F7234" s="19" t="str">
        <f>IFERROR(__xludf.DUMMYFUNCTION("""COMPUTED_VALUE"""),"BLACK")</f>
        <v>BLACK</v>
      </c>
      <c r="G7234" s="20" t="str">
        <f>IFERROR(__xludf.DUMMYFUNCTION("""COMPUTED_VALUE"""),"Uncle Sams Cider (04/04/2023)")</f>
        <v>Uncle Sams Cider (04/04/2023)</v>
      </c>
      <c r="H7234" s="19"/>
    </row>
    <row r="7235">
      <c r="A7235" s="9"/>
      <c r="B7235" s="15"/>
      <c r="C7235" s="9">
        <f>IFERROR(__xludf.DUMMYFUNCTION("""COMPUTED_VALUE"""),45068.30635875)</f>
        <v>45068.30636</v>
      </c>
      <c r="D7235" s="15">
        <f>IFERROR(__xludf.DUMMYFUNCTION("""COMPUTED_VALUE"""),1.012)</f>
        <v>1.012</v>
      </c>
      <c r="E7235" s="16">
        <f>IFERROR(__xludf.DUMMYFUNCTION("""COMPUTED_VALUE"""),66.0)</f>
        <v>66</v>
      </c>
      <c r="F7235" s="19" t="str">
        <f>IFERROR(__xludf.DUMMYFUNCTION("""COMPUTED_VALUE"""),"BLACK")</f>
        <v>BLACK</v>
      </c>
      <c r="G7235" s="20" t="str">
        <f>IFERROR(__xludf.DUMMYFUNCTION("""COMPUTED_VALUE"""),"Uncle Sams Cider (04/04/2023)")</f>
        <v>Uncle Sams Cider (04/04/2023)</v>
      </c>
      <c r="H7235" s="19"/>
    </row>
    <row r="7236">
      <c r="A7236" s="9"/>
      <c r="B7236" s="15"/>
      <c r="C7236" s="9">
        <f>IFERROR(__xludf.DUMMYFUNCTION("""COMPUTED_VALUE"""),45068.2959142476)</f>
        <v>45068.29591</v>
      </c>
      <c r="D7236" s="15">
        <f>IFERROR(__xludf.DUMMYFUNCTION("""COMPUTED_VALUE"""),1.012)</f>
        <v>1.012</v>
      </c>
      <c r="E7236" s="16">
        <f>IFERROR(__xludf.DUMMYFUNCTION("""COMPUTED_VALUE"""),66.0)</f>
        <v>66</v>
      </c>
      <c r="F7236" s="19" t="str">
        <f>IFERROR(__xludf.DUMMYFUNCTION("""COMPUTED_VALUE"""),"BLACK")</f>
        <v>BLACK</v>
      </c>
      <c r="G7236" s="20" t="str">
        <f>IFERROR(__xludf.DUMMYFUNCTION("""COMPUTED_VALUE"""),"Uncle Sams Cider (04/04/2023)")</f>
        <v>Uncle Sams Cider (04/04/2023)</v>
      </c>
      <c r="H7236" s="19"/>
    </row>
    <row r="7237">
      <c r="A7237" s="9"/>
      <c r="B7237" s="15"/>
      <c r="C7237" s="9">
        <f>IFERROR(__xludf.DUMMYFUNCTION("""COMPUTED_VALUE"""),45068.2854705324)</f>
        <v>45068.28547</v>
      </c>
      <c r="D7237" s="15">
        <f>IFERROR(__xludf.DUMMYFUNCTION("""COMPUTED_VALUE"""),1.012)</f>
        <v>1.012</v>
      </c>
      <c r="E7237" s="16">
        <f>IFERROR(__xludf.DUMMYFUNCTION("""COMPUTED_VALUE"""),66.0)</f>
        <v>66</v>
      </c>
      <c r="F7237" s="19" t="str">
        <f>IFERROR(__xludf.DUMMYFUNCTION("""COMPUTED_VALUE"""),"BLACK")</f>
        <v>BLACK</v>
      </c>
      <c r="G7237" s="20" t="str">
        <f>IFERROR(__xludf.DUMMYFUNCTION("""COMPUTED_VALUE"""),"Uncle Sams Cider (04/04/2023)")</f>
        <v>Uncle Sams Cider (04/04/2023)</v>
      </c>
      <c r="H7237" s="19"/>
    </row>
    <row r="7238">
      <c r="A7238" s="9"/>
      <c r="B7238" s="15"/>
      <c r="C7238" s="9">
        <f>IFERROR(__xludf.DUMMYFUNCTION("""COMPUTED_VALUE"""),45068.2750492708)</f>
        <v>45068.27505</v>
      </c>
      <c r="D7238" s="15">
        <f>IFERROR(__xludf.DUMMYFUNCTION("""COMPUTED_VALUE"""),1.012)</f>
        <v>1.012</v>
      </c>
      <c r="E7238" s="16">
        <f>IFERROR(__xludf.DUMMYFUNCTION("""COMPUTED_VALUE"""),66.0)</f>
        <v>66</v>
      </c>
      <c r="F7238" s="19" t="str">
        <f>IFERROR(__xludf.DUMMYFUNCTION("""COMPUTED_VALUE"""),"BLACK")</f>
        <v>BLACK</v>
      </c>
      <c r="G7238" s="20" t="str">
        <f>IFERROR(__xludf.DUMMYFUNCTION("""COMPUTED_VALUE"""),"Uncle Sams Cider (04/04/2023)")</f>
        <v>Uncle Sams Cider (04/04/2023)</v>
      </c>
      <c r="H7238" s="19"/>
    </row>
    <row r="7239">
      <c r="A7239" s="9"/>
      <c r="B7239" s="15"/>
      <c r="C7239" s="9">
        <f>IFERROR(__xludf.DUMMYFUNCTION("""COMPUTED_VALUE"""),45068.2646280324)</f>
        <v>45068.26463</v>
      </c>
      <c r="D7239" s="15">
        <f>IFERROR(__xludf.DUMMYFUNCTION("""COMPUTED_VALUE"""),1.012)</f>
        <v>1.012</v>
      </c>
      <c r="E7239" s="16">
        <f>IFERROR(__xludf.DUMMYFUNCTION("""COMPUTED_VALUE"""),66.0)</f>
        <v>66</v>
      </c>
      <c r="F7239" s="19" t="str">
        <f>IFERROR(__xludf.DUMMYFUNCTION("""COMPUTED_VALUE"""),"BLACK")</f>
        <v>BLACK</v>
      </c>
      <c r="G7239" s="20" t="str">
        <f>IFERROR(__xludf.DUMMYFUNCTION("""COMPUTED_VALUE"""),"Uncle Sams Cider (04/04/2023)")</f>
        <v>Uncle Sams Cider (04/04/2023)</v>
      </c>
      <c r="H7239" s="19"/>
    </row>
    <row r="7240">
      <c r="A7240" s="9"/>
      <c r="B7240" s="15"/>
      <c r="C7240" s="9">
        <f>IFERROR(__xludf.DUMMYFUNCTION("""COMPUTED_VALUE"""),45068.2541955092)</f>
        <v>45068.2542</v>
      </c>
      <c r="D7240" s="15">
        <f>IFERROR(__xludf.DUMMYFUNCTION("""COMPUTED_VALUE"""),1.012)</f>
        <v>1.012</v>
      </c>
      <c r="E7240" s="16">
        <f>IFERROR(__xludf.DUMMYFUNCTION("""COMPUTED_VALUE"""),66.0)</f>
        <v>66</v>
      </c>
      <c r="F7240" s="19" t="str">
        <f>IFERROR(__xludf.DUMMYFUNCTION("""COMPUTED_VALUE"""),"BLACK")</f>
        <v>BLACK</v>
      </c>
      <c r="G7240" s="20" t="str">
        <f>IFERROR(__xludf.DUMMYFUNCTION("""COMPUTED_VALUE"""),"Uncle Sams Cider (04/04/2023)")</f>
        <v>Uncle Sams Cider (04/04/2023)</v>
      </c>
      <c r="H7240" s="19"/>
    </row>
    <row r="7241">
      <c r="A7241" s="9"/>
      <c r="B7241" s="15"/>
      <c r="C7241" s="9">
        <f>IFERROR(__xludf.DUMMYFUNCTION("""COMPUTED_VALUE"""),45068.24373978)</f>
        <v>45068.24374</v>
      </c>
      <c r="D7241" s="15">
        <f>IFERROR(__xludf.DUMMYFUNCTION("""COMPUTED_VALUE"""),1.012)</f>
        <v>1.012</v>
      </c>
      <c r="E7241" s="16">
        <f>IFERROR(__xludf.DUMMYFUNCTION("""COMPUTED_VALUE"""),66.0)</f>
        <v>66</v>
      </c>
      <c r="F7241" s="19" t="str">
        <f>IFERROR(__xludf.DUMMYFUNCTION("""COMPUTED_VALUE"""),"BLACK")</f>
        <v>BLACK</v>
      </c>
      <c r="G7241" s="20" t="str">
        <f>IFERROR(__xludf.DUMMYFUNCTION("""COMPUTED_VALUE"""),"Uncle Sams Cider (04/04/2023)")</f>
        <v>Uncle Sams Cider (04/04/2023)</v>
      </c>
      <c r="H7241" s="19"/>
    </row>
    <row r="7242">
      <c r="A7242" s="9"/>
      <c r="B7242" s="15"/>
      <c r="C7242" s="9">
        <f>IFERROR(__xludf.DUMMYFUNCTION("""COMPUTED_VALUE"""),45068.2333180324)</f>
        <v>45068.23332</v>
      </c>
      <c r="D7242" s="15">
        <f>IFERROR(__xludf.DUMMYFUNCTION("""COMPUTED_VALUE"""),1.012)</f>
        <v>1.012</v>
      </c>
      <c r="E7242" s="16">
        <f>IFERROR(__xludf.DUMMYFUNCTION("""COMPUTED_VALUE"""),66.0)</f>
        <v>66</v>
      </c>
      <c r="F7242" s="19" t="str">
        <f>IFERROR(__xludf.DUMMYFUNCTION("""COMPUTED_VALUE"""),"BLACK")</f>
        <v>BLACK</v>
      </c>
      <c r="G7242" s="20" t="str">
        <f>IFERROR(__xludf.DUMMYFUNCTION("""COMPUTED_VALUE"""),"Uncle Sams Cider (04/04/2023)")</f>
        <v>Uncle Sams Cider (04/04/2023)</v>
      </c>
      <c r="H7242" s="19"/>
    </row>
    <row r="7243">
      <c r="A7243" s="9"/>
      <c r="B7243" s="15"/>
      <c r="C7243" s="9">
        <f>IFERROR(__xludf.DUMMYFUNCTION("""COMPUTED_VALUE"""),45068.2228961805)</f>
        <v>45068.2229</v>
      </c>
      <c r="D7243" s="15">
        <f>IFERROR(__xludf.DUMMYFUNCTION("""COMPUTED_VALUE"""),1.012)</f>
        <v>1.012</v>
      </c>
      <c r="E7243" s="16">
        <f>IFERROR(__xludf.DUMMYFUNCTION("""COMPUTED_VALUE"""),66.0)</f>
        <v>66</v>
      </c>
      <c r="F7243" s="19" t="str">
        <f>IFERROR(__xludf.DUMMYFUNCTION("""COMPUTED_VALUE"""),"BLACK")</f>
        <v>BLACK</v>
      </c>
      <c r="G7243" s="20" t="str">
        <f>IFERROR(__xludf.DUMMYFUNCTION("""COMPUTED_VALUE"""),"Uncle Sams Cider (04/04/2023)")</f>
        <v>Uncle Sams Cider (04/04/2023)</v>
      </c>
      <c r="H7243" s="19"/>
    </row>
    <row r="7244">
      <c r="A7244" s="9"/>
      <c r="B7244" s="15"/>
      <c r="C7244" s="9">
        <f>IFERROR(__xludf.DUMMYFUNCTION("""COMPUTED_VALUE"""),45068.2124751967)</f>
        <v>45068.21248</v>
      </c>
      <c r="D7244" s="15">
        <f>IFERROR(__xludf.DUMMYFUNCTION("""COMPUTED_VALUE"""),1.012)</f>
        <v>1.012</v>
      </c>
      <c r="E7244" s="16">
        <f>IFERROR(__xludf.DUMMYFUNCTION("""COMPUTED_VALUE"""),66.0)</f>
        <v>66</v>
      </c>
      <c r="F7244" s="19" t="str">
        <f>IFERROR(__xludf.DUMMYFUNCTION("""COMPUTED_VALUE"""),"BLACK")</f>
        <v>BLACK</v>
      </c>
      <c r="G7244" s="20" t="str">
        <f>IFERROR(__xludf.DUMMYFUNCTION("""COMPUTED_VALUE"""),"Uncle Sams Cider (04/04/2023)")</f>
        <v>Uncle Sams Cider (04/04/2023)</v>
      </c>
      <c r="H7244" s="19"/>
    </row>
    <row r="7245">
      <c r="A7245" s="9"/>
      <c r="B7245" s="15"/>
      <c r="C7245" s="9">
        <f>IFERROR(__xludf.DUMMYFUNCTION("""COMPUTED_VALUE"""),45068.2020424884)</f>
        <v>45068.20204</v>
      </c>
      <c r="D7245" s="15">
        <f>IFERROR(__xludf.DUMMYFUNCTION("""COMPUTED_VALUE"""),1.012)</f>
        <v>1.012</v>
      </c>
      <c r="E7245" s="16">
        <f>IFERROR(__xludf.DUMMYFUNCTION("""COMPUTED_VALUE"""),66.0)</f>
        <v>66</v>
      </c>
      <c r="F7245" s="19" t="str">
        <f>IFERROR(__xludf.DUMMYFUNCTION("""COMPUTED_VALUE"""),"BLACK")</f>
        <v>BLACK</v>
      </c>
      <c r="G7245" s="20" t="str">
        <f>IFERROR(__xludf.DUMMYFUNCTION("""COMPUTED_VALUE"""),"Uncle Sams Cider (04/04/2023)")</f>
        <v>Uncle Sams Cider (04/04/2023)</v>
      </c>
      <c r="H7245" s="19"/>
    </row>
    <row r="7246">
      <c r="A7246" s="9"/>
      <c r="B7246" s="15"/>
      <c r="C7246" s="9">
        <f>IFERROR(__xludf.DUMMYFUNCTION("""COMPUTED_VALUE"""),45068.1916090509)</f>
        <v>45068.19161</v>
      </c>
      <c r="D7246" s="15">
        <f>IFERROR(__xludf.DUMMYFUNCTION("""COMPUTED_VALUE"""),1.012)</f>
        <v>1.012</v>
      </c>
      <c r="E7246" s="16">
        <f>IFERROR(__xludf.DUMMYFUNCTION("""COMPUTED_VALUE"""),66.0)</f>
        <v>66</v>
      </c>
      <c r="F7246" s="19" t="str">
        <f>IFERROR(__xludf.DUMMYFUNCTION("""COMPUTED_VALUE"""),"BLACK")</f>
        <v>BLACK</v>
      </c>
      <c r="G7246" s="20" t="str">
        <f>IFERROR(__xludf.DUMMYFUNCTION("""COMPUTED_VALUE"""),"Uncle Sams Cider (04/04/2023)")</f>
        <v>Uncle Sams Cider (04/04/2023)</v>
      </c>
      <c r="H7246" s="19"/>
    </row>
    <row r="7247">
      <c r="A7247" s="9"/>
      <c r="B7247" s="15"/>
      <c r="C7247" s="9">
        <f>IFERROR(__xludf.DUMMYFUNCTION("""COMPUTED_VALUE"""),45068.181186493)</f>
        <v>45068.18119</v>
      </c>
      <c r="D7247" s="15">
        <f>IFERROR(__xludf.DUMMYFUNCTION("""COMPUTED_VALUE"""),1.012)</f>
        <v>1.012</v>
      </c>
      <c r="E7247" s="16">
        <f>IFERROR(__xludf.DUMMYFUNCTION("""COMPUTED_VALUE"""),66.0)</f>
        <v>66</v>
      </c>
      <c r="F7247" s="19" t="str">
        <f>IFERROR(__xludf.DUMMYFUNCTION("""COMPUTED_VALUE"""),"BLACK")</f>
        <v>BLACK</v>
      </c>
      <c r="G7247" s="20" t="str">
        <f>IFERROR(__xludf.DUMMYFUNCTION("""COMPUTED_VALUE"""),"Uncle Sams Cider (04/04/2023)")</f>
        <v>Uncle Sams Cider (04/04/2023)</v>
      </c>
      <c r="H7247" s="19"/>
    </row>
    <row r="7248">
      <c r="A7248" s="9"/>
      <c r="B7248" s="15"/>
      <c r="C7248" s="9">
        <f>IFERROR(__xludf.DUMMYFUNCTION("""COMPUTED_VALUE"""),45068.1707649421)</f>
        <v>45068.17076</v>
      </c>
      <c r="D7248" s="15">
        <f>IFERROR(__xludf.DUMMYFUNCTION("""COMPUTED_VALUE"""),1.012)</f>
        <v>1.012</v>
      </c>
      <c r="E7248" s="16">
        <f>IFERROR(__xludf.DUMMYFUNCTION("""COMPUTED_VALUE"""),66.0)</f>
        <v>66</v>
      </c>
      <c r="F7248" s="19" t="str">
        <f>IFERROR(__xludf.DUMMYFUNCTION("""COMPUTED_VALUE"""),"BLACK")</f>
        <v>BLACK</v>
      </c>
      <c r="G7248" s="20" t="str">
        <f>IFERROR(__xludf.DUMMYFUNCTION("""COMPUTED_VALUE"""),"Uncle Sams Cider (04/04/2023)")</f>
        <v>Uncle Sams Cider (04/04/2023)</v>
      </c>
      <c r="H7248" s="19"/>
    </row>
    <row r="7249">
      <c r="A7249" s="9"/>
      <c r="B7249" s="15"/>
      <c r="C7249" s="9">
        <f>IFERROR(__xludf.DUMMYFUNCTION("""COMPUTED_VALUE"""),45068.1603189351)</f>
        <v>45068.16032</v>
      </c>
      <c r="D7249" s="15">
        <f>IFERROR(__xludf.DUMMYFUNCTION("""COMPUTED_VALUE"""),1.012)</f>
        <v>1.012</v>
      </c>
      <c r="E7249" s="16">
        <f>IFERROR(__xludf.DUMMYFUNCTION("""COMPUTED_VALUE"""),66.0)</f>
        <v>66</v>
      </c>
      <c r="F7249" s="19" t="str">
        <f>IFERROR(__xludf.DUMMYFUNCTION("""COMPUTED_VALUE"""),"BLACK")</f>
        <v>BLACK</v>
      </c>
      <c r="G7249" s="20" t="str">
        <f>IFERROR(__xludf.DUMMYFUNCTION("""COMPUTED_VALUE"""),"Uncle Sams Cider (04/04/2023)")</f>
        <v>Uncle Sams Cider (04/04/2023)</v>
      </c>
      <c r="H7249" s="19"/>
    </row>
    <row r="7250">
      <c r="A7250" s="9"/>
      <c r="B7250" s="15"/>
      <c r="C7250" s="9">
        <f>IFERROR(__xludf.DUMMYFUNCTION("""COMPUTED_VALUE"""),45068.1498847338)</f>
        <v>45068.14988</v>
      </c>
      <c r="D7250" s="15">
        <f>IFERROR(__xludf.DUMMYFUNCTION("""COMPUTED_VALUE"""),1.013)</f>
        <v>1.013</v>
      </c>
      <c r="E7250" s="16">
        <f>IFERROR(__xludf.DUMMYFUNCTION("""COMPUTED_VALUE"""),66.0)</f>
        <v>66</v>
      </c>
      <c r="F7250" s="19" t="str">
        <f>IFERROR(__xludf.DUMMYFUNCTION("""COMPUTED_VALUE"""),"BLACK")</f>
        <v>BLACK</v>
      </c>
      <c r="G7250" s="20" t="str">
        <f>IFERROR(__xludf.DUMMYFUNCTION("""COMPUTED_VALUE"""),"Uncle Sams Cider (04/04/2023)")</f>
        <v>Uncle Sams Cider (04/04/2023)</v>
      </c>
      <c r="H7250" s="19"/>
    </row>
    <row r="7251">
      <c r="A7251" s="9"/>
      <c r="B7251" s="15"/>
      <c r="C7251" s="9">
        <f>IFERROR(__xludf.DUMMYFUNCTION("""COMPUTED_VALUE"""),45068.1394512268)</f>
        <v>45068.13945</v>
      </c>
      <c r="D7251" s="15">
        <f>IFERROR(__xludf.DUMMYFUNCTION("""COMPUTED_VALUE"""),1.012)</f>
        <v>1.012</v>
      </c>
      <c r="E7251" s="16">
        <f>IFERROR(__xludf.DUMMYFUNCTION("""COMPUTED_VALUE"""),66.0)</f>
        <v>66</v>
      </c>
      <c r="F7251" s="19" t="str">
        <f>IFERROR(__xludf.DUMMYFUNCTION("""COMPUTED_VALUE"""),"BLACK")</f>
        <v>BLACK</v>
      </c>
      <c r="G7251" s="20" t="str">
        <f>IFERROR(__xludf.DUMMYFUNCTION("""COMPUTED_VALUE"""),"Uncle Sams Cider (04/04/2023)")</f>
        <v>Uncle Sams Cider (04/04/2023)</v>
      </c>
      <c r="H7251" s="19"/>
    </row>
    <row r="7252">
      <c r="A7252" s="9"/>
      <c r="B7252" s="15"/>
      <c r="C7252" s="9">
        <f>IFERROR(__xludf.DUMMYFUNCTION("""COMPUTED_VALUE"""),45068.1290064351)</f>
        <v>45068.12901</v>
      </c>
      <c r="D7252" s="15">
        <f>IFERROR(__xludf.DUMMYFUNCTION("""COMPUTED_VALUE"""),1.012)</f>
        <v>1.012</v>
      </c>
      <c r="E7252" s="16">
        <f>IFERROR(__xludf.DUMMYFUNCTION("""COMPUTED_VALUE"""),66.0)</f>
        <v>66</v>
      </c>
      <c r="F7252" s="19" t="str">
        <f>IFERROR(__xludf.DUMMYFUNCTION("""COMPUTED_VALUE"""),"BLACK")</f>
        <v>BLACK</v>
      </c>
      <c r="G7252" s="20" t="str">
        <f>IFERROR(__xludf.DUMMYFUNCTION("""COMPUTED_VALUE"""),"Uncle Sams Cider (04/04/2023)")</f>
        <v>Uncle Sams Cider (04/04/2023)</v>
      </c>
      <c r="H7252" s="19"/>
    </row>
    <row r="7253">
      <c r="A7253" s="9"/>
      <c r="B7253" s="15"/>
      <c r="C7253" s="9">
        <f>IFERROR(__xludf.DUMMYFUNCTION("""COMPUTED_VALUE"""),45068.1185857291)</f>
        <v>45068.11859</v>
      </c>
      <c r="D7253" s="15">
        <f>IFERROR(__xludf.DUMMYFUNCTION("""COMPUTED_VALUE"""),1.012)</f>
        <v>1.012</v>
      </c>
      <c r="E7253" s="16">
        <f>IFERROR(__xludf.DUMMYFUNCTION("""COMPUTED_VALUE"""),66.0)</f>
        <v>66</v>
      </c>
      <c r="F7253" s="19" t="str">
        <f>IFERROR(__xludf.DUMMYFUNCTION("""COMPUTED_VALUE"""),"BLACK")</f>
        <v>BLACK</v>
      </c>
      <c r="G7253" s="20" t="str">
        <f>IFERROR(__xludf.DUMMYFUNCTION("""COMPUTED_VALUE"""),"Uncle Sams Cider (04/04/2023)")</f>
        <v>Uncle Sams Cider (04/04/2023)</v>
      </c>
      <c r="H7253" s="19"/>
    </row>
    <row r="7254">
      <c r="A7254" s="9"/>
      <c r="B7254" s="15"/>
      <c r="C7254" s="9">
        <f>IFERROR(__xludf.DUMMYFUNCTION("""COMPUTED_VALUE"""),45068.108163993)</f>
        <v>45068.10816</v>
      </c>
      <c r="D7254" s="15">
        <f>IFERROR(__xludf.DUMMYFUNCTION("""COMPUTED_VALUE"""),1.012)</f>
        <v>1.012</v>
      </c>
      <c r="E7254" s="16">
        <f>IFERROR(__xludf.DUMMYFUNCTION("""COMPUTED_VALUE"""),66.0)</f>
        <v>66</v>
      </c>
      <c r="F7254" s="19" t="str">
        <f>IFERROR(__xludf.DUMMYFUNCTION("""COMPUTED_VALUE"""),"BLACK")</f>
        <v>BLACK</v>
      </c>
      <c r="G7254" s="20" t="str">
        <f>IFERROR(__xludf.DUMMYFUNCTION("""COMPUTED_VALUE"""),"Uncle Sams Cider (04/04/2023)")</f>
        <v>Uncle Sams Cider (04/04/2023)</v>
      </c>
      <c r="H7254" s="19"/>
    </row>
    <row r="7255">
      <c r="A7255" s="9"/>
      <c r="B7255" s="15"/>
      <c r="C7255" s="9">
        <f>IFERROR(__xludf.DUMMYFUNCTION("""COMPUTED_VALUE"""),45068.0977206597)</f>
        <v>45068.09772</v>
      </c>
      <c r="D7255" s="15">
        <f>IFERROR(__xludf.DUMMYFUNCTION("""COMPUTED_VALUE"""),1.012)</f>
        <v>1.012</v>
      </c>
      <c r="E7255" s="16">
        <f>IFERROR(__xludf.DUMMYFUNCTION("""COMPUTED_VALUE"""),66.0)</f>
        <v>66</v>
      </c>
      <c r="F7255" s="19" t="str">
        <f>IFERROR(__xludf.DUMMYFUNCTION("""COMPUTED_VALUE"""),"BLACK")</f>
        <v>BLACK</v>
      </c>
      <c r="G7255" s="20" t="str">
        <f>IFERROR(__xludf.DUMMYFUNCTION("""COMPUTED_VALUE"""),"Uncle Sams Cider (04/04/2023)")</f>
        <v>Uncle Sams Cider (04/04/2023)</v>
      </c>
      <c r="H7255" s="19"/>
    </row>
    <row r="7256">
      <c r="A7256" s="9"/>
      <c r="B7256" s="15"/>
      <c r="C7256" s="9">
        <f>IFERROR(__xludf.DUMMYFUNCTION("""COMPUTED_VALUE"""),45068.0872989236)</f>
        <v>45068.0873</v>
      </c>
      <c r="D7256" s="15">
        <f>IFERROR(__xludf.DUMMYFUNCTION("""COMPUTED_VALUE"""),1.012)</f>
        <v>1.012</v>
      </c>
      <c r="E7256" s="16">
        <f>IFERROR(__xludf.DUMMYFUNCTION("""COMPUTED_VALUE"""),66.0)</f>
        <v>66</v>
      </c>
      <c r="F7256" s="19" t="str">
        <f>IFERROR(__xludf.DUMMYFUNCTION("""COMPUTED_VALUE"""),"BLACK")</f>
        <v>BLACK</v>
      </c>
      <c r="G7256" s="20" t="str">
        <f>IFERROR(__xludf.DUMMYFUNCTION("""COMPUTED_VALUE"""),"Uncle Sams Cider (04/04/2023)")</f>
        <v>Uncle Sams Cider (04/04/2023)</v>
      </c>
      <c r="H7256" s="19"/>
    </row>
    <row r="7257">
      <c r="A7257" s="9"/>
      <c r="B7257" s="15"/>
      <c r="C7257" s="9">
        <f>IFERROR(__xludf.DUMMYFUNCTION("""COMPUTED_VALUE"""),45068.0768534027)</f>
        <v>45068.07685</v>
      </c>
      <c r="D7257" s="15">
        <f>IFERROR(__xludf.DUMMYFUNCTION("""COMPUTED_VALUE"""),1.012)</f>
        <v>1.012</v>
      </c>
      <c r="E7257" s="16">
        <f>IFERROR(__xludf.DUMMYFUNCTION("""COMPUTED_VALUE"""),66.0)</f>
        <v>66</v>
      </c>
      <c r="F7257" s="19" t="str">
        <f>IFERROR(__xludf.DUMMYFUNCTION("""COMPUTED_VALUE"""),"BLACK")</f>
        <v>BLACK</v>
      </c>
      <c r="G7257" s="20" t="str">
        <f>IFERROR(__xludf.DUMMYFUNCTION("""COMPUTED_VALUE"""),"Uncle Sams Cider (04/04/2023)")</f>
        <v>Uncle Sams Cider (04/04/2023)</v>
      </c>
      <c r="H7257" s="19"/>
    </row>
    <row r="7258">
      <c r="A7258" s="9"/>
      <c r="B7258" s="15"/>
      <c r="C7258" s="9">
        <f>IFERROR(__xludf.DUMMYFUNCTION("""COMPUTED_VALUE"""),45068.0664208796)</f>
        <v>45068.06642</v>
      </c>
      <c r="D7258" s="15">
        <f>IFERROR(__xludf.DUMMYFUNCTION("""COMPUTED_VALUE"""),1.012)</f>
        <v>1.012</v>
      </c>
      <c r="E7258" s="16">
        <f>IFERROR(__xludf.DUMMYFUNCTION("""COMPUTED_VALUE"""),66.0)</f>
        <v>66</v>
      </c>
      <c r="F7258" s="19" t="str">
        <f>IFERROR(__xludf.DUMMYFUNCTION("""COMPUTED_VALUE"""),"BLACK")</f>
        <v>BLACK</v>
      </c>
      <c r="G7258" s="20" t="str">
        <f>IFERROR(__xludf.DUMMYFUNCTION("""COMPUTED_VALUE"""),"Uncle Sams Cider (04/04/2023)")</f>
        <v>Uncle Sams Cider (04/04/2023)</v>
      </c>
      <c r="H7258" s="19"/>
    </row>
    <row r="7259">
      <c r="A7259" s="9"/>
      <c r="B7259" s="15"/>
      <c r="C7259" s="9">
        <f>IFERROR(__xludf.DUMMYFUNCTION("""COMPUTED_VALUE"""),45068.0560005208)</f>
        <v>45068.056</v>
      </c>
      <c r="D7259" s="15">
        <f>IFERROR(__xludf.DUMMYFUNCTION("""COMPUTED_VALUE"""),1.012)</f>
        <v>1.012</v>
      </c>
      <c r="E7259" s="16">
        <f>IFERROR(__xludf.DUMMYFUNCTION("""COMPUTED_VALUE"""),66.0)</f>
        <v>66</v>
      </c>
      <c r="F7259" s="19" t="str">
        <f>IFERROR(__xludf.DUMMYFUNCTION("""COMPUTED_VALUE"""),"BLACK")</f>
        <v>BLACK</v>
      </c>
      <c r="G7259" s="20" t="str">
        <f>IFERROR(__xludf.DUMMYFUNCTION("""COMPUTED_VALUE"""),"Uncle Sams Cider (04/04/2023)")</f>
        <v>Uncle Sams Cider (04/04/2023)</v>
      </c>
      <c r="H7259" s="19"/>
    </row>
    <row r="7260">
      <c r="A7260" s="9"/>
      <c r="B7260" s="15"/>
      <c r="C7260" s="9">
        <f>IFERROR(__xludf.DUMMYFUNCTION("""COMPUTED_VALUE"""),45068.0455804282)</f>
        <v>45068.04558</v>
      </c>
      <c r="D7260" s="15">
        <f>IFERROR(__xludf.DUMMYFUNCTION("""COMPUTED_VALUE"""),1.012)</f>
        <v>1.012</v>
      </c>
      <c r="E7260" s="16">
        <f>IFERROR(__xludf.DUMMYFUNCTION("""COMPUTED_VALUE"""),66.0)</f>
        <v>66</v>
      </c>
      <c r="F7260" s="19" t="str">
        <f>IFERROR(__xludf.DUMMYFUNCTION("""COMPUTED_VALUE"""),"BLACK")</f>
        <v>BLACK</v>
      </c>
      <c r="G7260" s="20" t="str">
        <f>IFERROR(__xludf.DUMMYFUNCTION("""COMPUTED_VALUE"""),"Uncle Sams Cider (04/04/2023)")</f>
        <v>Uncle Sams Cider (04/04/2023)</v>
      </c>
      <c r="H7260" s="19"/>
    </row>
    <row r="7261">
      <c r="A7261" s="9"/>
      <c r="B7261" s="15"/>
      <c r="C7261" s="9">
        <f>IFERROR(__xludf.DUMMYFUNCTION("""COMPUTED_VALUE"""),45068.0351364699)</f>
        <v>45068.03514</v>
      </c>
      <c r="D7261" s="15">
        <f>IFERROR(__xludf.DUMMYFUNCTION("""COMPUTED_VALUE"""),1.012)</f>
        <v>1.012</v>
      </c>
      <c r="E7261" s="16">
        <f>IFERROR(__xludf.DUMMYFUNCTION("""COMPUTED_VALUE"""),66.0)</f>
        <v>66</v>
      </c>
      <c r="F7261" s="19" t="str">
        <f>IFERROR(__xludf.DUMMYFUNCTION("""COMPUTED_VALUE"""),"BLACK")</f>
        <v>BLACK</v>
      </c>
      <c r="G7261" s="20" t="str">
        <f>IFERROR(__xludf.DUMMYFUNCTION("""COMPUTED_VALUE"""),"Uncle Sams Cider (04/04/2023)")</f>
        <v>Uncle Sams Cider (04/04/2023)</v>
      </c>
      <c r="H7261" s="19"/>
    </row>
    <row r="7262">
      <c r="A7262" s="9"/>
      <c r="B7262" s="15"/>
      <c r="C7262" s="9">
        <f>IFERROR(__xludf.DUMMYFUNCTION("""COMPUTED_VALUE"""),45068.024703368)</f>
        <v>45068.0247</v>
      </c>
      <c r="D7262" s="15">
        <f>IFERROR(__xludf.DUMMYFUNCTION("""COMPUTED_VALUE"""),1.012)</f>
        <v>1.012</v>
      </c>
      <c r="E7262" s="16">
        <f>IFERROR(__xludf.DUMMYFUNCTION("""COMPUTED_VALUE"""),66.0)</f>
        <v>66</v>
      </c>
      <c r="F7262" s="19" t="str">
        <f>IFERROR(__xludf.DUMMYFUNCTION("""COMPUTED_VALUE"""),"BLACK")</f>
        <v>BLACK</v>
      </c>
      <c r="G7262" s="20" t="str">
        <f>IFERROR(__xludf.DUMMYFUNCTION("""COMPUTED_VALUE"""),"Uncle Sams Cider (04/04/2023)")</f>
        <v>Uncle Sams Cider (04/04/2023)</v>
      </c>
      <c r="H7262" s="19"/>
    </row>
    <row r="7263">
      <c r="A7263" s="9"/>
      <c r="B7263" s="15"/>
      <c r="C7263" s="9">
        <f>IFERROR(__xludf.DUMMYFUNCTION("""COMPUTED_VALUE"""),45068.0142569907)</f>
        <v>45068.01426</v>
      </c>
      <c r="D7263" s="15">
        <f>IFERROR(__xludf.DUMMYFUNCTION("""COMPUTED_VALUE"""),1.012)</f>
        <v>1.012</v>
      </c>
      <c r="E7263" s="16">
        <f>IFERROR(__xludf.DUMMYFUNCTION("""COMPUTED_VALUE"""),66.0)</f>
        <v>66</v>
      </c>
      <c r="F7263" s="19" t="str">
        <f>IFERROR(__xludf.DUMMYFUNCTION("""COMPUTED_VALUE"""),"BLACK")</f>
        <v>BLACK</v>
      </c>
      <c r="G7263" s="20" t="str">
        <f>IFERROR(__xludf.DUMMYFUNCTION("""COMPUTED_VALUE"""),"Uncle Sams Cider (04/04/2023)")</f>
        <v>Uncle Sams Cider (04/04/2023)</v>
      </c>
      <c r="H7263" s="19"/>
    </row>
    <row r="7264">
      <c r="A7264" s="9"/>
      <c r="B7264" s="15"/>
      <c r="C7264" s="9">
        <f>IFERROR(__xludf.DUMMYFUNCTION("""COMPUTED_VALUE"""),45068.0038229513)</f>
        <v>45068.00382</v>
      </c>
      <c r="D7264" s="15">
        <f>IFERROR(__xludf.DUMMYFUNCTION("""COMPUTED_VALUE"""),1.012)</f>
        <v>1.012</v>
      </c>
      <c r="E7264" s="16">
        <f>IFERROR(__xludf.DUMMYFUNCTION("""COMPUTED_VALUE"""),66.0)</f>
        <v>66</v>
      </c>
      <c r="F7264" s="19" t="str">
        <f>IFERROR(__xludf.DUMMYFUNCTION("""COMPUTED_VALUE"""),"BLACK")</f>
        <v>BLACK</v>
      </c>
      <c r="G7264" s="20" t="str">
        <f>IFERROR(__xludf.DUMMYFUNCTION("""COMPUTED_VALUE"""),"Uncle Sams Cider (04/04/2023)")</f>
        <v>Uncle Sams Cider (04/04/2023)</v>
      </c>
      <c r="H7264" s="19"/>
    </row>
    <row r="7265">
      <c r="A7265" s="9"/>
      <c r="B7265" s="15"/>
      <c r="C7265" s="9">
        <f>IFERROR(__xludf.DUMMYFUNCTION("""COMPUTED_VALUE"""),45067.9933896759)</f>
        <v>45067.99339</v>
      </c>
      <c r="D7265" s="15">
        <f>IFERROR(__xludf.DUMMYFUNCTION("""COMPUTED_VALUE"""),1.012)</f>
        <v>1.012</v>
      </c>
      <c r="E7265" s="16">
        <f>IFERROR(__xludf.DUMMYFUNCTION("""COMPUTED_VALUE"""),66.0)</f>
        <v>66</v>
      </c>
      <c r="F7265" s="19" t="str">
        <f>IFERROR(__xludf.DUMMYFUNCTION("""COMPUTED_VALUE"""),"BLACK")</f>
        <v>BLACK</v>
      </c>
      <c r="G7265" s="20" t="str">
        <f>IFERROR(__xludf.DUMMYFUNCTION("""COMPUTED_VALUE"""),"Uncle Sams Cider (04/04/2023)")</f>
        <v>Uncle Sams Cider (04/04/2023)</v>
      </c>
      <c r="H7265" s="19"/>
    </row>
    <row r="7266">
      <c r="A7266" s="9"/>
      <c r="B7266" s="15"/>
      <c r="C7266" s="9">
        <f>IFERROR(__xludf.DUMMYFUNCTION("""COMPUTED_VALUE"""),45067.9829565277)</f>
        <v>45067.98296</v>
      </c>
      <c r="D7266" s="15">
        <f>IFERROR(__xludf.DUMMYFUNCTION("""COMPUTED_VALUE"""),1.012)</f>
        <v>1.012</v>
      </c>
      <c r="E7266" s="16">
        <f>IFERROR(__xludf.DUMMYFUNCTION("""COMPUTED_VALUE"""),66.0)</f>
        <v>66</v>
      </c>
      <c r="F7266" s="19" t="str">
        <f>IFERROR(__xludf.DUMMYFUNCTION("""COMPUTED_VALUE"""),"BLACK")</f>
        <v>BLACK</v>
      </c>
      <c r="G7266" s="20" t="str">
        <f>IFERROR(__xludf.DUMMYFUNCTION("""COMPUTED_VALUE"""),"Uncle Sams Cider (04/04/2023)")</f>
        <v>Uncle Sams Cider (04/04/2023)</v>
      </c>
      <c r="H7266" s="19"/>
    </row>
    <row r="7267">
      <c r="A7267" s="9"/>
      <c r="B7267" s="15"/>
      <c r="C7267" s="9">
        <f>IFERROR(__xludf.DUMMYFUNCTION("""COMPUTED_VALUE"""),45067.9725129166)</f>
        <v>45067.97251</v>
      </c>
      <c r="D7267" s="15">
        <f>IFERROR(__xludf.DUMMYFUNCTION("""COMPUTED_VALUE"""),1.013)</f>
        <v>1.013</v>
      </c>
      <c r="E7267" s="16">
        <f>IFERROR(__xludf.DUMMYFUNCTION("""COMPUTED_VALUE"""),66.0)</f>
        <v>66</v>
      </c>
      <c r="F7267" s="19" t="str">
        <f>IFERROR(__xludf.DUMMYFUNCTION("""COMPUTED_VALUE"""),"BLACK")</f>
        <v>BLACK</v>
      </c>
      <c r="G7267" s="20" t="str">
        <f>IFERROR(__xludf.DUMMYFUNCTION("""COMPUTED_VALUE"""),"Uncle Sams Cider (04/04/2023)")</f>
        <v>Uncle Sams Cider (04/04/2023)</v>
      </c>
      <c r="H7267" s="19"/>
    </row>
    <row r="7268">
      <c r="A7268" s="9"/>
      <c r="B7268" s="15"/>
      <c r="C7268" s="9">
        <f>IFERROR(__xludf.DUMMYFUNCTION("""COMPUTED_VALUE"""),45067.9620915856)</f>
        <v>45067.96209</v>
      </c>
      <c r="D7268" s="15">
        <f>IFERROR(__xludf.DUMMYFUNCTION("""COMPUTED_VALUE"""),1.012)</f>
        <v>1.012</v>
      </c>
      <c r="E7268" s="16">
        <f>IFERROR(__xludf.DUMMYFUNCTION("""COMPUTED_VALUE"""),66.0)</f>
        <v>66</v>
      </c>
      <c r="F7268" s="19" t="str">
        <f>IFERROR(__xludf.DUMMYFUNCTION("""COMPUTED_VALUE"""),"BLACK")</f>
        <v>BLACK</v>
      </c>
      <c r="G7268" s="20" t="str">
        <f>IFERROR(__xludf.DUMMYFUNCTION("""COMPUTED_VALUE"""),"Uncle Sams Cider (04/04/2023)")</f>
        <v>Uncle Sams Cider (04/04/2023)</v>
      </c>
      <c r="H7268" s="19"/>
    </row>
    <row r="7269">
      <c r="A7269" s="9"/>
      <c r="B7269" s="15"/>
      <c r="C7269" s="9">
        <f>IFERROR(__xludf.DUMMYFUNCTION("""COMPUTED_VALUE"""),45067.9516721412)</f>
        <v>45067.95167</v>
      </c>
      <c r="D7269" s="15">
        <f>IFERROR(__xludf.DUMMYFUNCTION("""COMPUTED_VALUE"""),1.012)</f>
        <v>1.012</v>
      </c>
      <c r="E7269" s="16">
        <f>IFERROR(__xludf.DUMMYFUNCTION("""COMPUTED_VALUE"""),66.0)</f>
        <v>66</v>
      </c>
      <c r="F7269" s="19" t="str">
        <f>IFERROR(__xludf.DUMMYFUNCTION("""COMPUTED_VALUE"""),"BLACK")</f>
        <v>BLACK</v>
      </c>
      <c r="G7269" s="20" t="str">
        <f>IFERROR(__xludf.DUMMYFUNCTION("""COMPUTED_VALUE"""),"Uncle Sams Cider (04/04/2023)")</f>
        <v>Uncle Sams Cider (04/04/2023)</v>
      </c>
      <c r="H7269" s="19"/>
    </row>
    <row r="7270">
      <c r="A7270" s="9"/>
      <c r="B7270" s="15"/>
      <c r="C7270" s="9">
        <f>IFERROR(__xludf.DUMMYFUNCTION("""COMPUTED_VALUE"""),45067.9412174074)</f>
        <v>45067.94122</v>
      </c>
      <c r="D7270" s="15">
        <f>IFERROR(__xludf.DUMMYFUNCTION("""COMPUTED_VALUE"""),1.012)</f>
        <v>1.012</v>
      </c>
      <c r="E7270" s="16">
        <f>IFERROR(__xludf.DUMMYFUNCTION("""COMPUTED_VALUE"""),66.0)</f>
        <v>66</v>
      </c>
      <c r="F7270" s="19" t="str">
        <f>IFERROR(__xludf.DUMMYFUNCTION("""COMPUTED_VALUE"""),"BLACK")</f>
        <v>BLACK</v>
      </c>
      <c r="G7270" s="20" t="str">
        <f>IFERROR(__xludf.DUMMYFUNCTION("""COMPUTED_VALUE"""),"Uncle Sams Cider (04/04/2023)")</f>
        <v>Uncle Sams Cider (04/04/2023)</v>
      </c>
      <c r="H7270" s="19"/>
    </row>
    <row r="7271">
      <c r="A7271" s="9"/>
      <c r="B7271" s="15"/>
      <c r="C7271" s="9">
        <f>IFERROR(__xludf.DUMMYFUNCTION("""COMPUTED_VALUE"""),45067.9307865393)</f>
        <v>45067.93079</v>
      </c>
      <c r="D7271" s="15">
        <f>IFERROR(__xludf.DUMMYFUNCTION("""COMPUTED_VALUE"""),1.013)</f>
        <v>1.013</v>
      </c>
      <c r="E7271" s="16">
        <f>IFERROR(__xludf.DUMMYFUNCTION("""COMPUTED_VALUE"""),66.0)</f>
        <v>66</v>
      </c>
      <c r="F7271" s="19" t="str">
        <f>IFERROR(__xludf.DUMMYFUNCTION("""COMPUTED_VALUE"""),"BLACK")</f>
        <v>BLACK</v>
      </c>
      <c r="G7271" s="20" t="str">
        <f>IFERROR(__xludf.DUMMYFUNCTION("""COMPUTED_VALUE"""),"Uncle Sams Cider (04/04/2023)")</f>
        <v>Uncle Sams Cider (04/04/2023)</v>
      </c>
      <c r="H7271" s="19"/>
    </row>
    <row r="7272">
      <c r="A7272" s="9"/>
      <c r="B7272" s="15"/>
      <c r="C7272" s="9">
        <f>IFERROR(__xludf.DUMMYFUNCTION("""COMPUTED_VALUE"""),45067.9203665625)</f>
        <v>45067.92037</v>
      </c>
      <c r="D7272" s="15">
        <f>IFERROR(__xludf.DUMMYFUNCTION("""COMPUTED_VALUE"""),1.012)</f>
        <v>1.012</v>
      </c>
      <c r="E7272" s="16">
        <f>IFERROR(__xludf.DUMMYFUNCTION("""COMPUTED_VALUE"""),66.0)</f>
        <v>66</v>
      </c>
      <c r="F7272" s="19" t="str">
        <f>IFERROR(__xludf.DUMMYFUNCTION("""COMPUTED_VALUE"""),"BLACK")</f>
        <v>BLACK</v>
      </c>
      <c r="G7272" s="20" t="str">
        <f>IFERROR(__xludf.DUMMYFUNCTION("""COMPUTED_VALUE"""),"Uncle Sams Cider (04/04/2023)")</f>
        <v>Uncle Sams Cider (04/04/2023)</v>
      </c>
      <c r="H7272" s="19"/>
    </row>
    <row r="7273">
      <c r="A7273" s="9"/>
      <c r="B7273" s="15"/>
      <c r="C7273" s="9">
        <f>IFERROR(__xludf.DUMMYFUNCTION("""COMPUTED_VALUE"""),45067.9099453703)</f>
        <v>45067.90995</v>
      </c>
      <c r="D7273" s="15">
        <f>IFERROR(__xludf.DUMMYFUNCTION("""COMPUTED_VALUE"""),1.012)</f>
        <v>1.012</v>
      </c>
      <c r="E7273" s="16">
        <f>IFERROR(__xludf.DUMMYFUNCTION("""COMPUTED_VALUE"""),66.0)</f>
        <v>66</v>
      </c>
      <c r="F7273" s="19" t="str">
        <f>IFERROR(__xludf.DUMMYFUNCTION("""COMPUTED_VALUE"""),"BLACK")</f>
        <v>BLACK</v>
      </c>
      <c r="G7273" s="20" t="str">
        <f>IFERROR(__xludf.DUMMYFUNCTION("""COMPUTED_VALUE"""),"Uncle Sams Cider (04/04/2023)")</f>
        <v>Uncle Sams Cider (04/04/2023)</v>
      </c>
      <c r="H7273" s="19"/>
    </row>
    <row r="7274">
      <c r="A7274" s="9"/>
      <c r="B7274" s="15"/>
      <c r="C7274" s="9">
        <f>IFERROR(__xludf.DUMMYFUNCTION("""COMPUTED_VALUE"""),45067.8995016435)</f>
        <v>45067.8995</v>
      </c>
      <c r="D7274" s="15">
        <f>IFERROR(__xludf.DUMMYFUNCTION("""COMPUTED_VALUE"""),1.012)</f>
        <v>1.012</v>
      </c>
      <c r="E7274" s="16">
        <f>IFERROR(__xludf.DUMMYFUNCTION("""COMPUTED_VALUE"""),66.0)</f>
        <v>66</v>
      </c>
      <c r="F7274" s="19" t="str">
        <f>IFERROR(__xludf.DUMMYFUNCTION("""COMPUTED_VALUE"""),"BLACK")</f>
        <v>BLACK</v>
      </c>
      <c r="G7274" s="20" t="str">
        <f>IFERROR(__xludf.DUMMYFUNCTION("""COMPUTED_VALUE"""),"Uncle Sams Cider (04/04/2023)")</f>
        <v>Uncle Sams Cider (04/04/2023)</v>
      </c>
      <c r="H7274" s="19"/>
    </row>
    <row r="7275">
      <c r="A7275" s="9"/>
      <c r="B7275" s="15"/>
      <c r="C7275" s="9">
        <f>IFERROR(__xludf.DUMMYFUNCTION("""COMPUTED_VALUE"""),45067.8890235532)</f>
        <v>45067.88902</v>
      </c>
      <c r="D7275" s="15">
        <f>IFERROR(__xludf.DUMMYFUNCTION("""COMPUTED_VALUE"""),1.012)</f>
        <v>1.012</v>
      </c>
      <c r="E7275" s="16">
        <f>IFERROR(__xludf.DUMMYFUNCTION("""COMPUTED_VALUE"""),66.0)</f>
        <v>66</v>
      </c>
      <c r="F7275" s="19" t="str">
        <f>IFERROR(__xludf.DUMMYFUNCTION("""COMPUTED_VALUE"""),"BLACK")</f>
        <v>BLACK</v>
      </c>
      <c r="G7275" s="20" t="str">
        <f>IFERROR(__xludf.DUMMYFUNCTION("""COMPUTED_VALUE"""),"Uncle Sams Cider (04/04/2023)")</f>
        <v>Uncle Sams Cider (04/04/2023)</v>
      </c>
      <c r="H7275" s="19"/>
    </row>
    <row r="7276">
      <c r="A7276" s="9"/>
      <c r="B7276" s="15"/>
      <c r="C7276" s="9">
        <f>IFERROR(__xludf.DUMMYFUNCTION("""COMPUTED_VALUE"""),45067.8786036805)</f>
        <v>45067.8786</v>
      </c>
      <c r="D7276" s="15">
        <f>IFERROR(__xludf.DUMMYFUNCTION("""COMPUTED_VALUE"""),1.013)</f>
        <v>1.013</v>
      </c>
      <c r="E7276" s="16">
        <f>IFERROR(__xludf.DUMMYFUNCTION("""COMPUTED_VALUE"""),66.0)</f>
        <v>66</v>
      </c>
      <c r="F7276" s="19" t="str">
        <f>IFERROR(__xludf.DUMMYFUNCTION("""COMPUTED_VALUE"""),"BLACK")</f>
        <v>BLACK</v>
      </c>
      <c r="G7276" s="20" t="str">
        <f>IFERROR(__xludf.DUMMYFUNCTION("""COMPUTED_VALUE"""),"Uncle Sams Cider (04/04/2023)")</f>
        <v>Uncle Sams Cider (04/04/2023)</v>
      </c>
      <c r="H7276" s="19"/>
    </row>
    <row r="7277">
      <c r="A7277" s="9"/>
      <c r="B7277" s="15"/>
      <c r="C7277" s="9">
        <f>IFERROR(__xludf.DUMMYFUNCTION("""COMPUTED_VALUE"""),45067.8681590277)</f>
        <v>45067.86816</v>
      </c>
      <c r="D7277" s="15">
        <f>IFERROR(__xludf.DUMMYFUNCTION("""COMPUTED_VALUE"""),1.013)</f>
        <v>1.013</v>
      </c>
      <c r="E7277" s="16">
        <f>IFERROR(__xludf.DUMMYFUNCTION("""COMPUTED_VALUE"""),66.0)</f>
        <v>66</v>
      </c>
      <c r="F7277" s="19" t="str">
        <f>IFERROR(__xludf.DUMMYFUNCTION("""COMPUTED_VALUE"""),"BLACK")</f>
        <v>BLACK</v>
      </c>
      <c r="G7277" s="20" t="str">
        <f>IFERROR(__xludf.DUMMYFUNCTION("""COMPUTED_VALUE"""),"Uncle Sams Cider (04/04/2023)")</f>
        <v>Uncle Sams Cider (04/04/2023)</v>
      </c>
      <c r="H7277" s="19"/>
    </row>
    <row r="7278">
      <c r="A7278" s="9"/>
      <c r="B7278" s="15"/>
      <c r="C7278" s="9">
        <f>IFERROR(__xludf.DUMMYFUNCTION("""COMPUTED_VALUE"""),45067.8577027314)</f>
        <v>45067.8577</v>
      </c>
      <c r="D7278" s="15">
        <f>IFERROR(__xludf.DUMMYFUNCTION("""COMPUTED_VALUE"""),1.012)</f>
        <v>1.012</v>
      </c>
      <c r="E7278" s="16">
        <f>IFERROR(__xludf.DUMMYFUNCTION("""COMPUTED_VALUE"""),66.0)</f>
        <v>66</v>
      </c>
      <c r="F7278" s="19" t="str">
        <f>IFERROR(__xludf.DUMMYFUNCTION("""COMPUTED_VALUE"""),"BLACK")</f>
        <v>BLACK</v>
      </c>
      <c r="G7278" s="20" t="str">
        <f>IFERROR(__xludf.DUMMYFUNCTION("""COMPUTED_VALUE"""),"Uncle Sams Cider (04/04/2023)")</f>
        <v>Uncle Sams Cider (04/04/2023)</v>
      </c>
      <c r="H7278" s="19"/>
    </row>
    <row r="7279">
      <c r="A7279" s="9"/>
      <c r="B7279" s="15"/>
      <c r="C7279" s="9">
        <f>IFERROR(__xludf.DUMMYFUNCTION("""COMPUTED_VALUE"""),45067.8472705092)</f>
        <v>45067.84727</v>
      </c>
      <c r="D7279" s="15">
        <f>IFERROR(__xludf.DUMMYFUNCTION("""COMPUTED_VALUE"""),1.012)</f>
        <v>1.012</v>
      </c>
      <c r="E7279" s="16">
        <f>IFERROR(__xludf.DUMMYFUNCTION("""COMPUTED_VALUE"""),66.0)</f>
        <v>66</v>
      </c>
      <c r="F7279" s="19" t="str">
        <f>IFERROR(__xludf.DUMMYFUNCTION("""COMPUTED_VALUE"""),"BLACK")</f>
        <v>BLACK</v>
      </c>
      <c r="G7279" s="20" t="str">
        <f>IFERROR(__xludf.DUMMYFUNCTION("""COMPUTED_VALUE"""),"Uncle Sams Cider (04/04/2023)")</f>
        <v>Uncle Sams Cider (04/04/2023)</v>
      </c>
      <c r="H7279" s="19"/>
    </row>
    <row r="7280">
      <c r="A7280" s="9"/>
      <c r="B7280" s="15"/>
      <c r="C7280" s="9">
        <f>IFERROR(__xludf.DUMMYFUNCTION("""COMPUTED_VALUE"""),45067.8367786805)</f>
        <v>45067.83678</v>
      </c>
      <c r="D7280" s="15">
        <f>IFERROR(__xludf.DUMMYFUNCTION("""COMPUTED_VALUE"""),1.012)</f>
        <v>1.012</v>
      </c>
      <c r="E7280" s="16">
        <f>IFERROR(__xludf.DUMMYFUNCTION("""COMPUTED_VALUE"""),66.0)</f>
        <v>66</v>
      </c>
      <c r="F7280" s="19" t="str">
        <f>IFERROR(__xludf.DUMMYFUNCTION("""COMPUTED_VALUE"""),"BLACK")</f>
        <v>BLACK</v>
      </c>
      <c r="G7280" s="20" t="str">
        <f>IFERROR(__xludf.DUMMYFUNCTION("""COMPUTED_VALUE"""),"Uncle Sams Cider (04/04/2023)")</f>
        <v>Uncle Sams Cider (04/04/2023)</v>
      </c>
      <c r="H7280" s="19"/>
    </row>
    <row r="7281">
      <c r="A7281" s="9"/>
      <c r="B7281" s="15"/>
      <c r="C7281" s="9">
        <f>IFERROR(__xludf.DUMMYFUNCTION("""COMPUTED_VALUE"""),45067.8263463425)</f>
        <v>45067.82635</v>
      </c>
      <c r="D7281" s="15">
        <f>IFERROR(__xludf.DUMMYFUNCTION("""COMPUTED_VALUE"""),1.013)</f>
        <v>1.013</v>
      </c>
      <c r="E7281" s="16">
        <f>IFERROR(__xludf.DUMMYFUNCTION("""COMPUTED_VALUE"""),66.0)</f>
        <v>66</v>
      </c>
      <c r="F7281" s="19" t="str">
        <f>IFERROR(__xludf.DUMMYFUNCTION("""COMPUTED_VALUE"""),"BLACK")</f>
        <v>BLACK</v>
      </c>
      <c r="G7281" s="20" t="str">
        <f>IFERROR(__xludf.DUMMYFUNCTION("""COMPUTED_VALUE"""),"Uncle Sams Cider (04/04/2023)")</f>
        <v>Uncle Sams Cider (04/04/2023)</v>
      </c>
      <c r="H7281" s="19"/>
    </row>
    <row r="7282">
      <c r="A7282" s="9"/>
      <c r="B7282" s="15"/>
      <c r="C7282" s="9">
        <f>IFERROR(__xludf.DUMMYFUNCTION("""COMPUTED_VALUE"""),45067.8158783912)</f>
        <v>45067.81588</v>
      </c>
      <c r="D7282" s="15">
        <f>IFERROR(__xludf.DUMMYFUNCTION("""COMPUTED_VALUE"""),1.012)</f>
        <v>1.012</v>
      </c>
      <c r="E7282" s="16">
        <f>IFERROR(__xludf.DUMMYFUNCTION("""COMPUTED_VALUE"""),66.0)</f>
        <v>66</v>
      </c>
      <c r="F7282" s="19" t="str">
        <f>IFERROR(__xludf.DUMMYFUNCTION("""COMPUTED_VALUE"""),"BLACK")</f>
        <v>BLACK</v>
      </c>
      <c r="G7282" s="20" t="str">
        <f>IFERROR(__xludf.DUMMYFUNCTION("""COMPUTED_VALUE"""),"Uncle Sams Cider (04/04/2023)")</f>
        <v>Uncle Sams Cider (04/04/2023)</v>
      </c>
      <c r="H7282" s="19"/>
    </row>
    <row r="7283">
      <c r="A7283" s="9"/>
      <c r="B7283" s="15"/>
      <c r="C7283" s="9">
        <f>IFERROR(__xludf.DUMMYFUNCTION("""COMPUTED_VALUE"""),45067.8054462037)</f>
        <v>45067.80545</v>
      </c>
      <c r="D7283" s="15">
        <f>IFERROR(__xludf.DUMMYFUNCTION("""COMPUTED_VALUE"""),1.013)</f>
        <v>1.013</v>
      </c>
      <c r="E7283" s="16">
        <f>IFERROR(__xludf.DUMMYFUNCTION("""COMPUTED_VALUE"""),66.0)</f>
        <v>66</v>
      </c>
      <c r="F7283" s="19" t="str">
        <f>IFERROR(__xludf.DUMMYFUNCTION("""COMPUTED_VALUE"""),"BLACK")</f>
        <v>BLACK</v>
      </c>
      <c r="G7283" s="20" t="str">
        <f>IFERROR(__xludf.DUMMYFUNCTION("""COMPUTED_VALUE"""),"Uncle Sams Cider (04/04/2023)")</f>
        <v>Uncle Sams Cider (04/04/2023)</v>
      </c>
      <c r="H7283" s="19"/>
    </row>
    <row r="7284">
      <c r="A7284" s="9"/>
      <c r="B7284" s="15"/>
      <c r="C7284" s="9">
        <f>IFERROR(__xludf.DUMMYFUNCTION("""COMPUTED_VALUE"""),45067.7950134027)</f>
        <v>45067.79501</v>
      </c>
      <c r="D7284" s="15">
        <f>IFERROR(__xludf.DUMMYFUNCTION("""COMPUTED_VALUE"""),1.012)</f>
        <v>1.012</v>
      </c>
      <c r="E7284" s="16">
        <f>IFERROR(__xludf.DUMMYFUNCTION("""COMPUTED_VALUE"""),66.0)</f>
        <v>66</v>
      </c>
      <c r="F7284" s="19" t="str">
        <f>IFERROR(__xludf.DUMMYFUNCTION("""COMPUTED_VALUE"""),"BLACK")</f>
        <v>BLACK</v>
      </c>
      <c r="G7284" s="20" t="str">
        <f>IFERROR(__xludf.DUMMYFUNCTION("""COMPUTED_VALUE"""),"Uncle Sams Cider (04/04/2023)")</f>
        <v>Uncle Sams Cider (04/04/2023)</v>
      </c>
      <c r="H7284" s="19"/>
    </row>
    <row r="7285">
      <c r="A7285" s="9"/>
      <c r="B7285" s="15"/>
      <c r="C7285" s="9">
        <f>IFERROR(__xludf.DUMMYFUNCTION("""COMPUTED_VALUE"""),45067.7845915856)</f>
        <v>45067.78459</v>
      </c>
      <c r="D7285" s="15">
        <f>IFERROR(__xludf.DUMMYFUNCTION("""COMPUTED_VALUE"""),1.012)</f>
        <v>1.012</v>
      </c>
      <c r="E7285" s="16">
        <f>IFERROR(__xludf.DUMMYFUNCTION("""COMPUTED_VALUE"""),66.0)</f>
        <v>66</v>
      </c>
      <c r="F7285" s="19" t="str">
        <f>IFERROR(__xludf.DUMMYFUNCTION("""COMPUTED_VALUE"""),"BLACK")</f>
        <v>BLACK</v>
      </c>
      <c r="G7285" s="20" t="str">
        <f>IFERROR(__xludf.DUMMYFUNCTION("""COMPUTED_VALUE"""),"Uncle Sams Cider (04/04/2023)")</f>
        <v>Uncle Sams Cider (04/04/2023)</v>
      </c>
      <c r="H7285" s="19"/>
    </row>
    <row r="7286">
      <c r="A7286" s="9"/>
      <c r="B7286" s="15"/>
      <c r="C7286" s="9">
        <f>IFERROR(__xludf.DUMMYFUNCTION("""COMPUTED_VALUE"""),45067.7741719213)</f>
        <v>45067.77417</v>
      </c>
      <c r="D7286" s="15">
        <f>IFERROR(__xludf.DUMMYFUNCTION("""COMPUTED_VALUE"""),1.012)</f>
        <v>1.012</v>
      </c>
      <c r="E7286" s="16">
        <f>IFERROR(__xludf.DUMMYFUNCTION("""COMPUTED_VALUE"""),66.0)</f>
        <v>66</v>
      </c>
      <c r="F7286" s="19" t="str">
        <f>IFERROR(__xludf.DUMMYFUNCTION("""COMPUTED_VALUE"""),"BLACK")</f>
        <v>BLACK</v>
      </c>
      <c r="G7286" s="20" t="str">
        <f>IFERROR(__xludf.DUMMYFUNCTION("""COMPUTED_VALUE"""),"Uncle Sams Cider (04/04/2023)")</f>
        <v>Uncle Sams Cider (04/04/2023)</v>
      </c>
      <c r="H7286" s="19"/>
    </row>
    <row r="7287">
      <c r="A7287" s="9"/>
      <c r="B7287" s="15"/>
      <c r="C7287" s="9">
        <f>IFERROR(__xludf.DUMMYFUNCTION("""COMPUTED_VALUE"""),45067.76375)</f>
        <v>45067.76375</v>
      </c>
      <c r="D7287" s="15">
        <f>IFERROR(__xludf.DUMMYFUNCTION("""COMPUTED_VALUE"""),1.012)</f>
        <v>1.012</v>
      </c>
      <c r="E7287" s="16">
        <f>IFERROR(__xludf.DUMMYFUNCTION("""COMPUTED_VALUE"""),66.0)</f>
        <v>66</v>
      </c>
      <c r="F7287" s="19" t="str">
        <f>IFERROR(__xludf.DUMMYFUNCTION("""COMPUTED_VALUE"""),"BLACK")</f>
        <v>BLACK</v>
      </c>
      <c r="G7287" s="20" t="str">
        <f>IFERROR(__xludf.DUMMYFUNCTION("""COMPUTED_VALUE"""),"Uncle Sams Cider (04/04/2023)")</f>
        <v>Uncle Sams Cider (04/04/2023)</v>
      </c>
      <c r="H7287" s="19"/>
    </row>
    <row r="7288">
      <c r="A7288" s="9"/>
      <c r="B7288" s="15"/>
      <c r="C7288" s="9">
        <f>IFERROR(__xludf.DUMMYFUNCTION("""COMPUTED_VALUE"""),45067.7532482986)</f>
        <v>45067.75325</v>
      </c>
      <c r="D7288" s="15">
        <f>IFERROR(__xludf.DUMMYFUNCTION("""COMPUTED_VALUE"""),1.013)</f>
        <v>1.013</v>
      </c>
      <c r="E7288" s="16">
        <f>IFERROR(__xludf.DUMMYFUNCTION("""COMPUTED_VALUE"""),66.0)</f>
        <v>66</v>
      </c>
      <c r="F7288" s="19" t="str">
        <f>IFERROR(__xludf.DUMMYFUNCTION("""COMPUTED_VALUE"""),"BLACK")</f>
        <v>BLACK</v>
      </c>
      <c r="G7288" s="20" t="str">
        <f>IFERROR(__xludf.DUMMYFUNCTION("""COMPUTED_VALUE"""),"Uncle Sams Cider (04/04/2023)")</f>
        <v>Uncle Sams Cider (04/04/2023)</v>
      </c>
      <c r="H7288" s="19"/>
    </row>
    <row r="7289">
      <c r="A7289" s="9"/>
      <c r="B7289" s="15"/>
      <c r="C7289" s="9">
        <f>IFERROR(__xludf.DUMMYFUNCTION("""COMPUTED_VALUE"""),45067.7428250115)</f>
        <v>45067.74283</v>
      </c>
      <c r="D7289" s="15">
        <f>IFERROR(__xludf.DUMMYFUNCTION("""COMPUTED_VALUE"""),1.012)</f>
        <v>1.012</v>
      </c>
      <c r="E7289" s="16">
        <f>IFERROR(__xludf.DUMMYFUNCTION("""COMPUTED_VALUE"""),66.0)</f>
        <v>66</v>
      </c>
      <c r="F7289" s="19" t="str">
        <f>IFERROR(__xludf.DUMMYFUNCTION("""COMPUTED_VALUE"""),"BLACK")</f>
        <v>BLACK</v>
      </c>
      <c r="G7289" s="20" t="str">
        <f>IFERROR(__xludf.DUMMYFUNCTION("""COMPUTED_VALUE"""),"Uncle Sams Cider (04/04/2023)")</f>
        <v>Uncle Sams Cider (04/04/2023)</v>
      </c>
      <c r="H7289" s="19"/>
    </row>
    <row r="7290">
      <c r="A7290" s="9"/>
      <c r="B7290" s="15"/>
      <c r="C7290" s="9">
        <f>IFERROR(__xludf.DUMMYFUNCTION("""COMPUTED_VALUE"""),45067.7324043634)</f>
        <v>45067.7324</v>
      </c>
      <c r="D7290" s="15">
        <f>IFERROR(__xludf.DUMMYFUNCTION("""COMPUTED_VALUE"""),1.012)</f>
        <v>1.012</v>
      </c>
      <c r="E7290" s="16">
        <f>IFERROR(__xludf.DUMMYFUNCTION("""COMPUTED_VALUE"""),66.0)</f>
        <v>66</v>
      </c>
      <c r="F7290" s="19" t="str">
        <f>IFERROR(__xludf.DUMMYFUNCTION("""COMPUTED_VALUE"""),"BLACK")</f>
        <v>BLACK</v>
      </c>
      <c r="G7290" s="20" t="str">
        <f>IFERROR(__xludf.DUMMYFUNCTION("""COMPUTED_VALUE"""),"Uncle Sams Cider (04/04/2023)")</f>
        <v>Uncle Sams Cider (04/04/2023)</v>
      </c>
      <c r="H7290" s="19"/>
    </row>
    <row r="7291">
      <c r="A7291" s="9"/>
      <c r="B7291" s="15"/>
      <c r="C7291" s="9">
        <f>IFERROR(__xludf.DUMMYFUNCTION("""COMPUTED_VALUE"""),45067.721973206)</f>
        <v>45067.72197</v>
      </c>
      <c r="D7291" s="15">
        <f>IFERROR(__xludf.DUMMYFUNCTION("""COMPUTED_VALUE"""),1.012)</f>
        <v>1.012</v>
      </c>
      <c r="E7291" s="16">
        <f>IFERROR(__xludf.DUMMYFUNCTION("""COMPUTED_VALUE"""),66.0)</f>
        <v>66</v>
      </c>
      <c r="F7291" s="19" t="str">
        <f>IFERROR(__xludf.DUMMYFUNCTION("""COMPUTED_VALUE"""),"BLACK")</f>
        <v>BLACK</v>
      </c>
      <c r="G7291" s="20" t="str">
        <f>IFERROR(__xludf.DUMMYFUNCTION("""COMPUTED_VALUE"""),"Uncle Sams Cider (04/04/2023)")</f>
        <v>Uncle Sams Cider (04/04/2023)</v>
      </c>
      <c r="H7291" s="19"/>
    </row>
    <row r="7292">
      <c r="A7292" s="9"/>
      <c r="B7292" s="15"/>
      <c r="C7292" s="9">
        <f>IFERROR(__xludf.DUMMYFUNCTION("""COMPUTED_VALUE"""),45067.7115403935)</f>
        <v>45067.71154</v>
      </c>
      <c r="D7292" s="15">
        <f>IFERROR(__xludf.DUMMYFUNCTION("""COMPUTED_VALUE"""),1.012)</f>
        <v>1.012</v>
      </c>
      <c r="E7292" s="16">
        <f>IFERROR(__xludf.DUMMYFUNCTION("""COMPUTED_VALUE"""),66.0)</f>
        <v>66</v>
      </c>
      <c r="F7292" s="19" t="str">
        <f>IFERROR(__xludf.DUMMYFUNCTION("""COMPUTED_VALUE"""),"BLACK")</f>
        <v>BLACK</v>
      </c>
      <c r="G7292" s="20" t="str">
        <f>IFERROR(__xludf.DUMMYFUNCTION("""COMPUTED_VALUE"""),"Uncle Sams Cider (04/04/2023)")</f>
        <v>Uncle Sams Cider (04/04/2023)</v>
      </c>
      <c r="H7292" s="19"/>
    </row>
    <row r="7293">
      <c r="A7293" s="9"/>
      <c r="B7293" s="15"/>
      <c r="C7293" s="9">
        <f>IFERROR(__xludf.DUMMYFUNCTION("""COMPUTED_VALUE"""),45067.7011096527)</f>
        <v>45067.70111</v>
      </c>
      <c r="D7293" s="15">
        <f>IFERROR(__xludf.DUMMYFUNCTION("""COMPUTED_VALUE"""),1.012)</f>
        <v>1.012</v>
      </c>
      <c r="E7293" s="16">
        <f>IFERROR(__xludf.DUMMYFUNCTION("""COMPUTED_VALUE"""),66.0)</f>
        <v>66</v>
      </c>
      <c r="F7293" s="19" t="str">
        <f>IFERROR(__xludf.DUMMYFUNCTION("""COMPUTED_VALUE"""),"BLACK")</f>
        <v>BLACK</v>
      </c>
      <c r="G7293" s="20" t="str">
        <f>IFERROR(__xludf.DUMMYFUNCTION("""COMPUTED_VALUE"""),"Uncle Sams Cider (04/04/2023)")</f>
        <v>Uncle Sams Cider (04/04/2023)</v>
      </c>
      <c r="H7293" s="19"/>
    </row>
    <row r="7294">
      <c r="A7294" s="9"/>
      <c r="B7294" s="15"/>
      <c r="C7294" s="9">
        <f>IFERROR(__xludf.DUMMYFUNCTION("""COMPUTED_VALUE"""),45067.6906891551)</f>
        <v>45067.69069</v>
      </c>
      <c r="D7294" s="15">
        <f>IFERROR(__xludf.DUMMYFUNCTION("""COMPUTED_VALUE"""),1.013)</f>
        <v>1.013</v>
      </c>
      <c r="E7294" s="16">
        <f>IFERROR(__xludf.DUMMYFUNCTION("""COMPUTED_VALUE"""),66.0)</f>
        <v>66</v>
      </c>
      <c r="F7294" s="19" t="str">
        <f>IFERROR(__xludf.DUMMYFUNCTION("""COMPUTED_VALUE"""),"BLACK")</f>
        <v>BLACK</v>
      </c>
      <c r="G7294" s="20" t="str">
        <f>IFERROR(__xludf.DUMMYFUNCTION("""COMPUTED_VALUE"""),"Uncle Sams Cider (04/04/2023)")</f>
        <v>Uncle Sams Cider (04/04/2023)</v>
      </c>
      <c r="H7294" s="19"/>
    </row>
    <row r="7295">
      <c r="A7295" s="9"/>
      <c r="B7295" s="15"/>
      <c r="C7295" s="9">
        <f>IFERROR(__xludf.DUMMYFUNCTION("""COMPUTED_VALUE"""),45067.6802562152)</f>
        <v>45067.68026</v>
      </c>
      <c r="D7295" s="15">
        <f>IFERROR(__xludf.DUMMYFUNCTION("""COMPUTED_VALUE"""),1.013)</f>
        <v>1.013</v>
      </c>
      <c r="E7295" s="16">
        <f>IFERROR(__xludf.DUMMYFUNCTION("""COMPUTED_VALUE"""),66.0)</f>
        <v>66</v>
      </c>
      <c r="F7295" s="19" t="str">
        <f>IFERROR(__xludf.DUMMYFUNCTION("""COMPUTED_VALUE"""),"BLACK")</f>
        <v>BLACK</v>
      </c>
      <c r="G7295" s="20" t="str">
        <f>IFERROR(__xludf.DUMMYFUNCTION("""COMPUTED_VALUE"""),"Uncle Sams Cider (04/04/2023)")</f>
        <v>Uncle Sams Cider (04/04/2023)</v>
      </c>
      <c r="H7295" s="19"/>
    </row>
    <row r="7296">
      <c r="A7296" s="9"/>
      <c r="B7296" s="15"/>
      <c r="C7296" s="9">
        <f>IFERROR(__xludf.DUMMYFUNCTION("""COMPUTED_VALUE"""),45067.669835706)</f>
        <v>45067.66984</v>
      </c>
      <c r="D7296" s="15">
        <f>IFERROR(__xludf.DUMMYFUNCTION("""COMPUTED_VALUE"""),1.013)</f>
        <v>1.013</v>
      </c>
      <c r="E7296" s="16">
        <f>IFERROR(__xludf.DUMMYFUNCTION("""COMPUTED_VALUE"""),66.0)</f>
        <v>66</v>
      </c>
      <c r="F7296" s="19" t="str">
        <f>IFERROR(__xludf.DUMMYFUNCTION("""COMPUTED_VALUE"""),"BLACK")</f>
        <v>BLACK</v>
      </c>
      <c r="G7296" s="20" t="str">
        <f>IFERROR(__xludf.DUMMYFUNCTION("""COMPUTED_VALUE"""),"Uncle Sams Cider (04/04/2023)")</f>
        <v>Uncle Sams Cider (04/04/2023)</v>
      </c>
      <c r="H7296" s="19"/>
    </row>
    <row r="7297">
      <c r="A7297" s="9"/>
      <c r="B7297" s="15"/>
      <c r="C7297" s="9">
        <f>IFERROR(__xludf.DUMMYFUNCTION("""COMPUTED_VALUE"""),45067.6594019213)</f>
        <v>45067.6594</v>
      </c>
      <c r="D7297" s="15">
        <f>IFERROR(__xludf.DUMMYFUNCTION("""COMPUTED_VALUE"""),1.012)</f>
        <v>1.012</v>
      </c>
      <c r="E7297" s="16">
        <f>IFERROR(__xludf.DUMMYFUNCTION("""COMPUTED_VALUE"""),66.0)</f>
        <v>66</v>
      </c>
      <c r="F7297" s="19" t="str">
        <f>IFERROR(__xludf.DUMMYFUNCTION("""COMPUTED_VALUE"""),"BLACK")</f>
        <v>BLACK</v>
      </c>
      <c r="G7297" s="20" t="str">
        <f>IFERROR(__xludf.DUMMYFUNCTION("""COMPUTED_VALUE"""),"Uncle Sams Cider (04/04/2023)")</f>
        <v>Uncle Sams Cider (04/04/2023)</v>
      </c>
      <c r="H7297" s="19"/>
    </row>
    <row r="7298">
      <c r="A7298" s="9"/>
      <c r="B7298" s="15"/>
      <c r="C7298" s="9">
        <f>IFERROR(__xludf.DUMMYFUNCTION("""COMPUTED_VALUE"""),45067.6489822685)</f>
        <v>45067.64898</v>
      </c>
      <c r="D7298" s="15">
        <f>IFERROR(__xludf.DUMMYFUNCTION("""COMPUTED_VALUE"""),1.012)</f>
        <v>1.012</v>
      </c>
      <c r="E7298" s="16">
        <f>IFERROR(__xludf.DUMMYFUNCTION("""COMPUTED_VALUE"""),66.0)</f>
        <v>66</v>
      </c>
      <c r="F7298" s="19" t="str">
        <f>IFERROR(__xludf.DUMMYFUNCTION("""COMPUTED_VALUE"""),"BLACK")</f>
        <v>BLACK</v>
      </c>
      <c r="G7298" s="20" t="str">
        <f>IFERROR(__xludf.DUMMYFUNCTION("""COMPUTED_VALUE"""),"Uncle Sams Cider (04/04/2023)")</f>
        <v>Uncle Sams Cider (04/04/2023)</v>
      </c>
      <c r="H7298" s="19"/>
    </row>
    <row r="7299">
      <c r="A7299" s="9"/>
      <c r="B7299" s="15"/>
      <c r="C7299" s="9">
        <f>IFERROR(__xludf.DUMMYFUNCTION("""COMPUTED_VALUE"""),45067.6385625115)</f>
        <v>45067.63856</v>
      </c>
      <c r="D7299" s="15">
        <f>IFERROR(__xludf.DUMMYFUNCTION("""COMPUTED_VALUE"""),1.012)</f>
        <v>1.012</v>
      </c>
      <c r="E7299" s="16">
        <f>IFERROR(__xludf.DUMMYFUNCTION("""COMPUTED_VALUE"""),66.0)</f>
        <v>66</v>
      </c>
      <c r="F7299" s="19" t="str">
        <f>IFERROR(__xludf.DUMMYFUNCTION("""COMPUTED_VALUE"""),"BLACK")</f>
        <v>BLACK</v>
      </c>
      <c r="G7299" s="20" t="str">
        <f>IFERROR(__xludf.DUMMYFUNCTION("""COMPUTED_VALUE"""),"Uncle Sams Cider (04/04/2023)")</f>
        <v>Uncle Sams Cider (04/04/2023)</v>
      </c>
      <c r="H7299" s="19"/>
    </row>
    <row r="7300">
      <c r="A7300" s="9"/>
      <c r="B7300" s="15"/>
      <c r="C7300" s="9">
        <f>IFERROR(__xludf.DUMMYFUNCTION("""COMPUTED_VALUE"""),45067.6281417013)</f>
        <v>45067.62814</v>
      </c>
      <c r="D7300" s="15">
        <f>IFERROR(__xludf.DUMMYFUNCTION("""COMPUTED_VALUE"""),1.013)</f>
        <v>1.013</v>
      </c>
      <c r="E7300" s="16">
        <f>IFERROR(__xludf.DUMMYFUNCTION("""COMPUTED_VALUE"""),66.0)</f>
        <v>66</v>
      </c>
      <c r="F7300" s="19" t="str">
        <f>IFERROR(__xludf.DUMMYFUNCTION("""COMPUTED_VALUE"""),"BLACK")</f>
        <v>BLACK</v>
      </c>
      <c r="G7300" s="20" t="str">
        <f>IFERROR(__xludf.DUMMYFUNCTION("""COMPUTED_VALUE"""),"Uncle Sams Cider (04/04/2023)")</f>
        <v>Uncle Sams Cider (04/04/2023)</v>
      </c>
      <c r="H7300" s="19"/>
    </row>
    <row r="7301">
      <c r="A7301" s="9"/>
      <c r="B7301" s="15"/>
      <c r="C7301" s="9">
        <f>IFERROR(__xludf.DUMMYFUNCTION("""COMPUTED_VALUE"""),45067.6177095023)</f>
        <v>45067.61771</v>
      </c>
      <c r="D7301" s="15">
        <f>IFERROR(__xludf.DUMMYFUNCTION("""COMPUTED_VALUE"""),1.013)</f>
        <v>1.013</v>
      </c>
      <c r="E7301" s="16">
        <f>IFERROR(__xludf.DUMMYFUNCTION("""COMPUTED_VALUE"""),66.0)</f>
        <v>66</v>
      </c>
      <c r="F7301" s="19" t="str">
        <f>IFERROR(__xludf.DUMMYFUNCTION("""COMPUTED_VALUE"""),"BLACK")</f>
        <v>BLACK</v>
      </c>
      <c r="G7301" s="20" t="str">
        <f>IFERROR(__xludf.DUMMYFUNCTION("""COMPUTED_VALUE"""),"Uncle Sams Cider (04/04/2023)")</f>
        <v>Uncle Sams Cider (04/04/2023)</v>
      </c>
      <c r="H7301" s="19"/>
    </row>
    <row r="7302">
      <c r="A7302" s="9"/>
      <c r="B7302" s="15"/>
      <c r="C7302" s="9">
        <f>IFERROR(__xludf.DUMMYFUNCTION("""COMPUTED_VALUE"""),45067.6072658564)</f>
        <v>45067.60727</v>
      </c>
      <c r="D7302" s="15">
        <f>IFERROR(__xludf.DUMMYFUNCTION("""COMPUTED_VALUE"""),1.013)</f>
        <v>1.013</v>
      </c>
      <c r="E7302" s="16">
        <f>IFERROR(__xludf.DUMMYFUNCTION("""COMPUTED_VALUE"""),66.0)</f>
        <v>66</v>
      </c>
      <c r="F7302" s="19" t="str">
        <f>IFERROR(__xludf.DUMMYFUNCTION("""COMPUTED_VALUE"""),"BLACK")</f>
        <v>BLACK</v>
      </c>
      <c r="G7302" s="20" t="str">
        <f>IFERROR(__xludf.DUMMYFUNCTION("""COMPUTED_VALUE"""),"Uncle Sams Cider (04/04/2023)")</f>
        <v>Uncle Sams Cider (04/04/2023)</v>
      </c>
      <c r="H7302" s="19"/>
    </row>
    <row r="7303">
      <c r="A7303" s="9"/>
      <c r="B7303" s="15"/>
      <c r="C7303" s="9">
        <f>IFERROR(__xludf.DUMMYFUNCTION("""COMPUTED_VALUE"""),45067.5967988078)</f>
        <v>45067.5968</v>
      </c>
      <c r="D7303" s="15">
        <f>IFERROR(__xludf.DUMMYFUNCTION("""COMPUTED_VALUE"""),1.012)</f>
        <v>1.012</v>
      </c>
      <c r="E7303" s="16">
        <f>IFERROR(__xludf.DUMMYFUNCTION("""COMPUTED_VALUE"""),66.0)</f>
        <v>66</v>
      </c>
      <c r="F7303" s="19" t="str">
        <f>IFERROR(__xludf.DUMMYFUNCTION("""COMPUTED_VALUE"""),"BLACK")</f>
        <v>BLACK</v>
      </c>
      <c r="G7303" s="20" t="str">
        <f>IFERROR(__xludf.DUMMYFUNCTION("""COMPUTED_VALUE"""),"Uncle Sams Cider (04/04/2023)")</f>
        <v>Uncle Sams Cider (04/04/2023)</v>
      </c>
      <c r="H7303" s="19"/>
    </row>
    <row r="7304">
      <c r="A7304" s="9"/>
      <c r="B7304" s="15"/>
      <c r="C7304" s="9">
        <f>IFERROR(__xludf.DUMMYFUNCTION("""COMPUTED_VALUE"""),45067.5863436111)</f>
        <v>45067.58634</v>
      </c>
      <c r="D7304" s="15">
        <f>IFERROR(__xludf.DUMMYFUNCTION("""COMPUTED_VALUE"""),1.013)</f>
        <v>1.013</v>
      </c>
      <c r="E7304" s="16">
        <f>IFERROR(__xludf.DUMMYFUNCTION("""COMPUTED_VALUE"""),66.0)</f>
        <v>66</v>
      </c>
      <c r="F7304" s="19" t="str">
        <f>IFERROR(__xludf.DUMMYFUNCTION("""COMPUTED_VALUE"""),"BLACK")</f>
        <v>BLACK</v>
      </c>
      <c r="G7304" s="20" t="str">
        <f>IFERROR(__xludf.DUMMYFUNCTION("""COMPUTED_VALUE"""),"Uncle Sams Cider (04/04/2023)")</f>
        <v>Uncle Sams Cider (04/04/2023)</v>
      </c>
      <c r="H7304" s="19"/>
    </row>
    <row r="7305">
      <c r="A7305" s="9"/>
      <c r="B7305" s="15"/>
      <c r="C7305" s="9">
        <f>IFERROR(__xludf.DUMMYFUNCTION("""COMPUTED_VALUE"""),45067.5759219791)</f>
        <v>45067.57592</v>
      </c>
      <c r="D7305" s="15">
        <f>IFERROR(__xludf.DUMMYFUNCTION("""COMPUTED_VALUE"""),1.012)</f>
        <v>1.012</v>
      </c>
      <c r="E7305" s="16">
        <f>IFERROR(__xludf.DUMMYFUNCTION("""COMPUTED_VALUE"""),66.0)</f>
        <v>66</v>
      </c>
      <c r="F7305" s="19" t="str">
        <f>IFERROR(__xludf.DUMMYFUNCTION("""COMPUTED_VALUE"""),"BLACK")</f>
        <v>BLACK</v>
      </c>
      <c r="G7305" s="20" t="str">
        <f>IFERROR(__xludf.DUMMYFUNCTION("""COMPUTED_VALUE"""),"Uncle Sams Cider (04/04/2023)")</f>
        <v>Uncle Sams Cider (04/04/2023)</v>
      </c>
      <c r="H7305" s="19"/>
    </row>
    <row r="7306">
      <c r="A7306" s="9"/>
      <c r="B7306" s="15"/>
      <c r="C7306" s="9">
        <f>IFERROR(__xludf.DUMMYFUNCTION("""COMPUTED_VALUE"""),45067.5654994097)</f>
        <v>45067.5655</v>
      </c>
      <c r="D7306" s="15">
        <f>IFERROR(__xludf.DUMMYFUNCTION("""COMPUTED_VALUE"""),1.013)</f>
        <v>1.013</v>
      </c>
      <c r="E7306" s="16">
        <f>IFERROR(__xludf.DUMMYFUNCTION("""COMPUTED_VALUE"""),66.0)</f>
        <v>66</v>
      </c>
      <c r="F7306" s="19" t="str">
        <f>IFERROR(__xludf.DUMMYFUNCTION("""COMPUTED_VALUE"""),"BLACK")</f>
        <v>BLACK</v>
      </c>
      <c r="G7306" s="20" t="str">
        <f>IFERROR(__xludf.DUMMYFUNCTION("""COMPUTED_VALUE"""),"Uncle Sams Cider (04/04/2023)")</f>
        <v>Uncle Sams Cider (04/04/2023)</v>
      </c>
      <c r="H7306" s="19"/>
    </row>
    <row r="7307">
      <c r="A7307" s="9"/>
      <c r="B7307" s="15"/>
      <c r="C7307" s="9">
        <f>IFERROR(__xludf.DUMMYFUNCTION("""COMPUTED_VALUE"""),45067.5550559606)</f>
        <v>45067.55506</v>
      </c>
      <c r="D7307" s="15">
        <f>IFERROR(__xludf.DUMMYFUNCTION("""COMPUTED_VALUE"""),1.013)</f>
        <v>1.013</v>
      </c>
      <c r="E7307" s="16">
        <f>IFERROR(__xludf.DUMMYFUNCTION("""COMPUTED_VALUE"""),66.0)</f>
        <v>66</v>
      </c>
      <c r="F7307" s="19" t="str">
        <f>IFERROR(__xludf.DUMMYFUNCTION("""COMPUTED_VALUE"""),"BLACK")</f>
        <v>BLACK</v>
      </c>
      <c r="G7307" s="20" t="str">
        <f>IFERROR(__xludf.DUMMYFUNCTION("""COMPUTED_VALUE"""),"Uncle Sams Cider (04/04/2023)")</f>
        <v>Uncle Sams Cider (04/04/2023)</v>
      </c>
      <c r="H7307" s="19"/>
    </row>
    <row r="7308">
      <c r="A7308" s="9"/>
      <c r="B7308" s="15"/>
      <c r="C7308" s="9">
        <f>IFERROR(__xludf.DUMMYFUNCTION("""COMPUTED_VALUE"""),45067.5446106365)</f>
        <v>45067.54461</v>
      </c>
      <c r="D7308" s="15">
        <f>IFERROR(__xludf.DUMMYFUNCTION("""COMPUTED_VALUE"""),1.012)</f>
        <v>1.012</v>
      </c>
      <c r="E7308" s="16">
        <f>IFERROR(__xludf.DUMMYFUNCTION("""COMPUTED_VALUE"""),66.0)</f>
        <v>66</v>
      </c>
      <c r="F7308" s="19" t="str">
        <f>IFERROR(__xludf.DUMMYFUNCTION("""COMPUTED_VALUE"""),"BLACK")</f>
        <v>BLACK</v>
      </c>
      <c r="G7308" s="20" t="str">
        <f>IFERROR(__xludf.DUMMYFUNCTION("""COMPUTED_VALUE"""),"Uncle Sams Cider (04/04/2023)")</f>
        <v>Uncle Sams Cider (04/04/2023)</v>
      </c>
      <c r="H7308" s="19"/>
    </row>
    <row r="7309">
      <c r="A7309" s="9"/>
      <c r="B7309" s="15"/>
      <c r="C7309" s="9">
        <f>IFERROR(__xludf.DUMMYFUNCTION("""COMPUTED_VALUE"""),45067.5341791666)</f>
        <v>45067.53418</v>
      </c>
      <c r="D7309" s="15">
        <f>IFERROR(__xludf.DUMMYFUNCTION("""COMPUTED_VALUE"""),1.013)</f>
        <v>1.013</v>
      </c>
      <c r="E7309" s="16">
        <f>IFERROR(__xludf.DUMMYFUNCTION("""COMPUTED_VALUE"""),66.0)</f>
        <v>66</v>
      </c>
      <c r="F7309" s="19" t="str">
        <f>IFERROR(__xludf.DUMMYFUNCTION("""COMPUTED_VALUE"""),"BLACK")</f>
        <v>BLACK</v>
      </c>
      <c r="G7309" s="20" t="str">
        <f>IFERROR(__xludf.DUMMYFUNCTION("""COMPUTED_VALUE"""),"Uncle Sams Cider (04/04/2023)")</f>
        <v>Uncle Sams Cider (04/04/2023)</v>
      </c>
      <c r="H7309" s="19"/>
    </row>
    <row r="7310">
      <c r="A7310" s="9"/>
      <c r="B7310" s="15"/>
      <c r="C7310" s="9">
        <f>IFERROR(__xludf.DUMMYFUNCTION("""COMPUTED_VALUE"""),45067.523758368)</f>
        <v>45067.52376</v>
      </c>
      <c r="D7310" s="15">
        <f>IFERROR(__xludf.DUMMYFUNCTION("""COMPUTED_VALUE"""),1.012)</f>
        <v>1.012</v>
      </c>
      <c r="E7310" s="16">
        <f>IFERROR(__xludf.DUMMYFUNCTION("""COMPUTED_VALUE"""),66.0)</f>
        <v>66</v>
      </c>
      <c r="F7310" s="19" t="str">
        <f>IFERROR(__xludf.DUMMYFUNCTION("""COMPUTED_VALUE"""),"BLACK")</f>
        <v>BLACK</v>
      </c>
      <c r="G7310" s="20" t="str">
        <f>IFERROR(__xludf.DUMMYFUNCTION("""COMPUTED_VALUE"""),"Uncle Sams Cider (04/04/2023)")</f>
        <v>Uncle Sams Cider (04/04/2023)</v>
      </c>
      <c r="H7310" s="19"/>
    </row>
    <row r="7311">
      <c r="A7311" s="9"/>
      <c r="B7311" s="15"/>
      <c r="C7311" s="9">
        <f>IFERROR(__xludf.DUMMYFUNCTION("""COMPUTED_VALUE"""),45067.5133364814)</f>
        <v>45067.51334</v>
      </c>
      <c r="D7311" s="15">
        <f>IFERROR(__xludf.DUMMYFUNCTION("""COMPUTED_VALUE"""),1.012)</f>
        <v>1.012</v>
      </c>
      <c r="E7311" s="16">
        <f>IFERROR(__xludf.DUMMYFUNCTION("""COMPUTED_VALUE"""),66.0)</f>
        <v>66</v>
      </c>
      <c r="F7311" s="19" t="str">
        <f>IFERROR(__xludf.DUMMYFUNCTION("""COMPUTED_VALUE"""),"BLACK")</f>
        <v>BLACK</v>
      </c>
      <c r="G7311" s="20" t="str">
        <f>IFERROR(__xludf.DUMMYFUNCTION("""COMPUTED_VALUE"""),"Uncle Sams Cider (04/04/2023)")</f>
        <v>Uncle Sams Cider (04/04/2023)</v>
      </c>
      <c r="H7311" s="19"/>
    </row>
    <row r="7312">
      <c r="A7312" s="9"/>
      <c r="B7312" s="15"/>
      <c r="C7312" s="9">
        <f>IFERROR(__xludf.DUMMYFUNCTION("""COMPUTED_VALUE"""),45067.5029032175)</f>
        <v>45067.5029</v>
      </c>
      <c r="D7312" s="15">
        <f>IFERROR(__xludf.DUMMYFUNCTION("""COMPUTED_VALUE"""),1.012)</f>
        <v>1.012</v>
      </c>
      <c r="E7312" s="16">
        <f>IFERROR(__xludf.DUMMYFUNCTION("""COMPUTED_VALUE"""),66.0)</f>
        <v>66</v>
      </c>
      <c r="F7312" s="19" t="str">
        <f>IFERROR(__xludf.DUMMYFUNCTION("""COMPUTED_VALUE"""),"BLACK")</f>
        <v>BLACK</v>
      </c>
      <c r="G7312" s="20" t="str">
        <f>IFERROR(__xludf.DUMMYFUNCTION("""COMPUTED_VALUE"""),"Uncle Sams Cider (04/04/2023)")</f>
        <v>Uncle Sams Cider (04/04/2023)</v>
      </c>
      <c r="H7312" s="19"/>
    </row>
    <row r="7313">
      <c r="A7313" s="9"/>
      <c r="B7313" s="15"/>
      <c r="C7313" s="9">
        <f>IFERROR(__xludf.DUMMYFUNCTION("""COMPUTED_VALUE"""),45067.4924815856)</f>
        <v>45067.49248</v>
      </c>
      <c r="D7313" s="15">
        <f>IFERROR(__xludf.DUMMYFUNCTION("""COMPUTED_VALUE"""),1.013)</f>
        <v>1.013</v>
      </c>
      <c r="E7313" s="16">
        <f>IFERROR(__xludf.DUMMYFUNCTION("""COMPUTED_VALUE"""),66.0)</f>
        <v>66</v>
      </c>
      <c r="F7313" s="19" t="str">
        <f>IFERROR(__xludf.DUMMYFUNCTION("""COMPUTED_VALUE"""),"BLACK")</f>
        <v>BLACK</v>
      </c>
      <c r="G7313" s="20" t="str">
        <f>IFERROR(__xludf.DUMMYFUNCTION("""COMPUTED_VALUE"""),"Uncle Sams Cider (04/04/2023)")</f>
        <v>Uncle Sams Cider (04/04/2023)</v>
      </c>
      <c r="H7313" s="19"/>
    </row>
    <row r="7314">
      <c r="A7314" s="9"/>
      <c r="B7314" s="15"/>
      <c r="C7314" s="9">
        <f>IFERROR(__xludf.DUMMYFUNCTION("""COMPUTED_VALUE"""),45067.4820512384)</f>
        <v>45067.48205</v>
      </c>
      <c r="D7314" s="15">
        <f>IFERROR(__xludf.DUMMYFUNCTION("""COMPUTED_VALUE"""),1.012)</f>
        <v>1.012</v>
      </c>
      <c r="E7314" s="16">
        <f>IFERROR(__xludf.DUMMYFUNCTION("""COMPUTED_VALUE"""),66.0)</f>
        <v>66</v>
      </c>
      <c r="F7314" s="19" t="str">
        <f>IFERROR(__xludf.DUMMYFUNCTION("""COMPUTED_VALUE"""),"BLACK")</f>
        <v>BLACK</v>
      </c>
      <c r="G7314" s="20" t="str">
        <f>IFERROR(__xludf.DUMMYFUNCTION("""COMPUTED_VALUE"""),"Uncle Sams Cider (04/04/2023)")</f>
        <v>Uncle Sams Cider (04/04/2023)</v>
      </c>
      <c r="H7314" s="19"/>
    </row>
    <row r="7315">
      <c r="A7315" s="9"/>
      <c r="B7315" s="15"/>
      <c r="C7315" s="9">
        <f>IFERROR(__xludf.DUMMYFUNCTION("""COMPUTED_VALUE"""),45067.4716071643)</f>
        <v>45067.47161</v>
      </c>
      <c r="D7315" s="15">
        <f>IFERROR(__xludf.DUMMYFUNCTION("""COMPUTED_VALUE"""),1.012)</f>
        <v>1.012</v>
      </c>
      <c r="E7315" s="16">
        <f>IFERROR(__xludf.DUMMYFUNCTION("""COMPUTED_VALUE"""),66.0)</f>
        <v>66</v>
      </c>
      <c r="F7315" s="19" t="str">
        <f>IFERROR(__xludf.DUMMYFUNCTION("""COMPUTED_VALUE"""),"BLACK")</f>
        <v>BLACK</v>
      </c>
      <c r="G7315" s="20" t="str">
        <f>IFERROR(__xludf.DUMMYFUNCTION("""COMPUTED_VALUE"""),"Uncle Sams Cider (04/04/2023)")</f>
        <v>Uncle Sams Cider (04/04/2023)</v>
      </c>
      <c r="H7315" s="19"/>
    </row>
    <row r="7316">
      <c r="A7316" s="9"/>
      <c r="B7316" s="15"/>
      <c r="C7316" s="9">
        <f>IFERROR(__xludf.DUMMYFUNCTION("""COMPUTED_VALUE"""),45067.4611510069)</f>
        <v>45067.46115</v>
      </c>
      <c r="D7316" s="15">
        <f>IFERROR(__xludf.DUMMYFUNCTION("""COMPUTED_VALUE"""),1.013)</f>
        <v>1.013</v>
      </c>
      <c r="E7316" s="16">
        <f>IFERROR(__xludf.DUMMYFUNCTION("""COMPUTED_VALUE"""),66.0)</f>
        <v>66</v>
      </c>
      <c r="F7316" s="19" t="str">
        <f>IFERROR(__xludf.DUMMYFUNCTION("""COMPUTED_VALUE"""),"BLACK")</f>
        <v>BLACK</v>
      </c>
      <c r="G7316" s="20" t="str">
        <f>IFERROR(__xludf.DUMMYFUNCTION("""COMPUTED_VALUE"""),"Uncle Sams Cider (04/04/2023)")</f>
        <v>Uncle Sams Cider (04/04/2023)</v>
      </c>
      <c r="H7316" s="19"/>
    </row>
    <row r="7317">
      <c r="A7317" s="9"/>
      <c r="B7317" s="15"/>
      <c r="C7317" s="9">
        <f>IFERROR(__xludf.DUMMYFUNCTION("""COMPUTED_VALUE"""),45067.4506951388)</f>
        <v>45067.4507</v>
      </c>
      <c r="D7317" s="15">
        <f>IFERROR(__xludf.DUMMYFUNCTION("""COMPUTED_VALUE"""),1.013)</f>
        <v>1.013</v>
      </c>
      <c r="E7317" s="16">
        <f>IFERROR(__xludf.DUMMYFUNCTION("""COMPUTED_VALUE"""),66.0)</f>
        <v>66</v>
      </c>
      <c r="F7317" s="19" t="str">
        <f>IFERROR(__xludf.DUMMYFUNCTION("""COMPUTED_VALUE"""),"BLACK")</f>
        <v>BLACK</v>
      </c>
      <c r="G7317" s="20" t="str">
        <f>IFERROR(__xludf.DUMMYFUNCTION("""COMPUTED_VALUE"""),"Uncle Sams Cider (04/04/2023)")</f>
        <v>Uncle Sams Cider (04/04/2023)</v>
      </c>
      <c r="H7317" s="19"/>
    </row>
    <row r="7318">
      <c r="A7318" s="9"/>
      <c r="B7318" s="15"/>
      <c r="C7318" s="9">
        <f>IFERROR(__xludf.DUMMYFUNCTION("""COMPUTED_VALUE"""),45067.4402728703)</f>
        <v>45067.44027</v>
      </c>
      <c r="D7318" s="15">
        <f>IFERROR(__xludf.DUMMYFUNCTION("""COMPUTED_VALUE"""),1.012)</f>
        <v>1.012</v>
      </c>
      <c r="E7318" s="16">
        <f>IFERROR(__xludf.DUMMYFUNCTION("""COMPUTED_VALUE"""),66.0)</f>
        <v>66</v>
      </c>
      <c r="F7318" s="19" t="str">
        <f>IFERROR(__xludf.DUMMYFUNCTION("""COMPUTED_VALUE"""),"BLACK")</f>
        <v>BLACK</v>
      </c>
      <c r="G7318" s="20" t="str">
        <f>IFERROR(__xludf.DUMMYFUNCTION("""COMPUTED_VALUE"""),"Uncle Sams Cider (04/04/2023)")</f>
        <v>Uncle Sams Cider (04/04/2023)</v>
      </c>
      <c r="H7318" s="19"/>
    </row>
    <row r="7319">
      <c r="A7319" s="9"/>
      <c r="B7319" s="15"/>
      <c r="C7319" s="9">
        <f>IFERROR(__xludf.DUMMYFUNCTION("""COMPUTED_VALUE"""),45067.4298417592)</f>
        <v>45067.42984</v>
      </c>
      <c r="D7319" s="15">
        <f>IFERROR(__xludf.DUMMYFUNCTION("""COMPUTED_VALUE"""),1.013)</f>
        <v>1.013</v>
      </c>
      <c r="E7319" s="16">
        <f>IFERROR(__xludf.DUMMYFUNCTION("""COMPUTED_VALUE"""),66.0)</f>
        <v>66</v>
      </c>
      <c r="F7319" s="19" t="str">
        <f>IFERROR(__xludf.DUMMYFUNCTION("""COMPUTED_VALUE"""),"BLACK")</f>
        <v>BLACK</v>
      </c>
      <c r="G7319" s="20" t="str">
        <f>IFERROR(__xludf.DUMMYFUNCTION("""COMPUTED_VALUE"""),"Uncle Sams Cider (04/04/2023)")</f>
        <v>Uncle Sams Cider (04/04/2023)</v>
      </c>
      <c r="H7319" s="19"/>
    </row>
    <row r="7320">
      <c r="A7320" s="9"/>
      <c r="B7320" s="15"/>
      <c r="C7320" s="9">
        <f>IFERROR(__xludf.DUMMYFUNCTION("""COMPUTED_VALUE"""),45067.4194227893)</f>
        <v>45067.41942</v>
      </c>
      <c r="D7320" s="15">
        <f>IFERROR(__xludf.DUMMYFUNCTION("""COMPUTED_VALUE"""),1.013)</f>
        <v>1.013</v>
      </c>
      <c r="E7320" s="16">
        <f>IFERROR(__xludf.DUMMYFUNCTION("""COMPUTED_VALUE"""),66.0)</f>
        <v>66</v>
      </c>
      <c r="F7320" s="19" t="str">
        <f>IFERROR(__xludf.DUMMYFUNCTION("""COMPUTED_VALUE"""),"BLACK")</f>
        <v>BLACK</v>
      </c>
      <c r="G7320" s="20" t="str">
        <f>IFERROR(__xludf.DUMMYFUNCTION("""COMPUTED_VALUE"""),"Uncle Sams Cider (04/04/2023)")</f>
        <v>Uncle Sams Cider (04/04/2023)</v>
      </c>
      <c r="H7320" s="19"/>
    </row>
    <row r="7321">
      <c r="A7321" s="9"/>
      <c r="B7321" s="15"/>
      <c r="C7321" s="9">
        <f>IFERROR(__xludf.DUMMYFUNCTION("""COMPUTED_VALUE"""),45067.4089869675)</f>
        <v>45067.40899</v>
      </c>
      <c r="D7321" s="15">
        <f>IFERROR(__xludf.DUMMYFUNCTION("""COMPUTED_VALUE"""),1.013)</f>
        <v>1.013</v>
      </c>
      <c r="E7321" s="16">
        <f>IFERROR(__xludf.DUMMYFUNCTION("""COMPUTED_VALUE"""),66.0)</f>
        <v>66</v>
      </c>
      <c r="F7321" s="19" t="str">
        <f>IFERROR(__xludf.DUMMYFUNCTION("""COMPUTED_VALUE"""),"BLACK")</f>
        <v>BLACK</v>
      </c>
      <c r="G7321" s="20" t="str">
        <f>IFERROR(__xludf.DUMMYFUNCTION("""COMPUTED_VALUE"""),"Uncle Sams Cider (04/04/2023)")</f>
        <v>Uncle Sams Cider (04/04/2023)</v>
      </c>
      <c r="H7321" s="19"/>
    </row>
    <row r="7322">
      <c r="A7322" s="9"/>
      <c r="B7322" s="15"/>
      <c r="C7322" s="9">
        <f>IFERROR(__xludf.DUMMYFUNCTION("""COMPUTED_VALUE"""),45067.3985432176)</f>
        <v>45067.39854</v>
      </c>
      <c r="D7322" s="15">
        <f>IFERROR(__xludf.DUMMYFUNCTION("""COMPUTED_VALUE"""),1.013)</f>
        <v>1.013</v>
      </c>
      <c r="E7322" s="16">
        <f>IFERROR(__xludf.DUMMYFUNCTION("""COMPUTED_VALUE"""),66.0)</f>
        <v>66</v>
      </c>
      <c r="F7322" s="19" t="str">
        <f>IFERROR(__xludf.DUMMYFUNCTION("""COMPUTED_VALUE"""),"BLACK")</f>
        <v>BLACK</v>
      </c>
      <c r="G7322" s="20" t="str">
        <f>IFERROR(__xludf.DUMMYFUNCTION("""COMPUTED_VALUE"""),"Uncle Sams Cider (04/04/2023)")</f>
        <v>Uncle Sams Cider (04/04/2023)</v>
      </c>
      <c r="H7322" s="19"/>
    </row>
    <row r="7323">
      <c r="A7323" s="9"/>
      <c r="B7323" s="15"/>
      <c r="C7323" s="9">
        <f>IFERROR(__xludf.DUMMYFUNCTION("""COMPUTED_VALUE"""),45067.3881098032)</f>
        <v>45067.38811</v>
      </c>
      <c r="D7323" s="15">
        <f>IFERROR(__xludf.DUMMYFUNCTION("""COMPUTED_VALUE"""),1.013)</f>
        <v>1.013</v>
      </c>
      <c r="E7323" s="16">
        <f>IFERROR(__xludf.DUMMYFUNCTION("""COMPUTED_VALUE"""),66.0)</f>
        <v>66</v>
      </c>
      <c r="F7323" s="19" t="str">
        <f>IFERROR(__xludf.DUMMYFUNCTION("""COMPUTED_VALUE"""),"BLACK")</f>
        <v>BLACK</v>
      </c>
      <c r="G7323" s="20" t="str">
        <f>IFERROR(__xludf.DUMMYFUNCTION("""COMPUTED_VALUE"""),"Uncle Sams Cider (04/04/2023)")</f>
        <v>Uncle Sams Cider (04/04/2023)</v>
      </c>
      <c r="H7323" s="19"/>
    </row>
    <row r="7324">
      <c r="A7324" s="9"/>
      <c r="B7324" s="15"/>
      <c r="C7324" s="9">
        <f>IFERROR(__xludf.DUMMYFUNCTION("""COMPUTED_VALUE"""),45067.3776661111)</f>
        <v>45067.37767</v>
      </c>
      <c r="D7324" s="15">
        <f>IFERROR(__xludf.DUMMYFUNCTION("""COMPUTED_VALUE"""),1.013)</f>
        <v>1.013</v>
      </c>
      <c r="E7324" s="16">
        <f>IFERROR(__xludf.DUMMYFUNCTION("""COMPUTED_VALUE"""),66.0)</f>
        <v>66</v>
      </c>
      <c r="F7324" s="19" t="str">
        <f>IFERROR(__xludf.DUMMYFUNCTION("""COMPUTED_VALUE"""),"BLACK")</f>
        <v>BLACK</v>
      </c>
      <c r="G7324" s="20" t="str">
        <f>IFERROR(__xludf.DUMMYFUNCTION("""COMPUTED_VALUE"""),"Uncle Sams Cider (04/04/2023)")</f>
        <v>Uncle Sams Cider (04/04/2023)</v>
      </c>
      <c r="H7324" s="19"/>
    </row>
    <row r="7325">
      <c r="A7325" s="9"/>
      <c r="B7325" s="15"/>
      <c r="C7325" s="9">
        <f>IFERROR(__xludf.DUMMYFUNCTION("""COMPUTED_VALUE"""),45067.3672320601)</f>
        <v>45067.36723</v>
      </c>
      <c r="D7325" s="15">
        <f>IFERROR(__xludf.DUMMYFUNCTION("""COMPUTED_VALUE"""),1.012)</f>
        <v>1.012</v>
      </c>
      <c r="E7325" s="16">
        <f>IFERROR(__xludf.DUMMYFUNCTION("""COMPUTED_VALUE"""),66.0)</f>
        <v>66</v>
      </c>
      <c r="F7325" s="19" t="str">
        <f>IFERROR(__xludf.DUMMYFUNCTION("""COMPUTED_VALUE"""),"BLACK")</f>
        <v>BLACK</v>
      </c>
      <c r="G7325" s="20" t="str">
        <f>IFERROR(__xludf.DUMMYFUNCTION("""COMPUTED_VALUE"""),"Uncle Sams Cider (04/04/2023)")</f>
        <v>Uncle Sams Cider (04/04/2023)</v>
      </c>
      <c r="H7325" s="19"/>
    </row>
    <row r="7326">
      <c r="A7326" s="9"/>
      <c r="B7326" s="15"/>
      <c r="C7326" s="9">
        <f>IFERROR(__xludf.DUMMYFUNCTION("""COMPUTED_VALUE"""),45067.3567893518)</f>
        <v>45067.35679</v>
      </c>
      <c r="D7326" s="15">
        <f>IFERROR(__xludf.DUMMYFUNCTION("""COMPUTED_VALUE"""),1.013)</f>
        <v>1.013</v>
      </c>
      <c r="E7326" s="16">
        <f>IFERROR(__xludf.DUMMYFUNCTION("""COMPUTED_VALUE"""),66.0)</f>
        <v>66</v>
      </c>
      <c r="F7326" s="19" t="str">
        <f>IFERROR(__xludf.DUMMYFUNCTION("""COMPUTED_VALUE"""),"BLACK")</f>
        <v>BLACK</v>
      </c>
      <c r="G7326" s="20" t="str">
        <f>IFERROR(__xludf.DUMMYFUNCTION("""COMPUTED_VALUE"""),"Uncle Sams Cider (04/04/2023)")</f>
        <v>Uncle Sams Cider (04/04/2023)</v>
      </c>
      <c r="H7326" s="19"/>
    </row>
    <row r="7327">
      <c r="A7327" s="9"/>
      <c r="B7327" s="15"/>
      <c r="C7327" s="9">
        <f>IFERROR(__xludf.DUMMYFUNCTION("""COMPUTED_VALUE"""),45067.3463676157)</f>
        <v>45067.34637</v>
      </c>
      <c r="D7327" s="15">
        <f>IFERROR(__xludf.DUMMYFUNCTION("""COMPUTED_VALUE"""),1.013)</f>
        <v>1.013</v>
      </c>
      <c r="E7327" s="16">
        <f>IFERROR(__xludf.DUMMYFUNCTION("""COMPUTED_VALUE"""),66.0)</f>
        <v>66</v>
      </c>
      <c r="F7327" s="19" t="str">
        <f>IFERROR(__xludf.DUMMYFUNCTION("""COMPUTED_VALUE"""),"BLACK")</f>
        <v>BLACK</v>
      </c>
      <c r="G7327" s="20" t="str">
        <f>IFERROR(__xludf.DUMMYFUNCTION("""COMPUTED_VALUE"""),"Uncle Sams Cider (04/04/2023)")</f>
        <v>Uncle Sams Cider (04/04/2023)</v>
      </c>
      <c r="H7327" s="19"/>
    </row>
    <row r="7328">
      <c r="A7328" s="9"/>
      <c r="B7328" s="15"/>
      <c r="C7328" s="9">
        <f>IFERROR(__xludf.DUMMYFUNCTION("""COMPUTED_VALUE"""),45067.3359357638)</f>
        <v>45067.33594</v>
      </c>
      <c r="D7328" s="15">
        <f>IFERROR(__xludf.DUMMYFUNCTION("""COMPUTED_VALUE"""),1.013)</f>
        <v>1.013</v>
      </c>
      <c r="E7328" s="16">
        <f>IFERROR(__xludf.DUMMYFUNCTION("""COMPUTED_VALUE"""),66.0)</f>
        <v>66</v>
      </c>
      <c r="F7328" s="19" t="str">
        <f>IFERROR(__xludf.DUMMYFUNCTION("""COMPUTED_VALUE"""),"BLACK")</f>
        <v>BLACK</v>
      </c>
      <c r="G7328" s="20" t="str">
        <f>IFERROR(__xludf.DUMMYFUNCTION("""COMPUTED_VALUE"""),"Uncle Sams Cider (04/04/2023)")</f>
        <v>Uncle Sams Cider (04/04/2023)</v>
      </c>
      <c r="H7328" s="19"/>
    </row>
    <row r="7329">
      <c r="A7329" s="9"/>
      <c r="B7329" s="15"/>
      <c r="C7329" s="9">
        <f>IFERROR(__xludf.DUMMYFUNCTION("""COMPUTED_VALUE"""),45067.3255151041)</f>
        <v>45067.32552</v>
      </c>
      <c r="D7329" s="15">
        <f>IFERROR(__xludf.DUMMYFUNCTION("""COMPUTED_VALUE"""),1.012)</f>
        <v>1.012</v>
      </c>
      <c r="E7329" s="16">
        <f>IFERROR(__xludf.DUMMYFUNCTION("""COMPUTED_VALUE"""),66.0)</f>
        <v>66</v>
      </c>
      <c r="F7329" s="19" t="str">
        <f>IFERROR(__xludf.DUMMYFUNCTION("""COMPUTED_VALUE"""),"BLACK")</f>
        <v>BLACK</v>
      </c>
      <c r="G7329" s="20" t="str">
        <f>IFERROR(__xludf.DUMMYFUNCTION("""COMPUTED_VALUE"""),"Uncle Sams Cider (04/04/2023)")</f>
        <v>Uncle Sams Cider (04/04/2023)</v>
      </c>
      <c r="H7329" s="19"/>
    </row>
    <row r="7330">
      <c r="A7330" s="9"/>
      <c r="B7330" s="15"/>
      <c r="C7330" s="9">
        <f>IFERROR(__xludf.DUMMYFUNCTION("""COMPUTED_VALUE"""),45067.315070625)</f>
        <v>45067.31507</v>
      </c>
      <c r="D7330" s="15">
        <f>IFERROR(__xludf.DUMMYFUNCTION("""COMPUTED_VALUE"""),1.012)</f>
        <v>1.012</v>
      </c>
      <c r="E7330" s="16">
        <f>IFERROR(__xludf.DUMMYFUNCTION("""COMPUTED_VALUE"""),66.0)</f>
        <v>66</v>
      </c>
      <c r="F7330" s="19" t="str">
        <f>IFERROR(__xludf.DUMMYFUNCTION("""COMPUTED_VALUE"""),"BLACK")</f>
        <v>BLACK</v>
      </c>
      <c r="G7330" s="20" t="str">
        <f>IFERROR(__xludf.DUMMYFUNCTION("""COMPUTED_VALUE"""),"Uncle Sams Cider (04/04/2023)")</f>
        <v>Uncle Sams Cider (04/04/2023)</v>
      </c>
      <c r="H7330" s="19"/>
    </row>
    <row r="7331">
      <c r="A7331" s="9"/>
      <c r="B7331" s="15"/>
      <c r="C7331" s="9">
        <f>IFERROR(__xludf.DUMMYFUNCTION("""COMPUTED_VALUE"""),45067.3046367939)</f>
        <v>45067.30464</v>
      </c>
      <c r="D7331" s="15">
        <f>IFERROR(__xludf.DUMMYFUNCTION("""COMPUTED_VALUE"""),1.013)</f>
        <v>1.013</v>
      </c>
      <c r="E7331" s="16">
        <f>IFERROR(__xludf.DUMMYFUNCTION("""COMPUTED_VALUE"""),66.0)</f>
        <v>66</v>
      </c>
      <c r="F7331" s="19" t="str">
        <f>IFERROR(__xludf.DUMMYFUNCTION("""COMPUTED_VALUE"""),"BLACK")</f>
        <v>BLACK</v>
      </c>
      <c r="G7331" s="20" t="str">
        <f>IFERROR(__xludf.DUMMYFUNCTION("""COMPUTED_VALUE"""),"Uncle Sams Cider (04/04/2023)")</f>
        <v>Uncle Sams Cider (04/04/2023)</v>
      </c>
      <c r="H7331" s="19"/>
    </row>
    <row r="7332">
      <c r="A7332" s="9"/>
      <c r="B7332" s="15"/>
      <c r="C7332" s="9">
        <f>IFERROR(__xludf.DUMMYFUNCTION("""COMPUTED_VALUE"""),45067.2942046527)</f>
        <v>45067.2942</v>
      </c>
      <c r="D7332" s="15">
        <f>IFERROR(__xludf.DUMMYFUNCTION("""COMPUTED_VALUE"""),1.013)</f>
        <v>1.013</v>
      </c>
      <c r="E7332" s="16">
        <f>IFERROR(__xludf.DUMMYFUNCTION("""COMPUTED_VALUE"""),66.0)</f>
        <v>66</v>
      </c>
      <c r="F7332" s="19" t="str">
        <f>IFERROR(__xludf.DUMMYFUNCTION("""COMPUTED_VALUE"""),"BLACK")</f>
        <v>BLACK</v>
      </c>
      <c r="G7332" s="20" t="str">
        <f>IFERROR(__xludf.DUMMYFUNCTION("""COMPUTED_VALUE"""),"Uncle Sams Cider (04/04/2023)")</f>
        <v>Uncle Sams Cider (04/04/2023)</v>
      </c>
      <c r="H7332" s="19"/>
    </row>
    <row r="7333">
      <c r="A7333" s="9"/>
      <c r="B7333" s="15"/>
      <c r="C7333" s="9">
        <f>IFERROR(__xludf.DUMMYFUNCTION("""COMPUTED_VALUE"""),45067.2837828935)</f>
        <v>45067.28378</v>
      </c>
      <c r="D7333" s="15">
        <f>IFERROR(__xludf.DUMMYFUNCTION("""COMPUTED_VALUE"""),1.013)</f>
        <v>1.013</v>
      </c>
      <c r="E7333" s="16">
        <f>IFERROR(__xludf.DUMMYFUNCTION("""COMPUTED_VALUE"""),66.0)</f>
        <v>66</v>
      </c>
      <c r="F7333" s="19" t="str">
        <f>IFERROR(__xludf.DUMMYFUNCTION("""COMPUTED_VALUE"""),"BLACK")</f>
        <v>BLACK</v>
      </c>
      <c r="G7333" s="20" t="str">
        <f>IFERROR(__xludf.DUMMYFUNCTION("""COMPUTED_VALUE"""),"Uncle Sams Cider (04/04/2023)")</f>
        <v>Uncle Sams Cider (04/04/2023)</v>
      </c>
      <c r="H7333" s="19"/>
    </row>
    <row r="7334">
      <c r="A7334" s="9"/>
      <c r="B7334" s="15"/>
      <c r="C7334" s="9">
        <f>IFERROR(__xludf.DUMMYFUNCTION("""COMPUTED_VALUE"""),45067.2733153125)</f>
        <v>45067.27332</v>
      </c>
      <c r="D7334" s="15">
        <f>IFERROR(__xludf.DUMMYFUNCTION("""COMPUTED_VALUE"""),1.013)</f>
        <v>1.013</v>
      </c>
      <c r="E7334" s="16">
        <f>IFERROR(__xludf.DUMMYFUNCTION("""COMPUTED_VALUE"""),66.0)</f>
        <v>66</v>
      </c>
      <c r="F7334" s="19" t="str">
        <f>IFERROR(__xludf.DUMMYFUNCTION("""COMPUTED_VALUE"""),"BLACK")</f>
        <v>BLACK</v>
      </c>
      <c r="G7334" s="20" t="str">
        <f>IFERROR(__xludf.DUMMYFUNCTION("""COMPUTED_VALUE"""),"Uncle Sams Cider (04/04/2023)")</f>
        <v>Uncle Sams Cider (04/04/2023)</v>
      </c>
      <c r="H7334" s="19"/>
    </row>
    <row r="7335">
      <c r="A7335" s="9"/>
      <c r="B7335" s="15"/>
      <c r="C7335" s="9">
        <f>IFERROR(__xludf.DUMMYFUNCTION("""COMPUTED_VALUE"""),45067.2628924884)</f>
        <v>45067.26289</v>
      </c>
      <c r="D7335" s="15">
        <f>IFERROR(__xludf.DUMMYFUNCTION("""COMPUTED_VALUE"""),1.013)</f>
        <v>1.013</v>
      </c>
      <c r="E7335" s="16">
        <f>IFERROR(__xludf.DUMMYFUNCTION("""COMPUTED_VALUE"""),66.0)</f>
        <v>66</v>
      </c>
      <c r="F7335" s="19" t="str">
        <f>IFERROR(__xludf.DUMMYFUNCTION("""COMPUTED_VALUE"""),"BLACK")</f>
        <v>BLACK</v>
      </c>
      <c r="G7335" s="20" t="str">
        <f>IFERROR(__xludf.DUMMYFUNCTION("""COMPUTED_VALUE"""),"Uncle Sams Cider (04/04/2023)")</f>
        <v>Uncle Sams Cider (04/04/2023)</v>
      </c>
      <c r="H7335" s="19"/>
    </row>
    <row r="7336">
      <c r="A7336" s="9"/>
      <c r="B7336" s="15"/>
      <c r="C7336" s="9">
        <f>IFERROR(__xludf.DUMMYFUNCTION("""COMPUTED_VALUE"""),45067.2524588657)</f>
        <v>45067.25246</v>
      </c>
      <c r="D7336" s="15">
        <f>IFERROR(__xludf.DUMMYFUNCTION("""COMPUTED_VALUE"""),1.013)</f>
        <v>1.013</v>
      </c>
      <c r="E7336" s="16">
        <f>IFERROR(__xludf.DUMMYFUNCTION("""COMPUTED_VALUE"""),66.0)</f>
        <v>66</v>
      </c>
      <c r="F7336" s="19" t="str">
        <f>IFERROR(__xludf.DUMMYFUNCTION("""COMPUTED_VALUE"""),"BLACK")</f>
        <v>BLACK</v>
      </c>
      <c r="G7336" s="20" t="str">
        <f>IFERROR(__xludf.DUMMYFUNCTION("""COMPUTED_VALUE"""),"Uncle Sams Cider (04/04/2023)")</f>
        <v>Uncle Sams Cider (04/04/2023)</v>
      </c>
      <c r="H7336" s="19"/>
    </row>
    <row r="7337">
      <c r="A7337" s="9"/>
      <c r="B7337" s="15"/>
      <c r="C7337" s="9">
        <f>IFERROR(__xludf.DUMMYFUNCTION("""COMPUTED_VALUE"""),45067.2420261921)</f>
        <v>45067.24203</v>
      </c>
      <c r="D7337" s="15">
        <f>IFERROR(__xludf.DUMMYFUNCTION("""COMPUTED_VALUE"""),1.013)</f>
        <v>1.013</v>
      </c>
      <c r="E7337" s="16">
        <f>IFERROR(__xludf.DUMMYFUNCTION("""COMPUTED_VALUE"""),66.0)</f>
        <v>66</v>
      </c>
      <c r="F7337" s="19" t="str">
        <f>IFERROR(__xludf.DUMMYFUNCTION("""COMPUTED_VALUE"""),"BLACK")</f>
        <v>BLACK</v>
      </c>
      <c r="G7337" s="20" t="str">
        <f>IFERROR(__xludf.DUMMYFUNCTION("""COMPUTED_VALUE"""),"Uncle Sams Cider (04/04/2023)")</f>
        <v>Uncle Sams Cider (04/04/2023)</v>
      </c>
      <c r="H7337" s="19"/>
    </row>
    <row r="7338">
      <c r="A7338" s="9"/>
      <c r="B7338" s="15"/>
      <c r="C7338" s="9">
        <f>IFERROR(__xludf.DUMMYFUNCTION("""COMPUTED_VALUE"""),45067.2315931828)</f>
        <v>45067.23159</v>
      </c>
      <c r="D7338" s="15">
        <f>IFERROR(__xludf.DUMMYFUNCTION("""COMPUTED_VALUE"""),1.013)</f>
        <v>1.013</v>
      </c>
      <c r="E7338" s="16">
        <f>IFERROR(__xludf.DUMMYFUNCTION("""COMPUTED_VALUE"""),66.0)</f>
        <v>66</v>
      </c>
      <c r="F7338" s="19" t="str">
        <f>IFERROR(__xludf.DUMMYFUNCTION("""COMPUTED_VALUE"""),"BLACK")</f>
        <v>BLACK</v>
      </c>
      <c r="G7338" s="20" t="str">
        <f>IFERROR(__xludf.DUMMYFUNCTION("""COMPUTED_VALUE"""),"Uncle Sams Cider (04/04/2023)")</f>
        <v>Uncle Sams Cider (04/04/2023)</v>
      </c>
      <c r="H7338" s="19"/>
    </row>
    <row r="7339">
      <c r="A7339" s="9"/>
      <c r="B7339" s="15"/>
      <c r="C7339" s="9">
        <f>IFERROR(__xludf.DUMMYFUNCTION("""COMPUTED_VALUE"""),45067.2211721759)</f>
        <v>45067.22117</v>
      </c>
      <c r="D7339" s="15">
        <f>IFERROR(__xludf.DUMMYFUNCTION("""COMPUTED_VALUE"""),1.013)</f>
        <v>1.013</v>
      </c>
      <c r="E7339" s="16">
        <f>IFERROR(__xludf.DUMMYFUNCTION("""COMPUTED_VALUE"""),66.0)</f>
        <v>66</v>
      </c>
      <c r="F7339" s="19" t="str">
        <f>IFERROR(__xludf.DUMMYFUNCTION("""COMPUTED_VALUE"""),"BLACK")</f>
        <v>BLACK</v>
      </c>
      <c r="G7339" s="20" t="str">
        <f>IFERROR(__xludf.DUMMYFUNCTION("""COMPUTED_VALUE"""),"Uncle Sams Cider (04/04/2023)")</f>
        <v>Uncle Sams Cider (04/04/2023)</v>
      </c>
      <c r="H7339" s="19"/>
    </row>
    <row r="7340">
      <c r="A7340" s="9"/>
      <c r="B7340" s="15"/>
      <c r="C7340" s="9">
        <f>IFERROR(__xludf.DUMMYFUNCTION("""COMPUTED_VALUE"""),45067.2107516203)</f>
        <v>45067.21075</v>
      </c>
      <c r="D7340" s="15">
        <f>IFERROR(__xludf.DUMMYFUNCTION("""COMPUTED_VALUE"""),1.013)</f>
        <v>1.013</v>
      </c>
      <c r="E7340" s="16">
        <f>IFERROR(__xludf.DUMMYFUNCTION("""COMPUTED_VALUE"""),66.0)</f>
        <v>66</v>
      </c>
      <c r="F7340" s="19" t="str">
        <f>IFERROR(__xludf.DUMMYFUNCTION("""COMPUTED_VALUE"""),"BLACK")</f>
        <v>BLACK</v>
      </c>
      <c r="G7340" s="20" t="str">
        <f>IFERROR(__xludf.DUMMYFUNCTION("""COMPUTED_VALUE"""),"Uncle Sams Cider (04/04/2023)")</f>
        <v>Uncle Sams Cider (04/04/2023)</v>
      </c>
      <c r="H7340" s="19"/>
    </row>
    <row r="7341">
      <c r="A7341" s="9"/>
      <c r="B7341" s="15"/>
      <c r="C7341" s="9">
        <f>IFERROR(__xludf.DUMMYFUNCTION("""COMPUTED_VALUE"""),45067.2003190972)</f>
        <v>45067.20032</v>
      </c>
      <c r="D7341" s="15">
        <f>IFERROR(__xludf.DUMMYFUNCTION("""COMPUTED_VALUE"""),1.013)</f>
        <v>1.013</v>
      </c>
      <c r="E7341" s="16">
        <f>IFERROR(__xludf.DUMMYFUNCTION("""COMPUTED_VALUE"""),66.0)</f>
        <v>66</v>
      </c>
      <c r="F7341" s="19" t="str">
        <f>IFERROR(__xludf.DUMMYFUNCTION("""COMPUTED_VALUE"""),"BLACK")</f>
        <v>BLACK</v>
      </c>
      <c r="G7341" s="20" t="str">
        <f>IFERROR(__xludf.DUMMYFUNCTION("""COMPUTED_VALUE"""),"Uncle Sams Cider (04/04/2023)")</f>
        <v>Uncle Sams Cider (04/04/2023)</v>
      </c>
      <c r="H7341" s="19"/>
    </row>
    <row r="7342">
      <c r="A7342" s="9"/>
      <c r="B7342" s="15"/>
      <c r="C7342" s="9">
        <f>IFERROR(__xludf.DUMMYFUNCTION("""COMPUTED_VALUE"""),45067.189887037)</f>
        <v>45067.18989</v>
      </c>
      <c r="D7342" s="15">
        <f>IFERROR(__xludf.DUMMYFUNCTION("""COMPUTED_VALUE"""),1.013)</f>
        <v>1.013</v>
      </c>
      <c r="E7342" s="16">
        <f>IFERROR(__xludf.DUMMYFUNCTION("""COMPUTED_VALUE"""),66.0)</f>
        <v>66</v>
      </c>
      <c r="F7342" s="19" t="str">
        <f>IFERROR(__xludf.DUMMYFUNCTION("""COMPUTED_VALUE"""),"BLACK")</f>
        <v>BLACK</v>
      </c>
      <c r="G7342" s="20" t="str">
        <f>IFERROR(__xludf.DUMMYFUNCTION("""COMPUTED_VALUE"""),"Uncle Sams Cider (04/04/2023)")</f>
        <v>Uncle Sams Cider (04/04/2023)</v>
      </c>
      <c r="H7342" s="19"/>
    </row>
    <row r="7343">
      <c r="A7343" s="9"/>
      <c r="B7343" s="15"/>
      <c r="C7343" s="9">
        <f>IFERROR(__xludf.DUMMYFUNCTION("""COMPUTED_VALUE"""),45067.1794653356)</f>
        <v>45067.17947</v>
      </c>
      <c r="D7343" s="15">
        <f>IFERROR(__xludf.DUMMYFUNCTION("""COMPUTED_VALUE"""),1.013)</f>
        <v>1.013</v>
      </c>
      <c r="E7343" s="16">
        <f>IFERROR(__xludf.DUMMYFUNCTION("""COMPUTED_VALUE"""),66.0)</f>
        <v>66</v>
      </c>
      <c r="F7343" s="19" t="str">
        <f>IFERROR(__xludf.DUMMYFUNCTION("""COMPUTED_VALUE"""),"BLACK")</f>
        <v>BLACK</v>
      </c>
      <c r="G7343" s="20" t="str">
        <f>IFERROR(__xludf.DUMMYFUNCTION("""COMPUTED_VALUE"""),"Uncle Sams Cider (04/04/2023)")</f>
        <v>Uncle Sams Cider (04/04/2023)</v>
      </c>
      <c r="H7343" s="19"/>
    </row>
    <row r="7344">
      <c r="A7344" s="9"/>
      <c r="B7344" s="15"/>
      <c r="C7344" s="9">
        <f>IFERROR(__xludf.DUMMYFUNCTION("""COMPUTED_VALUE"""),45067.1690441203)</f>
        <v>45067.16904</v>
      </c>
      <c r="D7344" s="15">
        <f>IFERROR(__xludf.DUMMYFUNCTION("""COMPUTED_VALUE"""),1.013)</f>
        <v>1.013</v>
      </c>
      <c r="E7344" s="16">
        <f>IFERROR(__xludf.DUMMYFUNCTION("""COMPUTED_VALUE"""),66.0)</f>
        <v>66</v>
      </c>
      <c r="F7344" s="19" t="str">
        <f>IFERROR(__xludf.DUMMYFUNCTION("""COMPUTED_VALUE"""),"BLACK")</f>
        <v>BLACK</v>
      </c>
      <c r="G7344" s="20" t="str">
        <f>IFERROR(__xludf.DUMMYFUNCTION("""COMPUTED_VALUE"""),"Uncle Sams Cider (04/04/2023)")</f>
        <v>Uncle Sams Cider (04/04/2023)</v>
      </c>
      <c r="H7344" s="19"/>
    </row>
    <row r="7345">
      <c r="A7345" s="9"/>
      <c r="B7345" s="15"/>
      <c r="C7345" s="9">
        <f>IFERROR(__xludf.DUMMYFUNCTION("""COMPUTED_VALUE"""),45067.1585882639)</f>
        <v>45067.15859</v>
      </c>
      <c r="D7345" s="15">
        <f>IFERROR(__xludf.DUMMYFUNCTION("""COMPUTED_VALUE"""),1.013)</f>
        <v>1.013</v>
      </c>
      <c r="E7345" s="16">
        <f>IFERROR(__xludf.DUMMYFUNCTION("""COMPUTED_VALUE"""),66.0)</f>
        <v>66</v>
      </c>
      <c r="F7345" s="19" t="str">
        <f>IFERROR(__xludf.DUMMYFUNCTION("""COMPUTED_VALUE"""),"BLACK")</f>
        <v>BLACK</v>
      </c>
      <c r="G7345" s="20" t="str">
        <f>IFERROR(__xludf.DUMMYFUNCTION("""COMPUTED_VALUE"""),"Uncle Sams Cider (04/04/2023)")</f>
        <v>Uncle Sams Cider (04/04/2023)</v>
      </c>
      <c r="H7345" s="19"/>
    </row>
    <row r="7346">
      <c r="A7346" s="9"/>
      <c r="B7346" s="15"/>
      <c r="C7346" s="9">
        <f>IFERROR(__xludf.DUMMYFUNCTION("""COMPUTED_VALUE"""),45067.1481669328)</f>
        <v>45067.14817</v>
      </c>
      <c r="D7346" s="15">
        <f>IFERROR(__xludf.DUMMYFUNCTION("""COMPUTED_VALUE"""),1.013)</f>
        <v>1.013</v>
      </c>
      <c r="E7346" s="16">
        <f>IFERROR(__xludf.DUMMYFUNCTION("""COMPUTED_VALUE"""),66.0)</f>
        <v>66</v>
      </c>
      <c r="F7346" s="19" t="str">
        <f>IFERROR(__xludf.DUMMYFUNCTION("""COMPUTED_VALUE"""),"BLACK")</f>
        <v>BLACK</v>
      </c>
      <c r="G7346" s="20" t="str">
        <f>IFERROR(__xludf.DUMMYFUNCTION("""COMPUTED_VALUE"""),"Uncle Sams Cider (04/04/2023)")</f>
        <v>Uncle Sams Cider (04/04/2023)</v>
      </c>
      <c r="H7346" s="19"/>
    </row>
    <row r="7347">
      <c r="A7347" s="9"/>
      <c r="B7347" s="15"/>
      <c r="C7347" s="9">
        <f>IFERROR(__xludf.DUMMYFUNCTION("""COMPUTED_VALUE"""),45067.1377352199)</f>
        <v>45067.13774</v>
      </c>
      <c r="D7347" s="15">
        <f>IFERROR(__xludf.DUMMYFUNCTION("""COMPUTED_VALUE"""),1.013)</f>
        <v>1.013</v>
      </c>
      <c r="E7347" s="16">
        <f>IFERROR(__xludf.DUMMYFUNCTION("""COMPUTED_VALUE"""),66.0)</f>
        <v>66</v>
      </c>
      <c r="F7347" s="19" t="str">
        <f>IFERROR(__xludf.DUMMYFUNCTION("""COMPUTED_VALUE"""),"BLACK")</f>
        <v>BLACK</v>
      </c>
      <c r="G7347" s="20" t="str">
        <f>IFERROR(__xludf.DUMMYFUNCTION("""COMPUTED_VALUE"""),"Uncle Sams Cider (04/04/2023)")</f>
        <v>Uncle Sams Cider (04/04/2023)</v>
      </c>
      <c r="H7347" s="19"/>
    </row>
    <row r="7348">
      <c r="A7348" s="9"/>
      <c r="B7348" s="15"/>
      <c r="C7348" s="9">
        <f>IFERROR(__xludf.DUMMYFUNCTION("""COMPUTED_VALUE"""),45067.1272785995)</f>
        <v>45067.12728</v>
      </c>
      <c r="D7348" s="15">
        <f>IFERROR(__xludf.DUMMYFUNCTION("""COMPUTED_VALUE"""),1.013)</f>
        <v>1.013</v>
      </c>
      <c r="E7348" s="16">
        <f>IFERROR(__xludf.DUMMYFUNCTION("""COMPUTED_VALUE"""),66.0)</f>
        <v>66</v>
      </c>
      <c r="F7348" s="19" t="str">
        <f>IFERROR(__xludf.DUMMYFUNCTION("""COMPUTED_VALUE"""),"BLACK")</f>
        <v>BLACK</v>
      </c>
      <c r="G7348" s="20" t="str">
        <f>IFERROR(__xludf.DUMMYFUNCTION("""COMPUTED_VALUE"""),"Uncle Sams Cider (04/04/2023)")</f>
        <v>Uncle Sams Cider (04/04/2023)</v>
      </c>
      <c r="H7348" s="19"/>
    </row>
    <row r="7349">
      <c r="A7349" s="9"/>
      <c r="B7349" s="15"/>
      <c r="C7349" s="9">
        <f>IFERROR(__xludf.DUMMYFUNCTION("""COMPUTED_VALUE"""),45067.1168570833)</f>
        <v>45067.11686</v>
      </c>
      <c r="D7349" s="15">
        <f>IFERROR(__xludf.DUMMYFUNCTION("""COMPUTED_VALUE"""),1.013)</f>
        <v>1.013</v>
      </c>
      <c r="E7349" s="16">
        <f>IFERROR(__xludf.DUMMYFUNCTION("""COMPUTED_VALUE"""),66.0)</f>
        <v>66</v>
      </c>
      <c r="F7349" s="19" t="str">
        <f>IFERROR(__xludf.DUMMYFUNCTION("""COMPUTED_VALUE"""),"BLACK")</f>
        <v>BLACK</v>
      </c>
      <c r="G7349" s="20" t="str">
        <f>IFERROR(__xludf.DUMMYFUNCTION("""COMPUTED_VALUE"""),"Uncle Sams Cider (04/04/2023)")</f>
        <v>Uncle Sams Cider (04/04/2023)</v>
      </c>
      <c r="H7349" s="19"/>
    </row>
    <row r="7350">
      <c r="A7350" s="9"/>
      <c r="B7350" s="15"/>
      <c r="C7350" s="9">
        <f>IFERROR(__xludf.DUMMYFUNCTION("""COMPUTED_VALUE"""),45067.1064253009)</f>
        <v>45067.10643</v>
      </c>
      <c r="D7350" s="15">
        <f>IFERROR(__xludf.DUMMYFUNCTION("""COMPUTED_VALUE"""),1.013)</f>
        <v>1.013</v>
      </c>
      <c r="E7350" s="16">
        <f>IFERROR(__xludf.DUMMYFUNCTION("""COMPUTED_VALUE"""),66.0)</f>
        <v>66</v>
      </c>
      <c r="F7350" s="19" t="str">
        <f>IFERROR(__xludf.DUMMYFUNCTION("""COMPUTED_VALUE"""),"BLACK")</f>
        <v>BLACK</v>
      </c>
      <c r="G7350" s="20" t="str">
        <f>IFERROR(__xludf.DUMMYFUNCTION("""COMPUTED_VALUE"""),"Uncle Sams Cider (04/04/2023)")</f>
        <v>Uncle Sams Cider (04/04/2023)</v>
      </c>
      <c r="H7350" s="19"/>
    </row>
    <row r="7351">
      <c r="A7351" s="9"/>
      <c r="B7351" s="15"/>
      <c r="C7351" s="9">
        <f>IFERROR(__xludf.DUMMYFUNCTION("""COMPUTED_VALUE"""),45067.0959911805)</f>
        <v>45067.09599</v>
      </c>
      <c r="D7351" s="15">
        <f>IFERROR(__xludf.DUMMYFUNCTION("""COMPUTED_VALUE"""),1.013)</f>
        <v>1.013</v>
      </c>
      <c r="E7351" s="16">
        <f>IFERROR(__xludf.DUMMYFUNCTION("""COMPUTED_VALUE"""),66.0)</f>
        <v>66</v>
      </c>
      <c r="F7351" s="19" t="str">
        <f>IFERROR(__xludf.DUMMYFUNCTION("""COMPUTED_VALUE"""),"BLACK")</f>
        <v>BLACK</v>
      </c>
      <c r="G7351" s="20" t="str">
        <f>IFERROR(__xludf.DUMMYFUNCTION("""COMPUTED_VALUE"""),"Uncle Sams Cider (04/04/2023)")</f>
        <v>Uncle Sams Cider (04/04/2023)</v>
      </c>
      <c r="H7351" s="19"/>
    </row>
    <row r="7352">
      <c r="A7352" s="9"/>
      <c r="B7352" s="15"/>
      <c r="C7352" s="9">
        <f>IFERROR(__xludf.DUMMYFUNCTION("""COMPUTED_VALUE"""),45067.0855700115)</f>
        <v>45067.08557</v>
      </c>
      <c r="D7352" s="15">
        <f>IFERROR(__xludf.DUMMYFUNCTION("""COMPUTED_VALUE"""),1.013)</f>
        <v>1.013</v>
      </c>
      <c r="E7352" s="16">
        <f>IFERROR(__xludf.DUMMYFUNCTION("""COMPUTED_VALUE"""),66.0)</f>
        <v>66</v>
      </c>
      <c r="F7352" s="19" t="str">
        <f>IFERROR(__xludf.DUMMYFUNCTION("""COMPUTED_VALUE"""),"BLACK")</f>
        <v>BLACK</v>
      </c>
      <c r="G7352" s="20" t="str">
        <f>IFERROR(__xludf.DUMMYFUNCTION("""COMPUTED_VALUE"""),"Uncle Sams Cider (04/04/2023)")</f>
        <v>Uncle Sams Cider (04/04/2023)</v>
      </c>
      <c r="H7352" s="19"/>
    </row>
    <row r="7353">
      <c r="A7353" s="9"/>
      <c r="B7353" s="15"/>
      <c r="C7353" s="9">
        <f>IFERROR(__xludf.DUMMYFUNCTION("""COMPUTED_VALUE"""),45067.0751499189)</f>
        <v>45067.07515</v>
      </c>
      <c r="D7353" s="15">
        <f>IFERROR(__xludf.DUMMYFUNCTION("""COMPUTED_VALUE"""),1.013)</f>
        <v>1.013</v>
      </c>
      <c r="E7353" s="16">
        <f>IFERROR(__xludf.DUMMYFUNCTION("""COMPUTED_VALUE"""),66.0)</f>
        <v>66</v>
      </c>
      <c r="F7353" s="19" t="str">
        <f>IFERROR(__xludf.DUMMYFUNCTION("""COMPUTED_VALUE"""),"BLACK")</f>
        <v>BLACK</v>
      </c>
      <c r="G7353" s="20" t="str">
        <f>IFERROR(__xludf.DUMMYFUNCTION("""COMPUTED_VALUE"""),"Uncle Sams Cider (04/04/2023)")</f>
        <v>Uncle Sams Cider (04/04/2023)</v>
      </c>
      <c r="H7353" s="19"/>
    </row>
    <row r="7354">
      <c r="A7354" s="9"/>
      <c r="B7354" s="15"/>
      <c r="C7354" s="9">
        <f>IFERROR(__xludf.DUMMYFUNCTION("""COMPUTED_VALUE"""),45067.0647048611)</f>
        <v>45067.0647</v>
      </c>
      <c r="D7354" s="15">
        <f>IFERROR(__xludf.DUMMYFUNCTION("""COMPUTED_VALUE"""),1.013)</f>
        <v>1.013</v>
      </c>
      <c r="E7354" s="16">
        <f>IFERROR(__xludf.DUMMYFUNCTION("""COMPUTED_VALUE"""),66.0)</f>
        <v>66</v>
      </c>
      <c r="F7354" s="19" t="str">
        <f>IFERROR(__xludf.DUMMYFUNCTION("""COMPUTED_VALUE"""),"BLACK")</f>
        <v>BLACK</v>
      </c>
      <c r="G7354" s="20" t="str">
        <f>IFERROR(__xludf.DUMMYFUNCTION("""COMPUTED_VALUE"""),"Uncle Sams Cider (04/04/2023)")</f>
        <v>Uncle Sams Cider (04/04/2023)</v>
      </c>
      <c r="H7354" s="19"/>
    </row>
    <row r="7355">
      <c r="A7355" s="9"/>
      <c r="B7355" s="15"/>
      <c r="C7355" s="9">
        <f>IFERROR(__xludf.DUMMYFUNCTION("""COMPUTED_VALUE"""),45067.0542712384)</f>
        <v>45067.05427</v>
      </c>
      <c r="D7355" s="15">
        <f>IFERROR(__xludf.DUMMYFUNCTION("""COMPUTED_VALUE"""),1.013)</f>
        <v>1.013</v>
      </c>
      <c r="E7355" s="16">
        <f>IFERROR(__xludf.DUMMYFUNCTION("""COMPUTED_VALUE"""),66.0)</f>
        <v>66</v>
      </c>
      <c r="F7355" s="19" t="str">
        <f>IFERROR(__xludf.DUMMYFUNCTION("""COMPUTED_VALUE"""),"BLACK")</f>
        <v>BLACK</v>
      </c>
      <c r="G7355" s="20" t="str">
        <f>IFERROR(__xludf.DUMMYFUNCTION("""COMPUTED_VALUE"""),"Uncle Sams Cider (04/04/2023)")</f>
        <v>Uncle Sams Cider (04/04/2023)</v>
      </c>
      <c r="H7355" s="19"/>
    </row>
    <row r="7356">
      <c r="A7356" s="9"/>
      <c r="B7356" s="15"/>
      <c r="C7356" s="9">
        <f>IFERROR(__xludf.DUMMYFUNCTION("""COMPUTED_VALUE"""),45067.0438027662)</f>
        <v>45067.0438</v>
      </c>
      <c r="D7356" s="15">
        <f>IFERROR(__xludf.DUMMYFUNCTION("""COMPUTED_VALUE"""),1.013)</f>
        <v>1.013</v>
      </c>
      <c r="E7356" s="16">
        <f>IFERROR(__xludf.DUMMYFUNCTION("""COMPUTED_VALUE"""),65.0)</f>
        <v>65</v>
      </c>
      <c r="F7356" s="19" t="str">
        <f>IFERROR(__xludf.DUMMYFUNCTION("""COMPUTED_VALUE"""),"BLACK")</f>
        <v>BLACK</v>
      </c>
      <c r="G7356" s="20" t="str">
        <f>IFERROR(__xludf.DUMMYFUNCTION("""COMPUTED_VALUE"""),"Uncle Sams Cider (04/04/2023)")</f>
        <v>Uncle Sams Cider (04/04/2023)</v>
      </c>
      <c r="H7356" s="19"/>
    </row>
    <row r="7357">
      <c r="A7357" s="9"/>
      <c r="B7357" s="15"/>
      <c r="C7357" s="9">
        <f>IFERROR(__xludf.DUMMYFUNCTION("""COMPUTED_VALUE"""),45067.0333576504)</f>
        <v>45067.03336</v>
      </c>
      <c r="D7357" s="15">
        <f>IFERROR(__xludf.DUMMYFUNCTION("""COMPUTED_VALUE"""),1.013)</f>
        <v>1.013</v>
      </c>
      <c r="E7357" s="16">
        <f>IFERROR(__xludf.DUMMYFUNCTION("""COMPUTED_VALUE"""),65.0)</f>
        <v>65</v>
      </c>
      <c r="F7357" s="19" t="str">
        <f>IFERROR(__xludf.DUMMYFUNCTION("""COMPUTED_VALUE"""),"BLACK")</f>
        <v>BLACK</v>
      </c>
      <c r="G7357" s="20" t="str">
        <f>IFERROR(__xludf.DUMMYFUNCTION("""COMPUTED_VALUE"""),"Uncle Sams Cider (04/04/2023)")</f>
        <v>Uncle Sams Cider (04/04/2023)</v>
      </c>
      <c r="H7357" s="19"/>
    </row>
    <row r="7358">
      <c r="A7358" s="9"/>
      <c r="B7358" s="15"/>
      <c r="C7358" s="9">
        <f>IFERROR(__xludf.DUMMYFUNCTION("""COMPUTED_VALUE"""),45067.0229231944)</f>
        <v>45067.02292</v>
      </c>
      <c r="D7358" s="15">
        <f>IFERROR(__xludf.DUMMYFUNCTION("""COMPUTED_VALUE"""),1.013)</f>
        <v>1.013</v>
      </c>
      <c r="E7358" s="16">
        <f>IFERROR(__xludf.DUMMYFUNCTION("""COMPUTED_VALUE"""),66.0)</f>
        <v>66</v>
      </c>
      <c r="F7358" s="19" t="str">
        <f>IFERROR(__xludf.DUMMYFUNCTION("""COMPUTED_VALUE"""),"BLACK")</f>
        <v>BLACK</v>
      </c>
      <c r="G7358" s="20" t="str">
        <f>IFERROR(__xludf.DUMMYFUNCTION("""COMPUTED_VALUE"""),"Uncle Sams Cider (04/04/2023)")</f>
        <v>Uncle Sams Cider (04/04/2023)</v>
      </c>
      <c r="H7358" s="19"/>
    </row>
    <row r="7359">
      <c r="A7359" s="9"/>
      <c r="B7359" s="15"/>
      <c r="C7359" s="9">
        <f>IFERROR(__xludf.DUMMYFUNCTION("""COMPUTED_VALUE"""),45067.0125014467)</f>
        <v>45067.0125</v>
      </c>
      <c r="D7359" s="15">
        <f>IFERROR(__xludf.DUMMYFUNCTION("""COMPUTED_VALUE"""),1.013)</f>
        <v>1.013</v>
      </c>
      <c r="E7359" s="16">
        <f>IFERROR(__xludf.DUMMYFUNCTION("""COMPUTED_VALUE"""),65.0)</f>
        <v>65</v>
      </c>
      <c r="F7359" s="19" t="str">
        <f>IFERROR(__xludf.DUMMYFUNCTION("""COMPUTED_VALUE"""),"BLACK")</f>
        <v>BLACK</v>
      </c>
      <c r="G7359" s="20" t="str">
        <f>IFERROR(__xludf.DUMMYFUNCTION("""COMPUTED_VALUE"""),"Uncle Sams Cider (04/04/2023)")</f>
        <v>Uncle Sams Cider (04/04/2023)</v>
      </c>
      <c r="H7359" s="19"/>
    </row>
    <row r="7360">
      <c r="A7360" s="9"/>
      <c r="B7360" s="15"/>
      <c r="C7360" s="9">
        <f>IFERROR(__xludf.DUMMYFUNCTION("""COMPUTED_VALUE"""),45067.0020572685)</f>
        <v>45067.00206</v>
      </c>
      <c r="D7360" s="15">
        <f>IFERROR(__xludf.DUMMYFUNCTION("""COMPUTED_VALUE"""),1.013)</f>
        <v>1.013</v>
      </c>
      <c r="E7360" s="16">
        <f>IFERROR(__xludf.DUMMYFUNCTION("""COMPUTED_VALUE"""),65.0)</f>
        <v>65</v>
      </c>
      <c r="F7360" s="19" t="str">
        <f>IFERROR(__xludf.DUMMYFUNCTION("""COMPUTED_VALUE"""),"BLACK")</f>
        <v>BLACK</v>
      </c>
      <c r="G7360" s="20" t="str">
        <f>IFERROR(__xludf.DUMMYFUNCTION("""COMPUTED_VALUE"""),"Uncle Sams Cider (04/04/2023)")</f>
        <v>Uncle Sams Cider (04/04/2023)</v>
      </c>
      <c r="H7360" s="19"/>
    </row>
    <row r="7361">
      <c r="A7361" s="9"/>
      <c r="B7361" s="15"/>
      <c r="C7361" s="9">
        <f>IFERROR(__xludf.DUMMYFUNCTION("""COMPUTED_VALUE"""),45066.9916385763)</f>
        <v>45066.99164</v>
      </c>
      <c r="D7361" s="15">
        <f>IFERROR(__xludf.DUMMYFUNCTION("""COMPUTED_VALUE"""),1.013)</f>
        <v>1.013</v>
      </c>
      <c r="E7361" s="16">
        <f>IFERROR(__xludf.DUMMYFUNCTION("""COMPUTED_VALUE"""),66.0)</f>
        <v>66</v>
      </c>
      <c r="F7361" s="19" t="str">
        <f>IFERROR(__xludf.DUMMYFUNCTION("""COMPUTED_VALUE"""),"BLACK")</f>
        <v>BLACK</v>
      </c>
      <c r="G7361" s="20" t="str">
        <f>IFERROR(__xludf.DUMMYFUNCTION("""COMPUTED_VALUE"""),"Uncle Sams Cider (04/04/2023)")</f>
        <v>Uncle Sams Cider (04/04/2023)</v>
      </c>
      <c r="H7361" s="19"/>
    </row>
    <row r="7362">
      <c r="A7362" s="9"/>
      <c r="B7362" s="15"/>
      <c r="C7362" s="9">
        <f>IFERROR(__xludf.DUMMYFUNCTION("""COMPUTED_VALUE"""),45066.9812053588)</f>
        <v>45066.98121</v>
      </c>
      <c r="D7362" s="15">
        <f>IFERROR(__xludf.DUMMYFUNCTION("""COMPUTED_VALUE"""),1.013)</f>
        <v>1.013</v>
      </c>
      <c r="E7362" s="16">
        <f>IFERROR(__xludf.DUMMYFUNCTION("""COMPUTED_VALUE"""),65.0)</f>
        <v>65</v>
      </c>
      <c r="F7362" s="19" t="str">
        <f>IFERROR(__xludf.DUMMYFUNCTION("""COMPUTED_VALUE"""),"BLACK")</f>
        <v>BLACK</v>
      </c>
      <c r="G7362" s="20" t="str">
        <f>IFERROR(__xludf.DUMMYFUNCTION("""COMPUTED_VALUE"""),"Uncle Sams Cider (04/04/2023)")</f>
        <v>Uncle Sams Cider (04/04/2023)</v>
      </c>
      <c r="H7362" s="19"/>
    </row>
    <row r="7363">
      <c r="A7363" s="9"/>
      <c r="B7363" s="15"/>
      <c r="C7363" s="9">
        <f>IFERROR(__xludf.DUMMYFUNCTION("""COMPUTED_VALUE"""),45066.9707845486)</f>
        <v>45066.97078</v>
      </c>
      <c r="D7363" s="15">
        <f>IFERROR(__xludf.DUMMYFUNCTION("""COMPUTED_VALUE"""),1.013)</f>
        <v>1.013</v>
      </c>
      <c r="E7363" s="16">
        <f>IFERROR(__xludf.DUMMYFUNCTION("""COMPUTED_VALUE"""),65.0)</f>
        <v>65</v>
      </c>
      <c r="F7363" s="19" t="str">
        <f>IFERROR(__xludf.DUMMYFUNCTION("""COMPUTED_VALUE"""),"BLACK")</f>
        <v>BLACK</v>
      </c>
      <c r="G7363" s="20" t="str">
        <f>IFERROR(__xludf.DUMMYFUNCTION("""COMPUTED_VALUE"""),"Uncle Sams Cider (04/04/2023)")</f>
        <v>Uncle Sams Cider (04/04/2023)</v>
      </c>
      <c r="H7363" s="19"/>
    </row>
    <row r="7364">
      <c r="A7364" s="9"/>
      <c r="B7364" s="15"/>
      <c r="C7364" s="9">
        <f>IFERROR(__xludf.DUMMYFUNCTION("""COMPUTED_VALUE"""),45066.9603526273)</f>
        <v>45066.96035</v>
      </c>
      <c r="D7364" s="15">
        <f>IFERROR(__xludf.DUMMYFUNCTION("""COMPUTED_VALUE"""),1.013)</f>
        <v>1.013</v>
      </c>
      <c r="E7364" s="16">
        <f>IFERROR(__xludf.DUMMYFUNCTION("""COMPUTED_VALUE"""),65.0)</f>
        <v>65</v>
      </c>
      <c r="F7364" s="19" t="str">
        <f>IFERROR(__xludf.DUMMYFUNCTION("""COMPUTED_VALUE"""),"BLACK")</f>
        <v>BLACK</v>
      </c>
      <c r="G7364" s="20" t="str">
        <f>IFERROR(__xludf.DUMMYFUNCTION("""COMPUTED_VALUE"""),"Uncle Sams Cider (04/04/2023)")</f>
        <v>Uncle Sams Cider (04/04/2023)</v>
      </c>
      <c r="H7364" s="19"/>
    </row>
    <row r="7365">
      <c r="A7365" s="9"/>
      <c r="B7365" s="15"/>
      <c r="C7365" s="9">
        <f>IFERROR(__xludf.DUMMYFUNCTION("""COMPUTED_VALUE"""),45066.9499313078)</f>
        <v>45066.94993</v>
      </c>
      <c r="D7365" s="15">
        <f>IFERROR(__xludf.DUMMYFUNCTION("""COMPUTED_VALUE"""),1.013)</f>
        <v>1.013</v>
      </c>
      <c r="E7365" s="16">
        <f>IFERROR(__xludf.DUMMYFUNCTION("""COMPUTED_VALUE"""),65.0)</f>
        <v>65</v>
      </c>
      <c r="F7365" s="19" t="str">
        <f>IFERROR(__xludf.DUMMYFUNCTION("""COMPUTED_VALUE"""),"BLACK")</f>
        <v>BLACK</v>
      </c>
      <c r="G7365" s="20" t="str">
        <f>IFERROR(__xludf.DUMMYFUNCTION("""COMPUTED_VALUE"""),"Uncle Sams Cider (04/04/2023)")</f>
        <v>Uncle Sams Cider (04/04/2023)</v>
      </c>
      <c r="H7365" s="19"/>
    </row>
    <row r="7366">
      <c r="A7366" s="9"/>
      <c r="B7366" s="15"/>
      <c r="C7366" s="9">
        <f>IFERROR(__xludf.DUMMYFUNCTION("""COMPUTED_VALUE"""),45066.93949728)</f>
        <v>45066.9395</v>
      </c>
      <c r="D7366" s="15">
        <f>IFERROR(__xludf.DUMMYFUNCTION("""COMPUTED_VALUE"""),1.013)</f>
        <v>1.013</v>
      </c>
      <c r="E7366" s="16">
        <f>IFERROR(__xludf.DUMMYFUNCTION("""COMPUTED_VALUE"""),65.0)</f>
        <v>65</v>
      </c>
      <c r="F7366" s="19" t="str">
        <f>IFERROR(__xludf.DUMMYFUNCTION("""COMPUTED_VALUE"""),"BLACK")</f>
        <v>BLACK</v>
      </c>
      <c r="G7366" s="20" t="str">
        <f>IFERROR(__xludf.DUMMYFUNCTION("""COMPUTED_VALUE"""),"Uncle Sams Cider (04/04/2023)")</f>
        <v>Uncle Sams Cider (04/04/2023)</v>
      </c>
      <c r="H7366" s="19"/>
    </row>
    <row r="7367">
      <c r="A7367" s="9"/>
      <c r="B7367" s="15"/>
      <c r="C7367" s="9">
        <f>IFERROR(__xludf.DUMMYFUNCTION("""COMPUTED_VALUE"""),45066.9290647106)</f>
        <v>45066.92906</v>
      </c>
      <c r="D7367" s="15">
        <f>IFERROR(__xludf.DUMMYFUNCTION("""COMPUTED_VALUE"""),1.013)</f>
        <v>1.013</v>
      </c>
      <c r="E7367" s="16">
        <f>IFERROR(__xludf.DUMMYFUNCTION("""COMPUTED_VALUE"""),65.0)</f>
        <v>65</v>
      </c>
      <c r="F7367" s="19" t="str">
        <f>IFERROR(__xludf.DUMMYFUNCTION("""COMPUTED_VALUE"""),"BLACK")</f>
        <v>BLACK</v>
      </c>
      <c r="G7367" s="20" t="str">
        <f>IFERROR(__xludf.DUMMYFUNCTION("""COMPUTED_VALUE"""),"Uncle Sams Cider (04/04/2023)")</f>
        <v>Uncle Sams Cider (04/04/2023)</v>
      </c>
      <c r="H7367" s="19"/>
    </row>
    <row r="7368">
      <c r="A7368" s="9"/>
      <c r="B7368" s="15"/>
      <c r="C7368" s="9">
        <f>IFERROR(__xludf.DUMMYFUNCTION("""COMPUTED_VALUE"""),45066.918633368)</f>
        <v>45066.91863</v>
      </c>
      <c r="D7368" s="15">
        <f>IFERROR(__xludf.DUMMYFUNCTION("""COMPUTED_VALUE"""),1.013)</f>
        <v>1.013</v>
      </c>
      <c r="E7368" s="16">
        <f>IFERROR(__xludf.DUMMYFUNCTION("""COMPUTED_VALUE"""),65.0)</f>
        <v>65</v>
      </c>
      <c r="F7368" s="19" t="str">
        <f>IFERROR(__xludf.DUMMYFUNCTION("""COMPUTED_VALUE"""),"BLACK")</f>
        <v>BLACK</v>
      </c>
      <c r="G7368" s="20" t="str">
        <f>IFERROR(__xludf.DUMMYFUNCTION("""COMPUTED_VALUE"""),"Uncle Sams Cider (04/04/2023)")</f>
        <v>Uncle Sams Cider (04/04/2023)</v>
      </c>
      <c r="H7368" s="19"/>
    </row>
    <row r="7369">
      <c r="A7369" s="9"/>
      <c r="B7369" s="15"/>
      <c r="C7369" s="9">
        <f>IFERROR(__xludf.DUMMYFUNCTION("""COMPUTED_VALUE"""),45066.9082127662)</f>
        <v>45066.90821</v>
      </c>
      <c r="D7369" s="15">
        <f>IFERROR(__xludf.DUMMYFUNCTION("""COMPUTED_VALUE"""),1.013)</f>
        <v>1.013</v>
      </c>
      <c r="E7369" s="16">
        <f>IFERROR(__xludf.DUMMYFUNCTION("""COMPUTED_VALUE"""),65.0)</f>
        <v>65</v>
      </c>
      <c r="F7369" s="19" t="str">
        <f>IFERROR(__xludf.DUMMYFUNCTION("""COMPUTED_VALUE"""),"BLACK")</f>
        <v>BLACK</v>
      </c>
      <c r="G7369" s="20" t="str">
        <f>IFERROR(__xludf.DUMMYFUNCTION("""COMPUTED_VALUE"""),"Uncle Sams Cider (04/04/2023)")</f>
        <v>Uncle Sams Cider (04/04/2023)</v>
      </c>
      <c r="H7369" s="19"/>
    </row>
    <row r="7370">
      <c r="A7370" s="9"/>
      <c r="B7370" s="15"/>
      <c r="C7370" s="9">
        <f>IFERROR(__xludf.DUMMYFUNCTION("""COMPUTED_VALUE"""),45066.8977909143)</f>
        <v>45066.89779</v>
      </c>
      <c r="D7370" s="15">
        <f>IFERROR(__xludf.DUMMYFUNCTION("""COMPUTED_VALUE"""),1.013)</f>
        <v>1.013</v>
      </c>
      <c r="E7370" s="16">
        <f>IFERROR(__xludf.DUMMYFUNCTION("""COMPUTED_VALUE"""),65.0)</f>
        <v>65</v>
      </c>
      <c r="F7370" s="19" t="str">
        <f>IFERROR(__xludf.DUMMYFUNCTION("""COMPUTED_VALUE"""),"BLACK")</f>
        <v>BLACK</v>
      </c>
      <c r="G7370" s="20" t="str">
        <f>IFERROR(__xludf.DUMMYFUNCTION("""COMPUTED_VALUE"""),"Uncle Sams Cider (04/04/2023)")</f>
        <v>Uncle Sams Cider (04/04/2023)</v>
      </c>
      <c r="H7370" s="19"/>
    </row>
    <row r="7371">
      <c r="A7371" s="9"/>
      <c r="B7371" s="15"/>
      <c r="C7371" s="9">
        <f>IFERROR(__xludf.DUMMYFUNCTION("""COMPUTED_VALUE"""),45066.8873692245)</f>
        <v>45066.88737</v>
      </c>
      <c r="D7371" s="15">
        <f>IFERROR(__xludf.DUMMYFUNCTION("""COMPUTED_VALUE"""),1.013)</f>
        <v>1.013</v>
      </c>
      <c r="E7371" s="16">
        <f>IFERROR(__xludf.DUMMYFUNCTION("""COMPUTED_VALUE"""),65.0)</f>
        <v>65</v>
      </c>
      <c r="F7371" s="19" t="str">
        <f>IFERROR(__xludf.DUMMYFUNCTION("""COMPUTED_VALUE"""),"BLACK")</f>
        <v>BLACK</v>
      </c>
      <c r="G7371" s="20" t="str">
        <f>IFERROR(__xludf.DUMMYFUNCTION("""COMPUTED_VALUE"""),"Uncle Sams Cider (04/04/2023)")</f>
        <v>Uncle Sams Cider (04/04/2023)</v>
      </c>
      <c r="H7371" s="19"/>
    </row>
    <row r="7372">
      <c r="A7372" s="9"/>
      <c r="B7372" s="15"/>
      <c r="C7372" s="9">
        <f>IFERROR(__xludf.DUMMYFUNCTION("""COMPUTED_VALUE"""),45066.8769473148)</f>
        <v>45066.87695</v>
      </c>
      <c r="D7372" s="15">
        <f>IFERROR(__xludf.DUMMYFUNCTION("""COMPUTED_VALUE"""),1.013)</f>
        <v>1.013</v>
      </c>
      <c r="E7372" s="16">
        <f>IFERROR(__xludf.DUMMYFUNCTION("""COMPUTED_VALUE"""),65.0)</f>
        <v>65</v>
      </c>
      <c r="F7372" s="19" t="str">
        <f>IFERROR(__xludf.DUMMYFUNCTION("""COMPUTED_VALUE"""),"BLACK")</f>
        <v>BLACK</v>
      </c>
      <c r="G7372" s="20" t="str">
        <f>IFERROR(__xludf.DUMMYFUNCTION("""COMPUTED_VALUE"""),"Uncle Sams Cider (04/04/2023)")</f>
        <v>Uncle Sams Cider (04/04/2023)</v>
      </c>
      <c r="H7372" s="19"/>
    </row>
    <row r="7373">
      <c r="A7373" s="9"/>
      <c r="B7373" s="15"/>
      <c r="C7373" s="9">
        <f>IFERROR(__xludf.DUMMYFUNCTION("""COMPUTED_VALUE"""),45066.8665264699)</f>
        <v>45066.86653</v>
      </c>
      <c r="D7373" s="15">
        <f>IFERROR(__xludf.DUMMYFUNCTION("""COMPUTED_VALUE"""),1.013)</f>
        <v>1.013</v>
      </c>
      <c r="E7373" s="16">
        <f>IFERROR(__xludf.DUMMYFUNCTION("""COMPUTED_VALUE"""),65.0)</f>
        <v>65</v>
      </c>
      <c r="F7373" s="19" t="str">
        <f>IFERROR(__xludf.DUMMYFUNCTION("""COMPUTED_VALUE"""),"BLACK")</f>
        <v>BLACK</v>
      </c>
      <c r="G7373" s="20" t="str">
        <f>IFERROR(__xludf.DUMMYFUNCTION("""COMPUTED_VALUE"""),"Uncle Sams Cider (04/04/2023)")</f>
        <v>Uncle Sams Cider (04/04/2023)</v>
      </c>
      <c r="H7373" s="19"/>
    </row>
    <row r="7374">
      <c r="A7374" s="9"/>
      <c r="B7374" s="15"/>
      <c r="C7374" s="9">
        <f>IFERROR(__xludf.DUMMYFUNCTION("""COMPUTED_VALUE"""),45066.856104456)</f>
        <v>45066.8561</v>
      </c>
      <c r="D7374" s="15">
        <f>IFERROR(__xludf.DUMMYFUNCTION("""COMPUTED_VALUE"""),1.013)</f>
        <v>1.013</v>
      </c>
      <c r="E7374" s="16">
        <f>IFERROR(__xludf.DUMMYFUNCTION("""COMPUTED_VALUE"""),65.0)</f>
        <v>65</v>
      </c>
      <c r="F7374" s="19" t="str">
        <f>IFERROR(__xludf.DUMMYFUNCTION("""COMPUTED_VALUE"""),"BLACK")</f>
        <v>BLACK</v>
      </c>
      <c r="G7374" s="20" t="str">
        <f>IFERROR(__xludf.DUMMYFUNCTION("""COMPUTED_VALUE"""),"Uncle Sams Cider (04/04/2023)")</f>
        <v>Uncle Sams Cider (04/04/2023)</v>
      </c>
      <c r="H7374" s="19"/>
    </row>
    <row r="7375">
      <c r="A7375" s="9"/>
      <c r="B7375" s="15"/>
      <c r="C7375" s="9">
        <f>IFERROR(__xludf.DUMMYFUNCTION("""COMPUTED_VALUE"""),45066.8456381828)</f>
        <v>45066.84564</v>
      </c>
      <c r="D7375" s="15">
        <f>IFERROR(__xludf.DUMMYFUNCTION("""COMPUTED_VALUE"""),1.013)</f>
        <v>1.013</v>
      </c>
      <c r="E7375" s="16">
        <f>IFERROR(__xludf.DUMMYFUNCTION("""COMPUTED_VALUE"""),65.0)</f>
        <v>65</v>
      </c>
      <c r="F7375" s="19" t="str">
        <f>IFERROR(__xludf.DUMMYFUNCTION("""COMPUTED_VALUE"""),"BLACK")</f>
        <v>BLACK</v>
      </c>
      <c r="G7375" s="20" t="str">
        <f>IFERROR(__xludf.DUMMYFUNCTION("""COMPUTED_VALUE"""),"Uncle Sams Cider (04/04/2023)")</f>
        <v>Uncle Sams Cider (04/04/2023)</v>
      </c>
      <c r="H7375" s="19"/>
    </row>
    <row r="7376">
      <c r="A7376" s="9"/>
      <c r="B7376" s="15"/>
      <c r="C7376" s="9">
        <f>IFERROR(__xludf.DUMMYFUNCTION("""COMPUTED_VALUE"""),45066.8351822916)</f>
        <v>45066.83518</v>
      </c>
      <c r="D7376" s="15">
        <f>IFERROR(__xludf.DUMMYFUNCTION("""COMPUTED_VALUE"""),1.013)</f>
        <v>1.013</v>
      </c>
      <c r="E7376" s="16">
        <f>IFERROR(__xludf.DUMMYFUNCTION("""COMPUTED_VALUE"""),65.0)</f>
        <v>65</v>
      </c>
      <c r="F7376" s="19" t="str">
        <f>IFERROR(__xludf.DUMMYFUNCTION("""COMPUTED_VALUE"""),"BLACK")</f>
        <v>BLACK</v>
      </c>
      <c r="G7376" s="20" t="str">
        <f>IFERROR(__xludf.DUMMYFUNCTION("""COMPUTED_VALUE"""),"Uncle Sams Cider (04/04/2023)")</f>
        <v>Uncle Sams Cider (04/04/2023)</v>
      </c>
      <c r="H7376" s="19"/>
    </row>
    <row r="7377">
      <c r="A7377" s="9"/>
      <c r="B7377" s="15"/>
      <c r="C7377" s="9">
        <f>IFERROR(__xludf.DUMMYFUNCTION("""COMPUTED_VALUE"""),45066.8247612847)</f>
        <v>45066.82476</v>
      </c>
      <c r="D7377" s="15">
        <f>IFERROR(__xludf.DUMMYFUNCTION("""COMPUTED_VALUE"""),1.013)</f>
        <v>1.013</v>
      </c>
      <c r="E7377" s="16">
        <f>IFERROR(__xludf.DUMMYFUNCTION("""COMPUTED_VALUE"""),65.0)</f>
        <v>65</v>
      </c>
      <c r="F7377" s="19" t="str">
        <f>IFERROR(__xludf.DUMMYFUNCTION("""COMPUTED_VALUE"""),"BLACK")</f>
        <v>BLACK</v>
      </c>
      <c r="G7377" s="20" t="str">
        <f>IFERROR(__xludf.DUMMYFUNCTION("""COMPUTED_VALUE"""),"Uncle Sams Cider (04/04/2023)")</f>
        <v>Uncle Sams Cider (04/04/2023)</v>
      </c>
      <c r="H7377" s="19"/>
    </row>
    <row r="7378">
      <c r="A7378" s="9"/>
      <c r="B7378" s="15"/>
      <c r="C7378" s="9">
        <f>IFERROR(__xludf.DUMMYFUNCTION("""COMPUTED_VALUE"""),45066.8143378935)</f>
        <v>45066.81434</v>
      </c>
      <c r="D7378" s="15">
        <f>IFERROR(__xludf.DUMMYFUNCTION("""COMPUTED_VALUE"""),1.013)</f>
        <v>1.013</v>
      </c>
      <c r="E7378" s="16">
        <f>IFERROR(__xludf.DUMMYFUNCTION("""COMPUTED_VALUE"""),65.0)</f>
        <v>65</v>
      </c>
      <c r="F7378" s="19" t="str">
        <f>IFERROR(__xludf.DUMMYFUNCTION("""COMPUTED_VALUE"""),"BLACK")</f>
        <v>BLACK</v>
      </c>
      <c r="G7378" s="20" t="str">
        <f>IFERROR(__xludf.DUMMYFUNCTION("""COMPUTED_VALUE"""),"Uncle Sams Cider (04/04/2023)")</f>
        <v>Uncle Sams Cider (04/04/2023)</v>
      </c>
      <c r="H7378" s="19"/>
    </row>
    <row r="7379">
      <c r="A7379" s="9"/>
      <c r="B7379" s="15"/>
      <c r="C7379" s="9">
        <f>IFERROR(__xludf.DUMMYFUNCTION("""COMPUTED_VALUE"""),45066.8039163425)</f>
        <v>45066.80392</v>
      </c>
      <c r="D7379" s="15">
        <f>IFERROR(__xludf.DUMMYFUNCTION("""COMPUTED_VALUE"""),1.013)</f>
        <v>1.013</v>
      </c>
      <c r="E7379" s="16">
        <f>IFERROR(__xludf.DUMMYFUNCTION("""COMPUTED_VALUE"""),65.0)</f>
        <v>65</v>
      </c>
      <c r="F7379" s="19" t="str">
        <f>IFERROR(__xludf.DUMMYFUNCTION("""COMPUTED_VALUE"""),"BLACK")</f>
        <v>BLACK</v>
      </c>
      <c r="G7379" s="20" t="str">
        <f>IFERROR(__xludf.DUMMYFUNCTION("""COMPUTED_VALUE"""),"Uncle Sams Cider (04/04/2023)")</f>
        <v>Uncle Sams Cider (04/04/2023)</v>
      </c>
      <c r="H7379" s="19"/>
    </row>
    <row r="7380">
      <c r="A7380" s="9"/>
      <c r="B7380" s="15"/>
      <c r="C7380" s="9">
        <f>IFERROR(__xludf.DUMMYFUNCTION("""COMPUTED_VALUE"""),45066.7934834838)</f>
        <v>45066.79348</v>
      </c>
      <c r="D7380" s="15">
        <f>IFERROR(__xludf.DUMMYFUNCTION("""COMPUTED_VALUE"""),1.013)</f>
        <v>1.013</v>
      </c>
      <c r="E7380" s="16">
        <f>IFERROR(__xludf.DUMMYFUNCTION("""COMPUTED_VALUE"""),65.0)</f>
        <v>65</v>
      </c>
      <c r="F7380" s="19" t="str">
        <f>IFERROR(__xludf.DUMMYFUNCTION("""COMPUTED_VALUE"""),"BLACK")</f>
        <v>BLACK</v>
      </c>
      <c r="G7380" s="20" t="str">
        <f>IFERROR(__xludf.DUMMYFUNCTION("""COMPUTED_VALUE"""),"Uncle Sams Cider (04/04/2023)")</f>
        <v>Uncle Sams Cider (04/04/2023)</v>
      </c>
      <c r="H7380" s="19"/>
    </row>
    <row r="7381">
      <c r="A7381" s="9"/>
      <c r="B7381" s="15"/>
      <c r="C7381" s="9">
        <f>IFERROR(__xludf.DUMMYFUNCTION("""COMPUTED_VALUE"""),45066.7830299768)</f>
        <v>45066.78303</v>
      </c>
      <c r="D7381" s="15">
        <f>IFERROR(__xludf.DUMMYFUNCTION("""COMPUTED_VALUE"""),1.013)</f>
        <v>1.013</v>
      </c>
      <c r="E7381" s="16">
        <f>IFERROR(__xludf.DUMMYFUNCTION("""COMPUTED_VALUE"""),65.0)</f>
        <v>65</v>
      </c>
      <c r="F7381" s="19" t="str">
        <f>IFERROR(__xludf.DUMMYFUNCTION("""COMPUTED_VALUE"""),"BLACK")</f>
        <v>BLACK</v>
      </c>
      <c r="G7381" s="20" t="str">
        <f>IFERROR(__xludf.DUMMYFUNCTION("""COMPUTED_VALUE"""),"Uncle Sams Cider (04/04/2023)")</f>
        <v>Uncle Sams Cider (04/04/2023)</v>
      </c>
      <c r="H7381" s="19"/>
    </row>
    <row r="7382">
      <c r="A7382" s="9"/>
      <c r="B7382" s="15"/>
      <c r="C7382" s="9">
        <f>IFERROR(__xludf.DUMMYFUNCTION("""COMPUTED_VALUE"""),45066.7726082175)</f>
        <v>45066.77261</v>
      </c>
      <c r="D7382" s="15">
        <f>IFERROR(__xludf.DUMMYFUNCTION("""COMPUTED_VALUE"""),1.013)</f>
        <v>1.013</v>
      </c>
      <c r="E7382" s="16">
        <f>IFERROR(__xludf.DUMMYFUNCTION("""COMPUTED_VALUE"""),65.0)</f>
        <v>65</v>
      </c>
      <c r="F7382" s="19" t="str">
        <f>IFERROR(__xludf.DUMMYFUNCTION("""COMPUTED_VALUE"""),"BLACK")</f>
        <v>BLACK</v>
      </c>
      <c r="G7382" s="20" t="str">
        <f>IFERROR(__xludf.DUMMYFUNCTION("""COMPUTED_VALUE"""),"Uncle Sams Cider (04/04/2023)")</f>
        <v>Uncle Sams Cider (04/04/2023)</v>
      </c>
      <c r="H7382" s="19"/>
    </row>
    <row r="7383">
      <c r="A7383" s="9"/>
      <c r="B7383" s="15"/>
      <c r="C7383" s="9">
        <f>IFERROR(__xludf.DUMMYFUNCTION("""COMPUTED_VALUE"""),45066.7621873726)</f>
        <v>45066.76219</v>
      </c>
      <c r="D7383" s="15">
        <f>IFERROR(__xludf.DUMMYFUNCTION("""COMPUTED_VALUE"""),1.013)</f>
        <v>1.013</v>
      </c>
      <c r="E7383" s="16">
        <f>IFERROR(__xludf.DUMMYFUNCTION("""COMPUTED_VALUE"""),65.0)</f>
        <v>65</v>
      </c>
      <c r="F7383" s="19" t="str">
        <f>IFERROR(__xludf.DUMMYFUNCTION("""COMPUTED_VALUE"""),"BLACK")</f>
        <v>BLACK</v>
      </c>
      <c r="G7383" s="20" t="str">
        <f>IFERROR(__xludf.DUMMYFUNCTION("""COMPUTED_VALUE"""),"Uncle Sams Cider (04/04/2023)")</f>
        <v>Uncle Sams Cider (04/04/2023)</v>
      </c>
      <c r="H7383" s="19"/>
    </row>
    <row r="7384">
      <c r="A7384" s="9"/>
      <c r="B7384" s="15"/>
      <c r="C7384" s="9">
        <f>IFERROR(__xludf.DUMMYFUNCTION("""COMPUTED_VALUE"""),45066.7517654861)</f>
        <v>45066.75177</v>
      </c>
      <c r="D7384" s="15">
        <f>IFERROR(__xludf.DUMMYFUNCTION("""COMPUTED_VALUE"""),1.013)</f>
        <v>1.013</v>
      </c>
      <c r="E7384" s="16">
        <f>IFERROR(__xludf.DUMMYFUNCTION("""COMPUTED_VALUE"""),65.0)</f>
        <v>65</v>
      </c>
      <c r="F7384" s="19" t="str">
        <f>IFERROR(__xludf.DUMMYFUNCTION("""COMPUTED_VALUE"""),"BLACK")</f>
        <v>BLACK</v>
      </c>
      <c r="G7384" s="20" t="str">
        <f>IFERROR(__xludf.DUMMYFUNCTION("""COMPUTED_VALUE"""),"Uncle Sams Cider (04/04/2023)")</f>
        <v>Uncle Sams Cider (04/04/2023)</v>
      </c>
      <c r="H7384" s="19"/>
    </row>
    <row r="7385">
      <c r="A7385" s="9"/>
      <c r="B7385" s="15"/>
      <c r="C7385" s="9">
        <f>IFERROR(__xludf.DUMMYFUNCTION("""COMPUTED_VALUE"""),45066.7413419907)</f>
        <v>45066.74134</v>
      </c>
      <c r="D7385" s="15">
        <f>IFERROR(__xludf.DUMMYFUNCTION("""COMPUTED_VALUE"""),1.013)</f>
        <v>1.013</v>
      </c>
      <c r="E7385" s="16">
        <f>IFERROR(__xludf.DUMMYFUNCTION("""COMPUTED_VALUE"""),65.0)</f>
        <v>65</v>
      </c>
      <c r="F7385" s="19" t="str">
        <f>IFERROR(__xludf.DUMMYFUNCTION("""COMPUTED_VALUE"""),"BLACK")</f>
        <v>BLACK</v>
      </c>
      <c r="G7385" s="20" t="str">
        <f>IFERROR(__xludf.DUMMYFUNCTION("""COMPUTED_VALUE"""),"Uncle Sams Cider (04/04/2023)")</f>
        <v>Uncle Sams Cider (04/04/2023)</v>
      </c>
      <c r="H7385" s="19"/>
    </row>
    <row r="7386">
      <c r="A7386" s="9"/>
      <c r="B7386" s="15"/>
      <c r="C7386" s="9">
        <f>IFERROR(__xludf.DUMMYFUNCTION("""COMPUTED_VALUE"""),45066.7308857754)</f>
        <v>45066.73089</v>
      </c>
      <c r="D7386" s="15">
        <f>IFERROR(__xludf.DUMMYFUNCTION("""COMPUTED_VALUE"""),1.013)</f>
        <v>1.013</v>
      </c>
      <c r="E7386" s="16">
        <f>IFERROR(__xludf.DUMMYFUNCTION("""COMPUTED_VALUE"""),65.0)</f>
        <v>65</v>
      </c>
      <c r="F7386" s="19" t="str">
        <f>IFERROR(__xludf.DUMMYFUNCTION("""COMPUTED_VALUE"""),"BLACK")</f>
        <v>BLACK</v>
      </c>
      <c r="G7386" s="20" t="str">
        <f>IFERROR(__xludf.DUMMYFUNCTION("""COMPUTED_VALUE"""),"Uncle Sams Cider (04/04/2023)")</f>
        <v>Uncle Sams Cider (04/04/2023)</v>
      </c>
      <c r="H7386" s="19"/>
    </row>
    <row r="7387">
      <c r="A7387" s="9"/>
      <c r="B7387" s="15"/>
      <c r="C7387" s="9">
        <f>IFERROR(__xludf.DUMMYFUNCTION("""COMPUTED_VALUE"""),45066.7204629976)</f>
        <v>45066.72046</v>
      </c>
      <c r="D7387" s="15">
        <f>IFERROR(__xludf.DUMMYFUNCTION("""COMPUTED_VALUE"""),1.013)</f>
        <v>1.013</v>
      </c>
      <c r="E7387" s="16">
        <f>IFERROR(__xludf.DUMMYFUNCTION("""COMPUTED_VALUE"""),65.0)</f>
        <v>65</v>
      </c>
      <c r="F7387" s="19" t="str">
        <f>IFERROR(__xludf.DUMMYFUNCTION("""COMPUTED_VALUE"""),"BLACK")</f>
        <v>BLACK</v>
      </c>
      <c r="G7387" s="20" t="str">
        <f>IFERROR(__xludf.DUMMYFUNCTION("""COMPUTED_VALUE"""),"Uncle Sams Cider (04/04/2023)")</f>
        <v>Uncle Sams Cider (04/04/2023)</v>
      </c>
      <c r="H7387" s="19"/>
    </row>
    <row r="7388">
      <c r="A7388" s="9"/>
      <c r="B7388" s="15"/>
      <c r="C7388" s="9">
        <f>IFERROR(__xludf.DUMMYFUNCTION("""COMPUTED_VALUE"""),45066.7100172685)</f>
        <v>45066.71002</v>
      </c>
      <c r="D7388" s="15">
        <f>IFERROR(__xludf.DUMMYFUNCTION("""COMPUTED_VALUE"""),1.013)</f>
        <v>1.013</v>
      </c>
      <c r="E7388" s="16">
        <f>IFERROR(__xludf.DUMMYFUNCTION("""COMPUTED_VALUE"""),65.0)</f>
        <v>65</v>
      </c>
      <c r="F7388" s="19" t="str">
        <f>IFERROR(__xludf.DUMMYFUNCTION("""COMPUTED_VALUE"""),"BLACK")</f>
        <v>BLACK</v>
      </c>
      <c r="G7388" s="20" t="str">
        <f>IFERROR(__xludf.DUMMYFUNCTION("""COMPUTED_VALUE"""),"Uncle Sams Cider (04/04/2023)")</f>
        <v>Uncle Sams Cider (04/04/2023)</v>
      </c>
      <c r="H7388" s="19"/>
    </row>
    <row r="7389">
      <c r="A7389" s="9"/>
      <c r="B7389" s="15"/>
      <c r="C7389" s="9">
        <f>IFERROR(__xludf.DUMMYFUNCTION("""COMPUTED_VALUE"""),45066.6995720717)</f>
        <v>45066.69957</v>
      </c>
      <c r="D7389" s="15">
        <f>IFERROR(__xludf.DUMMYFUNCTION("""COMPUTED_VALUE"""),1.013)</f>
        <v>1.013</v>
      </c>
      <c r="E7389" s="16">
        <f>IFERROR(__xludf.DUMMYFUNCTION("""COMPUTED_VALUE"""),65.0)</f>
        <v>65</v>
      </c>
      <c r="F7389" s="19" t="str">
        <f>IFERROR(__xludf.DUMMYFUNCTION("""COMPUTED_VALUE"""),"BLACK")</f>
        <v>BLACK</v>
      </c>
      <c r="G7389" s="20" t="str">
        <f>IFERROR(__xludf.DUMMYFUNCTION("""COMPUTED_VALUE"""),"Uncle Sams Cider (04/04/2023)")</f>
        <v>Uncle Sams Cider (04/04/2023)</v>
      </c>
      <c r="H7389" s="19"/>
    </row>
    <row r="7390">
      <c r="A7390" s="9"/>
      <c r="B7390" s="15"/>
      <c r="C7390" s="9">
        <f>IFERROR(__xludf.DUMMYFUNCTION("""COMPUTED_VALUE"""),45066.6891519097)</f>
        <v>45066.68915</v>
      </c>
      <c r="D7390" s="15">
        <f>IFERROR(__xludf.DUMMYFUNCTION("""COMPUTED_VALUE"""),1.013)</f>
        <v>1.013</v>
      </c>
      <c r="E7390" s="16">
        <f>IFERROR(__xludf.DUMMYFUNCTION("""COMPUTED_VALUE"""),65.0)</f>
        <v>65</v>
      </c>
      <c r="F7390" s="19" t="str">
        <f>IFERROR(__xludf.DUMMYFUNCTION("""COMPUTED_VALUE"""),"BLACK")</f>
        <v>BLACK</v>
      </c>
      <c r="G7390" s="20" t="str">
        <f>IFERROR(__xludf.DUMMYFUNCTION("""COMPUTED_VALUE"""),"Uncle Sams Cider (04/04/2023)")</f>
        <v>Uncle Sams Cider (04/04/2023)</v>
      </c>
      <c r="H7390" s="19"/>
    </row>
    <row r="7391">
      <c r="A7391" s="9"/>
      <c r="B7391" s="15"/>
      <c r="C7391" s="9">
        <f>IFERROR(__xludf.DUMMYFUNCTION("""COMPUTED_VALUE"""),45066.678730162)</f>
        <v>45066.67873</v>
      </c>
      <c r="D7391" s="15">
        <f>IFERROR(__xludf.DUMMYFUNCTION("""COMPUTED_VALUE"""),1.013)</f>
        <v>1.013</v>
      </c>
      <c r="E7391" s="16">
        <f>IFERROR(__xludf.DUMMYFUNCTION("""COMPUTED_VALUE"""),65.0)</f>
        <v>65</v>
      </c>
      <c r="F7391" s="19" t="str">
        <f>IFERROR(__xludf.DUMMYFUNCTION("""COMPUTED_VALUE"""),"BLACK")</f>
        <v>BLACK</v>
      </c>
      <c r="G7391" s="20" t="str">
        <f>IFERROR(__xludf.DUMMYFUNCTION("""COMPUTED_VALUE"""),"Uncle Sams Cider (04/04/2023)")</f>
        <v>Uncle Sams Cider (04/04/2023)</v>
      </c>
      <c r="H7391" s="19"/>
    </row>
    <row r="7392">
      <c r="A7392" s="9"/>
      <c r="B7392" s="15"/>
      <c r="C7392" s="9">
        <f>IFERROR(__xludf.DUMMYFUNCTION("""COMPUTED_VALUE"""),45066.6683093865)</f>
        <v>45066.66831</v>
      </c>
      <c r="D7392" s="15">
        <f>IFERROR(__xludf.DUMMYFUNCTION("""COMPUTED_VALUE"""),1.013)</f>
        <v>1.013</v>
      </c>
      <c r="E7392" s="16">
        <f>IFERROR(__xludf.DUMMYFUNCTION("""COMPUTED_VALUE"""),65.0)</f>
        <v>65</v>
      </c>
      <c r="F7392" s="19" t="str">
        <f>IFERROR(__xludf.DUMMYFUNCTION("""COMPUTED_VALUE"""),"BLACK")</f>
        <v>BLACK</v>
      </c>
      <c r="G7392" s="20" t="str">
        <f>IFERROR(__xludf.DUMMYFUNCTION("""COMPUTED_VALUE"""),"Uncle Sams Cider (04/04/2023)")</f>
        <v>Uncle Sams Cider (04/04/2023)</v>
      </c>
      <c r="H7392" s="19"/>
    </row>
    <row r="7393">
      <c r="A7393" s="9"/>
      <c r="B7393" s="15"/>
      <c r="C7393" s="9">
        <f>IFERROR(__xludf.DUMMYFUNCTION("""COMPUTED_VALUE"""),45066.6578752314)</f>
        <v>45066.65788</v>
      </c>
      <c r="D7393" s="15">
        <f>IFERROR(__xludf.DUMMYFUNCTION("""COMPUTED_VALUE"""),1.013)</f>
        <v>1.013</v>
      </c>
      <c r="E7393" s="16">
        <f>IFERROR(__xludf.DUMMYFUNCTION("""COMPUTED_VALUE"""),65.0)</f>
        <v>65</v>
      </c>
      <c r="F7393" s="19" t="str">
        <f>IFERROR(__xludf.DUMMYFUNCTION("""COMPUTED_VALUE"""),"BLACK")</f>
        <v>BLACK</v>
      </c>
      <c r="G7393" s="20" t="str">
        <f>IFERROR(__xludf.DUMMYFUNCTION("""COMPUTED_VALUE"""),"Uncle Sams Cider (04/04/2023)")</f>
        <v>Uncle Sams Cider (04/04/2023)</v>
      </c>
      <c r="H7393" s="19"/>
    </row>
    <row r="7394">
      <c r="A7394" s="9"/>
      <c r="B7394" s="15"/>
      <c r="C7394" s="9">
        <f>IFERROR(__xludf.DUMMYFUNCTION("""COMPUTED_VALUE"""),45066.6474540856)</f>
        <v>45066.64745</v>
      </c>
      <c r="D7394" s="15">
        <f>IFERROR(__xludf.DUMMYFUNCTION("""COMPUTED_VALUE"""),1.013)</f>
        <v>1.013</v>
      </c>
      <c r="E7394" s="16">
        <f>IFERROR(__xludf.DUMMYFUNCTION("""COMPUTED_VALUE"""),65.0)</f>
        <v>65</v>
      </c>
      <c r="F7394" s="19" t="str">
        <f>IFERROR(__xludf.DUMMYFUNCTION("""COMPUTED_VALUE"""),"BLACK")</f>
        <v>BLACK</v>
      </c>
      <c r="G7394" s="20" t="str">
        <f>IFERROR(__xludf.DUMMYFUNCTION("""COMPUTED_VALUE"""),"Uncle Sams Cider (04/04/2023)")</f>
        <v>Uncle Sams Cider (04/04/2023)</v>
      </c>
      <c r="H7394" s="19"/>
    </row>
    <row r="7395">
      <c r="A7395" s="9"/>
      <c r="B7395" s="15"/>
      <c r="C7395" s="9">
        <f>IFERROR(__xludf.DUMMYFUNCTION("""COMPUTED_VALUE"""),45066.6370348032)</f>
        <v>45066.63703</v>
      </c>
      <c r="D7395" s="15">
        <f>IFERROR(__xludf.DUMMYFUNCTION("""COMPUTED_VALUE"""),1.013)</f>
        <v>1.013</v>
      </c>
      <c r="E7395" s="16">
        <f>IFERROR(__xludf.DUMMYFUNCTION("""COMPUTED_VALUE"""),65.0)</f>
        <v>65</v>
      </c>
      <c r="F7395" s="19" t="str">
        <f>IFERROR(__xludf.DUMMYFUNCTION("""COMPUTED_VALUE"""),"BLACK")</f>
        <v>BLACK</v>
      </c>
      <c r="G7395" s="20" t="str">
        <f>IFERROR(__xludf.DUMMYFUNCTION("""COMPUTED_VALUE"""),"Uncle Sams Cider (04/04/2023)")</f>
        <v>Uncle Sams Cider (04/04/2023)</v>
      </c>
      <c r="H7395" s="19"/>
    </row>
    <row r="7396">
      <c r="A7396" s="9"/>
      <c r="B7396" s="15"/>
      <c r="C7396" s="9">
        <f>IFERROR(__xludf.DUMMYFUNCTION("""COMPUTED_VALUE"""),45066.6266127777)</f>
        <v>45066.62661</v>
      </c>
      <c r="D7396" s="15">
        <f>IFERROR(__xludf.DUMMYFUNCTION("""COMPUTED_VALUE"""),1.013)</f>
        <v>1.013</v>
      </c>
      <c r="E7396" s="16">
        <f>IFERROR(__xludf.DUMMYFUNCTION("""COMPUTED_VALUE"""),65.0)</f>
        <v>65</v>
      </c>
      <c r="F7396" s="19" t="str">
        <f>IFERROR(__xludf.DUMMYFUNCTION("""COMPUTED_VALUE"""),"BLACK")</f>
        <v>BLACK</v>
      </c>
      <c r="G7396" s="20" t="str">
        <f>IFERROR(__xludf.DUMMYFUNCTION("""COMPUTED_VALUE"""),"Uncle Sams Cider (04/04/2023)")</f>
        <v>Uncle Sams Cider (04/04/2023)</v>
      </c>
      <c r="H7396" s="19"/>
    </row>
    <row r="7397">
      <c r="A7397" s="9"/>
      <c r="B7397" s="15"/>
      <c r="C7397" s="9">
        <f>IFERROR(__xludf.DUMMYFUNCTION("""COMPUTED_VALUE"""),45066.6161815162)</f>
        <v>45066.61618</v>
      </c>
      <c r="D7397" s="15">
        <f>IFERROR(__xludf.DUMMYFUNCTION("""COMPUTED_VALUE"""),1.013)</f>
        <v>1.013</v>
      </c>
      <c r="E7397" s="16">
        <f>IFERROR(__xludf.DUMMYFUNCTION("""COMPUTED_VALUE"""),65.0)</f>
        <v>65</v>
      </c>
      <c r="F7397" s="19" t="str">
        <f>IFERROR(__xludf.DUMMYFUNCTION("""COMPUTED_VALUE"""),"BLACK")</f>
        <v>BLACK</v>
      </c>
      <c r="G7397" s="20" t="str">
        <f>IFERROR(__xludf.DUMMYFUNCTION("""COMPUTED_VALUE"""),"Uncle Sams Cider (04/04/2023)")</f>
        <v>Uncle Sams Cider (04/04/2023)</v>
      </c>
      <c r="H7397" s="19"/>
    </row>
    <row r="7398">
      <c r="A7398" s="9"/>
      <c r="B7398" s="15"/>
      <c r="C7398" s="9">
        <f>IFERROR(__xludf.DUMMYFUNCTION("""COMPUTED_VALUE"""),45066.6057507638)</f>
        <v>45066.60575</v>
      </c>
      <c r="D7398" s="15">
        <f>IFERROR(__xludf.DUMMYFUNCTION("""COMPUTED_VALUE"""),1.013)</f>
        <v>1.013</v>
      </c>
      <c r="E7398" s="16">
        <f>IFERROR(__xludf.DUMMYFUNCTION("""COMPUTED_VALUE"""),65.0)</f>
        <v>65</v>
      </c>
      <c r="F7398" s="19" t="str">
        <f>IFERROR(__xludf.DUMMYFUNCTION("""COMPUTED_VALUE"""),"BLACK")</f>
        <v>BLACK</v>
      </c>
      <c r="G7398" s="20" t="str">
        <f>IFERROR(__xludf.DUMMYFUNCTION("""COMPUTED_VALUE"""),"Uncle Sams Cider (04/04/2023)")</f>
        <v>Uncle Sams Cider (04/04/2023)</v>
      </c>
      <c r="H7398" s="19"/>
    </row>
    <row r="7399">
      <c r="A7399" s="9"/>
      <c r="B7399" s="15"/>
      <c r="C7399" s="9">
        <f>IFERROR(__xludf.DUMMYFUNCTION("""COMPUTED_VALUE"""),45066.5953174652)</f>
        <v>45066.59532</v>
      </c>
      <c r="D7399" s="15">
        <f>IFERROR(__xludf.DUMMYFUNCTION("""COMPUTED_VALUE"""),1.013)</f>
        <v>1.013</v>
      </c>
      <c r="E7399" s="16">
        <f>IFERROR(__xludf.DUMMYFUNCTION("""COMPUTED_VALUE"""),65.0)</f>
        <v>65</v>
      </c>
      <c r="F7399" s="19" t="str">
        <f>IFERROR(__xludf.DUMMYFUNCTION("""COMPUTED_VALUE"""),"BLACK")</f>
        <v>BLACK</v>
      </c>
      <c r="G7399" s="20" t="str">
        <f>IFERROR(__xludf.DUMMYFUNCTION("""COMPUTED_VALUE"""),"Uncle Sams Cider (04/04/2023)")</f>
        <v>Uncle Sams Cider (04/04/2023)</v>
      </c>
      <c r="H7399" s="19"/>
    </row>
    <row r="7400">
      <c r="A7400" s="9"/>
      <c r="B7400" s="15"/>
      <c r="C7400" s="9">
        <f>IFERROR(__xludf.DUMMYFUNCTION("""COMPUTED_VALUE"""),45066.5848986458)</f>
        <v>45066.5849</v>
      </c>
      <c r="D7400" s="15">
        <f>IFERROR(__xludf.DUMMYFUNCTION("""COMPUTED_VALUE"""),1.013)</f>
        <v>1.013</v>
      </c>
      <c r="E7400" s="16">
        <f>IFERROR(__xludf.DUMMYFUNCTION("""COMPUTED_VALUE"""),65.0)</f>
        <v>65</v>
      </c>
      <c r="F7400" s="19" t="str">
        <f>IFERROR(__xludf.DUMMYFUNCTION("""COMPUTED_VALUE"""),"BLACK")</f>
        <v>BLACK</v>
      </c>
      <c r="G7400" s="20" t="str">
        <f>IFERROR(__xludf.DUMMYFUNCTION("""COMPUTED_VALUE"""),"Uncle Sams Cider (04/04/2023)")</f>
        <v>Uncle Sams Cider (04/04/2023)</v>
      </c>
      <c r="H7400" s="19"/>
    </row>
    <row r="7401">
      <c r="A7401" s="9"/>
      <c r="B7401" s="15"/>
      <c r="C7401" s="9">
        <f>IFERROR(__xludf.DUMMYFUNCTION("""COMPUTED_VALUE"""),45066.5744652662)</f>
        <v>45066.57447</v>
      </c>
      <c r="D7401" s="15">
        <f>IFERROR(__xludf.DUMMYFUNCTION("""COMPUTED_VALUE"""),1.013)</f>
        <v>1.013</v>
      </c>
      <c r="E7401" s="16">
        <f>IFERROR(__xludf.DUMMYFUNCTION("""COMPUTED_VALUE"""),65.0)</f>
        <v>65</v>
      </c>
      <c r="F7401" s="19" t="str">
        <f>IFERROR(__xludf.DUMMYFUNCTION("""COMPUTED_VALUE"""),"BLACK")</f>
        <v>BLACK</v>
      </c>
      <c r="G7401" s="20" t="str">
        <f>IFERROR(__xludf.DUMMYFUNCTION("""COMPUTED_VALUE"""),"Uncle Sams Cider (04/04/2023)")</f>
        <v>Uncle Sams Cider (04/04/2023)</v>
      </c>
      <c r="H7401" s="19"/>
    </row>
    <row r="7402">
      <c r="A7402" s="9"/>
      <c r="B7402" s="15"/>
      <c r="C7402" s="9">
        <f>IFERROR(__xludf.DUMMYFUNCTION("""COMPUTED_VALUE"""),45066.5639282638)</f>
        <v>45066.56393</v>
      </c>
      <c r="D7402" s="15">
        <f>IFERROR(__xludf.DUMMYFUNCTION("""COMPUTED_VALUE"""),1.013)</f>
        <v>1.013</v>
      </c>
      <c r="E7402" s="16">
        <f>IFERROR(__xludf.DUMMYFUNCTION("""COMPUTED_VALUE"""),65.0)</f>
        <v>65</v>
      </c>
      <c r="F7402" s="19" t="str">
        <f>IFERROR(__xludf.DUMMYFUNCTION("""COMPUTED_VALUE"""),"BLACK")</f>
        <v>BLACK</v>
      </c>
      <c r="G7402" s="20" t="str">
        <f>IFERROR(__xludf.DUMMYFUNCTION("""COMPUTED_VALUE"""),"Uncle Sams Cider (04/04/2023)")</f>
        <v>Uncle Sams Cider (04/04/2023)</v>
      </c>
      <c r="H7402" s="19"/>
    </row>
    <row r="7403">
      <c r="A7403" s="9"/>
      <c r="B7403" s="15"/>
      <c r="C7403" s="9">
        <f>IFERROR(__xludf.DUMMYFUNCTION("""COMPUTED_VALUE"""),45066.5535071643)</f>
        <v>45066.55351</v>
      </c>
      <c r="D7403" s="15">
        <f>IFERROR(__xludf.DUMMYFUNCTION("""COMPUTED_VALUE"""),1.013)</f>
        <v>1.013</v>
      </c>
      <c r="E7403" s="16">
        <f>IFERROR(__xludf.DUMMYFUNCTION("""COMPUTED_VALUE"""),65.0)</f>
        <v>65</v>
      </c>
      <c r="F7403" s="19" t="str">
        <f>IFERROR(__xludf.DUMMYFUNCTION("""COMPUTED_VALUE"""),"BLACK")</f>
        <v>BLACK</v>
      </c>
      <c r="G7403" s="20" t="str">
        <f>IFERROR(__xludf.DUMMYFUNCTION("""COMPUTED_VALUE"""),"Uncle Sams Cider (04/04/2023)")</f>
        <v>Uncle Sams Cider (04/04/2023)</v>
      </c>
      <c r="H7403" s="19"/>
    </row>
    <row r="7404">
      <c r="A7404" s="9"/>
      <c r="B7404" s="15"/>
      <c r="C7404" s="9">
        <f>IFERROR(__xludf.DUMMYFUNCTION("""COMPUTED_VALUE"""),45066.5430735879)</f>
        <v>45066.54307</v>
      </c>
      <c r="D7404" s="15">
        <f>IFERROR(__xludf.DUMMYFUNCTION("""COMPUTED_VALUE"""),1.013)</f>
        <v>1.013</v>
      </c>
      <c r="E7404" s="16">
        <f>IFERROR(__xludf.DUMMYFUNCTION("""COMPUTED_VALUE"""),65.0)</f>
        <v>65</v>
      </c>
      <c r="F7404" s="19" t="str">
        <f>IFERROR(__xludf.DUMMYFUNCTION("""COMPUTED_VALUE"""),"BLACK")</f>
        <v>BLACK</v>
      </c>
      <c r="G7404" s="20" t="str">
        <f>IFERROR(__xludf.DUMMYFUNCTION("""COMPUTED_VALUE"""),"Uncle Sams Cider (04/04/2023)")</f>
        <v>Uncle Sams Cider (04/04/2023)</v>
      </c>
      <c r="H7404" s="19"/>
    </row>
    <row r="7405">
      <c r="A7405" s="9"/>
      <c r="B7405" s="15"/>
      <c r="C7405" s="9">
        <f>IFERROR(__xludf.DUMMYFUNCTION("""COMPUTED_VALUE"""),45066.5326539814)</f>
        <v>45066.53265</v>
      </c>
      <c r="D7405" s="15">
        <f>IFERROR(__xludf.DUMMYFUNCTION("""COMPUTED_VALUE"""),1.013)</f>
        <v>1.013</v>
      </c>
      <c r="E7405" s="16">
        <f>IFERROR(__xludf.DUMMYFUNCTION("""COMPUTED_VALUE"""),65.0)</f>
        <v>65</v>
      </c>
      <c r="F7405" s="19" t="str">
        <f>IFERROR(__xludf.DUMMYFUNCTION("""COMPUTED_VALUE"""),"BLACK")</f>
        <v>BLACK</v>
      </c>
      <c r="G7405" s="20" t="str">
        <f>IFERROR(__xludf.DUMMYFUNCTION("""COMPUTED_VALUE"""),"Uncle Sams Cider (04/04/2023)")</f>
        <v>Uncle Sams Cider (04/04/2023)</v>
      </c>
      <c r="H7405" s="19"/>
    </row>
    <row r="7406">
      <c r="A7406" s="9"/>
      <c r="B7406" s="15"/>
      <c r="C7406" s="9">
        <f>IFERROR(__xludf.DUMMYFUNCTION("""COMPUTED_VALUE"""),45066.5222324074)</f>
        <v>45066.52223</v>
      </c>
      <c r="D7406" s="15">
        <f>IFERROR(__xludf.DUMMYFUNCTION("""COMPUTED_VALUE"""),1.013)</f>
        <v>1.013</v>
      </c>
      <c r="E7406" s="16">
        <f>IFERROR(__xludf.DUMMYFUNCTION("""COMPUTED_VALUE"""),65.0)</f>
        <v>65</v>
      </c>
      <c r="F7406" s="19" t="str">
        <f>IFERROR(__xludf.DUMMYFUNCTION("""COMPUTED_VALUE"""),"BLACK")</f>
        <v>BLACK</v>
      </c>
      <c r="G7406" s="20" t="str">
        <f>IFERROR(__xludf.DUMMYFUNCTION("""COMPUTED_VALUE"""),"Uncle Sams Cider (04/04/2023)")</f>
        <v>Uncle Sams Cider (04/04/2023)</v>
      </c>
      <c r="H7406" s="19"/>
    </row>
    <row r="7407">
      <c r="A7407" s="9"/>
      <c r="B7407" s="15"/>
      <c r="C7407" s="9">
        <f>IFERROR(__xludf.DUMMYFUNCTION("""COMPUTED_VALUE"""),45066.5118113773)</f>
        <v>45066.51181</v>
      </c>
      <c r="D7407" s="15">
        <f>IFERROR(__xludf.DUMMYFUNCTION("""COMPUTED_VALUE"""),1.013)</f>
        <v>1.013</v>
      </c>
      <c r="E7407" s="16">
        <f>IFERROR(__xludf.DUMMYFUNCTION("""COMPUTED_VALUE"""),65.0)</f>
        <v>65</v>
      </c>
      <c r="F7407" s="19" t="str">
        <f>IFERROR(__xludf.DUMMYFUNCTION("""COMPUTED_VALUE"""),"BLACK")</f>
        <v>BLACK</v>
      </c>
      <c r="G7407" s="20" t="str">
        <f>IFERROR(__xludf.DUMMYFUNCTION("""COMPUTED_VALUE"""),"Uncle Sams Cider (04/04/2023)")</f>
        <v>Uncle Sams Cider (04/04/2023)</v>
      </c>
      <c r="H7407" s="19"/>
    </row>
    <row r="7408">
      <c r="A7408" s="9"/>
      <c r="B7408" s="15"/>
      <c r="C7408" s="9">
        <f>IFERROR(__xludf.DUMMYFUNCTION("""COMPUTED_VALUE"""),45066.5013915509)</f>
        <v>45066.50139</v>
      </c>
      <c r="D7408" s="15">
        <f>IFERROR(__xludf.DUMMYFUNCTION("""COMPUTED_VALUE"""),1.013)</f>
        <v>1.013</v>
      </c>
      <c r="E7408" s="16">
        <f>IFERROR(__xludf.DUMMYFUNCTION("""COMPUTED_VALUE"""),65.0)</f>
        <v>65</v>
      </c>
      <c r="F7408" s="19" t="str">
        <f>IFERROR(__xludf.DUMMYFUNCTION("""COMPUTED_VALUE"""),"BLACK")</f>
        <v>BLACK</v>
      </c>
      <c r="G7408" s="20" t="str">
        <f>IFERROR(__xludf.DUMMYFUNCTION("""COMPUTED_VALUE"""),"Uncle Sams Cider (04/04/2023)")</f>
        <v>Uncle Sams Cider (04/04/2023)</v>
      </c>
      <c r="H7408" s="19"/>
    </row>
    <row r="7409">
      <c r="A7409" s="9"/>
      <c r="B7409" s="15"/>
      <c r="C7409" s="9">
        <f>IFERROR(__xludf.DUMMYFUNCTION("""COMPUTED_VALUE"""),45066.4909465625)</f>
        <v>45066.49095</v>
      </c>
      <c r="D7409" s="15">
        <f>IFERROR(__xludf.DUMMYFUNCTION("""COMPUTED_VALUE"""),1.013)</f>
        <v>1.013</v>
      </c>
      <c r="E7409" s="16">
        <f>IFERROR(__xludf.DUMMYFUNCTION("""COMPUTED_VALUE"""),65.0)</f>
        <v>65</v>
      </c>
      <c r="F7409" s="19" t="str">
        <f>IFERROR(__xludf.DUMMYFUNCTION("""COMPUTED_VALUE"""),"BLACK")</f>
        <v>BLACK</v>
      </c>
      <c r="G7409" s="20" t="str">
        <f>IFERROR(__xludf.DUMMYFUNCTION("""COMPUTED_VALUE"""),"Uncle Sams Cider (04/04/2023)")</f>
        <v>Uncle Sams Cider (04/04/2023)</v>
      </c>
      <c r="H7409" s="19"/>
    </row>
    <row r="7410">
      <c r="A7410" s="9"/>
      <c r="B7410" s="15"/>
      <c r="C7410" s="9">
        <f>IFERROR(__xludf.DUMMYFUNCTION("""COMPUTED_VALUE"""),45066.4805265972)</f>
        <v>45066.48053</v>
      </c>
      <c r="D7410" s="15">
        <f>IFERROR(__xludf.DUMMYFUNCTION("""COMPUTED_VALUE"""),1.013)</f>
        <v>1.013</v>
      </c>
      <c r="E7410" s="16">
        <f>IFERROR(__xludf.DUMMYFUNCTION("""COMPUTED_VALUE"""),65.0)</f>
        <v>65</v>
      </c>
      <c r="F7410" s="19" t="str">
        <f>IFERROR(__xludf.DUMMYFUNCTION("""COMPUTED_VALUE"""),"BLACK")</f>
        <v>BLACK</v>
      </c>
      <c r="G7410" s="20" t="str">
        <f>IFERROR(__xludf.DUMMYFUNCTION("""COMPUTED_VALUE"""),"Uncle Sams Cider (04/04/2023)")</f>
        <v>Uncle Sams Cider (04/04/2023)</v>
      </c>
      <c r="H7410" s="19"/>
    </row>
    <row r="7411">
      <c r="A7411" s="9"/>
      <c r="B7411" s="15"/>
      <c r="C7411" s="9">
        <f>IFERROR(__xludf.DUMMYFUNCTION("""COMPUTED_VALUE"""),45066.4700354166)</f>
        <v>45066.47004</v>
      </c>
      <c r="D7411" s="15">
        <f>IFERROR(__xludf.DUMMYFUNCTION("""COMPUTED_VALUE"""),1.013)</f>
        <v>1.013</v>
      </c>
      <c r="E7411" s="16">
        <f>IFERROR(__xludf.DUMMYFUNCTION("""COMPUTED_VALUE"""),65.0)</f>
        <v>65</v>
      </c>
      <c r="F7411" s="19" t="str">
        <f>IFERROR(__xludf.DUMMYFUNCTION("""COMPUTED_VALUE"""),"BLACK")</f>
        <v>BLACK</v>
      </c>
      <c r="G7411" s="20" t="str">
        <f>IFERROR(__xludf.DUMMYFUNCTION("""COMPUTED_VALUE"""),"Uncle Sams Cider (04/04/2023)")</f>
        <v>Uncle Sams Cider (04/04/2023)</v>
      </c>
      <c r="H7411" s="19"/>
    </row>
    <row r="7412">
      <c r="A7412" s="9"/>
      <c r="B7412" s="15"/>
      <c r="C7412" s="9">
        <f>IFERROR(__xludf.DUMMYFUNCTION("""COMPUTED_VALUE"""),45066.4596044213)</f>
        <v>45066.4596</v>
      </c>
      <c r="D7412" s="15">
        <f>IFERROR(__xludf.DUMMYFUNCTION("""COMPUTED_VALUE"""),1.013)</f>
        <v>1.013</v>
      </c>
      <c r="E7412" s="16">
        <f>IFERROR(__xludf.DUMMYFUNCTION("""COMPUTED_VALUE"""),65.0)</f>
        <v>65</v>
      </c>
      <c r="F7412" s="19" t="str">
        <f>IFERROR(__xludf.DUMMYFUNCTION("""COMPUTED_VALUE"""),"BLACK")</f>
        <v>BLACK</v>
      </c>
      <c r="G7412" s="20" t="str">
        <f>IFERROR(__xludf.DUMMYFUNCTION("""COMPUTED_VALUE"""),"Uncle Sams Cider (04/04/2023)")</f>
        <v>Uncle Sams Cider (04/04/2023)</v>
      </c>
      <c r="H7412" s="19"/>
    </row>
    <row r="7413">
      <c r="A7413" s="9"/>
      <c r="B7413" s="15"/>
      <c r="C7413" s="9">
        <f>IFERROR(__xludf.DUMMYFUNCTION("""COMPUTED_VALUE"""),45066.4491486805)</f>
        <v>45066.44915</v>
      </c>
      <c r="D7413" s="15">
        <f>IFERROR(__xludf.DUMMYFUNCTION("""COMPUTED_VALUE"""),1.013)</f>
        <v>1.013</v>
      </c>
      <c r="E7413" s="16">
        <f>IFERROR(__xludf.DUMMYFUNCTION("""COMPUTED_VALUE"""),65.0)</f>
        <v>65</v>
      </c>
      <c r="F7413" s="19" t="str">
        <f>IFERROR(__xludf.DUMMYFUNCTION("""COMPUTED_VALUE"""),"BLACK")</f>
        <v>BLACK</v>
      </c>
      <c r="G7413" s="20" t="str">
        <f>IFERROR(__xludf.DUMMYFUNCTION("""COMPUTED_VALUE"""),"Uncle Sams Cider (04/04/2023)")</f>
        <v>Uncle Sams Cider (04/04/2023)</v>
      </c>
      <c r="H7413" s="19"/>
    </row>
    <row r="7414">
      <c r="A7414" s="9"/>
      <c r="B7414" s="15"/>
      <c r="C7414" s="9">
        <f>IFERROR(__xludf.DUMMYFUNCTION("""COMPUTED_VALUE"""),45066.4387293518)</f>
        <v>45066.43873</v>
      </c>
      <c r="D7414" s="15">
        <f>IFERROR(__xludf.DUMMYFUNCTION("""COMPUTED_VALUE"""),1.013)</f>
        <v>1.013</v>
      </c>
      <c r="E7414" s="16">
        <f>IFERROR(__xludf.DUMMYFUNCTION("""COMPUTED_VALUE"""),65.0)</f>
        <v>65</v>
      </c>
      <c r="F7414" s="19" t="str">
        <f>IFERROR(__xludf.DUMMYFUNCTION("""COMPUTED_VALUE"""),"BLACK")</f>
        <v>BLACK</v>
      </c>
      <c r="G7414" s="20" t="str">
        <f>IFERROR(__xludf.DUMMYFUNCTION("""COMPUTED_VALUE"""),"Uncle Sams Cider (04/04/2023)")</f>
        <v>Uncle Sams Cider (04/04/2023)</v>
      </c>
      <c r="H7414" s="19"/>
    </row>
    <row r="7415">
      <c r="A7415" s="9"/>
      <c r="B7415" s="15"/>
      <c r="C7415" s="9">
        <f>IFERROR(__xludf.DUMMYFUNCTION("""COMPUTED_VALUE"""),45066.4283092824)</f>
        <v>45066.42831</v>
      </c>
      <c r="D7415" s="15">
        <f>IFERROR(__xludf.DUMMYFUNCTION("""COMPUTED_VALUE"""),1.013)</f>
        <v>1.013</v>
      </c>
      <c r="E7415" s="16">
        <f>IFERROR(__xludf.DUMMYFUNCTION("""COMPUTED_VALUE"""),65.0)</f>
        <v>65</v>
      </c>
      <c r="F7415" s="19" t="str">
        <f>IFERROR(__xludf.DUMMYFUNCTION("""COMPUTED_VALUE"""),"BLACK")</f>
        <v>BLACK</v>
      </c>
      <c r="G7415" s="20" t="str">
        <f>IFERROR(__xludf.DUMMYFUNCTION("""COMPUTED_VALUE"""),"Uncle Sams Cider (04/04/2023)")</f>
        <v>Uncle Sams Cider (04/04/2023)</v>
      </c>
      <c r="H7415" s="19"/>
    </row>
    <row r="7416">
      <c r="A7416" s="9"/>
      <c r="B7416" s="15"/>
      <c r="C7416" s="9">
        <f>IFERROR(__xludf.DUMMYFUNCTION("""COMPUTED_VALUE"""),45066.4178882407)</f>
        <v>45066.41789</v>
      </c>
      <c r="D7416" s="15">
        <f>IFERROR(__xludf.DUMMYFUNCTION("""COMPUTED_VALUE"""),1.013)</f>
        <v>1.013</v>
      </c>
      <c r="E7416" s="16">
        <f>IFERROR(__xludf.DUMMYFUNCTION("""COMPUTED_VALUE"""),65.0)</f>
        <v>65</v>
      </c>
      <c r="F7416" s="19" t="str">
        <f>IFERROR(__xludf.DUMMYFUNCTION("""COMPUTED_VALUE"""),"BLACK")</f>
        <v>BLACK</v>
      </c>
      <c r="G7416" s="20" t="str">
        <f>IFERROR(__xludf.DUMMYFUNCTION("""COMPUTED_VALUE"""),"Uncle Sams Cider (04/04/2023)")</f>
        <v>Uncle Sams Cider (04/04/2023)</v>
      </c>
      <c r="H7416" s="19"/>
    </row>
    <row r="7417">
      <c r="A7417" s="9"/>
      <c r="B7417" s="15"/>
      <c r="C7417" s="9">
        <f>IFERROR(__xludf.DUMMYFUNCTION("""COMPUTED_VALUE"""),45066.4074554166)</f>
        <v>45066.40746</v>
      </c>
      <c r="D7417" s="15">
        <f>IFERROR(__xludf.DUMMYFUNCTION("""COMPUTED_VALUE"""),1.013)</f>
        <v>1.013</v>
      </c>
      <c r="E7417" s="16">
        <f>IFERROR(__xludf.DUMMYFUNCTION("""COMPUTED_VALUE"""),65.0)</f>
        <v>65</v>
      </c>
      <c r="F7417" s="19" t="str">
        <f>IFERROR(__xludf.DUMMYFUNCTION("""COMPUTED_VALUE"""),"BLACK")</f>
        <v>BLACK</v>
      </c>
      <c r="G7417" s="20" t="str">
        <f>IFERROR(__xludf.DUMMYFUNCTION("""COMPUTED_VALUE"""),"Uncle Sams Cider (04/04/2023)")</f>
        <v>Uncle Sams Cider (04/04/2023)</v>
      </c>
      <c r="H7417" s="19"/>
    </row>
    <row r="7418">
      <c r="A7418" s="9"/>
      <c r="B7418" s="15"/>
      <c r="C7418" s="9">
        <f>IFERROR(__xludf.DUMMYFUNCTION("""COMPUTED_VALUE"""),45066.3970230787)</f>
        <v>45066.39702</v>
      </c>
      <c r="D7418" s="15">
        <f>IFERROR(__xludf.DUMMYFUNCTION("""COMPUTED_VALUE"""),1.013)</f>
        <v>1.013</v>
      </c>
      <c r="E7418" s="16">
        <f>IFERROR(__xludf.DUMMYFUNCTION("""COMPUTED_VALUE"""),65.0)</f>
        <v>65</v>
      </c>
      <c r="F7418" s="19" t="str">
        <f>IFERROR(__xludf.DUMMYFUNCTION("""COMPUTED_VALUE"""),"BLACK")</f>
        <v>BLACK</v>
      </c>
      <c r="G7418" s="20" t="str">
        <f>IFERROR(__xludf.DUMMYFUNCTION("""COMPUTED_VALUE"""),"Uncle Sams Cider (04/04/2023)")</f>
        <v>Uncle Sams Cider (04/04/2023)</v>
      </c>
      <c r="H7418" s="19"/>
    </row>
    <row r="7419">
      <c r="A7419" s="9"/>
      <c r="B7419" s="15"/>
      <c r="C7419" s="9">
        <f>IFERROR(__xludf.DUMMYFUNCTION("""COMPUTED_VALUE"""),45066.3866013541)</f>
        <v>45066.3866</v>
      </c>
      <c r="D7419" s="15">
        <f>IFERROR(__xludf.DUMMYFUNCTION("""COMPUTED_VALUE"""),1.013)</f>
        <v>1.013</v>
      </c>
      <c r="E7419" s="16">
        <f>IFERROR(__xludf.DUMMYFUNCTION("""COMPUTED_VALUE"""),65.0)</f>
        <v>65</v>
      </c>
      <c r="F7419" s="19" t="str">
        <f>IFERROR(__xludf.DUMMYFUNCTION("""COMPUTED_VALUE"""),"BLACK")</f>
        <v>BLACK</v>
      </c>
      <c r="G7419" s="20" t="str">
        <f>IFERROR(__xludf.DUMMYFUNCTION("""COMPUTED_VALUE"""),"Uncle Sams Cider (04/04/2023)")</f>
        <v>Uncle Sams Cider (04/04/2023)</v>
      </c>
      <c r="H7419" s="19"/>
    </row>
    <row r="7420">
      <c r="A7420" s="9"/>
      <c r="B7420" s="15"/>
      <c r="C7420" s="9">
        <f>IFERROR(__xludf.DUMMYFUNCTION("""COMPUTED_VALUE"""),45066.3761689467)</f>
        <v>45066.37617</v>
      </c>
      <c r="D7420" s="15">
        <f>IFERROR(__xludf.DUMMYFUNCTION("""COMPUTED_VALUE"""),1.013)</f>
        <v>1.013</v>
      </c>
      <c r="E7420" s="16">
        <f>IFERROR(__xludf.DUMMYFUNCTION("""COMPUTED_VALUE"""),65.0)</f>
        <v>65</v>
      </c>
      <c r="F7420" s="19" t="str">
        <f>IFERROR(__xludf.DUMMYFUNCTION("""COMPUTED_VALUE"""),"BLACK")</f>
        <v>BLACK</v>
      </c>
      <c r="G7420" s="20" t="str">
        <f>IFERROR(__xludf.DUMMYFUNCTION("""COMPUTED_VALUE"""),"Uncle Sams Cider (04/04/2023)")</f>
        <v>Uncle Sams Cider (04/04/2023)</v>
      </c>
      <c r="H7420" s="19"/>
    </row>
    <row r="7421">
      <c r="A7421" s="9"/>
      <c r="B7421" s="15"/>
      <c r="C7421" s="9">
        <f>IFERROR(__xludf.DUMMYFUNCTION("""COMPUTED_VALUE"""),45066.3657363425)</f>
        <v>45066.36574</v>
      </c>
      <c r="D7421" s="15">
        <f>IFERROR(__xludf.DUMMYFUNCTION("""COMPUTED_VALUE"""),1.013)</f>
        <v>1.013</v>
      </c>
      <c r="E7421" s="16">
        <f>IFERROR(__xludf.DUMMYFUNCTION("""COMPUTED_VALUE"""),65.0)</f>
        <v>65</v>
      </c>
      <c r="F7421" s="19" t="str">
        <f>IFERROR(__xludf.DUMMYFUNCTION("""COMPUTED_VALUE"""),"BLACK")</f>
        <v>BLACK</v>
      </c>
      <c r="G7421" s="20" t="str">
        <f>IFERROR(__xludf.DUMMYFUNCTION("""COMPUTED_VALUE"""),"Uncle Sams Cider (04/04/2023)")</f>
        <v>Uncle Sams Cider (04/04/2023)</v>
      </c>
      <c r="H7421" s="19"/>
    </row>
    <row r="7422">
      <c r="A7422" s="9"/>
      <c r="B7422" s="15"/>
      <c r="C7422" s="9">
        <f>IFERROR(__xludf.DUMMYFUNCTION("""COMPUTED_VALUE"""),45066.3553056018)</f>
        <v>45066.35531</v>
      </c>
      <c r="D7422" s="15">
        <f>IFERROR(__xludf.DUMMYFUNCTION("""COMPUTED_VALUE"""),1.013)</f>
        <v>1.013</v>
      </c>
      <c r="E7422" s="16">
        <f>IFERROR(__xludf.DUMMYFUNCTION("""COMPUTED_VALUE"""),65.0)</f>
        <v>65</v>
      </c>
      <c r="F7422" s="19" t="str">
        <f>IFERROR(__xludf.DUMMYFUNCTION("""COMPUTED_VALUE"""),"BLACK")</f>
        <v>BLACK</v>
      </c>
      <c r="G7422" s="20" t="str">
        <f>IFERROR(__xludf.DUMMYFUNCTION("""COMPUTED_VALUE"""),"Uncle Sams Cider (04/04/2023)")</f>
        <v>Uncle Sams Cider (04/04/2023)</v>
      </c>
      <c r="H7422" s="19"/>
    </row>
    <row r="7423">
      <c r="A7423" s="9"/>
      <c r="B7423" s="15"/>
      <c r="C7423" s="9">
        <f>IFERROR(__xludf.DUMMYFUNCTION("""COMPUTED_VALUE"""),45066.3448850231)</f>
        <v>45066.34489</v>
      </c>
      <c r="D7423" s="15">
        <f>IFERROR(__xludf.DUMMYFUNCTION("""COMPUTED_VALUE"""),1.013)</f>
        <v>1.013</v>
      </c>
      <c r="E7423" s="16">
        <f>IFERROR(__xludf.DUMMYFUNCTION("""COMPUTED_VALUE"""),65.0)</f>
        <v>65</v>
      </c>
      <c r="F7423" s="19" t="str">
        <f>IFERROR(__xludf.DUMMYFUNCTION("""COMPUTED_VALUE"""),"BLACK")</f>
        <v>BLACK</v>
      </c>
      <c r="G7423" s="20" t="str">
        <f>IFERROR(__xludf.DUMMYFUNCTION("""COMPUTED_VALUE"""),"Uncle Sams Cider (04/04/2023)")</f>
        <v>Uncle Sams Cider (04/04/2023)</v>
      </c>
      <c r="H7423" s="19"/>
    </row>
    <row r="7424">
      <c r="A7424" s="9"/>
      <c r="B7424" s="15"/>
      <c r="C7424" s="9">
        <f>IFERROR(__xludf.DUMMYFUNCTION("""COMPUTED_VALUE"""),45066.3344505439)</f>
        <v>45066.33445</v>
      </c>
      <c r="D7424" s="15">
        <f>IFERROR(__xludf.DUMMYFUNCTION("""COMPUTED_VALUE"""),1.013)</f>
        <v>1.013</v>
      </c>
      <c r="E7424" s="16">
        <f>IFERROR(__xludf.DUMMYFUNCTION("""COMPUTED_VALUE"""),65.0)</f>
        <v>65</v>
      </c>
      <c r="F7424" s="19" t="str">
        <f>IFERROR(__xludf.DUMMYFUNCTION("""COMPUTED_VALUE"""),"BLACK")</f>
        <v>BLACK</v>
      </c>
      <c r="G7424" s="20" t="str">
        <f>IFERROR(__xludf.DUMMYFUNCTION("""COMPUTED_VALUE"""),"Uncle Sams Cider (04/04/2023)")</f>
        <v>Uncle Sams Cider (04/04/2023)</v>
      </c>
      <c r="H7424" s="19"/>
    </row>
    <row r="7425">
      <c r="A7425" s="9"/>
      <c r="B7425" s="15"/>
      <c r="C7425" s="9">
        <f>IFERROR(__xludf.DUMMYFUNCTION("""COMPUTED_VALUE"""),45066.3240302777)</f>
        <v>45066.32403</v>
      </c>
      <c r="D7425" s="15">
        <f>IFERROR(__xludf.DUMMYFUNCTION("""COMPUTED_VALUE"""),1.013)</f>
        <v>1.013</v>
      </c>
      <c r="E7425" s="16">
        <f>IFERROR(__xludf.DUMMYFUNCTION("""COMPUTED_VALUE"""),65.0)</f>
        <v>65</v>
      </c>
      <c r="F7425" s="19" t="str">
        <f>IFERROR(__xludf.DUMMYFUNCTION("""COMPUTED_VALUE"""),"BLACK")</f>
        <v>BLACK</v>
      </c>
      <c r="G7425" s="20" t="str">
        <f>IFERROR(__xludf.DUMMYFUNCTION("""COMPUTED_VALUE"""),"Uncle Sams Cider (04/04/2023)")</f>
        <v>Uncle Sams Cider (04/04/2023)</v>
      </c>
      <c r="H7425" s="19"/>
    </row>
    <row r="7426">
      <c r="A7426" s="9"/>
      <c r="B7426" s="15"/>
      <c r="C7426" s="9">
        <f>IFERROR(__xludf.DUMMYFUNCTION("""COMPUTED_VALUE"""),45066.3135855555)</f>
        <v>45066.31359</v>
      </c>
      <c r="D7426" s="15">
        <f>IFERROR(__xludf.DUMMYFUNCTION("""COMPUTED_VALUE"""),1.013)</f>
        <v>1.013</v>
      </c>
      <c r="E7426" s="16">
        <f>IFERROR(__xludf.DUMMYFUNCTION("""COMPUTED_VALUE"""),65.0)</f>
        <v>65</v>
      </c>
      <c r="F7426" s="19" t="str">
        <f>IFERROR(__xludf.DUMMYFUNCTION("""COMPUTED_VALUE"""),"BLACK")</f>
        <v>BLACK</v>
      </c>
      <c r="G7426" s="20" t="str">
        <f>IFERROR(__xludf.DUMMYFUNCTION("""COMPUTED_VALUE"""),"Uncle Sams Cider (04/04/2023)")</f>
        <v>Uncle Sams Cider (04/04/2023)</v>
      </c>
      <c r="H7426" s="19"/>
    </row>
    <row r="7427">
      <c r="A7427" s="9"/>
      <c r="B7427" s="15"/>
      <c r="C7427" s="9">
        <f>IFERROR(__xludf.DUMMYFUNCTION("""COMPUTED_VALUE"""),45066.30316353)</f>
        <v>45066.30316</v>
      </c>
      <c r="D7427" s="15">
        <f>IFERROR(__xludf.DUMMYFUNCTION("""COMPUTED_VALUE"""),1.013)</f>
        <v>1.013</v>
      </c>
      <c r="E7427" s="16">
        <f>IFERROR(__xludf.DUMMYFUNCTION("""COMPUTED_VALUE"""),65.0)</f>
        <v>65</v>
      </c>
      <c r="F7427" s="19" t="str">
        <f>IFERROR(__xludf.DUMMYFUNCTION("""COMPUTED_VALUE"""),"BLACK")</f>
        <v>BLACK</v>
      </c>
      <c r="G7427" s="20" t="str">
        <f>IFERROR(__xludf.DUMMYFUNCTION("""COMPUTED_VALUE"""),"Uncle Sams Cider (04/04/2023)")</f>
        <v>Uncle Sams Cider (04/04/2023)</v>
      </c>
      <c r="H7427" s="19"/>
    </row>
    <row r="7428">
      <c r="A7428" s="9"/>
      <c r="B7428" s="15"/>
      <c r="C7428" s="9">
        <f>IFERROR(__xludf.DUMMYFUNCTION("""COMPUTED_VALUE"""),45066.2927435879)</f>
        <v>45066.29274</v>
      </c>
      <c r="D7428" s="15">
        <f>IFERROR(__xludf.DUMMYFUNCTION("""COMPUTED_VALUE"""),1.013)</f>
        <v>1.013</v>
      </c>
      <c r="E7428" s="16">
        <f>IFERROR(__xludf.DUMMYFUNCTION("""COMPUTED_VALUE"""),65.0)</f>
        <v>65</v>
      </c>
      <c r="F7428" s="19" t="str">
        <f>IFERROR(__xludf.DUMMYFUNCTION("""COMPUTED_VALUE"""),"BLACK")</f>
        <v>BLACK</v>
      </c>
      <c r="G7428" s="20" t="str">
        <f>IFERROR(__xludf.DUMMYFUNCTION("""COMPUTED_VALUE"""),"Uncle Sams Cider (04/04/2023)")</f>
        <v>Uncle Sams Cider (04/04/2023)</v>
      </c>
      <c r="H7428" s="19"/>
    </row>
    <row r="7429">
      <c r="A7429" s="9"/>
      <c r="B7429" s="15"/>
      <c r="C7429" s="9">
        <f>IFERROR(__xludf.DUMMYFUNCTION("""COMPUTED_VALUE"""),45066.2822993287)</f>
        <v>45066.2823</v>
      </c>
      <c r="D7429" s="15">
        <f>IFERROR(__xludf.DUMMYFUNCTION("""COMPUTED_VALUE"""),1.013)</f>
        <v>1.013</v>
      </c>
      <c r="E7429" s="16">
        <f>IFERROR(__xludf.DUMMYFUNCTION("""COMPUTED_VALUE"""),65.0)</f>
        <v>65</v>
      </c>
      <c r="F7429" s="19" t="str">
        <f>IFERROR(__xludf.DUMMYFUNCTION("""COMPUTED_VALUE"""),"BLACK")</f>
        <v>BLACK</v>
      </c>
      <c r="G7429" s="20" t="str">
        <f>IFERROR(__xludf.DUMMYFUNCTION("""COMPUTED_VALUE"""),"Uncle Sams Cider (04/04/2023)")</f>
        <v>Uncle Sams Cider (04/04/2023)</v>
      </c>
      <c r="H7429" s="19"/>
    </row>
    <row r="7430">
      <c r="A7430" s="9"/>
      <c r="B7430" s="15"/>
      <c r="C7430" s="9">
        <f>IFERROR(__xludf.DUMMYFUNCTION("""COMPUTED_VALUE"""),45066.2718319444)</f>
        <v>45066.27183</v>
      </c>
      <c r="D7430" s="15">
        <f>IFERROR(__xludf.DUMMYFUNCTION("""COMPUTED_VALUE"""),1.013)</f>
        <v>1.013</v>
      </c>
      <c r="E7430" s="16">
        <f>IFERROR(__xludf.DUMMYFUNCTION("""COMPUTED_VALUE"""),65.0)</f>
        <v>65</v>
      </c>
      <c r="F7430" s="19" t="str">
        <f>IFERROR(__xludf.DUMMYFUNCTION("""COMPUTED_VALUE"""),"BLACK")</f>
        <v>BLACK</v>
      </c>
      <c r="G7430" s="20" t="str">
        <f>IFERROR(__xludf.DUMMYFUNCTION("""COMPUTED_VALUE"""),"Uncle Sams Cider (04/04/2023)")</f>
        <v>Uncle Sams Cider (04/04/2023)</v>
      </c>
      <c r="H7430" s="19"/>
    </row>
    <row r="7431">
      <c r="A7431" s="9"/>
      <c r="B7431" s="15"/>
      <c r="C7431" s="9">
        <f>IFERROR(__xludf.DUMMYFUNCTION("""COMPUTED_VALUE"""),45066.2613522222)</f>
        <v>45066.26135</v>
      </c>
      <c r="D7431" s="15">
        <f>IFERROR(__xludf.DUMMYFUNCTION("""COMPUTED_VALUE"""),1.013)</f>
        <v>1.013</v>
      </c>
      <c r="E7431" s="16">
        <f>IFERROR(__xludf.DUMMYFUNCTION("""COMPUTED_VALUE"""),65.0)</f>
        <v>65</v>
      </c>
      <c r="F7431" s="19" t="str">
        <f>IFERROR(__xludf.DUMMYFUNCTION("""COMPUTED_VALUE"""),"BLACK")</f>
        <v>BLACK</v>
      </c>
      <c r="G7431" s="20" t="str">
        <f>IFERROR(__xludf.DUMMYFUNCTION("""COMPUTED_VALUE"""),"Uncle Sams Cider (04/04/2023)")</f>
        <v>Uncle Sams Cider (04/04/2023)</v>
      </c>
      <c r="H7431" s="19"/>
    </row>
    <row r="7432">
      <c r="A7432" s="9"/>
      <c r="B7432" s="15"/>
      <c r="C7432" s="9">
        <f>IFERROR(__xludf.DUMMYFUNCTION("""COMPUTED_VALUE"""),45066.2509307407)</f>
        <v>45066.25093</v>
      </c>
      <c r="D7432" s="15">
        <f>IFERROR(__xludf.DUMMYFUNCTION("""COMPUTED_VALUE"""),1.013)</f>
        <v>1.013</v>
      </c>
      <c r="E7432" s="16">
        <f>IFERROR(__xludf.DUMMYFUNCTION("""COMPUTED_VALUE"""),65.0)</f>
        <v>65</v>
      </c>
      <c r="F7432" s="19" t="str">
        <f>IFERROR(__xludf.DUMMYFUNCTION("""COMPUTED_VALUE"""),"BLACK")</f>
        <v>BLACK</v>
      </c>
      <c r="G7432" s="20" t="str">
        <f>IFERROR(__xludf.DUMMYFUNCTION("""COMPUTED_VALUE"""),"Uncle Sams Cider (04/04/2023)")</f>
        <v>Uncle Sams Cider (04/04/2023)</v>
      </c>
      <c r="H7432" s="19"/>
    </row>
    <row r="7433">
      <c r="A7433" s="9"/>
      <c r="B7433" s="15"/>
      <c r="C7433" s="9">
        <f>IFERROR(__xludf.DUMMYFUNCTION("""COMPUTED_VALUE"""),45066.2405112963)</f>
        <v>45066.24051</v>
      </c>
      <c r="D7433" s="15">
        <f>IFERROR(__xludf.DUMMYFUNCTION("""COMPUTED_VALUE"""),1.013)</f>
        <v>1.013</v>
      </c>
      <c r="E7433" s="16">
        <f>IFERROR(__xludf.DUMMYFUNCTION("""COMPUTED_VALUE"""),65.0)</f>
        <v>65</v>
      </c>
      <c r="F7433" s="19" t="str">
        <f>IFERROR(__xludf.DUMMYFUNCTION("""COMPUTED_VALUE"""),"BLACK")</f>
        <v>BLACK</v>
      </c>
      <c r="G7433" s="20" t="str">
        <f>IFERROR(__xludf.DUMMYFUNCTION("""COMPUTED_VALUE"""),"Uncle Sams Cider (04/04/2023)")</f>
        <v>Uncle Sams Cider (04/04/2023)</v>
      </c>
      <c r="H7433" s="19"/>
    </row>
    <row r="7434">
      <c r="A7434" s="9"/>
      <c r="B7434" s="15"/>
      <c r="C7434" s="9">
        <f>IFERROR(__xludf.DUMMYFUNCTION("""COMPUTED_VALUE"""),45066.2300907291)</f>
        <v>45066.23009</v>
      </c>
      <c r="D7434" s="15">
        <f>IFERROR(__xludf.DUMMYFUNCTION("""COMPUTED_VALUE"""),1.013)</f>
        <v>1.013</v>
      </c>
      <c r="E7434" s="16">
        <f>IFERROR(__xludf.DUMMYFUNCTION("""COMPUTED_VALUE"""),65.0)</f>
        <v>65</v>
      </c>
      <c r="F7434" s="19" t="str">
        <f>IFERROR(__xludf.DUMMYFUNCTION("""COMPUTED_VALUE"""),"BLACK")</f>
        <v>BLACK</v>
      </c>
      <c r="G7434" s="20" t="str">
        <f>IFERROR(__xludf.DUMMYFUNCTION("""COMPUTED_VALUE"""),"Uncle Sams Cider (04/04/2023)")</f>
        <v>Uncle Sams Cider (04/04/2023)</v>
      </c>
      <c r="H7434" s="19"/>
    </row>
    <row r="7435">
      <c r="A7435" s="9"/>
      <c r="B7435" s="15"/>
      <c r="C7435" s="9">
        <f>IFERROR(__xludf.DUMMYFUNCTION("""COMPUTED_VALUE"""),45066.2196694328)</f>
        <v>45066.21967</v>
      </c>
      <c r="D7435" s="15">
        <f>IFERROR(__xludf.DUMMYFUNCTION("""COMPUTED_VALUE"""),1.013)</f>
        <v>1.013</v>
      </c>
      <c r="E7435" s="16">
        <f>IFERROR(__xludf.DUMMYFUNCTION("""COMPUTED_VALUE"""),65.0)</f>
        <v>65</v>
      </c>
      <c r="F7435" s="19" t="str">
        <f>IFERROR(__xludf.DUMMYFUNCTION("""COMPUTED_VALUE"""),"BLACK")</f>
        <v>BLACK</v>
      </c>
      <c r="G7435" s="20" t="str">
        <f>IFERROR(__xludf.DUMMYFUNCTION("""COMPUTED_VALUE"""),"Uncle Sams Cider (04/04/2023)")</f>
        <v>Uncle Sams Cider (04/04/2023)</v>
      </c>
      <c r="H7435" s="19"/>
    </row>
    <row r="7436">
      <c r="A7436" s="9"/>
      <c r="B7436" s="15"/>
      <c r="C7436" s="9">
        <f>IFERROR(__xludf.DUMMYFUNCTION("""COMPUTED_VALUE"""),45066.2092479861)</f>
        <v>45066.20925</v>
      </c>
      <c r="D7436" s="15">
        <f>IFERROR(__xludf.DUMMYFUNCTION("""COMPUTED_VALUE"""),1.013)</f>
        <v>1.013</v>
      </c>
      <c r="E7436" s="16">
        <f>IFERROR(__xludf.DUMMYFUNCTION("""COMPUTED_VALUE"""),65.0)</f>
        <v>65</v>
      </c>
      <c r="F7436" s="19" t="str">
        <f>IFERROR(__xludf.DUMMYFUNCTION("""COMPUTED_VALUE"""),"BLACK")</f>
        <v>BLACK</v>
      </c>
      <c r="G7436" s="20" t="str">
        <f>IFERROR(__xludf.DUMMYFUNCTION("""COMPUTED_VALUE"""),"Uncle Sams Cider (04/04/2023)")</f>
        <v>Uncle Sams Cider (04/04/2023)</v>
      </c>
      <c r="H7436" s="19"/>
    </row>
    <row r="7437">
      <c r="A7437" s="9"/>
      <c r="B7437" s="15"/>
      <c r="C7437" s="9">
        <f>IFERROR(__xludf.DUMMYFUNCTION("""COMPUTED_VALUE"""),45066.1988268402)</f>
        <v>45066.19883</v>
      </c>
      <c r="D7437" s="15">
        <f>IFERROR(__xludf.DUMMYFUNCTION("""COMPUTED_VALUE"""),1.013)</f>
        <v>1.013</v>
      </c>
      <c r="E7437" s="16">
        <f>IFERROR(__xludf.DUMMYFUNCTION("""COMPUTED_VALUE"""),65.0)</f>
        <v>65</v>
      </c>
      <c r="F7437" s="19" t="str">
        <f>IFERROR(__xludf.DUMMYFUNCTION("""COMPUTED_VALUE"""),"BLACK")</f>
        <v>BLACK</v>
      </c>
      <c r="G7437" s="20" t="str">
        <f>IFERROR(__xludf.DUMMYFUNCTION("""COMPUTED_VALUE"""),"Uncle Sams Cider (04/04/2023)")</f>
        <v>Uncle Sams Cider (04/04/2023)</v>
      </c>
      <c r="H7437" s="19"/>
    </row>
    <row r="7438">
      <c r="A7438" s="9"/>
      <c r="B7438" s="15"/>
      <c r="C7438" s="9">
        <f>IFERROR(__xludf.DUMMYFUNCTION("""COMPUTED_VALUE"""),45066.1883952777)</f>
        <v>45066.1884</v>
      </c>
      <c r="D7438" s="15">
        <f>IFERROR(__xludf.DUMMYFUNCTION("""COMPUTED_VALUE"""),1.013)</f>
        <v>1.013</v>
      </c>
      <c r="E7438" s="16">
        <f>IFERROR(__xludf.DUMMYFUNCTION("""COMPUTED_VALUE"""),65.0)</f>
        <v>65</v>
      </c>
      <c r="F7438" s="19" t="str">
        <f>IFERROR(__xludf.DUMMYFUNCTION("""COMPUTED_VALUE"""),"BLACK")</f>
        <v>BLACK</v>
      </c>
      <c r="G7438" s="20" t="str">
        <f>IFERROR(__xludf.DUMMYFUNCTION("""COMPUTED_VALUE"""),"Uncle Sams Cider (04/04/2023)")</f>
        <v>Uncle Sams Cider (04/04/2023)</v>
      </c>
      <c r="H7438" s="19"/>
    </row>
    <row r="7439">
      <c r="A7439" s="9"/>
      <c r="B7439" s="15"/>
      <c r="C7439" s="9">
        <f>IFERROR(__xludf.DUMMYFUNCTION("""COMPUTED_VALUE"""),45066.1779733796)</f>
        <v>45066.17797</v>
      </c>
      <c r="D7439" s="15">
        <f>IFERROR(__xludf.DUMMYFUNCTION("""COMPUTED_VALUE"""),1.013)</f>
        <v>1.013</v>
      </c>
      <c r="E7439" s="16">
        <f>IFERROR(__xludf.DUMMYFUNCTION("""COMPUTED_VALUE"""),65.0)</f>
        <v>65</v>
      </c>
      <c r="F7439" s="19" t="str">
        <f>IFERROR(__xludf.DUMMYFUNCTION("""COMPUTED_VALUE"""),"BLACK")</f>
        <v>BLACK</v>
      </c>
      <c r="G7439" s="20" t="str">
        <f>IFERROR(__xludf.DUMMYFUNCTION("""COMPUTED_VALUE"""),"Uncle Sams Cider (04/04/2023)")</f>
        <v>Uncle Sams Cider (04/04/2023)</v>
      </c>
      <c r="H7439" s="19"/>
    </row>
    <row r="7440">
      <c r="A7440" s="9"/>
      <c r="B7440" s="15"/>
      <c r="C7440" s="9">
        <f>IFERROR(__xludf.DUMMYFUNCTION("""COMPUTED_VALUE"""),45066.1675498611)</f>
        <v>45066.16755</v>
      </c>
      <c r="D7440" s="15">
        <f>IFERROR(__xludf.DUMMYFUNCTION("""COMPUTED_VALUE"""),1.013)</f>
        <v>1.013</v>
      </c>
      <c r="E7440" s="16">
        <f>IFERROR(__xludf.DUMMYFUNCTION("""COMPUTED_VALUE"""),65.0)</f>
        <v>65</v>
      </c>
      <c r="F7440" s="19" t="str">
        <f>IFERROR(__xludf.DUMMYFUNCTION("""COMPUTED_VALUE"""),"BLACK")</f>
        <v>BLACK</v>
      </c>
      <c r="G7440" s="20" t="str">
        <f>IFERROR(__xludf.DUMMYFUNCTION("""COMPUTED_VALUE"""),"Uncle Sams Cider (04/04/2023)")</f>
        <v>Uncle Sams Cider (04/04/2023)</v>
      </c>
      <c r="H7440" s="19"/>
    </row>
    <row r="7441">
      <c r="A7441" s="9"/>
      <c r="B7441" s="15"/>
      <c r="C7441" s="9">
        <f>IFERROR(__xludf.DUMMYFUNCTION("""COMPUTED_VALUE"""),45066.1570805208)</f>
        <v>45066.15708</v>
      </c>
      <c r="D7441" s="15">
        <f>IFERROR(__xludf.DUMMYFUNCTION("""COMPUTED_VALUE"""),1.013)</f>
        <v>1.013</v>
      </c>
      <c r="E7441" s="16">
        <f>IFERROR(__xludf.DUMMYFUNCTION("""COMPUTED_VALUE"""),65.0)</f>
        <v>65</v>
      </c>
      <c r="F7441" s="19" t="str">
        <f>IFERROR(__xludf.DUMMYFUNCTION("""COMPUTED_VALUE"""),"BLACK")</f>
        <v>BLACK</v>
      </c>
      <c r="G7441" s="20" t="str">
        <f>IFERROR(__xludf.DUMMYFUNCTION("""COMPUTED_VALUE"""),"Uncle Sams Cider (04/04/2023)")</f>
        <v>Uncle Sams Cider (04/04/2023)</v>
      </c>
      <c r="H7441" s="19"/>
    </row>
    <row r="7442">
      <c r="A7442" s="9"/>
      <c r="B7442" s="15"/>
      <c r="C7442" s="9">
        <f>IFERROR(__xludf.DUMMYFUNCTION("""COMPUTED_VALUE"""),45066.1466580092)</f>
        <v>45066.14666</v>
      </c>
      <c r="D7442" s="15">
        <f>IFERROR(__xludf.DUMMYFUNCTION("""COMPUTED_VALUE"""),1.013)</f>
        <v>1.013</v>
      </c>
      <c r="E7442" s="16">
        <f>IFERROR(__xludf.DUMMYFUNCTION("""COMPUTED_VALUE"""),65.0)</f>
        <v>65</v>
      </c>
      <c r="F7442" s="19" t="str">
        <f>IFERROR(__xludf.DUMMYFUNCTION("""COMPUTED_VALUE"""),"BLACK")</f>
        <v>BLACK</v>
      </c>
      <c r="G7442" s="20" t="str">
        <f>IFERROR(__xludf.DUMMYFUNCTION("""COMPUTED_VALUE"""),"Uncle Sams Cider (04/04/2023)")</f>
        <v>Uncle Sams Cider (04/04/2023)</v>
      </c>
      <c r="H7442" s="19"/>
    </row>
    <row r="7443">
      <c r="A7443" s="9"/>
      <c r="B7443" s="15"/>
      <c r="C7443" s="9">
        <f>IFERROR(__xludf.DUMMYFUNCTION("""COMPUTED_VALUE"""),45066.1362370949)</f>
        <v>45066.13624</v>
      </c>
      <c r="D7443" s="15">
        <f>IFERROR(__xludf.DUMMYFUNCTION("""COMPUTED_VALUE"""),1.013)</f>
        <v>1.013</v>
      </c>
      <c r="E7443" s="16">
        <f>IFERROR(__xludf.DUMMYFUNCTION("""COMPUTED_VALUE"""),65.0)</f>
        <v>65</v>
      </c>
      <c r="F7443" s="19" t="str">
        <f>IFERROR(__xludf.DUMMYFUNCTION("""COMPUTED_VALUE"""),"BLACK")</f>
        <v>BLACK</v>
      </c>
      <c r="G7443" s="20" t="str">
        <f>IFERROR(__xludf.DUMMYFUNCTION("""COMPUTED_VALUE"""),"Uncle Sams Cider (04/04/2023)")</f>
        <v>Uncle Sams Cider (04/04/2023)</v>
      </c>
      <c r="H7443" s="19"/>
    </row>
    <row r="7444">
      <c r="A7444" s="9"/>
      <c r="B7444" s="15"/>
      <c r="C7444" s="9">
        <f>IFERROR(__xludf.DUMMYFUNCTION("""COMPUTED_VALUE"""),45066.1257937152)</f>
        <v>45066.12579</v>
      </c>
      <c r="D7444" s="15">
        <f>IFERROR(__xludf.DUMMYFUNCTION("""COMPUTED_VALUE"""),1.013)</f>
        <v>1.013</v>
      </c>
      <c r="E7444" s="16">
        <f>IFERROR(__xludf.DUMMYFUNCTION("""COMPUTED_VALUE"""),65.0)</f>
        <v>65</v>
      </c>
      <c r="F7444" s="19" t="str">
        <f>IFERROR(__xludf.DUMMYFUNCTION("""COMPUTED_VALUE"""),"BLACK")</f>
        <v>BLACK</v>
      </c>
      <c r="G7444" s="20" t="str">
        <f>IFERROR(__xludf.DUMMYFUNCTION("""COMPUTED_VALUE"""),"Uncle Sams Cider (04/04/2023)")</f>
        <v>Uncle Sams Cider (04/04/2023)</v>
      </c>
      <c r="H7444" s="19"/>
    </row>
    <row r="7445">
      <c r="A7445" s="9"/>
      <c r="B7445" s="15"/>
      <c r="C7445" s="9">
        <f>IFERROR(__xludf.DUMMYFUNCTION("""COMPUTED_VALUE"""),45066.1153721527)</f>
        <v>45066.11537</v>
      </c>
      <c r="D7445" s="15">
        <f>IFERROR(__xludf.DUMMYFUNCTION("""COMPUTED_VALUE"""),1.013)</f>
        <v>1.013</v>
      </c>
      <c r="E7445" s="16">
        <f>IFERROR(__xludf.DUMMYFUNCTION("""COMPUTED_VALUE"""),65.0)</f>
        <v>65</v>
      </c>
      <c r="F7445" s="19" t="str">
        <f>IFERROR(__xludf.DUMMYFUNCTION("""COMPUTED_VALUE"""),"BLACK")</f>
        <v>BLACK</v>
      </c>
      <c r="G7445" s="20" t="str">
        <f>IFERROR(__xludf.DUMMYFUNCTION("""COMPUTED_VALUE"""),"Uncle Sams Cider (04/04/2023)")</f>
        <v>Uncle Sams Cider (04/04/2023)</v>
      </c>
      <c r="H7445" s="19"/>
    </row>
    <row r="7446">
      <c r="A7446" s="9"/>
      <c r="B7446" s="15"/>
      <c r="C7446" s="9">
        <f>IFERROR(__xludf.DUMMYFUNCTION("""COMPUTED_VALUE"""),45066.1049160416)</f>
        <v>45066.10492</v>
      </c>
      <c r="D7446" s="15">
        <f>IFERROR(__xludf.DUMMYFUNCTION("""COMPUTED_VALUE"""),1.013)</f>
        <v>1.013</v>
      </c>
      <c r="E7446" s="16">
        <f>IFERROR(__xludf.DUMMYFUNCTION("""COMPUTED_VALUE"""),65.0)</f>
        <v>65</v>
      </c>
      <c r="F7446" s="19" t="str">
        <f>IFERROR(__xludf.DUMMYFUNCTION("""COMPUTED_VALUE"""),"BLACK")</f>
        <v>BLACK</v>
      </c>
      <c r="G7446" s="20" t="str">
        <f>IFERROR(__xludf.DUMMYFUNCTION("""COMPUTED_VALUE"""),"Uncle Sams Cider (04/04/2023)")</f>
        <v>Uncle Sams Cider (04/04/2023)</v>
      </c>
      <c r="H7446" s="19"/>
    </row>
    <row r="7447">
      <c r="A7447" s="9"/>
      <c r="B7447" s="15"/>
      <c r="C7447" s="9">
        <f>IFERROR(__xludf.DUMMYFUNCTION("""COMPUTED_VALUE"""),45066.0944713425)</f>
        <v>45066.09447</v>
      </c>
      <c r="D7447" s="15">
        <f>IFERROR(__xludf.DUMMYFUNCTION("""COMPUTED_VALUE"""),1.013)</f>
        <v>1.013</v>
      </c>
      <c r="E7447" s="16">
        <f>IFERROR(__xludf.DUMMYFUNCTION("""COMPUTED_VALUE"""),65.0)</f>
        <v>65</v>
      </c>
      <c r="F7447" s="19" t="str">
        <f>IFERROR(__xludf.DUMMYFUNCTION("""COMPUTED_VALUE"""),"BLACK")</f>
        <v>BLACK</v>
      </c>
      <c r="G7447" s="20" t="str">
        <f>IFERROR(__xludf.DUMMYFUNCTION("""COMPUTED_VALUE"""),"Uncle Sams Cider (04/04/2023)")</f>
        <v>Uncle Sams Cider (04/04/2023)</v>
      </c>
      <c r="H7447" s="19"/>
    </row>
    <row r="7448">
      <c r="A7448" s="9"/>
      <c r="B7448" s="15"/>
      <c r="C7448" s="9">
        <f>IFERROR(__xludf.DUMMYFUNCTION("""COMPUTED_VALUE"""),45066.0840487268)</f>
        <v>45066.08405</v>
      </c>
      <c r="D7448" s="15">
        <f>IFERROR(__xludf.DUMMYFUNCTION("""COMPUTED_VALUE"""),1.013)</f>
        <v>1.013</v>
      </c>
      <c r="E7448" s="16">
        <f>IFERROR(__xludf.DUMMYFUNCTION("""COMPUTED_VALUE"""),65.0)</f>
        <v>65</v>
      </c>
      <c r="F7448" s="19" t="str">
        <f>IFERROR(__xludf.DUMMYFUNCTION("""COMPUTED_VALUE"""),"BLACK")</f>
        <v>BLACK</v>
      </c>
      <c r="G7448" s="20" t="str">
        <f>IFERROR(__xludf.DUMMYFUNCTION("""COMPUTED_VALUE"""),"Uncle Sams Cider (04/04/2023)")</f>
        <v>Uncle Sams Cider (04/04/2023)</v>
      </c>
      <c r="H7448" s="19"/>
    </row>
    <row r="7449">
      <c r="A7449" s="9"/>
      <c r="B7449" s="15"/>
      <c r="C7449" s="9">
        <f>IFERROR(__xludf.DUMMYFUNCTION("""COMPUTED_VALUE"""),45066.0736276041)</f>
        <v>45066.07363</v>
      </c>
      <c r="D7449" s="15">
        <f>IFERROR(__xludf.DUMMYFUNCTION("""COMPUTED_VALUE"""),1.013)</f>
        <v>1.013</v>
      </c>
      <c r="E7449" s="16">
        <f>IFERROR(__xludf.DUMMYFUNCTION("""COMPUTED_VALUE"""),65.0)</f>
        <v>65</v>
      </c>
      <c r="F7449" s="19" t="str">
        <f>IFERROR(__xludf.DUMMYFUNCTION("""COMPUTED_VALUE"""),"BLACK")</f>
        <v>BLACK</v>
      </c>
      <c r="G7449" s="20" t="str">
        <f>IFERROR(__xludf.DUMMYFUNCTION("""COMPUTED_VALUE"""),"Uncle Sams Cider (04/04/2023)")</f>
        <v>Uncle Sams Cider (04/04/2023)</v>
      </c>
      <c r="H7449" s="19"/>
    </row>
    <row r="7450">
      <c r="A7450" s="9"/>
      <c r="B7450" s="15"/>
      <c r="C7450" s="9">
        <f>IFERROR(__xludf.DUMMYFUNCTION("""COMPUTED_VALUE"""),45066.0632075115)</f>
        <v>45066.06321</v>
      </c>
      <c r="D7450" s="15">
        <f>IFERROR(__xludf.DUMMYFUNCTION("""COMPUTED_VALUE"""),1.013)</f>
        <v>1.013</v>
      </c>
      <c r="E7450" s="16">
        <f>IFERROR(__xludf.DUMMYFUNCTION("""COMPUTED_VALUE"""),65.0)</f>
        <v>65</v>
      </c>
      <c r="F7450" s="19" t="str">
        <f>IFERROR(__xludf.DUMMYFUNCTION("""COMPUTED_VALUE"""),"BLACK")</f>
        <v>BLACK</v>
      </c>
      <c r="G7450" s="20" t="str">
        <f>IFERROR(__xludf.DUMMYFUNCTION("""COMPUTED_VALUE"""),"Uncle Sams Cider (04/04/2023)")</f>
        <v>Uncle Sams Cider (04/04/2023)</v>
      </c>
      <c r="H7450" s="19"/>
    </row>
    <row r="7451">
      <c r="A7451" s="9"/>
      <c r="B7451" s="15"/>
      <c r="C7451" s="9">
        <f>IFERROR(__xludf.DUMMYFUNCTION("""COMPUTED_VALUE"""),45066.0527861226)</f>
        <v>45066.05279</v>
      </c>
      <c r="D7451" s="15">
        <f>IFERROR(__xludf.DUMMYFUNCTION("""COMPUTED_VALUE"""),1.013)</f>
        <v>1.013</v>
      </c>
      <c r="E7451" s="16">
        <f>IFERROR(__xludf.DUMMYFUNCTION("""COMPUTED_VALUE"""),65.0)</f>
        <v>65</v>
      </c>
      <c r="F7451" s="19" t="str">
        <f>IFERROR(__xludf.DUMMYFUNCTION("""COMPUTED_VALUE"""),"BLACK")</f>
        <v>BLACK</v>
      </c>
      <c r="G7451" s="20" t="str">
        <f>IFERROR(__xludf.DUMMYFUNCTION("""COMPUTED_VALUE"""),"Uncle Sams Cider (04/04/2023)")</f>
        <v>Uncle Sams Cider (04/04/2023)</v>
      </c>
      <c r="H7451" s="19"/>
    </row>
    <row r="7452">
      <c r="A7452" s="9"/>
      <c r="B7452" s="15"/>
      <c r="C7452" s="9">
        <f>IFERROR(__xludf.DUMMYFUNCTION("""COMPUTED_VALUE"""),45066.042363206)</f>
        <v>45066.04236</v>
      </c>
      <c r="D7452" s="15">
        <f>IFERROR(__xludf.DUMMYFUNCTION("""COMPUTED_VALUE"""),1.013)</f>
        <v>1.013</v>
      </c>
      <c r="E7452" s="16">
        <f>IFERROR(__xludf.DUMMYFUNCTION("""COMPUTED_VALUE"""),65.0)</f>
        <v>65</v>
      </c>
      <c r="F7452" s="19" t="str">
        <f>IFERROR(__xludf.DUMMYFUNCTION("""COMPUTED_VALUE"""),"BLACK")</f>
        <v>BLACK</v>
      </c>
      <c r="G7452" s="20" t="str">
        <f>IFERROR(__xludf.DUMMYFUNCTION("""COMPUTED_VALUE"""),"Uncle Sams Cider (04/04/2023)")</f>
        <v>Uncle Sams Cider (04/04/2023)</v>
      </c>
      <c r="H7452" s="19"/>
    </row>
    <row r="7453">
      <c r="A7453" s="9"/>
      <c r="B7453" s="15"/>
      <c r="C7453" s="9">
        <f>IFERROR(__xludf.DUMMYFUNCTION("""COMPUTED_VALUE"""),45066.0319429861)</f>
        <v>45066.03194</v>
      </c>
      <c r="D7453" s="15">
        <f>IFERROR(__xludf.DUMMYFUNCTION("""COMPUTED_VALUE"""),1.013)</f>
        <v>1.013</v>
      </c>
      <c r="E7453" s="16">
        <f>IFERROR(__xludf.DUMMYFUNCTION("""COMPUTED_VALUE"""),65.0)</f>
        <v>65</v>
      </c>
      <c r="F7453" s="19" t="str">
        <f>IFERROR(__xludf.DUMMYFUNCTION("""COMPUTED_VALUE"""),"BLACK")</f>
        <v>BLACK</v>
      </c>
      <c r="G7453" s="20" t="str">
        <f>IFERROR(__xludf.DUMMYFUNCTION("""COMPUTED_VALUE"""),"Uncle Sams Cider (04/04/2023)")</f>
        <v>Uncle Sams Cider (04/04/2023)</v>
      </c>
      <c r="H7453" s="19"/>
    </row>
    <row r="7454">
      <c r="A7454" s="9"/>
      <c r="B7454" s="15"/>
      <c r="C7454" s="9">
        <f>IFERROR(__xludf.DUMMYFUNCTION("""COMPUTED_VALUE"""),45066.0215003819)</f>
        <v>45066.0215</v>
      </c>
      <c r="D7454" s="15">
        <f>IFERROR(__xludf.DUMMYFUNCTION("""COMPUTED_VALUE"""),1.013)</f>
        <v>1.013</v>
      </c>
      <c r="E7454" s="16">
        <f>IFERROR(__xludf.DUMMYFUNCTION("""COMPUTED_VALUE"""),65.0)</f>
        <v>65</v>
      </c>
      <c r="F7454" s="19" t="str">
        <f>IFERROR(__xludf.DUMMYFUNCTION("""COMPUTED_VALUE"""),"BLACK")</f>
        <v>BLACK</v>
      </c>
      <c r="G7454" s="20" t="str">
        <f>IFERROR(__xludf.DUMMYFUNCTION("""COMPUTED_VALUE"""),"Uncle Sams Cider (04/04/2023)")</f>
        <v>Uncle Sams Cider (04/04/2023)</v>
      </c>
      <c r="H7454" s="19"/>
    </row>
    <row r="7455">
      <c r="A7455" s="9"/>
      <c r="B7455" s="15"/>
      <c r="C7455" s="9">
        <f>IFERROR(__xludf.DUMMYFUNCTION("""COMPUTED_VALUE"""),45066.0110651504)</f>
        <v>45066.01107</v>
      </c>
      <c r="D7455" s="15">
        <f>IFERROR(__xludf.DUMMYFUNCTION("""COMPUTED_VALUE"""),1.013)</f>
        <v>1.013</v>
      </c>
      <c r="E7455" s="16">
        <f>IFERROR(__xludf.DUMMYFUNCTION("""COMPUTED_VALUE"""),65.0)</f>
        <v>65</v>
      </c>
      <c r="F7455" s="19" t="str">
        <f>IFERROR(__xludf.DUMMYFUNCTION("""COMPUTED_VALUE"""),"BLACK")</f>
        <v>BLACK</v>
      </c>
      <c r="G7455" s="20" t="str">
        <f>IFERROR(__xludf.DUMMYFUNCTION("""COMPUTED_VALUE"""),"Uncle Sams Cider (04/04/2023)")</f>
        <v>Uncle Sams Cider (04/04/2023)</v>
      </c>
      <c r="H7455" s="19"/>
    </row>
    <row r="7456">
      <c r="A7456" s="9"/>
      <c r="B7456" s="15"/>
      <c r="C7456" s="9">
        <f>IFERROR(__xludf.DUMMYFUNCTION("""COMPUTED_VALUE"""),45066.0006203356)</f>
        <v>45066.00062</v>
      </c>
      <c r="D7456" s="15">
        <f>IFERROR(__xludf.DUMMYFUNCTION("""COMPUTED_VALUE"""),1.013)</f>
        <v>1.013</v>
      </c>
      <c r="E7456" s="16">
        <f>IFERROR(__xludf.DUMMYFUNCTION("""COMPUTED_VALUE"""),65.0)</f>
        <v>65</v>
      </c>
      <c r="F7456" s="19" t="str">
        <f>IFERROR(__xludf.DUMMYFUNCTION("""COMPUTED_VALUE"""),"BLACK")</f>
        <v>BLACK</v>
      </c>
      <c r="G7456" s="20" t="str">
        <f>IFERROR(__xludf.DUMMYFUNCTION("""COMPUTED_VALUE"""),"Uncle Sams Cider (04/04/2023)")</f>
        <v>Uncle Sams Cider (04/04/2023)</v>
      </c>
      <c r="H7456" s="19"/>
    </row>
    <row r="7457">
      <c r="A7457" s="9"/>
      <c r="B7457" s="15"/>
      <c r="C7457" s="9">
        <f>IFERROR(__xludf.DUMMYFUNCTION("""COMPUTED_VALUE"""),45065.9901990972)</f>
        <v>45065.9902</v>
      </c>
      <c r="D7457" s="15">
        <f>IFERROR(__xludf.DUMMYFUNCTION("""COMPUTED_VALUE"""),1.013)</f>
        <v>1.013</v>
      </c>
      <c r="E7457" s="16">
        <f>IFERROR(__xludf.DUMMYFUNCTION("""COMPUTED_VALUE"""),65.0)</f>
        <v>65</v>
      </c>
      <c r="F7457" s="19" t="str">
        <f>IFERROR(__xludf.DUMMYFUNCTION("""COMPUTED_VALUE"""),"BLACK")</f>
        <v>BLACK</v>
      </c>
      <c r="G7457" s="20" t="str">
        <f>IFERROR(__xludf.DUMMYFUNCTION("""COMPUTED_VALUE"""),"Uncle Sams Cider (04/04/2023)")</f>
        <v>Uncle Sams Cider (04/04/2023)</v>
      </c>
      <c r="H7457" s="19"/>
    </row>
    <row r="7458">
      <c r="A7458" s="9"/>
      <c r="B7458" s="15"/>
      <c r="C7458" s="9">
        <f>IFERROR(__xludf.DUMMYFUNCTION("""COMPUTED_VALUE"""),45065.9797682754)</f>
        <v>45065.97977</v>
      </c>
      <c r="D7458" s="15">
        <f>IFERROR(__xludf.DUMMYFUNCTION("""COMPUTED_VALUE"""),1.013)</f>
        <v>1.013</v>
      </c>
      <c r="E7458" s="16">
        <f>IFERROR(__xludf.DUMMYFUNCTION("""COMPUTED_VALUE"""),65.0)</f>
        <v>65</v>
      </c>
      <c r="F7458" s="19" t="str">
        <f>IFERROR(__xludf.DUMMYFUNCTION("""COMPUTED_VALUE"""),"BLACK")</f>
        <v>BLACK</v>
      </c>
      <c r="G7458" s="20" t="str">
        <f>IFERROR(__xludf.DUMMYFUNCTION("""COMPUTED_VALUE"""),"Uncle Sams Cider (04/04/2023)")</f>
        <v>Uncle Sams Cider (04/04/2023)</v>
      </c>
      <c r="H7458" s="19"/>
    </row>
    <row r="7459">
      <c r="A7459" s="9"/>
      <c r="B7459" s="15"/>
      <c r="C7459" s="9">
        <f>IFERROR(__xludf.DUMMYFUNCTION("""COMPUTED_VALUE"""),45065.9693119791)</f>
        <v>45065.96931</v>
      </c>
      <c r="D7459" s="15">
        <f>IFERROR(__xludf.DUMMYFUNCTION("""COMPUTED_VALUE"""),1.013)</f>
        <v>1.013</v>
      </c>
      <c r="E7459" s="16">
        <f>IFERROR(__xludf.DUMMYFUNCTION("""COMPUTED_VALUE"""),65.0)</f>
        <v>65</v>
      </c>
      <c r="F7459" s="19" t="str">
        <f>IFERROR(__xludf.DUMMYFUNCTION("""COMPUTED_VALUE"""),"BLACK")</f>
        <v>BLACK</v>
      </c>
      <c r="G7459" s="20" t="str">
        <f>IFERROR(__xludf.DUMMYFUNCTION("""COMPUTED_VALUE"""),"Uncle Sams Cider (04/04/2023)")</f>
        <v>Uncle Sams Cider (04/04/2023)</v>
      </c>
      <c r="H7459" s="19"/>
    </row>
    <row r="7460">
      <c r="A7460" s="9"/>
      <c r="B7460" s="15"/>
      <c r="C7460" s="9">
        <f>IFERROR(__xludf.DUMMYFUNCTION("""COMPUTED_VALUE"""),45065.9588907638)</f>
        <v>45065.95889</v>
      </c>
      <c r="D7460" s="15">
        <f>IFERROR(__xludf.DUMMYFUNCTION("""COMPUTED_VALUE"""),1.013)</f>
        <v>1.013</v>
      </c>
      <c r="E7460" s="16">
        <f>IFERROR(__xludf.DUMMYFUNCTION("""COMPUTED_VALUE"""),65.0)</f>
        <v>65</v>
      </c>
      <c r="F7460" s="19" t="str">
        <f>IFERROR(__xludf.DUMMYFUNCTION("""COMPUTED_VALUE"""),"BLACK")</f>
        <v>BLACK</v>
      </c>
      <c r="G7460" s="20" t="str">
        <f>IFERROR(__xludf.DUMMYFUNCTION("""COMPUTED_VALUE"""),"Uncle Sams Cider (04/04/2023)")</f>
        <v>Uncle Sams Cider (04/04/2023)</v>
      </c>
      <c r="H7460" s="19"/>
    </row>
    <row r="7461">
      <c r="A7461" s="9"/>
      <c r="B7461" s="15"/>
      <c r="C7461" s="9">
        <f>IFERROR(__xludf.DUMMYFUNCTION("""COMPUTED_VALUE"""),45065.9484584606)</f>
        <v>45065.94846</v>
      </c>
      <c r="D7461" s="15">
        <f>IFERROR(__xludf.DUMMYFUNCTION("""COMPUTED_VALUE"""),1.013)</f>
        <v>1.013</v>
      </c>
      <c r="E7461" s="16">
        <f>IFERROR(__xludf.DUMMYFUNCTION("""COMPUTED_VALUE"""),65.0)</f>
        <v>65</v>
      </c>
      <c r="F7461" s="19" t="str">
        <f>IFERROR(__xludf.DUMMYFUNCTION("""COMPUTED_VALUE"""),"BLACK")</f>
        <v>BLACK</v>
      </c>
      <c r="G7461" s="20" t="str">
        <f>IFERROR(__xludf.DUMMYFUNCTION("""COMPUTED_VALUE"""),"Uncle Sams Cider (04/04/2023)")</f>
        <v>Uncle Sams Cider (04/04/2023)</v>
      </c>
      <c r="H7461" s="19"/>
    </row>
    <row r="7462">
      <c r="A7462" s="9"/>
      <c r="B7462" s="15"/>
      <c r="C7462" s="9">
        <f>IFERROR(__xludf.DUMMYFUNCTION("""COMPUTED_VALUE"""),45065.938036331)</f>
        <v>45065.93804</v>
      </c>
      <c r="D7462" s="15">
        <f>IFERROR(__xludf.DUMMYFUNCTION("""COMPUTED_VALUE"""),1.013)</f>
        <v>1.013</v>
      </c>
      <c r="E7462" s="16">
        <f>IFERROR(__xludf.DUMMYFUNCTION("""COMPUTED_VALUE"""),65.0)</f>
        <v>65</v>
      </c>
      <c r="F7462" s="19" t="str">
        <f>IFERROR(__xludf.DUMMYFUNCTION("""COMPUTED_VALUE"""),"BLACK")</f>
        <v>BLACK</v>
      </c>
      <c r="G7462" s="20" t="str">
        <f>IFERROR(__xludf.DUMMYFUNCTION("""COMPUTED_VALUE"""),"Uncle Sams Cider (04/04/2023)")</f>
        <v>Uncle Sams Cider (04/04/2023)</v>
      </c>
      <c r="H7462" s="19"/>
    </row>
    <row r="7463">
      <c r="A7463" s="9"/>
      <c r="B7463" s="15"/>
      <c r="C7463" s="9">
        <f>IFERROR(__xludf.DUMMYFUNCTION("""COMPUTED_VALUE"""),45065.9276136574)</f>
        <v>45065.92761</v>
      </c>
      <c r="D7463" s="15">
        <f>IFERROR(__xludf.DUMMYFUNCTION("""COMPUTED_VALUE"""),1.013)</f>
        <v>1.013</v>
      </c>
      <c r="E7463" s="16">
        <f>IFERROR(__xludf.DUMMYFUNCTION("""COMPUTED_VALUE"""),65.0)</f>
        <v>65</v>
      </c>
      <c r="F7463" s="19" t="str">
        <f>IFERROR(__xludf.DUMMYFUNCTION("""COMPUTED_VALUE"""),"BLACK")</f>
        <v>BLACK</v>
      </c>
      <c r="G7463" s="20" t="str">
        <f>IFERROR(__xludf.DUMMYFUNCTION("""COMPUTED_VALUE"""),"Uncle Sams Cider (04/04/2023)")</f>
        <v>Uncle Sams Cider (04/04/2023)</v>
      </c>
      <c r="H7463" s="19"/>
    </row>
    <row r="7464">
      <c r="A7464" s="9"/>
      <c r="B7464" s="15"/>
      <c r="C7464" s="9">
        <f>IFERROR(__xludf.DUMMYFUNCTION("""COMPUTED_VALUE"""),45065.9171926157)</f>
        <v>45065.91719</v>
      </c>
      <c r="D7464" s="15">
        <f>IFERROR(__xludf.DUMMYFUNCTION("""COMPUTED_VALUE"""),1.013)</f>
        <v>1.013</v>
      </c>
      <c r="E7464" s="16">
        <f>IFERROR(__xludf.DUMMYFUNCTION("""COMPUTED_VALUE"""),65.0)</f>
        <v>65</v>
      </c>
      <c r="F7464" s="19" t="str">
        <f>IFERROR(__xludf.DUMMYFUNCTION("""COMPUTED_VALUE"""),"BLACK")</f>
        <v>BLACK</v>
      </c>
      <c r="G7464" s="20" t="str">
        <f>IFERROR(__xludf.DUMMYFUNCTION("""COMPUTED_VALUE"""),"Uncle Sams Cider (04/04/2023)")</f>
        <v>Uncle Sams Cider (04/04/2023)</v>
      </c>
      <c r="H7464" s="19"/>
    </row>
    <row r="7465">
      <c r="A7465" s="9"/>
      <c r="B7465" s="15"/>
      <c r="C7465" s="9">
        <f>IFERROR(__xludf.DUMMYFUNCTION("""COMPUTED_VALUE"""),45065.9067719907)</f>
        <v>45065.90677</v>
      </c>
      <c r="D7465" s="15">
        <f>IFERROR(__xludf.DUMMYFUNCTION("""COMPUTED_VALUE"""),1.013)</f>
        <v>1.013</v>
      </c>
      <c r="E7465" s="16">
        <f>IFERROR(__xludf.DUMMYFUNCTION("""COMPUTED_VALUE"""),65.0)</f>
        <v>65</v>
      </c>
      <c r="F7465" s="19" t="str">
        <f>IFERROR(__xludf.DUMMYFUNCTION("""COMPUTED_VALUE"""),"BLACK")</f>
        <v>BLACK</v>
      </c>
      <c r="G7465" s="20" t="str">
        <f>IFERROR(__xludf.DUMMYFUNCTION("""COMPUTED_VALUE"""),"Uncle Sams Cider (04/04/2023)")</f>
        <v>Uncle Sams Cider (04/04/2023)</v>
      </c>
      <c r="H7465" s="19"/>
    </row>
    <row r="7466">
      <c r="A7466" s="9"/>
      <c r="B7466" s="15"/>
      <c r="C7466" s="9">
        <f>IFERROR(__xludf.DUMMYFUNCTION("""COMPUTED_VALUE"""),45065.8963510879)</f>
        <v>45065.89635</v>
      </c>
      <c r="D7466" s="15">
        <f>IFERROR(__xludf.DUMMYFUNCTION("""COMPUTED_VALUE"""),1.013)</f>
        <v>1.013</v>
      </c>
      <c r="E7466" s="16">
        <f>IFERROR(__xludf.DUMMYFUNCTION("""COMPUTED_VALUE"""),65.0)</f>
        <v>65</v>
      </c>
      <c r="F7466" s="19" t="str">
        <f>IFERROR(__xludf.DUMMYFUNCTION("""COMPUTED_VALUE"""),"BLACK")</f>
        <v>BLACK</v>
      </c>
      <c r="G7466" s="20" t="str">
        <f>IFERROR(__xludf.DUMMYFUNCTION("""COMPUTED_VALUE"""),"Uncle Sams Cider (04/04/2023)")</f>
        <v>Uncle Sams Cider (04/04/2023)</v>
      </c>
      <c r="H7466" s="19"/>
    </row>
    <row r="7467">
      <c r="A7467" s="9"/>
      <c r="B7467" s="15"/>
      <c r="C7467" s="9">
        <f>IFERROR(__xludf.DUMMYFUNCTION("""COMPUTED_VALUE"""),45065.8858954629)</f>
        <v>45065.8859</v>
      </c>
      <c r="D7467" s="15">
        <f>IFERROR(__xludf.DUMMYFUNCTION("""COMPUTED_VALUE"""),1.013)</f>
        <v>1.013</v>
      </c>
      <c r="E7467" s="16">
        <f>IFERROR(__xludf.DUMMYFUNCTION("""COMPUTED_VALUE"""),65.0)</f>
        <v>65</v>
      </c>
      <c r="F7467" s="19" t="str">
        <f>IFERROR(__xludf.DUMMYFUNCTION("""COMPUTED_VALUE"""),"BLACK")</f>
        <v>BLACK</v>
      </c>
      <c r="G7467" s="20" t="str">
        <f>IFERROR(__xludf.DUMMYFUNCTION("""COMPUTED_VALUE"""),"Uncle Sams Cider (04/04/2023)")</f>
        <v>Uncle Sams Cider (04/04/2023)</v>
      </c>
      <c r="H7467" s="19"/>
    </row>
    <row r="7468">
      <c r="A7468" s="9"/>
      <c r="B7468" s="15"/>
      <c r="C7468" s="9">
        <f>IFERROR(__xludf.DUMMYFUNCTION("""COMPUTED_VALUE"""),45065.8754746875)</f>
        <v>45065.87547</v>
      </c>
      <c r="D7468" s="15">
        <f>IFERROR(__xludf.DUMMYFUNCTION("""COMPUTED_VALUE"""),1.013)</f>
        <v>1.013</v>
      </c>
      <c r="E7468" s="16">
        <f>IFERROR(__xludf.DUMMYFUNCTION("""COMPUTED_VALUE"""),65.0)</f>
        <v>65</v>
      </c>
      <c r="F7468" s="19" t="str">
        <f>IFERROR(__xludf.DUMMYFUNCTION("""COMPUTED_VALUE"""),"BLACK")</f>
        <v>BLACK</v>
      </c>
      <c r="G7468" s="20" t="str">
        <f>IFERROR(__xludf.DUMMYFUNCTION("""COMPUTED_VALUE"""),"Uncle Sams Cider (04/04/2023)")</f>
        <v>Uncle Sams Cider (04/04/2023)</v>
      </c>
      <c r="H7468" s="19"/>
    </row>
    <row r="7469">
      <c r="A7469" s="9"/>
      <c r="B7469" s="15"/>
      <c r="C7469" s="9">
        <f>IFERROR(__xludf.DUMMYFUNCTION("""COMPUTED_VALUE"""),45065.8650541087)</f>
        <v>45065.86505</v>
      </c>
      <c r="D7469" s="15">
        <f>IFERROR(__xludf.DUMMYFUNCTION("""COMPUTED_VALUE"""),1.013)</f>
        <v>1.013</v>
      </c>
      <c r="E7469" s="16">
        <f>IFERROR(__xludf.DUMMYFUNCTION("""COMPUTED_VALUE"""),65.0)</f>
        <v>65</v>
      </c>
      <c r="F7469" s="19" t="str">
        <f>IFERROR(__xludf.DUMMYFUNCTION("""COMPUTED_VALUE"""),"BLACK")</f>
        <v>BLACK</v>
      </c>
      <c r="G7469" s="20" t="str">
        <f>IFERROR(__xludf.DUMMYFUNCTION("""COMPUTED_VALUE"""),"Uncle Sams Cider (04/04/2023)")</f>
        <v>Uncle Sams Cider (04/04/2023)</v>
      </c>
      <c r="H7469" s="19"/>
    </row>
    <row r="7470">
      <c r="A7470" s="9"/>
      <c r="B7470" s="15"/>
      <c r="C7470" s="9">
        <f>IFERROR(__xludf.DUMMYFUNCTION("""COMPUTED_VALUE"""),45065.8546343171)</f>
        <v>45065.85463</v>
      </c>
      <c r="D7470" s="15">
        <f>IFERROR(__xludf.DUMMYFUNCTION("""COMPUTED_VALUE"""),1.013)</f>
        <v>1.013</v>
      </c>
      <c r="E7470" s="16">
        <f>IFERROR(__xludf.DUMMYFUNCTION("""COMPUTED_VALUE"""),65.0)</f>
        <v>65</v>
      </c>
      <c r="F7470" s="19" t="str">
        <f>IFERROR(__xludf.DUMMYFUNCTION("""COMPUTED_VALUE"""),"BLACK")</f>
        <v>BLACK</v>
      </c>
      <c r="G7470" s="20" t="str">
        <f>IFERROR(__xludf.DUMMYFUNCTION("""COMPUTED_VALUE"""),"Uncle Sams Cider (04/04/2023)")</f>
        <v>Uncle Sams Cider (04/04/2023)</v>
      </c>
      <c r="H7470" s="19"/>
    </row>
    <row r="7471">
      <c r="A7471" s="9"/>
      <c r="B7471" s="15"/>
      <c r="C7471" s="9">
        <f>IFERROR(__xludf.DUMMYFUNCTION("""COMPUTED_VALUE"""),45065.8442124768)</f>
        <v>45065.84421</v>
      </c>
      <c r="D7471" s="15">
        <f>IFERROR(__xludf.DUMMYFUNCTION("""COMPUTED_VALUE"""),1.013)</f>
        <v>1.013</v>
      </c>
      <c r="E7471" s="16">
        <f>IFERROR(__xludf.DUMMYFUNCTION("""COMPUTED_VALUE"""),65.0)</f>
        <v>65</v>
      </c>
      <c r="F7471" s="19" t="str">
        <f>IFERROR(__xludf.DUMMYFUNCTION("""COMPUTED_VALUE"""),"BLACK")</f>
        <v>BLACK</v>
      </c>
      <c r="G7471" s="20" t="str">
        <f>IFERROR(__xludf.DUMMYFUNCTION("""COMPUTED_VALUE"""),"Uncle Sams Cider (04/04/2023)")</f>
        <v>Uncle Sams Cider (04/04/2023)</v>
      </c>
      <c r="H7471" s="19"/>
    </row>
    <row r="7472">
      <c r="A7472" s="9"/>
      <c r="B7472" s="15"/>
      <c r="C7472" s="9">
        <f>IFERROR(__xludf.DUMMYFUNCTION("""COMPUTED_VALUE"""),45065.8337917824)</f>
        <v>45065.83379</v>
      </c>
      <c r="D7472" s="15">
        <f>IFERROR(__xludf.DUMMYFUNCTION("""COMPUTED_VALUE"""),1.013)</f>
        <v>1.013</v>
      </c>
      <c r="E7472" s="16">
        <f>IFERROR(__xludf.DUMMYFUNCTION("""COMPUTED_VALUE"""),65.0)</f>
        <v>65</v>
      </c>
      <c r="F7472" s="19" t="str">
        <f>IFERROR(__xludf.DUMMYFUNCTION("""COMPUTED_VALUE"""),"BLACK")</f>
        <v>BLACK</v>
      </c>
      <c r="G7472" s="20" t="str">
        <f>IFERROR(__xludf.DUMMYFUNCTION("""COMPUTED_VALUE"""),"Uncle Sams Cider (04/04/2023)")</f>
        <v>Uncle Sams Cider (04/04/2023)</v>
      </c>
      <c r="H7472" s="19"/>
    </row>
    <row r="7473">
      <c r="A7473" s="9"/>
      <c r="B7473" s="15"/>
      <c r="C7473" s="9">
        <f>IFERROR(__xludf.DUMMYFUNCTION("""COMPUTED_VALUE"""),45065.8233581944)</f>
        <v>45065.82336</v>
      </c>
      <c r="D7473" s="15">
        <f>IFERROR(__xludf.DUMMYFUNCTION("""COMPUTED_VALUE"""),1.013)</f>
        <v>1.013</v>
      </c>
      <c r="E7473" s="16">
        <f>IFERROR(__xludf.DUMMYFUNCTION("""COMPUTED_VALUE"""),65.0)</f>
        <v>65</v>
      </c>
      <c r="F7473" s="19" t="str">
        <f>IFERROR(__xludf.DUMMYFUNCTION("""COMPUTED_VALUE"""),"BLACK")</f>
        <v>BLACK</v>
      </c>
      <c r="G7473" s="20" t="str">
        <f>IFERROR(__xludf.DUMMYFUNCTION("""COMPUTED_VALUE"""),"Uncle Sams Cider (04/04/2023)")</f>
        <v>Uncle Sams Cider (04/04/2023)</v>
      </c>
      <c r="H7473" s="19"/>
    </row>
    <row r="7474">
      <c r="A7474" s="9"/>
      <c r="B7474" s="15"/>
      <c r="C7474" s="9">
        <f>IFERROR(__xludf.DUMMYFUNCTION("""COMPUTED_VALUE"""),45065.8129371064)</f>
        <v>45065.81294</v>
      </c>
      <c r="D7474" s="15">
        <f>IFERROR(__xludf.DUMMYFUNCTION("""COMPUTED_VALUE"""),1.013)</f>
        <v>1.013</v>
      </c>
      <c r="E7474" s="16">
        <f>IFERROR(__xludf.DUMMYFUNCTION("""COMPUTED_VALUE"""),65.0)</f>
        <v>65</v>
      </c>
      <c r="F7474" s="19" t="str">
        <f>IFERROR(__xludf.DUMMYFUNCTION("""COMPUTED_VALUE"""),"BLACK")</f>
        <v>BLACK</v>
      </c>
      <c r="G7474" s="20" t="str">
        <f>IFERROR(__xludf.DUMMYFUNCTION("""COMPUTED_VALUE"""),"Uncle Sams Cider (04/04/2023)")</f>
        <v>Uncle Sams Cider (04/04/2023)</v>
      </c>
      <c r="H7474" s="19"/>
    </row>
    <row r="7475">
      <c r="A7475" s="9"/>
      <c r="B7475" s="15"/>
      <c r="C7475" s="9">
        <f>IFERROR(__xludf.DUMMYFUNCTION("""COMPUTED_VALUE"""),45065.8024912037)</f>
        <v>45065.80249</v>
      </c>
      <c r="D7475" s="15">
        <f>IFERROR(__xludf.DUMMYFUNCTION("""COMPUTED_VALUE"""),1.013)</f>
        <v>1.013</v>
      </c>
      <c r="E7475" s="16">
        <f>IFERROR(__xludf.DUMMYFUNCTION("""COMPUTED_VALUE"""),65.0)</f>
        <v>65</v>
      </c>
      <c r="F7475" s="19" t="str">
        <f>IFERROR(__xludf.DUMMYFUNCTION("""COMPUTED_VALUE"""),"BLACK")</f>
        <v>BLACK</v>
      </c>
      <c r="G7475" s="20" t="str">
        <f>IFERROR(__xludf.DUMMYFUNCTION("""COMPUTED_VALUE"""),"Uncle Sams Cider (04/04/2023)")</f>
        <v>Uncle Sams Cider (04/04/2023)</v>
      </c>
      <c r="H7475" s="19"/>
    </row>
    <row r="7476">
      <c r="A7476" s="9"/>
      <c r="B7476" s="15"/>
      <c r="C7476" s="9">
        <f>IFERROR(__xludf.DUMMYFUNCTION("""COMPUTED_VALUE"""),45065.7920685879)</f>
        <v>45065.79207</v>
      </c>
      <c r="D7476" s="15">
        <f>IFERROR(__xludf.DUMMYFUNCTION("""COMPUTED_VALUE"""),1.013)</f>
        <v>1.013</v>
      </c>
      <c r="E7476" s="16">
        <f>IFERROR(__xludf.DUMMYFUNCTION("""COMPUTED_VALUE"""),65.0)</f>
        <v>65</v>
      </c>
      <c r="F7476" s="19" t="str">
        <f>IFERROR(__xludf.DUMMYFUNCTION("""COMPUTED_VALUE"""),"BLACK")</f>
        <v>BLACK</v>
      </c>
      <c r="G7476" s="20" t="str">
        <f>IFERROR(__xludf.DUMMYFUNCTION("""COMPUTED_VALUE"""),"Uncle Sams Cider (04/04/2023)")</f>
        <v>Uncle Sams Cider (04/04/2023)</v>
      </c>
      <c r="H7476" s="19"/>
    </row>
    <row r="7477">
      <c r="A7477" s="9"/>
      <c r="B7477" s="15"/>
      <c r="C7477" s="9">
        <f>IFERROR(__xludf.DUMMYFUNCTION("""COMPUTED_VALUE"""),45065.7816465046)</f>
        <v>45065.78165</v>
      </c>
      <c r="D7477" s="15">
        <f>IFERROR(__xludf.DUMMYFUNCTION("""COMPUTED_VALUE"""),1.013)</f>
        <v>1.013</v>
      </c>
      <c r="E7477" s="16">
        <f>IFERROR(__xludf.DUMMYFUNCTION("""COMPUTED_VALUE"""),65.0)</f>
        <v>65</v>
      </c>
      <c r="F7477" s="19" t="str">
        <f>IFERROR(__xludf.DUMMYFUNCTION("""COMPUTED_VALUE"""),"BLACK")</f>
        <v>BLACK</v>
      </c>
      <c r="G7477" s="20" t="str">
        <f>IFERROR(__xludf.DUMMYFUNCTION("""COMPUTED_VALUE"""),"Uncle Sams Cider (04/04/2023)")</f>
        <v>Uncle Sams Cider (04/04/2023)</v>
      </c>
      <c r="H7477" s="19"/>
    </row>
    <row r="7478">
      <c r="A7478" s="9"/>
      <c r="B7478" s="15"/>
      <c r="C7478" s="9">
        <f>IFERROR(__xludf.DUMMYFUNCTION("""COMPUTED_VALUE"""),45065.7712012731)</f>
        <v>45065.7712</v>
      </c>
      <c r="D7478" s="15">
        <f>IFERROR(__xludf.DUMMYFUNCTION("""COMPUTED_VALUE"""),1.013)</f>
        <v>1.013</v>
      </c>
      <c r="E7478" s="16">
        <f>IFERROR(__xludf.DUMMYFUNCTION("""COMPUTED_VALUE"""),65.0)</f>
        <v>65</v>
      </c>
      <c r="F7478" s="19" t="str">
        <f>IFERROR(__xludf.DUMMYFUNCTION("""COMPUTED_VALUE"""),"BLACK")</f>
        <v>BLACK</v>
      </c>
      <c r="G7478" s="20" t="str">
        <f>IFERROR(__xludf.DUMMYFUNCTION("""COMPUTED_VALUE"""),"Uncle Sams Cider (04/04/2023)")</f>
        <v>Uncle Sams Cider (04/04/2023)</v>
      </c>
      <c r="H7478" s="19"/>
    </row>
    <row r="7479">
      <c r="A7479" s="9"/>
      <c r="B7479" s="15"/>
      <c r="C7479" s="9">
        <f>IFERROR(__xludf.DUMMYFUNCTION("""COMPUTED_VALUE"""),45065.7607807407)</f>
        <v>45065.76078</v>
      </c>
      <c r="D7479" s="15">
        <f>IFERROR(__xludf.DUMMYFUNCTION("""COMPUTED_VALUE"""),1.013)</f>
        <v>1.013</v>
      </c>
      <c r="E7479" s="16">
        <f>IFERROR(__xludf.DUMMYFUNCTION("""COMPUTED_VALUE"""),65.0)</f>
        <v>65</v>
      </c>
      <c r="F7479" s="19" t="str">
        <f>IFERROR(__xludf.DUMMYFUNCTION("""COMPUTED_VALUE"""),"BLACK")</f>
        <v>BLACK</v>
      </c>
      <c r="G7479" s="20" t="str">
        <f>IFERROR(__xludf.DUMMYFUNCTION("""COMPUTED_VALUE"""),"Uncle Sams Cider (04/04/2023)")</f>
        <v>Uncle Sams Cider (04/04/2023)</v>
      </c>
      <c r="H7479" s="19"/>
    </row>
    <row r="7480">
      <c r="A7480" s="9"/>
      <c r="B7480" s="15"/>
      <c r="C7480" s="9">
        <f>IFERROR(__xludf.DUMMYFUNCTION("""COMPUTED_VALUE"""),45065.7503492708)</f>
        <v>45065.75035</v>
      </c>
      <c r="D7480" s="15">
        <f>IFERROR(__xludf.DUMMYFUNCTION("""COMPUTED_VALUE"""),1.013)</f>
        <v>1.013</v>
      </c>
      <c r="E7480" s="16">
        <f>IFERROR(__xludf.DUMMYFUNCTION("""COMPUTED_VALUE"""),65.0)</f>
        <v>65</v>
      </c>
      <c r="F7480" s="19" t="str">
        <f>IFERROR(__xludf.DUMMYFUNCTION("""COMPUTED_VALUE"""),"BLACK")</f>
        <v>BLACK</v>
      </c>
      <c r="G7480" s="20" t="str">
        <f>IFERROR(__xludf.DUMMYFUNCTION("""COMPUTED_VALUE"""),"Uncle Sams Cider (04/04/2023)")</f>
        <v>Uncle Sams Cider (04/04/2023)</v>
      </c>
      <c r="H7480" s="19"/>
    </row>
    <row r="7481">
      <c r="A7481" s="9"/>
      <c r="B7481" s="15"/>
      <c r="C7481" s="9">
        <f>IFERROR(__xludf.DUMMYFUNCTION("""COMPUTED_VALUE"""),45065.7399288888)</f>
        <v>45065.73993</v>
      </c>
      <c r="D7481" s="15">
        <f>IFERROR(__xludf.DUMMYFUNCTION("""COMPUTED_VALUE"""),1.013)</f>
        <v>1.013</v>
      </c>
      <c r="E7481" s="16">
        <f>IFERROR(__xludf.DUMMYFUNCTION("""COMPUTED_VALUE"""),65.0)</f>
        <v>65</v>
      </c>
      <c r="F7481" s="19" t="str">
        <f>IFERROR(__xludf.DUMMYFUNCTION("""COMPUTED_VALUE"""),"BLACK")</f>
        <v>BLACK</v>
      </c>
      <c r="G7481" s="20" t="str">
        <f>IFERROR(__xludf.DUMMYFUNCTION("""COMPUTED_VALUE"""),"Uncle Sams Cider (04/04/2023)")</f>
        <v>Uncle Sams Cider (04/04/2023)</v>
      </c>
      <c r="H7481" s="19"/>
    </row>
    <row r="7482">
      <c r="A7482" s="9"/>
      <c r="B7482" s="15"/>
      <c r="C7482" s="9">
        <f>IFERROR(__xludf.DUMMYFUNCTION("""COMPUTED_VALUE"""),45065.7295086342)</f>
        <v>45065.72951</v>
      </c>
      <c r="D7482" s="15">
        <f>IFERROR(__xludf.DUMMYFUNCTION("""COMPUTED_VALUE"""),1.013)</f>
        <v>1.013</v>
      </c>
      <c r="E7482" s="16">
        <f>IFERROR(__xludf.DUMMYFUNCTION("""COMPUTED_VALUE"""),65.0)</f>
        <v>65</v>
      </c>
      <c r="F7482" s="19" t="str">
        <f>IFERROR(__xludf.DUMMYFUNCTION("""COMPUTED_VALUE"""),"BLACK")</f>
        <v>BLACK</v>
      </c>
      <c r="G7482" s="20" t="str">
        <f>IFERROR(__xludf.DUMMYFUNCTION("""COMPUTED_VALUE"""),"Uncle Sams Cider (04/04/2023)")</f>
        <v>Uncle Sams Cider (04/04/2023)</v>
      </c>
      <c r="H7482" s="19"/>
    </row>
    <row r="7483">
      <c r="A7483" s="9"/>
      <c r="B7483" s="15"/>
      <c r="C7483" s="9">
        <f>IFERROR(__xludf.DUMMYFUNCTION("""COMPUTED_VALUE"""),45065.7190751273)</f>
        <v>45065.71908</v>
      </c>
      <c r="D7483" s="15">
        <f>IFERROR(__xludf.DUMMYFUNCTION("""COMPUTED_VALUE"""),1.014)</f>
        <v>1.014</v>
      </c>
      <c r="E7483" s="16">
        <f>IFERROR(__xludf.DUMMYFUNCTION("""COMPUTED_VALUE"""),65.0)</f>
        <v>65</v>
      </c>
      <c r="F7483" s="19" t="str">
        <f>IFERROR(__xludf.DUMMYFUNCTION("""COMPUTED_VALUE"""),"BLACK")</f>
        <v>BLACK</v>
      </c>
      <c r="G7483" s="20" t="str">
        <f>IFERROR(__xludf.DUMMYFUNCTION("""COMPUTED_VALUE"""),"Uncle Sams Cider (04/04/2023)")</f>
        <v>Uncle Sams Cider (04/04/2023)</v>
      </c>
      <c r="H7483" s="19"/>
    </row>
    <row r="7484">
      <c r="A7484" s="9"/>
      <c r="B7484" s="15"/>
      <c r="C7484" s="9">
        <f>IFERROR(__xludf.DUMMYFUNCTION("""COMPUTED_VALUE"""),45065.7086537847)</f>
        <v>45065.70865</v>
      </c>
      <c r="D7484" s="15">
        <f>IFERROR(__xludf.DUMMYFUNCTION("""COMPUTED_VALUE"""),1.013)</f>
        <v>1.013</v>
      </c>
      <c r="E7484" s="16">
        <f>IFERROR(__xludf.DUMMYFUNCTION("""COMPUTED_VALUE"""),65.0)</f>
        <v>65</v>
      </c>
      <c r="F7484" s="19" t="str">
        <f>IFERROR(__xludf.DUMMYFUNCTION("""COMPUTED_VALUE"""),"BLACK")</f>
        <v>BLACK</v>
      </c>
      <c r="G7484" s="20" t="str">
        <f>IFERROR(__xludf.DUMMYFUNCTION("""COMPUTED_VALUE"""),"Uncle Sams Cider (04/04/2023)")</f>
        <v>Uncle Sams Cider (04/04/2023)</v>
      </c>
      <c r="H7484" s="19"/>
    </row>
    <row r="7485">
      <c r="A7485" s="9"/>
      <c r="B7485" s="15"/>
      <c r="C7485" s="9">
        <f>IFERROR(__xludf.DUMMYFUNCTION("""COMPUTED_VALUE"""),45065.6981970717)</f>
        <v>45065.6982</v>
      </c>
      <c r="D7485" s="15">
        <f>IFERROR(__xludf.DUMMYFUNCTION("""COMPUTED_VALUE"""),1.013)</f>
        <v>1.013</v>
      </c>
      <c r="E7485" s="16">
        <f>IFERROR(__xludf.DUMMYFUNCTION("""COMPUTED_VALUE"""),65.0)</f>
        <v>65</v>
      </c>
      <c r="F7485" s="19" t="str">
        <f>IFERROR(__xludf.DUMMYFUNCTION("""COMPUTED_VALUE"""),"BLACK")</f>
        <v>BLACK</v>
      </c>
      <c r="G7485" s="20" t="str">
        <f>IFERROR(__xludf.DUMMYFUNCTION("""COMPUTED_VALUE"""),"Uncle Sams Cider (04/04/2023)")</f>
        <v>Uncle Sams Cider (04/04/2023)</v>
      </c>
      <c r="H7485" s="19"/>
    </row>
    <row r="7486">
      <c r="A7486" s="9"/>
      <c r="B7486" s="15"/>
      <c r="C7486" s="9">
        <f>IFERROR(__xludf.DUMMYFUNCTION("""COMPUTED_VALUE"""),45065.6877639699)</f>
        <v>45065.68776</v>
      </c>
      <c r="D7486" s="15">
        <f>IFERROR(__xludf.DUMMYFUNCTION("""COMPUTED_VALUE"""),1.013)</f>
        <v>1.013</v>
      </c>
      <c r="E7486" s="16">
        <f>IFERROR(__xludf.DUMMYFUNCTION("""COMPUTED_VALUE"""),65.0)</f>
        <v>65</v>
      </c>
      <c r="F7486" s="19" t="str">
        <f>IFERROR(__xludf.DUMMYFUNCTION("""COMPUTED_VALUE"""),"BLACK")</f>
        <v>BLACK</v>
      </c>
      <c r="G7486" s="20" t="str">
        <f>IFERROR(__xludf.DUMMYFUNCTION("""COMPUTED_VALUE"""),"Uncle Sams Cider (04/04/2023)")</f>
        <v>Uncle Sams Cider (04/04/2023)</v>
      </c>
      <c r="H7486" s="19"/>
    </row>
    <row r="7487">
      <c r="A7487" s="9"/>
      <c r="B7487" s="15"/>
      <c r="C7487" s="9">
        <f>IFERROR(__xludf.DUMMYFUNCTION("""COMPUTED_VALUE"""),45065.6773440046)</f>
        <v>45065.67734</v>
      </c>
      <c r="D7487" s="15">
        <f>IFERROR(__xludf.DUMMYFUNCTION("""COMPUTED_VALUE"""),1.013)</f>
        <v>1.013</v>
      </c>
      <c r="E7487" s="16">
        <f>IFERROR(__xludf.DUMMYFUNCTION("""COMPUTED_VALUE"""),65.0)</f>
        <v>65</v>
      </c>
      <c r="F7487" s="19" t="str">
        <f>IFERROR(__xludf.DUMMYFUNCTION("""COMPUTED_VALUE"""),"BLACK")</f>
        <v>BLACK</v>
      </c>
      <c r="G7487" s="20" t="str">
        <f>IFERROR(__xludf.DUMMYFUNCTION("""COMPUTED_VALUE"""),"Uncle Sams Cider (04/04/2023)")</f>
        <v>Uncle Sams Cider (04/04/2023)</v>
      </c>
      <c r="H7487" s="19"/>
    </row>
    <row r="7488">
      <c r="A7488" s="9"/>
      <c r="B7488" s="15"/>
      <c r="C7488" s="9">
        <f>IFERROR(__xludf.DUMMYFUNCTION("""COMPUTED_VALUE"""),45065.6669237847)</f>
        <v>45065.66692</v>
      </c>
      <c r="D7488" s="15">
        <f>IFERROR(__xludf.DUMMYFUNCTION("""COMPUTED_VALUE"""),1.013)</f>
        <v>1.013</v>
      </c>
      <c r="E7488" s="16">
        <f>IFERROR(__xludf.DUMMYFUNCTION("""COMPUTED_VALUE"""),65.0)</f>
        <v>65</v>
      </c>
      <c r="F7488" s="19" t="str">
        <f>IFERROR(__xludf.DUMMYFUNCTION("""COMPUTED_VALUE"""),"BLACK")</f>
        <v>BLACK</v>
      </c>
      <c r="G7488" s="20" t="str">
        <f>IFERROR(__xludf.DUMMYFUNCTION("""COMPUTED_VALUE"""),"Uncle Sams Cider (04/04/2023)")</f>
        <v>Uncle Sams Cider (04/04/2023)</v>
      </c>
      <c r="H7488" s="19"/>
    </row>
    <row r="7489">
      <c r="A7489" s="9"/>
      <c r="B7489" s="15"/>
      <c r="C7489" s="9">
        <f>IFERROR(__xludf.DUMMYFUNCTION("""COMPUTED_VALUE"""),45065.6564915277)</f>
        <v>45065.65649</v>
      </c>
      <c r="D7489" s="15">
        <f>IFERROR(__xludf.DUMMYFUNCTION("""COMPUTED_VALUE"""),1.013)</f>
        <v>1.013</v>
      </c>
      <c r="E7489" s="16">
        <f>IFERROR(__xludf.DUMMYFUNCTION("""COMPUTED_VALUE"""),65.0)</f>
        <v>65</v>
      </c>
      <c r="F7489" s="19" t="str">
        <f>IFERROR(__xludf.DUMMYFUNCTION("""COMPUTED_VALUE"""),"BLACK")</f>
        <v>BLACK</v>
      </c>
      <c r="G7489" s="20" t="str">
        <f>IFERROR(__xludf.DUMMYFUNCTION("""COMPUTED_VALUE"""),"Uncle Sams Cider (04/04/2023)")</f>
        <v>Uncle Sams Cider (04/04/2023)</v>
      </c>
      <c r="H7489" s="19"/>
    </row>
    <row r="7490">
      <c r="A7490" s="9"/>
      <c r="B7490" s="15"/>
      <c r="C7490" s="9">
        <f>IFERROR(__xludf.DUMMYFUNCTION("""COMPUTED_VALUE"""),45065.6460710069)</f>
        <v>45065.64607</v>
      </c>
      <c r="D7490" s="15">
        <f>IFERROR(__xludf.DUMMYFUNCTION("""COMPUTED_VALUE"""),1.013)</f>
        <v>1.013</v>
      </c>
      <c r="E7490" s="16">
        <f>IFERROR(__xludf.DUMMYFUNCTION("""COMPUTED_VALUE"""),65.0)</f>
        <v>65</v>
      </c>
      <c r="F7490" s="19" t="str">
        <f>IFERROR(__xludf.DUMMYFUNCTION("""COMPUTED_VALUE"""),"BLACK")</f>
        <v>BLACK</v>
      </c>
      <c r="G7490" s="20" t="str">
        <f>IFERROR(__xludf.DUMMYFUNCTION("""COMPUTED_VALUE"""),"Uncle Sams Cider (04/04/2023)")</f>
        <v>Uncle Sams Cider (04/04/2023)</v>
      </c>
      <c r="H7490" s="19"/>
    </row>
    <row r="7491">
      <c r="A7491" s="9"/>
      <c r="B7491" s="15"/>
      <c r="C7491" s="9">
        <f>IFERROR(__xludf.DUMMYFUNCTION("""COMPUTED_VALUE"""),45065.6356494328)</f>
        <v>45065.63565</v>
      </c>
      <c r="D7491" s="15">
        <f>IFERROR(__xludf.DUMMYFUNCTION("""COMPUTED_VALUE"""),1.014)</f>
        <v>1.014</v>
      </c>
      <c r="E7491" s="16">
        <f>IFERROR(__xludf.DUMMYFUNCTION("""COMPUTED_VALUE"""),65.0)</f>
        <v>65</v>
      </c>
      <c r="F7491" s="19" t="str">
        <f>IFERROR(__xludf.DUMMYFUNCTION("""COMPUTED_VALUE"""),"BLACK")</f>
        <v>BLACK</v>
      </c>
      <c r="G7491" s="20" t="str">
        <f>IFERROR(__xludf.DUMMYFUNCTION("""COMPUTED_VALUE"""),"Uncle Sams Cider (04/04/2023)")</f>
        <v>Uncle Sams Cider (04/04/2023)</v>
      </c>
      <c r="H7491" s="19"/>
    </row>
    <row r="7492">
      <c r="A7492" s="9"/>
      <c r="B7492" s="15"/>
      <c r="C7492" s="9">
        <f>IFERROR(__xludf.DUMMYFUNCTION("""COMPUTED_VALUE"""),45065.6252181018)</f>
        <v>45065.62522</v>
      </c>
      <c r="D7492" s="15">
        <f>IFERROR(__xludf.DUMMYFUNCTION("""COMPUTED_VALUE"""),1.013)</f>
        <v>1.013</v>
      </c>
      <c r="E7492" s="16">
        <f>IFERROR(__xludf.DUMMYFUNCTION("""COMPUTED_VALUE"""),65.0)</f>
        <v>65</v>
      </c>
      <c r="F7492" s="19" t="str">
        <f>IFERROR(__xludf.DUMMYFUNCTION("""COMPUTED_VALUE"""),"BLACK")</f>
        <v>BLACK</v>
      </c>
      <c r="G7492" s="20" t="str">
        <f>IFERROR(__xludf.DUMMYFUNCTION("""COMPUTED_VALUE"""),"Uncle Sams Cider (04/04/2023)")</f>
        <v>Uncle Sams Cider (04/04/2023)</v>
      </c>
      <c r="H7492" s="19"/>
    </row>
    <row r="7493">
      <c r="A7493" s="9"/>
      <c r="B7493" s="15"/>
      <c r="C7493" s="9">
        <f>IFERROR(__xludf.DUMMYFUNCTION("""COMPUTED_VALUE"""),45065.6147747453)</f>
        <v>45065.61477</v>
      </c>
      <c r="D7493" s="15">
        <f>IFERROR(__xludf.DUMMYFUNCTION("""COMPUTED_VALUE"""),1.013)</f>
        <v>1.013</v>
      </c>
      <c r="E7493" s="16">
        <f>IFERROR(__xludf.DUMMYFUNCTION("""COMPUTED_VALUE"""),65.0)</f>
        <v>65</v>
      </c>
      <c r="F7493" s="19" t="str">
        <f>IFERROR(__xludf.DUMMYFUNCTION("""COMPUTED_VALUE"""),"BLACK")</f>
        <v>BLACK</v>
      </c>
      <c r="G7493" s="20" t="str">
        <f>IFERROR(__xludf.DUMMYFUNCTION("""COMPUTED_VALUE"""),"Uncle Sams Cider (04/04/2023)")</f>
        <v>Uncle Sams Cider (04/04/2023)</v>
      </c>
      <c r="H7493" s="19"/>
    </row>
    <row r="7494">
      <c r="A7494" s="9"/>
      <c r="B7494" s="15"/>
      <c r="C7494" s="9">
        <f>IFERROR(__xludf.DUMMYFUNCTION("""COMPUTED_VALUE"""),45065.6042742476)</f>
        <v>45065.60427</v>
      </c>
      <c r="D7494" s="15">
        <f>IFERROR(__xludf.DUMMYFUNCTION("""COMPUTED_VALUE"""),1.013)</f>
        <v>1.013</v>
      </c>
      <c r="E7494" s="16">
        <f>IFERROR(__xludf.DUMMYFUNCTION("""COMPUTED_VALUE"""),65.0)</f>
        <v>65</v>
      </c>
      <c r="F7494" s="19" t="str">
        <f>IFERROR(__xludf.DUMMYFUNCTION("""COMPUTED_VALUE"""),"BLACK")</f>
        <v>BLACK</v>
      </c>
      <c r="G7494" s="20" t="str">
        <f>IFERROR(__xludf.DUMMYFUNCTION("""COMPUTED_VALUE"""),"Uncle Sams Cider (04/04/2023)")</f>
        <v>Uncle Sams Cider (04/04/2023)</v>
      </c>
      <c r="H7494" s="19"/>
    </row>
    <row r="7495">
      <c r="A7495" s="9"/>
      <c r="B7495" s="15"/>
      <c r="C7495" s="9">
        <f>IFERROR(__xludf.DUMMYFUNCTION("""COMPUTED_VALUE"""),45065.5938529976)</f>
        <v>45065.59385</v>
      </c>
      <c r="D7495" s="15">
        <f>IFERROR(__xludf.DUMMYFUNCTION("""COMPUTED_VALUE"""),1.014)</f>
        <v>1.014</v>
      </c>
      <c r="E7495" s="16">
        <f>IFERROR(__xludf.DUMMYFUNCTION("""COMPUTED_VALUE"""),65.0)</f>
        <v>65</v>
      </c>
      <c r="F7495" s="19" t="str">
        <f>IFERROR(__xludf.DUMMYFUNCTION("""COMPUTED_VALUE"""),"BLACK")</f>
        <v>BLACK</v>
      </c>
      <c r="G7495" s="20" t="str">
        <f>IFERROR(__xludf.DUMMYFUNCTION("""COMPUTED_VALUE"""),"Uncle Sams Cider (04/04/2023)")</f>
        <v>Uncle Sams Cider (04/04/2023)</v>
      </c>
      <c r="H7495" s="19"/>
    </row>
    <row r="7496">
      <c r="A7496" s="9"/>
      <c r="B7496" s="15"/>
      <c r="C7496" s="9">
        <f>IFERROR(__xludf.DUMMYFUNCTION("""COMPUTED_VALUE"""),45065.5834200231)</f>
        <v>45065.58342</v>
      </c>
      <c r="D7496" s="15">
        <f>IFERROR(__xludf.DUMMYFUNCTION("""COMPUTED_VALUE"""),1.013)</f>
        <v>1.013</v>
      </c>
      <c r="E7496" s="16">
        <f>IFERROR(__xludf.DUMMYFUNCTION("""COMPUTED_VALUE"""),65.0)</f>
        <v>65</v>
      </c>
      <c r="F7496" s="19" t="str">
        <f>IFERROR(__xludf.DUMMYFUNCTION("""COMPUTED_VALUE"""),"BLACK")</f>
        <v>BLACK</v>
      </c>
      <c r="G7496" s="20" t="str">
        <f>IFERROR(__xludf.DUMMYFUNCTION("""COMPUTED_VALUE"""),"Uncle Sams Cider (04/04/2023)")</f>
        <v>Uncle Sams Cider (04/04/2023)</v>
      </c>
      <c r="H7496" s="19"/>
    </row>
    <row r="7497">
      <c r="A7497" s="9"/>
      <c r="B7497" s="15"/>
      <c r="C7497" s="9">
        <f>IFERROR(__xludf.DUMMYFUNCTION("""COMPUTED_VALUE"""),45065.5729866666)</f>
        <v>45065.57299</v>
      </c>
      <c r="D7497" s="15">
        <f>IFERROR(__xludf.DUMMYFUNCTION("""COMPUTED_VALUE"""),1.013)</f>
        <v>1.013</v>
      </c>
      <c r="E7497" s="16">
        <f>IFERROR(__xludf.DUMMYFUNCTION("""COMPUTED_VALUE"""),65.0)</f>
        <v>65</v>
      </c>
      <c r="F7497" s="19" t="str">
        <f>IFERROR(__xludf.DUMMYFUNCTION("""COMPUTED_VALUE"""),"BLACK")</f>
        <v>BLACK</v>
      </c>
      <c r="G7497" s="20" t="str">
        <f>IFERROR(__xludf.DUMMYFUNCTION("""COMPUTED_VALUE"""),"Uncle Sams Cider (04/04/2023)")</f>
        <v>Uncle Sams Cider (04/04/2023)</v>
      </c>
      <c r="H7497" s="19"/>
    </row>
    <row r="7498">
      <c r="A7498" s="9"/>
      <c r="B7498" s="15"/>
      <c r="C7498" s="9">
        <f>IFERROR(__xludf.DUMMYFUNCTION("""COMPUTED_VALUE"""),45065.5625653819)</f>
        <v>45065.56257</v>
      </c>
      <c r="D7498" s="15">
        <f>IFERROR(__xludf.DUMMYFUNCTION("""COMPUTED_VALUE"""),1.013)</f>
        <v>1.013</v>
      </c>
      <c r="E7498" s="16">
        <f>IFERROR(__xludf.DUMMYFUNCTION("""COMPUTED_VALUE"""),65.0)</f>
        <v>65</v>
      </c>
      <c r="F7498" s="19" t="str">
        <f>IFERROR(__xludf.DUMMYFUNCTION("""COMPUTED_VALUE"""),"BLACK")</f>
        <v>BLACK</v>
      </c>
      <c r="G7498" s="20" t="str">
        <f>IFERROR(__xludf.DUMMYFUNCTION("""COMPUTED_VALUE"""),"Uncle Sams Cider (04/04/2023)")</f>
        <v>Uncle Sams Cider (04/04/2023)</v>
      </c>
      <c r="H7498" s="19"/>
    </row>
    <row r="7499">
      <c r="A7499" s="9"/>
      <c r="B7499" s="15"/>
      <c r="C7499" s="9">
        <f>IFERROR(__xludf.DUMMYFUNCTION("""COMPUTED_VALUE"""),45065.5521326851)</f>
        <v>45065.55213</v>
      </c>
      <c r="D7499" s="15">
        <f>IFERROR(__xludf.DUMMYFUNCTION("""COMPUTED_VALUE"""),1.013)</f>
        <v>1.013</v>
      </c>
      <c r="E7499" s="16">
        <f>IFERROR(__xludf.DUMMYFUNCTION("""COMPUTED_VALUE"""),65.0)</f>
        <v>65</v>
      </c>
      <c r="F7499" s="19" t="str">
        <f>IFERROR(__xludf.DUMMYFUNCTION("""COMPUTED_VALUE"""),"BLACK")</f>
        <v>BLACK</v>
      </c>
      <c r="G7499" s="20" t="str">
        <f>IFERROR(__xludf.DUMMYFUNCTION("""COMPUTED_VALUE"""),"Uncle Sams Cider (04/04/2023)")</f>
        <v>Uncle Sams Cider (04/04/2023)</v>
      </c>
      <c r="H7499" s="19"/>
    </row>
    <row r="7500">
      <c r="A7500" s="9"/>
      <c r="B7500" s="15"/>
      <c r="C7500" s="9">
        <f>IFERROR(__xludf.DUMMYFUNCTION("""COMPUTED_VALUE"""),45065.5416870717)</f>
        <v>45065.54169</v>
      </c>
      <c r="D7500" s="15">
        <f>IFERROR(__xludf.DUMMYFUNCTION("""COMPUTED_VALUE"""),1.013)</f>
        <v>1.013</v>
      </c>
      <c r="E7500" s="16">
        <f>IFERROR(__xludf.DUMMYFUNCTION("""COMPUTED_VALUE"""),65.0)</f>
        <v>65</v>
      </c>
      <c r="F7500" s="19" t="str">
        <f>IFERROR(__xludf.DUMMYFUNCTION("""COMPUTED_VALUE"""),"BLACK")</f>
        <v>BLACK</v>
      </c>
      <c r="G7500" s="20" t="str">
        <f>IFERROR(__xludf.DUMMYFUNCTION("""COMPUTED_VALUE"""),"Uncle Sams Cider (04/04/2023)")</f>
        <v>Uncle Sams Cider (04/04/2023)</v>
      </c>
      <c r="H7500" s="19"/>
    </row>
    <row r="7501">
      <c r="A7501" s="9"/>
      <c r="B7501" s="15"/>
      <c r="C7501" s="9">
        <f>IFERROR(__xludf.DUMMYFUNCTION("""COMPUTED_VALUE"""),45065.5312656365)</f>
        <v>45065.53127</v>
      </c>
      <c r="D7501" s="15">
        <f>IFERROR(__xludf.DUMMYFUNCTION("""COMPUTED_VALUE"""),1.013)</f>
        <v>1.013</v>
      </c>
      <c r="E7501" s="16">
        <f>IFERROR(__xludf.DUMMYFUNCTION("""COMPUTED_VALUE"""),65.0)</f>
        <v>65</v>
      </c>
      <c r="F7501" s="19" t="str">
        <f>IFERROR(__xludf.DUMMYFUNCTION("""COMPUTED_VALUE"""),"BLACK")</f>
        <v>BLACK</v>
      </c>
      <c r="G7501" s="20" t="str">
        <f>IFERROR(__xludf.DUMMYFUNCTION("""COMPUTED_VALUE"""),"Uncle Sams Cider (04/04/2023)")</f>
        <v>Uncle Sams Cider (04/04/2023)</v>
      </c>
      <c r="H7501" s="19"/>
    </row>
    <row r="7502">
      <c r="A7502" s="9"/>
      <c r="B7502" s="15"/>
      <c r="C7502" s="9">
        <f>IFERROR(__xludf.DUMMYFUNCTION("""COMPUTED_VALUE"""),45065.5208344907)</f>
        <v>45065.52083</v>
      </c>
      <c r="D7502" s="15">
        <f>IFERROR(__xludf.DUMMYFUNCTION("""COMPUTED_VALUE"""),1.013)</f>
        <v>1.013</v>
      </c>
      <c r="E7502" s="16">
        <f>IFERROR(__xludf.DUMMYFUNCTION("""COMPUTED_VALUE"""),65.0)</f>
        <v>65</v>
      </c>
      <c r="F7502" s="19" t="str">
        <f>IFERROR(__xludf.DUMMYFUNCTION("""COMPUTED_VALUE"""),"BLACK")</f>
        <v>BLACK</v>
      </c>
      <c r="G7502" s="20" t="str">
        <f>IFERROR(__xludf.DUMMYFUNCTION("""COMPUTED_VALUE"""),"Uncle Sams Cider (04/04/2023)")</f>
        <v>Uncle Sams Cider (04/04/2023)</v>
      </c>
      <c r="H7502" s="19"/>
    </row>
    <row r="7503">
      <c r="A7503" s="9"/>
      <c r="B7503" s="15"/>
      <c r="C7503" s="9">
        <f>IFERROR(__xludf.DUMMYFUNCTION("""COMPUTED_VALUE"""),45065.5104135995)</f>
        <v>45065.51041</v>
      </c>
      <c r="D7503" s="15">
        <f>IFERROR(__xludf.DUMMYFUNCTION("""COMPUTED_VALUE"""),1.013)</f>
        <v>1.013</v>
      </c>
      <c r="E7503" s="16">
        <f>IFERROR(__xludf.DUMMYFUNCTION("""COMPUTED_VALUE"""),65.0)</f>
        <v>65</v>
      </c>
      <c r="F7503" s="19" t="str">
        <f>IFERROR(__xludf.DUMMYFUNCTION("""COMPUTED_VALUE"""),"BLACK")</f>
        <v>BLACK</v>
      </c>
      <c r="G7503" s="20" t="str">
        <f>IFERROR(__xludf.DUMMYFUNCTION("""COMPUTED_VALUE"""),"Uncle Sams Cider (04/04/2023)")</f>
        <v>Uncle Sams Cider (04/04/2023)</v>
      </c>
      <c r="H7503" s="19"/>
    </row>
    <row r="7504">
      <c r="A7504" s="9"/>
      <c r="B7504" s="15"/>
      <c r="C7504" s="9">
        <f>IFERROR(__xludf.DUMMYFUNCTION("""COMPUTED_VALUE"""),45065.4999922685)</f>
        <v>45065.49999</v>
      </c>
      <c r="D7504" s="15">
        <f>IFERROR(__xludf.DUMMYFUNCTION("""COMPUTED_VALUE"""),1.014)</f>
        <v>1.014</v>
      </c>
      <c r="E7504" s="16">
        <f>IFERROR(__xludf.DUMMYFUNCTION("""COMPUTED_VALUE"""),65.0)</f>
        <v>65</v>
      </c>
      <c r="F7504" s="19" t="str">
        <f>IFERROR(__xludf.DUMMYFUNCTION("""COMPUTED_VALUE"""),"BLACK")</f>
        <v>BLACK</v>
      </c>
      <c r="G7504" s="20" t="str">
        <f>IFERROR(__xludf.DUMMYFUNCTION("""COMPUTED_VALUE"""),"Uncle Sams Cider (04/04/2023)")</f>
        <v>Uncle Sams Cider (04/04/2023)</v>
      </c>
      <c r="H7504" s="19"/>
    </row>
    <row r="7505">
      <c r="A7505" s="9"/>
      <c r="B7505" s="15"/>
      <c r="C7505" s="9">
        <f>IFERROR(__xludf.DUMMYFUNCTION("""COMPUTED_VALUE"""),45065.4895477199)</f>
        <v>45065.48955</v>
      </c>
      <c r="D7505" s="15">
        <f>IFERROR(__xludf.DUMMYFUNCTION("""COMPUTED_VALUE"""),1.014)</f>
        <v>1.014</v>
      </c>
      <c r="E7505" s="16">
        <f>IFERROR(__xludf.DUMMYFUNCTION("""COMPUTED_VALUE"""),65.0)</f>
        <v>65</v>
      </c>
      <c r="F7505" s="19" t="str">
        <f>IFERROR(__xludf.DUMMYFUNCTION("""COMPUTED_VALUE"""),"BLACK")</f>
        <v>BLACK</v>
      </c>
      <c r="G7505" s="20" t="str">
        <f>IFERROR(__xludf.DUMMYFUNCTION("""COMPUTED_VALUE"""),"Uncle Sams Cider (04/04/2023)")</f>
        <v>Uncle Sams Cider (04/04/2023)</v>
      </c>
      <c r="H7505" s="19"/>
    </row>
    <row r="7506">
      <c r="A7506" s="9"/>
      <c r="B7506" s="15"/>
      <c r="C7506" s="9">
        <f>IFERROR(__xludf.DUMMYFUNCTION("""COMPUTED_VALUE"""),45065.4791145833)</f>
        <v>45065.47911</v>
      </c>
      <c r="D7506" s="15">
        <f>IFERROR(__xludf.DUMMYFUNCTION("""COMPUTED_VALUE"""),1.013)</f>
        <v>1.013</v>
      </c>
      <c r="E7506" s="16">
        <f>IFERROR(__xludf.DUMMYFUNCTION("""COMPUTED_VALUE"""),65.0)</f>
        <v>65</v>
      </c>
      <c r="F7506" s="19" t="str">
        <f>IFERROR(__xludf.DUMMYFUNCTION("""COMPUTED_VALUE"""),"BLACK")</f>
        <v>BLACK</v>
      </c>
      <c r="G7506" s="20" t="str">
        <f>IFERROR(__xludf.DUMMYFUNCTION("""COMPUTED_VALUE"""),"Uncle Sams Cider (04/04/2023)")</f>
        <v>Uncle Sams Cider (04/04/2023)</v>
      </c>
      <c r="H7506" s="19"/>
    </row>
    <row r="7507">
      <c r="A7507" s="9"/>
      <c r="B7507" s="15"/>
      <c r="C7507" s="9">
        <f>IFERROR(__xludf.DUMMYFUNCTION("""COMPUTED_VALUE"""),45065.4686693981)</f>
        <v>45065.46867</v>
      </c>
      <c r="D7507" s="15">
        <f>IFERROR(__xludf.DUMMYFUNCTION("""COMPUTED_VALUE"""),1.013)</f>
        <v>1.013</v>
      </c>
      <c r="E7507" s="16">
        <f>IFERROR(__xludf.DUMMYFUNCTION("""COMPUTED_VALUE"""),65.0)</f>
        <v>65</v>
      </c>
      <c r="F7507" s="19" t="str">
        <f>IFERROR(__xludf.DUMMYFUNCTION("""COMPUTED_VALUE"""),"BLACK")</f>
        <v>BLACK</v>
      </c>
      <c r="G7507" s="20" t="str">
        <f>IFERROR(__xludf.DUMMYFUNCTION("""COMPUTED_VALUE"""),"Uncle Sams Cider (04/04/2023)")</f>
        <v>Uncle Sams Cider (04/04/2023)</v>
      </c>
      <c r="H7507" s="19"/>
    </row>
    <row r="7508">
      <c r="A7508" s="9"/>
      <c r="B7508" s="15"/>
      <c r="C7508" s="9">
        <f>IFERROR(__xludf.DUMMYFUNCTION("""COMPUTED_VALUE"""),45065.4582123958)</f>
        <v>45065.45821</v>
      </c>
      <c r="D7508" s="15">
        <f>IFERROR(__xludf.DUMMYFUNCTION("""COMPUTED_VALUE"""),1.014)</f>
        <v>1.014</v>
      </c>
      <c r="E7508" s="16">
        <f>IFERROR(__xludf.DUMMYFUNCTION("""COMPUTED_VALUE"""),65.0)</f>
        <v>65</v>
      </c>
      <c r="F7508" s="19" t="str">
        <f>IFERROR(__xludf.DUMMYFUNCTION("""COMPUTED_VALUE"""),"BLACK")</f>
        <v>BLACK</v>
      </c>
      <c r="G7508" s="20" t="str">
        <f>IFERROR(__xludf.DUMMYFUNCTION("""COMPUTED_VALUE"""),"Uncle Sams Cider (04/04/2023)")</f>
        <v>Uncle Sams Cider (04/04/2023)</v>
      </c>
      <c r="H7508" s="19"/>
    </row>
    <row r="7509">
      <c r="A7509" s="9"/>
      <c r="B7509" s="15"/>
      <c r="C7509" s="9">
        <f>IFERROR(__xludf.DUMMYFUNCTION("""COMPUTED_VALUE"""),45065.4477678009)</f>
        <v>45065.44777</v>
      </c>
      <c r="D7509" s="15">
        <f>IFERROR(__xludf.DUMMYFUNCTION("""COMPUTED_VALUE"""),1.013)</f>
        <v>1.013</v>
      </c>
      <c r="E7509" s="16">
        <f>IFERROR(__xludf.DUMMYFUNCTION("""COMPUTED_VALUE"""),65.0)</f>
        <v>65</v>
      </c>
      <c r="F7509" s="19" t="str">
        <f>IFERROR(__xludf.DUMMYFUNCTION("""COMPUTED_VALUE"""),"BLACK")</f>
        <v>BLACK</v>
      </c>
      <c r="G7509" s="20" t="str">
        <f>IFERROR(__xludf.DUMMYFUNCTION("""COMPUTED_VALUE"""),"Uncle Sams Cider (04/04/2023)")</f>
        <v>Uncle Sams Cider (04/04/2023)</v>
      </c>
      <c r="H7509" s="19"/>
    </row>
    <row r="7510">
      <c r="A7510" s="9"/>
      <c r="B7510" s="15"/>
      <c r="C7510" s="9">
        <f>IFERROR(__xludf.DUMMYFUNCTION("""COMPUTED_VALUE"""),45065.4373120486)</f>
        <v>45065.43731</v>
      </c>
      <c r="D7510" s="15">
        <f>IFERROR(__xludf.DUMMYFUNCTION("""COMPUTED_VALUE"""),1.013)</f>
        <v>1.013</v>
      </c>
      <c r="E7510" s="16">
        <f>IFERROR(__xludf.DUMMYFUNCTION("""COMPUTED_VALUE"""),65.0)</f>
        <v>65</v>
      </c>
      <c r="F7510" s="19" t="str">
        <f>IFERROR(__xludf.DUMMYFUNCTION("""COMPUTED_VALUE"""),"BLACK")</f>
        <v>BLACK</v>
      </c>
      <c r="G7510" s="20" t="str">
        <f>IFERROR(__xludf.DUMMYFUNCTION("""COMPUTED_VALUE"""),"Uncle Sams Cider (04/04/2023)")</f>
        <v>Uncle Sams Cider (04/04/2023)</v>
      </c>
      <c r="H7510" s="19"/>
    </row>
    <row r="7511">
      <c r="A7511" s="9"/>
      <c r="B7511" s="15"/>
      <c r="C7511" s="9">
        <f>IFERROR(__xludf.DUMMYFUNCTION("""COMPUTED_VALUE"""),45065.4268896643)</f>
        <v>45065.42689</v>
      </c>
      <c r="D7511" s="15">
        <f>IFERROR(__xludf.DUMMYFUNCTION("""COMPUTED_VALUE"""),1.014)</f>
        <v>1.014</v>
      </c>
      <c r="E7511" s="16">
        <f>IFERROR(__xludf.DUMMYFUNCTION("""COMPUTED_VALUE"""),65.0)</f>
        <v>65</v>
      </c>
      <c r="F7511" s="19" t="str">
        <f>IFERROR(__xludf.DUMMYFUNCTION("""COMPUTED_VALUE"""),"BLACK")</f>
        <v>BLACK</v>
      </c>
      <c r="G7511" s="20" t="str">
        <f>IFERROR(__xludf.DUMMYFUNCTION("""COMPUTED_VALUE"""),"Uncle Sams Cider (04/04/2023)")</f>
        <v>Uncle Sams Cider (04/04/2023)</v>
      </c>
      <c r="H7511" s="19"/>
    </row>
    <row r="7512">
      <c r="A7512" s="9"/>
      <c r="B7512" s="15"/>
      <c r="C7512" s="9">
        <f>IFERROR(__xludf.DUMMYFUNCTION("""COMPUTED_VALUE"""),45065.4164689351)</f>
        <v>45065.41647</v>
      </c>
      <c r="D7512" s="15">
        <f>IFERROR(__xludf.DUMMYFUNCTION("""COMPUTED_VALUE"""),1.014)</f>
        <v>1.014</v>
      </c>
      <c r="E7512" s="16">
        <f>IFERROR(__xludf.DUMMYFUNCTION("""COMPUTED_VALUE"""),65.0)</f>
        <v>65</v>
      </c>
      <c r="F7512" s="19" t="str">
        <f>IFERROR(__xludf.DUMMYFUNCTION("""COMPUTED_VALUE"""),"BLACK")</f>
        <v>BLACK</v>
      </c>
      <c r="G7512" s="20" t="str">
        <f>IFERROR(__xludf.DUMMYFUNCTION("""COMPUTED_VALUE"""),"Uncle Sams Cider (04/04/2023)")</f>
        <v>Uncle Sams Cider (04/04/2023)</v>
      </c>
      <c r="H7512" s="19"/>
    </row>
    <row r="7513">
      <c r="A7513" s="9"/>
      <c r="B7513" s="15"/>
      <c r="C7513" s="9">
        <f>IFERROR(__xludf.DUMMYFUNCTION("""COMPUTED_VALUE"""),45065.4060467939)</f>
        <v>45065.40605</v>
      </c>
      <c r="D7513" s="15">
        <f>IFERROR(__xludf.DUMMYFUNCTION("""COMPUTED_VALUE"""),1.013)</f>
        <v>1.013</v>
      </c>
      <c r="E7513" s="16">
        <f>IFERROR(__xludf.DUMMYFUNCTION("""COMPUTED_VALUE"""),65.0)</f>
        <v>65</v>
      </c>
      <c r="F7513" s="19" t="str">
        <f>IFERROR(__xludf.DUMMYFUNCTION("""COMPUTED_VALUE"""),"BLACK")</f>
        <v>BLACK</v>
      </c>
      <c r="G7513" s="20" t="str">
        <f>IFERROR(__xludf.DUMMYFUNCTION("""COMPUTED_VALUE"""),"Uncle Sams Cider (04/04/2023)")</f>
        <v>Uncle Sams Cider (04/04/2023)</v>
      </c>
      <c r="H7513" s="19"/>
    </row>
    <row r="7514">
      <c r="A7514" s="9"/>
      <c r="B7514" s="15"/>
      <c r="C7514" s="9">
        <f>IFERROR(__xludf.DUMMYFUNCTION("""COMPUTED_VALUE"""),45065.395625405)</f>
        <v>45065.39563</v>
      </c>
      <c r="D7514" s="15">
        <f>IFERROR(__xludf.DUMMYFUNCTION("""COMPUTED_VALUE"""),1.014)</f>
        <v>1.014</v>
      </c>
      <c r="E7514" s="16">
        <f>IFERROR(__xludf.DUMMYFUNCTION("""COMPUTED_VALUE"""),65.0)</f>
        <v>65</v>
      </c>
      <c r="F7514" s="19" t="str">
        <f>IFERROR(__xludf.DUMMYFUNCTION("""COMPUTED_VALUE"""),"BLACK")</f>
        <v>BLACK</v>
      </c>
      <c r="G7514" s="20" t="str">
        <f>IFERROR(__xludf.DUMMYFUNCTION("""COMPUTED_VALUE"""),"Uncle Sams Cider (04/04/2023)")</f>
        <v>Uncle Sams Cider (04/04/2023)</v>
      </c>
      <c r="H7514" s="19"/>
    </row>
    <row r="7515">
      <c r="A7515" s="9"/>
      <c r="B7515" s="15"/>
      <c r="C7515" s="9">
        <f>IFERROR(__xludf.DUMMYFUNCTION("""COMPUTED_VALUE"""),45065.3851706828)</f>
        <v>45065.38517</v>
      </c>
      <c r="D7515" s="15">
        <f>IFERROR(__xludf.DUMMYFUNCTION("""COMPUTED_VALUE"""),1.014)</f>
        <v>1.014</v>
      </c>
      <c r="E7515" s="16">
        <f>IFERROR(__xludf.DUMMYFUNCTION("""COMPUTED_VALUE"""),65.0)</f>
        <v>65</v>
      </c>
      <c r="F7515" s="19" t="str">
        <f>IFERROR(__xludf.DUMMYFUNCTION("""COMPUTED_VALUE"""),"BLACK")</f>
        <v>BLACK</v>
      </c>
      <c r="G7515" s="20" t="str">
        <f>IFERROR(__xludf.DUMMYFUNCTION("""COMPUTED_VALUE"""),"Uncle Sams Cider (04/04/2023)")</f>
        <v>Uncle Sams Cider (04/04/2023)</v>
      </c>
      <c r="H7515" s="19"/>
    </row>
    <row r="7516">
      <c r="A7516" s="9"/>
      <c r="B7516" s="15"/>
      <c r="C7516" s="9">
        <f>IFERROR(__xludf.DUMMYFUNCTION("""COMPUTED_VALUE"""),45065.3747388425)</f>
        <v>45065.37474</v>
      </c>
      <c r="D7516" s="15">
        <f>IFERROR(__xludf.DUMMYFUNCTION("""COMPUTED_VALUE"""),1.014)</f>
        <v>1.014</v>
      </c>
      <c r="E7516" s="16">
        <f>IFERROR(__xludf.DUMMYFUNCTION("""COMPUTED_VALUE"""),66.0)</f>
        <v>66</v>
      </c>
      <c r="F7516" s="19" t="str">
        <f>IFERROR(__xludf.DUMMYFUNCTION("""COMPUTED_VALUE"""),"BLACK")</f>
        <v>BLACK</v>
      </c>
      <c r="G7516" s="20" t="str">
        <f>IFERROR(__xludf.DUMMYFUNCTION("""COMPUTED_VALUE"""),"Uncle Sams Cider (04/04/2023)")</f>
        <v>Uncle Sams Cider (04/04/2023)</v>
      </c>
      <c r="H7516" s="19"/>
    </row>
    <row r="7517">
      <c r="A7517" s="9"/>
      <c r="B7517" s="15"/>
      <c r="C7517" s="9">
        <f>IFERROR(__xludf.DUMMYFUNCTION("""COMPUTED_VALUE"""),45065.3642920486)</f>
        <v>45065.36429</v>
      </c>
      <c r="D7517" s="15">
        <f>IFERROR(__xludf.DUMMYFUNCTION("""COMPUTED_VALUE"""),1.014)</f>
        <v>1.014</v>
      </c>
      <c r="E7517" s="16">
        <f>IFERROR(__xludf.DUMMYFUNCTION("""COMPUTED_VALUE"""),65.0)</f>
        <v>65</v>
      </c>
      <c r="F7517" s="19" t="str">
        <f>IFERROR(__xludf.DUMMYFUNCTION("""COMPUTED_VALUE"""),"BLACK")</f>
        <v>BLACK</v>
      </c>
      <c r="G7517" s="20" t="str">
        <f>IFERROR(__xludf.DUMMYFUNCTION("""COMPUTED_VALUE"""),"Uncle Sams Cider (04/04/2023)")</f>
        <v>Uncle Sams Cider (04/04/2023)</v>
      </c>
      <c r="H7517" s="19"/>
    </row>
    <row r="7518">
      <c r="A7518" s="9"/>
      <c r="B7518" s="15"/>
      <c r="C7518" s="9">
        <f>IFERROR(__xludf.DUMMYFUNCTION("""COMPUTED_VALUE"""),45065.353860405)</f>
        <v>45065.35386</v>
      </c>
      <c r="D7518" s="15">
        <f>IFERROR(__xludf.DUMMYFUNCTION("""COMPUTED_VALUE"""),1.013)</f>
        <v>1.013</v>
      </c>
      <c r="E7518" s="16">
        <f>IFERROR(__xludf.DUMMYFUNCTION("""COMPUTED_VALUE"""),65.0)</f>
        <v>65</v>
      </c>
      <c r="F7518" s="19" t="str">
        <f>IFERROR(__xludf.DUMMYFUNCTION("""COMPUTED_VALUE"""),"BLACK")</f>
        <v>BLACK</v>
      </c>
      <c r="G7518" s="20" t="str">
        <f>IFERROR(__xludf.DUMMYFUNCTION("""COMPUTED_VALUE"""),"Uncle Sams Cider (04/04/2023)")</f>
        <v>Uncle Sams Cider (04/04/2023)</v>
      </c>
      <c r="H7518" s="19"/>
    </row>
    <row r="7519">
      <c r="A7519" s="9"/>
      <c r="B7519" s="15"/>
      <c r="C7519" s="9">
        <f>IFERROR(__xludf.DUMMYFUNCTION("""COMPUTED_VALUE"""),45065.3434267013)</f>
        <v>45065.34343</v>
      </c>
      <c r="D7519" s="15">
        <f>IFERROR(__xludf.DUMMYFUNCTION("""COMPUTED_VALUE"""),1.013)</f>
        <v>1.013</v>
      </c>
      <c r="E7519" s="16">
        <f>IFERROR(__xludf.DUMMYFUNCTION("""COMPUTED_VALUE"""),66.0)</f>
        <v>66</v>
      </c>
      <c r="F7519" s="19" t="str">
        <f>IFERROR(__xludf.DUMMYFUNCTION("""COMPUTED_VALUE"""),"BLACK")</f>
        <v>BLACK</v>
      </c>
      <c r="G7519" s="20" t="str">
        <f>IFERROR(__xludf.DUMMYFUNCTION("""COMPUTED_VALUE"""),"Uncle Sams Cider (04/04/2023)")</f>
        <v>Uncle Sams Cider (04/04/2023)</v>
      </c>
      <c r="H7519" s="19"/>
    </row>
    <row r="7520">
      <c r="A7520" s="9"/>
      <c r="B7520" s="15"/>
      <c r="C7520" s="9">
        <f>IFERROR(__xludf.DUMMYFUNCTION("""COMPUTED_VALUE"""),45065.333005162)</f>
        <v>45065.33301</v>
      </c>
      <c r="D7520" s="15">
        <f>IFERROR(__xludf.DUMMYFUNCTION("""COMPUTED_VALUE"""),1.013)</f>
        <v>1.013</v>
      </c>
      <c r="E7520" s="16">
        <f>IFERROR(__xludf.DUMMYFUNCTION("""COMPUTED_VALUE"""),66.0)</f>
        <v>66</v>
      </c>
      <c r="F7520" s="19" t="str">
        <f>IFERROR(__xludf.DUMMYFUNCTION("""COMPUTED_VALUE"""),"BLACK")</f>
        <v>BLACK</v>
      </c>
      <c r="G7520" s="20" t="str">
        <f>IFERROR(__xludf.DUMMYFUNCTION("""COMPUTED_VALUE"""),"Uncle Sams Cider (04/04/2023)")</f>
        <v>Uncle Sams Cider (04/04/2023)</v>
      </c>
      <c r="H7520" s="19"/>
    </row>
    <row r="7521">
      <c r="A7521" s="9"/>
      <c r="B7521" s="15"/>
      <c r="C7521" s="9">
        <f>IFERROR(__xludf.DUMMYFUNCTION("""COMPUTED_VALUE"""),45065.3225835185)</f>
        <v>45065.32258</v>
      </c>
      <c r="D7521" s="15">
        <f>IFERROR(__xludf.DUMMYFUNCTION("""COMPUTED_VALUE"""),1.013)</f>
        <v>1.013</v>
      </c>
      <c r="E7521" s="16">
        <f>IFERROR(__xludf.DUMMYFUNCTION("""COMPUTED_VALUE"""),65.0)</f>
        <v>65</v>
      </c>
      <c r="F7521" s="19" t="str">
        <f>IFERROR(__xludf.DUMMYFUNCTION("""COMPUTED_VALUE"""),"BLACK")</f>
        <v>BLACK</v>
      </c>
      <c r="G7521" s="20" t="str">
        <f>IFERROR(__xludf.DUMMYFUNCTION("""COMPUTED_VALUE"""),"Uncle Sams Cider (04/04/2023)")</f>
        <v>Uncle Sams Cider (04/04/2023)</v>
      </c>
      <c r="H7521" s="19"/>
    </row>
    <row r="7522">
      <c r="A7522" s="9"/>
      <c r="B7522" s="15"/>
      <c r="C7522" s="9">
        <f>IFERROR(__xludf.DUMMYFUNCTION("""COMPUTED_VALUE"""),45065.3121604282)</f>
        <v>45065.31216</v>
      </c>
      <c r="D7522" s="15">
        <f>IFERROR(__xludf.DUMMYFUNCTION("""COMPUTED_VALUE"""),1.013)</f>
        <v>1.013</v>
      </c>
      <c r="E7522" s="16">
        <f>IFERROR(__xludf.DUMMYFUNCTION("""COMPUTED_VALUE"""),66.0)</f>
        <v>66</v>
      </c>
      <c r="F7522" s="19" t="str">
        <f>IFERROR(__xludf.DUMMYFUNCTION("""COMPUTED_VALUE"""),"BLACK")</f>
        <v>BLACK</v>
      </c>
      <c r="G7522" s="20" t="str">
        <f>IFERROR(__xludf.DUMMYFUNCTION("""COMPUTED_VALUE"""),"Uncle Sams Cider (04/04/2023)")</f>
        <v>Uncle Sams Cider (04/04/2023)</v>
      </c>
      <c r="H7522" s="19"/>
    </row>
    <row r="7523">
      <c r="A7523" s="9"/>
      <c r="B7523" s="15"/>
      <c r="C7523" s="9">
        <f>IFERROR(__xludf.DUMMYFUNCTION("""COMPUTED_VALUE"""),45065.3017378819)</f>
        <v>45065.30174</v>
      </c>
      <c r="D7523" s="15">
        <f>IFERROR(__xludf.DUMMYFUNCTION("""COMPUTED_VALUE"""),1.014)</f>
        <v>1.014</v>
      </c>
      <c r="E7523" s="16">
        <f>IFERROR(__xludf.DUMMYFUNCTION("""COMPUTED_VALUE"""),65.0)</f>
        <v>65</v>
      </c>
      <c r="F7523" s="19" t="str">
        <f>IFERROR(__xludf.DUMMYFUNCTION("""COMPUTED_VALUE"""),"BLACK")</f>
        <v>BLACK</v>
      </c>
      <c r="G7523" s="20" t="str">
        <f>IFERROR(__xludf.DUMMYFUNCTION("""COMPUTED_VALUE"""),"Uncle Sams Cider (04/04/2023)")</f>
        <v>Uncle Sams Cider (04/04/2023)</v>
      </c>
      <c r="H7523" s="19"/>
    </row>
    <row r="7524">
      <c r="A7524" s="9"/>
      <c r="B7524" s="15"/>
      <c r="C7524" s="9">
        <f>IFERROR(__xludf.DUMMYFUNCTION("""COMPUTED_VALUE"""),45065.2913153819)</f>
        <v>45065.29132</v>
      </c>
      <c r="D7524" s="15">
        <f>IFERROR(__xludf.DUMMYFUNCTION("""COMPUTED_VALUE"""),1.013)</f>
        <v>1.013</v>
      </c>
      <c r="E7524" s="16">
        <f>IFERROR(__xludf.DUMMYFUNCTION("""COMPUTED_VALUE"""),65.0)</f>
        <v>65</v>
      </c>
      <c r="F7524" s="19" t="str">
        <f>IFERROR(__xludf.DUMMYFUNCTION("""COMPUTED_VALUE"""),"BLACK")</f>
        <v>BLACK</v>
      </c>
      <c r="G7524" s="20" t="str">
        <f>IFERROR(__xludf.DUMMYFUNCTION("""COMPUTED_VALUE"""),"Uncle Sams Cider (04/04/2023)")</f>
        <v>Uncle Sams Cider (04/04/2023)</v>
      </c>
      <c r="H7524" s="19"/>
    </row>
    <row r="7525">
      <c r="A7525" s="9"/>
      <c r="B7525" s="15"/>
      <c r="C7525" s="9">
        <f>IFERROR(__xludf.DUMMYFUNCTION("""COMPUTED_VALUE"""),45065.280892662)</f>
        <v>45065.28089</v>
      </c>
      <c r="D7525" s="15">
        <f>IFERROR(__xludf.DUMMYFUNCTION("""COMPUTED_VALUE"""),1.014)</f>
        <v>1.014</v>
      </c>
      <c r="E7525" s="16">
        <f>IFERROR(__xludf.DUMMYFUNCTION("""COMPUTED_VALUE"""),66.0)</f>
        <v>66</v>
      </c>
      <c r="F7525" s="19" t="str">
        <f>IFERROR(__xludf.DUMMYFUNCTION("""COMPUTED_VALUE"""),"BLACK")</f>
        <v>BLACK</v>
      </c>
      <c r="G7525" s="20" t="str">
        <f>IFERROR(__xludf.DUMMYFUNCTION("""COMPUTED_VALUE"""),"Uncle Sams Cider (04/04/2023)")</f>
        <v>Uncle Sams Cider (04/04/2023)</v>
      </c>
      <c r="H7525" s="19"/>
    </row>
    <row r="7526">
      <c r="A7526" s="9"/>
      <c r="B7526" s="15"/>
      <c r="C7526" s="9">
        <f>IFERROR(__xludf.DUMMYFUNCTION("""COMPUTED_VALUE"""),45065.2704598032)</f>
        <v>45065.27046</v>
      </c>
      <c r="D7526" s="15">
        <f>IFERROR(__xludf.DUMMYFUNCTION("""COMPUTED_VALUE"""),1.014)</f>
        <v>1.014</v>
      </c>
      <c r="E7526" s="16">
        <f>IFERROR(__xludf.DUMMYFUNCTION("""COMPUTED_VALUE"""),66.0)</f>
        <v>66</v>
      </c>
      <c r="F7526" s="19" t="str">
        <f>IFERROR(__xludf.DUMMYFUNCTION("""COMPUTED_VALUE"""),"BLACK")</f>
        <v>BLACK</v>
      </c>
      <c r="G7526" s="20" t="str">
        <f>IFERROR(__xludf.DUMMYFUNCTION("""COMPUTED_VALUE"""),"Uncle Sams Cider (04/04/2023)")</f>
        <v>Uncle Sams Cider (04/04/2023)</v>
      </c>
      <c r="H7526" s="19"/>
    </row>
    <row r="7527">
      <c r="A7527" s="9"/>
      <c r="B7527" s="15"/>
      <c r="C7527" s="9">
        <f>IFERROR(__xludf.DUMMYFUNCTION("""COMPUTED_VALUE"""),45065.2600367476)</f>
        <v>45065.26004</v>
      </c>
      <c r="D7527" s="15">
        <f>IFERROR(__xludf.DUMMYFUNCTION("""COMPUTED_VALUE"""),1.014)</f>
        <v>1.014</v>
      </c>
      <c r="E7527" s="16">
        <f>IFERROR(__xludf.DUMMYFUNCTION("""COMPUTED_VALUE"""),66.0)</f>
        <v>66</v>
      </c>
      <c r="F7527" s="19" t="str">
        <f>IFERROR(__xludf.DUMMYFUNCTION("""COMPUTED_VALUE"""),"BLACK")</f>
        <v>BLACK</v>
      </c>
      <c r="G7527" s="20" t="str">
        <f>IFERROR(__xludf.DUMMYFUNCTION("""COMPUTED_VALUE"""),"Uncle Sams Cider (04/04/2023)")</f>
        <v>Uncle Sams Cider (04/04/2023)</v>
      </c>
      <c r="H7527" s="19"/>
    </row>
    <row r="7528">
      <c r="A7528" s="9"/>
      <c r="B7528" s="15"/>
      <c r="C7528" s="9">
        <f>IFERROR(__xludf.DUMMYFUNCTION("""COMPUTED_VALUE"""),45065.2496029861)</f>
        <v>45065.2496</v>
      </c>
      <c r="D7528" s="15">
        <f>IFERROR(__xludf.DUMMYFUNCTION("""COMPUTED_VALUE"""),1.013)</f>
        <v>1.013</v>
      </c>
      <c r="E7528" s="16">
        <f>IFERROR(__xludf.DUMMYFUNCTION("""COMPUTED_VALUE"""),66.0)</f>
        <v>66</v>
      </c>
      <c r="F7528" s="19" t="str">
        <f>IFERROR(__xludf.DUMMYFUNCTION("""COMPUTED_VALUE"""),"BLACK")</f>
        <v>BLACK</v>
      </c>
      <c r="G7528" s="20" t="str">
        <f>IFERROR(__xludf.DUMMYFUNCTION("""COMPUTED_VALUE"""),"Uncle Sams Cider (04/04/2023)")</f>
        <v>Uncle Sams Cider (04/04/2023)</v>
      </c>
      <c r="H7528" s="19"/>
    </row>
    <row r="7529">
      <c r="A7529" s="9"/>
      <c r="B7529" s="15"/>
      <c r="C7529" s="9">
        <f>IFERROR(__xludf.DUMMYFUNCTION("""COMPUTED_VALUE"""),45065.2391831597)</f>
        <v>45065.23918</v>
      </c>
      <c r="D7529" s="15">
        <f>IFERROR(__xludf.DUMMYFUNCTION("""COMPUTED_VALUE"""),1.013)</f>
        <v>1.013</v>
      </c>
      <c r="E7529" s="16">
        <f>IFERROR(__xludf.DUMMYFUNCTION("""COMPUTED_VALUE"""),66.0)</f>
        <v>66</v>
      </c>
      <c r="F7529" s="19" t="str">
        <f>IFERROR(__xludf.DUMMYFUNCTION("""COMPUTED_VALUE"""),"BLACK")</f>
        <v>BLACK</v>
      </c>
      <c r="G7529" s="20" t="str">
        <f>IFERROR(__xludf.DUMMYFUNCTION("""COMPUTED_VALUE"""),"Uncle Sams Cider (04/04/2023)")</f>
        <v>Uncle Sams Cider (04/04/2023)</v>
      </c>
      <c r="H7529" s="19"/>
    </row>
    <row r="7530">
      <c r="A7530" s="9"/>
      <c r="B7530" s="15"/>
      <c r="C7530" s="9">
        <f>IFERROR(__xludf.DUMMYFUNCTION("""COMPUTED_VALUE"""),45065.2287510995)</f>
        <v>45065.22875</v>
      </c>
      <c r="D7530" s="15">
        <f>IFERROR(__xludf.DUMMYFUNCTION("""COMPUTED_VALUE"""),1.014)</f>
        <v>1.014</v>
      </c>
      <c r="E7530" s="16">
        <f>IFERROR(__xludf.DUMMYFUNCTION("""COMPUTED_VALUE"""),66.0)</f>
        <v>66</v>
      </c>
      <c r="F7530" s="19" t="str">
        <f>IFERROR(__xludf.DUMMYFUNCTION("""COMPUTED_VALUE"""),"BLACK")</f>
        <v>BLACK</v>
      </c>
      <c r="G7530" s="20" t="str">
        <f>IFERROR(__xludf.DUMMYFUNCTION("""COMPUTED_VALUE"""),"Uncle Sams Cider (04/04/2023)")</f>
        <v>Uncle Sams Cider (04/04/2023)</v>
      </c>
      <c r="H7530" s="19"/>
    </row>
    <row r="7531">
      <c r="A7531" s="9"/>
      <c r="B7531" s="15"/>
      <c r="C7531" s="9">
        <f>IFERROR(__xludf.DUMMYFUNCTION("""COMPUTED_VALUE"""),45065.2183312037)</f>
        <v>45065.21833</v>
      </c>
      <c r="D7531" s="15">
        <f>IFERROR(__xludf.DUMMYFUNCTION("""COMPUTED_VALUE"""),1.013)</f>
        <v>1.013</v>
      </c>
      <c r="E7531" s="16">
        <f>IFERROR(__xludf.DUMMYFUNCTION("""COMPUTED_VALUE"""),66.0)</f>
        <v>66</v>
      </c>
      <c r="F7531" s="19" t="str">
        <f>IFERROR(__xludf.DUMMYFUNCTION("""COMPUTED_VALUE"""),"BLACK")</f>
        <v>BLACK</v>
      </c>
      <c r="G7531" s="20" t="str">
        <f>IFERROR(__xludf.DUMMYFUNCTION("""COMPUTED_VALUE"""),"Uncle Sams Cider (04/04/2023)")</f>
        <v>Uncle Sams Cider (04/04/2023)</v>
      </c>
      <c r="H7531" s="19"/>
    </row>
    <row r="7532">
      <c r="A7532" s="9"/>
      <c r="B7532" s="15"/>
      <c r="C7532" s="9">
        <f>IFERROR(__xludf.DUMMYFUNCTION("""COMPUTED_VALUE"""),45065.2078648842)</f>
        <v>45065.20786</v>
      </c>
      <c r="D7532" s="15">
        <f>IFERROR(__xludf.DUMMYFUNCTION("""COMPUTED_VALUE"""),1.014)</f>
        <v>1.014</v>
      </c>
      <c r="E7532" s="16">
        <f>IFERROR(__xludf.DUMMYFUNCTION("""COMPUTED_VALUE"""),66.0)</f>
        <v>66</v>
      </c>
      <c r="F7532" s="19" t="str">
        <f>IFERROR(__xludf.DUMMYFUNCTION("""COMPUTED_VALUE"""),"BLACK")</f>
        <v>BLACK</v>
      </c>
      <c r="G7532" s="20" t="str">
        <f>IFERROR(__xludf.DUMMYFUNCTION("""COMPUTED_VALUE"""),"Uncle Sams Cider (04/04/2023)")</f>
        <v>Uncle Sams Cider (04/04/2023)</v>
      </c>
      <c r="H7532" s="19"/>
    </row>
    <row r="7533">
      <c r="A7533" s="9"/>
      <c r="B7533" s="15"/>
      <c r="C7533" s="9">
        <f>IFERROR(__xludf.DUMMYFUNCTION("""COMPUTED_VALUE"""),45065.1974425578)</f>
        <v>45065.19744</v>
      </c>
      <c r="D7533" s="15">
        <f>IFERROR(__xludf.DUMMYFUNCTION("""COMPUTED_VALUE"""),1.014)</f>
        <v>1.014</v>
      </c>
      <c r="E7533" s="16">
        <f>IFERROR(__xludf.DUMMYFUNCTION("""COMPUTED_VALUE"""),66.0)</f>
        <v>66</v>
      </c>
      <c r="F7533" s="19" t="str">
        <f>IFERROR(__xludf.DUMMYFUNCTION("""COMPUTED_VALUE"""),"BLACK")</f>
        <v>BLACK</v>
      </c>
      <c r="G7533" s="20" t="str">
        <f>IFERROR(__xludf.DUMMYFUNCTION("""COMPUTED_VALUE"""),"Uncle Sams Cider (04/04/2023)")</f>
        <v>Uncle Sams Cider (04/04/2023)</v>
      </c>
      <c r="H7533" s="19"/>
    </row>
    <row r="7534">
      <c r="A7534" s="9"/>
      <c r="B7534" s="15"/>
      <c r="C7534" s="9">
        <f>IFERROR(__xludf.DUMMYFUNCTION("""COMPUTED_VALUE"""),45065.1869982754)</f>
        <v>45065.187</v>
      </c>
      <c r="D7534" s="15">
        <f>IFERROR(__xludf.DUMMYFUNCTION("""COMPUTED_VALUE"""),1.014)</f>
        <v>1.014</v>
      </c>
      <c r="E7534" s="16">
        <f>IFERROR(__xludf.DUMMYFUNCTION("""COMPUTED_VALUE"""),66.0)</f>
        <v>66</v>
      </c>
      <c r="F7534" s="19" t="str">
        <f>IFERROR(__xludf.DUMMYFUNCTION("""COMPUTED_VALUE"""),"BLACK")</f>
        <v>BLACK</v>
      </c>
      <c r="G7534" s="20" t="str">
        <f>IFERROR(__xludf.DUMMYFUNCTION("""COMPUTED_VALUE"""),"Uncle Sams Cider (04/04/2023)")</f>
        <v>Uncle Sams Cider (04/04/2023)</v>
      </c>
      <c r="H7534" s="19"/>
    </row>
    <row r="7535">
      <c r="A7535" s="9"/>
      <c r="B7535" s="15"/>
      <c r="C7535" s="9">
        <f>IFERROR(__xludf.DUMMYFUNCTION("""COMPUTED_VALUE"""),45065.1765535763)</f>
        <v>45065.17655</v>
      </c>
      <c r="D7535" s="15">
        <f>IFERROR(__xludf.DUMMYFUNCTION("""COMPUTED_VALUE"""),1.014)</f>
        <v>1.014</v>
      </c>
      <c r="E7535" s="16">
        <f>IFERROR(__xludf.DUMMYFUNCTION("""COMPUTED_VALUE"""),66.0)</f>
        <v>66</v>
      </c>
      <c r="F7535" s="19" t="str">
        <f>IFERROR(__xludf.DUMMYFUNCTION("""COMPUTED_VALUE"""),"BLACK")</f>
        <v>BLACK</v>
      </c>
      <c r="G7535" s="20" t="str">
        <f>IFERROR(__xludf.DUMMYFUNCTION("""COMPUTED_VALUE"""),"Uncle Sams Cider (04/04/2023)")</f>
        <v>Uncle Sams Cider (04/04/2023)</v>
      </c>
      <c r="H7535" s="19"/>
    </row>
    <row r="7536">
      <c r="A7536" s="9"/>
      <c r="B7536" s="15"/>
      <c r="C7536" s="9">
        <f>IFERROR(__xludf.DUMMYFUNCTION("""COMPUTED_VALUE"""),45065.1661329282)</f>
        <v>45065.16613</v>
      </c>
      <c r="D7536" s="15">
        <f>IFERROR(__xludf.DUMMYFUNCTION("""COMPUTED_VALUE"""),1.013)</f>
        <v>1.013</v>
      </c>
      <c r="E7536" s="16">
        <f>IFERROR(__xludf.DUMMYFUNCTION("""COMPUTED_VALUE"""),66.0)</f>
        <v>66</v>
      </c>
      <c r="F7536" s="19" t="str">
        <f>IFERROR(__xludf.DUMMYFUNCTION("""COMPUTED_VALUE"""),"BLACK")</f>
        <v>BLACK</v>
      </c>
      <c r="G7536" s="20" t="str">
        <f>IFERROR(__xludf.DUMMYFUNCTION("""COMPUTED_VALUE"""),"Uncle Sams Cider (04/04/2023)")</f>
        <v>Uncle Sams Cider (04/04/2023)</v>
      </c>
      <c r="H7536" s="19"/>
    </row>
    <row r="7537">
      <c r="A7537" s="9"/>
      <c r="B7537" s="15"/>
      <c r="C7537" s="9">
        <f>IFERROR(__xludf.DUMMYFUNCTION("""COMPUTED_VALUE"""),45065.1556410069)</f>
        <v>45065.15564</v>
      </c>
      <c r="D7537" s="15">
        <f>IFERROR(__xludf.DUMMYFUNCTION("""COMPUTED_VALUE"""),1.014)</f>
        <v>1.014</v>
      </c>
      <c r="E7537" s="16">
        <f>IFERROR(__xludf.DUMMYFUNCTION("""COMPUTED_VALUE"""),66.0)</f>
        <v>66</v>
      </c>
      <c r="F7537" s="19" t="str">
        <f>IFERROR(__xludf.DUMMYFUNCTION("""COMPUTED_VALUE"""),"BLACK")</f>
        <v>BLACK</v>
      </c>
      <c r="G7537" s="20" t="str">
        <f>IFERROR(__xludf.DUMMYFUNCTION("""COMPUTED_VALUE"""),"Uncle Sams Cider (04/04/2023)")</f>
        <v>Uncle Sams Cider (04/04/2023)</v>
      </c>
      <c r="H7537" s="19"/>
    </row>
    <row r="7538">
      <c r="A7538" s="9"/>
      <c r="B7538" s="15"/>
      <c r="C7538" s="9">
        <f>IFERROR(__xludf.DUMMYFUNCTION("""COMPUTED_VALUE"""),45065.1452197338)</f>
        <v>45065.14522</v>
      </c>
      <c r="D7538" s="15">
        <f>IFERROR(__xludf.DUMMYFUNCTION("""COMPUTED_VALUE"""),1.014)</f>
        <v>1.014</v>
      </c>
      <c r="E7538" s="16">
        <f>IFERROR(__xludf.DUMMYFUNCTION("""COMPUTED_VALUE"""),66.0)</f>
        <v>66</v>
      </c>
      <c r="F7538" s="19" t="str">
        <f>IFERROR(__xludf.DUMMYFUNCTION("""COMPUTED_VALUE"""),"BLACK")</f>
        <v>BLACK</v>
      </c>
      <c r="G7538" s="20" t="str">
        <f>IFERROR(__xludf.DUMMYFUNCTION("""COMPUTED_VALUE"""),"Uncle Sams Cider (04/04/2023)")</f>
        <v>Uncle Sams Cider (04/04/2023)</v>
      </c>
      <c r="H7538" s="19"/>
    </row>
    <row r="7539">
      <c r="A7539" s="9"/>
      <c r="B7539" s="15"/>
      <c r="C7539" s="9">
        <f>IFERROR(__xludf.DUMMYFUNCTION("""COMPUTED_VALUE"""),45065.134752824)</f>
        <v>45065.13475</v>
      </c>
      <c r="D7539" s="15">
        <f>IFERROR(__xludf.DUMMYFUNCTION("""COMPUTED_VALUE"""),1.014)</f>
        <v>1.014</v>
      </c>
      <c r="E7539" s="16">
        <f>IFERROR(__xludf.DUMMYFUNCTION("""COMPUTED_VALUE"""),66.0)</f>
        <v>66</v>
      </c>
      <c r="F7539" s="19" t="str">
        <f>IFERROR(__xludf.DUMMYFUNCTION("""COMPUTED_VALUE"""),"BLACK")</f>
        <v>BLACK</v>
      </c>
      <c r="G7539" s="20" t="str">
        <f>IFERROR(__xludf.DUMMYFUNCTION("""COMPUTED_VALUE"""),"Uncle Sams Cider (04/04/2023)")</f>
        <v>Uncle Sams Cider (04/04/2023)</v>
      </c>
      <c r="H7539" s="19"/>
    </row>
    <row r="7540">
      <c r="A7540" s="9"/>
      <c r="B7540" s="15"/>
      <c r="C7540" s="9">
        <f>IFERROR(__xludf.DUMMYFUNCTION("""COMPUTED_VALUE"""),45065.1242857638)</f>
        <v>45065.12429</v>
      </c>
      <c r="D7540" s="15">
        <f>IFERROR(__xludf.DUMMYFUNCTION("""COMPUTED_VALUE"""),1.014)</f>
        <v>1.014</v>
      </c>
      <c r="E7540" s="16">
        <f>IFERROR(__xludf.DUMMYFUNCTION("""COMPUTED_VALUE"""),66.0)</f>
        <v>66</v>
      </c>
      <c r="F7540" s="19" t="str">
        <f>IFERROR(__xludf.DUMMYFUNCTION("""COMPUTED_VALUE"""),"BLACK")</f>
        <v>BLACK</v>
      </c>
      <c r="G7540" s="20" t="str">
        <f>IFERROR(__xludf.DUMMYFUNCTION("""COMPUTED_VALUE"""),"Uncle Sams Cider (04/04/2023)")</f>
        <v>Uncle Sams Cider (04/04/2023)</v>
      </c>
      <c r="H7540" s="19"/>
    </row>
    <row r="7541">
      <c r="A7541" s="9"/>
      <c r="B7541" s="15"/>
      <c r="C7541" s="9">
        <f>IFERROR(__xludf.DUMMYFUNCTION("""COMPUTED_VALUE"""),45065.1138192361)</f>
        <v>45065.11382</v>
      </c>
      <c r="D7541" s="15">
        <f>IFERROR(__xludf.DUMMYFUNCTION("""COMPUTED_VALUE"""),1.013)</f>
        <v>1.013</v>
      </c>
      <c r="E7541" s="16">
        <f>IFERROR(__xludf.DUMMYFUNCTION("""COMPUTED_VALUE"""),66.0)</f>
        <v>66</v>
      </c>
      <c r="F7541" s="19" t="str">
        <f>IFERROR(__xludf.DUMMYFUNCTION("""COMPUTED_VALUE"""),"BLACK")</f>
        <v>BLACK</v>
      </c>
      <c r="G7541" s="20" t="str">
        <f>IFERROR(__xludf.DUMMYFUNCTION("""COMPUTED_VALUE"""),"Uncle Sams Cider (04/04/2023)")</f>
        <v>Uncle Sams Cider (04/04/2023)</v>
      </c>
      <c r="H7541" s="19"/>
    </row>
    <row r="7542">
      <c r="A7542" s="9"/>
      <c r="B7542" s="15"/>
      <c r="C7542" s="9">
        <f>IFERROR(__xludf.DUMMYFUNCTION("""COMPUTED_VALUE"""),45065.1033970023)</f>
        <v>45065.1034</v>
      </c>
      <c r="D7542" s="15">
        <f>IFERROR(__xludf.DUMMYFUNCTION("""COMPUTED_VALUE"""),1.014)</f>
        <v>1.014</v>
      </c>
      <c r="E7542" s="16">
        <f>IFERROR(__xludf.DUMMYFUNCTION("""COMPUTED_VALUE"""),66.0)</f>
        <v>66</v>
      </c>
      <c r="F7542" s="19" t="str">
        <f>IFERROR(__xludf.DUMMYFUNCTION("""COMPUTED_VALUE"""),"BLACK")</f>
        <v>BLACK</v>
      </c>
      <c r="G7542" s="20" t="str">
        <f>IFERROR(__xludf.DUMMYFUNCTION("""COMPUTED_VALUE"""),"Uncle Sams Cider (04/04/2023)")</f>
        <v>Uncle Sams Cider (04/04/2023)</v>
      </c>
      <c r="H7542" s="19"/>
    </row>
    <row r="7543">
      <c r="A7543" s="9"/>
      <c r="B7543" s="15"/>
      <c r="C7543" s="9">
        <f>IFERROR(__xludf.DUMMYFUNCTION("""COMPUTED_VALUE"""),45065.0929753472)</f>
        <v>45065.09298</v>
      </c>
      <c r="D7543" s="15">
        <f>IFERROR(__xludf.DUMMYFUNCTION("""COMPUTED_VALUE"""),1.013)</f>
        <v>1.013</v>
      </c>
      <c r="E7543" s="16">
        <f>IFERROR(__xludf.DUMMYFUNCTION("""COMPUTED_VALUE"""),66.0)</f>
        <v>66</v>
      </c>
      <c r="F7543" s="19" t="str">
        <f>IFERROR(__xludf.DUMMYFUNCTION("""COMPUTED_VALUE"""),"BLACK")</f>
        <v>BLACK</v>
      </c>
      <c r="G7543" s="20" t="str">
        <f>IFERROR(__xludf.DUMMYFUNCTION("""COMPUTED_VALUE"""),"Uncle Sams Cider (04/04/2023)")</f>
        <v>Uncle Sams Cider (04/04/2023)</v>
      </c>
      <c r="H7543" s="19"/>
    </row>
    <row r="7544">
      <c r="A7544" s="9"/>
      <c r="B7544" s="15"/>
      <c r="C7544" s="9">
        <f>IFERROR(__xludf.DUMMYFUNCTION("""COMPUTED_VALUE"""),45065.0825320138)</f>
        <v>45065.08253</v>
      </c>
      <c r="D7544" s="15">
        <f>IFERROR(__xludf.DUMMYFUNCTION("""COMPUTED_VALUE"""),1.014)</f>
        <v>1.014</v>
      </c>
      <c r="E7544" s="16">
        <f>IFERROR(__xludf.DUMMYFUNCTION("""COMPUTED_VALUE"""),66.0)</f>
        <v>66</v>
      </c>
      <c r="F7544" s="19" t="str">
        <f>IFERROR(__xludf.DUMMYFUNCTION("""COMPUTED_VALUE"""),"BLACK")</f>
        <v>BLACK</v>
      </c>
      <c r="G7544" s="20" t="str">
        <f>IFERROR(__xludf.DUMMYFUNCTION("""COMPUTED_VALUE"""),"Uncle Sams Cider (04/04/2023)")</f>
        <v>Uncle Sams Cider (04/04/2023)</v>
      </c>
      <c r="H7544" s="19"/>
    </row>
    <row r="7545">
      <c r="A7545" s="9"/>
      <c r="B7545" s="15"/>
      <c r="C7545" s="9">
        <f>IFERROR(__xludf.DUMMYFUNCTION("""COMPUTED_VALUE"""),45065.0721009953)</f>
        <v>45065.0721</v>
      </c>
      <c r="D7545" s="15">
        <f>IFERROR(__xludf.DUMMYFUNCTION("""COMPUTED_VALUE"""),1.013)</f>
        <v>1.013</v>
      </c>
      <c r="E7545" s="16">
        <f>IFERROR(__xludf.DUMMYFUNCTION("""COMPUTED_VALUE"""),66.0)</f>
        <v>66</v>
      </c>
      <c r="F7545" s="19" t="str">
        <f>IFERROR(__xludf.DUMMYFUNCTION("""COMPUTED_VALUE"""),"BLACK")</f>
        <v>BLACK</v>
      </c>
      <c r="G7545" s="20" t="str">
        <f>IFERROR(__xludf.DUMMYFUNCTION("""COMPUTED_VALUE"""),"Uncle Sams Cider (04/04/2023)")</f>
        <v>Uncle Sams Cider (04/04/2023)</v>
      </c>
      <c r="H7545" s="19"/>
    </row>
    <row r="7546">
      <c r="A7546" s="9"/>
      <c r="B7546" s="15"/>
      <c r="C7546" s="9">
        <f>IFERROR(__xludf.DUMMYFUNCTION("""COMPUTED_VALUE"""),45065.0616792476)</f>
        <v>45065.06168</v>
      </c>
      <c r="D7546" s="15">
        <f>IFERROR(__xludf.DUMMYFUNCTION("""COMPUTED_VALUE"""),1.013)</f>
        <v>1.013</v>
      </c>
      <c r="E7546" s="16">
        <f>IFERROR(__xludf.DUMMYFUNCTION("""COMPUTED_VALUE"""),66.0)</f>
        <v>66</v>
      </c>
      <c r="F7546" s="19" t="str">
        <f>IFERROR(__xludf.DUMMYFUNCTION("""COMPUTED_VALUE"""),"BLACK")</f>
        <v>BLACK</v>
      </c>
      <c r="G7546" s="20" t="str">
        <f>IFERROR(__xludf.DUMMYFUNCTION("""COMPUTED_VALUE"""),"Uncle Sams Cider (04/04/2023)")</f>
        <v>Uncle Sams Cider (04/04/2023)</v>
      </c>
      <c r="H7546" s="19"/>
    </row>
    <row r="7547">
      <c r="A7547" s="9"/>
      <c r="B7547" s="15"/>
      <c r="C7547" s="9">
        <f>IFERROR(__xludf.DUMMYFUNCTION("""COMPUTED_VALUE"""),45065.0512234027)</f>
        <v>45065.05122</v>
      </c>
      <c r="D7547" s="15">
        <f>IFERROR(__xludf.DUMMYFUNCTION("""COMPUTED_VALUE"""),1.013)</f>
        <v>1.013</v>
      </c>
      <c r="E7547" s="16">
        <f>IFERROR(__xludf.DUMMYFUNCTION("""COMPUTED_VALUE"""),66.0)</f>
        <v>66</v>
      </c>
      <c r="F7547" s="19" t="str">
        <f>IFERROR(__xludf.DUMMYFUNCTION("""COMPUTED_VALUE"""),"BLACK")</f>
        <v>BLACK</v>
      </c>
      <c r="G7547" s="20" t="str">
        <f>IFERROR(__xludf.DUMMYFUNCTION("""COMPUTED_VALUE"""),"Uncle Sams Cider (04/04/2023)")</f>
        <v>Uncle Sams Cider (04/04/2023)</v>
      </c>
      <c r="H7547" s="19"/>
    </row>
    <row r="7548">
      <c r="A7548" s="9"/>
      <c r="B7548" s="15"/>
      <c r="C7548" s="9">
        <f>IFERROR(__xludf.DUMMYFUNCTION("""COMPUTED_VALUE"""),45065.0408038541)</f>
        <v>45065.0408</v>
      </c>
      <c r="D7548" s="15">
        <f>IFERROR(__xludf.DUMMYFUNCTION("""COMPUTED_VALUE"""),1.014)</f>
        <v>1.014</v>
      </c>
      <c r="E7548" s="16">
        <f>IFERROR(__xludf.DUMMYFUNCTION("""COMPUTED_VALUE"""),66.0)</f>
        <v>66</v>
      </c>
      <c r="F7548" s="19" t="str">
        <f>IFERROR(__xludf.DUMMYFUNCTION("""COMPUTED_VALUE"""),"BLACK")</f>
        <v>BLACK</v>
      </c>
      <c r="G7548" s="20" t="str">
        <f>IFERROR(__xludf.DUMMYFUNCTION("""COMPUTED_VALUE"""),"Uncle Sams Cider (04/04/2023)")</f>
        <v>Uncle Sams Cider (04/04/2023)</v>
      </c>
      <c r="H7548" s="19"/>
    </row>
    <row r="7549">
      <c r="A7549" s="9"/>
      <c r="B7549" s="15"/>
      <c r="C7549" s="9">
        <f>IFERROR(__xludf.DUMMYFUNCTION("""COMPUTED_VALUE"""),45065.0303696064)</f>
        <v>45065.03037</v>
      </c>
      <c r="D7549" s="15">
        <f>IFERROR(__xludf.DUMMYFUNCTION("""COMPUTED_VALUE"""),1.014)</f>
        <v>1.014</v>
      </c>
      <c r="E7549" s="16">
        <f>IFERROR(__xludf.DUMMYFUNCTION("""COMPUTED_VALUE"""),66.0)</f>
        <v>66</v>
      </c>
      <c r="F7549" s="19" t="str">
        <f>IFERROR(__xludf.DUMMYFUNCTION("""COMPUTED_VALUE"""),"BLACK")</f>
        <v>BLACK</v>
      </c>
      <c r="G7549" s="20" t="str">
        <f>IFERROR(__xludf.DUMMYFUNCTION("""COMPUTED_VALUE"""),"Uncle Sams Cider (04/04/2023)")</f>
        <v>Uncle Sams Cider (04/04/2023)</v>
      </c>
      <c r="H7549" s="19"/>
    </row>
    <row r="7550">
      <c r="A7550" s="9"/>
      <c r="B7550" s="15"/>
      <c r="C7550" s="9">
        <f>IFERROR(__xludf.DUMMYFUNCTION("""COMPUTED_VALUE"""),45065.0199464583)</f>
        <v>45065.01995</v>
      </c>
      <c r="D7550" s="15">
        <f>IFERROR(__xludf.DUMMYFUNCTION("""COMPUTED_VALUE"""),1.013)</f>
        <v>1.013</v>
      </c>
      <c r="E7550" s="16">
        <f>IFERROR(__xludf.DUMMYFUNCTION("""COMPUTED_VALUE"""),66.0)</f>
        <v>66</v>
      </c>
      <c r="F7550" s="19" t="str">
        <f>IFERROR(__xludf.DUMMYFUNCTION("""COMPUTED_VALUE"""),"BLACK")</f>
        <v>BLACK</v>
      </c>
      <c r="G7550" s="20" t="str">
        <f>IFERROR(__xludf.DUMMYFUNCTION("""COMPUTED_VALUE"""),"Uncle Sams Cider (04/04/2023)")</f>
        <v>Uncle Sams Cider (04/04/2023)</v>
      </c>
      <c r="H7550" s="19"/>
    </row>
    <row r="7551">
      <c r="A7551" s="9"/>
      <c r="B7551" s="15"/>
      <c r="C7551" s="9">
        <f>IFERROR(__xludf.DUMMYFUNCTION("""COMPUTED_VALUE"""),45065.0095149652)</f>
        <v>45065.00951</v>
      </c>
      <c r="D7551" s="15">
        <f>IFERROR(__xludf.DUMMYFUNCTION("""COMPUTED_VALUE"""),1.014)</f>
        <v>1.014</v>
      </c>
      <c r="E7551" s="16">
        <f>IFERROR(__xludf.DUMMYFUNCTION("""COMPUTED_VALUE"""),66.0)</f>
        <v>66</v>
      </c>
      <c r="F7551" s="19" t="str">
        <f>IFERROR(__xludf.DUMMYFUNCTION("""COMPUTED_VALUE"""),"BLACK")</f>
        <v>BLACK</v>
      </c>
      <c r="G7551" s="20" t="str">
        <f>IFERROR(__xludf.DUMMYFUNCTION("""COMPUTED_VALUE"""),"Uncle Sams Cider (04/04/2023)")</f>
        <v>Uncle Sams Cider (04/04/2023)</v>
      </c>
      <c r="H7551" s="19"/>
    </row>
    <row r="7552">
      <c r="A7552" s="9"/>
      <c r="B7552" s="15"/>
      <c r="C7552" s="9">
        <f>IFERROR(__xludf.DUMMYFUNCTION("""COMPUTED_VALUE"""),45064.9990701504)</f>
        <v>45064.99907</v>
      </c>
      <c r="D7552" s="15">
        <f>IFERROR(__xludf.DUMMYFUNCTION("""COMPUTED_VALUE"""),1.014)</f>
        <v>1.014</v>
      </c>
      <c r="E7552" s="16">
        <f>IFERROR(__xludf.DUMMYFUNCTION("""COMPUTED_VALUE"""),66.0)</f>
        <v>66</v>
      </c>
      <c r="F7552" s="19" t="str">
        <f>IFERROR(__xludf.DUMMYFUNCTION("""COMPUTED_VALUE"""),"BLACK")</f>
        <v>BLACK</v>
      </c>
      <c r="G7552" s="20" t="str">
        <f>IFERROR(__xludf.DUMMYFUNCTION("""COMPUTED_VALUE"""),"Uncle Sams Cider (04/04/2023)")</f>
        <v>Uncle Sams Cider (04/04/2023)</v>
      </c>
      <c r="H7552" s="19"/>
    </row>
    <row r="7553">
      <c r="A7553" s="9"/>
      <c r="B7553" s="15"/>
      <c r="C7553" s="9">
        <f>IFERROR(__xludf.DUMMYFUNCTION("""COMPUTED_VALUE"""),45064.988615324)</f>
        <v>45064.98862</v>
      </c>
      <c r="D7553" s="15">
        <f>IFERROR(__xludf.DUMMYFUNCTION("""COMPUTED_VALUE"""),1.014)</f>
        <v>1.014</v>
      </c>
      <c r="E7553" s="16">
        <f>IFERROR(__xludf.DUMMYFUNCTION("""COMPUTED_VALUE"""),66.0)</f>
        <v>66</v>
      </c>
      <c r="F7553" s="19" t="str">
        <f>IFERROR(__xludf.DUMMYFUNCTION("""COMPUTED_VALUE"""),"BLACK")</f>
        <v>BLACK</v>
      </c>
      <c r="G7553" s="20" t="str">
        <f>IFERROR(__xludf.DUMMYFUNCTION("""COMPUTED_VALUE"""),"Uncle Sams Cider (04/04/2023)")</f>
        <v>Uncle Sams Cider (04/04/2023)</v>
      </c>
      <c r="H7553" s="19"/>
    </row>
    <row r="7554">
      <c r="A7554" s="9"/>
      <c r="B7554" s="15"/>
      <c r="C7554" s="9">
        <f>IFERROR(__xludf.DUMMYFUNCTION("""COMPUTED_VALUE"""),45064.978193206)</f>
        <v>45064.97819</v>
      </c>
      <c r="D7554" s="15">
        <f>IFERROR(__xludf.DUMMYFUNCTION("""COMPUTED_VALUE"""),1.014)</f>
        <v>1.014</v>
      </c>
      <c r="E7554" s="16">
        <f>IFERROR(__xludf.DUMMYFUNCTION("""COMPUTED_VALUE"""),66.0)</f>
        <v>66</v>
      </c>
      <c r="F7554" s="19" t="str">
        <f>IFERROR(__xludf.DUMMYFUNCTION("""COMPUTED_VALUE"""),"BLACK")</f>
        <v>BLACK</v>
      </c>
      <c r="G7554" s="20" t="str">
        <f>IFERROR(__xludf.DUMMYFUNCTION("""COMPUTED_VALUE"""),"Uncle Sams Cider (04/04/2023)")</f>
        <v>Uncle Sams Cider (04/04/2023)</v>
      </c>
      <c r="H7554" s="19"/>
    </row>
    <row r="7555">
      <c r="A7555" s="9"/>
      <c r="B7555" s="15"/>
      <c r="C7555" s="9">
        <f>IFERROR(__xludf.DUMMYFUNCTION("""COMPUTED_VALUE"""),45064.967759699)</f>
        <v>45064.96776</v>
      </c>
      <c r="D7555" s="15">
        <f>IFERROR(__xludf.DUMMYFUNCTION("""COMPUTED_VALUE"""),1.014)</f>
        <v>1.014</v>
      </c>
      <c r="E7555" s="16">
        <f>IFERROR(__xludf.DUMMYFUNCTION("""COMPUTED_VALUE"""),66.0)</f>
        <v>66</v>
      </c>
      <c r="F7555" s="19" t="str">
        <f>IFERROR(__xludf.DUMMYFUNCTION("""COMPUTED_VALUE"""),"BLACK")</f>
        <v>BLACK</v>
      </c>
      <c r="G7555" s="20" t="str">
        <f>IFERROR(__xludf.DUMMYFUNCTION("""COMPUTED_VALUE"""),"Uncle Sams Cider (04/04/2023)")</f>
        <v>Uncle Sams Cider (04/04/2023)</v>
      </c>
      <c r="H7555" s="19"/>
    </row>
    <row r="7556">
      <c r="A7556" s="9"/>
      <c r="B7556" s="15"/>
      <c r="C7556" s="9">
        <f>IFERROR(__xludf.DUMMYFUNCTION("""COMPUTED_VALUE"""),45064.9573387962)</f>
        <v>45064.95734</v>
      </c>
      <c r="D7556" s="15">
        <f>IFERROR(__xludf.DUMMYFUNCTION("""COMPUTED_VALUE"""),1.014)</f>
        <v>1.014</v>
      </c>
      <c r="E7556" s="16">
        <f>IFERROR(__xludf.DUMMYFUNCTION("""COMPUTED_VALUE"""),66.0)</f>
        <v>66</v>
      </c>
      <c r="F7556" s="19" t="str">
        <f>IFERROR(__xludf.DUMMYFUNCTION("""COMPUTED_VALUE"""),"BLACK")</f>
        <v>BLACK</v>
      </c>
      <c r="G7556" s="20" t="str">
        <f>IFERROR(__xludf.DUMMYFUNCTION("""COMPUTED_VALUE"""),"Uncle Sams Cider (04/04/2023)")</f>
        <v>Uncle Sams Cider (04/04/2023)</v>
      </c>
      <c r="H7556" s="19"/>
    </row>
    <row r="7557">
      <c r="A7557" s="9"/>
      <c r="B7557" s="15"/>
      <c r="C7557" s="9">
        <f>IFERROR(__xludf.DUMMYFUNCTION("""COMPUTED_VALUE"""),45064.9469067824)</f>
        <v>45064.94691</v>
      </c>
      <c r="D7557" s="15">
        <f>IFERROR(__xludf.DUMMYFUNCTION("""COMPUTED_VALUE"""),1.014)</f>
        <v>1.014</v>
      </c>
      <c r="E7557" s="16">
        <f>IFERROR(__xludf.DUMMYFUNCTION("""COMPUTED_VALUE"""),66.0)</f>
        <v>66</v>
      </c>
      <c r="F7557" s="19" t="str">
        <f>IFERROR(__xludf.DUMMYFUNCTION("""COMPUTED_VALUE"""),"BLACK")</f>
        <v>BLACK</v>
      </c>
      <c r="G7557" s="20" t="str">
        <f>IFERROR(__xludf.DUMMYFUNCTION("""COMPUTED_VALUE"""),"Uncle Sams Cider (04/04/2023)")</f>
        <v>Uncle Sams Cider (04/04/2023)</v>
      </c>
      <c r="H7557" s="19"/>
    </row>
    <row r="7558">
      <c r="A7558" s="9"/>
      <c r="B7558" s="15"/>
      <c r="C7558" s="9">
        <f>IFERROR(__xludf.DUMMYFUNCTION("""COMPUTED_VALUE"""),45064.9364618634)</f>
        <v>45064.93646</v>
      </c>
      <c r="D7558" s="15">
        <f>IFERROR(__xludf.DUMMYFUNCTION("""COMPUTED_VALUE"""),1.014)</f>
        <v>1.014</v>
      </c>
      <c r="E7558" s="16">
        <f>IFERROR(__xludf.DUMMYFUNCTION("""COMPUTED_VALUE"""),66.0)</f>
        <v>66</v>
      </c>
      <c r="F7558" s="19" t="str">
        <f>IFERROR(__xludf.DUMMYFUNCTION("""COMPUTED_VALUE"""),"BLACK")</f>
        <v>BLACK</v>
      </c>
      <c r="G7558" s="20" t="str">
        <f>IFERROR(__xludf.DUMMYFUNCTION("""COMPUTED_VALUE"""),"Uncle Sams Cider (04/04/2023)")</f>
        <v>Uncle Sams Cider (04/04/2023)</v>
      </c>
      <c r="H7558" s="19"/>
    </row>
    <row r="7559">
      <c r="A7559" s="9"/>
      <c r="B7559" s="15"/>
      <c r="C7559" s="9">
        <f>IFERROR(__xludf.DUMMYFUNCTION("""COMPUTED_VALUE"""),45064.9260417129)</f>
        <v>45064.92604</v>
      </c>
      <c r="D7559" s="15">
        <f>IFERROR(__xludf.DUMMYFUNCTION("""COMPUTED_VALUE"""),1.014)</f>
        <v>1.014</v>
      </c>
      <c r="E7559" s="16">
        <f>IFERROR(__xludf.DUMMYFUNCTION("""COMPUTED_VALUE"""),66.0)</f>
        <v>66</v>
      </c>
      <c r="F7559" s="19" t="str">
        <f>IFERROR(__xludf.DUMMYFUNCTION("""COMPUTED_VALUE"""),"BLACK")</f>
        <v>BLACK</v>
      </c>
      <c r="G7559" s="20" t="str">
        <f>IFERROR(__xludf.DUMMYFUNCTION("""COMPUTED_VALUE"""),"Uncle Sams Cider (04/04/2023)")</f>
        <v>Uncle Sams Cider (04/04/2023)</v>
      </c>
      <c r="H7559" s="19"/>
    </row>
    <row r="7560">
      <c r="A7560" s="9"/>
      <c r="B7560" s="15"/>
      <c r="C7560" s="9">
        <f>IFERROR(__xludf.DUMMYFUNCTION("""COMPUTED_VALUE"""),45064.9156211574)</f>
        <v>45064.91562</v>
      </c>
      <c r="D7560" s="15">
        <f>IFERROR(__xludf.DUMMYFUNCTION("""COMPUTED_VALUE"""),1.014)</f>
        <v>1.014</v>
      </c>
      <c r="E7560" s="16">
        <f>IFERROR(__xludf.DUMMYFUNCTION("""COMPUTED_VALUE"""),66.0)</f>
        <v>66</v>
      </c>
      <c r="F7560" s="19" t="str">
        <f>IFERROR(__xludf.DUMMYFUNCTION("""COMPUTED_VALUE"""),"BLACK")</f>
        <v>BLACK</v>
      </c>
      <c r="G7560" s="20" t="str">
        <f>IFERROR(__xludf.DUMMYFUNCTION("""COMPUTED_VALUE"""),"Uncle Sams Cider (04/04/2023)")</f>
        <v>Uncle Sams Cider (04/04/2023)</v>
      </c>
      <c r="H7560" s="19"/>
    </row>
    <row r="7561">
      <c r="A7561" s="9"/>
      <c r="B7561" s="15"/>
      <c r="C7561" s="9">
        <f>IFERROR(__xludf.DUMMYFUNCTION("""COMPUTED_VALUE"""),45064.9051992361)</f>
        <v>45064.9052</v>
      </c>
      <c r="D7561" s="15">
        <f>IFERROR(__xludf.DUMMYFUNCTION("""COMPUTED_VALUE"""),1.014)</f>
        <v>1.014</v>
      </c>
      <c r="E7561" s="16">
        <f>IFERROR(__xludf.DUMMYFUNCTION("""COMPUTED_VALUE"""),66.0)</f>
        <v>66</v>
      </c>
      <c r="F7561" s="19" t="str">
        <f>IFERROR(__xludf.DUMMYFUNCTION("""COMPUTED_VALUE"""),"BLACK")</f>
        <v>BLACK</v>
      </c>
      <c r="G7561" s="20" t="str">
        <f>IFERROR(__xludf.DUMMYFUNCTION("""COMPUTED_VALUE"""),"Uncle Sams Cider (04/04/2023)")</f>
        <v>Uncle Sams Cider (04/04/2023)</v>
      </c>
      <c r="H7561" s="19"/>
    </row>
    <row r="7562">
      <c r="A7562" s="9"/>
      <c r="B7562" s="15"/>
      <c r="C7562" s="9">
        <f>IFERROR(__xludf.DUMMYFUNCTION("""COMPUTED_VALUE"""),45064.8947778356)</f>
        <v>45064.89478</v>
      </c>
      <c r="D7562" s="15">
        <f>IFERROR(__xludf.DUMMYFUNCTION("""COMPUTED_VALUE"""),1.014)</f>
        <v>1.014</v>
      </c>
      <c r="E7562" s="16">
        <f>IFERROR(__xludf.DUMMYFUNCTION("""COMPUTED_VALUE"""),66.0)</f>
        <v>66</v>
      </c>
      <c r="F7562" s="19" t="str">
        <f>IFERROR(__xludf.DUMMYFUNCTION("""COMPUTED_VALUE"""),"BLACK")</f>
        <v>BLACK</v>
      </c>
      <c r="G7562" s="20" t="str">
        <f>IFERROR(__xludf.DUMMYFUNCTION("""COMPUTED_VALUE"""),"Uncle Sams Cider (04/04/2023)")</f>
        <v>Uncle Sams Cider (04/04/2023)</v>
      </c>
      <c r="H7562" s="19"/>
    </row>
    <row r="7563">
      <c r="A7563" s="9"/>
      <c r="B7563" s="15"/>
      <c r="C7563" s="9">
        <f>IFERROR(__xludf.DUMMYFUNCTION("""COMPUTED_VALUE"""),45064.8843571412)</f>
        <v>45064.88436</v>
      </c>
      <c r="D7563" s="15">
        <f>IFERROR(__xludf.DUMMYFUNCTION("""COMPUTED_VALUE"""),1.014)</f>
        <v>1.014</v>
      </c>
      <c r="E7563" s="16">
        <f>IFERROR(__xludf.DUMMYFUNCTION("""COMPUTED_VALUE"""),66.0)</f>
        <v>66</v>
      </c>
      <c r="F7563" s="19" t="str">
        <f>IFERROR(__xludf.DUMMYFUNCTION("""COMPUTED_VALUE"""),"BLACK")</f>
        <v>BLACK</v>
      </c>
      <c r="G7563" s="20" t="str">
        <f>IFERROR(__xludf.DUMMYFUNCTION("""COMPUTED_VALUE"""),"Uncle Sams Cider (04/04/2023)")</f>
        <v>Uncle Sams Cider (04/04/2023)</v>
      </c>
      <c r="H7563" s="19"/>
    </row>
    <row r="7564">
      <c r="A7564" s="9"/>
      <c r="B7564" s="15"/>
      <c r="C7564" s="9">
        <f>IFERROR(__xludf.DUMMYFUNCTION("""COMPUTED_VALUE"""),45064.8739258333)</f>
        <v>45064.87393</v>
      </c>
      <c r="D7564" s="15">
        <f>IFERROR(__xludf.DUMMYFUNCTION("""COMPUTED_VALUE"""),1.014)</f>
        <v>1.014</v>
      </c>
      <c r="E7564" s="16">
        <f>IFERROR(__xludf.DUMMYFUNCTION("""COMPUTED_VALUE"""),66.0)</f>
        <v>66</v>
      </c>
      <c r="F7564" s="19" t="str">
        <f>IFERROR(__xludf.DUMMYFUNCTION("""COMPUTED_VALUE"""),"BLACK")</f>
        <v>BLACK</v>
      </c>
      <c r="G7564" s="20" t="str">
        <f>IFERROR(__xludf.DUMMYFUNCTION("""COMPUTED_VALUE"""),"Uncle Sams Cider (04/04/2023)")</f>
        <v>Uncle Sams Cider (04/04/2023)</v>
      </c>
      <c r="H7564" s="19"/>
    </row>
    <row r="7565">
      <c r="A7565" s="9"/>
      <c r="B7565" s="15"/>
      <c r="C7565" s="9">
        <f>IFERROR(__xludf.DUMMYFUNCTION("""COMPUTED_VALUE"""),45064.8634951041)</f>
        <v>45064.8635</v>
      </c>
      <c r="D7565" s="15">
        <f>IFERROR(__xludf.DUMMYFUNCTION("""COMPUTED_VALUE"""),1.014)</f>
        <v>1.014</v>
      </c>
      <c r="E7565" s="16">
        <f>IFERROR(__xludf.DUMMYFUNCTION("""COMPUTED_VALUE"""),66.0)</f>
        <v>66</v>
      </c>
      <c r="F7565" s="19" t="str">
        <f>IFERROR(__xludf.DUMMYFUNCTION("""COMPUTED_VALUE"""),"BLACK")</f>
        <v>BLACK</v>
      </c>
      <c r="G7565" s="20" t="str">
        <f>IFERROR(__xludf.DUMMYFUNCTION("""COMPUTED_VALUE"""),"Uncle Sams Cider (04/04/2023)")</f>
        <v>Uncle Sams Cider (04/04/2023)</v>
      </c>
      <c r="H7565" s="19"/>
    </row>
    <row r="7566">
      <c r="A7566" s="9"/>
      <c r="B7566" s="15"/>
      <c r="C7566" s="9">
        <f>IFERROR(__xludf.DUMMYFUNCTION("""COMPUTED_VALUE"""),45064.8530617708)</f>
        <v>45064.85306</v>
      </c>
      <c r="D7566" s="15">
        <f>IFERROR(__xludf.DUMMYFUNCTION("""COMPUTED_VALUE"""),1.014)</f>
        <v>1.014</v>
      </c>
      <c r="E7566" s="16">
        <f>IFERROR(__xludf.DUMMYFUNCTION("""COMPUTED_VALUE"""),66.0)</f>
        <v>66</v>
      </c>
      <c r="F7566" s="19" t="str">
        <f>IFERROR(__xludf.DUMMYFUNCTION("""COMPUTED_VALUE"""),"BLACK")</f>
        <v>BLACK</v>
      </c>
      <c r="G7566" s="20" t="str">
        <f>IFERROR(__xludf.DUMMYFUNCTION("""COMPUTED_VALUE"""),"Uncle Sams Cider (04/04/2023)")</f>
        <v>Uncle Sams Cider (04/04/2023)</v>
      </c>
      <c r="H7566" s="19"/>
    </row>
    <row r="7567">
      <c r="A7567" s="9"/>
      <c r="B7567" s="15"/>
      <c r="C7567" s="9">
        <f>IFERROR(__xludf.DUMMYFUNCTION("""COMPUTED_VALUE"""),45064.8426410648)</f>
        <v>45064.84264</v>
      </c>
      <c r="D7567" s="15">
        <f>IFERROR(__xludf.DUMMYFUNCTION("""COMPUTED_VALUE"""),1.014)</f>
        <v>1.014</v>
      </c>
      <c r="E7567" s="16">
        <f>IFERROR(__xludf.DUMMYFUNCTION("""COMPUTED_VALUE"""),66.0)</f>
        <v>66</v>
      </c>
      <c r="F7567" s="19" t="str">
        <f>IFERROR(__xludf.DUMMYFUNCTION("""COMPUTED_VALUE"""),"BLACK")</f>
        <v>BLACK</v>
      </c>
      <c r="G7567" s="20" t="str">
        <f>IFERROR(__xludf.DUMMYFUNCTION("""COMPUTED_VALUE"""),"Uncle Sams Cider (04/04/2023)")</f>
        <v>Uncle Sams Cider (04/04/2023)</v>
      </c>
      <c r="H7567" s="19"/>
    </row>
    <row r="7568">
      <c r="A7568" s="9"/>
      <c r="B7568" s="15"/>
      <c r="C7568" s="9">
        <f>IFERROR(__xludf.DUMMYFUNCTION("""COMPUTED_VALUE"""),45064.8322086921)</f>
        <v>45064.83221</v>
      </c>
      <c r="D7568" s="15">
        <f>IFERROR(__xludf.DUMMYFUNCTION("""COMPUTED_VALUE"""),1.014)</f>
        <v>1.014</v>
      </c>
      <c r="E7568" s="16">
        <f>IFERROR(__xludf.DUMMYFUNCTION("""COMPUTED_VALUE"""),66.0)</f>
        <v>66</v>
      </c>
      <c r="F7568" s="19" t="str">
        <f>IFERROR(__xludf.DUMMYFUNCTION("""COMPUTED_VALUE"""),"BLACK")</f>
        <v>BLACK</v>
      </c>
      <c r="G7568" s="20" t="str">
        <f>IFERROR(__xludf.DUMMYFUNCTION("""COMPUTED_VALUE"""),"Uncle Sams Cider (04/04/2023)")</f>
        <v>Uncle Sams Cider (04/04/2023)</v>
      </c>
      <c r="H7568" s="19"/>
    </row>
    <row r="7569">
      <c r="A7569" s="9"/>
      <c r="B7569" s="15"/>
      <c r="C7569" s="9">
        <f>IFERROR(__xludf.DUMMYFUNCTION("""COMPUTED_VALUE"""),45064.821785949)</f>
        <v>45064.82179</v>
      </c>
      <c r="D7569" s="15">
        <f>IFERROR(__xludf.DUMMYFUNCTION("""COMPUTED_VALUE"""),1.014)</f>
        <v>1.014</v>
      </c>
      <c r="E7569" s="16">
        <f>IFERROR(__xludf.DUMMYFUNCTION("""COMPUTED_VALUE"""),66.0)</f>
        <v>66</v>
      </c>
      <c r="F7569" s="19" t="str">
        <f>IFERROR(__xludf.DUMMYFUNCTION("""COMPUTED_VALUE"""),"BLACK")</f>
        <v>BLACK</v>
      </c>
      <c r="G7569" s="20" t="str">
        <f>IFERROR(__xludf.DUMMYFUNCTION("""COMPUTED_VALUE"""),"Uncle Sams Cider (04/04/2023)")</f>
        <v>Uncle Sams Cider (04/04/2023)</v>
      </c>
      <c r="H7569" s="19"/>
    </row>
    <row r="7570">
      <c r="A7570" s="9"/>
      <c r="B7570" s="15"/>
      <c r="C7570" s="9">
        <f>IFERROR(__xludf.DUMMYFUNCTION("""COMPUTED_VALUE"""),45064.8113543171)</f>
        <v>45064.81135</v>
      </c>
      <c r="D7570" s="15">
        <f>IFERROR(__xludf.DUMMYFUNCTION("""COMPUTED_VALUE"""),1.014)</f>
        <v>1.014</v>
      </c>
      <c r="E7570" s="16">
        <f>IFERROR(__xludf.DUMMYFUNCTION("""COMPUTED_VALUE"""),66.0)</f>
        <v>66</v>
      </c>
      <c r="F7570" s="19" t="str">
        <f>IFERROR(__xludf.DUMMYFUNCTION("""COMPUTED_VALUE"""),"BLACK")</f>
        <v>BLACK</v>
      </c>
      <c r="G7570" s="20" t="str">
        <f>IFERROR(__xludf.DUMMYFUNCTION("""COMPUTED_VALUE"""),"Uncle Sams Cider (04/04/2023)")</f>
        <v>Uncle Sams Cider (04/04/2023)</v>
      </c>
      <c r="H7570" s="19"/>
    </row>
    <row r="7571">
      <c r="A7571" s="9"/>
      <c r="B7571" s="15"/>
      <c r="C7571" s="9">
        <f>IFERROR(__xludf.DUMMYFUNCTION("""COMPUTED_VALUE"""),45064.8009091087)</f>
        <v>45064.80091</v>
      </c>
      <c r="D7571" s="15">
        <f>IFERROR(__xludf.DUMMYFUNCTION("""COMPUTED_VALUE"""),1.013)</f>
        <v>1.013</v>
      </c>
      <c r="E7571" s="16">
        <f>IFERROR(__xludf.DUMMYFUNCTION("""COMPUTED_VALUE"""),66.0)</f>
        <v>66</v>
      </c>
      <c r="F7571" s="19" t="str">
        <f>IFERROR(__xludf.DUMMYFUNCTION("""COMPUTED_VALUE"""),"BLACK")</f>
        <v>BLACK</v>
      </c>
      <c r="G7571" s="20" t="str">
        <f>IFERROR(__xludf.DUMMYFUNCTION("""COMPUTED_VALUE"""),"Uncle Sams Cider (04/04/2023)")</f>
        <v>Uncle Sams Cider (04/04/2023)</v>
      </c>
      <c r="H7571" s="19"/>
    </row>
    <row r="7572">
      <c r="A7572" s="9"/>
      <c r="B7572" s="15"/>
      <c r="C7572" s="9">
        <f>IFERROR(__xludf.DUMMYFUNCTION("""COMPUTED_VALUE"""),45064.7904074884)</f>
        <v>45064.79041</v>
      </c>
      <c r="D7572" s="15">
        <f>IFERROR(__xludf.DUMMYFUNCTION("""COMPUTED_VALUE"""),1.014)</f>
        <v>1.014</v>
      </c>
      <c r="E7572" s="16">
        <f>IFERROR(__xludf.DUMMYFUNCTION("""COMPUTED_VALUE"""),66.0)</f>
        <v>66</v>
      </c>
      <c r="F7572" s="19" t="str">
        <f>IFERROR(__xludf.DUMMYFUNCTION("""COMPUTED_VALUE"""),"BLACK")</f>
        <v>BLACK</v>
      </c>
      <c r="G7572" s="20" t="str">
        <f>IFERROR(__xludf.DUMMYFUNCTION("""COMPUTED_VALUE"""),"Uncle Sams Cider (04/04/2023)")</f>
        <v>Uncle Sams Cider (04/04/2023)</v>
      </c>
      <c r="H7572" s="19"/>
    </row>
    <row r="7573">
      <c r="A7573" s="9"/>
      <c r="B7573" s="15"/>
      <c r="C7573" s="9">
        <f>IFERROR(__xludf.DUMMYFUNCTION("""COMPUTED_VALUE"""),45064.7799394444)</f>
        <v>45064.77994</v>
      </c>
      <c r="D7573" s="15">
        <f>IFERROR(__xludf.DUMMYFUNCTION("""COMPUTED_VALUE"""),1.014)</f>
        <v>1.014</v>
      </c>
      <c r="E7573" s="16">
        <f>IFERROR(__xludf.DUMMYFUNCTION("""COMPUTED_VALUE"""),66.0)</f>
        <v>66</v>
      </c>
      <c r="F7573" s="19" t="str">
        <f>IFERROR(__xludf.DUMMYFUNCTION("""COMPUTED_VALUE"""),"BLACK")</f>
        <v>BLACK</v>
      </c>
      <c r="G7573" s="20" t="str">
        <f>IFERROR(__xludf.DUMMYFUNCTION("""COMPUTED_VALUE"""),"Uncle Sams Cider (04/04/2023)")</f>
        <v>Uncle Sams Cider (04/04/2023)</v>
      </c>
      <c r="H7573" s="19"/>
    </row>
    <row r="7574">
      <c r="A7574" s="9"/>
      <c r="B7574" s="15"/>
      <c r="C7574" s="9">
        <f>IFERROR(__xludf.DUMMYFUNCTION("""COMPUTED_VALUE"""),45064.7695185532)</f>
        <v>45064.76952</v>
      </c>
      <c r="D7574" s="15">
        <f>IFERROR(__xludf.DUMMYFUNCTION("""COMPUTED_VALUE"""),1.014)</f>
        <v>1.014</v>
      </c>
      <c r="E7574" s="16">
        <f>IFERROR(__xludf.DUMMYFUNCTION("""COMPUTED_VALUE"""),66.0)</f>
        <v>66</v>
      </c>
      <c r="F7574" s="19" t="str">
        <f>IFERROR(__xludf.DUMMYFUNCTION("""COMPUTED_VALUE"""),"BLACK")</f>
        <v>BLACK</v>
      </c>
      <c r="G7574" s="20" t="str">
        <f>IFERROR(__xludf.DUMMYFUNCTION("""COMPUTED_VALUE"""),"Uncle Sams Cider (04/04/2023)")</f>
        <v>Uncle Sams Cider (04/04/2023)</v>
      </c>
      <c r="H7574" s="19"/>
    </row>
    <row r="7575">
      <c r="A7575" s="9"/>
      <c r="B7575" s="15"/>
      <c r="C7575" s="9">
        <f>IFERROR(__xludf.DUMMYFUNCTION("""COMPUTED_VALUE"""),45064.7590968981)</f>
        <v>45064.7591</v>
      </c>
      <c r="D7575" s="15">
        <f>IFERROR(__xludf.DUMMYFUNCTION("""COMPUTED_VALUE"""),1.014)</f>
        <v>1.014</v>
      </c>
      <c r="E7575" s="16">
        <f>IFERROR(__xludf.DUMMYFUNCTION("""COMPUTED_VALUE"""),66.0)</f>
        <v>66</v>
      </c>
      <c r="F7575" s="19" t="str">
        <f>IFERROR(__xludf.DUMMYFUNCTION("""COMPUTED_VALUE"""),"BLACK")</f>
        <v>BLACK</v>
      </c>
      <c r="G7575" s="20" t="str">
        <f>IFERROR(__xludf.DUMMYFUNCTION("""COMPUTED_VALUE"""),"Uncle Sams Cider (04/04/2023)")</f>
        <v>Uncle Sams Cider (04/04/2023)</v>
      </c>
      <c r="H7575" s="19"/>
    </row>
    <row r="7576">
      <c r="A7576" s="9"/>
      <c r="B7576" s="15"/>
      <c r="C7576" s="9">
        <f>IFERROR(__xludf.DUMMYFUNCTION("""COMPUTED_VALUE"""),45064.7486640509)</f>
        <v>45064.74866</v>
      </c>
      <c r="D7576" s="15">
        <f>IFERROR(__xludf.DUMMYFUNCTION("""COMPUTED_VALUE"""),1.014)</f>
        <v>1.014</v>
      </c>
      <c r="E7576" s="16">
        <f>IFERROR(__xludf.DUMMYFUNCTION("""COMPUTED_VALUE"""),66.0)</f>
        <v>66</v>
      </c>
      <c r="F7576" s="19" t="str">
        <f>IFERROR(__xludf.DUMMYFUNCTION("""COMPUTED_VALUE"""),"BLACK")</f>
        <v>BLACK</v>
      </c>
      <c r="G7576" s="20" t="str">
        <f>IFERROR(__xludf.DUMMYFUNCTION("""COMPUTED_VALUE"""),"Uncle Sams Cider (04/04/2023)")</f>
        <v>Uncle Sams Cider (04/04/2023)</v>
      </c>
      <c r="H7576" s="19"/>
    </row>
    <row r="7577">
      <c r="A7577" s="9"/>
      <c r="B7577" s="15"/>
      <c r="C7577" s="9">
        <f>IFERROR(__xludf.DUMMYFUNCTION("""COMPUTED_VALUE"""),45064.7382424537)</f>
        <v>45064.73824</v>
      </c>
      <c r="D7577" s="15">
        <f>IFERROR(__xludf.DUMMYFUNCTION("""COMPUTED_VALUE"""),1.014)</f>
        <v>1.014</v>
      </c>
      <c r="E7577" s="16">
        <f>IFERROR(__xludf.DUMMYFUNCTION("""COMPUTED_VALUE"""),66.0)</f>
        <v>66</v>
      </c>
      <c r="F7577" s="19" t="str">
        <f>IFERROR(__xludf.DUMMYFUNCTION("""COMPUTED_VALUE"""),"BLACK")</f>
        <v>BLACK</v>
      </c>
      <c r="G7577" s="20" t="str">
        <f>IFERROR(__xludf.DUMMYFUNCTION("""COMPUTED_VALUE"""),"Uncle Sams Cider (04/04/2023)")</f>
        <v>Uncle Sams Cider (04/04/2023)</v>
      </c>
      <c r="H7577" s="19"/>
    </row>
    <row r="7578">
      <c r="A7578" s="9"/>
      <c r="B7578" s="15"/>
      <c r="C7578" s="9">
        <f>IFERROR(__xludf.DUMMYFUNCTION("""COMPUTED_VALUE"""),45064.7278095023)</f>
        <v>45064.72781</v>
      </c>
      <c r="D7578" s="15">
        <f>IFERROR(__xludf.DUMMYFUNCTION("""COMPUTED_VALUE"""),1.014)</f>
        <v>1.014</v>
      </c>
      <c r="E7578" s="16">
        <f>IFERROR(__xludf.DUMMYFUNCTION("""COMPUTED_VALUE"""),66.0)</f>
        <v>66</v>
      </c>
      <c r="F7578" s="19" t="str">
        <f>IFERROR(__xludf.DUMMYFUNCTION("""COMPUTED_VALUE"""),"BLACK")</f>
        <v>BLACK</v>
      </c>
      <c r="G7578" s="20" t="str">
        <f>IFERROR(__xludf.DUMMYFUNCTION("""COMPUTED_VALUE"""),"Uncle Sams Cider (04/04/2023)")</f>
        <v>Uncle Sams Cider (04/04/2023)</v>
      </c>
      <c r="H7578" s="19"/>
    </row>
    <row r="7579">
      <c r="A7579" s="9"/>
      <c r="B7579" s="15"/>
      <c r="C7579" s="9">
        <f>IFERROR(__xludf.DUMMYFUNCTION("""COMPUTED_VALUE"""),45064.7173767129)</f>
        <v>45064.71738</v>
      </c>
      <c r="D7579" s="15">
        <f>IFERROR(__xludf.DUMMYFUNCTION("""COMPUTED_VALUE"""),1.014)</f>
        <v>1.014</v>
      </c>
      <c r="E7579" s="16">
        <f>IFERROR(__xludf.DUMMYFUNCTION("""COMPUTED_VALUE"""),66.0)</f>
        <v>66</v>
      </c>
      <c r="F7579" s="19" t="str">
        <f>IFERROR(__xludf.DUMMYFUNCTION("""COMPUTED_VALUE"""),"BLACK")</f>
        <v>BLACK</v>
      </c>
      <c r="G7579" s="20" t="str">
        <f>IFERROR(__xludf.DUMMYFUNCTION("""COMPUTED_VALUE"""),"Uncle Sams Cider (04/04/2023)")</f>
        <v>Uncle Sams Cider (04/04/2023)</v>
      </c>
      <c r="H7579" s="19"/>
    </row>
    <row r="7580">
      <c r="A7580" s="9"/>
      <c r="B7580" s="15"/>
      <c r="C7580" s="9">
        <f>IFERROR(__xludf.DUMMYFUNCTION("""COMPUTED_VALUE"""),45064.706945162)</f>
        <v>45064.70695</v>
      </c>
      <c r="D7580" s="15">
        <f>IFERROR(__xludf.DUMMYFUNCTION("""COMPUTED_VALUE"""),1.014)</f>
        <v>1.014</v>
      </c>
      <c r="E7580" s="16">
        <f>IFERROR(__xludf.DUMMYFUNCTION("""COMPUTED_VALUE"""),66.0)</f>
        <v>66</v>
      </c>
      <c r="F7580" s="19" t="str">
        <f>IFERROR(__xludf.DUMMYFUNCTION("""COMPUTED_VALUE"""),"BLACK")</f>
        <v>BLACK</v>
      </c>
      <c r="G7580" s="20" t="str">
        <f>IFERROR(__xludf.DUMMYFUNCTION("""COMPUTED_VALUE"""),"Uncle Sams Cider (04/04/2023)")</f>
        <v>Uncle Sams Cider (04/04/2023)</v>
      </c>
      <c r="H7580" s="19"/>
    </row>
    <row r="7581">
      <c r="A7581" s="9"/>
      <c r="B7581" s="15"/>
      <c r="C7581" s="9">
        <f>IFERROR(__xludf.DUMMYFUNCTION("""COMPUTED_VALUE"""),45064.6965242361)</f>
        <v>45064.69652</v>
      </c>
      <c r="D7581" s="15">
        <f>IFERROR(__xludf.DUMMYFUNCTION("""COMPUTED_VALUE"""),1.014)</f>
        <v>1.014</v>
      </c>
      <c r="E7581" s="16">
        <f>IFERROR(__xludf.DUMMYFUNCTION("""COMPUTED_VALUE"""),66.0)</f>
        <v>66</v>
      </c>
      <c r="F7581" s="19" t="str">
        <f>IFERROR(__xludf.DUMMYFUNCTION("""COMPUTED_VALUE"""),"BLACK")</f>
        <v>BLACK</v>
      </c>
      <c r="G7581" s="20" t="str">
        <f>IFERROR(__xludf.DUMMYFUNCTION("""COMPUTED_VALUE"""),"Uncle Sams Cider (04/04/2023)")</f>
        <v>Uncle Sams Cider (04/04/2023)</v>
      </c>
      <c r="H7581" s="19"/>
    </row>
    <row r="7582">
      <c r="A7582" s="9"/>
      <c r="B7582" s="15"/>
      <c r="C7582" s="9">
        <f>IFERROR(__xludf.DUMMYFUNCTION("""COMPUTED_VALUE"""),45064.6860902199)</f>
        <v>45064.68609</v>
      </c>
      <c r="D7582" s="15">
        <f>IFERROR(__xludf.DUMMYFUNCTION("""COMPUTED_VALUE"""),1.014)</f>
        <v>1.014</v>
      </c>
      <c r="E7582" s="16">
        <f>IFERROR(__xludf.DUMMYFUNCTION("""COMPUTED_VALUE"""),66.0)</f>
        <v>66</v>
      </c>
      <c r="F7582" s="19" t="str">
        <f>IFERROR(__xludf.DUMMYFUNCTION("""COMPUTED_VALUE"""),"BLACK")</f>
        <v>BLACK</v>
      </c>
      <c r="G7582" s="20" t="str">
        <f>IFERROR(__xludf.DUMMYFUNCTION("""COMPUTED_VALUE"""),"Uncle Sams Cider (04/04/2023)")</f>
        <v>Uncle Sams Cider (04/04/2023)</v>
      </c>
      <c r="H7582" s="19"/>
    </row>
    <row r="7583">
      <c r="A7583" s="9"/>
      <c r="B7583" s="15"/>
      <c r="C7583" s="9">
        <f>IFERROR(__xludf.DUMMYFUNCTION("""COMPUTED_VALUE"""),45064.6756691203)</f>
        <v>45064.67567</v>
      </c>
      <c r="D7583" s="15">
        <f>IFERROR(__xludf.DUMMYFUNCTION("""COMPUTED_VALUE"""),1.014)</f>
        <v>1.014</v>
      </c>
      <c r="E7583" s="16">
        <f>IFERROR(__xludf.DUMMYFUNCTION("""COMPUTED_VALUE"""),66.0)</f>
        <v>66</v>
      </c>
      <c r="F7583" s="19" t="str">
        <f>IFERROR(__xludf.DUMMYFUNCTION("""COMPUTED_VALUE"""),"BLACK")</f>
        <v>BLACK</v>
      </c>
      <c r="G7583" s="20" t="str">
        <f>IFERROR(__xludf.DUMMYFUNCTION("""COMPUTED_VALUE"""),"Uncle Sams Cider (04/04/2023)")</f>
        <v>Uncle Sams Cider (04/04/2023)</v>
      </c>
      <c r="H7583" s="19"/>
    </row>
    <row r="7584">
      <c r="A7584" s="9"/>
      <c r="B7584" s="15"/>
      <c r="C7584" s="9">
        <f>IFERROR(__xludf.DUMMYFUNCTION("""COMPUTED_VALUE"""),45064.6652011111)</f>
        <v>45064.6652</v>
      </c>
      <c r="D7584" s="15">
        <f>IFERROR(__xludf.DUMMYFUNCTION("""COMPUTED_VALUE"""),1.014)</f>
        <v>1.014</v>
      </c>
      <c r="E7584" s="16">
        <f>IFERROR(__xludf.DUMMYFUNCTION("""COMPUTED_VALUE"""),66.0)</f>
        <v>66</v>
      </c>
      <c r="F7584" s="19" t="str">
        <f>IFERROR(__xludf.DUMMYFUNCTION("""COMPUTED_VALUE"""),"BLACK")</f>
        <v>BLACK</v>
      </c>
      <c r="G7584" s="20" t="str">
        <f>IFERROR(__xludf.DUMMYFUNCTION("""COMPUTED_VALUE"""),"Uncle Sams Cider (04/04/2023)")</f>
        <v>Uncle Sams Cider (04/04/2023)</v>
      </c>
      <c r="H7584" s="19"/>
    </row>
    <row r="7585">
      <c r="A7585" s="9"/>
      <c r="B7585" s="15"/>
      <c r="C7585" s="9">
        <f>IFERROR(__xludf.DUMMYFUNCTION("""COMPUTED_VALUE"""),45064.6547690046)</f>
        <v>45064.65477</v>
      </c>
      <c r="D7585" s="15">
        <f>IFERROR(__xludf.DUMMYFUNCTION("""COMPUTED_VALUE"""),1.014)</f>
        <v>1.014</v>
      </c>
      <c r="E7585" s="16">
        <f>IFERROR(__xludf.DUMMYFUNCTION("""COMPUTED_VALUE"""),66.0)</f>
        <v>66</v>
      </c>
      <c r="F7585" s="19" t="str">
        <f>IFERROR(__xludf.DUMMYFUNCTION("""COMPUTED_VALUE"""),"BLACK")</f>
        <v>BLACK</v>
      </c>
      <c r="G7585" s="20" t="str">
        <f>IFERROR(__xludf.DUMMYFUNCTION("""COMPUTED_VALUE"""),"Uncle Sams Cider (04/04/2023)")</f>
        <v>Uncle Sams Cider (04/04/2023)</v>
      </c>
      <c r="H7585" s="19"/>
    </row>
    <row r="7586">
      <c r="A7586" s="9"/>
      <c r="B7586" s="15"/>
      <c r="C7586" s="9">
        <f>IFERROR(__xludf.DUMMYFUNCTION("""COMPUTED_VALUE"""),45064.6443347569)</f>
        <v>45064.64433</v>
      </c>
      <c r="D7586" s="15">
        <f>IFERROR(__xludf.DUMMYFUNCTION("""COMPUTED_VALUE"""),1.014)</f>
        <v>1.014</v>
      </c>
      <c r="E7586" s="16">
        <f>IFERROR(__xludf.DUMMYFUNCTION("""COMPUTED_VALUE"""),66.0)</f>
        <v>66</v>
      </c>
      <c r="F7586" s="19" t="str">
        <f>IFERROR(__xludf.DUMMYFUNCTION("""COMPUTED_VALUE"""),"BLACK")</f>
        <v>BLACK</v>
      </c>
      <c r="G7586" s="20" t="str">
        <f>IFERROR(__xludf.DUMMYFUNCTION("""COMPUTED_VALUE"""),"Uncle Sams Cider (04/04/2023)")</f>
        <v>Uncle Sams Cider (04/04/2023)</v>
      </c>
      <c r="H7586" s="19"/>
    </row>
    <row r="7587">
      <c r="A7587" s="9"/>
      <c r="B7587" s="15"/>
      <c r="C7587" s="9">
        <f>IFERROR(__xludf.DUMMYFUNCTION("""COMPUTED_VALUE"""),45064.6339146875)</f>
        <v>45064.63391</v>
      </c>
      <c r="D7587" s="15">
        <f>IFERROR(__xludf.DUMMYFUNCTION("""COMPUTED_VALUE"""),1.014)</f>
        <v>1.014</v>
      </c>
      <c r="E7587" s="16">
        <f>IFERROR(__xludf.DUMMYFUNCTION("""COMPUTED_VALUE"""),66.0)</f>
        <v>66</v>
      </c>
      <c r="F7587" s="19" t="str">
        <f>IFERROR(__xludf.DUMMYFUNCTION("""COMPUTED_VALUE"""),"BLACK")</f>
        <v>BLACK</v>
      </c>
      <c r="G7587" s="20" t="str">
        <f>IFERROR(__xludf.DUMMYFUNCTION("""COMPUTED_VALUE"""),"Uncle Sams Cider (04/04/2023)")</f>
        <v>Uncle Sams Cider (04/04/2023)</v>
      </c>
      <c r="H7587" s="19"/>
    </row>
    <row r="7588">
      <c r="A7588" s="9"/>
      <c r="B7588" s="15"/>
      <c r="C7588" s="9">
        <f>IFERROR(__xludf.DUMMYFUNCTION("""COMPUTED_VALUE"""),45064.62344625)</f>
        <v>45064.62345</v>
      </c>
      <c r="D7588" s="15">
        <f>IFERROR(__xludf.DUMMYFUNCTION("""COMPUTED_VALUE"""),1.014)</f>
        <v>1.014</v>
      </c>
      <c r="E7588" s="16">
        <f>IFERROR(__xludf.DUMMYFUNCTION("""COMPUTED_VALUE"""),66.0)</f>
        <v>66</v>
      </c>
      <c r="F7588" s="19" t="str">
        <f>IFERROR(__xludf.DUMMYFUNCTION("""COMPUTED_VALUE"""),"BLACK")</f>
        <v>BLACK</v>
      </c>
      <c r="G7588" s="20" t="str">
        <f>IFERROR(__xludf.DUMMYFUNCTION("""COMPUTED_VALUE"""),"Uncle Sams Cider (04/04/2023)")</f>
        <v>Uncle Sams Cider (04/04/2023)</v>
      </c>
      <c r="H7588" s="19"/>
    </row>
    <row r="7589">
      <c r="A7589" s="9"/>
      <c r="B7589" s="15"/>
      <c r="C7589" s="9">
        <f>IFERROR(__xludf.DUMMYFUNCTION("""COMPUTED_VALUE"""),45064.6130239814)</f>
        <v>45064.61302</v>
      </c>
      <c r="D7589" s="15">
        <f>IFERROR(__xludf.DUMMYFUNCTION("""COMPUTED_VALUE"""),1.014)</f>
        <v>1.014</v>
      </c>
      <c r="E7589" s="16">
        <f>IFERROR(__xludf.DUMMYFUNCTION("""COMPUTED_VALUE"""),66.0)</f>
        <v>66</v>
      </c>
      <c r="F7589" s="19" t="str">
        <f>IFERROR(__xludf.DUMMYFUNCTION("""COMPUTED_VALUE"""),"BLACK")</f>
        <v>BLACK</v>
      </c>
      <c r="G7589" s="20" t="str">
        <f>IFERROR(__xludf.DUMMYFUNCTION("""COMPUTED_VALUE"""),"Uncle Sams Cider (04/04/2023)")</f>
        <v>Uncle Sams Cider (04/04/2023)</v>
      </c>
      <c r="H7589" s="19"/>
    </row>
    <row r="7590">
      <c r="A7590" s="9"/>
      <c r="B7590" s="15"/>
      <c r="C7590" s="9">
        <f>IFERROR(__xludf.DUMMYFUNCTION("""COMPUTED_VALUE"""),45064.6026019444)</f>
        <v>45064.6026</v>
      </c>
      <c r="D7590" s="15">
        <f>IFERROR(__xludf.DUMMYFUNCTION("""COMPUTED_VALUE"""),1.014)</f>
        <v>1.014</v>
      </c>
      <c r="E7590" s="16">
        <f>IFERROR(__xludf.DUMMYFUNCTION("""COMPUTED_VALUE"""),66.0)</f>
        <v>66</v>
      </c>
      <c r="F7590" s="19" t="str">
        <f>IFERROR(__xludf.DUMMYFUNCTION("""COMPUTED_VALUE"""),"BLACK")</f>
        <v>BLACK</v>
      </c>
      <c r="G7590" s="20" t="str">
        <f>IFERROR(__xludf.DUMMYFUNCTION("""COMPUTED_VALUE"""),"Uncle Sams Cider (04/04/2023)")</f>
        <v>Uncle Sams Cider (04/04/2023)</v>
      </c>
      <c r="H7590" s="19"/>
    </row>
    <row r="7591">
      <c r="A7591" s="9"/>
      <c r="B7591" s="15"/>
      <c r="C7591" s="9">
        <f>IFERROR(__xludf.DUMMYFUNCTION("""COMPUTED_VALUE"""),45064.5921800347)</f>
        <v>45064.59218</v>
      </c>
      <c r="D7591" s="15">
        <f>IFERROR(__xludf.DUMMYFUNCTION("""COMPUTED_VALUE"""),1.014)</f>
        <v>1.014</v>
      </c>
      <c r="E7591" s="16">
        <f>IFERROR(__xludf.DUMMYFUNCTION("""COMPUTED_VALUE"""),66.0)</f>
        <v>66</v>
      </c>
      <c r="F7591" s="19" t="str">
        <f>IFERROR(__xludf.DUMMYFUNCTION("""COMPUTED_VALUE"""),"BLACK")</f>
        <v>BLACK</v>
      </c>
      <c r="G7591" s="20" t="str">
        <f>IFERROR(__xludf.DUMMYFUNCTION("""COMPUTED_VALUE"""),"Uncle Sams Cider (04/04/2023)")</f>
        <v>Uncle Sams Cider (04/04/2023)</v>
      </c>
      <c r="H7591" s="19"/>
    </row>
    <row r="7592">
      <c r="A7592" s="9"/>
      <c r="B7592" s="15"/>
      <c r="C7592" s="9">
        <f>IFERROR(__xludf.DUMMYFUNCTION("""COMPUTED_VALUE"""),45064.5817593518)</f>
        <v>45064.58176</v>
      </c>
      <c r="D7592" s="15">
        <f>IFERROR(__xludf.DUMMYFUNCTION("""COMPUTED_VALUE"""),1.014)</f>
        <v>1.014</v>
      </c>
      <c r="E7592" s="16">
        <f>IFERROR(__xludf.DUMMYFUNCTION("""COMPUTED_VALUE"""),66.0)</f>
        <v>66</v>
      </c>
      <c r="F7592" s="19" t="str">
        <f>IFERROR(__xludf.DUMMYFUNCTION("""COMPUTED_VALUE"""),"BLACK")</f>
        <v>BLACK</v>
      </c>
      <c r="G7592" s="20" t="str">
        <f>IFERROR(__xludf.DUMMYFUNCTION("""COMPUTED_VALUE"""),"Uncle Sams Cider (04/04/2023)")</f>
        <v>Uncle Sams Cider (04/04/2023)</v>
      </c>
      <c r="H7592" s="19"/>
    </row>
    <row r="7593">
      <c r="A7593" s="9"/>
      <c r="B7593" s="15"/>
      <c r="C7593" s="9">
        <f>IFERROR(__xludf.DUMMYFUNCTION("""COMPUTED_VALUE"""),45064.5713400231)</f>
        <v>45064.57134</v>
      </c>
      <c r="D7593" s="15">
        <f>IFERROR(__xludf.DUMMYFUNCTION("""COMPUTED_VALUE"""),1.014)</f>
        <v>1.014</v>
      </c>
      <c r="E7593" s="16">
        <f>IFERROR(__xludf.DUMMYFUNCTION("""COMPUTED_VALUE"""),66.0)</f>
        <v>66</v>
      </c>
      <c r="F7593" s="19" t="str">
        <f>IFERROR(__xludf.DUMMYFUNCTION("""COMPUTED_VALUE"""),"BLACK")</f>
        <v>BLACK</v>
      </c>
      <c r="G7593" s="20" t="str">
        <f>IFERROR(__xludf.DUMMYFUNCTION("""COMPUTED_VALUE"""),"Uncle Sams Cider (04/04/2023)")</f>
        <v>Uncle Sams Cider (04/04/2023)</v>
      </c>
      <c r="H7593" s="19"/>
    </row>
    <row r="7594">
      <c r="A7594" s="9"/>
      <c r="B7594" s="15"/>
      <c r="C7594" s="9">
        <f>IFERROR(__xludf.DUMMYFUNCTION("""COMPUTED_VALUE"""),45064.5609200463)</f>
        <v>45064.56092</v>
      </c>
      <c r="D7594" s="15">
        <f>IFERROR(__xludf.DUMMYFUNCTION("""COMPUTED_VALUE"""),1.014)</f>
        <v>1.014</v>
      </c>
      <c r="E7594" s="16">
        <f>IFERROR(__xludf.DUMMYFUNCTION("""COMPUTED_VALUE"""),66.0)</f>
        <v>66</v>
      </c>
      <c r="F7594" s="19" t="str">
        <f>IFERROR(__xludf.DUMMYFUNCTION("""COMPUTED_VALUE"""),"BLACK")</f>
        <v>BLACK</v>
      </c>
      <c r="G7594" s="20" t="str">
        <f>IFERROR(__xludf.DUMMYFUNCTION("""COMPUTED_VALUE"""),"Uncle Sams Cider (04/04/2023)")</f>
        <v>Uncle Sams Cider (04/04/2023)</v>
      </c>
      <c r="H7594" s="19"/>
    </row>
    <row r="7595">
      <c r="A7595" s="9"/>
      <c r="B7595" s="15"/>
      <c r="C7595" s="9">
        <f>IFERROR(__xludf.DUMMYFUNCTION("""COMPUTED_VALUE"""),45064.5504406134)</f>
        <v>45064.55044</v>
      </c>
      <c r="D7595" s="15">
        <f>IFERROR(__xludf.DUMMYFUNCTION("""COMPUTED_VALUE"""),1.014)</f>
        <v>1.014</v>
      </c>
      <c r="E7595" s="16">
        <f>IFERROR(__xludf.DUMMYFUNCTION("""COMPUTED_VALUE"""),66.0)</f>
        <v>66</v>
      </c>
      <c r="F7595" s="19" t="str">
        <f>IFERROR(__xludf.DUMMYFUNCTION("""COMPUTED_VALUE"""),"BLACK")</f>
        <v>BLACK</v>
      </c>
      <c r="G7595" s="20" t="str">
        <f>IFERROR(__xludf.DUMMYFUNCTION("""COMPUTED_VALUE"""),"Uncle Sams Cider (04/04/2023)")</f>
        <v>Uncle Sams Cider (04/04/2023)</v>
      </c>
      <c r="H7595" s="19"/>
    </row>
    <row r="7596">
      <c r="A7596" s="9"/>
      <c r="B7596" s="15"/>
      <c r="C7596" s="9">
        <f>IFERROR(__xludf.DUMMYFUNCTION("""COMPUTED_VALUE"""),45064.5400205092)</f>
        <v>45064.54002</v>
      </c>
      <c r="D7596" s="15">
        <f>IFERROR(__xludf.DUMMYFUNCTION("""COMPUTED_VALUE"""),1.014)</f>
        <v>1.014</v>
      </c>
      <c r="E7596" s="16">
        <f>IFERROR(__xludf.DUMMYFUNCTION("""COMPUTED_VALUE"""),66.0)</f>
        <v>66</v>
      </c>
      <c r="F7596" s="19" t="str">
        <f>IFERROR(__xludf.DUMMYFUNCTION("""COMPUTED_VALUE"""),"BLACK")</f>
        <v>BLACK</v>
      </c>
      <c r="G7596" s="20" t="str">
        <f>IFERROR(__xludf.DUMMYFUNCTION("""COMPUTED_VALUE"""),"Uncle Sams Cider (04/04/2023)")</f>
        <v>Uncle Sams Cider (04/04/2023)</v>
      </c>
      <c r="H7596" s="19"/>
    </row>
    <row r="7597">
      <c r="A7597" s="9"/>
      <c r="B7597" s="15"/>
      <c r="C7597" s="9">
        <f>IFERROR(__xludf.DUMMYFUNCTION("""COMPUTED_VALUE"""),45064.5295672453)</f>
        <v>45064.52957</v>
      </c>
      <c r="D7597" s="15">
        <f>IFERROR(__xludf.DUMMYFUNCTION("""COMPUTED_VALUE"""),1.014)</f>
        <v>1.014</v>
      </c>
      <c r="E7597" s="16">
        <f>IFERROR(__xludf.DUMMYFUNCTION("""COMPUTED_VALUE"""),66.0)</f>
        <v>66</v>
      </c>
      <c r="F7597" s="19" t="str">
        <f>IFERROR(__xludf.DUMMYFUNCTION("""COMPUTED_VALUE"""),"BLACK")</f>
        <v>BLACK</v>
      </c>
      <c r="G7597" s="20" t="str">
        <f>IFERROR(__xludf.DUMMYFUNCTION("""COMPUTED_VALUE"""),"Uncle Sams Cider (04/04/2023)")</f>
        <v>Uncle Sams Cider (04/04/2023)</v>
      </c>
      <c r="H7597" s="19"/>
    </row>
    <row r="7598">
      <c r="A7598" s="9"/>
      <c r="B7598" s="15"/>
      <c r="C7598" s="9">
        <f>IFERROR(__xludf.DUMMYFUNCTION("""COMPUTED_VALUE"""),45064.5191474537)</f>
        <v>45064.51915</v>
      </c>
      <c r="D7598" s="15">
        <f>IFERROR(__xludf.DUMMYFUNCTION("""COMPUTED_VALUE"""),1.014)</f>
        <v>1.014</v>
      </c>
      <c r="E7598" s="16">
        <f>IFERROR(__xludf.DUMMYFUNCTION("""COMPUTED_VALUE"""),66.0)</f>
        <v>66</v>
      </c>
      <c r="F7598" s="19" t="str">
        <f>IFERROR(__xludf.DUMMYFUNCTION("""COMPUTED_VALUE"""),"BLACK")</f>
        <v>BLACK</v>
      </c>
      <c r="G7598" s="20" t="str">
        <f>IFERROR(__xludf.DUMMYFUNCTION("""COMPUTED_VALUE"""),"Uncle Sams Cider (04/04/2023)")</f>
        <v>Uncle Sams Cider (04/04/2023)</v>
      </c>
      <c r="H7598" s="19"/>
    </row>
    <row r="7599">
      <c r="A7599" s="9"/>
      <c r="B7599" s="15"/>
      <c r="C7599" s="9">
        <f>IFERROR(__xludf.DUMMYFUNCTION("""COMPUTED_VALUE"""),45064.5087153819)</f>
        <v>45064.50872</v>
      </c>
      <c r="D7599" s="15">
        <f>IFERROR(__xludf.DUMMYFUNCTION("""COMPUTED_VALUE"""),1.014)</f>
        <v>1.014</v>
      </c>
      <c r="E7599" s="16">
        <f>IFERROR(__xludf.DUMMYFUNCTION("""COMPUTED_VALUE"""),66.0)</f>
        <v>66</v>
      </c>
      <c r="F7599" s="19" t="str">
        <f>IFERROR(__xludf.DUMMYFUNCTION("""COMPUTED_VALUE"""),"BLACK")</f>
        <v>BLACK</v>
      </c>
      <c r="G7599" s="20" t="str">
        <f>IFERROR(__xludf.DUMMYFUNCTION("""COMPUTED_VALUE"""),"Uncle Sams Cider (04/04/2023)")</f>
        <v>Uncle Sams Cider (04/04/2023)</v>
      </c>
      <c r="H7599" s="19"/>
    </row>
    <row r="7600">
      <c r="A7600" s="9"/>
      <c r="B7600" s="15"/>
      <c r="C7600" s="9">
        <f>IFERROR(__xludf.DUMMYFUNCTION("""COMPUTED_VALUE"""),45064.4982947569)</f>
        <v>45064.49829</v>
      </c>
      <c r="D7600" s="15">
        <f>IFERROR(__xludf.DUMMYFUNCTION("""COMPUTED_VALUE"""),1.014)</f>
        <v>1.014</v>
      </c>
      <c r="E7600" s="16">
        <f>IFERROR(__xludf.DUMMYFUNCTION("""COMPUTED_VALUE"""),66.0)</f>
        <v>66</v>
      </c>
      <c r="F7600" s="19" t="str">
        <f>IFERROR(__xludf.DUMMYFUNCTION("""COMPUTED_VALUE"""),"BLACK")</f>
        <v>BLACK</v>
      </c>
      <c r="G7600" s="20" t="str">
        <f>IFERROR(__xludf.DUMMYFUNCTION("""COMPUTED_VALUE"""),"Uncle Sams Cider (04/04/2023)")</f>
        <v>Uncle Sams Cider (04/04/2023)</v>
      </c>
      <c r="H7600" s="19"/>
    </row>
    <row r="7601">
      <c r="A7601" s="9"/>
      <c r="B7601" s="15"/>
      <c r="C7601" s="9">
        <f>IFERROR(__xludf.DUMMYFUNCTION("""COMPUTED_VALUE"""),45064.4878731134)</f>
        <v>45064.48787</v>
      </c>
      <c r="D7601" s="15">
        <f>IFERROR(__xludf.DUMMYFUNCTION("""COMPUTED_VALUE"""),1.014)</f>
        <v>1.014</v>
      </c>
      <c r="E7601" s="16">
        <f>IFERROR(__xludf.DUMMYFUNCTION("""COMPUTED_VALUE"""),66.0)</f>
        <v>66</v>
      </c>
      <c r="F7601" s="19" t="str">
        <f>IFERROR(__xludf.DUMMYFUNCTION("""COMPUTED_VALUE"""),"BLACK")</f>
        <v>BLACK</v>
      </c>
      <c r="G7601" s="20" t="str">
        <f>IFERROR(__xludf.DUMMYFUNCTION("""COMPUTED_VALUE"""),"Uncle Sams Cider (04/04/2023)")</f>
        <v>Uncle Sams Cider (04/04/2023)</v>
      </c>
      <c r="H7601" s="19"/>
    </row>
    <row r="7602">
      <c r="A7602" s="9"/>
      <c r="B7602" s="15"/>
      <c r="C7602" s="9">
        <f>IFERROR(__xludf.DUMMYFUNCTION("""COMPUTED_VALUE"""),45064.4774529745)</f>
        <v>45064.47745</v>
      </c>
      <c r="D7602" s="15">
        <f>IFERROR(__xludf.DUMMYFUNCTION("""COMPUTED_VALUE"""),1.014)</f>
        <v>1.014</v>
      </c>
      <c r="E7602" s="16">
        <f>IFERROR(__xludf.DUMMYFUNCTION("""COMPUTED_VALUE"""),66.0)</f>
        <v>66</v>
      </c>
      <c r="F7602" s="19" t="str">
        <f>IFERROR(__xludf.DUMMYFUNCTION("""COMPUTED_VALUE"""),"BLACK")</f>
        <v>BLACK</v>
      </c>
      <c r="G7602" s="20" t="str">
        <f>IFERROR(__xludf.DUMMYFUNCTION("""COMPUTED_VALUE"""),"Uncle Sams Cider (04/04/2023)")</f>
        <v>Uncle Sams Cider (04/04/2023)</v>
      </c>
      <c r="H7602" s="19"/>
    </row>
    <row r="7603">
      <c r="A7603" s="9"/>
      <c r="B7603" s="15"/>
      <c r="C7603" s="9">
        <f>IFERROR(__xludf.DUMMYFUNCTION("""COMPUTED_VALUE"""),45064.4670199421)</f>
        <v>45064.46702</v>
      </c>
      <c r="D7603" s="15">
        <f>IFERROR(__xludf.DUMMYFUNCTION("""COMPUTED_VALUE"""),1.014)</f>
        <v>1.014</v>
      </c>
      <c r="E7603" s="16">
        <f>IFERROR(__xludf.DUMMYFUNCTION("""COMPUTED_VALUE"""),66.0)</f>
        <v>66</v>
      </c>
      <c r="F7603" s="19" t="str">
        <f>IFERROR(__xludf.DUMMYFUNCTION("""COMPUTED_VALUE"""),"BLACK")</f>
        <v>BLACK</v>
      </c>
      <c r="G7603" s="20" t="str">
        <f>IFERROR(__xludf.DUMMYFUNCTION("""COMPUTED_VALUE"""),"Uncle Sams Cider (04/04/2023)")</f>
        <v>Uncle Sams Cider (04/04/2023)</v>
      </c>
      <c r="H7603" s="19"/>
    </row>
    <row r="7604">
      <c r="A7604" s="9"/>
      <c r="B7604" s="15"/>
      <c r="C7604" s="9">
        <f>IFERROR(__xludf.DUMMYFUNCTION("""COMPUTED_VALUE"""),45064.4565993287)</f>
        <v>45064.4566</v>
      </c>
      <c r="D7604" s="15">
        <f>IFERROR(__xludf.DUMMYFUNCTION("""COMPUTED_VALUE"""),1.014)</f>
        <v>1.014</v>
      </c>
      <c r="E7604" s="16">
        <f>IFERROR(__xludf.DUMMYFUNCTION("""COMPUTED_VALUE"""),66.0)</f>
        <v>66</v>
      </c>
      <c r="F7604" s="19" t="str">
        <f>IFERROR(__xludf.DUMMYFUNCTION("""COMPUTED_VALUE"""),"BLACK")</f>
        <v>BLACK</v>
      </c>
      <c r="G7604" s="20" t="str">
        <f>IFERROR(__xludf.DUMMYFUNCTION("""COMPUTED_VALUE"""),"Uncle Sams Cider (04/04/2023)")</f>
        <v>Uncle Sams Cider (04/04/2023)</v>
      </c>
      <c r="H7604" s="19"/>
    </row>
    <row r="7605">
      <c r="A7605" s="9"/>
      <c r="B7605" s="15"/>
      <c r="C7605" s="9">
        <f>IFERROR(__xludf.DUMMYFUNCTION("""COMPUTED_VALUE"""),45064.4461776041)</f>
        <v>45064.44618</v>
      </c>
      <c r="D7605" s="15">
        <f>IFERROR(__xludf.DUMMYFUNCTION("""COMPUTED_VALUE"""),1.014)</f>
        <v>1.014</v>
      </c>
      <c r="E7605" s="16">
        <f>IFERROR(__xludf.DUMMYFUNCTION("""COMPUTED_VALUE"""),66.0)</f>
        <v>66</v>
      </c>
      <c r="F7605" s="19" t="str">
        <f>IFERROR(__xludf.DUMMYFUNCTION("""COMPUTED_VALUE"""),"BLACK")</f>
        <v>BLACK</v>
      </c>
      <c r="G7605" s="20" t="str">
        <f>IFERROR(__xludf.DUMMYFUNCTION("""COMPUTED_VALUE"""),"Uncle Sams Cider (04/04/2023)")</f>
        <v>Uncle Sams Cider (04/04/2023)</v>
      </c>
      <c r="H7605" s="19"/>
    </row>
    <row r="7606">
      <c r="A7606" s="9"/>
      <c r="B7606" s="15"/>
      <c r="C7606" s="9">
        <f>IFERROR(__xludf.DUMMYFUNCTION("""COMPUTED_VALUE"""),45064.4357574074)</f>
        <v>45064.43576</v>
      </c>
      <c r="D7606" s="15">
        <f>IFERROR(__xludf.DUMMYFUNCTION("""COMPUTED_VALUE"""),1.014)</f>
        <v>1.014</v>
      </c>
      <c r="E7606" s="16">
        <f>IFERROR(__xludf.DUMMYFUNCTION("""COMPUTED_VALUE"""),66.0)</f>
        <v>66</v>
      </c>
      <c r="F7606" s="19" t="str">
        <f>IFERROR(__xludf.DUMMYFUNCTION("""COMPUTED_VALUE"""),"BLACK")</f>
        <v>BLACK</v>
      </c>
      <c r="G7606" s="20" t="str">
        <f>IFERROR(__xludf.DUMMYFUNCTION("""COMPUTED_VALUE"""),"Uncle Sams Cider (04/04/2023)")</f>
        <v>Uncle Sams Cider (04/04/2023)</v>
      </c>
      <c r="H7606" s="19"/>
    </row>
    <row r="7607">
      <c r="A7607" s="9"/>
      <c r="B7607" s="15"/>
      <c r="C7607" s="9">
        <f>IFERROR(__xludf.DUMMYFUNCTION("""COMPUTED_VALUE"""),45064.4253029166)</f>
        <v>45064.4253</v>
      </c>
      <c r="D7607" s="15">
        <f>IFERROR(__xludf.DUMMYFUNCTION("""COMPUTED_VALUE"""),1.014)</f>
        <v>1.014</v>
      </c>
      <c r="E7607" s="16">
        <f>IFERROR(__xludf.DUMMYFUNCTION("""COMPUTED_VALUE"""),66.0)</f>
        <v>66</v>
      </c>
      <c r="F7607" s="19" t="str">
        <f>IFERROR(__xludf.DUMMYFUNCTION("""COMPUTED_VALUE"""),"BLACK")</f>
        <v>BLACK</v>
      </c>
      <c r="G7607" s="20" t="str">
        <f>IFERROR(__xludf.DUMMYFUNCTION("""COMPUTED_VALUE"""),"Uncle Sams Cider (04/04/2023)")</f>
        <v>Uncle Sams Cider (04/04/2023)</v>
      </c>
      <c r="H7607" s="19"/>
    </row>
    <row r="7608">
      <c r="A7608" s="9"/>
      <c r="B7608" s="15"/>
      <c r="C7608" s="9">
        <f>IFERROR(__xludf.DUMMYFUNCTION("""COMPUTED_VALUE"""),45064.4148825578)</f>
        <v>45064.41488</v>
      </c>
      <c r="D7608" s="15">
        <f>IFERROR(__xludf.DUMMYFUNCTION("""COMPUTED_VALUE"""),1.014)</f>
        <v>1.014</v>
      </c>
      <c r="E7608" s="16">
        <f>IFERROR(__xludf.DUMMYFUNCTION("""COMPUTED_VALUE"""),66.0)</f>
        <v>66</v>
      </c>
      <c r="F7608" s="19" t="str">
        <f>IFERROR(__xludf.DUMMYFUNCTION("""COMPUTED_VALUE"""),"BLACK")</f>
        <v>BLACK</v>
      </c>
      <c r="G7608" s="20" t="str">
        <f>IFERROR(__xludf.DUMMYFUNCTION("""COMPUTED_VALUE"""),"Uncle Sams Cider (04/04/2023)")</f>
        <v>Uncle Sams Cider (04/04/2023)</v>
      </c>
      <c r="H7608" s="19"/>
    </row>
    <row r="7609">
      <c r="A7609" s="9"/>
      <c r="B7609" s="15"/>
      <c r="C7609" s="9">
        <f>IFERROR(__xludf.DUMMYFUNCTION("""COMPUTED_VALUE"""),45064.4044146527)</f>
        <v>45064.40441</v>
      </c>
      <c r="D7609" s="15">
        <f>IFERROR(__xludf.DUMMYFUNCTION("""COMPUTED_VALUE"""),1.014)</f>
        <v>1.014</v>
      </c>
      <c r="E7609" s="16">
        <f>IFERROR(__xludf.DUMMYFUNCTION("""COMPUTED_VALUE"""),66.0)</f>
        <v>66</v>
      </c>
      <c r="F7609" s="19" t="str">
        <f>IFERROR(__xludf.DUMMYFUNCTION("""COMPUTED_VALUE"""),"BLACK")</f>
        <v>BLACK</v>
      </c>
      <c r="G7609" s="20" t="str">
        <f>IFERROR(__xludf.DUMMYFUNCTION("""COMPUTED_VALUE"""),"Uncle Sams Cider (04/04/2023)")</f>
        <v>Uncle Sams Cider (04/04/2023)</v>
      </c>
      <c r="H7609" s="19"/>
    </row>
    <row r="7610">
      <c r="A7610" s="9"/>
      <c r="B7610" s="15"/>
      <c r="C7610" s="9">
        <f>IFERROR(__xludf.DUMMYFUNCTION("""COMPUTED_VALUE"""),45064.3939687847)</f>
        <v>45064.39397</v>
      </c>
      <c r="D7610" s="15">
        <f>IFERROR(__xludf.DUMMYFUNCTION("""COMPUTED_VALUE"""),1.014)</f>
        <v>1.014</v>
      </c>
      <c r="E7610" s="16">
        <f>IFERROR(__xludf.DUMMYFUNCTION("""COMPUTED_VALUE"""),66.0)</f>
        <v>66</v>
      </c>
      <c r="F7610" s="19" t="str">
        <f>IFERROR(__xludf.DUMMYFUNCTION("""COMPUTED_VALUE"""),"BLACK")</f>
        <v>BLACK</v>
      </c>
      <c r="G7610" s="20" t="str">
        <f>IFERROR(__xludf.DUMMYFUNCTION("""COMPUTED_VALUE"""),"Uncle Sams Cider (04/04/2023)")</f>
        <v>Uncle Sams Cider (04/04/2023)</v>
      </c>
      <c r="H7610" s="19"/>
    </row>
    <row r="7611">
      <c r="A7611" s="9"/>
      <c r="B7611" s="15"/>
      <c r="C7611" s="9">
        <f>IFERROR(__xludf.DUMMYFUNCTION("""COMPUTED_VALUE"""),45064.3835133101)</f>
        <v>45064.38351</v>
      </c>
      <c r="D7611" s="15">
        <f>IFERROR(__xludf.DUMMYFUNCTION("""COMPUTED_VALUE"""),1.014)</f>
        <v>1.014</v>
      </c>
      <c r="E7611" s="16">
        <f>IFERROR(__xludf.DUMMYFUNCTION("""COMPUTED_VALUE"""),66.0)</f>
        <v>66</v>
      </c>
      <c r="F7611" s="19" t="str">
        <f>IFERROR(__xludf.DUMMYFUNCTION("""COMPUTED_VALUE"""),"BLACK")</f>
        <v>BLACK</v>
      </c>
      <c r="G7611" s="20" t="str">
        <f>IFERROR(__xludf.DUMMYFUNCTION("""COMPUTED_VALUE"""),"Uncle Sams Cider (04/04/2023)")</f>
        <v>Uncle Sams Cider (04/04/2023)</v>
      </c>
      <c r="H7611" s="19"/>
    </row>
    <row r="7612">
      <c r="A7612" s="9"/>
      <c r="B7612" s="15"/>
      <c r="C7612" s="9">
        <f>IFERROR(__xludf.DUMMYFUNCTION("""COMPUTED_VALUE"""),45064.3730562384)</f>
        <v>45064.37306</v>
      </c>
      <c r="D7612" s="15">
        <f>IFERROR(__xludf.DUMMYFUNCTION("""COMPUTED_VALUE"""),1.014)</f>
        <v>1.014</v>
      </c>
      <c r="E7612" s="16">
        <f>IFERROR(__xludf.DUMMYFUNCTION("""COMPUTED_VALUE"""),66.0)</f>
        <v>66</v>
      </c>
      <c r="F7612" s="19" t="str">
        <f>IFERROR(__xludf.DUMMYFUNCTION("""COMPUTED_VALUE"""),"BLACK")</f>
        <v>BLACK</v>
      </c>
      <c r="G7612" s="20" t="str">
        <f>IFERROR(__xludf.DUMMYFUNCTION("""COMPUTED_VALUE"""),"Uncle Sams Cider (04/04/2023)")</f>
        <v>Uncle Sams Cider (04/04/2023)</v>
      </c>
      <c r="H7612" s="19"/>
    </row>
    <row r="7613">
      <c r="A7613" s="9"/>
      <c r="B7613" s="15"/>
      <c r="C7613" s="9">
        <f>IFERROR(__xludf.DUMMYFUNCTION("""COMPUTED_VALUE"""),45064.3626219791)</f>
        <v>45064.36262</v>
      </c>
      <c r="D7613" s="15">
        <f>IFERROR(__xludf.DUMMYFUNCTION("""COMPUTED_VALUE"""),1.014)</f>
        <v>1.014</v>
      </c>
      <c r="E7613" s="16">
        <f>IFERROR(__xludf.DUMMYFUNCTION("""COMPUTED_VALUE"""),66.0)</f>
        <v>66</v>
      </c>
      <c r="F7613" s="19" t="str">
        <f>IFERROR(__xludf.DUMMYFUNCTION("""COMPUTED_VALUE"""),"BLACK")</f>
        <v>BLACK</v>
      </c>
      <c r="G7613" s="20" t="str">
        <f>IFERROR(__xludf.DUMMYFUNCTION("""COMPUTED_VALUE"""),"Uncle Sams Cider (04/04/2023)")</f>
        <v>Uncle Sams Cider (04/04/2023)</v>
      </c>
      <c r="H7613" s="19"/>
    </row>
    <row r="7614">
      <c r="A7614" s="9"/>
      <c r="B7614" s="15"/>
      <c r="C7614" s="9">
        <f>IFERROR(__xludf.DUMMYFUNCTION("""COMPUTED_VALUE"""),45064.3521425347)</f>
        <v>45064.35214</v>
      </c>
      <c r="D7614" s="15">
        <f>IFERROR(__xludf.DUMMYFUNCTION("""COMPUTED_VALUE"""),1.014)</f>
        <v>1.014</v>
      </c>
      <c r="E7614" s="16">
        <f>IFERROR(__xludf.DUMMYFUNCTION("""COMPUTED_VALUE"""),66.0)</f>
        <v>66</v>
      </c>
      <c r="F7614" s="19" t="str">
        <f>IFERROR(__xludf.DUMMYFUNCTION("""COMPUTED_VALUE"""),"BLACK")</f>
        <v>BLACK</v>
      </c>
      <c r="G7614" s="20" t="str">
        <f>IFERROR(__xludf.DUMMYFUNCTION("""COMPUTED_VALUE"""),"Uncle Sams Cider (04/04/2023)")</f>
        <v>Uncle Sams Cider (04/04/2023)</v>
      </c>
      <c r="H7614" s="19"/>
    </row>
    <row r="7615">
      <c r="A7615" s="9"/>
      <c r="B7615" s="15"/>
      <c r="C7615" s="9">
        <f>IFERROR(__xludf.DUMMYFUNCTION("""COMPUTED_VALUE"""),45064.3417100925)</f>
        <v>45064.34171</v>
      </c>
      <c r="D7615" s="15">
        <f>IFERROR(__xludf.DUMMYFUNCTION("""COMPUTED_VALUE"""),1.014)</f>
        <v>1.014</v>
      </c>
      <c r="E7615" s="16">
        <f>IFERROR(__xludf.DUMMYFUNCTION("""COMPUTED_VALUE"""),66.0)</f>
        <v>66</v>
      </c>
      <c r="F7615" s="19" t="str">
        <f>IFERROR(__xludf.DUMMYFUNCTION("""COMPUTED_VALUE"""),"BLACK")</f>
        <v>BLACK</v>
      </c>
      <c r="G7615" s="20" t="str">
        <f>IFERROR(__xludf.DUMMYFUNCTION("""COMPUTED_VALUE"""),"Uncle Sams Cider (04/04/2023)")</f>
        <v>Uncle Sams Cider (04/04/2023)</v>
      </c>
      <c r="H7615" s="19"/>
    </row>
    <row r="7616">
      <c r="A7616" s="9"/>
      <c r="B7616" s="15"/>
      <c r="C7616" s="9">
        <f>IFERROR(__xludf.DUMMYFUNCTION("""COMPUTED_VALUE"""),45064.3312544097)</f>
        <v>45064.33125</v>
      </c>
      <c r="D7616" s="15">
        <f>IFERROR(__xludf.DUMMYFUNCTION("""COMPUTED_VALUE"""),1.014)</f>
        <v>1.014</v>
      </c>
      <c r="E7616" s="16">
        <f>IFERROR(__xludf.DUMMYFUNCTION("""COMPUTED_VALUE"""),66.0)</f>
        <v>66</v>
      </c>
      <c r="F7616" s="19" t="str">
        <f>IFERROR(__xludf.DUMMYFUNCTION("""COMPUTED_VALUE"""),"BLACK")</f>
        <v>BLACK</v>
      </c>
      <c r="G7616" s="20" t="str">
        <f>IFERROR(__xludf.DUMMYFUNCTION("""COMPUTED_VALUE"""),"Uncle Sams Cider (04/04/2023)")</f>
        <v>Uncle Sams Cider (04/04/2023)</v>
      </c>
      <c r="H7616" s="19"/>
    </row>
    <row r="7617">
      <c r="A7617" s="9"/>
      <c r="B7617" s="15"/>
      <c r="C7617" s="9">
        <f>IFERROR(__xludf.DUMMYFUNCTION("""COMPUTED_VALUE"""),45064.3208215277)</f>
        <v>45064.32082</v>
      </c>
      <c r="D7617" s="15">
        <f>IFERROR(__xludf.DUMMYFUNCTION("""COMPUTED_VALUE"""),1.014)</f>
        <v>1.014</v>
      </c>
      <c r="E7617" s="16">
        <f>IFERROR(__xludf.DUMMYFUNCTION("""COMPUTED_VALUE"""),66.0)</f>
        <v>66</v>
      </c>
      <c r="F7617" s="19" t="str">
        <f>IFERROR(__xludf.DUMMYFUNCTION("""COMPUTED_VALUE"""),"BLACK")</f>
        <v>BLACK</v>
      </c>
      <c r="G7617" s="20" t="str">
        <f>IFERROR(__xludf.DUMMYFUNCTION("""COMPUTED_VALUE"""),"Uncle Sams Cider (04/04/2023)")</f>
        <v>Uncle Sams Cider (04/04/2023)</v>
      </c>
      <c r="H7617" s="19"/>
    </row>
    <row r="7618">
      <c r="A7618" s="9"/>
      <c r="B7618" s="15"/>
      <c r="C7618" s="9">
        <f>IFERROR(__xludf.DUMMYFUNCTION("""COMPUTED_VALUE"""),45064.3103860185)</f>
        <v>45064.31039</v>
      </c>
      <c r="D7618" s="15">
        <f>IFERROR(__xludf.DUMMYFUNCTION("""COMPUTED_VALUE"""),1.014)</f>
        <v>1.014</v>
      </c>
      <c r="E7618" s="16">
        <f>IFERROR(__xludf.DUMMYFUNCTION("""COMPUTED_VALUE"""),66.0)</f>
        <v>66</v>
      </c>
      <c r="F7618" s="19" t="str">
        <f>IFERROR(__xludf.DUMMYFUNCTION("""COMPUTED_VALUE"""),"BLACK")</f>
        <v>BLACK</v>
      </c>
      <c r="G7618" s="20" t="str">
        <f>IFERROR(__xludf.DUMMYFUNCTION("""COMPUTED_VALUE"""),"Uncle Sams Cider (04/04/2023)")</f>
        <v>Uncle Sams Cider (04/04/2023)</v>
      </c>
      <c r="H7618" s="19"/>
    </row>
    <row r="7619">
      <c r="A7619" s="9"/>
      <c r="B7619" s="15"/>
      <c r="C7619" s="9">
        <f>IFERROR(__xludf.DUMMYFUNCTION("""COMPUTED_VALUE"""),45064.2999633333)</f>
        <v>45064.29996</v>
      </c>
      <c r="D7619" s="15">
        <f>IFERROR(__xludf.DUMMYFUNCTION("""COMPUTED_VALUE"""),1.014)</f>
        <v>1.014</v>
      </c>
      <c r="E7619" s="16">
        <f>IFERROR(__xludf.DUMMYFUNCTION("""COMPUTED_VALUE"""),66.0)</f>
        <v>66</v>
      </c>
      <c r="F7619" s="19" t="str">
        <f>IFERROR(__xludf.DUMMYFUNCTION("""COMPUTED_VALUE"""),"BLACK")</f>
        <v>BLACK</v>
      </c>
      <c r="G7619" s="20" t="str">
        <f>IFERROR(__xludf.DUMMYFUNCTION("""COMPUTED_VALUE"""),"Uncle Sams Cider (04/04/2023)")</f>
        <v>Uncle Sams Cider (04/04/2023)</v>
      </c>
      <c r="H7619" s="19"/>
    </row>
    <row r="7620">
      <c r="A7620" s="9"/>
      <c r="B7620" s="15"/>
      <c r="C7620" s="9">
        <f>IFERROR(__xludf.DUMMYFUNCTION("""COMPUTED_VALUE"""),45064.2895427546)</f>
        <v>45064.28954</v>
      </c>
      <c r="D7620" s="15">
        <f>IFERROR(__xludf.DUMMYFUNCTION("""COMPUTED_VALUE"""),1.014)</f>
        <v>1.014</v>
      </c>
      <c r="E7620" s="16">
        <f>IFERROR(__xludf.DUMMYFUNCTION("""COMPUTED_VALUE"""),66.0)</f>
        <v>66</v>
      </c>
      <c r="F7620" s="19" t="str">
        <f>IFERROR(__xludf.DUMMYFUNCTION("""COMPUTED_VALUE"""),"BLACK")</f>
        <v>BLACK</v>
      </c>
      <c r="G7620" s="20" t="str">
        <f>IFERROR(__xludf.DUMMYFUNCTION("""COMPUTED_VALUE"""),"Uncle Sams Cider (04/04/2023)")</f>
        <v>Uncle Sams Cider (04/04/2023)</v>
      </c>
      <c r="H7620" s="19"/>
    </row>
    <row r="7621">
      <c r="A7621" s="9"/>
      <c r="B7621" s="15"/>
      <c r="C7621" s="9">
        <f>IFERROR(__xludf.DUMMYFUNCTION("""COMPUTED_VALUE"""),45064.2791094676)</f>
        <v>45064.27911</v>
      </c>
      <c r="D7621" s="15">
        <f>IFERROR(__xludf.DUMMYFUNCTION("""COMPUTED_VALUE"""),1.014)</f>
        <v>1.014</v>
      </c>
      <c r="E7621" s="16">
        <f>IFERROR(__xludf.DUMMYFUNCTION("""COMPUTED_VALUE"""),66.0)</f>
        <v>66</v>
      </c>
      <c r="F7621" s="19" t="str">
        <f>IFERROR(__xludf.DUMMYFUNCTION("""COMPUTED_VALUE"""),"BLACK")</f>
        <v>BLACK</v>
      </c>
      <c r="G7621" s="20" t="str">
        <f>IFERROR(__xludf.DUMMYFUNCTION("""COMPUTED_VALUE"""),"Uncle Sams Cider (04/04/2023)")</f>
        <v>Uncle Sams Cider (04/04/2023)</v>
      </c>
      <c r="H7621" s="19"/>
    </row>
    <row r="7622">
      <c r="A7622" s="9"/>
      <c r="B7622" s="15"/>
      <c r="C7622" s="9">
        <f>IFERROR(__xludf.DUMMYFUNCTION("""COMPUTED_VALUE"""),45064.2686762731)</f>
        <v>45064.26868</v>
      </c>
      <c r="D7622" s="15">
        <f>IFERROR(__xludf.DUMMYFUNCTION("""COMPUTED_VALUE"""),1.014)</f>
        <v>1.014</v>
      </c>
      <c r="E7622" s="16">
        <f>IFERROR(__xludf.DUMMYFUNCTION("""COMPUTED_VALUE"""),66.0)</f>
        <v>66</v>
      </c>
      <c r="F7622" s="19" t="str">
        <f>IFERROR(__xludf.DUMMYFUNCTION("""COMPUTED_VALUE"""),"BLACK")</f>
        <v>BLACK</v>
      </c>
      <c r="G7622" s="20" t="str">
        <f>IFERROR(__xludf.DUMMYFUNCTION("""COMPUTED_VALUE"""),"Uncle Sams Cider (04/04/2023)")</f>
        <v>Uncle Sams Cider (04/04/2023)</v>
      </c>
      <c r="H7622" s="19"/>
    </row>
    <row r="7623">
      <c r="A7623" s="9"/>
      <c r="B7623" s="15"/>
      <c r="C7623" s="9">
        <f>IFERROR(__xludf.DUMMYFUNCTION("""COMPUTED_VALUE"""),45064.2582327199)</f>
        <v>45064.25823</v>
      </c>
      <c r="D7623" s="15">
        <f>IFERROR(__xludf.DUMMYFUNCTION("""COMPUTED_VALUE"""),1.014)</f>
        <v>1.014</v>
      </c>
      <c r="E7623" s="16">
        <f>IFERROR(__xludf.DUMMYFUNCTION("""COMPUTED_VALUE"""),66.0)</f>
        <v>66</v>
      </c>
      <c r="F7623" s="19" t="str">
        <f>IFERROR(__xludf.DUMMYFUNCTION("""COMPUTED_VALUE"""),"BLACK")</f>
        <v>BLACK</v>
      </c>
      <c r="G7623" s="20" t="str">
        <f>IFERROR(__xludf.DUMMYFUNCTION("""COMPUTED_VALUE"""),"Uncle Sams Cider (04/04/2023)")</f>
        <v>Uncle Sams Cider (04/04/2023)</v>
      </c>
      <c r="H7623" s="19"/>
    </row>
    <row r="7624">
      <c r="A7624" s="9"/>
      <c r="B7624" s="15"/>
      <c r="C7624" s="9">
        <f>IFERROR(__xludf.DUMMYFUNCTION("""COMPUTED_VALUE"""),45064.2478005902)</f>
        <v>45064.2478</v>
      </c>
      <c r="D7624" s="15">
        <f>IFERROR(__xludf.DUMMYFUNCTION("""COMPUTED_VALUE"""),1.014)</f>
        <v>1.014</v>
      </c>
      <c r="E7624" s="16">
        <f>IFERROR(__xludf.DUMMYFUNCTION("""COMPUTED_VALUE"""),66.0)</f>
        <v>66</v>
      </c>
      <c r="F7624" s="19" t="str">
        <f>IFERROR(__xludf.DUMMYFUNCTION("""COMPUTED_VALUE"""),"BLACK")</f>
        <v>BLACK</v>
      </c>
      <c r="G7624" s="20" t="str">
        <f>IFERROR(__xludf.DUMMYFUNCTION("""COMPUTED_VALUE"""),"Uncle Sams Cider (04/04/2023)")</f>
        <v>Uncle Sams Cider (04/04/2023)</v>
      </c>
      <c r="H7624" s="19"/>
    </row>
    <row r="7625">
      <c r="A7625" s="9"/>
      <c r="B7625" s="15"/>
      <c r="C7625" s="9">
        <f>IFERROR(__xludf.DUMMYFUNCTION("""COMPUTED_VALUE"""),45064.2373669097)</f>
        <v>45064.23737</v>
      </c>
      <c r="D7625" s="15">
        <f>IFERROR(__xludf.DUMMYFUNCTION("""COMPUTED_VALUE"""),1.014)</f>
        <v>1.014</v>
      </c>
      <c r="E7625" s="16">
        <f>IFERROR(__xludf.DUMMYFUNCTION("""COMPUTED_VALUE"""),66.0)</f>
        <v>66</v>
      </c>
      <c r="F7625" s="19" t="str">
        <f>IFERROR(__xludf.DUMMYFUNCTION("""COMPUTED_VALUE"""),"BLACK")</f>
        <v>BLACK</v>
      </c>
      <c r="G7625" s="20" t="str">
        <f>IFERROR(__xludf.DUMMYFUNCTION("""COMPUTED_VALUE"""),"Uncle Sams Cider (04/04/2023)")</f>
        <v>Uncle Sams Cider (04/04/2023)</v>
      </c>
      <c r="H7625" s="19"/>
    </row>
    <row r="7626">
      <c r="A7626" s="9"/>
      <c r="B7626" s="15"/>
      <c r="C7626" s="9">
        <f>IFERROR(__xludf.DUMMYFUNCTION("""COMPUTED_VALUE"""),45064.2269453472)</f>
        <v>45064.22695</v>
      </c>
      <c r="D7626" s="15">
        <f>IFERROR(__xludf.DUMMYFUNCTION("""COMPUTED_VALUE"""),1.014)</f>
        <v>1.014</v>
      </c>
      <c r="E7626" s="16">
        <f>IFERROR(__xludf.DUMMYFUNCTION("""COMPUTED_VALUE"""),66.0)</f>
        <v>66</v>
      </c>
      <c r="F7626" s="19" t="str">
        <f>IFERROR(__xludf.DUMMYFUNCTION("""COMPUTED_VALUE"""),"BLACK")</f>
        <v>BLACK</v>
      </c>
      <c r="G7626" s="20" t="str">
        <f>IFERROR(__xludf.DUMMYFUNCTION("""COMPUTED_VALUE"""),"Uncle Sams Cider (04/04/2023)")</f>
        <v>Uncle Sams Cider (04/04/2023)</v>
      </c>
      <c r="H7626" s="19"/>
    </row>
    <row r="7627">
      <c r="A7627" s="9"/>
      <c r="B7627" s="15"/>
      <c r="C7627" s="9">
        <f>IFERROR(__xludf.DUMMYFUNCTION("""COMPUTED_VALUE"""),45064.2165002199)</f>
        <v>45064.2165</v>
      </c>
      <c r="D7627" s="15">
        <f>IFERROR(__xludf.DUMMYFUNCTION("""COMPUTED_VALUE"""),1.014)</f>
        <v>1.014</v>
      </c>
      <c r="E7627" s="16">
        <f>IFERROR(__xludf.DUMMYFUNCTION("""COMPUTED_VALUE"""),66.0)</f>
        <v>66</v>
      </c>
      <c r="F7627" s="19" t="str">
        <f>IFERROR(__xludf.DUMMYFUNCTION("""COMPUTED_VALUE"""),"BLACK")</f>
        <v>BLACK</v>
      </c>
      <c r="G7627" s="20" t="str">
        <f>IFERROR(__xludf.DUMMYFUNCTION("""COMPUTED_VALUE"""),"Uncle Sams Cider (04/04/2023)")</f>
        <v>Uncle Sams Cider (04/04/2023)</v>
      </c>
      <c r="H7627" s="19"/>
    </row>
    <row r="7628">
      <c r="A7628" s="9"/>
      <c r="B7628" s="15"/>
      <c r="C7628" s="9">
        <f>IFERROR(__xludf.DUMMYFUNCTION("""COMPUTED_VALUE"""),45064.2060677893)</f>
        <v>45064.20607</v>
      </c>
      <c r="D7628" s="15">
        <f>IFERROR(__xludf.DUMMYFUNCTION("""COMPUTED_VALUE"""),1.014)</f>
        <v>1.014</v>
      </c>
      <c r="E7628" s="16">
        <f>IFERROR(__xludf.DUMMYFUNCTION("""COMPUTED_VALUE"""),66.0)</f>
        <v>66</v>
      </c>
      <c r="F7628" s="19" t="str">
        <f>IFERROR(__xludf.DUMMYFUNCTION("""COMPUTED_VALUE"""),"BLACK")</f>
        <v>BLACK</v>
      </c>
      <c r="G7628" s="20" t="str">
        <f>IFERROR(__xludf.DUMMYFUNCTION("""COMPUTED_VALUE"""),"Uncle Sams Cider (04/04/2023)")</f>
        <v>Uncle Sams Cider (04/04/2023)</v>
      </c>
      <c r="H7628" s="19"/>
    </row>
    <row r="7629">
      <c r="A7629" s="9"/>
      <c r="B7629" s="15"/>
      <c r="C7629" s="9">
        <f>IFERROR(__xludf.DUMMYFUNCTION("""COMPUTED_VALUE"""),45064.1956349884)</f>
        <v>45064.19563</v>
      </c>
      <c r="D7629" s="15">
        <f>IFERROR(__xludf.DUMMYFUNCTION("""COMPUTED_VALUE"""),1.014)</f>
        <v>1.014</v>
      </c>
      <c r="E7629" s="16">
        <f>IFERROR(__xludf.DUMMYFUNCTION("""COMPUTED_VALUE"""),66.0)</f>
        <v>66</v>
      </c>
      <c r="F7629" s="19" t="str">
        <f>IFERROR(__xludf.DUMMYFUNCTION("""COMPUTED_VALUE"""),"BLACK")</f>
        <v>BLACK</v>
      </c>
      <c r="G7629" s="20" t="str">
        <f>IFERROR(__xludf.DUMMYFUNCTION("""COMPUTED_VALUE"""),"Uncle Sams Cider (04/04/2023)")</f>
        <v>Uncle Sams Cider (04/04/2023)</v>
      </c>
      <c r="H7629" s="19"/>
    </row>
    <row r="7630">
      <c r="A7630" s="9"/>
      <c r="B7630" s="15"/>
      <c r="C7630" s="9">
        <f>IFERROR(__xludf.DUMMYFUNCTION("""COMPUTED_VALUE"""),45064.1852018402)</f>
        <v>45064.1852</v>
      </c>
      <c r="D7630" s="15">
        <f>IFERROR(__xludf.DUMMYFUNCTION("""COMPUTED_VALUE"""),1.014)</f>
        <v>1.014</v>
      </c>
      <c r="E7630" s="16">
        <f>IFERROR(__xludf.DUMMYFUNCTION("""COMPUTED_VALUE"""),66.0)</f>
        <v>66</v>
      </c>
      <c r="F7630" s="19" t="str">
        <f>IFERROR(__xludf.DUMMYFUNCTION("""COMPUTED_VALUE"""),"BLACK")</f>
        <v>BLACK</v>
      </c>
      <c r="G7630" s="20" t="str">
        <f>IFERROR(__xludf.DUMMYFUNCTION("""COMPUTED_VALUE"""),"Uncle Sams Cider (04/04/2023)")</f>
        <v>Uncle Sams Cider (04/04/2023)</v>
      </c>
      <c r="H7630" s="19"/>
    </row>
    <row r="7631">
      <c r="A7631" s="9"/>
      <c r="B7631" s="15"/>
      <c r="C7631" s="9">
        <f>IFERROR(__xludf.DUMMYFUNCTION("""COMPUTED_VALUE"""),45064.1747810069)</f>
        <v>45064.17478</v>
      </c>
      <c r="D7631" s="15">
        <f>IFERROR(__xludf.DUMMYFUNCTION("""COMPUTED_VALUE"""),1.014)</f>
        <v>1.014</v>
      </c>
      <c r="E7631" s="16">
        <f>IFERROR(__xludf.DUMMYFUNCTION("""COMPUTED_VALUE"""),66.0)</f>
        <v>66</v>
      </c>
      <c r="F7631" s="19" t="str">
        <f>IFERROR(__xludf.DUMMYFUNCTION("""COMPUTED_VALUE"""),"BLACK")</f>
        <v>BLACK</v>
      </c>
      <c r="G7631" s="20" t="str">
        <f>IFERROR(__xludf.DUMMYFUNCTION("""COMPUTED_VALUE"""),"Uncle Sams Cider (04/04/2023)")</f>
        <v>Uncle Sams Cider (04/04/2023)</v>
      </c>
      <c r="H7631" s="19"/>
    </row>
    <row r="7632">
      <c r="A7632" s="9"/>
      <c r="B7632" s="15"/>
      <c r="C7632" s="9">
        <f>IFERROR(__xludf.DUMMYFUNCTION("""COMPUTED_VALUE"""),45064.1643374884)</f>
        <v>45064.16434</v>
      </c>
      <c r="D7632" s="15">
        <f>IFERROR(__xludf.DUMMYFUNCTION("""COMPUTED_VALUE"""),1.014)</f>
        <v>1.014</v>
      </c>
      <c r="E7632" s="16">
        <f>IFERROR(__xludf.DUMMYFUNCTION("""COMPUTED_VALUE"""),66.0)</f>
        <v>66</v>
      </c>
      <c r="F7632" s="19" t="str">
        <f>IFERROR(__xludf.DUMMYFUNCTION("""COMPUTED_VALUE"""),"BLACK")</f>
        <v>BLACK</v>
      </c>
      <c r="G7632" s="20" t="str">
        <f>IFERROR(__xludf.DUMMYFUNCTION("""COMPUTED_VALUE"""),"Uncle Sams Cider (04/04/2023)")</f>
        <v>Uncle Sams Cider (04/04/2023)</v>
      </c>
      <c r="H7632" s="19"/>
    </row>
    <row r="7633">
      <c r="A7633" s="9"/>
      <c r="B7633" s="15"/>
      <c r="C7633" s="9">
        <f>IFERROR(__xludf.DUMMYFUNCTION("""COMPUTED_VALUE"""),45064.1539042708)</f>
        <v>45064.1539</v>
      </c>
      <c r="D7633" s="15">
        <f>IFERROR(__xludf.DUMMYFUNCTION("""COMPUTED_VALUE"""),1.014)</f>
        <v>1.014</v>
      </c>
      <c r="E7633" s="16">
        <f>IFERROR(__xludf.DUMMYFUNCTION("""COMPUTED_VALUE"""),66.0)</f>
        <v>66</v>
      </c>
      <c r="F7633" s="19" t="str">
        <f>IFERROR(__xludf.DUMMYFUNCTION("""COMPUTED_VALUE"""),"BLACK")</f>
        <v>BLACK</v>
      </c>
      <c r="G7633" s="20" t="str">
        <f>IFERROR(__xludf.DUMMYFUNCTION("""COMPUTED_VALUE"""),"Uncle Sams Cider (04/04/2023)")</f>
        <v>Uncle Sams Cider (04/04/2023)</v>
      </c>
      <c r="H7633" s="19"/>
    </row>
    <row r="7634">
      <c r="A7634" s="9"/>
      <c r="B7634" s="15"/>
      <c r="C7634" s="9">
        <f>IFERROR(__xludf.DUMMYFUNCTION("""COMPUTED_VALUE"""),45064.1434838078)</f>
        <v>45064.14348</v>
      </c>
      <c r="D7634" s="15">
        <f>IFERROR(__xludf.DUMMYFUNCTION("""COMPUTED_VALUE"""),1.014)</f>
        <v>1.014</v>
      </c>
      <c r="E7634" s="16">
        <f>IFERROR(__xludf.DUMMYFUNCTION("""COMPUTED_VALUE"""),66.0)</f>
        <v>66</v>
      </c>
      <c r="F7634" s="19" t="str">
        <f>IFERROR(__xludf.DUMMYFUNCTION("""COMPUTED_VALUE"""),"BLACK")</f>
        <v>BLACK</v>
      </c>
      <c r="G7634" s="20" t="str">
        <f>IFERROR(__xludf.DUMMYFUNCTION("""COMPUTED_VALUE"""),"Uncle Sams Cider (04/04/2023)")</f>
        <v>Uncle Sams Cider (04/04/2023)</v>
      </c>
      <c r="H7634" s="19"/>
    </row>
    <row r="7635">
      <c r="A7635" s="9"/>
      <c r="B7635" s="15"/>
      <c r="C7635" s="9">
        <f>IFERROR(__xludf.DUMMYFUNCTION("""COMPUTED_VALUE"""),45064.133028831)</f>
        <v>45064.13303</v>
      </c>
      <c r="D7635" s="15">
        <f>IFERROR(__xludf.DUMMYFUNCTION("""COMPUTED_VALUE"""),1.014)</f>
        <v>1.014</v>
      </c>
      <c r="E7635" s="16">
        <f>IFERROR(__xludf.DUMMYFUNCTION("""COMPUTED_VALUE"""),66.0)</f>
        <v>66</v>
      </c>
      <c r="F7635" s="19" t="str">
        <f>IFERROR(__xludf.DUMMYFUNCTION("""COMPUTED_VALUE"""),"BLACK")</f>
        <v>BLACK</v>
      </c>
      <c r="G7635" s="20" t="str">
        <f>IFERROR(__xludf.DUMMYFUNCTION("""COMPUTED_VALUE"""),"Uncle Sams Cider (04/04/2023)")</f>
        <v>Uncle Sams Cider (04/04/2023)</v>
      </c>
      <c r="H7635" s="19"/>
    </row>
    <row r="7636">
      <c r="A7636" s="9"/>
      <c r="B7636" s="15"/>
      <c r="C7636" s="9">
        <f>IFERROR(__xludf.DUMMYFUNCTION("""COMPUTED_VALUE"""),45064.1226072106)</f>
        <v>45064.12261</v>
      </c>
      <c r="D7636" s="15">
        <f>IFERROR(__xludf.DUMMYFUNCTION("""COMPUTED_VALUE"""),1.014)</f>
        <v>1.014</v>
      </c>
      <c r="E7636" s="16">
        <f>IFERROR(__xludf.DUMMYFUNCTION("""COMPUTED_VALUE"""),66.0)</f>
        <v>66</v>
      </c>
      <c r="F7636" s="19" t="str">
        <f>IFERROR(__xludf.DUMMYFUNCTION("""COMPUTED_VALUE"""),"BLACK")</f>
        <v>BLACK</v>
      </c>
      <c r="G7636" s="20" t="str">
        <f>IFERROR(__xludf.DUMMYFUNCTION("""COMPUTED_VALUE"""),"Uncle Sams Cider (04/04/2023)")</f>
        <v>Uncle Sams Cider (04/04/2023)</v>
      </c>
      <c r="H7636" s="19"/>
    </row>
    <row r="7637">
      <c r="A7637" s="9"/>
      <c r="B7637" s="15"/>
      <c r="C7637" s="9">
        <f>IFERROR(__xludf.DUMMYFUNCTION("""COMPUTED_VALUE"""),45064.1121622685)</f>
        <v>45064.11216</v>
      </c>
      <c r="D7637" s="15">
        <f>IFERROR(__xludf.DUMMYFUNCTION("""COMPUTED_VALUE"""),1.014)</f>
        <v>1.014</v>
      </c>
      <c r="E7637" s="16">
        <f>IFERROR(__xludf.DUMMYFUNCTION("""COMPUTED_VALUE"""),66.0)</f>
        <v>66</v>
      </c>
      <c r="F7637" s="19" t="str">
        <f>IFERROR(__xludf.DUMMYFUNCTION("""COMPUTED_VALUE"""),"BLACK")</f>
        <v>BLACK</v>
      </c>
      <c r="G7637" s="20" t="str">
        <f>IFERROR(__xludf.DUMMYFUNCTION("""COMPUTED_VALUE"""),"Uncle Sams Cider (04/04/2023)")</f>
        <v>Uncle Sams Cider (04/04/2023)</v>
      </c>
      <c r="H7637" s="19"/>
    </row>
    <row r="7638">
      <c r="A7638" s="9"/>
      <c r="B7638" s="15"/>
      <c r="C7638" s="9">
        <f>IFERROR(__xludf.DUMMYFUNCTION("""COMPUTED_VALUE"""),45064.1017397337)</f>
        <v>45064.10174</v>
      </c>
      <c r="D7638" s="15">
        <f>IFERROR(__xludf.DUMMYFUNCTION("""COMPUTED_VALUE"""),1.014)</f>
        <v>1.014</v>
      </c>
      <c r="E7638" s="16">
        <f>IFERROR(__xludf.DUMMYFUNCTION("""COMPUTED_VALUE"""),66.0)</f>
        <v>66</v>
      </c>
      <c r="F7638" s="19" t="str">
        <f>IFERROR(__xludf.DUMMYFUNCTION("""COMPUTED_VALUE"""),"BLACK")</f>
        <v>BLACK</v>
      </c>
      <c r="G7638" s="20" t="str">
        <f>IFERROR(__xludf.DUMMYFUNCTION("""COMPUTED_VALUE"""),"Uncle Sams Cider (04/04/2023)")</f>
        <v>Uncle Sams Cider (04/04/2023)</v>
      </c>
      <c r="H7638" s="19"/>
    </row>
    <row r="7639">
      <c r="A7639" s="9"/>
      <c r="B7639" s="15"/>
      <c r="C7639" s="9">
        <f>IFERROR(__xludf.DUMMYFUNCTION("""COMPUTED_VALUE"""),45064.0912821643)</f>
        <v>45064.09128</v>
      </c>
      <c r="D7639" s="15">
        <f>IFERROR(__xludf.DUMMYFUNCTION("""COMPUTED_VALUE"""),1.014)</f>
        <v>1.014</v>
      </c>
      <c r="E7639" s="16">
        <f>IFERROR(__xludf.DUMMYFUNCTION("""COMPUTED_VALUE"""),66.0)</f>
        <v>66</v>
      </c>
      <c r="F7639" s="19" t="str">
        <f>IFERROR(__xludf.DUMMYFUNCTION("""COMPUTED_VALUE"""),"BLACK")</f>
        <v>BLACK</v>
      </c>
      <c r="G7639" s="20" t="str">
        <f>IFERROR(__xludf.DUMMYFUNCTION("""COMPUTED_VALUE"""),"Uncle Sams Cider (04/04/2023)")</f>
        <v>Uncle Sams Cider (04/04/2023)</v>
      </c>
      <c r="H7639" s="19"/>
    </row>
    <row r="7640">
      <c r="A7640" s="9"/>
      <c r="B7640" s="15"/>
      <c r="C7640" s="9">
        <f>IFERROR(__xludf.DUMMYFUNCTION("""COMPUTED_VALUE"""),45064.0808380092)</f>
        <v>45064.08084</v>
      </c>
      <c r="D7640" s="15">
        <f>IFERROR(__xludf.DUMMYFUNCTION("""COMPUTED_VALUE"""),1.014)</f>
        <v>1.014</v>
      </c>
      <c r="E7640" s="16">
        <f>IFERROR(__xludf.DUMMYFUNCTION("""COMPUTED_VALUE"""),66.0)</f>
        <v>66</v>
      </c>
      <c r="F7640" s="19" t="str">
        <f>IFERROR(__xludf.DUMMYFUNCTION("""COMPUTED_VALUE"""),"BLACK")</f>
        <v>BLACK</v>
      </c>
      <c r="G7640" s="20" t="str">
        <f>IFERROR(__xludf.DUMMYFUNCTION("""COMPUTED_VALUE"""),"Uncle Sams Cider (04/04/2023)")</f>
        <v>Uncle Sams Cider (04/04/2023)</v>
      </c>
      <c r="H7640" s="19"/>
    </row>
    <row r="7641">
      <c r="A7641" s="9"/>
      <c r="B7641" s="15"/>
      <c r="C7641" s="9">
        <f>IFERROR(__xludf.DUMMYFUNCTION("""COMPUTED_VALUE"""),45064.0704057291)</f>
        <v>45064.07041</v>
      </c>
      <c r="D7641" s="15">
        <f>IFERROR(__xludf.DUMMYFUNCTION("""COMPUTED_VALUE"""),1.014)</f>
        <v>1.014</v>
      </c>
      <c r="E7641" s="16">
        <f>IFERROR(__xludf.DUMMYFUNCTION("""COMPUTED_VALUE"""),66.0)</f>
        <v>66</v>
      </c>
      <c r="F7641" s="19" t="str">
        <f>IFERROR(__xludf.DUMMYFUNCTION("""COMPUTED_VALUE"""),"BLACK")</f>
        <v>BLACK</v>
      </c>
      <c r="G7641" s="20" t="str">
        <f>IFERROR(__xludf.DUMMYFUNCTION("""COMPUTED_VALUE"""),"Uncle Sams Cider (04/04/2023)")</f>
        <v>Uncle Sams Cider (04/04/2023)</v>
      </c>
      <c r="H7641" s="19"/>
    </row>
    <row r="7642">
      <c r="A7642" s="9"/>
      <c r="B7642" s="15"/>
      <c r="C7642" s="9">
        <f>IFERROR(__xludf.DUMMYFUNCTION("""COMPUTED_VALUE"""),45064.05997228)</f>
        <v>45064.05997</v>
      </c>
      <c r="D7642" s="15">
        <f>IFERROR(__xludf.DUMMYFUNCTION("""COMPUTED_VALUE"""),1.014)</f>
        <v>1.014</v>
      </c>
      <c r="E7642" s="16">
        <f>IFERROR(__xludf.DUMMYFUNCTION("""COMPUTED_VALUE"""),66.0)</f>
        <v>66</v>
      </c>
      <c r="F7642" s="19" t="str">
        <f>IFERROR(__xludf.DUMMYFUNCTION("""COMPUTED_VALUE"""),"BLACK")</f>
        <v>BLACK</v>
      </c>
      <c r="G7642" s="20" t="str">
        <f>IFERROR(__xludf.DUMMYFUNCTION("""COMPUTED_VALUE"""),"Uncle Sams Cider (04/04/2023)")</f>
        <v>Uncle Sams Cider (04/04/2023)</v>
      </c>
      <c r="H7642" s="19"/>
    </row>
    <row r="7643">
      <c r="A7643" s="9"/>
      <c r="B7643" s="15"/>
      <c r="C7643" s="9">
        <f>IFERROR(__xludf.DUMMYFUNCTION("""COMPUTED_VALUE"""),45064.0495407638)</f>
        <v>45064.04954</v>
      </c>
      <c r="D7643" s="15">
        <f>IFERROR(__xludf.DUMMYFUNCTION("""COMPUTED_VALUE"""),1.014)</f>
        <v>1.014</v>
      </c>
      <c r="E7643" s="16">
        <f>IFERROR(__xludf.DUMMYFUNCTION("""COMPUTED_VALUE"""),66.0)</f>
        <v>66</v>
      </c>
      <c r="F7643" s="19" t="str">
        <f>IFERROR(__xludf.DUMMYFUNCTION("""COMPUTED_VALUE"""),"BLACK")</f>
        <v>BLACK</v>
      </c>
      <c r="G7643" s="20" t="str">
        <f>IFERROR(__xludf.DUMMYFUNCTION("""COMPUTED_VALUE"""),"Uncle Sams Cider (04/04/2023)")</f>
        <v>Uncle Sams Cider (04/04/2023)</v>
      </c>
      <c r="H7643" s="19"/>
    </row>
    <row r="7644">
      <c r="A7644" s="9"/>
      <c r="B7644" s="15"/>
      <c r="C7644" s="9">
        <f>IFERROR(__xludf.DUMMYFUNCTION("""COMPUTED_VALUE"""),45064.0390624305)</f>
        <v>45064.03906</v>
      </c>
      <c r="D7644" s="15">
        <f>IFERROR(__xludf.DUMMYFUNCTION("""COMPUTED_VALUE"""),1.014)</f>
        <v>1.014</v>
      </c>
      <c r="E7644" s="16">
        <f>IFERROR(__xludf.DUMMYFUNCTION("""COMPUTED_VALUE"""),66.0)</f>
        <v>66</v>
      </c>
      <c r="F7644" s="19" t="str">
        <f>IFERROR(__xludf.DUMMYFUNCTION("""COMPUTED_VALUE"""),"BLACK")</f>
        <v>BLACK</v>
      </c>
      <c r="G7644" s="20" t="str">
        <f>IFERROR(__xludf.DUMMYFUNCTION("""COMPUTED_VALUE"""),"Uncle Sams Cider (04/04/2023)")</f>
        <v>Uncle Sams Cider (04/04/2023)</v>
      </c>
      <c r="H7644" s="19"/>
    </row>
    <row r="7645">
      <c r="A7645" s="9"/>
      <c r="B7645" s="15"/>
      <c r="C7645" s="9">
        <f>IFERROR(__xludf.DUMMYFUNCTION("""COMPUTED_VALUE"""),45064.0286290856)</f>
        <v>45064.02863</v>
      </c>
      <c r="D7645" s="15">
        <f>IFERROR(__xludf.DUMMYFUNCTION("""COMPUTED_VALUE"""),1.014)</f>
        <v>1.014</v>
      </c>
      <c r="E7645" s="16">
        <f>IFERROR(__xludf.DUMMYFUNCTION("""COMPUTED_VALUE"""),66.0)</f>
        <v>66</v>
      </c>
      <c r="F7645" s="19" t="str">
        <f>IFERROR(__xludf.DUMMYFUNCTION("""COMPUTED_VALUE"""),"BLACK")</f>
        <v>BLACK</v>
      </c>
      <c r="G7645" s="20" t="str">
        <f>IFERROR(__xludf.DUMMYFUNCTION("""COMPUTED_VALUE"""),"Uncle Sams Cider (04/04/2023)")</f>
        <v>Uncle Sams Cider (04/04/2023)</v>
      </c>
      <c r="H7645" s="19"/>
    </row>
    <row r="7646">
      <c r="A7646" s="9"/>
      <c r="B7646" s="15"/>
      <c r="C7646" s="9">
        <f>IFERROR(__xludf.DUMMYFUNCTION("""COMPUTED_VALUE"""),45064.0182077662)</f>
        <v>45064.01821</v>
      </c>
      <c r="D7646" s="15">
        <f>IFERROR(__xludf.DUMMYFUNCTION("""COMPUTED_VALUE"""),1.014)</f>
        <v>1.014</v>
      </c>
      <c r="E7646" s="16">
        <f>IFERROR(__xludf.DUMMYFUNCTION("""COMPUTED_VALUE"""),66.0)</f>
        <v>66</v>
      </c>
      <c r="F7646" s="19" t="str">
        <f>IFERROR(__xludf.DUMMYFUNCTION("""COMPUTED_VALUE"""),"BLACK")</f>
        <v>BLACK</v>
      </c>
      <c r="G7646" s="20" t="str">
        <f>IFERROR(__xludf.DUMMYFUNCTION("""COMPUTED_VALUE"""),"Uncle Sams Cider (04/04/2023)")</f>
        <v>Uncle Sams Cider (04/04/2023)</v>
      </c>
      <c r="H7646" s="19"/>
    </row>
    <row r="7647">
      <c r="A7647" s="9"/>
      <c r="B7647" s="15"/>
      <c r="C7647" s="9">
        <f>IFERROR(__xludf.DUMMYFUNCTION("""COMPUTED_VALUE"""),45064.0077868287)</f>
        <v>45064.00779</v>
      </c>
      <c r="D7647" s="15">
        <f>IFERROR(__xludf.DUMMYFUNCTION("""COMPUTED_VALUE"""),1.014)</f>
        <v>1.014</v>
      </c>
      <c r="E7647" s="16">
        <f>IFERROR(__xludf.DUMMYFUNCTION("""COMPUTED_VALUE"""),66.0)</f>
        <v>66</v>
      </c>
      <c r="F7647" s="19" t="str">
        <f>IFERROR(__xludf.DUMMYFUNCTION("""COMPUTED_VALUE"""),"BLACK")</f>
        <v>BLACK</v>
      </c>
      <c r="G7647" s="20" t="str">
        <f>IFERROR(__xludf.DUMMYFUNCTION("""COMPUTED_VALUE"""),"Uncle Sams Cider (04/04/2023)")</f>
        <v>Uncle Sams Cider (04/04/2023)</v>
      </c>
      <c r="H7647" s="19"/>
    </row>
    <row r="7648">
      <c r="A7648" s="9"/>
      <c r="B7648" s="15"/>
      <c r="C7648" s="9">
        <f>IFERROR(__xludf.DUMMYFUNCTION("""COMPUTED_VALUE"""),45063.997365787)</f>
        <v>45063.99737</v>
      </c>
      <c r="D7648" s="15">
        <f>IFERROR(__xludf.DUMMYFUNCTION("""COMPUTED_VALUE"""),1.014)</f>
        <v>1.014</v>
      </c>
      <c r="E7648" s="16">
        <f>IFERROR(__xludf.DUMMYFUNCTION("""COMPUTED_VALUE"""),66.0)</f>
        <v>66</v>
      </c>
      <c r="F7648" s="19" t="str">
        <f>IFERROR(__xludf.DUMMYFUNCTION("""COMPUTED_VALUE"""),"BLACK")</f>
        <v>BLACK</v>
      </c>
      <c r="G7648" s="20" t="str">
        <f>IFERROR(__xludf.DUMMYFUNCTION("""COMPUTED_VALUE"""),"Uncle Sams Cider (04/04/2023)")</f>
        <v>Uncle Sams Cider (04/04/2023)</v>
      </c>
      <c r="H7648" s="19"/>
    </row>
    <row r="7649">
      <c r="A7649" s="9"/>
      <c r="B7649" s="15"/>
      <c r="C7649" s="9">
        <f>IFERROR(__xludf.DUMMYFUNCTION("""COMPUTED_VALUE"""),45063.9868998726)</f>
        <v>45063.9869</v>
      </c>
      <c r="D7649" s="15">
        <f>IFERROR(__xludf.DUMMYFUNCTION("""COMPUTED_VALUE"""),1.014)</f>
        <v>1.014</v>
      </c>
      <c r="E7649" s="16">
        <f>IFERROR(__xludf.DUMMYFUNCTION("""COMPUTED_VALUE"""),66.0)</f>
        <v>66</v>
      </c>
      <c r="F7649" s="19" t="str">
        <f>IFERROR(__xludf.DUMMYFUNCTION("""COMPUTED_VALUE"""),"BLACK")</f>
        <v>BLACK</v>
      </c>
      <c r="G7649" s="20" t="str">
        <f>IFERROR(__xludf.DUMMYFUNCTION("""COMPUTED_VALUE"""),"Uncle Sams Cider (04/04/2023)")</f>
        <v>Uncle Sams Cider (04/04/2023)</v>
      </c>
      <c r="H7649" s="19"/>
    </row>
    <row r="7650">
      <c r="A7650" s="9"/>
      <c r="B7650" s="15"/>
      <c r="C7650" s="9">
        <f>IFERROR(__xludf.DUMMYFUNCTION("""COMPUTED_VALUE"""),45063.9764794907)</f>
        <v>45063.97648</v>
      </c>
      <c r="D7650" s="15">
        <f>IFERROR(__xludf.DUMMYFUNCTION("""COMPUTED_VALUE"""),1.014)</f>
        <v>1.014</v>
      </c>
      <c r="E7650" s="16">
        <f>IFERROR(__xludf.DUMMYFUNCTION("""COMPUTED_VALUE"""),66.0)</f>
        <v>66</v>
      </c>
      <c r="F7650" s="19" t="str">
        <f>IFERROR(__xludf.DUMMYFUNCTION("""COMPUTED_VALUE"""),"BLACK")</f>
        <v>BLACK</v>
      </c>
      <c r="G7650" s="20" t="str">
        <f>IFERROR(__xludf.DUMMYFUNCTION("""COMPUTED_VALUE"""),"Uncle Sams Cider (04/04/2023)")</f>
        <v>Uncle Sams Cider (04/04/2023)</v>
      </c>
      <c r="H7650" s="19"/>
    </row>
    <row r="7651">
      <c r="A7651" s="9"/>
      <c r="B7651" s="15"/>
      <c r="C7651" s="9">
        <f>IFERROR(__xludf.DUMMYFUNCTION("""COMPUTED_VALUE"""),45063.9660587384)</f>
        <v>45063.96606</v>
      </c>
      <c r="D7651" s="15">
        <f>IFERROR(__xludf.DUMMYFUNCTION("""COMPUTED_VALUE"""),1.014)</f>
        <v>1.014</v>
      </c>
      <c r="E7651" s="16">
        <f>IFERROR(__xludf.DUMMYFUNCTION("""COMPUTED_VALUE"""),66.0)</f>
        <v>66</v>
      </c>
      <c r="F7651" s="19" t="str">
        <f>IFERROR(__xludf.DUMMYFUNCTION("""COMPUTED_VALUE"""),"BLACK")</f>
        <v>BLACK</v>
      </c>
      <c r="G7651" s="20" t="str">
        <f>IFERROR(__xludf.DUMMYFUNCTION("""COMPUTED_VALUE"""),"Uncle Sams Cider (04/04/2023)")</f>
        <v>Uncle Sams Cider (04/04/2023)</v>
      </c>
      <c r="H7651" s="19"/>
    </row>
    <row r="7652">
      <c r="A7652" s="9"/>
      <c r="B7652" s="15"/>
      <c r="C7652" s="9">
        <f>IFERROR(__xludf.DUMMYFUNCTION("""COMPUTED_VALUE"""),45063.9556260185)</f>
        <v>45063.95563</v>
      </c>
      <c r="D7652" s="15">
        <f>IFERROR(__xludf.DUMMYFUNCTION("""COMPUTED_VALUE"""),1.014)</f>
        <v>1.014</v>
      </c>
      <c r="E7652" s="16">
        <f>IFERROR(__xludf.DUMMYFUNCTION("""COMPUTED_VALUE"""),66.0)</f>
        <v>66</v>
      </c>
      <c r="F7652" s="19" t="str">
        <f>IFERROR(__xludf.DUMMYFUNCTION("""COMPUTED_VALUE"""),"BLACK")</f>
        <v>BLACK</v>
      </c>
      <c r="G7652" s="20" t="str">
        <f>IFERROR(__xludf.DUMMYFUNCTION("""COMPUTED_VALUE"""),"Uncle Sams Cider (04/04/2023)")</f>
        <v>Uncle Sams Cider (04/04/2023)</v>
      </c>
      <c r="H7652" s="19"/>
    </row>
    <row r="7653">
      <c r="A7653" s="9"/>
      <c r="B7653" s="15"/>
      <c r="C7653" s="9">
        <f>IFERROR(__xludf.DUMMYFUNCTION("""COMPUTED_VALUE"""),45063.9452061226)</f>
        <v>45063.94521</v>
      </c>
      <c r="D7653" s="15">
        <f>IFERROR(__xludf.DUMMYFUNCTION("""COMPUTED_VALUE"""),1.014)</f>
        <v>1.014</v>
      </c>
      <c r="E7653" s="16">
        <f>IFERROR(__xludf.DUMMYFUNCTION("""COMPUTED_VALUE"""),66.0)</f>
        <v>66</v>
      </c>
      <c r="F7653" s="19" t="str">
        <f>IFERROR(__xludf.DUMMYFUNCTION("""COMPUTED_VALUE"""),"BLACK")</f>
        <v>BLACK</v>
      </c>
      <c r="G7653" s="20" t="str">
        <f>IFERROR(__xludf.DUMMYFUNCTION("""COMPUTED_VALUE"""),"Uncle Sams Cider (04/04/2023)")</f>
        <v>Uncle Sams Cider (04/04/2023)</v>
      </c>
      <c r="H7653" s="19"/>
    </row>
    <row r="7654">
      <c r="A7654" s="9"/>
      <c r="B7654" s="15"/>
      <c r="C7654" s="9">
        <f>IFERROR(__xludf.DUMMYFUNCTION("""COMPUTED_VALUE"""),45063.9347841782)</f>
        <v>45063.93478</v>
      </c>
      <c r="D7654" s="15">
        <f>IFERROR(__xludf.DUMMYFUNCTION("""COMPUTED_VALUE"""),1.014)</f>
        <v>1.014</v>
      </c>
      <c r="E7654" s="16">
        <f>IFERROR(__xludf.DUMMYFUNCTION("""COMPUTED_VALUE"""),66.0)</f>
        <v>66</v>
      </c>
      <c r="F7654" s="19" t="str">
        <f>IFERROR(__xludf.DUMMYFUNCTION("""COMPUTED_VALUE"""),"BLACK")</f>
        <v>BLACK</v>
      </c>
      <c r="G7654" s="20" t="str">
        <f>IFERROR(__xludf.DUMMYFUNCTION("""COMPUTED_VALUE"""),"Uncle Sams Cider (04/04/2023)")</f>
        <v>Uncle Sams Cider (04/04/2023)</v>
      </c>
      <c r="H7654" s="19"/>
    </row>
    <row r="7655">
      <c r="A7655" s="9"/>
      <c r="B7655" s="15"/>
      <c r="C7655" s="9">
        <f>IFERROR(__xludf.DUMMYFUNCTION("""COMPUTED_VALUE"""),45063.924362743)</f>
        <v>45063.92436</v>
      </c>
      <c r="D7655" s="15">
        <f>IFERROR(__xludf.DUMMYFUNCTION("""COMPUTED_VALUE"""),1.014)</f>
        <v>1.014</v>
      </c>
      <c r="E7655" s="16">
        <f>IFERROR(__xludf.DUMMYFUNCTION("""COMPUTED_VALUE"""),66.0)</f>
        <v>66</v>
      </c>
      <c r="F7655" s="19" t="str">
        <f>IFERROR(__xludf.DUMMYFUNCTION("""COMPUTED_VALUE"""),"BLACK")</f>
        <v>BLACK</v>
      </c>
      <c r="G7655" s="20" t="str">
        <f>IFERROR(__xludf.DUMMYFUNCTION("""COMPUTED_VALUE"""),"Uncle Sams Cider (04/04/2023)")</f>
        <v>Uncle Sams Cider (04/04/2023)</v>
      </c>
      <c r="H7655" s="19"/>
    </row>
    <row r="7656">
      <c r="A7656" s="9"/>
      <c r="B7656" s="15"/>
      <c r="C7656" s="9">
        <f>IFERROR(__xludf.DUMMYFUNCTION("""COMPUTED_VALUE"""),45063.9139304513)</f>
        <v>45063.91393</v>
      </c>
      <c r="D7656" s="15">
        <f>IFERROR(__xludf.DUMMYFUNCTION("""COMPUTED_VALUE"""),1.014)</f>
        <v>1.014</v>
      </c>
      <c r="E7656" s="16">
        <f>IFERROR(__xludf.DUMMYFUNCTION("""COMPUTED_VALUE"""),66.0)</f>
        <v>66</v>
      </c>
      <c r="F7656" s="19" t="str">
        <f>IFERROR(__xludf.DUMMYFUNCTION("""COMPUTED_VALUE"""),"BLACK")</f>
        <v>BLACK</v>
      </c>
      <c r="G7656" s="20" t="str">
        <f>IFERROR(__xludf.DUMMYFUNCTION("""COMPUTED_VALUE"""),"Uncle Sams Cider (04/04/2023)")</f>
        <v>Uncle Sams Cider (04/04/2023)</v>
      </c>
      <c r="H7656" s="19"/>
    </row>
    <row r="7657">
      <c r="A7657" s="9"/>
      <c r="B7657" s="15"/>
      <c r="C7657" s="9">
        <f>IFERROR(__xludf.DUMMYFUNCTION("""COMPUTED_VALUE"""),45063.9034971527)</f>
        <v>45063.9035</v>
      </c>
      <c r="D7657" s="15">
        <f>IFERROR(__xludf.DUMMYFUNCTION("""COMPUTED_VALUE"""),1.014)</f>
        <v>1.014</v>
      </c>
      <c r="E7657" s="16">
        <f>IFERROR(__xludf.DUMMYFUNCTION("""COMPUTED_VALUE"""),66.0)</f>
        <v>66</v>
      </c>
      <c r="F7657" s="19" t="str">
        <f>IFERROR(__xludf.DUMMYFUNCTION("""COMPUTED_VALUE"""),"BLACK")</f>
        <v>BLACK</v>
      </c>
      <c r="G7657" s="20" t="str">
        <f>IFERROR(__xludf.DUMMYFUNCTION("""COMPUTED_VALUE"""),"Uncle Sams Cider (04/04/2023)")</f>
        <v>Uncle Sams Cider (04/04/2023)</v>
      </c>
      <c r="H7657" s="19"/>
    </row>
    <row r="7658">
      <c r="A7658" s="9"/>
      <c r="B7658" s="15"/>
      <c r="C7658" s="9">
        <f>IFERROR(__xludf.DUMMYFUNCTION("""COMPUTED_VALUE"""),45063.8930769907)</f>
        <v>45063.89308</v>
      </c>
      <c r="D7658" s="15">
        <f>IFERROR(__xludf.DUMMYFUNCTION("""COMPUTED_VALUE"""),1.014)</f>
        <v>1.014</v>
      </c>
      <c r="E7658" s="16">
        <f>IFERROR(__xludf.DUMMYFUNCTION("""COMPUTED_VALUE"""),66.0)</f>
        <v>66</v>
      </c>
      <c r="F7658" s="19" t="str">
        <f>IFERROR(__xludf.DUMMYFUNCTION("""COMPUTED_VALUE"""),"BLACK")</f>
        <v>BLACK</v>
      </c>
      <c r="G7658" s="20" t="str">
        <f>IFERROR(__xludf.DUMMYFUNCTION("""COMPUTED_VALUE"""),"Uncle Sams Cider (04/04/2023)")</f>
        <v>Uncle Sams Cider (04/04/2023)</v>
      </c>
      <c r="H7658" s="19"/>
    </row>
    <row r="7659">
      <c r="A7659" s="9"/>
      <c r="B7659" s="15"/>
      <c r="C7659" s="9">
        <f>IFERROR(__xludf.DUMMYFUNCTION("""COMPUTED_VALUE"""),45063.8826562499)</f>
        <v>45063.88266</v>
      </c>
      <c r="D7659" s="15">
        <f>IFERROR(__xludf.DUMMYFUNCTION("""COMPUTED_VALUE"""),1.014)</f>
        <v>1.014</v>
      </c>
      <c r="E7659" s="16">
        <f>IFERROR(__xludf.DUMMYFUNCTION("""COMPUTED_VALUE"""),66.0)</f>
        <v>66</v>
      </c>
      <c r="F7659" s="19" t="str">
        <f>IFERROR(__xludf.DUMMYFUNCTION("""COMPUTED_VALUE"""),"BLACK")</f>
        <v>BLACK</v>
      </c>
      <c r="G7659" s="20" t="str">
        <f>IFERROR(__xludf.DUMMYFUNCTION("""COMPUTED_VALUE"""),"Uncle Sams Cider (04/04/2023)")</f>
        <v>Uncle Sams Cider (04/04/2023)</v>
      </c>
      <c r="H7659" s="19"/>
    </row>
    <row r="7660">
      <c r="A7660" s="9"/>
      <c r="B7660" s="15"/>
      <c r="C7660" s="9">
        <f>IFERROR(__xludf.DUMMYFUNCTION("""COMPUTED_VALUE"""),45063.8722234838)</f>
        <v>45063.87222</v>
      </c>
      <c r="D7660" s="15">
        <f>IFERROR(__xludf.DUMMYFUNCTION("""COMPUTED_VALUE"""),1.014)</f>
        <v>1.014</v>
      </c>
      <c r="E7660" s="16">
        <f>IFERROR(__xludf.DUMMYFUNCTION("""COMPUTED_VALUE"""),66.0)</f>
        <v>66</v>
      </c>
      <c r="F7660" s="19" t="str">
        <f>IFERROR(__xludf.DUMMYFUNCTION("""COMPUTED_VALUE"""),"BLACK")</f>
        <v>BLACK</v>
      </c>
      <c r="G7660" s="20" t="str">
        <f>IFERROR(__xludf.DUMMYFUNCTION("""COMPUTED_VALUE"""),"Uncle Sams Cider (04/04/2023)")</f>
        <v>Uncle Sams Cider (04/04/2023)</v>
      </c>
      <c r="H7660" s="19"/>
    </row>
    <row r="7661">
      <c r="A7661" s="9"/>
      <c r="B7661" s="15"/>
      <c r="C7661" s="9">
        <f>IFERROR(__xludf.DUMMYFUNCTION("""COMPUTED_VALUE"""),45063.8617919328)</f>
        <v>45063.86179</v>
      </c>
      <c r="D7661" s="15">
        <f>IFERROR(__xludf.DUMMYFUNCTION("""COMPUTED_VALUE"""),1.014)</f>
        <v>1.014</v>
      </c>
      <c r="E7661" s="16">
        <f>IFERROR(__xludf.DUMMYFUNCTION("""COMPUTED_VALUE"""),66.0)</f>
        <v>66</v>
      </c>
      <c r="F7661" s="19" t="str">
        <f>IFERROR(__xludf.DUMMYFUNCTION("""COMPUTED_VALUE"""),"BLACK")</f>
        <v>BLACK</v>
      </c>
      <c r="G7661" s="20" t="str">
        <f>IFERROR(__xludf.DUMMYFUNCTION("""COMPUTED_VALUE"""),"Uncle Sams Cider (04/04/2023)")</f>
        <v>Uncle Sams Cider (04/04/2023)</v>
      </c>
      <c r="H7661" s="19"/>
    </row>
    <row r="7662">
      <c r="A7662" s="9"/>
      <c r="B7662" s="15"/>
      <c r="C7662" s="9">
        <f>IFERROR(__xludf.DUMMYFUNCTION("""COMPUTED_VALUE"""),45063.8513711689)</f>
        <v>45063.85137</v>
      </c>
      <c r="D7662" s="15">
        <f>IFERROR(__xludf.DUMMYFUNCTION("""COMPUTED_VALUE"""),1.014)</f>
        <v>1.014</v>
      </c>
      <c r="E7662" s="16">
        <f>IFERROR(__xludf.DUMMYFUNCTION("""COMPUTED_VALUE"""),66.0)</f>
        <v>66</v>
      </c>
      <c r="F7662" s="19" t="str">
        <f>IFERROR(__xludf.DUMMYFUNCTION("""COMPUTED_VALUE"""),"BLACK")</f>
        <v>BLACK</v>
      </c>
      <c r="G7662" s="20" t="str">
        <f>IFERROR(__xludf.DUMMYFUNCTION("""COMPUTED_VALUE"""),"Uncle Sams Cider (04/04/2023)")</f>
        <v>Uncle Sams Cider (04/04/2023)</v>
      </c>
      <c r="H7662" s="19"/>
    </row>
    <row r="7663">
      <c r="A7663" s="9"/>
      <c r="B7663" s="15"/>
      <c r="C7663" s="9">
        <f>IFERROR(__xludf.DUMMYFUNCTION("""COMPUTED_VALUE"""),45063.8409379282)</f>
        <v>45063.84094</v>
      </c>
      <c r="D7663" s="15">
        <f>IFERROR(__xludf.DUMMYFUNCTION("""COMPUTED_VALUE"""),1.014)</f>
        <v>1.014</v>
      </c>
      <c r="E7663" s="16">
        <f>IFERROR(__xludf.DUMMYFUNCTION("""COMPUTED_VALUE"""),66.0)</f>
        <v>66</v>
      </c>
      <c r="F7663" s="19" t="str">
        <f>IFERROR(__xludf.DUMMYFUNCTION("""COMPUTED_VALUE"""),"BLACK")</f>
        <v>BLACK</v>
      </c>
      <c r="G7663" s="20" t="str">
        <f>IFERROR(__xludf.DUMMYFUNCTION("""COMPUTED_VALUE"""),"Uncle Sams Cider (04/04/2023)")</f>
        <v>Uncle Sams Cider (04/04/2023)</v>
      </c>
      <c r="H7663" s="19"/>
    </row>
    <row r="7664">
      <c r="A7664" s="9"/>
      <c r="B7664" s="15"/>
      <c r="C7664" s="9">
        <f>IFERROR(__xludf.DUMMYFUNCTION("""COMPUTED_VALUE"""),45063.8305044791)</f>
        <v>45063.8305</v>
      </c>
      <c r="D7664" s="15">
        <f>IFERROR(__xludf.DUMMYFUNCTION("""COMPUTED_VALUE"""),1.014)</f>
        <v>1.014</v>
      </c>
      <c r="E7664" s="16">
        <f>IFERROR(__xludf.DUMMYFUNCTION("""COMPUTED_VALUE"""),66.0)</f>
        <v>66</v>
      </c>
      <c r="F7664" s="19" t="str">
        <f>IFERROR(__xludf.DUMMYFUNCTION("""COMPUTED_VALUE"""),"BLACK")</f>
        <v>BLACK</v>
      </c>
      <c r="G7664" s="20" t="str">
        <f>IFERROR(__xludf.DUMMYFUNCTION("""COMPUTED_VALUE"""),"Uncle Sams Cider (04/04/2023)")</f>
        <v>Uncle Sams Cider (04/04/2023)</v>
      </c>
      <c r="H7664" s="19"/>
    </row>
    <row r="7665">
      <c r="A7665" s="9"/>
      <c r="B7665" s="15"/>
      <c r="C7665" s="9">
        <f>IFERROR(__xludf.DUMMYFUNCTION("""COMPUTED_VALUE"""),45063.8200836226)</f>
        <v>45063.82008</v>
      </c>
      <c r="D7665" s="15">
        <f>IFERROR(__xludf.DUMMYFUNCTION("""COMPUTED_VALUE"""),1.014)</f>
        <v>1.014</v>
      </c>
      <c r="E7665" s="16">
        <f>IFERROR(__xludf.DUMMYFUNCTION("""COMPUTED_VALUE"""),66.0)</f>
        <v>66</v>
      </c>
      <c r="F7665" s="19" t="str">
        <f>IFERROR(__xludf.DUMMYFUNCTION("""COMPUTED_VALUE"""),"BLACK")</f>
        <v>BLACK</v>
      </c>
      <c r="G7665" s="20" t="str">
        <f>IFERROR(__xludf.DUMMYFUNCTION("""COMPUTED_VALUE"""),"Uncle Sams Cider (04/04/2023)")</f>
        <v>Uncle Sams Cider (04/04/2023)</v>
      </c>
      <c r="H7665" s="19"/>
    </row>
    <row r="7666">
      <c r="A7666" s="9"/>
      <c r="B7666" s="15"/>
      <c r="C7666" s="9">
        <f>IFERROR(__xludf.DUMMYFUNCTION("""COMPUTED_VALUE"""),45063.8096264699)</f>
        <v>45063.80963</v>
      </c>
      <c r="D7666" s="15">
        <f>IFERROR(__xludf.DUMMYFUNCTION("""COMPUTED_VALUE"""),1.014)</f>
        <v>1.014</v>
      </c>
      <c r="E7666" s="16">
        <f>IFERROR(__xludf.DUMMYFUNCTION("""COMPUTED_VALUE"""),66.0)</f>
        <v>66</v>
      </c>
      <c r="F7666" s="19" t="str">
        <f>IFERROR(__xludf.DUMMYFUNCTION("""COMPUTED_VALUE"""),"BLACK")</f>
        <v>BLACK</v>
      </c>
      <c r="G7666" s="20" t="str">
        <f>IFERROR(__xludf.DUMMYFUNCTION("""COMPUTED_VALUE"""),"Uncle Sams Cider (04/04/2023)")</f>
        <v>Uncle Sams Cider (04/04/2023)</v>
      </c>
      <c r="H7666" s="19"/>
    </row>
    <row r="7667">
      <c r="A7667" s="9"/>
      <c r="B7667" s="15"/>
      <c r="C7667" s="9">
        <f>IFERROR(__xludf.DUMMYFUNCTION("""COMPUTED_VALUE"""),45063.7992068055)</f>
        <v>45063.79921</v>
      </c>
      <c r="D7667" s="15">
        <f>IFERROR(__xludf.DUMMYFUNCTION("""COMPUTED_VALUE"""),1.014)</f>
        <v>1.014</v>
      </c>
      <c r="E7667" s="16">
        <f>IFERROR(__xludf.DUMMYFUNCTION("""COMPUTED_VALUE"""),66.0)</f>
        <v>66</v>
      </c>
      <c r="F7667" s="19" t="str">
        <f>IFERROR(__xludf.DUMMYFUNCTION("""COMPUTED_VALUE"""),"BLACK")</f>
        <v>BLACK</v>
      </c>
      <c r="G7667" s="20" t="str">
        <f>IFERROR(__xludf.DUMMYFUNCTION("""COMPUTED_VALUE"""),"Uncle Sams Cider (04/04/2023)")</f>
        <v>Uncle Sams Cider (04/04/2023)</v>
      </c>
      <c r="H7667" s="19"/>
    </row>
    <row r="7668">
      <c r="A7668" s="9"/>
      <c r="B7668" s="15"/>
      <c r="C7668" s="9">
        <f>IFERROR(__xludf.DUMMYFUNCTION("""COMPUTED_VALUE"""),45063.7887395717)</f>
        <v>45063.78874</v>
      </c>
      <c r="D7668" s="15">
        <f>IFERROR(__xludf.DUMMYFUNCTION("""COMPUTED_VALUE"""),1.014)</f>
        <v>1.014</v>
      </c>
      <c r="E7668" s="16">
        <f>IFERROR(__xludf.DUMMYFUNCTION("""COMPUTED_VALUE"""),66.0)</f>
        <v>66</v>
      </c>
      <c r="F7668" s="19" t="str">
        <f>IFERROR(__xludf.DUMMYFUNCTION("""COMPUTED_VALUE"""),"BLACK")</f>
        <v>BLACK</v>
      </c>
      <c r="G7668" s="20" t="str">
        <f>IFERROR(__xludf.DUMMYFUNCTION("""COMPUTED_VALUE"""),"Uncle Sams Cider (04/04/2023)")</f>
        <v>Uncle Sams Cider (04/04/2023)</v>
      </c>
      <c r="H7668" s="19"/>
    </row>
    <row r="7669">
      <c r="A7669" s="9"/>
      <c r="B7669" s="15"/>
      <c r="C7669" s="9">
        <f>IFERROR(__xludf.DUMMYFUNCTION("""COMPUTED_VALUE"""),45063.778306875)</f>
        <v>45063.77831</v>
      </c>
      <c r="D7669" s="15">
        <f>IFERROR(__xludf.DUMMYFUNCTION("""COMPUTED_VALUE"""),1.014)</f>
        <v>1.014</v>
      </c>
      <c r="E7669" s="16">
        <f>IFERROR(__xludf.DUMMYFUNCTION("""COMPUTED_VALUE"""),66.0)</f>
        <v>66</v>
      </c>
      <c r="F7669" s="19" t="str">
        <f>IFERROR(__xludf.DUMMYFUNCTION("""COMPUTED_VALUE"""),"BLACK")</f>
        <v>BLACK</v>
      </c>
      <c r="G7669" s="20" t="str">
        <f>IFERROR(__xludf.DUMMYFUNCTION("""COMPUTED_VALUE"""),"Uncle Sams Cider (04/04/2023)")</f>
        <v>Uncle Sams Cider (04/04/2023)</v>
      </c>
      <c r="H7669" s="19"/>
    </row>
    <row r="7670">
      <c r="A7670" s="9"/>
      <c r="B7670" s="15"/>
      <c r="C7670" s="9">
        <f>IFERROR(__xludf.DUMMYFUNCTION("""COMPUTED_VALUE"""),45063.7678743518)</f>
        <v>45063.76787</v>
      </c>
      <c r="D7670" s="15">
        <f>IFERROR(__xludf.DUMMYFUNCTION("""COMPUTED_VALUE"""),1.014)</f>
        <v>1.014</v>
      </c>
      <c r="E7670" s="16">
        <f>IFERROR(__xludf.DUMMYFUNCTION("""COMPUTED_VALUE"""),66.0)</f>
        <v>66</v>
      </c>
      <c r="F7670" s="19" t="str">
        <f>IFERROR(__xludf.DUMMYFUNCTION("""COMPUTED_VALUE"""),"BLACK")</f>
        <v>BLACK</v>
      </c>
      <c r="G7670" s="20" t="str">
        <f>IFERROR(__xludf.DUMMYFUNCTION("""COMPUTED_VALUE"""),"Uncle Sams Cider (04/04/2023)")</f>
        <v>Uncle Sams Cider (04/04/2023)</v>
      </c>
      <c r="H7670" s="19"/>
    </row>
    <row r="7671">
      <c r="A7671" s="9"/>
      <c r="B7671" s="15"/>
      <c r="C7671" s="9">
        <f>IFERROR(__xludf.DUMMYFUNCTION("""COMPUTED_VALUE"""),45063.7574559143)</f>
        <v>45063.75746</v>
      </c>
      <c r="D7671" s="15">
        <f>IFERROR(__xludf.DUMMYFUNCTION("""COMPUTED_VALUE"""),1.014)</f>
        <v>1.014</v>
      </c>
      <c r="E7671" s="16">
        <f>IFERROR(__xludf.DUMMYFUNCTION("""COMPUTED_VALUE"""),66.0)</f>
        <v>66</v>
      </c>
      <c r="F7671" s="19" t="str">
        <f>IFERROR(__xludf.DUMMYFUNCTION("""COMPUTED_VALUE"""),"BLACK")</f>
        <v>BLACK</v>
      </c>
      <c r="G7671" s="20" t="str">
        <f>IFERROR(__xludf.DUMMYFUNCTION("""COMPUTED_VALUE"""),"Uncle Sams Cider (04/04/2023)")</f>
        <v>Uncle Sams Cider (04/04/2023)</v>
      </c>
      <c r="H7671" s="19"/>
    </row>
    <row r="7672">
      <c r="A7672" s="9"/>
      <c r="B7672" s="15"/>
      <c r="C7672" s="9">
        <f>IFERROR(__xludf.DUMMYFUNCTION("""COMPUTED_VALUE"""),45063.747036331)</f>
        <v>45063.74704</v>
      </c>
      <c r="D7672" s="15">
        <f>IFERROR(__xludf.DUMMYFUNCTION("""COMPUTED_VALUE"""),1.014)</f>
        <v>1.014</v>
      </c>
      <c r="E7672" s="16">
        <f>IFERROR(__xludf.DUMMYFUNCTION("""COMPUTED_VALUE"""),66.0)</f>
        <v>66</v>
      </c>
      <c r="F7672" s="19" t="str">
        <f>IFERROR(__xludf.DUMMYFUNCTION("""COMPUTED_VALUE"""),"BLACK")</f>
        <v>BLACK</v>
      </c>
      <c r="G7672" s="20" t="str">
        <f>IFERROR(__xludf.DUMMYFUNCTION("""COMPUTED_VALUE"""),"Uncle Sams Cider (04/04/2023)")</f>
        <v>Uncle Sams Cider (04/04/2023)</v>
      </c>
      <c r="H7672" s="19"/>
    </row>
    <row r="7673">
      <c r="A7673" s="9"/>
      <c r="B7673" s="15"/>
      <c r="C7673" s="9">
        <f>IFERROR(__xludf.DUMMYFUNCTION("""COMPUTED_VALUE"""),45063.7365934837)</f>
        <v>45063.73659</v>
      </c>
      <c r="D7673" s="15">
        <f>IFERROR(__xludf.DUMMYFUNCTION("""COMPUTED_VALUE"""),1.014)</f>
        <v>1.014</v>
      </c>
      <c r="E7673" s="16">
        <f>IFERROR(__xludf.DUMMYFUNCTION("""COMPUTED_VALUE"""),66.0)</f>
        <v>66</v>
      </c>
      <c r="F7673" s="19" t="str">
        <f>IFERROR(__xludf.DUMMYFUNCTION("""COMPUTED_VALUE"""),"BLACK")</f>
        <v>BLACK</v>
      </c>
      <c r="G7673" s="20" t="str">
        <f>IFERROR(__xludf.DUMMYFUNCTION("""COMPUTED_VALUE"""),"Uncle Sams Cider (04/04/2023)")</f>
        <v>Uncle Sams Cider (04/04/2023)</v>
      </c>
      <c r="H7673" s="19"/>
    </row>
    <row r="7674">
      <c r="A7674" s="9"/>
      <c r="B7674" s="15"/>
      <c r="C7674" s="9">
        <f>IFERROR(__xludf.DUMMYFUNCTION("""COMPUTED_VALUE"""),45063.7261486458)</f>
        <v>45063.72615</v>
      </c>
      <c r="D7674" s="15">
        <f>IFERROR(__xludf.DUMMYFUNCTION("""COMPUTED_VALUE"""),1.014)</f>
        <v>1.014</v>
      </c>
      <c r="E7674" s="16">
        <f>IFERROR(__xludf.DUMMYFUNCTION("""COMPUTED_VALUE"""),66.0)</f>
        <v>66</v>
      </c>
      <c r="F7674" s="19" t="str">
        <f>IFERROR(__xludf.DUMMYFUNCTION("""COMPUTED_VALUE"""),"BLACK")</f>
        <v>BLACK</v>
      </c>
      <c r="G7674" s="20" t="str">
        <f>IFERROR(__xludf.DUMMYFUNCTION("""COMPUTED_VALUE"""),"Uncle Sams Cider (04/04/2023)")</f>
        <v>Uncle Sams Cider (04/04/2023)</v>
      </c>
      <c r="H7674" s="19"/>
    </row>
    <row r="7675">
      <c r="A7675" s="9"/>
      <c r="B7675" s="15"/>
      <c r="C7675" s="9">
        <f>IFERROR(__xludf.DUMMYFUNCTION("""COMPUTED_VALUE"""),45063.715701412)</f>
        <v>45063.7157</v>
      </c>
      <c r="D7675" s="15">
        <f>IFERROR(__xludf.DUMMYFUNCTION("""COMPUTED_VALUE"""),1.014)</f>
        <v>1.014</v>
      </c>
      <c r="E7675" s="16">
        <f>IFERROR(__xludf.DUMMYFUNCTION("""COMPUTED_VALUE"""),66.0)</f>
        <v>66</v>
      </c>
      <c r="F7675" s="19" t="str">
        <f>IFERROR(__xludf.DUMMYFUNCTION("""COMPUTED_VALUE"""),"BLACK")</f>
        <v>BLACK</v>
      </c>
      <c r="G7675" s="20" t="str">
        <f>IFERROR(__xludf.DUMMYFUNCTION("""COMPUTED_VALUE"""),"Uncle Sams Cider (04/04/2023)")</f>
        <v>Uncle Sams Cider (04/04/2023)</v>
      </c>
      <c r="H7675" s="19"/>
    </row>
    <row r="7676">
      <c r="A7676" s="9"/>
      <c r="B7676" s="15"/>
      <c r="C7676" s="9">
        <f>IFERROR(__xludf.DUMMYFUNCTION("""COMPUTED_VALUE"""),45063.7052581828)</f>
        <v>45063.70526</v>
      </c>
      <c r="D7676" s="15">
        <f>IFERROR(__xludf.DUMMYFUNCTION("""COMPUTED_VALUE"""),1.014)</f>
        <v>1.014</v>
      </c>
      <c r="E7676" s="16">
        <f>IFERROR(__xludf.DUMMYFUNCTION("""COMPUTED_VALUE"""),66.0)</f>
        <v>66</v>
      </c>
      <c r="F7676" s="19" t="str">
        <f>IFERROR(__xludf.DUMMYFUNCTION("""COMPUTED_VALUE"""),"BLACK")</f>
        <v>BLACK</v>
      </c>
      <c r="G7676" s="20" t="str">
        <f>IFERROR(__xludf.DUMMYFUNCTION("""COMPUTED_VALUE"""),"Uncle Sams Cider (04/04/2023)")</f>
        <v>Uncle Sams Cider (04/04/2023)</v>
      </c>
      <c r="H7676" s="19"/>
    </row>
    <row r="7677">
      <c r="A7677" s="9"/>
      <c r="B7677" s="15"/>
      <c r="C7677" s="9">
        <f>IFERROR(__xludf.DUMMYFUNCTION("""COMPUTED_VALUE"""),45063.6948386458)</f>
        <v>45063.69484</v>
      </c>
      <c r="D7677" s="15">
        <f>IFERROR(__xludf.DUMMYFUNCTION("""COMPUTED_VALUE"""),1.014)</f>
        <v>1.014</v>
      </c>
      <c r="E7677" s="16">
        <f>IFERROR(__xludf.DUMMYFUNCTION("""COMPUTED_VALUE"""),66.0)</f>
        <v>66</v>
      </c>
      <c r="F7677" s="19" t="str">
        <f>IFERROR(__xludf.DUMMYFUNCTION("""COMPUTED_VALUE"""),"BLACK")</f>
        <v>BLACK</v>
      </c>
      <c r="G7677" s="20" t="str">
        <f>IFERROR(__xludf.DUMMYFUNCTION("""COMPUTED_VALUE"""),"Uncle Sams Cider (04/04/2023)")</f>
        <v>Uncle Sams Cider (04/04/2023)</v>
      </c>
      <c r="H7677" s="19"/>
    </row>
    <row r="7678">
      <c r="A7678" s="9"/>
      <c r="B7678" s="15"/>
      <c r="C7678" s="9">
        <f>IFERROR(__xludf.DUMMYFUNCTION("""COMPUTED_VALUE"""),45063.6844181828)</f>
        <v>45063.68442</v>
      </c>
      <c r="D7678" s="15">
        <f>IFERROR(__xludf.DUMMYFUNCTION("""COMPUTED_VALUE"""),1.014)</f>
        <v>1.014</v>
      </c>
      <c r="E7678" s="16">
        <f>IFERROR(__xludf.DUMMYFUNCTION("""COMPUTED_VALUE"""),66.0)</f>
        <v>66</v>
      </c>
      <c r="F7678" s="19" t="str">
        <f>IFERROR(__xludf.DUMMYFUNCTION("""COMPUTED_VALUE"""),"BLACK")</f>
        <v>BLACK</v>
      </c>
      <c r="G7678" s="20" t="str">
        <f>IFERROR(__xludf.DUMMYFUNCTION("""COMPUTED_VALUE"""),"Uncle Sams Cider (04/04/2023)")</f>
        <v>Uncle Sams Cider (04/04/2023)</v>
      </c>
      <c r="H7678" s="19"/>
    </row>
    <row r="7679">
      <c r="A7679" s="9"/>
      <c r="B7679" s="15"/>
      <c r="C7679" s="9">
        <f>IFERROR(__xludf.DUMMYFUNCTION("""COMPUTED_VALUE"""),45063.6739962384)</f>
        <v>45063.674</v>
      </c>
      <c r="D7679" s="15">
        <f>IFERROR(__xludf.DUMMYFUNCTION("""COMPUTED_VALUE"""),1.014)</f>
        <v>1.014</v>
      </c>
      <c r="E7679" s="16">
        <f>IFERROR(__xludf.DUMMYFUNCTION("""COMPUTED_VALUE"""),66.0)</f>
        <v>66</v>
      </c>
      <c r="F7679" s="19" t="str">
        <f>IFERROR(__xludf.DUMMYFUNCTION("""COMPUTED_VALUE"""),"BLACK")</f>
        <v>BLACK</v>
      </c>
      <c r="G7679" s="20" t="str">
        <f>IFERROR(__xludf.DUMMYFUNCTION("""COMPUTED_VALUE"""),"Uncle Sams Cider (04/04/2023)")</f>
        <v>Uncle Sams Cider (04/04/2023)</v>
      </c>
      <c r="H7679" s="19"/>
    </row>
    <row r="7680">
      <c r="A7680" s="9"/>
      <c r="B7680" s="15"/>
      <c r="C7680" s="9">
        <f>IFERROR(__xludf.DUMMYFUNCTION("""COMPUTED_VALUE"""),45063.6635748611)</f>
        <v>45063.66357</v>
      </c>
      <c r="D7680" s="15">
        <f>IFERROR(__xludf.DUMMYFUNCTION("""COMPUTED_VALUE"""),1.014)</f>
        <v>1.014</v>
      </c>
      <c r="E7680" s="16">
        <f>IFERROR(__xludf.DUMMYFUNCTION("""COMPUTED_VALUE"""),66.0)</f>
        <v>66</v>
      </c>
      <c r="F7680" s="19" t="str">
        <f>IFERROR(__xludf.DUMMYFUNCTION("""COMPUTED_VALUE"""),"BLACK")</f>
        <v>BLACK</v>
      </c>
      <c r="G7680" s="20" t="str">
        <f>IFERROR(__xludf.DUMMYFUNCTION("""COMPUTED_VALUE"""),"Uncle Sams Cider (04/04/2023)")</f>
        <v>Uncle Sams Cider (04/04/2023)</v>
      </c>
      <c r="H7680" s="19"/>
    </row>
    <row r="7681">
      <c r="A7681" s="9"/>
      <c r="B7681" s="15"/>
      <c r="C7681" s="9">
        <f>IFERROR(__xludf.DUMMYFUNCTION("""COMPUTED_VALUE"""),45063.6531532754)</f>
        <v>45063.65315</v>
      </c>
      <c r="D7681" s="15">
        <f>IFERROR(__xludf.DUMMYFUNCTION("""COMPUTED_VALUE"""),1.014)</f>
        <v>1.014</v>
      </c>
      <c r="E7681" s="16">
        <f>IFERROR(__xludf.DUMMYFUNCTION("""COMPUTED_VALUE"""),66.0)</f>
        <v>66</v>
      </c>
      <c r="F7681" s="19" t="str">
        <f>IFERROR(__xludf.DUMMYFUNCTION("""COMPUTED_VALUE"""),"BLACK")</f>
        <v>BLACK</v>
      </c>
      <c r="G7681" s="20" t="str">
        <f>IFERROR(__xludf.DUMMYFUNCTION("""COMPUTED_VALUE"""),"Uncle Sams Cider (04/04/2023)")</f>
        <v>Uncle Sams Cider (04/04/2023)</v>
      </c>
      <c r="H7681" s="19"/>
    </row>
    <row r="7682">
      <c r="A7682" s="9"/>
      <c r="B7682" s="15"/>
      <c r="C7682" s="9">
        <f>IFERROR(__xludf.DUMMYFUNCTION("""COMPUTED_VALUE"""),45063.6427206365)</f>
        <v>45063.64272</v>
      </c>
      <c r="D7682" s="15">
        <f>IFERROR(__xludf.DUMMYFUNCTION("""COMPUTED_VALUE"""),1.014)</f>
        <v>1.014</v>
      </c>
      <c r="E7682" s="16">
        <f>IFERROR(__xludf.DUMMYFUNCTION("""COMPUTED_VALUE"""),66.0)</f>
        <v>66</v>
      </c>
      <c r="F7682" s="19" t="str">
        <f>IFERROR(__xludf.DUMMYFUNCTION("""COMPUTED_VALUE"""),"BLACK")</f>
        <v>BLACK</v>
      </c>
      <c r="G7682" s="20" t="str">
        <f>IFERROR(__xludf.DUMMYFUNCTION("""COMPUTED_VALUE"""),"Uncle Sams Cider (04/04/2023)")</f>
        <v>Uncle Sams Cider (04/04/2023)</v>
      </c>
      <c r="H7682" s="19"/>
    </row>
    <row r="7683">
      <c r="A7683" s="9"/>
      <c r="B7683" s="15"/>
      <c r="C7683" s="9">
        <f>IFERROR(__xludf.DUMMYFUNCTION("""COMPUTED_VALUE"""),45063.6322980439)</f>
        <v>45063.6323</v>
      </c>
      <c r="D7683" s="15">
        <f>IFERROR(__xludf.DUMMYFUNCTION("""COMPUTED_VALUE"""),1.014)</f>
        <v>1.014</v>
      </c>
      <c r="E7683" s="16">
        <f>IFERROR(__xludf.DUMMYFUNCTION("""COMPUTED_VALUE"""),66.0)</f>
        <v>66</v>
      </c>
      <c r="F7683" s="19" t="str">
        <f>IFERROR(__xludf.DUMMYFUNCTION("""COMPUTED_VALUE"""),"BLACK")</f>
        <v>BLACK</v>
      </c>
      <c r="G7683" s="20" t="str">
        <f>IFERROR(__xludf.DUMMYFUNCTION("""COMPUTED_VALUE"""),"Uncle Sams Cider (04/04/2023)")</f>
        <v>Uncle Sams Cider (04/04/2023)</v>
      </c>
      <c r="H7683" s="19"/>
    </row>
    <row r="7684">
      <c r="A7684" s="9"/>
      <c r="B7684" s="15"/>
      <c r="C7684" s="9">
        <f>IFERROR(__xludf.DUMMYFUNCTION("""COMPUTED_VALUE"""),45063.6218782754)</f>
        <v>45063.62188</v>
      </c>
      <c r="D7684" s="15">
        <f>IFERROR(__xludf.DUMMYFUNCTION("""COMPUTED_VALUE"""),1.014)</f>
        <v>1.014</v>
      </c>
      <c r="E7684" s="16">
        <f>IFERROR(__xludf.DUMMYFUNCTION("""COMPUTED_VALUE"""),66.0)</f>
        <v>66</v>
      </c>
      <c r="F7684" s="19" t="str">
        <f>IFERROR(__xludf.DUMMYFUNCTION("""COMPUTED_VALUE"""),"BLACK")</f>
        <v>BLACK</v>
      </c>
      <c r="G7684" s="20" t="str">
        <f>IFERROR(__xludf.DUMMYFUNCTION("""COMPUTED_VALUE"""),"Uncle Sams Cider (04/04/2023)")</f>
        <v>Uncle Sams Cider (04/04/2023)</v>
      </c>
      <c r="H7684" s="19"/>
    </row>
    <row r="7685">
      <c r="A7685" s="9"/>
      <c r="B7685" s="15"/>
      <c r="C7685" s="9">
        <f>IFERROR(__xludf.DUMMYFUNCTION("""COMPUTED_VALUE"""),45063.6114117245)</f>
        <v>45063.61141</v>
      </c>
      <c r="D7685" s="15">
        <f>IFERROR(__xludf.DUMMYFUNCTION("""COMPUTED_VALUE"""),1.014)</f>
        <v>1.014</v>
      </c>
      <c r="E7685" s="16">
        <f>IFERROR(__xludf.DUMMYFUNCTION("""COMPUTED_VALUE"""),66.0)</f>
        <v>66</v>
      </c>
      <c r="F7685" s="19" t="str">
        <f>IFERROR(__xludf.DUMMYFUNCTION("""COMPUTED_VALUE"""),"BLACK")</f>
        <v>BLACK</v>
      </c>
      <c r="G7685" s="20" t="str">
        <f>IFERROR(__xludf.DUMMYFUNCTION("""COMPUTED_VALUE"""),"Uncle Sams Cider (04/04/2023)")</f>
        <v>Uncle Sams Cider (04/04/2023)</v>
      </c>
      <c r="H7685" s="19"/>
    </row>
    <row r="7686">
      <c r="A7686" s="9"/>
      <c r="B7686" s="15"/>
      <c r="C7686" s="9">
        <f>IFERROR(__xludf.DUMMYFUNCTION("""COMPUTED_VALUE"""),45063.6009915277)</f>
        <v>45063.60099</v>
      </c>
      <c r="D7686" s="15">
        <f>IFERROR(__xludf.DUMMYFUNCTION("""COMPUTED_VALUE"""),1.014)</f>
        <v>1.014</v>
      </c>
      <c r="E7686" s="16">
        <f>IFERROR(__xludf.DUMMYFUNCTION("""COMPUTED_VALUE"""),66.0)</f>
        <v>66</v>
      </c>
      <c r="F7686" s="19" t="str">
        <f>IFERROR(__xludf.DUMMYFUNCTION("""COMPUTED_VALUE"""),"BLACK")</f>
        <v>BLACK</v>
      </c>
      <c r="G7686" s="20" t="str">
        <f>IFERROR(__xludf.DUMMYFUNCTION("""COMPUTED_VALUE"""),"Uncle Sams Cider (04/04/2023)")</f>
        <v>Uncle Sams Cider (04/04/2023)</v>
      </c>
      <c r="H7686" s="19"/>
    </row>
    <row r="7687">
      <c r="A7687" s="9"/>
      <c r="B7687" s="15"/>
      <c r="C7687" s="9">
        <f>IFERROR(__xludf.DUMMYFUNCTION("""COMPUTED_VALUE"""),45063.5905578588)</f>
        <v>45063.59056</v>
      </c>
      <c r="D7687" s="15">
        <f>IFERROR(__xludf.DUMMYFUNCTION("""COMPUTED_VALUE"""),1.014)</f>
        <v>1.014</v>
      </c>
      <c r="E7687" s="16">
        <f>IFERROR(__xludf.DUMMYFUNCTION("""COMPUTED_VALUE"""),66.0)</f>
        <v>66</v>
      </c>
      <c r="F7687" s="19" t="str">
        <f>IFERROR(__xludf.DUMMYFUNCTION("""COMPUTED_VALUE"""),"BLACK")</f>
        <v>BLACK</v>
      </c>
      <c r="G7687" s="20" t="str">
        <f>IFERROR(__xludf.DUMMYFUNCTION("""COMPUTED_VALUE"""),"Uncle Sams Cider (04/04/2023)")</f>
        <v>Uncle Sams Cider (04/04/2023)</v>
      </c>
      <c r="H7687" s="19"/>
    </row>
    <row r="7688">
      <c r="A7688" s="9"/>
      <c r="B7688" s="15"/>
      <c r="C7688" s="9">
        <f>IFERROR(__xludf.DUMMYFUNCTION("""COMPUTED_VALUE"""),45063.5801357638)</f>
        <v>45063.58014</v>
      </c>
      <c r="D7688" s="15">
        <f>IFERROR(__xludf.DUMMYFUNCTION("""COMPUTED_VALUE"""),1.014)</f>
        <v>1.014</v>
      </c>
      <c r="E7688" s="16">
        <f>IFERROR(__xludf.DUMMYFUNCTION("""COMPUTED_VALUE"""),66.0)</f>
        <v>66</v>
      </c>
      <c r="F7688" s="19" t="str">
        <f>IFERROR(__xludf.DUMMYFUNCTION("""COMPUTED_VALUE"""),"BLACK")</f>
        <v>BLACK</v>
      </c>
      <c r="G7688" s="20" t="str">
        <f>IFERROR(__xludf.DUMMYFUNCTION("""COMPUTED_VALUE"""),"Uncle Sams Cider (04/04/2023)")</f>
        <v>Uncle Sams Cider (04/04/2023)</v>
      </c>
      <c r="H7688" s="19"/>
    </row>
    <row r="7689">
      <c r="A7689" s="9"/>
      <c r="B7689" s="15"/>
      <c r="C7689" s="9">
        <f>IFERROR(__xludf.DUMMYFUNCTION("""COMPUTED_VALUE"""),45063.5697032638)</f>
        <v>45063.5697</v>
      </c>
      <c r="D7689" s="15">
        <f>IFERROR(__xludf.DUMMYFUNCTION("""COMPUTED_VALUE"""),1.014)</f>
        <v>1.014</v>
      </c>
      <c r="E7689" s="16">
        <f>IFERROR(__xludf.DUMMYFUNCTION("""COMPUTED_VALUE"""),66.0)</f>
        <v>66</v>
      </c>
      <c r="F7689" s="19" t="str">
        <f>IFERROR(__xludf.DUMMYFUNCTION("""COMPUTED_VALUE"""),"BLACK")</f>
        <v>BLACK</v>
      </c>
      <c r="G7689" s="20" t="str">
        <f>IFERROR(__xludf.DUMMYFUNCTION("""COMPUTED_VALUE"""),"Uncle Sams Cider (04/04/2023)")</f>
        <v>Uncle Sams Cider (04/04/2023)</v>
      </c>
      <c r="H7689" s="19"/>
    </row>
    <row r="7690">
      <c r="A7690" s="9"/>
      <c r="B7690" s="15"/>
      <c r="C7690" s="9">
        <f>IFERROR(__xludf.DUMMYFUNCTION("""COMPUTED_VALUE"""),45063.5592709259)</f>
        <v>45063.55927</v>
      </c>
      <c r="D7690" s="15">
        <f>IFERROR(__xludf.DUMMYFUNCTION("""COMPUTED_VALUE"""),1.014)</f>
        <v>1.014</v>
      </c>
      <c r="E7690" s="16">
        <f>IFERROR(__xludf.DUMMYFUNCTION("""COMPUTED_VALUE"""),66.0)</f>
        <v>66</v>
      </c>
      <c r="F7690" s="19" t="str">
        <f>IFERROR(__xludf.DUMMYFUNCTION("""COMPUTED_VALUE"""),"BLACK")</f>
        <v>BLACK</v>
      </c>
      <c r="G7690" s="20" t="str">
        <f>IFERROR(__xludf.DUMMYFUNCTION("""COMPUTED_VALUE"""),"Uncle Sams Cider (04/04/2023)")</f>
        <v>Uncle Sams Cider (04/04/2023)</v>
      </c>
      <c r="H7690" s="19"/>
    </row>
    <row r="7691">
      <c r="A7691" s="9"/>
      <c r="B7691" s="15"/>
      <c r="C7691" s="9">
        <f>IFERROR(__xludf.DUMMYFUNCTION("""COMPUTED_VALUE"""),45063.548849618)</f>
        <v>45063.54885</v>
      </c>
      <c r="D7691" s="15">
        <f>IFERROR(__xludf.DUMMYFUNCTION("""COMPUTED_VALUE"""),1.014)</f>
        <v>1.014</v>
      </c>
      <c r="E7691" s="16">
        <f>IFERROR(__xludf.DUMMYFUNCTION("""COMPUTED_VALUE"""),66.0)</f>
        <v>66</v>
      </c>
      <c r="F7691" s="19" t="str">
        <f>IFERROR(__xludf.DUMMYFUNCTION("""COMPUTED_VALUE"""),"BLACK")</f>
        <v>BLACK</v>
      </c>
      <c r="G7691" s="20" t="str">
        <f>IFERROR(__xludf.DUMMYFUNCTION("""COMPUTED_VALUE"""),"Uncle Sams Cider (04/04/2023)")</f>
        <v>Uncle Sams Cider (04/04/2023)</v>
      </c>
      <c r="H7691" s="19"/>
    </row>
    <row r="7692">
      <c r="A7692" s="9"/>
      <c r="B7692" s="15"/>
      <c r="C7692" s="9">
        <f>IFERROR(__xludf.DUMMYFUNCTION("""COMPUTED_VALUE"""),45063.5384182407)</f>
        <v>45063.53842</v>
      </c>
      <c r="D7692" s="15">
        <f>IFERROR(__xludf.DUMMYFUNCTION("""COMPUTED_VALUE"""),1.014)</f>
        <v>1.014</v>
      </c>
      <c r="E7692" s="16">
        <f>IFERROR(__xludf.DUMMYFUNCTION("""COMPUTED_VALUE"""),66.0)</f>
        <v>66</v>
      </c>
      <c r="F7692" s="19" t="str">
        <f>IFERROR(__xludf.DUMMYFUNCTION("""COMPUTED_VALUE"""),"BLACK")</f>
        <v>BLACK</v>
      </c>
      <c r="G7692" s="20" t="str">
        <f>IFERROR(__xludf.DUMMYFUNCTION("""COMPUTED_VALUE"""),"Uncle Sams Cider (04/04/2023)")</f>
        <v>Uncle Sams Cider (04/04/2023)</v>
      </c>
      <c r="H7692" s="19"/>
    </row>
    <row r="7693">
      <c r="A7693" s="9"/>
      <c r="B7693" s="15"/>
      <c r="C7693" s="9">
        <f>IFERROR(__xludf.DUMMYFUNCTION("""COMPUTED_VALUE"""),45063.5279975115)</f>
        <v>45063.528</v>
      </c>
      <c r="D7693" s="15">
        <f>IFERROR(__xludf.DUMMYFUNCTION("""COMPUTED_VALUE"""),1.014)</f>
        <v>1.014</v>
      </c>
      <c r="E7693" s="16">
        <f>IFERROR(__xludf.DUMMYFUNCTION("""COMPUTED_VALUE"""),66.0)</f>
        <v>66</v>
      </c>
      <c r="F7693" s="19" t="str">
        <f>IFERROR(__xludf.DUMMYFUNCTION("""COMPUTED_VALUE"""),"BLACK")</f>
        <v>BLACK</v>
      </c>
      <c r="G7693" s="20" t="str">
        <f>IFERROR(__xludf.DUMMYFUNCTION("""COMPUTED_VALUE"""),"Uncle Sams Cider (04/04/2023)")</f>
        <v>Uncle Sams Cider (04/04/2023)</v>
      </c>
      <c r="H7693" s="19"/>
    </row>
    <row r="7694">
      <c r="A7694" s="9"/>
      <c r="B7694" s="15"/>
      <c r="C7694" s="9">
        <f>IFERROR(__xludf.DUMMYFUNCTION("""COMPUTED_VALUE"""),45063.5175754514)</f>
        <v>45063.51758</v>
      </c>
      <c r="D7694" s="15">
        <f>IFERROR(__xludf.DUMMYFUNCTION("""COMPUTED_VALUE"""),1.014)</f>
        <v>1.014</v>
      </c>
      <c r="E7694" s="16">
        <f>IFERROR(__xludf.DUMMYFUNCTION("""COMPUTED_VALUE"""),66.0)</f>
        <v>66</v>
      </c>
      <c r="F7694" s="19" t="str">
        <f>IFERROR(__xludf.DUMMYFUNCTION("""COMPUTED_VALUE"""),"BLACK")</f>
        <v>BLACK</v>
      </c>
      <c r="G7694" s="20" t="str">
        <f>IFERROR(__xludf.DUMMYFUNCTION("""COMPUTED_VALUE"""),"Uncle Sams Cider (04/04/2023)")</f>
        <v>Uncle Sams Cider (04/04/2023)</v>
      </c>
      <c r="H7694" s="19"/>
    </row>
    <row r="7695">
      <c r="A7695" s="9"/>
      <c r="B7695" s="15"/>
      <c r="C7695" s="9">
        <f>IFERROR(__xludf.DUMMYFUNCTION("""COMPUTED_VALUE"""),45063.5070985069)</f>
        <v>45063.5071</v>
      </c>
      <c r="D7695" s="15">
        <f>IFERROR(__xludf.DUMMYFUNCTION("""COMPUTED_VALUE"""),1.014)</f>
        <v>1.014</v>
      </c>
      <c r="E7695" s="16">
        <f>IFERROR(__xludf.DUMMYFUNCTION("""COMPUTED_VALUE"""),66.0)</f>
        <v>66</v>
      </c>
      <c r="F7695" s="19" t="str">
        <f>IFERROR(__xludf.DUMMYFUNCTION("""COMPUTED_VALUE"""),"BLACK")</f>
        <v>BLACK</v>
      </c>
      <c r="G7695" s="20" t="str">
        <f>IFERROR(__xludf.DUMMYFUNCTION("""COMPUTED_VALUE"""),"Uncle Sams Cider (04/04/2023)")</f>
        <v>Uncle Sams Cider (04/04/2023)</v>
      </c>
      <c r="H7695" s="19"/>
    </row>
    <row r="7696">
      <c r="A7696" s="9"/>
      <c r="B7696" s="15"/>
      <c r="C7696" s="9">
        <f>IFERROR(__xludf.DUMMYFUNCTION("""COMPUTED_VALUE"""),45063.4966414351)</f>
        <v>45063.49664</v>
      </c>
      <c r="D7696" s="15">
        <f>IFERROR(__xludf.DUMMYFUNCTION("""COMPUTED_VALUE"""),1.014)</f>
        <v>1.014</v>
      </c>
      <c r="E7696" s="16">
        <f>IFERROR(__xludf.DUMMYFUNCTION("""COMPUTED_VALUE"""),66.0)</f>
        <v>66</v>
      </c>
      <c r="F7696" s="19" t="str">
        <f>IFERROR(__xludf.DUMMYFUNCTION("""COMPUTED_VALUE"""),"BLACK")</f>
        <v>BLACK</v>
      </c>
      <c r="G7696" s="20" t="str">
        <f>IFERROR(__xludf.DUMMYFUNCTION("""COMPUTED_VALUE"""),"Uncle Sams Cider (04/04/2023)")</f>
        <v>Uncle Sams Cider (04/04/2023)</v>
      </c>
      <c r="H7696" s="19"/>
    </row>
    <row r="7697">
      <c r="A7697" s="9"/>
      <c r="B7697" s="15"/>
      <c r="C7697" s="9">
        <f>IFERROR(__xludf.DUMMYFUNCTION("""COMPUTED_VALUE"""),45063.4861961805)</f>
        <v>45063.4862</v>
      </c>
      <c r="D7697" s="15">
        <f>IFERROR(__xludf.DUMMYFUNCTION("""COMPUTED_VALUE"""),1.014)</f>
        <v>1.014</v>
      </c>
      <c r="E7697" s="16">
        <f>IFERROR(__xludf.DUMMYFUNCTION("""COMPUTED_VALUE"""),66.0)</f>
        <v>66</v>
      </c>
      <c r="F7697" s="19" t="str">
        <f>IFERROR(__xludf.DUMMYFUNCTION("""COMPUTED_VALUE"""),"BLACK")</f>
        <v>BLACK</v>
      </c>
      <c r="G7697" s="20" t="str">
        <f>IFERROR(__xludf.DUMMYFUNCTION("""COMPUTED_VALUE"""),"Uncle Sams Cider (04/04/2023)")</f>
        <v>Uncle Sams Cider (04/04/2023)</v>
      </c>
      <c r="H7697" s="19"/>
    </row>
    <row r="7698">
      <c r="A7698" s="9"/>
      <c r="B7698" s="15"/>
      <c r="C7698" s="9">
        <f>IFERROR(__xludf.DUMMYFUNCTION("""COMPUTED_VALUE"""),45063.4757773032)</f>
        <v>45063.47578</v>
      </c>
      <c r="D7698" s="15">
        <f>IFERROR(__xludf.DUMMYFUNCTION("""COMPUTED_VALUE"""),1.014)</f>
        <v>1.014</v>
      </c>
      <c r="E7698" s="16">
        <f>IFERROR(__xludf.DUMMYFUNCTION("""COMPUTED_VALUE"""),66.0)</f>
        <v>66</v>
      </c>
      <c r="F7698" s="19" t="str">
        <f>IFERROR(__xludf.DUMMYFUNCTION("""COMPUTED_VALUE"""),"BLACK")</f>
        <v>BLACK</v>
      </c>
      <c r="G7698" s="20" t="str">
        <f>IFERROR(__xludf.DUMMYFUNCTION("""COMPUTED_VALUE"""),"Uncle Sams Cider (04/04/2023)")</f>
        <v>Uncle Sams Cider (04/04/2023)</v>
      </c>
      <c r="H7698" s="19"/>
    </row>
    <row r="7699">
      <c r="A7699" s="9"/>
      <c r="B7699" s="15"/>
      <c r="C7699" s="9">
        <f>IFERROR(__xludf.DUMMYFUNCTION("""COMPUTED_VALUE"""),45063.4652866087)</f>
        <v>45063.46529</v>
      </c>
      <c r="D7699" s="15">
        <f>IFERROR(__xludf.DUMMYFUNCTION("""COMPUTED_VALUE"""),1.014)</f>
        <v>1.014</v>
      </c>
      <c r="E7699" s="16">
        <f>IFERROR(__xludf.DUMMYFUNCTION("""COMPUTED_VALUE"""),66.0)</f>
        <v>66</v>
      </c>
      <c r="F7699" s="19" t="str">
        <f>IFERROR(__xludf.DUMMYFUNCTION("""COMPUTED_VALUE"""),"BLACK")</f>
        <v>BLACK</v>
      </c>
      <c r="G7699" s="20" t="str">
        <f>IFERROR(__xludf.DUMMYFUNCTION("""COMPUTED_VALUE"""),"Uncle Sams Cider (04/04/2023)")</f>
        <v>Uncle Sams Cider (04/04/2023)</v>
      </c>
      <c r="H7699" s="19"/>
    </row>
    <row r="7700">
      <c r="A7700" s="9"/>
      <c r="B7700" s="15"/>
      <c r="C7700" s="9">
        <f>IFERROR(__xludf.DUMMYFUNCTION("""COMPUTED_VALUE"""),45063.4548654861)</f>
        <v>45063.45487</v>
      </c>
      <c r="D7700" s="15">
        <f>IFERROR(__xludf.DUMMYFUNCTION("""COMPUTED_VALUE"""),1.014)</f>
        <v>1.014</v>
      </c>
      <c r="E7700" s="16">
        <f>IFERROR(__xludf.DUMMYFUNCTION("""COMPUTED_VALUE"""),66.0)</f>
        <v>66</v>
      </c>
      <c r="F7700" s="19" t="str">
        <f>IFERROR(__xludf.DUMMYFUNCTION("""COMPUTED_VALUE"""),"BLACK")</f>
        <v>BLACK</v>
      </c>
      <c r="G7700" s="20" t="str">
        <f>IFERROR(__xludf.DUMMYFUNCTION("""COMPUTED_VALUE"""),"Uncle Sams Cider (04/04/2023)")</f>
        <v>Uncle Sams Cider (04/04/2023)</v>
      </c>
      <c r="H7700" s="19"/>
    </row>
    <row r="7701">
      <c r="A7701" s="9"/>
      <c r="B7701" s="15"/>
      <c r="C7701" s="9">
        <f>IFERROR(__xludf.DUMMYFUNCTION("""COMPUTED_VALUE"""),45063.4444310763)</f>
        <v>45063.44443</v>
      </c>
      <c r="D7701" s="15">
        <f>IFERROR(__xludf.DUMMYFUNCTION("""COMPUTED_VALUE"""),1.014)</f>
        <v>1.014</v>
      </c>
      <c r="E7701" s="16">
        <f>IFERROR(__xludf.DUMMYFUNCTION("""COMPUTED_VALUE"""),66.0)</f>
        <v>66</v>
      </c>
      <c r="F7701" s="19" t="str">
        <f>IFERROR(__xludf.DUMMYFUNCTION("""COMPUTED_VALUE"""),"BLACK")</f>
        <v>BLACK</v>
      </c>
      <c r="G7701" s="20" t="str">
        <f>IFERROR(__xludf.DUMMYFUNCTION("""COMPUTED_VALUE"""),"Uncle Sams Cider (04/04/2023)")</f>
        <v>Uncle Sams Cider (04/04/2023)</v>
      </c>
      <c r="H7701" s="19"/>
    </row>
    <row r="7702">
      <c r="A7702" s="9"/>
      <c r="B7702" s="15"/>
      <c r="C7702" s="9">
        <f>IFERROR(__xludf.DUMMYFUNCTION("""COMPUTED_VALUE"""),45063.434009699)</f>
        <v>45063.43401</v>
      </c>
      <c r="D7702" s="15">
        <f>IFERROR(__xludf.DUMMYFUNCTION("""COMPUTED_VALUE"""),1.014)</f>
        <v>1.014</v>
      </c>
      <c r="E7702" s="16">
        <f>IFERROR(__xludf.DUMMYFUNCTION("""COMPUTED_VALUE"""),66.0)</f>
        <v>66</v>
      </c>
      <c r="F7702" s="19" t="str">
        <f>IFERROR(__xludf.DUMMYFUNCTION("""COMPUTED_VALUE"""),"BLACK")</f>
        <v>BLACK</v>
      </c>
      <c r="G7702" s="20" t="str">
        <f>IFERROR(__xludf.DUMMYFUNCTION("""COMPUTED_VALUE"""),"Uncle Sams Cider (04/04/2023)")</f>
        <v>Uncle Sams Cider (04/04/2023)</v>
      </c>
      <c r="H7702" s="19"/>
    </row>
    <row r="7703">
      <c r="A7703" s="9"/>
      <c r="B7703" s="15"/>
      <c r="C7703" s="9">
        <f>IFERROR(__xludf.DUMMYFUNCTION("""COMPUTED_VALUE"""),45063.4235767013)</f>
        <v>45063.42358</v>
      </c>
      <c r="D7703" s="15">
        <f>IFERROR(__xludf.DUMMYFUNCTION("""COMPUTED_VALUE"""),1.014)</f>
        <v>1.014</v>
      </c>
      <c r="E7703" s="16">
        <f>IFERROR(__xludf.DUMMYFUNCTION("""COMPUTED_VALUE"""),66.0)</f>
        <v>66</v>
      </c>
      <c r="F7703" s="19" t="str">
        <f>IFERROR(__xludf.DUMMYFUNCTION("""COMPUTED_VALUE"""),"BLACK")</f>
        <v>BLACK</v>
      </c>
      <c r="G7703" s="20" t="str">
        <f>IFERROR(__xludf.DUMMYFUNCTION("""COMPUTED_VALUE"""),"Uncle Sams Cider (04/04/2023)")</f>
        <v>Uncle Sams Cider (04/04/2023)</v>
      </c>
      <c r="H7703" s="19"/>
    </row>
    <row r="7704">
      <c r="A7704" s="9"/>
      <c r="B7704" s="15"/>
      <c r="C7704" s="9">
        <f>IFERROR(__xludf.DUMMYFUNCTION("""COMPUTED_VALUE"""),45063.4131559838)</f>
        <v>45063.41316</v>
      </c>
      <c r="D7704" s="15">
        <f>IFERROR(__xludf.DUMMYFUNCTION("""COMPUTED_VALUE"""),1.014)</f>
        <v>1.014</v>
      </c>
      <c r="E7704" s="16">
        <f>IFERROR(__xludf.DUMMYFUNCTION("""COMPUTED_VALUE"""),66.0)</f>
        <v>66</v>
      </c>
      <c r="F7704" s="19" t="str">
        <f>IFERROR(__xludf.DUMMYFUNCTION("""COMPUTED_VALUE"""),"BLACK")</f>
        <v>BLACK</v>
      </c>
      <c r="G7704" s="20" t="str">
        <f>IFERROR(__xludf.DUMMYFUNCTION("""COMPUTED_VALUE"""),"Uncle Sams Cider (04/04/2023)")</f>
        <v>Uncle Sams Cider (04/04/2023)</v>
      </c>
      <c r="H7704" s="19"/>
    </row>
    <row r="7705">
      <c r="A7705" s="9"/>
      <c r="B7705" s="15"/>
      <c r="C7705" s="9">
        <f>IFERROR(__xludf.DUMMYFUNCTION("""COMPUTED_VALUE"""),45063.4027342129)</f>
        <v>45063.40273</v>
      </c>
      <c r="D7705" s="15">
        <f>IFERROR(__xludf.DUMMYFUNCTION("""COMPUTED_VALUE"""),1.014)</f>
        <v>1.014</v>
      </c>
      <c r="E7705" s="16">
        <f>IFERROR(__xludf.DUMMYFUNCTION("""COMPUTED_VALUE"""),66.0)</f>
        <v>66</v>
      </c>
      <c r="F7705" s="19" t="str">
        <f>IFERROR(__xludf.DUMMYFUNCTION("""COMPUTED_VALUE"""),"BLACK")</f>
        <v>BLACK</v>
      </c>
      <c r="G7705" s="20" t="str">
        <f>IFERROR(__xludf.DUMMYFUNCTION("""COMPUTED_VALUE"""),"Uncle Sams Cider (04/04/2023)")</f>
        <v>Uncle Sams Cider (04/04/2023)</v>
      </c>
      <c r="H7705" s="19"/>
    </row>
    <row r="7706">
      <c r="A7706" s="9"/>
      <c r="B7706" s="15"/>
      <c r="C7706" s="9">
        <f>IFERROR(__xludf.DUMMYFUNCTION("""COMPUTED_VALUE"""),45063.3922809143)</f>
        <v>45063.39228</v>
      </c>
      <c r="D7706" s="15">
        <f>IFERROR(__xludf.DUMMYFUNCTION("""COMPUTED_VALUE"""),1.014)</f>
        <v>1.014</v>
      </c>
      <c r="E7706" s="16">
        <f>IFERROR(__xludf.DUMMYFUNCTION("""COMPUTED_VALUE"""),66.0)</f>
        <v>66</v>
      </c>
      <c r="F7706" s="19" t="str">
        <f>IFERROR(__xludf.DUMMYFUNCTION("""COMPUTED_VALUE"""),"BLACK")</f>
        <v>BLACK</v>
      </c>
      <c r="G7706" s="20" t="str">
        <f>IFERROR(__xludf.DUMMYFUNCTION("""COMPUTED_VALUE"""),"Uncle Sams Cider (04/04/2023)")</f>
        <v>Uncle Sams Cider (04/04/2023)</v>
      </c>
      <c r="H7706" s="19"/>
    </row>
    <row r="7707">
      <c r="A7707" s="9"/>
      <c r="B7707" s="15"/>
      <c r="C7707" s="9">
        <f>IFERROR(__xludf.DUMMYFUNCTION("""COMPUTED_VALUE"""),45063.3818245949)</f>
        <v>45063.38182</v>
      </c>
      <c r="D7707" s="15">
        <f>IFERROR(__xludf.DUMMYFUNCTION("""COMPUTED_VALUE"""),1.014)</f>
        <v>1.014</v>
      </c>
      <c r="E7707" s="16">
        <f>IFERROR(__xludf.DUMMYFUNCTION("""COMPUTED_VALUE"""),66.0)</f>
        <v>66</v>
      </c>
      <c r="F7707" s="19" t="str">
        <f>IFERROR(__xludf.DUMMYFUNCTION("""COMPUTED_VALUE"""),"BLACK")</f>
        <v>BLACK</v>
      </c>
      <c r="G7707" s="20" t="str">
        <f>IFERROR(__xludf.DUMMYFUNCTION("""COMPUTED_VALUE"""),"Uncle Sams Cider (04/04/2023)")</f>
        <v>Uncle Sams Cider (04/04/2023)</v>
      </c>
      <c r="H7707" s="19"/>
    </row>
    <row r="7708">
      <c r="A7708" s="9"/>
      <c r="B7708" s="15"/>
      <c r="C7708" s="9">
        <f>IFERROR(__xludf.DUMMYFUNCTION("""COMPUTED_VALUE"""),45063.3713586226)</f>
        <v>45063.37136</v>
      </c>
      <c r="D7708" s="15">
        <f>IFERROR(__xludf.DUMMYFUNCTION("""COMPUTED_VALUE"""),1.014)</f>
        <v>1.014</v>
      </c>
      <c r="E7708" s="16">
        <f>IFERROR(__xludf.DUMMYFUNCTION("""COMPUTED_VALUE"""),66.0)</f>
        <v>66</v>
      </c>
      <c r="F7708" s="19" t="str">
        <f>IFERROR(__xludf.DUMMYFUNCTION("""COMPUTED_VALUE"""),"BLACK")</f>
        <v>BLACK</v>
      </c>
      <c r="G7708" s="20" t="str">
        <f>IFERROR(__xludf.DUMMYFUNCTION("""COMPUTED_VALUE"""),"Uncle Sams Cider (04/04/2023)")</f>
        <v>Uncle Sams Cider (04/04/2023)</v>
      </c>
      <c r="H7708" s="19"/>
    </row>
    <row r="7709">
      <c r="A7709" s="9"/>
      <c r="B7709" s="15"/>
      <c r="C7709" s="9">
        <f>IFERROR(__xludf.DUMMYFUNCTION("""COMPUTED_VALUE"""),45063.3609370833)</f>
        <v>45063.36094</v>
      </c>
      <c r="D7709" s="15">
        <f>IFERROR(__xludf.DUMMYFUNCTION("""COMPUTED_VALUE"""),1.014)</f>
        <v>1.014</v>
      </c>
      <c r="E7709" s="16">
        <f>IFERROR(__xludf.DUMMYFUNCTION("""COMPUTED_VALUE"""),66.0)</f>
        <v>66</v>
      </c>
      <c r="F7709" s="19" t="str">
        <f>IFERROR(__xludf.DUMMYFUNCTION("""COMPUTED_VALUE"""),"BLACK")</f>
        <v>BLACK</v>
      </c>
      <c r="G7709" s="20" t="str">
        <f>IFERROR(__xludf.DUMMYFUNCTION("""COMPUTED_VALUE"""),"Uncle Sams Cider (04/04/2023)")</f>
        <v>Uncle Sams Cider (04/04/2023)</v>
      </c>
      <c r="H7709" s="19"/>
    </row>
    <row r="7710">
      <c r="A7710" s="9"/>
      <c r="B7710" s="15"/>
      <c r="C7710" s="9">
        <f>IFERROR(__xludf.DUMMYFUNCTION("""COMPUTED_VALUE"""),45063.3505150926)</f>
        <v>45063.35052</v>
      </c>
      <c r="D7710" s="15">
        <f>IFERROR(__xludf.DUMMYFUNCTION("""COMPUTED_VALUE"""),1.014)</f>
        <v>1.014</v>
      </c>
      <c r="E7710" s="16">
        <f>IFERROR(__xludf.DUMMYFUNCTION("""COMPUTED_VALUE"""),66.0)</f>
        <v>66</v>
      </c>
      <c r="F7710" s="19" t="str">
        <f>IFERROR(__xludf.DUMMYFUNCTION("""COMPUTED_VALUE"""),"BLACK")</f>
        <v>BLACK</v>
      </c>
      <c r="G7710" s="20" t="str">
        <f>IFERROR(__xludf.DUMMYFUNCTION("""COMPUTED_VALUE"""),"Uncle Sams Cider (04/04/2023)")</f>
        <v>Uncle Sams Cider (04/04/2023)</v>
      </c>
      <c r="H7710" s="19"/>
    </row>
    <row r="7711">
      <c r="A7711" s="9"/>
      <c r="B7711" s="15"/>
      <c r="C7711" s="9">
        <f>IFERROR(__xludf.DUMMYFUNCTION("""COMPUTED_VALUE"""),45063.3400846643)</f>
        <v>45063.34008</v>
      </c>
      <c r="D7711" s="15">
        <f>IFERROR(__xludf.DUMMYFUNCTION("""COMPUTED_VALUE"""),1.014)</f>
        <v>1.014</v>
      </c>
      <c r="E7711" s="16">
        <f>IFERROR(__xludf.DUMMYFUNCTION("""COMPUTED_VALUE"""),66.0)</f>
        <v>66</v>
      </c>
      <c r="F7711" s="19" t="str">
        <f>IFERROR(__xludf.DUMMYFUNCTION("""COMPUTED_VALUE"""),"BLACK")</f>
        <v>BLACK</v>
      </c>
      <c r="G7711" s="20" t="str">
        <f>IFERROR(__xludf.DUMMYFUNCTION("""COMPUTED_VALUE"""),"Uncle Sams Cider (04/04/2023)")</f>
        <v>Uncle Sams Cider (04/04/2023)</v>
      </c>
      <c r="H7711" s="19"/>
    </row>
    <row r="7712">
      <c r="A7712" s="9"/>
      <c r="B7712" s="15"/>
      <c r="C7712" s="9">
        <f>IFERROR(__xludf.DUMMYFUNCTION("""COMPUTED_VALUE"""),45063.3296616319)</f>
        <v>45063.32966</v>
      </c>
      <c r="D7712" s="15">
        <f>IFERROR(__xludf.DUMMYFUNCTION("""COMPUTED_VALUE"""),1.014)</f>
        <v>1.014</v>
      </c>
      <c r="E7712" s="16">
        <f>IFERROR(__xludf.DUMMYFUNCTION("""COMPUTED_VALUE"""),66.0)</f>
        <v>66</v>
      </c>
      <c r="F7712" s="19" t="str">
        <f>IFERROR(__xludf.DUMMYFUNCTION("""COMPUTED_VALUE"""),"BLACK")</f>
        <v>BLACK</v>
      </c>
      <c r="G7712" s="20" t="str">
        <f>IFERROR(__xludf.DUMMYFUNCTION("""COMPUTED_VALUE"""),"Uncle Sams Cider (04/04/2023)")</f>
        <v>Uncle Sams Cider (04/04/2023)</v>
      </c>
      <c r="H7712" s="19"/>
    </row>
    <row r="7713">
      <c r="A7713" s="9"/>
      <c r="B7713" s="15"/>
      <c r="C7713" s="9">
        <f>IFERROR(__xludf.DUMMYFUNCTION("""COMPUTED_VALUE"""),45063.3192277777)</f>
        <v>45063.31923</v>
      </c>
      <c r="D7713" s="15">
        <f>IFERROR(__xludf.DUMMYFUNCTION("""COMPUTED_VALUE"""),1.014)</f>
        <v>1.014</v>
      </c>
      <c r="E7713" s="16">
        <f>IFERROR(__xludf.DUMMYFUNCTION("""COMPUTED_VALUE"""),66.0)</f>
        <v>66</v>
      </c>
      <c r="F7713" s="19" t="str">
        <f>IFERROR(__xludf.DUMMYFUNCTION("""COMPUTED_VALUE"""),"BLACK")</f>
        <v>BLACK</v>
      </c>
      <c r="G7713" s="20" t="str">
        <f>IFERROR(__xludf.DUMMYFUNCTION("""COMPUTED_VALUE"""),"Uncle Sams Cider (04/04/2023)")</f>
        <v>Uncle Sams Cider (04/04/2023)</v>
      </c>
      <c r="H7713" s="19"/>
    </row>
    <row r="7714">
      <c r="A7714" s="9"/>
      <c r="B7714" s="15"/>
      <c r="C7714" s="9">
        <f>IFERROR(__xludf.DUMMYFUNCTION("""COMPUTED_VALUE"""),45063.3087943865)</f>
        <v>45063.30879</v>
      </c>
      <c r="D7714" s="15">
        <f>IFERROR(__xludf.DUMMYFUNCTION("""COMPUTED_VALUE"""),1.014)</f>
        <v>1.014</v>
      </c>
      <c r="E7714" s="16">
        <f>IFERROR(__xludf.DUMMYFUNCTION("""COMPUTED_VALUE"""),66.0)</f>
        <v>66</v>
      </c>
      <c r="F7714" s="19" t="str">
        <f>IFERROR(__xludf.DUMMYFUNCTION("""COMPUTED_VALUE"""),"BLACK")</f>
        <v>BLACK</v>
      </c>
      <c r="G7714" s="20" t="str">
        <f>IFERROR(__xludf.DUMMYFUNCTION("""COMPUTED_VALUE"""),"Uncle Sams Cider (04/04/2023)")</f>
        <v>Uncle Sams Cider (04/04/2023)</v>
      </c>
      <c r="H7714" s="19"/>
    </row>
    <row r="7715">
      <c r="A7715" s="9"/>
      <c r="B7715" s="15"/>
      <c r="C7715" s="9">
        <f>IFERROR(__xludf.DUMMYFUNCTION("""COMPUTED_VALUE"""),45063.2983276157)</f>
        <v>45063.29833</v>
      </c>
      <c r="D7715" s="15">
        <f>IFERROR(__xludf.DUMMYFUNCTION("""COMPUTED_VALUE"""),1.014)</f>
        <v>1.014</v>
      </c>
      <c r="E7715" s="16">
        <f>IFERROR(__xludf.DUMMYFUNCTION("""COMPUTED_VALUE"""),66.0)</f>
        <v>66</v>
      </c>
      <c r="F7715" s="19" t="str">
        <f>IFERROR(__xludf.DUMMYFUNCTION("""COMPUTED_VALUE"""),"BLACK")</f>
        <v>BLACK</v>
      </c>
      <c r="G7715" s="20" t="str">
        <f>IFERROR(__xludf.DUMMYFUNCTION("""COMPUTED_VALUE"""),"Uncle Sams Cider (04/04/2023)")</f>
        <v>Uncle Sams Cider (04/04/2023)</v>
      </c>
      <c r="H7715" s="19"/>
    </row>
    <row r="7716">
      <c r="A7716" s="9"/>
      <c r="B7716" s="15"/>
      <c r="C7716" s="9">
        <f>IFERROR(__xludf.DUMMYFUNCTION("""COMPUTED_VALUE"""),45063.2878941898)</f>
        <v>45063.28789</v>
      </c>
      <c r="D7716" s="15">
        <f>IFERROR(__xludf.DUMMYFUNCTION("""COMPUTED_VALUE"""),1.014)</f>
        <v>1.014</v>
      </c>
      <c r="E7716" s="16">
        <f>IFERROR(__xludf.DUMMYFUNCTION("""COMPUTED_VALUE"""),66.0)</f>
        <v>66</v>
      </c>
      <c r="F7716" s="19" t="str">
        <f>IFERROR(__xludf.DUMMYFUNCTION("""COMPUTED_VALUE"""),"BLACK")</f>
        <v>BLACK</v>
      </c>
      <c r="G7716" s="20" t="str">
        <f>IFERROR(__xludf.DUMMYFUNCTION("""COMPUTED_VALUE"""),"Uncle Sams Cider (04/04/2023)")</f>
        <v>Uncle Sams Cider (04/04/2023)</v>
      </c>
      <c r="H7716" s="19"/>
    </row>
    <row r="7717">
      <c r="A7717" s="9"/>
      <c r="B7717" s="15"/>
      <c r="C7717" s="9">
        <f>IFERROR(__xludf.DUMMYFUNCTION("""COMPUTED_VALUE"""),45063.2774720833)</f>
        <v>45063.27747</v>
      </c>
      <c r="D7717" s="15">
        <f>IFERROR(__xludf.DUMMYFUNCTION("""COMPUTED_VALUE"""),1.014)</f>
        <v>1.014</v>
      </c>
      <c r="E7717" s="16">
        <f>IFERROR(__xludf.DUMMYFUNCTION("""COMPUTED_VALUE"""),66.0)</f>
        <v>66</v>
      </c>
      <c r="F7717" s="19" t="str">
        <f>IFERROR(__xludf.DUMMYFUNCTION("""COMPUTED_VALUE"""),"BLACK")</f>
        <v>BLACK</v>
      </c>
      <c r="G7717" s="20" t="str">
        <f>IFERROR(__xludf.DUMMYFUNCTION("""COMPUTED_VALUE"""),"Uncle Sams Cider (04/04/2023)")</f>
        <v>Uncle Sams Cider (04/04/2023)</v>
      </c>
      <c r="H7717" s="19"/>
    </row>
    <row r="7718">
      <c r="A7718" s="9"/>
      <c r="B7718" s="15"/>
      <c r="C7718" s="9">
        <f>IFERROR(__xludf.DUMMYFUNCTION("""COMPUTED_VALUE"""),45063.2670136458)</f>
        <v>45063.26701</v>
      </c>
      <c r="D7718" s="15">
        <f>IFERROR(__xludf.DUMMYFUNCTION("""COMPUTED_VALUE"""),1.014)</f>
        <v>1.014</v>
      </c>
      <c r="E7718" s="16">
        <f>IFERROR(__xludf.DUMMYFUNCTION("""COMPUTED_VALUE"""),66.0)</f>
        <v>66</v>
      </c>
      <c r="F7718" s="19" t="str">
        <f>IFERROR(__xludf.DUMMYFUNCTION("""COMPUTED_VALUE"""),"BLACK")</f>
        <v>BLACK</v>
      </c>
      <c r="G7718" s="20" t="str">
        <f>IFERROR(__xludf.DUMMYFUNCTION("""COMPUTED_VALUE"""),"Uncle Sams Cider (04/04/2023)")</f>
        <v>Uncle Sams Cider (04/04/2023)</v>
      </c>
      <c r="H7718" s="19"/>
    </row>
    <row r="7719">
      <c r="A7719" s="9"/>
      <c r="B7719" s="15"/>
      <c r="C7719" s="9">
        <f>IFERROR(__xludf.DUMMYFUNCTION("""COMPUTED_VALUE"""),45063.2565786805)</f>
        <v>45063.25658</v>
      </c>
      <c r="D7719" s="15">
        <f>IFERROR(__xludf.DUMMYFUNCTION("""COMPUTED_VALUE"""),1.014)</f>
        <v>1.014</v>
      </c>
      <c r="E7719" s="16">
        <f>IFERROR(__xludf.DUMMYFUNCTION("""COMPUTED_VALUE"""),66.0)</f>
        <v>66</v>
      </c>
      <c r="F7719" s="19" t="str">
        <f>IFERROR(__xludf.DUMMYFUNCTION("""COMPUTED_VALUE"""),"BLACK")</f>
        <v>BLACK</v>
      </c>
      <c r="G7719" s="20" t="str">
        <f>IFERROR(__xludf.DUMMYFUNCTION("""COMPUTED_VALUE"""),"Uncle Sams Cider (04/04/2023)")</f>
        <v>Uncle Sams Cider (04/04/2023)</v>
      </c>
      <c r="H7719" s="19"/>
    </row>
    <row r="7720">
      <c r="A7720" s="9"/>
      <c r="B7720" s="15"/>
      <c r="C7720" s="9">
        <f>IFERROR(__xludf.DUMMYFUNCTION("""COMPUTED_VALUE"""),45063.246144375)</f>
        <v>45063.24614</v>
      </c>
      <c r="D7720" s="15">
        <f>IFERROR(__xludf.DUMMYFUNCTION("""COMPUTED_VALUE"""),1.014)</f>
        <v>1.014</v>
      </c>
      <c r="E7720" s="16">
        <f>IFERROR(__xludf.DUMMYFUNCTION("""COMPUTED_VALUE"""),66.0)</f>
        <v>66</v>
      </c>
      <c r="F7720" s="19" t="str">
        <f>IFERROR(__xludf.DUMMYFUNCTION("""COMPUTED_VALUE"""),"BLACK")</f>
        <v>BLACK</v>
      </c>
      <c r="G7720" s="20" t="str">
        <f>IFERROR(__xludf.DUMMYFUNCTION("""COMPUTED_VALUE"""),"Uncle Sams Cider (04/04/2023)")</f>
        <v>Uncle Sams Cider (04/04/2023)</v>
      </c>
      <c r="H7720" s="19"/>
    </row>
    <row r="7721">
      <c r="A7721" s="9"/>
      <c r="B7721" s="15"/>
      <c r="C7721" s="9">
        <f>IFERROR(__xludf.DUMMYFUNCTION("""COMPUTED_VALUE"""),45063.2357235995)</f>
        <v>45063.23572</v>
      </c>
      <c r="D7721" s="15">
        <f>IFERROR(__xludf.DUMMYFUNCTION("""COMPUTED_VALUE"""),1.014)</f>
        <v>1.014</v>
      </c>
      <c r="E7721" s="16">
        <f>IFERROR(__xludf.DUMMYFUNCTION("""COMPUTED_VALUE"""),66.0)</f>
        <v>66</v>
      </c>
      <c r="F7721" s="19" t="str">
        <f>IFERROR(__xludf.DUMMYFUNCTION("""COMPUTED_VALUE"""),"BLACK")</f>
        <v>BLACK</v>
      </c>
      <c r="G7721" s="20" t="str">
        <f>IFERROR(__xludf.DUMMYFUNCTION("""COMPUTED_VALUE"""),"Uncle Sams Cider (04/04/2023)")</f>
        <v>Uncle Sams Cider (04/04/2023)</v>
      </c>
      <c r="H7721" s="19"/>
    </row>
    <row r="7722">
      <c r="A7722" s="9"/>
      <c r="B7722" s="15"/>
      <c r="C7722" s="9">
        <f>IFERROR(__xludf.DUMMYFUNCTION("""COMPUTED_VALUE"""),45063.2252909953)</f>
        <v>45063.22529</v>
      </c>
      <c r="D7722" s="15">
        <f>IFERROR(__xludf.DUMMYFUNCTION("""COMPUTED_VALUE"""),1.014)</f>
        <v>1.014</v>
      </c>
      <c r="E7722" s="16">
        <f>IFERROR(__xludf.DUMMYFUNCTION("""COMPUTED_VALUE"""),66.0)</f>
        <v>66</v>
      </c>
      <c r="F7722" s="19" t="str">
        <f>IFERROR(__xludf.DUMMYFUNCTION("""COMPUTED_VALUE"""),"BLACK")</f>
        <v>BLACK</v>
      </c>
      <c r="G7722" s="20" t="str">
        <f>IFERROR(__xludf.DUMMYFUNCTION("""COMPUTED_VALUE"""),"Uncle Sams Cider (04/04/2023)")</f>
        <v>Uncle Sams Cider (04/04/2023)</v>
      </c>
      <c r="H7722" s="19"/>
    </row>
    <row r="7723">
      <c r="A7723" s="9"/>
      <c r="B7723" s="15"/>
      <c r="C7723" s="9">
        <f>IFERROR(__xludf.DUMMYFUNCTION("""COMPUTED_VALUE"""),45063.2148696759)</f>
        <v>45063.21487</v>
      </c>
      <c r="D7723" s="15">
        <f>IFERROR(__xludf.DUMMYFUNCTION("""COMPUTED_VALUE"""),1.014)</f>
        <v>1.014</v>
      </c>
      <c r="E7723" s="16">
        <f>IFERROR(__xludf.DUMMYFUNCTION("""COMPUTED_VALUE"""),66.0)</f>
        <v>66</v>
      </c>
      <c r="F7723" s="19" t="str">
        <f>IFERROR(__xludf.DUMMYFUNCTION("""COMPUTED_VALUE"""),"BLACK")</f>
        <v>BLACK</v>
      </c>
      <c r="G7723" s="20" t="str">
        <f>IFERROR(__xludf.DUMMYFUNCTION("""COMPUTED_VALUE"""),"Uncle Sams Cider (04/04/2023)")</f>
        <v>Uncle Sams Cider (04/04/2023)</v>
      </c>
      <c r="H7723" s="19"/>
    </row>
    <row r="7724">
      <c r="A7724" s="9"/>
      <c r="B7724" s="15"/>
      <c r="C7724" s="9">
        <f>IFERROR(__xludf.DUMMYFUNCTION("""COMPUTED_VALUE"""),45063.2044482638)</f>
        <v>45063.20445</v>
      </c>
      <c r="D7724" s="15">
        <f>IFERROR(__xludf.DUMMYFUNCTION("""COMPUTED_VALUE"""),1.014)</f>
        <v>1.014</v>
      </c>
      <c r="E7724" s="16">
        <f>IFERROR(__xludf.DUMMYFUNCTION("""COMPUTED_VALUE"""),66.0)</f>
        <v>66</v>
      </c>
      <c r="F7724" s="19" t="str">
        <f>IFERROR(__xludf.DUMMYFUNCTION("""COMPUTED_VALUE"""),"BLACK")</f>
        <v>BLACK</v>
      </c>
      <c r="G7724" s="20" t="str">
        <f>IFERROR(__xludf.DUMMYFUNCTION("""COMPUTED_VALUE"""),"Uncle Sams Cider (04/04/2023)")</f>
        <v>Uncle Sams Cider (04/04/2023)</v>
      </c>
      <c r="H7724" s="19"/>
    </row>
    <row r="7725">
      <c r="A7725" s="9"/>
      <c r="B7725" s="15"/>
      <c r="C7725" s="9">
        <f>IFERROR(__xludf.DUMMYFUNCTION("""COMPUTED_VALUE"""),45063.1939795601)</f>
        <v>45063.19398</v>
      </c>
      <c r="D7725" s="15">
        <f>IFERROR(__xludf.DUMMYFUNCTION("""COMPUTED_VALUE"""),1.014)</f>
        <v>1.014</v>
      </c>
      <c r="E7725" s="16">
        <f>IFERROR(__xludf.DUMMYFUNCTION("""COMPUTED_VALUE"""),66.0)</f>
        <v>66</v>
      </c>
      <c r="F7725" s="19" t="str">
        <f>IFERROR(__xludf.DUMMYFUNCTION("""COMPUTED_VALUE"""),"BLACK")</f>
        <v>BLACK</v>
      </c>
      <c r="G7725" s="20" t="str">
        <f>IFERROR(__xludf.DUMMYFUNCTION("""COMPUTED_VALUE"""),"Uncle Sams Cider (04/04/2023)")</f>
        <v>Uncle Sams Cider (04/04/2023)</v>
      </c>
      <c r="H7725" s="19"/>
    </row>
    <row r="7726">
      <c r="A7726" s="9"/>
      <c r="B7726" s="15"/>
      <c r="C7726" s="9">
        <f>IFERROR(__xludf.DUMMYFUNCTION("""COMPUTED_VALUE"""),45063.1835355787)</f>
        <v>45063.18354</v>
      </c>
      <c r="D7726" s="15">
        <f>IFERROR(__xludf.DUMMYFUNCTION("""COMPUTED_VALUE"""),1.014)</f>
        <v>1.014</v>
      </c>
      <c r="E7726" s="16">
        <f>IFERROR(__xludf.DUMMYFUNCTION("""COMPUTED_VALUE"""),66.0)</f>
        <v>66</v>
      </c>
      <c r="F7726" s="19" t="str">
        <f>IFERROR(__xludf.DUMMYFUNCTION("""COMPUTED_VALUE"""),"BLACK")</f>
        <v>BLACK</v>
      </c>
      <c r="G7726" s="20" t="str">
        <f>IFERROR(__xludf.DUMMYFUNCTION("""COMPUTED_VALUE"""),"Uncle Sams Cider (04/04/2023)")</f>
        <v>Uncle Sams Cider (04/04/2023)</v>
      </c>
      <c r="H7726" s="19"/>
    </row>
    <row r="7727">
      <c r="A7727" s="9"/>
      <c r="B7727" s="15"/>
      <c r="C7727" s="9">
        <f>IFERROR(__xludf.DUMMYFUNCTION("""COMPUTED_VALUE"""),45063.1731035069)</f>
        <v>45063.1731</v>
      </c>
      <c r="D7727" s="15">
        <f>IFERROR(__xludf.DUMMYFUNCTION("""COMPUTED_VALUE"""),1.014)</f>
        <v>1.014</v>
      </c>
      <c r="E7727" s="16">
        <f>IFERROR(__xludf.DUMMYFUNCTION("""COMPUTED_VALUE"""),66.0)</f>
        <v>66</v>
      </c>
      <c r="F7727" s="19" t="str">
        <f>IFERROR(__xludf.DUMMYFUNCTION("""COMPUTED_VALUE"""),"BLACK")</f>
        <v>BLACK</v>
      </c>
      <c r="G7727" s="20" t="str">
        <f>IFERROR(__xludf.DUMMYFUNCTION("""COMPUTED_VALUE"""),"Uncle Sams Cider (04/04/2023)")</f>
        <v>Uncle Sams Cider (04/04/2023)</v>
      </c>
      <c r="H7727" s="19"/>
    </row>
    <row r="7728">
      <c r="A7728" s="9"/>
      <c r="B7728" s="15"/>
      <c r="C7728" s="9">
        <f>IFERROR(__xludf.DUMMYFUNCTION("""COMPUTED_VALUE"""),45063.1626602314)</f>
        <v>45063.16266</v>
      </c>
      <c r="D7728" s="15">
        <f>IFERROR(__xludf.DUMMYFUNCTION("""COMPUTED_VALUE"""),1.014)</f>
        <v>1.014</v>
      </c>
      <c r="E7728" s="16">
        <f>IFERROR(__xludf.DUMMYFUNCTION("""COMPUTED_VALUE"""),66.0)</f>
        <v>66</v>
      </c>
      <c r="F7728" s="19" t="str">
        <f>IFERROR(__xludf.DUMMYFUNCTION("""COMPUTED_VALUE"""),"BLACK")</f>
        <v>BLACK</v>
      </c>
      <c r="G7728" s="20" t="str">
        <f>IFERROR(__xludf.DUMMYFUNCTION("""COMPUTED_VALUE"""),"Uncle Sams Cider (04/04/2023)")</f>
        <v>Uncle Sams Cider (04/04/2023)</v>
      </c>
      <c r="H7728" s="19"/>
    </row>
    <row r="7729">
      <c r="A7729" s="9"/>
      <c r="B7729" s="15"/>
      <c r="C7729" s="9">
        <f>IFERROR(__xludf.DUMMYFUNCTION("""COMPUTED_VALUE"""),45063.1522266782)</f>
        <v>45063.15223</v>
      </c>
      <c r="D7729" s="15">
        <f>IFERROR(__xludf.DUMMYFUNCTION("""COMPUTED_VALUE"""),1.014)</f>
        <v>1.014</v>
      </c>
      <c r="E7729" s="16">
        <f>IFERROR(__xludf.DUMMYFUNCTION("""COMPUTED_VALUE"""),66.0)</f>
        <v>66</v>
      </c>
      <c r="F7729" s="19" t="str">
        <f>IFERROR(__xludf.DUMMYFUNCTION("""COMPUTED_VALUE"""),"BLACK")</f>
        <v>BLACK</v>
      </c>
      <c r="G7729" s="20" t="str">
        <f>IFERROR(__xludf.DUMMYFUNCTION("""COMPUTED_VALUE"""),"Uncle Sams Cider (04/04/2023)")</f>
        <v>Uncle Sams Cider (04/04/2023)</v>
      </c>
      <c r="H7729" s="19"/>
    </row>
    <row r="7730">
      <c r="A7730" s="9"/>
      <c r="B7730" s="15"/>
      <c r="C7730" s="9">
        <f>IFERROR(__xludf.DUMMYFUNCTION("""COMPUTED_VALUE"""),45063.1418043171)</f>
        <v>45063.1418</v>
      </c>
      <c r="D7730" s="15">
        <f>IFERROR(__xludf.DUMMYFUNCTION("""COMPUTED_VALUE"""),1.014)</f>
        <v>1.014</v>
      </c>
      <c r="E7730" s="16">
        <f>IFERROR(__xludf.DUMMYFUNCTION("""COMPUTED_VALUE"""),66.0)</f>
        <v>66</v>
      </c>
      <c r="F7730" s="19" t="str">
        <f>IFERROR(__xludf.DUMMYFUNCTION("""COMPUTED_VALUE"""),"BLACK")</f>
        <v>BLACK</v>
      </c>
      <c r="G7730" s="20" t="str">
        <f>IFERROR(__xludf.DUMMYFUNCTION("""COMPUTED_VALUE"""),"Uncle Sams Cider (04/04/2023)")</f>
        <v>Uncle Sams Cider (04/04/2023)</v>
      </c>
      <c r="H7730" s="19"/>
    </row>
    <row r="7731">
      <c r="A7731" s="9"/>
      <c r="B7731" s="15"/>
      <c r="C7731" s="9">
        <f>IFERROR(__xludf.DUMMYFUNCTION("""COMPUTED_VALUE"""),45063.1313615162)</f>
        <v>45063.13136</v>
      </c>
      <c r="D7731" s="15">
        <f>IFERROR(__xludf.DUMMYFUNCTION("""COMPUTED_VALUE"""),1.014)</f>
        <v>1.014</v>
      </c>
      <c r="E7731" s="16">
        <f>IFERROR(__xludf.DUMMYFUNCTION("""COMPUTED_VALUE"""),66.0)</f>
        <v>66</v>
      </c>
      <c r="F7731" s="19" t="str">
        <f>IFERROR(__xludf.DUMMYFUNCTION("""COMPUTED_VALUE"""),"BLACK")</f>
        <v>BLACK</v>
      </c>
      <c r="G7731" s="20" t="str">
        <f>IFERROR(__xludf.DUMMYFUNCTION("""COMPUTED_VALUE"""),"Uncle Sams Cider (04/04/2023)")</f>
        <v>Uncle Sams Cider (04/04/2023)</v>
      </c>
      <c r="H7731" s="19"/>
    </row>
    <row r="7732">
      <c r="A7732" s="9"/>
      <c r="B7732" s="15"/>
      <c r="C7732" s="9">
        <f>IFERROR(__xludf.DUMMYFUNCTION("""COMPUTED_VALUE"""),45063.1209060763)</f>
        <v>45063.12091</v>
      </c>
      <c r="D7732" s="15">
        <f>IFERROR(__xludf.DUMMYFUNCTION("""COMPUTED_VALUE"""),1.014)</f>
        <v>1.014</v>
      </c>
      <c r="E7732" s="16">
        <f>IFERROR(__xludf.DUMMYFUNCTION("""COMPUTED_VALUE"""),66.0)</f>
        <v>66</v>
      </c>
      <c r="F7732" s="19" t="str">
        <f>IFERROR(__xludf.DUMMYFUNCTION("""COMPUTED_VALUE"""),"BLACK")</f>
        <v>BLACK</v>
      </c>
      <c r="G7732" s="20" t="str">
        <f>IFERROR(__xludf.DUMMYFUNCTION("""COMPUTED_VALUE"""),"Uncle Sams Cider (04/04/2023)")</f>
        <v>Uncle Sams Cider (04/04/2023)</v>
      </c>
      <c r="H7732" s="19"/>
    </row>
    <row r="7733">
      <c r="A7733" s="9"/>
      <c r="B7733" s="15"/>
      <c r="C7733" s="9">
        <f>IFERROR(__xludf.DUMMYFUNCTION("""COMPUTED_VALUE"""),45063.1104722569)</f>
        <v>45063.11047</v>
      </c>
      <c r="D7733" s="15">
        <f>IFERROR(__xludf.DUMMYFUNCTION("""COMPUTED_VALUE"""),1.014)</f>
        <v>1.014</v>
      </c>
      <c r="E7733" s="16">
        <f>IFERROR(__xludf.DUMMYFUNCTION("""COMPUTED_VALUE"""),66.0)</f>
        <v>66</v>
      </c>
      <c r="F7733" s="19" t="str">
        <f>IFERROR(__xludf.DUMMYFUNCTION("""COMPUTED_VALUE"""),"BLACK")</f>
        <v>BLACK</v>
      </c>
      <c r="G7733" s="20" t="str">
        <f>IFERROR(__xludf.DUMMYFUNCTION("""COMPUTED_VALUE"""),"Uncle Sams Cider (04/04/2023)")</f>
        <v>Uncle Sams Cider (04/04/2023)</v>
      </c>
      <c r="H7733" s="19"/>
    </row>
    <row r="7734">
      <c r="A7734" s="9"/>
      <c r="B7734" s="15"/>
      <c r="C7734" s="9">
        <f>IFERROR(__xludf.DUMMYFUNCTION("""COMPUTED_VALUE"""),45063.1000529976)</f>
        <v>45063.10005</v>
      </c>
      <c r="D7734" s="15">
        <f>IFERROR(__xludf.DUMMYFUNCTION("""COMPUTED_VALUE"""),1.014)</f>
        <v>1.014</v>
      </c>
      <c r="E7734" s="16">
        <f>IFERROR(__xludf.DUMMYFUNCTION("""COMPUTED_VALUE"""),66.0)</f>
        <v>66</v>
      </c>
      <c r="F7734" s="19" t="str">
        <f>IFERROR(__xludf.DUMMYFUNCTION("""COMPUTED_VALUE"""),"BLACK")</f>
        <v>BLACK</v>
      </c>
      <c r="G7734" s="20" t="str">
        <f>IFERROR(__xludf.DUMMYFUNCTION("""COMPUTED_VALUE"""),"Uncle Sams Cider (04/04/2023)")</f>
        <v>Uncle Sams Cider (04/04/2023)</v>
      </c>
      <c r="H7734" s="19"/>
    </row>
    <row r="7735">
      <c r="A7735" s="9"/>
      <c r="B7735" s="15"/>
      <c r="C7735" s="9">
        <f>IFERROR(__xludf.DUMMYFUNCTION("""COMPUTED_VALUE"""),45063.0896316203)</f>
        <v>45063.08963</v>
      </c>
      <c r="D7735" s="15">
        <f>IFERROR(__xludf.DUMMYFUNCTION("""COMPUTED_VALUE"""),1.014)</f>
        <v>1.014</v>
      </c>
      <c r="E7735" s="16">
        <f>IFERROR(__xludf.DUMMYFUNCTION("""COMPUTED_VALUE"""),66.0)</f>
        <v>66</v>
      </c>
      <c r="F7735" s="19" t="str">
        <f>IFERROR(__xludf.DUMMYFUNCTION("""COMPUTED_VALUE"""),"BLACK")</f>
        <v>BLACK</v>
      </c>
      <c r="G7735" s="20" t="str">
        <f>IFERROR(__xludf.DUMMYFUNCTION("""COMPUTED_VALUE"""),"Uncle Sams Cider (04/04/2023)")</f>
        <v>Uncle Sams Cider (04/04/2023)</v>
      </c>
      <c r="H7735" s="19"/>
    </row>
    <row r="7736">
      <c r="A7736" s="9"/>
      <c r="B7736" s="15"/>
      <c r="C7736" s="9">
        <f>IFERROR(__xludf.DUMMYFUNCTION("""COMPUTED_VALUE"""),45063.079185324)</f>
        <v>45063.07919</v>
      </c>
      <c r="D7736" s="15">
        <f>IFERROR(__xludf.DUMMYFUNCTION("""COMPUTED_VALUE"""),1.014)</f>
        <v>1.014</v>
      </c>
      <c r="E7736" s="16">
        <f>IFERROR(__xludf.DUMMYFUNCTION("""COMPUTED_VALUE"""),66.0)</f>
        <v>66</v>
      </c>
      <c r="F7736" s="19" t="str">
        <f>IFERROR(__xludf.DUMMYFUNCTION("""COMPUTED_VALUE"""),"BLACK")</f>
        <v>BLACK</v>
      </c>
      <c r="G7736" s="20" t="str">
        <f>IFERROR(__xludf.DUMMYFUNCTION("""COMPUTED_VALUE"""),"Uncle Sams Cider (04/04/2023)")</f>
        <v>Uncle Sams Cider (04/04/2023)</v>
      </c>
      <c r="H7736" s="19"/>
    </row>
    <row r="7737">
      <c r="A7737" s="9"/>
      <c r="B7737" s="15"/>
      <c r="C7737" s="9">
        <f>IFERROR(__xludf.DUMMYFUNCTION("""COMPUTED_VALUE"""),45063.068764699)</f>
        <v>45063.06876</v>
      </c>
      <c r="D7737" s="15">
        <f>IFERROR(__xludf.DUMMYFUNCTION("""COMPUTED_VALUE"""),1.014)</f>
        <v>1.014</v>
      </c>
      <c r="E7737" s="16">
        <f>IFERROR(__xludf.DUMMYFUNCTION("""COMPUTED_VALUE"""),66.0)</f>
        <v>66</v>
      </c>
      <c r="F7737" s="19" t="str">
        <f>IFERROR(__xludf.DUMMYFUNCTION("""COMPUTED_VALUE"""),"BLACK")</f>
        <v>BLACK</v>
      </c>
      <c r="G7737" s="20" t="str">
        <f>IFERROR(__xludf.DUMMYFUNCTION("""COMPUTED_VALUE"""),"Uncle Sams Cider (04/04/2023)")</f>
        <v>Uncle Sams Cider (04/04/2023)</v>
      </c>
      <c r="H7737" s="19"/>
    </row>
    <row r="7738">
      <c r="A7738" s="9"/>
      <c r="B7738" s="15"/>
      <c r="C7738" s="9">
        <f>IFERROR(__xludf.DUMMYFUNCTION("""COMPUTED_VALUE"""),45063.0582740856)</f>
        <v>45063.05827</v>
      </c>
      <c r="D7738" s="15">
        <f>IFERROR(__xludf.DUMMYFUNCTION("""COMPUTED_VALUE"""),1.014)</f>
        <v>1.014</v>
      </c>
      <c r="E7738" s="16">
        <f>IFERROR(__xludf.DUMMYFUNCTION("""COMPUTED_VALUE"""),66.0)</f>
        <v>66</v>
      </c>
      <c r="F7738" s="19" t="str">
        <f>IFERROR(__xludf.DUMMYFUNCTION("""COMPUTED_VALUE"""),"BLACK")</f>
        <v>BLACK</v>
      </c>
      <c r="G7738" s="20" t="str">
        <f>IFERROR(__xludf.DUMMYFUNCTION("""COMPUTED_VALUE"""),"Uncle Sams Cider (04/04/2023)")</f>
        <v>Uncle Sams Cider (04/04/2023)</v>
      </c>
      <c r="H7738" s="19"/>
    </row>
    <row r="7739">
      <c r="A7739" s="9"/>
      <c r="B7739" s="15"/>
      <c r="C7739" s="9">
        <f>IFERROR(__xludf.DUMMYFUNCTION("""COMPUTED_VALUE"""),45063.0477954398)</f>
        <v>45063.0478</v>
      </c>
      <c r="D7739" s="15">
        <f>IFERROR(__xludf.DUMMYFUNCTION("""COMPUTED_VALUE"""),1.014)</f>
        <v>1.014</v>
      </c>
      <c r="E7739" s="16">
        <f>IFERROR(__xludf.DUMMYFUNCTION("""COMPUTED_VALUE"""),66.0)</f>
        <v>66</v>
      </c>
      <c r="F7739" s="19" t="str">
        <f>IFERROR(__xludf.DUMMYFUNCTION("""COMPUTED_VALUE"""),"BLACK")</f>
        <v>BLACK</v>
      </c>
      <c r="G7739" s="20" t="str">
        <f>IFERROR(__xludf.DUMMYFUNCTION("""COMPUTED_VALUE"""),"Uncle Sams Cider (04/04/2023)")</f>
        <v>Uncle Sams Cider (04/04/2023)</v>
      </c>
      <c r="H7739" s="19"/>
    </row>
    <row r="7740">
      <c r="A7740" s="9"/>
      <c r="B7740" s="15"/>
      <c r="C7740" s="9">
        <f>IFERROR(__xludf.DUMMYFUNCTION("""COMPUTED_VALUE"""),45063.0373754745)</f>
        <v>45063.03738</v>
      </c>
      <c r="D7740" s="15">
        <f>IFERROR(__xludf.DUMMYFUNCTION("""COMPUTED_VALUE"""),1.014)</f>
        <v>1.014</v>
      </c>
      <c r="E7740" s="16">
        <f>IFERROR(__xludf.DUMMYFUNCTION("""COMPUTED_VALUE"""),66.0)</f>
        <v>66</v>
      </c>
      <c r="F7740" s="19" t="str">
        <f>IFERROR(__xludf.DUMMYFUNCTION("""COMPUTED_VALUE"""),"BLACK")</f>
        <v>BLACK</v>
      </c>
      <c r="G7740" s="20" t="str">
        <f>IFERROR(__xludf.DUMMYFUNCTION("""COMPUTED_VALUE"""),"Uncle Sams Cider (04/04/2023)")</f>
        <v>Uncle Sams Cider (04/04/2023)</v>
      </c>
      <c r="H7740" s="19"/>
    </row>
    <row r="7741">
      <c r="A7741" s="9"/>
      <c r="B7741" s="15"/>
      <c r="C7741" s="9">
        <f>IFERROR(__xludf.DUMMYFUNCTION("""COMPUTED_VALUE"""),45063.0269551041)</f>
        <v>45063.02696</v>
      </c>
      <c r="D7741" s="15">
        <f>IFERROR(__xludf.DUMMYFUNCTION("""COMPUTED_VALUE"""),1.014)</f>
        <v>1.014</v>
      </c>
      <c r="E7741" s="16">
        <f>IFERROR(__xludf.DUMMYFUNCTION("""COMPUTED_VALUE"""),66.0)</f>
        <v>66</v>
      </c>
      <c r="F7741" s="19" t="str">
        <f>IFERROR(__xludf.DUMMYFUNCTION("""COMPUTED_VALUE"""),"BLACK")</f>
        <v>BLACK</v>
      </c>
      <c r="G7741" s="20" t="str">
        <f>IFERROR(__xludf.DUMMYFUNCTION("""COMPUTED_VALUE"""),"Uncle Sams Cider (04/04/2023)")</f>
        <v>Uncle Sams Cider (04/04/2023)</v>
      </c>
      <c r="H7741" s="19"/>
    </row>
    <row r="7742">
      <c r="A7742" s="9"/>
      <c r="B7742" s="15"/>
      <c r="C7742" s="9">
        <f>IFERROR(__xludf.DUMMYFUNCTION("""COMPUTED_VALUE"""),45063.0165230208)</f>
        <v>45063.01652</v>
      </c>
      <c r="D7742" s="15">
        <f>IFERROR(__xludf.DUMMYFUNCTION("""COMPUTED_VALUE"""),1.014)</f>
        <v>1.014</v>
      </c>
      <c r="E7742" s="16">
        <f>IFERROR(__xludf.DUMMYFUNCTION("""COMPUTED_VALUE"""),66.0)</f>
        <v>66</v>
      </c>
      <c r="F7742" s="19" t="str">
        <f>IFERROR(__xludf.DUMMYFUNCTION("""COMPUTED_VALUE"""),"BLACK")</f>
        <v>BLACK</v>
      </c>
      <c r="G7742" s="20" t="str">
        <f>IFERROR(__xludf.DUMMYFUNCTION("""COMPUTED_VALUE"""),"Uncle Sams Cider (04/04/2023)")</f>
        <v>Uncle Sams Cider (04/04/2023)</v>
      </c>
      <c r="H7742" s="19"/>
    </row>
    <row r="7743">
      <c r="A7743" s="9"/>
      <c r="B7743" s="15"/>
      <c r="C7743" s="9">
        <f>IFERROR(__xludf.DUMMYFUNCTION("""COMPUTED_VALUE"""),45063.0060675462)</f>
        <v>45063.00607</v>
      </c>
      <c r="D7743" s="15">
        <f>IFERROR(__xludf.DUMMYFUNCTION("""COMPUTED_VALUE"""),1.014)</f>
        <v>1.014</v>
      </c>
      <c r="E7743" s="16">
        <f>IFERROR(__xludf.DUMMYFUNCTION("""COMPUTED_VALUE"""),66.0)</f>
        <v>66</v>
      </c>
      <c r="F7743" s="19" t="str">
        <f>IFERROR(__xludf.DUMMYFUNCTION("""COMPUTED_VALUE"""),"BLACK")</f>
        <v>BLACK</v>
      </c>
      <c r="G7743" s="20" t="str">
        <f>IFERROR(__xludf.DUMMYFUNCTION("""COMPUTED_VALUE"""),"Uncle Sams Cider (04/04/2023)")</f>
        <v>Uncle Sams Cider (04/04/2023)</v>
      </c>
      <c r="H7743" s="19"/>
    </row>
    <row r="7744">
      <c r="A7744" s="9"/>
      <c r="B7744" s="15"/>
      <c r="C7744" s="9">
        <f>IFERROR(__xludf.DUMMYFUNCTION("""COMPUTED_VALUE"""),45062.995622581)</f>
        <v>45062.99562</v>
      </c>
      <c r="D7744" s="15">
        <f>IFERROR(__xludf.DUMMYFUNCTION("""COMPUTED_VALUE"""),1.014)</f>
        <v>1.014</v>
      </c>
      <c r="E7744" s="16">
        <f>IFERROR(__xludf.DUMMYFUNCTION("""COMPUTED_VALUE"""),66.0)</f>
        <v>66</v>
      </c>
      <c r="F7744" s="19" t="str">
        <f>IFERROR(__xludf.DUMMYFUNCTION("""COMPUTED_VALUE"""),"BLACK")</f>
        <v>BLACK</v>
      </c>
      <c r="G7744" s="20" t="str">
        <f>IFERROR(__xludf.DUMMYFUNCTION("""COMPUTED_VALUE"""),"Uncle Sams Cider (04/04/2023)")</f>
        <v>Uncle Sams Cider (04/04/2023)</v>
      </c>
      <c r="H7744" s="19"/>
    </row>
    <row r="7745">
      <c r="A7745" s="9"/>
      <c r="B7745" s="15"/>
      <c r="C7745" s="9">
        <f>IFERROR(__xludf.DUMMYFUNCTION("""COMPUTED_VALUE"""),45062.9851764351)</f>
        <v>45062.98518</v>
      </c>
      <c r="D7745" s="15">
        <f>IFERROR(__xludf.DUMMYFUNCTION("""COMPUTED_VALUE"""),1.014)</f>
        <v>1.014</v>
      </c>
      <c r="E7745" s="16">
        <f>IFERROR(__xludf.DUMMYFUNCTION("""COMPUTED_VALUE"""),66.0)</f>
        <v>66</v>
      </c>
      <c r="F7745" s="19" t="str">
        <f>IFERROR(__xludf.DUMMYFUNCTION("""COMPUTED_VALUE"""),"BLACK")</f>
        <v>BLACK</v>
      </c>
      <c r="G7745" s="20" t="str">
        <f>IFERROR(__xludf.DUMMYFUNCTION("""COMPUTED_VALUE"""),"Uncle Sams Cider (04/04/2023)")</f>
        <v>Uncle Sams Cider (04/04/2023)</v>
      </c>
      <c r="H7745" s="19"/>
    </row>
    <row r="7746">
      <c r="A7746" s="9"/>
      <c r="B7746" s="15"/>
      <c r="C7746" s="9">
        <f>IFERROR(__xludf.DUMMYFUNCTION("""COMPUTED_VALUE"""),45062.9747441319)</f>
        <v>45062.97474</v>
      </c>
      <c r="D7746" s="15">
        <f>IFERROR(__xludf.DUMMYFUNCTION("""COMPUTED_VALUE"""),1.014)</f>
        <v>1.014</v>
      </c>
      <c r="E7746" s="16">
        <f>IFERROR(__xludf.DUMMYFUNCTION("""COMPUTED_VALUE"""),66.0)</f>
        <v>66</v>
      </c>
      <c r="F7746" s="19" t="str">
        <f>IFERROR(__xludf.DUMMYFUNCTION("""COMPUTED_VALUE"""),"BLACK")</f>
        <v>BLACK</v>
      </c>
      <c r="G7746" s="20" t="str">
        <f>IFERROR(__xludf.DUMMYFUNCTION("""COMPUTED_VALUE"""),"Uncle Sams Cider (04/04/2023)")</f>
        <v>Uncle Sams Cider (04/04/2023)</v>
      </c>
      <c r="H7746" s="19"/>
    </row>
    <row r="7747">
      <c r="A7747" s="9"/>
      <c r="B7747" s="15"/>
      <c r="C7747" s="9">
        <f>IFERROR(__xludf.DUMMYFUNCTION("""COMPUTED_VALUE"""),45062.9643248263)</f>
        <v>45062.96432</v>
      </c>
      <c r="D7747" s="15">
        <f>IFERROR(__xludf.DUMMYFUNCTION("""COMPUTED_VALUE"""),1.014)</f>
        <v>1.014</v>
      </c>
      <c r="E7747" s="16">
        <f>IFERROR(__xludf.DUMMYFUNCTION("""COMPUTED_VALUE"""),66.0)</f>
        <v>66</v>
      </c>
      <c r="F7747" s="19" t="str">
        <f>IFERROR(__xludf.DUMMYFUNCTION("""COMPUTED_VALUE"""),"BLACK")</f>
        <v>BLACK</v>
      </c>
      <c r="G7747" s="20" t="str">
        <f>IFERROR(__xludf.DUMMYFUNCTION("""COMPUTED_VALUE"""),"Uncle Sams Cider (04/04/2023)")</f>
        <v>Uncle Sams Cider (04/04/2023)</v>
      </c>
      <c r="H7747" s="19"/>
    </row>
    <row r="7748">
      <c r="A7748" s="9"/>
      <c r="B7748" s="15"/>
      <c r="C7748" s="9">
        <f>IFERROR(__xludf.DUMMYFUNCTION("""COMPUTED_VALUE"""),45062.9538917824)</f>
        <v>45062.95389</v>
      </c>
      <c r="D7748" s="15">
        <f>IFERROR(__xludf.DUMMYFUNCTION("""COMPUTED_VALUE"""),1.014)</f>
        <v>1.014</v>
      </c>
      <c r="E7748" s="16">
        <f>IFERROR(__xludf.DUMMYFUNCTION("""COMPUTED_VALUE"""),66.0)</f>
        <v>66</v>
      </c>
      <c r="F7748" s="19" t="str">
        <f>IFERROR(__xludf.DUMMYFUNCTION("""COMPUTED_VALUE"""),"BLACK")</f>
        <v>BLACK</v>
      </c>
      <c r="G7748" s="20" t="str">
        <f>IFERROR(__xludf.DUMMYFUNCTION("""COMPUTED_VALUE"""),"Uncle Sams Cider (04/04/2023)")</f>
        <v>Uncle Sams Cider (04/04/2023)</v>
      </c>
      <c r="H7748" s="19"/>
    </row>
    <row r="7749">
      <c r="A7749" s="9"/>
      <c r="B7749" s="15"/>
      <c r="C7749" s="9">
        <f>IFERROR(__xludf.DUMMYFUNCTION("""COMPUTED_VALUE"""),45062.9434710069)</f>
        <v>45062.94347</v>
      </c>
      <c r="D7749" s="15">
        <f>IFERROR(__xludf.DUMMYFUNCTION("""COMPUTED_VALUE"""),1.014)</f>
        <v>1.014</v>
      </c>
      <c r="E7749" s="16">
        <f>IFERROR(__xludf.DUMMYFUNCTION("""COMPUTED_VALUE"""),66.0)</f>
        <v>66</v>
      </c>
      <c r="F7749" s="19" t="str">
        <f>IFERROR(__xludf.DUMMYFUNCTION("""COMPUTED_VALUE"""),"BLACK")</f>
        <v>BLACK</v>
      </c>
      <c r="G7749" s="20" t="str">
        <f>IFERROR(__xludf.DUMMYFUNCTION("""COMPUTED_VALUE"""),"Uncle Sams Cider (04/04/2023)")</f>
        <v>Uncle Sams Cider (04/04/2023)</v>
      </c>
      <c r="H7749" s="19"/>
    </row>
    <row r="7750">
      <c r="A7750" s="9"/>
      <c r="B7750" s="15"/>
      <c r="C7750" s="9">
        <f>IFERROR(__xludf.DUMMYFUNCTION("""COMPUTED_VALUE"""),45062.9330501967)</f>
        <v>45062.93305</v>
      </c>
      <c r="D7750" s="15">
        <f>IFERROR(__xludf.DUMMYFUNCTION("""COMPUTED_VALUE"""),1.014)</f>
        <v>1.014</v>
      </c>
      <c r="E7750" s="16">
        <f>IFERROR(__xludf.DUMMYFUNCTION("""COMPUTED_VALUE"""),66.0)</f>
        <v>66</v>
      </c>
      <c r="F7750" s="19" t="str">
        <f>IFERROR(__xludf.DUMMYFUNCTION("""COMPUTED_VALUE"""),"BLACK")</f>
        <v>BLACK</v>
      </c>
      <c r="G7750" s="20" t="str">
        <f>IFERROR(__xludf.DUMMYFUNCTION("""COMPUTED_VALUE"""),"Uncle Sams Cider (04/04/2023)")</f>
        <v>Uncle Sams Cider (04/04/2023)</v>
      </c>
      <c r="H7750" s="19"/>
    </row>
    <row r="7751">
      <c r="A7751" s="9"/>
      <c r="B7751" s="15"/>
      <c r="C7751" s="9">
        <f>IFERROR(__xludf.DUMMYFUNCTION("""COMPUTED_VALUE"""),45062.9226048726)</f>
        <v>45062.9226</v>
      </c>
      <c r="D7751" s="15">
        <f>IFERROR(__xludf.DUMMYFUNCTION("""COMPUTED_VALUE"""),1.014)</f>
        <v>1.014</v>
      </c>
      <c r="E7751" s="16">
        <f>IFERROR(__xludf.DUMMYFUNCTION("""COMPUTED_VALUE"""),66.0)</f>
        <v>66</v>
      </c>
      <c r="F7751" s="19" t="str">
        <f>IFERROR(__xludf.DUMMYFUNCTION("""COMPUTED_VALUE"""),"BLACK")</f>
        <v>BLACK</v>
      </c>
      <c r="G7751" s="20" t="str">
        <f>IFERROR(__xludf.DUMMYFUNCTION("""COMPUTED_VALUE"""),"Uncle Sams Cider (04/04/2023)")</f>
        <v>Uncle Sams Cider (04/04/2023)</v>
      </c>
      <c r="H7751" s="19"/>
    </row>
    <row r="7752">
      <c r="A7752" s="9"/>
      <c r="B7752" s="15"/>
      <c r="C7752" s="9">
        <f>IFERROR(__xludf.DUMMYFUNCTION("""COMPUTED_VALUE"""),45062.9121722569)</f>
        <v>45062.91217</v>
      </c>
      <c r="D7752" s="15">
        <f>IFERROR(__xludf.DUMMYFUNCTION("""COMPUTED_VALUE"""),1.014)</f>
        <v>1.014</v>
      </c>
      <c r="E7752" s="16">
        <f>IFERROR(__xludf.DUMMYFUNCTION("""COMPUTED_VALUE"""),66.0)</f>
        <v>66</v>
      </c>
      <c r="F7752" s="19" t="str">
        <f>IFERROR(__xludf.DUMMYFUNCTION("""COMPUTED_VALUE"""),"BLACK")</f>
        <v>BLACK</v>
      </c>
      <c r="G7752" s="20" t="str">
        <f>IFERROR(__xludf.DUMMYFUNCTION("""COMPUTED_VALUE"""),"Uncle Sams Cider (04/04/2023)")</f>
        <v>Uncle Sams Cider (04/04/2023)</v>
      </c>
      <c r="H7752" s="19"/>
    </row>
    <row r="7753">
      <c r="A7753" s="9"/>
      <c r="B7753" s="15"/>
      <c r="C7753" s="9">
        <f>IFERROR(__xludf.DUMMYFUNCTION("""COMPUTED_VALUE"""),45062.9017515856)</f>
        <v>45062.90175</v>
      </c>
      <c r="D7753" s="15">
        <f>IFERROR(__xludf.DUMMYFUNCTION("""COMPUTED_VALUE"""),1.014)</f>
        <v>1.014</v>
      </c>
      <c r="E7753" s="16">
        <f>IFERROR(__xludf.DUMMYFUNCTION("""COMPUTED_VALUE"""),66.0)</f>
        <v>66</v>
      </c>
      <c r="F7753" s="19" t="str">
        <f>IFERROR(__xludf.DUMMYFUNCTION("""COMPUTED_VALUE"""),"BLACK")</f>
        <v>BLACK</v>
      </c>
      <c r="G7753" s="20" t="str">
        <f>IFERROR(__xludf.DUMMYFUNCTION("""COMPUTED_VALUE"""),"Uncle Sams Cider (04/04/2023)")</f>
        <v>Uncle Sams Cider (04/04/2023)</v>
      </c>
      <c r="H7753" s="19"/>
    </row>
    <row r="7754">
      <c r="A7754" s="9"/>
      <c r="B7754" s="15"/>
      <c r="C7754" s="9">
        <f>IFERROR(__xludf.DUMMYFUNCTION("""COMPUTED_VALUE"""),45062.8913297685)</f>
        <v>45062.89133</v>
      </c>
      <c r="D7754" s="15">
        <f>IFERROR(__xludf.DUMMYFUNCTION("""COMPUTED_VALUE"""),1.014)</f>
        <v>1.014</v>
      </c>
      <c r="E7754" s="16">
        <f>IFERROR(__xludf.DUMMYFUNCTION("""COMPUTED_VALUE"""),66.0)</f>
        <v>66</v>
      </c>
      <c r="F7754" s="19" t="str">
        <f>IFERROR(__xludf.DUMMYFUNCTION("""COMPUTED_VALUE"""),"BLACK")</f>
        <v>BLACK</v>
      </c>
      <c r="G7754" s="20" t="str">
        <f>IFERROR(__xludf.DUMMYFUNCTION("""COMPUTED_VALUE"""),"Uncle Sams Cider (04/04/2023)")</f>
        <v>Uncle Sams Cider (04/04/2023)</v>
      </c>
      <c r="H7754" s="19"/>
    </row>
    <row r="7755">
      <c r="A7755" s="9"/>
      <c r="B7755" s="15"/>
      <c r="C7755" s="9">
        <f>IFERROR(__xludf.DUMMYFUNCTION("""COMPUTED_VALUE"""),45062.8809093981)</f>
        <v>45062.88091</v>
      </c>
      <c r="D7755" s="15">
        <f>IFERROR(__xludf.DUMMYFUNCTION("""COMPUTED_VALUE"""),1.015)</f>
        <v>1.015</v>
      </c>
      <c r="E7755" s="16">
        <f>IFERROR(__xludf.DUMMYFUNCTION("""COMPUTED_VALUE"""),66.0)</f>
        <v>66</v>
      </c>
      <c r="F7755" s="19" t="str">
        <f>IFERROR(__xludf.DUMMYFUNCTION("""COMPUTED_VALUE"""),"BLACK")</f>
        <v>BLACK</v>
      </c>
      <c r="G7755" s="20" t="str">
        <f>IFERROR(__xludf.DUMMYFUNCTION("""COMPUTED_VALUE"""),"Uncle Sams Cider (04/04/2023)")</f>
        <v>Uncle Sams Cider (04/04/2023)</v>
      </c>
      <c r="H7755" s="19"/>
    </row>
    <row r="7756">
      <c r="A7756" s="9"/>
      <c r="B7756" s="15"/>
      <c r="C7756" s="9">
        <f>IFERROR(__xludf.DUMMYFUNCTION("""COMPUTED_VALUE"""),45062.8704754861)</f>
        <v>45062.87048</v>
      </c>
      <c r="D7756" s="15">
        <f>IFERROR(__xludf.DUMMYFUNCTION("""COMPUTED_VALUE"""),1.014)</f>
        <v>1.014</v>
      </c>
      <c r="E7756" s="16">
        <f>IFERROR(__xludf.DUMMYFUNCTION("""COMPUTED_VALUE"""),66.0)</f>
        <v>66</v>
      </c>
      <c r="F7756" s="19" t="str">
        <f>IFERROR(__xludf.DUMMYFUNCTION("""COMPUTED_VALUE"""),"BLACK")</f>
        <v>BLACK</v>
      </c>
      <c r="G7756" s="20" t="str">
        <f>IFERROR(__xludf.DUMMYFUNCTION("""COMPUTED_VALUE"""),"Uncle Sams Cider (04/04/2023)")</f>
        <v>Uncle Sams Cider (04/04/2023)</v>
      </c>
      <c r="H7756" s="19"/>
    </row>
    <row r="7757">
      <c r="A7757" s="9"/>
      <c r="B7757" s="15"/>
      <c r="C7757" s="9">
        <f>IFERROR(__xludf.DUMMYFUNCTION("""COMPUTED_VALUE"""),45062.8600191435)</f>
        <v>45062.86002</v>
      </c>
      <c r="D7757" s="15">
        <f>IFERROR(__xludf.DUMMYFUNCTION("""COMPUTED_VALUE"""),1.014)</f>
        <v>1.014</v>
      </c>
      <c r="E7757" s="16">
        <f>IFERROR(__xludf.DUMMYFUNCTION("""COMPUTED_VALUE"""),66.0)</f>
        <v>66</v>
      </c>
      <c r="F7757" s="19" t="str">
        <f>IFERROR(__xludf.DUMMYFUNCTION("""COMPUTED_VALUE"""),"BLACK")</f>
        <v>BLACK</v>
      </c>
      <c r="G7757" s="20" t="str">
        <f>IFERROR(__xludf.DUMMYFUNCTION("""COMPUTED_VALUE"""),"Uncle Sams Cider (04/04/2023)")</f>
        <v>Uncle Sams Cider (04/04/2023)</v>
      </c>
      <c r="H7757" s="19"/>
    </row>
    <row r="7758">
      <c r="A7758" s="9"/>
      <c r="B7758" s="15"/>
      <c r="C7758" s="9">
        <f>IFERROR(__xludf.DUMMYFUNCTION("""COMPUTED_VALUE"""),45062.8495970601)</f>
        <v>45062.8496</v>
      </c>
      <c r="D7758" s="15">
        <f>IFERROR(__xludf.DUMMYFUNCTION("""COMPUTED_VALUE"""),1.014)</f>
        <v>1.014</v>
      </c>
      <c r="E7758" s="16">
        <f>IFERROR(__xludf.DUMMYFUNCTION("""COMPUTED_VALUE"""),66.0)</f>
        <v>66</v>
      </c>
      <c r="F7758" s="19" t="str">
        <f>IFERROR(__xludf.DUMMYFUNCTION("""COMPUTED_VALUE"""),"BLACK")</f>
        <v>BLACK</v>
      </c>
      <c r="G7758" s="20" t="str">
        <f>IFERROR(__xludf.DUMMYFUNCTION("""COMPUTED_VALUE"""),"Uncle Sams Cider (04/04/2023)")</f>
        <v>Uncle Sams Cider (04/04/2023)</v>
      </c>
      <c r="H7758" s="19"/>
    </row>
    <row r="7759">
      <c r="A7759" s="9"/>
      <c r="B7759" s="15"/>
      <c r="C7759" s="9">
        <f>IFERROR(__xludf.DUMMYFUNCTION("""COMPUTED_VALUE"""),45062.8391636226)</f>
        <v>45062.83916</v>
      </c>
      <c r="D7759" s="15">
        <f>IFERROR(__xludf.DUMMYFUNCTION("""COMPUTED_VALUE"""),1.014)</f>
        <v>1.014</v>
      </c>
      <c r="E7759" s="16">
        <f>IFERROR(__xludf.DUMMYFUNCTION("""COMPUTED_VALUE"""),66.0)</f>
        <v>66</v>
      </c>
      <c r="F7759" s="19" t="str">
        <f>IFERROR(__xludf.DUMMYFUNCTION("""COMPUTED_VALUE"""),"BLACK")</f>
        <v>BLACK</v>
      </c>
      <c r="G7759" s="20" t="str">
        <f>IFERROR(__xludf.DUMMYFUNCTION("""COMPUTED_VALUE"""),"Uncle Sams Cider (04/04/2023)")</f>
        <v>Uncle Sams Cider (04/04/2023)</v>
      </c>
      <c r="H7759" s="19"/>
    </row>
    <row r="7760">
      <c r="A7760" s="9"/>
      <c r="B7760" s="15"/>
      <c r="C7760" s="9">
        <f>IFERROR(__xludf.DUMMYFUNCTION("""COMPUTED_VALUE"""),45062.8287290162)</f>
        <v>45062.82873</v>
      </c>
      <c r="D7760" s="15">
        <f>IFERROR(__xludf.DUMMYFUNCTION("""COMPUTED_VALUE"""),1.014)</f>
        <v>1.014</v>
      </c>
      <c r="E7760" s="16">
        <f>IFERROR(__xludf.DUMMYFUNCTION("""COMPUTED_VALUE"""),66.0)</f>
        <v>66</v>
      </c>
      <c r="F7760" s="19" t="str">
        <f>IFERROR(__xludf.DUMMYFUNCTION("""COMPUTED_VALUE"""),"BLACK")</f>
        <v>BLACK</v>
      </c>
      <c r="G7760" s="20" t="str">
        <f>IFERROR(__xludf.DUMMYFUNCTION("""COMPUTED_VALUE"""),"Uncle Sams Cider (04/04/2023)")</f>
        <v>Uncle Sams Cider (04/04/2023)</v>
      </c>
      <c r="H7760" s="19"/>
    </row>
    <row r="7761">
      <c r="A7761" s="9"/>
      <c r="B7761" s="15"/>
      <c r="C7761" s="9">
        <f>IFERROR(__xludf.DUMMYFUNCTION("""COMPUTED_VALUE"""),45062.8183091435)</f>
        <v>45062.81831</v>
      </c>
      <c r="D7761" s="15">
        <f>IFERROR(__xludf.DUMMYFUNCTION("""COMPUTED_VALUE"""),1.014)</f>
        <v>1.014</v>
      </c>
      <c r="E7761" s="16">
        <f>IFERROR(__xludf.DUMMYFUNCTION("""COMPUTED_VALUE"""),66.0)</f>
        <v>66</v>
      </c>
      <c r="F7761" s="19" t="str">
        <f>IFERROR(__xludf.DUMMYFUNCTION("""COMPUTED_VALUE"""),"BLACK")</f>
        <v>BLACK</v>
      </c>
      <c r="G7761" s="20" t="str">
        <f>IFERROR(__xludf.DUMMYFUNCTION("""COMPUTED_VALUE"""),"Uncle Sams Cider (04/04/2023)")</f>
        <v>Uncle Sams Cider (04/04/2023)</v>
      </c>
      <c r="H7761" s="19"/>
    </row>
    <row r="7762">
      <c r="A7762" s="9"/>
      <c r="B7762" s="15"/>
      <c r="C7762" s="9">
        <f>IFERROR(__xludf.DUMMYFUNCTION("""COMPUTED_VALUE"""),45062.8078811689)</f>
        <v>45062.80788</v>
      </c>
      <c r="D7762" s="15">
        <f>IFERROR(__xludf.DUMMYFUNCTION("""COMPUTED_VALUE"""),1.014)</f>
        <v>1.014</v>
      </c>
      <c r="E7762" s="16">
        <f>IFERROR(__xludf.DUMMYFUNCTION("""COMPUTED_VALUE"""),66.0)</f>
        <v>66</v>
      </c>
      <c r="F7762" s="19" t="str">
        <f>IFERROR(__xludf.DUMMYFUNCTION("""COMPUTED_VALUE"""),"BLACK")</f>
        <v>BLACK</v>
      </c>
      <c r="G7762" s="20" t="str">
        <f>IFERROR(__xludf.DUMMYFUNCTION("""COMPUTED_VALUE"""),"Uncle Sams Cider (04/04/2023)")</f>
        <v>Uncle Sams Cider (04/04/2023)</v>
      </c>
      <c r="H7762" s="19"/>
    </row>
    <row r="7763">
      <c r="A7763" s="9"/>
      <c r="B7763" s="15"/>
      <c r="C7763" s="9">
        <f>IFERROR(__xludf.DUMMYFUNCTION("""COMPUTED_VALUE"""),45062.7974603703)</f>
        <v>45062.79746</v>
      </c>
      <c r="D7763" s="15">
        <f>IFERROR(__xludf.DUMMYFUNCTION("""COMPUTED_VALUE"""),1.014)</f>
        <v>1.014</v>
      </c>
      <c r="E7763" s="16">
        <f>IFERROR(__xludf.DUMMYFUNCTION("""COMPUTED_VALUE"""),66.0)</f>
        <v>66</v>
      </c>
      <c r="F7763" s="19" t="str">
        <f>IFERROR(__xludf.DUMMYFUNCTION("""COMPUTED_VALUE"""),"BLACK")</f>
        <v>BLACK</v>
      </c>
      <c r="G7763" s="20" t="str">
        <f>IFERROR(__xludf.DUMMYFUNCTION("""COMPUTED_VALUE"""),"Uncle Sams Cider (04/04/2023)")</f>
        <v>Uncle Sams Cider (04/04/2023)</v>
      </c>
      <c r="H7763" s="19"/>
    </row>
    <row r="7764">
      <c r="A7764" s="9"/>
      <c r="B7764" s="15"/>
      <c r="C7764" s="9">
        <f>IFERROR(__xludf.DUMMYFUNCTION("""COMPUTED_VALUE"""),45062.7870385995)</f>
        <v>45062.78704</v>
      </c>
      <c r="D7764" s="15">
        <f>IFERROR(__xludf.DUMMYFUNCTION("""COMPUTED_VALUE"""),1.015)</f>
        <v>1.015</v>
      </c>
      <c r="E7764" s="16">
        <f>IFERROR(__xludf.DUMMYFUNCTION("""COMPUTED_VALUE"""),66.0)</f>
        <v>66</v>
      </c>
      <c r="F7764" s="19" t="str">
        <f>IFERROR(__xludf.DUMMYFUNCTION("""COMPUTED_VALUE"""),"BLACK")</f>
        <v>BLACK</v>
      </c>
      <c r="G7764" s="20" t="str">
        <f>IFERROR(__xludf.DUMMYFUNCTION("""COMPUTED_VALUE"""),"Uncle Sams Cider (04/04/2023)")</f>
        <v>Uncle Sams Cider (04/04/2023)</v>
      </c>
      <c r="H7764" s="19"/>
    </row>
    <row r="7765">
      <c r="A7765" s="9"/>
      <c r="B7765" s="15"/>
      <c r="C7765" s="9">
        <f>IFERROR(__xludf.DUMMYFUNCTION("""COMPUTED_VALUE"""),45062.7766176736)</f>
        <v>45062.77662</v>
      </c>
      <c r="D7765" s="15">
        <f>IFERROR(__xludf.DUMMYFUNCTION("""COMPUTED_VALUE"""),1.014)</f>
        <v>1.014</v>
      </c>
      <c r="E7765" s="16">
        <f>IFERROR(__xludf.DUMMYFUNCTION("""COMPUTED_VALUE"""),66.0)</f>
        <v>66</v>
      </c>
      <c r="F7765" s="19" t="str">
        <f>IFERROR(__xludf.DUMMYFUNCTION("""COMPUTED_VALUE"""),"BLACK")</f>
        <v>BLACK</v>
      </c>
      <c r="G7765" s="20" t="str">
        <f>IFERROR(__xludf.DUMMYFUNCTION("""COMPUTED_VALUE"""),"Uncle Sams Cider (04/04/2023)")</f>
        <v>Uncle Sams Cider (04/04/2023)</v>
      </c>
      <c r="H7765" s="19"/>
    </row>
    <row r="7766">
      <c r="A7766" s="9"/>
      <c r="B7766" s="15"/>
      <c r="C7766" s="9">
        <f>IFERROR(__xludf.DUMMYFUNCTION("""COMPUTED_VALUE"""),45062.7661959837)</f>
        <v>45062.7662</v>
      </c>
      <c r="D7766" s="15">
        <f>IFERROR(__xludf.DUMMYFUNCTION("""COMPUTED_VALUE"""),1.014)</f>
        <v>1.014</v>
      </c>
      <c r="E7766" s="16">
        <f>IFERROR(__xludf.DUMMYFUNCTION("""COMPUTED_VALUE"""),66.0)</f>
        <v>66</v>
      </c>
      <c r="F7766" s="19" t="str">
        <f>IFERROR(__xludf.DUMMYFUNCTION("""COMPUTED_VALUE"""),"BLACK")</f>
        <v>BLACK</v>
      </c>
      <c r="G7766" s="20" t="str">
        <f>IFERROR(__xludf.DUMMYFUNCTION("""COMPUTED_VALUE"""),"Uncle Sams Cider (04/04/2023)")</f>
        <v>Uncle Sams Cider (04/04/2023)</v>
      </c>
      <c r="H7766" s="19"/>
    </row>
    <row r="7767">
      <c r="A7767" s="9"/>
      <c r="B7767" s="15"/>
      <c r="C7767" s="9">
        <f>IFERROR(__xludf.DUMMYFUNCTION("""COMPUTED_VALUE"""),45062.7557752893)</f>
        <v>45062.75578</v>
      </c>
      <c r="D7767" s="15">
        <f>IFERROR(__xludf.DUMMYFUNCTION("""COMPUTED_VALUE"""),1.014)</f>
        <v>1.014</v>
      </c>
      <c r="E7767" s="16">
        <f>IFERROR(__xludf.DUMMYFUNCTION("""COMPUTED_VALUE"""),66.0)</f>
        <v>66</v>
      </c>
      <c r="F7767" s="19" t="str">
        <f>IFERROR(__xludf.DUMMYFUNCTION("""COMPUTED_VALUE"""),"BLACK")</f>
        <v>BLACK</v>
      </c>
      <c r="G7767" s="20" t="str">
        <f>IFERROR(__xludf.DUMMYFUNCTION("""COMPUTED_VALUE"""),"Uncle Sams Cider (04/04/2023)")</f>
        <v>Uncle Sams Cider (04/04/2023)</v>
      </c>
      <c r="H7767" s="19"/>
    </row>
    <row r="7768">
      <c r="A7768" s="9"/>
      <c r="B7768" s="15"/>
      <c r="C7768" s="9">
        <f>IFERROR(__xludf.DUMMYFUNCTION("""COMPUTED_VALUE"""),45062.7453424074)</f>
        <v>45062.74534</v>
      </c>
      <c r="D7768" s="15">
        <f>IFERROR(__xludf.DUMMYFUNCTION("""COMPUTED_VALUE"""),1.014)</f>
        <v>1.014</v>
      </c>
      <c r="E7768" s="16">
        <f>IFERROR(__xludf.DUMMYFUNCTION("""COMPUTED_VALUE"""),66.0)</f>
        <v>66</v>
      </c>
      <c r="F7768" s="19" t="str">
        <f>IFERROR(__xludf.DUMMYFUNCTION("""COMPUTED_VALUE"""),"BLACK")</f>
        <v>BLACK</v>
      </c>
      <c r="G7768" s="20" t="str">
        <f>IFERROR(__xludf.DUMMYFUNCTION("""COMPUTED_VALUE"""),"Uncle Sams Cider (04/04/2023)")</f>
        <v>Uncle Sams Cider (04/04/2023)</v>
      </c>
      <c r="H7768" s="19"/>
    </row>
    <row r="7769">
      <c r="A7769" s="9"/>
      <c r="B7769" s="15"/>
      <c r="C7769" s="9">
        <f>IFERROR(__xludf.DUMMYFUNCTION("""COMPUTED_VALUE"""),45062.7349197916)</f>
        <v>45062.73492</v>
      </c>
      <c r="D7769" s="15">
        <f>IFERROR(__xludf.DUMMYFUNCTION("""COMPUTED_VALUE"""),1.015)</f>
        <v>1.015</v>
      </c>
      <c r="E7769" s="16">
        <f>IFERROR(__xludf.DUMMYFUNCTION("""COMPUTED_VALUE"""),66.0)</f>
        <v>66</v>
      </c>
      <c r="F7769" s="19" t="str">
        <f>IFERROR(__xludf.DUMMYFUNCTION("""COMPUTED_VALUE"""),"BLACK")</f>
        <v>BLACK</v>
      </c>
      <c r="G7769" s="20" t="str">
        <f>IFERROR(__xludf.DUMMYFUNCTION("""COMPUTED_VALUE"""),"Uncle Sams Cider (04/04/2023)")</f>
        <v>Uncle Sams Cider (04/04/2023)</v>
      </c>
      <c r="H7769" s="19"/>
    </row>
    <row r="7770">
      <c r="A7770" s="9"/>
      <c r="B7770" s="15"/>
      <c r="C7770" s="9">
        <f>IFERROR(__xludf.DUMMYFUNCTION("""COMPUTED_VALUE"""),45062.7244978935)</f>
        <v>45062.7245</v>
      </c>
      <c r="D7770" s="15">
        <f>IFERROR(__xludf.DUMMYFUNCTION("""COMPUTED_VALUE"""),1.015)</f>
        <v>1.015</v>
      </c>
      <c r="E7770" s="16">
        <f>IFERROR(__xludf.DUMMYFUNCTION("""COMPUTED_VALUE"""),66.0)</f>
        <v>66</v>
      </c>
      <c r="F7770" s="19" t="str">
        <f>IFERROR(__xludf.DUMMYFUNCTION("""COMPUTED_VALUE"""),"BLACK")</f>
        <v>BLACK</v>
      </c>
      <c r="G7770" s="20" t="str">
        <f>IFERROR(__xludf.DUMMYFUNCTION("""COMPUTED_VALUE"""),"Uncle Sams Cider (04/04/2023)")</f>
        <v>Uncle Sams Cider (04/04/2023)</v>
      </c>
      <c r="H7770" s="19"/>
    </row>
    <row r="7771">
      <c r="A7771" s="9"/>
      <c r="B7771" s="15"/>
      <c r="C7771" s="9">
        <f>IFERROR(__xludf.DUMMYFUNCTION("""COMPUTED_VALUE"""),45062.7140756018)</f>
        <v>45062.71408</v>
      </c>
      <c r="D7771" s="15">
        <f>IFERROR(__xludf.DUMMYFUNCTION("""COMPUTED_VALUE"""),1.014)</f>
        <v>1.014</v>
      </c>
      <c r="E7771" s="16">
        <f>IFERROR(__xludf.DUMMYFUNCTION("""COMPUTED_VALUE"""),66.0)</f>
        <v>66</v>
      </c>
      <c r="F7771" s="19" t="str">
        <f>IFERROR(__xludf.DUMMYFUNCTION("""COMPUTED_VALUE"""),"BLACK")</f>
        <v>BLACK</v>
      </c>
      <c r="G7771" s="20" t="str">
        <f>IFERROR(__xludf.DUMMYFUNCTION("""COMPUTED_VALUE"""),"Uncle Sams Cider (04/04/2023)")</f>
        <v>Uncle Sams Cider (04/04/2023)</v>
      </c>
      <c r="H7771" s="19"/>
    </row>
    <row r="7772">
      <c r="A7772" s="9"/>
      <c r="B7772" s="15"/>
      <c r="C7772" s="9">
        <f>IFERROR(__xludf.DUMMYFUNCTION("""COMPUTED_VALUE"""),45062.7036541666)</f>
        <v>45062.70365</v>
      </c>
      <c r="D7772" s="15">
        <f>IFERROR(__xludf.DUMMYFUNCTION("""COMPUTED_VALUE"""),1.014)</f>
        <v>1.014</v>
      </c>
      <c r="E7772" s="16">
        <f>IFERROR(__xludf.DUMMYFUNCTION("""COMPUTED_VALUE"""),66.0)</f>
        <v>66</v>
      </c>
      <c r="F7772" s="19" t="str">
        <f>IFERROR(__xludf.DUMMYFUNCTION("""COMPUTED_VALUE"""),"BLACK")</f>
        <v>BLACK</v>
      </c>
      <c r="G7772" s="20" t="str">
        <f>IFERROR(__xludf.DUMMYFUNCTION("""COMPUTED_VALUE"""),"Uncle Sams Cider (04/04/2023)")</f>
        <v>Uncle Sams Cider (04/04/2023)</v>
      </c>
      <c r="H7772" s="19"/>
    </row>
    <row r="7773">
      <c r="A7773" s="9"/>
      <c r="B7773" s="15"/>
      <c r="C7773" s="9">
        <f>IFERROR(__xludf.DUMMYFUNCTION("""COMPUTED_VALUE"""),45062.6932207175)</f>
        <v>45062.69322</v>
      </c>
      <c r="D7773" s="15">
        <f>IFERROR(__xludf.DUMMYFUNCTION("""COMPUTED_VALUE"""),1.014)</f>
        <v>1.014</v>
      </c>
      <c r="E7773" s="16">
        <f>IFERROR(__xludf.DUMMYFUNCTION("""COMPUTED_VALUE"""),66.0)</f>
        <v>66</v>
      </c>
      <c r="F7773" s="19" t="str">
        <f>IFERROR(__xludf.DUMMYFUNCTION("""COMPUTED_VALUE"""),"BLACK")</f>
        <v>BLACK</v>
      </c>
      <c r="G7773" s="20" t="str">
        <f>IFERROR(__xludf.DUMMYFUNCTION("""COMPUTED_VALUE"""),"Uncle Sams Cider (04/04/2023)")</f>
        <v>Uncle Sams Cider (04/04/2023)</v>
      </c>
      <c r="H7773" s="19"/>
    </row>
    <row r="7774">
      <c r="A7774" s="9"/>
      <c r="B7774" s="15"/>
      <c r="C7774" s="9">
        <f>IFERROR(__xludf.DUMMYFUNCTION("""COMPUTED_VALUE"""),45062.6827770486)</f>
        <v>45062.68278</v>
      </c>
      <c r="D7774" s="15">
        <f>IFERROR(__xludf.DUMMYFUNCTION("""COMPUTED_VALUE"""),1.014)</f>
        <v>1.014</v>
      </c>
      <c r="E7774" s="16">
        <f>IFERROR(__xludf.DUMMYFUNCTION("""COMPUTED_VALUE"""),66.0)</f>
        <v>66</v>
      </c>
      <c r="F7774" s="19" t="str">
        <f>IFERROR(__xludf.DUMMYFUNCTION("""COMPUTED_VALUE"""),"BLACK")</f>
        <v>BLACK</v>
      </c>
      <c r="G7774" s="20" t="str">
        <f>IFERROR(__xludf.DUMMYFUNCTION("""COMPUTED_VALUE"""),"Uncle Sams Cider (04/04/2023)")</f>
        <v>Uncle Sams Cider (04/04/2023)</v>
      </c>
      <c r="H7774" s="19"/>
    </row>
    <row r="7775">
      <c r="A7775" s="9"/>
      <c r="B7775" s="15"/>
      <c r="C7775" s="9">
        <f>IFERROR(__xludf.DUMMYFUNCTION("""COMPUTED_VALUE"""),45062.6723558333)</f>
        <v>45062.67236</v>
      </c>
      <c r="D7775" s="15">
        <f>IFERROR(__xludf.DUMMYFUNCTION("""COMPUTED_VALUE"""),1.015)</f>
        <v>1.015</v>
      </c>
      <c r="E7775" s="16">
        <f>IFERROR(__xludf.DUMMYFUNCTION("""COMPUTED_VALUE"""),66.0)</f>
        <v>66</v>
      </c>
      <c r="F7775" s="19" t="str">
        <f>IFERROR(__xludf.DUMMYFUNCTION("""COMPUTED_VALUE"""),"BLACK")</f>
        <v>BLACK</v>
      </c>
      <c r="G7775" s="20" t="str">
        <f>IFERROR(__xludf.DUMMYFUNCTION("""COMPUTED_VALUE"""),"Uncle Sams Cider (04/04/2023)")</f>
        <v>Uncle Sams Cider (04/04/2023)</v>
      </c>
      <c r="H7775" s="19"/>
    </row>
    <row r="7776">
      <c r="A7776" s="9"/>
      <c r="B7776" s="15"/>
      <c r="C7776" s="9">
        <f>IFERROR(__xludf.DUMMYFUNCTION("""COMPUTED_VALUE"""),45062.661935081)</f>
        <v>45062.66194</v>
      </c>
      <c r="D7776" s="15">
        <f>IFERROR(__xludf.DUMMYFUNCTION("""COMPUTED_VALUE"""),1.014)</f>
        <v>1.014</v>
      </c>
      <c r="E7776" s="16">
        <f>IFERROR(__xludf.DUMMYFUNCTION("""COMPUTED_VALUE"""),66.0)</f>
        <v>66</v>
      </c>
      <c r="F7776" s="19" t="str">
        <f>IFERROR(__xludf.DUMMYFUNCTION("""COMPUTED_VALUE"""),"BLACK")</f>
        <v>BLACK</v>
      </c>
      <c r="G7776" s="20" t="str">
        <f>IFERROR(__xludf.DUMMYFUNCTION("""COMPUTED_VALUE"""),"Uncle Sams Cider (04/04/2023)")</f>
        <v>Uncle Sams Cider (04/04/2023)</v>
      </c>
      <c r="H7776" s="19"/>
    </row>
    <row r="7777">
      <c r="A7777" s="9"/>
      <c r="B7777" s="15"/>
      <c r="C7777" s="9">
        <f>IFERROR(__xludf.DUMMYFUNCTION("""COMPUTED_VALUE"""),45062.6515032754)</f>
        <v>45062.6515</v>
      </c>
      <c r="D7777" s="15">
        <f>IFERROR(__xludf.DUMMYFUNCTION("""COMPUTED_VALUE"""),1.014)</f>
        <v>1.014</v>
      </c>
      <c r="E7777" s="16">
        <f>IFERROR(__xludf.DUMMYFUNCTION("""COMPUTED_VALUE"""),66.0)</f>
        <v>66</v>
      </c>
      <c r="F7777" s="19" t="str">
        <f>IFERROR(__xludf.DUMMYFUNCTION("""COMPUTED_VALUE"""),"BLACK")</f>
        <v>BLACK</v>
      </c>
      <c r="G7777" s="20" t="str">
        <f>IFERROR(__xludf.DUMMYFUNCTION("""COMPUTED_VALUE"""),"Uncle Sams Cider (04/04/2023)")</f>
        <v>Uncle Sams Cider (04/04/2023)</v>
      </c>
      <c r="H7777" s="19"/>
    </row>
    <row r="7778">
      <c r="A7778" s="9"/>
      <c r="B7778" s="15"/>
      <c r="C7778" s="9">
        <f>IFERROR(__xludf.DUMMYFUNCTION("""COMPUTED_VALUE"""),45062.6410822453)</f>
        <v>45062.64108</v>
      </c>
      <c r="D7778" s="15">
        <f>IFERROR(__xludf.DUMMYFUNCTION("""COMPUTED_VALUE"""),1.014)</f>
        <v>1.014</v>
      </c>
      <c r="E7778" s="16">
        <f>IFERROR(__xludf.DUMMYFUNCTION("""COMPUTED_VALUE"""),66.0)</f>
        <v>66</v>
      </c>
      <c r="F7778" s="19" t="str">
        <f>IFERROR(__xludf.DUMMYFUNCTION("""COMPUTED_VALUE"""),"BLACK")</f>
        <v>BLACK</v>
      </c>
      <c r="G7778" s="20" t="str">
        <f>IFERROR(__xludf.DUMMYFUNCTION("""COMPUTED_VALUE"""),"Uncle Sams Cider (04/04/2023)")</f>
        <v>Uncle Sams Cider (04/04/2023)</v>
      </c>
      <c r="H7778" s="19"/>
    </row>
    <row r="7779">
      <c r="A7779" s="9"/>
      <c r="B7779" s="15"/>
      <c r="C7779" s="9">
        <f>IFERROR(__xludf.DUMMYFUNCTION("""COMPUTED_VALUE"""),45062.6306620023)</f>
        <v>45062.63066</v>
      </c>
      <c r="D7779" s="15">
        <f>IFERROR(__xludf.DUMMYFUNCTION("""COMPUTED_VALUE"""),1.014)</f>
        <v>1.014</v>
      </c>
      <c r="E7779" s="16">
        <f>IFERROR(__xludf.DUMMYFUNCTION("""COMPUTED_VALUE"""),66.0)</f>
        <v>66</v>
      </c>
      <c r="F7779" s="19" t="str">
        <f>IFERROR(__xludf.DUMMYFUNCTION("""COMPUTED_VALUE"""),"BLACK")</f>
        <v>BLACK</v>
      </c>
      <c r="G7779" s="20" t="str">
        <f>IFERROR(__xludf.DUMMYFUNCTION("""COMPUTED_VALUE"""),"Uncle Sams Cider (04/04/2023)")</f>
        <v>Uncle Sams Cider (04/04/2023)</v>
      </c>
      <c r="H7779" s="19"/>
    </row>
    <row r="7780">
      <c r="A7780" s="9"/>
      <c r="B7780" s="15"/>
      <c r="C7780" s="9">
        <f>IFERROR(__xludf.DUMMYFUNCTION("""COMPUTED_VALUE"""),45062.6202293981)</f>
        <v>45062.62023</v>
      </c>
      <c r="D7780" s="15">
        <f>IFERROR(__xludf.DUMMYFUNCTION("""COMPUTED_VALUE"""),1.015)</f>
        <v>1.015</v>
      </c>
      <c r="E7780" s="16">
        <f>IFERROR(__xludf.DUMMYFUNCTION("""COMPUTED_VALUE"""),66.0)</f>
        <v>66</v>
      </c>
      <c r="F7780" s="19" t="str">
        <f>IFERROR(__xludf.DUMMYFUNCTION("""COMPUTED_VALUE"""),"BLACK")</f>
        <v>BLACK</v>
      </c>
      <c r="G7780" s="20" t="str">
        <f>IFERROR(__xludf.DUMMYFUNCTION("""COMPUTED_VALUE"""),"Uncle Sams Cider (04/04/2023)")</f>
        <v>Uncle Sams Cider (04/04/2023)</v>
      </c>
      <c r="H7780" s="19"/>
    </row>
    <row r="7781">
      <c r="A7781" s="9"/>
      <c r="B7781" s="15"/>
      <c r="C7781" s="9">
        <f>IFERROR(__xludf.DUMMYFUNCTION("""COMPUTED_VALUE"""),45062.6097955092)</f>
        <v>45062.6098</v>
      </c>
      <c r="D7781" s="15">
        <f>IFERROR(__xludf.DUMMYFUNCTION("""COMPUTED_VALUE"""),1.015)</f>
        <v>1.015</v>
      </c>
      <c r="E7781" s="16">
        <f>IFERROR(__xludf.DUMMYFUNCTION("""COMPUTED_VALUE"""),66.0)</f>
        <v>66</v>
      </c>
      <c r="F7781" s="19" t="str">
        <f>IFERROR(__xludf.DUMMYFUNCTION("""COMPUTED_VALUE"""),"BLACK")</f>
        <v>BLACK</v>
      </c>
      <c r="G7781" s="20" t="str">
        <f>IFERROR(__xludf.DUMMYFUNCTION("""COMPUTED_VALUE"""),"Uncle Sams Cider (04/04/2023)")</f>
        <v>Uncle Sams Cider (04/04/2023)</v>
      </c>
      <c r="H7781" s="19"/>
    </row>
    <row r="7782">
      <c r="A7782" s="9"/>
      <c r="B7782" s="15"/>
      <c r="C7782" s="9">
        <f>IFERROR(__xludf.DUMMYFUNCTION("""COMPUTED_VALUE"""),45062.5993738194)</f>
        <v>45062.59937</v>
      </c>
      <c r="D7782" s="15">
        <f>IFERROR(__xludf.DUMMYFUNCTION("""COMPUTED_VALUE"""),1.015)</f>
        <v>1.015</v>
      </c>
      <c r="E7782" s="16">
        <f>IFERROR(__xludf.DUMMYFUNCTION("""COMPUTED_VALUE"""),66.0)</f>
        <v>66</v>
      </c>
      <c r="F7782" s="19" t="str">
        <f>IFERROR(__xludf.DUMMYFUNCTION("""COMPUTED_VALUE"""),"BLACK")</f>
        <v>BLACK</v>
      </c>
      <c r="G7782" s="20" t="str">
        <f>IFERROR(__xludf.DUMMYFUNCTION("""COMPUTED_VALUE"""),"Uncle Sams Cider (04/04/2023)")</f>
        <v>Uncle Sams Cider (04/04/2023)</v>
      </c>
      <c r="H7782" s="19"/>
    </row>
    <row r="7783">
      <c r="A7783" s="9"/>
      <c r="B7783" s="15"/>
      <c r="C7783" s="9">
        <f>IFERROR(__xludf.DUMMYFUNCTION("""COMPUTED_VALUE"""),45062.5889417939)</f>
        <v>45062.58894</v>
      </c>
      <c r="D7783" s="15">
        <f>IFERROR(__xludf.DUMMYFUNCTION("""COMPUTED_VALUE"""),1.014)</f>
        <v>1.014</v>
      </c>
      <c r="E7783" s="16">
        <f>IFERROR(__xludf.DUMMYFUNCTION("""COMPUTED_VALUE"""),66.0)</f>
        <v>66</v>
      </c>
      <c r="F7783" s="19" t="str">
        <f>IFERROR(__xludf.DUMMYFUNCTION("""COMPUTED_VALUE"""),"BLACK")</f>
        <v>BLACK</v>
      </c>
      <c r="G7783" s="20" t="str">
        <f>IFERROR(__xludf.DUMMYFUNCTION("""COMPUTED_VALUE"""),"Uncle Sams Cider (04/04/2023)")</f>
        <v>Uncle Sams Cider (04/04/2023)</v>
      </c>
      <c r="H7783" s="19"/>
    </row>
    <row r="7784">
      <c r="A7784" s="9"/>
      <c r="B7784" s="15"/>
      <c r="C7784" s="9">
        <f>IFERROR(__xludf.DUMMYFUNCTION("""COMPUTED_VALUE"""),45062.578508912)</f>
        <v>45062.57851</v>
      </c>
      <c r="D7784" s="15">
        <f>IFERROR(__xludf.DUMMYFUNCTION("""COMPUTED_VALUE"""),1.015)</f>
        <v>1.015</v>
      </c>
      <c r="E7784" s="16">
        <f>IFERROR(__xludf.DUMMYFUNCTION("""COMPUTED_VALUE"""),66.0)</f>
        <v>66</v>
      </c>
      <c r="F7784" s="19" t="str">
        <f>IFERROR(__xludf.DUMMYFUNCTION("""COMPUTED_VALUE"""),"BLACK")</f>
        <v>BLACK</v>
      </c>
      <c r="G7784" s="20" t="str">
        <f>IFERROR(__xludf.DUMMYFUNCTION("""COMPUTED_VALUE"""),"Uncle Sams Cider (04/04/2023)")</f>
        <v>Uncle Sams Cider (04/04/2023)</v>
      </c>
      <c r="H7784" s="19"/>
    </row>
    <row r="7785">
      <c r="A7785" s="9"/>
      <c r="B7785" s="15"/>
      <c r="C7785" s="9">
        <f>IFERROR(__xludf.DUMMYFUNCTION("""COMPUTED_VALUE"""),45062.5680876504)</f>
        <v>45062.56809</v>
      </c>
      <c r="D7785" s="15">
        <f>IFERROR(__xludf.DUMMYFUNCTION("""COMPUTED_VALUE"""),1.015)</f>
        <v>1.015</v>
      </c>
      <c r="E7785" s="16">
        <f>IFERROR(__xludf.DUMMYFUNCTION("""COMPUTED_VALUE"""),66.0)</f>
        <v>66</v>
      </c>
      <c r="F7785" s="19" t="str">
        <f>IFERROR(__xludf.DUMMYFUNCTION("""COMPUTED_VALUE"""),"BLACK")</f>
        <v>BLACK</v>
      </c>
      <c r="G7785" s="20" t="str">
        <f>IFERROR(__xludf.DUMMYFUNCTION("""COMPUTED_VALUE"""),"Uncle Sams Cider (04/04/2023)")</f>
        <v>Uncle Sams Cider (04/04/2023)</v>
      </c>
      <c r="H7785" s="19"/>
    </row>
    <row r="7786">
      <c r="A7786" s="9"/>
      <c r="B7786" s="15"/>
      <c r="C7786" s="9">
        <f>IFERROR(__xludf.DUMMYFUNCTION("""COMPUTED_VALUE"""),45062.5576442129)</f>
        <v>45062.55764</v>
      </c>
      <c r="D7786" s="15">
        <f>IFERROR(__xludf.DUMMYFUNCTION("""COMPUTED_VALUE"""),1.015)</f>
        <v>1.015</v>
      </c>
      <c r="E7786" s="16">
        <f>IFERROR(__xludf.DUMMYFUNCTION("""COMPUTED_VALUE"""),66.0)</f>
        <v>66</v>
      </c>
      <c r="F7786" s="19" t="str">
        <f>IFERROR(__xludf.DUMMYFUNCTION("""COMPUTED_VALUE"""),"BLACK")</f>
        <v>BLACK</v>
      </c>
      <c r="G7786" s="20" t="str">
        <f>IFERROR(__xludf.DUMMYFUNCTION("""COMPUTED_VALUE"""),"Uncle Sams Cider (04/04/2023)")</f>
        <v>Uncle Sams Cider (04/04/2023)</v>
      </c>
      <c r="H7786" s="19"/>
    </row>
    <row r="7787">
      <c r="A7787" s="9"/>
      <c r="B7787" s="15"/>
      <c r="C7787" s="9">
        <f>IFERROR(__xludf.DUMMYFUNCTION("""COMPUTED_VALUE"""),45062.547166574)</f>
        <v>45062.54717</v>
      </c>
      <c r="D7787" s="15">
        <f>IFERROR(__xludf.DUMMYFUNCTION("""COMPUTED_VALUE"""),1.015)</f>
        <v>1.015</v>
      </c>
      <c r="E7787" s="16">
        <f>IFERROR(__xludf.DUMMYFUNCTION("""COMPUTED_VALUE"""),66.0)</f>
        <v>66</v>
      </c>
      <c r="F7787" s="19" t="str">
        <f>IFERROR(__xludf.DUMMYFUNCTION("""COMPUTED_VALUE"""),"BLACK")</f>
        <v>BLACK</v>
      </c>
      <c r="G7787" s="20" t="str">
        <f>IFERROR(__xludf.DUMMYFUNCTION("""COMPUTED_VALUE"""),"Uncle Sams Cider (04/04/2023)")</f>
        <v>Uncle Sams Cider (04/04/2023)</v>
      </c>
      <c r="H7787" s="19"/>
    </row>
    <row r="7788">
      <c r="A7788" s="9"/>
      <c r="B7788" s="15"/>
      <c r="C7788" s="9">
        <f>IFERROR(__xludf.DUMMYFUNCTION("""COMPUTED_VALUE"""),45062.5367322106)</f>
        <v>45062.53673</v>
      </c>
      <c r="D7788" s="15">
        <f>IFERROR(__xludf.DUMMYFUNCTION("""COMPUTED_VALUE"""),1.014)</f>
        <v>1.014</v>
      </c>
      <c r="E7788" s="16">
        <f>IFERROR(__xludf.DUMMYFUNCTION("""COMPUTED_VALUE"""),66.0)</f>
        <v>66</v>
      </c>
      <c r="F7788" s="19" t="str">
        <f>IFERROR(__xludf.DUMMYFUNCTION("""COMPUTED_VALUE"""),"BLACK")</f>
        <v>BLACK</v>
      </c>
      <c r="G7788" s="20" t="str">
        <f>IFERROR(__xludf.DUMMYFUNCTION("""COMPUTED_VALUE"""),"Uncle Sams Cider (04/04/2023)")</f>
        <v>Uncle Sams Cider (04/04/2023)</v>
      </c>
      <c r="H7788" s="19"/>
    </row>
    <row r="7789">
      <c r="A7789" s="9"/>
      <c r="B7789" s="15"/>
      <c r="C7789" s="9">
        <f>IFERROR(__xludf.DUMMYFUNCTION("""COMPUTED_VALUE"""),45062.5262966088)</f>
        <v>45062.5263</v>
      </c>
      <c r="D7789" s="15">
        <f>IFERROR(__xludf.DUMMYFUNCTION("""COMPUTED_VALUE"""),1.014)</f>
        <v>1.014</v>
      </c>
      <c r="E7789" s="16">
        <f>IFERROR(__xludf.DUMMYFUNCTION("""COMPUTED_VALUE"""),66.0)</f>
        <v>66</v>
      </c>
      <c r="F7789" s="19" t="str">
        <f>IFERROR(__xludf.DUMMYFUNCTION("""COMPUTED_VALUE"""),"BLACK")</f>
        <v>BLACK</v>
      </c>
      <c r="G7789" s="20" t="str">
        <f>IFERROR(__xludf.DUMMYFUNCTION("""COMPUTED_VALUE"""),"Uncle Sams Cider (04/04/2023)")</f>
        <v>Uncle Sams Cider (04/04/2023)</v>
      </c>
      <c r="H7789" s="19"/>
    </row>
    <row r="7790">
      <c r="A7790" s="9"/>
      <c r="B7790" s="15"/>
      <c r="C7790" s="9">
        <f>IFERROR(__xludf.DUMMYFUNCTION("""COMPUTED_VALUE"""),45062.5158405208)</f>
        <v>45062.51584</v>
      </c>
      <c r="D7790" s="15">
        <f>IFERROR(__xludf.DUMMYFUNCTION("""COMPUTED_VALUE"""),1.015)</f>
        <v>1.015</v>
      </c>
      <c r="E7790" s="16">
        <f>IFERROR(__xludf.DUMMYFUNCTION("""COMPUTED_VALUE"""),66.0)</f>
        <v>66</v>
      </c>
      <c r="F7790" s="19" t="str">
        <f>IFERROR(__xludf.DUMMYFUNCTION("""COMPUTED_VALUE"""),"BLACK")</f>
        <v>BLACK</v>
      </c>
      <c r="G7790" s="20" t="str">
        <f>IFERROR(__xludf.DUMMYFUNCTION("""COMPUTED_VALUE"""),"Uncle Sams Cider (04/04/2023)")</f>
        <v>Uncle Sams Cider (04/04/2023)</v>
      </c>
      <c r="H7790" s="19"/>
    </row>
    <row r="7791">
      <c r="A7791" s="9"/>
      <c r="B7791" s="15"/>
      <c r="C7791" s="9">
        <f>IFERROR(__xludf.DUMMYFUNCTION("""COMPUTED_VALUE"""),45062.5054173379)</f>
        <v>45062.50542</v>
      </c>
      <c r="D7791" s="15">
        <f>IFERROR(__xludf.DUMMYFUNCTION("""COMPUTED_VALUE"""),1.015)</f>
        <v>1.015</v>
      </c>
      <c r="E7791" s="16">
        <f>IFERROR(__xludf.DUMMYFUNCTION("""COMPUTED_VALUE"""),66.0)</f>
        <v>66</v>
      </c>
      <c r="F7791" s="19" t="str">
        <f>IFERROR(__xludf.DUMMYFUNCTION("""COMPUTED_VALUE"""),"BLACK")</f>
        <v>BLACK</v>
      </c>
      <c r="G7791" s="20" t="str">
        <f>IFERROR(__xludf.DUMMYFUNCTION("""COMPUTED_VALUE"""),"Uncle Sams Cider (04/04/2023)")</f>
        <v>Uncle Sams Cider (04/04/2023)</v>
      </c>
      <c r="H7791" s="19"/>
    </row>
    <row r="7792">
      <c r="A7792" s="9"/>
      <c r="B7792" s="15"/>
      <c r="C7792" s="9">
        <f>IFERROR(__xludf.DUMMYFUNCTION("""COMPUTED_VALUE"""),45062.4949846527)</f>
        <v>45062.49498</v>
      </c>
      <c r="D7792" s="15">
        <f>IFERROR(__xludf.DUMMYFUNCTION("""COMPUTED_VALUE"""),1.015)</f>
        <v>1.015</v>
      </c>
      <c r="E7792" s="16">
        <f>IFERROR(__xludf.DUMMYFUNCTION("""COMPUTED_VALUE"""),66.0)</f>
        <v>66</v>
      </c>
      <c r="F7792" s="19" t="str">
        <f>IFERROR(__xludf.DUMMYFUNCTION("""COMPUTED_VALUE"""),"BLACK")</f>
        <v>BLACK</v>
      </c>
      <c r="G7792" s="20" t="str">
        <f>IFERROR(__xludf.DUMMYFUNCTION("""COMPUTED_VALUE"""),"Uncle Sams Cider (04/04/2023)")</f>
        <v>Uncle Sams Cider (04/04/2023)</v>
      </c>
      <c r="H7792" s="19"/>
    </row>
    <row r="7793">
      <c r="A7793" s="9"/>
      <c r="B7793" s="15"/>
      <c r="C7793" s="9">
        <f>IFERROR(__xludf.DUMMYFUNCTION("""COMPUTED_VALUE"""),45062.4845525578)</f>
        <v>45062.48455</v>
      </c>
      <c r="D7793" s="15">
        <f>IFERROR(__xludf.DUMMYFUNCTION("""COMPUTED_VALUE"""),1.014)</f>
        <v>1.014</v>
      </c>
      <c r="E7793" s="16">
        <f>IFERROR(__xludf.DUMMYFUNCTION("""COMPUTED_VALUE"""),66.0)</f>
        <v>66</v>
      </c>
      <c r="F7793" s="19" t="str">
        <f>IFERROR(__xludf.DUMMYFUNCTION("""COMPUTED_VALUE"""),"BLACK")</f>
        <v>BLACK</v>
      </c>
      <c r="G7793" s="20" t="str">
        <f>IFERROR(__xludf.DUMMYFUNCTION("""COMPUTED_VALUE"""),"Uncle Sams Cider (04/04/2023)")</f>
        <v>Uncle Sams Cider (04/04/2023)</v>
      </c>
      <c r="H7793" s="19"/>
    </row>
    <row r="7794">
      <c r="A7794" s="9"/>
      <c r="B7794" s="15"/>
      <c r="C7794" s="9">
        <f>IFERROR(__xludf.DUMMYFUNCTION("""COMPUTED_VALUE"""),45062.4741309375)</f>
        <v>45062.47413</v>
      </c>
      <c r="D7794" s="15">
        <f>IFERROR(__xludf.DUMMYFUNCTION("""COMPUTED_VALUE"""),1.014)</f>
        <v>1.014</v>
      </c>
      <c r="E7794" s="16">
        <f>IFERROR(__xludf.DUMMYFUNCTION("""COMPUTED_VALUE"""),66.0)</f>
        <v>66</v>
      </c>
      <c r="F7794" s="19" t="str">
        <f>IFERROR(__xludf.DUMMYFUNCTION("""COMPUTED_VALUE"""),"BLACK")</f>
        <v>BLACK</v>
      </c>
      <c r="G7794" s="20" t="str">
        <f>IFERROR(__xludf.DUMMYFUNCTION("""COMPUTED_VALUE"""),"Uncle Sams Cider (04/04/2023)")</f>
        <v>Uncle Sams Cider (04/04/2023)</v>
      </c>
      <c r="H7794" s="19"/>
    </row>
    <row r="7795">
      <c r="A7795" s="9"/>
      <c r="B7795" s="15"/>
      <c r="C7795" s="9">
        <f>IFERROR(__xludf.DUMMYFUNCTION("""COMPUTED_VALUE"""),45062.4636988888)</f>
        <v>45062.4637</v>
      </c>
      <c r="D7795" s="15">
        <f>IFERROR(__xludf.DUMMYFUNCTION("""COMPUTED_VALUE"""),1.014)</f>
        <v>1.014</v>
      </c>
      <c r="E7795" s="16">
        <f>IFERROR(__xludf.DUMMYFUNCTION("""COMPUTED_VALUE"""),66.0)</f>
        <v>66</v>
      </c>
      <c r="F7795" s="19" t="str">
        <f>IFERROR(__xludf.DUMMYFUNCTION("""COMPUTED_VALUE"""),"BLACK")</f>
        <v>BLACK</v>
      </c>
      <c r="G7795" s="20" t="str">
        <f>IFERROR(__xludf.DUMMYFUNCTION("""COMPUTED_VALUE"""),"Uncle Sams Cider (04/04/2023)")</f>
        <v>Uncle Sams Cider (04/04/2023)</v>
      </c>
      <c r="H7795" s="19"/>
    </row>
    <row r="7796">
      <c r="A7796" s="9"/>
      <c r="B7796" s="15"/>
      <c r="C7796" s="9">
        <f>IFERROR(__xludf.DUMMYFUNCTION("""COMPUTED_VALUE"""),45062.4532658217)</f>
        <v>45062.45327</v>
      </c>
      <c r="D7796" s="15">
        <f>IFERROR(__xludf.DUMMYFUNCTION("""COMPUTED_VALUE"""),1.014)</f>
        <v>1.014</v>
      </c>
      <c r="E7796" s="16">
        <f>IFERROR(__xludf.DUMMYFUNCTION("""COMPUTED_VALUE"""),66.0)</f>
        <v>66</v>
      </c>
      <c r="F7796" s="19" t="str">
        <f>IFERROR(__xludf.DUMMYFUNCTION("""COMPUTED_VALUE"""),"BLACK")</f>
        <v>BLACK</v>
      </c>
      <c r="G7796" s="20" t="str">
        <f>IFERROR(__xludf.DUMMYFUNCTION("""COMPUTED_VALUE"""),"Uncle Sams Cider (04/04/2023)")</f>
        <v>Uncle Sams Cider (04/04/2023)</v>
      </c>
      <c r="H7796" s="19"/>
    </row>
    <row r="7797">
      <c r="A7797" s="9"/>
      <c r="B7797" s="15"/>
      <c r="C7797" s="9">
        <f>IFERROR(__xludf.DUMMYFUNCTION("""COMPUTED_VALUE"""),45062.4427758333)</f>
        <v>45062.44278</v>
      </c>
      <c r="D7797" s="15">
        <f>IFERROR(__xludf.DUMMYFUNCTION("""COMPUTED_VALUE"""),1.015)</f>
        <v>1.015</v>
      </c>
      <c r="E7797" s="16">
        <f>IFERROR(__xludf.DUMMYFUNCTION("""COMPUTED_VALUE"""),66.0)</f>
        <v>66</v>
      </c>
      <c r="F7797" s="19" t="str">
        <f>IFERROR(__xludf.DUMMYFUNCTION("""COMPUTED_VALUE"""),"BLACK")</f>
        <v>BLACK</v>
      </c>
      <c r="G7797" s="20" t="str">
        <f>IFERROR(__xludf.DUMMYFUNCTION("""COMPUTED_VALUE"""),"Uncle Sams Cider (04/04/2023)")</f>
        <v>Uncle Sams Cider (04/04/2023)</v>
      </c>
      <c r="H7797" s="19"/>
    </row>
    <row r="7798">
      <c r="A7798" s="9"/>
      <c r="B7798" s="15"/>
      <c r="C7798" s="9">
        <f>IFERROR(__xludf.DUMMYFUNCTION("""COMPUTED_VALUE"""),45062.4323557523)</f>
        <v>45062.43236</v>
      </c>
      <c r="D7798" s="15">
        <f>IFERROR(__xludf.DUMMYFUNCTION("""COMPUTED_VALUE"""),1.014)</f>
        <v>1.014</v>
      </c>
      <c r="E7798" s="16">
        <f>IFERROR(__xludf.DUMMYFUNCTION("""COMPUTED_VALUE"""),66.0)</f>
        <v>66</v>
      </c>
      <c r="F7798" s="19" t="str">
        <f>IFERROR(__xludf.DUMMYFUNCTION("""COMPUTED_VALUE"""),"BLACK")</f>
        <v>BLACK</v>
      </c>
      <c r="G7798" s="20" t="str">
        <f>IFERROR(__xludf.DUMMYFUNCTION("""COMPUTED_VALUE"""),"Uncle Sams Cider (04/04/2023)")</f>
        <v>Uncle Sams Cider (04/04/2023)</v>
      </c>
      <c r="H7798" s="19"/>
    </row>
    <row r="7799">
      <c r="A7799" s="9"/>
      <c r="B7799" s="15"/>
      <c r="C7799" s="9">
        <f>IFERROR(__xludf.DUMMYFUNCTION("""COMPUTED_VALUE"""),45062.4219216319)</f>
        <v>45062.42192</v>
      </c>
      <c r="D7799" s="15">
        <f>IFERROR(__xludf.DUMMYFUNCTION("""COMPUTED_VALUE"""),1.015)</f>
        <v>1.015</v>
      </c>
      <c r="E7799" s="16">
        <f>IFERROR(__xludf.DUMMYFUNCTION("""COMPUTED_VALUE"""),66.0)</f>
        <v>66</v>
      </c>
      <c r="F7799" s="19" t="str">
        <f>IFERROR(__xludf.DUMMYFUNCTION("""COMPUTED_VALUE"""),"BLACK")</f>
        <v>BLACK</v>
      </c>
      <c r="G7799" s="20" t="str">
        <f>IFERROR(__xludf.DUMMYFUNCTION("""COMPUTED_VALUE"""),"Uncle Sams Cider (04/04/2023)")</f>
        <v>Uncle Sams Cider (04/04/2023)</v>
      </c>
      <c r="H7799" s="19"/>
    </row>
    <row r="7800">
      <c r="A7800" s="9"/>
      <c r="B7800" s="15"/>
      <c r="C7800" s="9">
        <f>IFERROR(__xludf.DUMMYFUNCTION("""COMPUTED_VALUE"""),45062.4114992939)</f>
        <v>45062.4115</v>
      </c>
      <c r="D7800" s="15">
        <f>IFERROR(__xludf.DUMMYFUNCTION("""COMPUTED_VALUE"""),1.015)</f>
        <v>1.015</v>
      </c>
      <c r="E7800" s="16">
        <f>IFERROR(__xludf.DUMMYFUNCTION("""COMPUTED_VALUE"""),66.0)</f>
        <v>66</v>
      </c>
      <c r="F7800" s="19" t="str">
        <f>IFERROR(__xludf.DUMMYFUNCTION("""COMPUTED_VALUE"""),"BLACK")</f>
        <v>BLACK</v>
      </c>
      <c r="G7800" s="20" t="str">
        <f>IFERROR(__xludf.DUMMYFUNCTION("""COMPUTED_VALUE"""),"Uncle Sams Cider (04/04/2023)")</f>
        <v>Uncle Sams Cider (04/04/2023)</v>
      </c>
      <c r="H7800" s="19"/>
    </row>
    <row r="7801">
      <c r="A7801" s="9"/>
      <c r="B7801" s="15"/>
      <c r="C7801" s="9">
        <f>IFERROR(__xludf.DUMMYFUNCTION("""COMPUTED_VALUE"""),45062.4010790277)</f>
        <v>45062.40108</v>
      </c>
      <c r="D7801" s="15">
        <f>IFERROR(__xludf.DUMMYFUNCTION("""COMPUTED_VALUE"""),1.015)</f>
        <v>1.015</v>
      </c>
      <c r="E7801" s="16">
        <f>IFERROR(__xludf.DUMMYFUNCTION("""COMPUTED_VALUE"""),66.0)</f>
        <v>66</v>
      </c>
      <c r="F7801" s="19" t="str">
        <f>IFERROR(__xludf.DUMMYFUNCTION("""COMPUTED_VALUE"""),"BLACK")</f>
        <v>BLACK</v>
      </c>
      <c r="G7801" s="20" t="str">
        <f>IFERROR(__xludf.DUMMYFUNCTION("""COMPUTED_VALUE"""),"Uncle Sams Cider (04/04/2023)")</f>
        <v>Uncle Sams Cider (04/04/2023)</v>
      </c>
      <c r="H7801" s="19"/>
    </row>
    <row r="7802">
      <c r="A7802" s="9"/>
      <c r="B7802" s="15"/>
      <c r="C7802" s="9">
        <f>IFERROR(__xludf.DUMMYFUNCTION("""COMPUTED_VALUE"""),45062.390660625)</f>
        <v>45062.39066</v>
      </c>
      <c r="D7802" s="15">
        <f>IFERROR(__xludf.DUMMYFUNCTION("""COMPUTED_VALUE"""),1.015)</f>
        <v>1.015</v>
      </c>
      <c r="E7802" s="16">
        <f>IFERROR(__xludf.DUMMYFUNCTION("""COMPUTED_VALUE"""),66.0)</f>
        <v>66</v>
      </c>
      <c r="F7802" s="19" t="str">
        <f>IFERROR(__xludf.DUMMYFUNCTION("""COMPUTED_VALUE"""),"BLACK")</f>
        <v>BLACK</v>
      </c>
      <c r="G7802" s="20" t="str">
        <f>IFERROR(__xludf.DUMMYFUNCTION("""COMPUTED_VALUE"""),"Uncle Sams Cider (04/04/2023)")</f>
        <v>Uncle Sams Cider (04/04/2023)</v>
      </c>
      <c r="H7802" s="19"/>
    </row>
    <row r="7803">
      <c r="A7803" s="9"/>
      <c r="B7803" s="15"/>
      <c r="C7803" s="9">
        <f>IFERROR(__xludf.DUMMYFUNCTION("""COMPUTED_VALUE"""),45062.3801350462)</f>
        <v>45062.38014</v>
      </c>
      <c r="D7803" s="15">
        <f>IFERROR(__xludf.DUMMYFUNCTION("""COMPUTED_VALUE"""),1.015)</f>
        <v>1.015</v>
      </c>
      <c r="E7803" s="16">
        <f>IFERROR(__xludf.DUMMYFUNCTION("""COMPUTED_VALUE"""),66.0)</f>
        <v>66</v>
      </c>
      <c r="F7803" s="19" t="str">
        <f>IFERROR(__xludf.DUMMYFUNCTION("""COMPUTED_VALUE"""),"BLACK")</f>
        <v>BLACK</v>
      </c>
      <c r="G7803" s="20" t="str">
        <f>IFERROR(__xludf.DUMMYFUNCTION("""COMPUTED_VALUE"""),"Uncle Sams Cider (04/04/2023)")</f>
        <v>Uncle Sams Cider (04/04/2023)</v>
      </c>
      <c r="H7803" s="19"/>
    </row>
    <row r="7804">
      <c r="A7804" s="9"/>
      <c r="B7804" s="15"/>
      <c r="C7804" s="9">
        <f>IFERROR(__xludf.DUMMYFUNCTION("""COMPUTED_VALUE"""),45062.3697149652)</f>
        <v>45062.36971</v>
      </c>
      <c r="D7804" s="15">
        <f>IFERROR(__xludf.DUMMYFUNCTION("""COMPUTED_VALUE"""),1.014)</f>
        <v>1.014</v>
      </c>
      <c r="E7804" s="16">
        <f>IFERROR(__xludf.DUMMYFUNCTION("""COMPUTED_VALUE"""),66.0)</f>
        <v>66</v>
      </c>
      <c r="F7804" s="19" t="str">
        <f>IFERROR(__xludf.DUMMYFUNCTION("""COMPUTED_VALUE"""),"BLACK")</f>
        <v>BLACK</v>
      </c>
      <c r="G7804" s="20" t="str">
        <f>IFERROR(__xludf.DUMMYFUNCTION("""COMPUTED_VALUE"""),"Uncle Sams Cider (04/04/2023)")</f>
        <v>Uncle Sams Cider (04/04/2023)</v>
      </c>
      <c r="H7804" s="19"/>
    </row>
    <row r="7805">
      <c r="A7805" s="9"/>
      <c r="B7805" s="15"/>
      <c r="C7805" s="9">
        <f>IFERROR(__xludf.DUMMYFUNCTION("""COMPUTED_VALUE"""),45062.3592712731)</f>
        <v>45062.35927</v>
      </c>
      <c r="D7805" s="15">
        <f>IFERROR(__xludf.DUMMYFUNCTION("""COMPUTED_VALUE"""),1.015)</f>
        <v>1.015</v>
      </c>
      <c r="E7805" s="16">
        <f>IFERROR(__xludf.DUMMYFUNCTION("""COMPUTED_VALUE"""),66.0)</f>
        <v>66</v>
      </c>
      <c r="F7805" s="19" t="str">
        <f>IFERROR(__xludf.DUMMYFUNCTION("""COMPUTED_VALUE"""),"BLACK")</f>
        <v>BLACK</v>
      </c>
      <c r="G7805" s="20" t="str">
        <f>IFERROR(__xludf.DUMMYFUNCTION("""COMPUTED_VALUE"""),"Uncle Sams Cider (04/04/2023)")</f>
        <v>Uncle Sams Cider (04/04/2023)</v>
      </c>
      <c r="H7805" s="19"/>
    </row>
    <row r="7806">
      <c r="A7806" s="9"/>
      <c r="B7806" s="15"/>
      <c r="C7806" s="9">
        <f>IFERROR(__xludf.DUMMYFUNCTION("""COMPUTED_VALUE"""),45062.3488021527)</f>
        <v>45062.3488</v>
      </c>
      <c r="D7806" s="15">
        <f>IFERROR(__xludf.DUMMYFUNCTION("""COMPUTED_VALUE"""),1.015)</f>
        <v>1.015</v>
      </c>
      <c r="E7806" s="16">
        <f>IFERROR(__xludf.DUMMYFUNCTION("""COMPUTED_VALUE"""),66.0)</f>
        <v>66</v>
      </c>
      <c r="F7806" s="19" t="str">
        <f>IFERROR(__xludf.DUMMYFUNCTION("""COMPUTED_VALUE"""),"BLACK")</f>
        <v>BLACK</v>
      </c>
      <c r="G7806" s="20" t="str">
        <f>IFERROR(__xludf.DUMMYFUNCTION("""COMPUTED_VALUE"""),"Uncle Sams Cider (04/04/2023)")</f>
        <v>Uncle Sams Cider (04/04/2023)</v>
      </c>
      <c r="H7806" s="19"/>
    </row>
    <row r="7807">
      <c r="A7807" s="9"/>
      <c r="B7807" s="15"/>
      <c r="C7807" s="9">
        <f>IFERROR(__xludf.DUMMYFUNCTION("""COMPUTED_VALUE"""),45062.3383561111)</f>
        <v>45062.33836</v>
      </c>
      <c r="D7807" s="15">
        <f>IFERROR(__xludf.DUMMYFUNCTION("""COMPUTED_VALUE"""),1.014)</f>
        <v>1.014</v>
      </c>
      <c r="E7807" s="16">
        <f>IFERROR(__xludf.DUMMYFUNCTION("""COMPUTED_VALUE"""),66.0)</f>
        <v>66</v>
      </c>
      <c r="F7807" s="19" t="str">
        <f>IFERROR(__xludf.DUMMYFUNCTION("""COMPUTED_VALUE"""),"BLACK")</f>
        <v>BLACK</v>
      </c>
      <c r="G7807" s="20" t="str">
        <f>IFERROR(__xludf.DUMMYFUNCTION("""COMPUTED_VALUE"""),"Uncle Sams Cider (04/04/2023)")</f>
        <v>Uncle Sams Cider (04/04/2023)</v>
      </c>
      <c r="H7807" s="19"/>
    </row>
    <row r="7808">
      <c r="A7808" s="9"/>
      <c r="B7808" s="15"/>
      <c r="C7808" s="9">
        <f>IFERROR(__xludf.DUMMYFUNCTION("""COMPUTED_VALUE"""),45062.3279257754)</f>
        <v>45062.32793</v>
      </c>
      <c r="D7808" s="15">
        <f>IFERROR(__xludf.DUMMYFUNCTION("""COMPUTED_VALUE"""),1.015)</f>
        <v>1.015</v>
      </c>
      <c r="E7808" s="16">
        <f>IFERROR(__xludf.DUMMYFUNCTION("""COMPUTED_VALUE"""),66.0)</f>
        <v>66</v>
      </c>
      <c r="F7808" s="19" t="str">
        <f>IFERROR(__xludf.DUMMYFUNCTION("""COMPUTED_VALUE"""),"BLACK")</f>
        <v>BLACK</v>
      </c>
      <c r="G7808" s="20" t="str">
        <f>IFERROR(__xludf.DUMMYFUNCTION("""COMPUTED_VALUE"""),"Uncle Sams Cider (04/04/2023)")</f>
        <v>Uncle Sams Cider (04/04/2023)</v>
      </c>
      <c r="H7808" s="19"/>
    </row>
    <row r="7809">
      <c r="A7809" s="9"/>
      <c r="B7809" s="15"/>
      <c r="C7809" s="9">
        <f>IFERROR(__xludf.DUMMYFUNCTION("""COMPUTED_VALUE"""),45062.3175057986)</f>
        <v>45062.31751</v>
      </c>
      <c r="D7809" s="15">
        <f>IFERROR(__xludf.DUMMYFUNCTION("""COMPUTED_VALUE"""),1.015)</f>
        <v>1.015</v>
      </c>
      <c r="E7809" s="16">
        <f>IFERROR(__xludf.DUMMYFUNCTION("""COMPUTED_VALUE"""),66.0)</f>
        <v>66</v>
      </c>
      <c r="F7809" s="19" t="str">
        <f>IFERROR(__xludf.DUMMYFUNCTION("""COMPUTED_VALUE"""),"BLACK")</f>
        <v>BLACK</v>
      </c>
      <c r="G7809" s="20" t="str">
        <f>IFERROR(__xludf.DUMMYFUNCTION("""COMPUTED_VALUE"""),"Uncle Sams Cider (04/04/2023)")</f>
        <v>Uncle Sams Cider (04/04/2023)</v>
      </c>
      <c r="H7809" s="19"/>
    </row>
    <row r="7810">
      <c r="A7810" s="9"/>
      <c r="B7810" s="15"/>
      <c r="C7810" s="9">
        <f>IFERROR(__xludf.DUMMYFUNCTION("""COMPUTED_VALUE"""),45062.3070743402)</f>
        <v>45062.30707</v>
      </c>
      <c r="D7810" s="15">
        <f>IFERROR(__xludf.DUMMYFUNCTION("""COMPUTED_VALUE"""),1.015)</f>
        <v>1.015</v>
      </c>
      <c r="E7810" s="16">
        <f>IFERROR(__xludf.DUMMYFUNCTION("""COMPUTED_VALUE"""),66.0)</f>
        <v>66</v>
      </c>
      <c r="F7810" s="19" t="str">
        <f>IFERROR(__xludf.DUMMYFUNCTION("""COMPUTED_VALUE"""),"BLACK")</f>
        <v>BLACK</v>
      </c>
      <c r="G7810" s="20" t="str">
        <f>IFERROR(__xludf.DUMMYFUNCTION("""COMPUTED_VALUE"""),"Uncle Sams Cider (04/04/2023)")</f>
        <v>Uncle Sams Cider (04/04/2023)</v>
      </c>
      <c r="H7810" s="19"/>
    </row>
    <row r="7811">
      <c r="A7811" s="9"/>
      <c r="B7811" s="15"/>
      <c r="C7811" s="9">
        <f>IFERROR(__xludf.DUMMYFUNCTION("""COMPUTED_VALUE"""),45062.296640949)</f>
        <v>45062.29664</v>
      </c>
      <c r="D7811" s="15">
        <f>IFERROR(__xludf.DUMMYFUNCTION("""COMPUTED_VALUE"""),1.015)</f>
        <v>1.015</v>
      </c>
      <c r="E7811" s="16">
        <f>IFERROR(__xludf.DUMMYFUNCTION("""COMPUTED_VALUE"""),66.0)</f>
        <v>66</v>
      </c>
      <c r="F7811" s="19" t="str">
        <f>IFERROR(__xludf.DUMMYFUNCTION("""COMPUTED_VALUE"""),"BLACK")</f>
        <v>BLACK</v>
      </c>
      <c r="G7811" s="20" t="str">
        <f>IFERROR(__xludf.DUMMYFUNCTION("""COMPUTED_VALUE"""),"Uncle Sams Cider (04/04/2023)")</f>
        <v>Uncle Sams Cider (04/04/2023)</v>
      </c>
      <c r="H7811" s="19"/>
    </row>
    <row r="7812">
      <c r="A7812" s="9"/>
      <c r="B7812" s="15"/>
      <c r="C7812" s="9">
        <f>IFERROR(__xludf.DUMMYFUNCTION("""COMPUTED_VALUE"""),45062.2862175115)</f>
        <v>45062.28622</v>
      </c>
      <c r="D7812" s="15">
        <f>IFERROR(__xludf.DUMMYFUNCTION("""COMPUTED_VALUE"""),1.015)</f>
        <v>1.015</v>
      </c>
      <c r="E7812" s="16">
        <f>IFERROR(__xludf.DUMMYFUNCTION("""COMPUTED_VALUE"""),66.0)</f>
        <v>66</v>
      </c>
      <c r="F7812" s="19" t="str">
        <f>IFERROR(__xludf.DUMMYFUNCTION("""COMPUTED_VALUE"""),"BLACK")</f>
        <v>BLACK</v>
      </c>
      <c r="G7812" s="20" t="str">
        <f>IFERROR(__xludf.DUMMYFUNCTION("""COMPUTED_VALUE"""),"Uncle Sams Cider (04/04/2023)")</f>
        <v>Uncle Sams Cider (04/04/2023)</v>
      </c>
      <c r="H7812" s="19"/>
    </row>
    <row r="7813">
      <c r="A7813" s="9"/>
      <c r="B7813" s="15"/>
      <c r="C7813" s="9">
        <f>IFERROR(__xludf.DUMMYFUNCTION("""COMPUTED_VALUE"""),45062.2757729282)</f>
        <v>45062.27577</v>
      </c>
      <c r="D7813" s="15">
        <f>IFERROR(__xludf.DUMMYFUNCTION("""COMPUTED_VALUE"""),1.015)</f>
        <v>1.015</v>
      </c>
      <c r="E7813" s="16">
        <f>IFERROR(__xludf.DUMMYFUNCTION("""COMPUTED_VALUE"""),66.0)</f>
        <v>66</v>
      </c>
      <c r="F7813" s="19" t="str">
        <f>IFERROR(__xludf.DUMMYFUNCTION("""COMPUTED_VALUE"""),"BLACK")</f>
        <v>BLACK</v>
      </c>
      <c r="G7813" s="20" t="str">
        <f>IFERROR(__xludf.DUMMYFUNCTION("""COMPUTED_VALUE"""),"Uncle Sams Cider (04/04/2023)")</f>
        <v>Uncle Sams Cider (04/04/2023)</v>
      </c>
      <c r="H7813" s="19"/>
    </row>
    <row r="7814">
      <c r="A7814" s="9"/>
      <c r="B7814" s="15"/>
      <c r="C7814" s="9">
        <f>IFERROR(__xludf.DUMMYFUNCTION("""COMPUTED_VALUE"""),45062.265338449)</f>
        <v>45062.26534</v>
      </c>
      <c r="D7814" s="15">
        <f>IFERROR(__xludf.DUMMYFUNCTION("""COMPUTED_VALUE"""),1.015)</f>
        <v>1.015</v>
      </c>
      <c r="E7814" s="16">
        <f>IFERROR(__xludf.DUMMYFUNCTION("""COMPUTED_VALUE"""),66.0)</f>
        <v>66</v>
      </c>
      <c r="F7814" s="19" t="str">
        <f>IFERROR(__xludf.DUMMYFUNCTION("""COMPUTED_VALUE"""),"BLACK")</f>
        <v>BLACK</v>
      </c>
      <c r="G7814" s="20" t="str">
        <f>IFERROR(__xludf.DUMMYFUNCTION("""COMPUTED_VALUE"""),"Uncle Sams Cider (04/04/2023)")</f>
        <v>Uncle Sams Cider (04/04/2023)</v>
      </c>
      <c r="H7814" s="19"/>
    </row>
    <row r="7815">
      <c r="A7815" s="9"/>
      <c r="B7815" s="15"/>
      <c r="C7815" s="9">
        <f>IFERROR(__xludf.DUMMYFUNCTION("""COMPUTED_VALUE"""),45062.254894537)</f>
        <v>45062.25489</v>
      </c>
      <c r="D7815" s="15">
        <f>IFERROR(__xludf.DUMMYFUNCTION("""COMPUTED_VALUE"""),1.015)</f>
        <v>1.015</v>
      </c>
      <c r="E7815" s="16">
        <f>IFERROR(__xludf.DUMMYFUNCTION("""COMPUTED_VALUE"""),66.0)</f>
        <v>66</v>
      </c>
      <c r="F7815" s="19" t="str">
        <f>IFERROR(__xludf.DUMMYFUNCTION("""COMPUTED_VALUE"""),"BLACK")</f>
        <v>BLACK</v>
      </c>
      <c r="G7815" s="20" t="str">
        <f>IFERROR(__xludf.DUMMYFUNCTION("""COMPUTED_VALUE"""),"Uncle Sams Cider (04/04/2023)")</f>
        <v>Uncle Sams Cider (04/04/2023)</v>
      </c>
      <c r="H7815" s="19"/>
    </row>
    <row r="7816">
      <c r="A7816" s="9"/>
      <c r="B7816" s="15"/>
      <c r="C7816" s="9">
        <f>IFERROR(__xludf.DUMMYFUNCTION("""COMPUTED_VALUE"""),45062.2444727546)</f>
        <v>45062.24447</v>
      </c>
      <c r="D7816" s="15">
        <f>IFERROR(__xludf.DUMMYFUNCTION("""COMPUTED_VALUE"""),1.015)</f>
        <v>1.015</v>
      </c>
      <c r="E7816" s="16">
        <f>IFERROR(__xludf.DUMMYFUNCTION("""COMPUTED_VALUE"""),66.0)</f>
        <v>66</v>
      </c>
      <c r="F7816" s="19" t="str">
        <f>IFERROR(__xludf.DUMMYFUNCTION("""COMPUTED_VALUE"""),"BLACK")</f>
        <v>BLACK</v>
      </c>
      <c r="G7816" s="20" t="str">
        <f>IFERROR(__xludf.DUMMYFUNCTION("""COMPUTED_VALUE"""),"Uncle Sams Cider (04/04/2023)")</f>
        <v>Uncle Sams Cider (04/04/2023)</v>
      </c>
      <c r="H7816" s="19"/>
    </row>
    <row r="7817">
      <c r="A7817" s="9"/>
      <c r="B7817" s="15"/>
      <c r="C7817" s="9">
        <f>IFERROR(__xludf.DUMMYFUNCTION("""COMPUTED_VALUE"""),45062.2340160995)</f>
        <v>45062.23402</v>
      </c>
      <c r="D7817" s="15">
        <f>IFERROR(__xludf.DUMMYFUNCTION("""COMPUTED_VALUE"""),1.015)</f>
        <v>1.015</v>
      </c>
      <c r="E7817" s="16">
        <f>IFERROR(__xludf.DUMMYFUNCTION("""COMPUTED_VALUE"""),66.0)</f>
        <v>66</v>
      </c>
      <c r="F7817" s="19" t="str">
        <f>IFERROR(__xludf.DUMMYFUNCTION("""COMPUTED_VALUE"""),"BLACK")</f>
        <v>BLACK</v>
      </c>
      <c r="G7817" s="20" t="str">
        <f>IFERROR(__xludf.DUMMYFUNCTION("""COMPUTED_VALUE"""),"Uncle Sams Cider (04/04/2023)")</f>
        <v>Uncle Sams Cider (04/04/2023)</v>
      </c>
      <c r="H7817" s="19"/>
    </row>
    <row r="7818">
      <c r="A7818" s="9"/>
      <c r="B7818" s="15"/>
      <c r="C7818" s="9">
        <f>IFERROR(__xludf.DUMMYFUNCTION("""COMPUTED_VALUE"""),45062.2235718287)</f>
        <v>45062.22357</v>
      </c>
      <c r="D7818" s="15">
        <f>IFERROR(__xludf.DUMMYFUNCTION("""COMPUTED_VALUE"""),1.015)</f>
        <v>1.015</v>
      </c>
      <c r="E7818" s="16">
        <f>IFERROR(__xludf.DUMMYFUNCTION("""COMPUTED_VALUE"""),66.0)</f>
        <v>66</v>
      </c>
      <c r="F7818" s="19" t="str">
        <f>IFERROR(__xludf.DUMMYFUNCTION("""COMPUTED_VALUE"""),"BLACK")</f>
        <v>BLACK</v>
      </c>
      <c r="G7818" s="20" t="str">
        <f>IFERROR(__xludf.DUMMYFUNCTION("""COMPUTED_VALUE"""),"Uncle Sams Cider (04/04/2023)")</f>
        <v>Uncle Sams Cider (04/04/2023)</v>
      </c>
      <c r="H7818" s="19"/>
    </row>
    <row r="7819">
      <c r="A7819" s="9"/>
      <c r="B7819" s="15"/>
      <c r="C7819" s="9">
        <f>IFERROR(__xludf.DUMMYFUNCTION("""COMPUTED_VALUE"""),45062.2131505208)</f>
        <v>45062.21315</v>
      </c>
      <c r="D7819" s="15">
        <f>IFERROR(__xludf.DUMMYFUNCTION("""COMPUTED_VALUE"""),1.015)</f>
        <v>1.015</v>
      </c>
      <c r="E7819" s="16">
        <f>IFERROR(__xludf.DUMMYFUNCTION("""COMPUTED_VALUE"""),66.0)</f>
        <v>66</v>
      </c>
      <c r="F7819" s="19" t="str">
        <f>IFERROR(__xludf.DUMMYFUNCTION("""COMPUTED_VALUE"""),"BLACK")</f>
        <v>BLACK</v>
      </c>
      <c r="G7819" s="20" t="str">
        <f>IFERROR(__xludf.DUMMYFUNCTION("""COMPUTED_VALUE"""),"Uncle Sams Cider (04/04/2023)")</f>
        <v>Uncle Sams Cider (04/04/2023)</v>
      </c>
      <c r="H7819" s="19"/>
    </row>
    <row r="7820">
      <c r="A7820" s="9"/>
      <c r="B7820" s="15"/>
      <c r="C7820" s="9">
        <f>IFERROR(__xludf.DUMMYFUNCTION("""COMPUTED_VALUE"""),45062.2027296759)</f>
        <v>45062.20273</v>
      </c>
      <c r="D7820" s="15">
        <f>IFERROR(__xludf.DUMMYFUNCTION("""COMPUTED_VALUE"""),1.015)</f>
        <v>1.015</v>
      </c>
      <c r="E7820" s="16">
        <f>IFERROR(__xludf.DUMMYFUNCTION("""COMPUTED_VALUE"""),66.0)</f>
        <v>66</v>
      </c>
      <c r="F7820" s="19" t="str">
        <f>IFERROR(__xludf.DUMMYFUNCTION("""COMPUTED_VALUE"""),"BLACK")</f>
        <v>BLACK</v>
      </c>
      <c r="G7820" s="20" t="str">
        <f>IFERROR(__xludf.DUMMYFUNCTION("""COMPUTED_VALUE"""),"Uncle Sams Cider (04/04/2023)")</f>
        <v>Uncle Sams Cider (04/04/2023)</v>
      </c>
      <c r="H7820" s="19"/>
    </row>
    <row r="7821">
      <c r="A7821" s="9"/>
      <c r="B7821" s="15"/>
      <c r="C7821" s="9">
        <f>IFERROR(__xludf.DUMMYFUNCTION("""COMPUTED_VALUE"""),45062.1922856713)</f>
        <v>45062.19229</v>
      </c>
      <c r="D7821" s="15">
        <f>IFERROR(__xludf.DUMMYFUNCTION("""COMPUTED_VALUE"""),1.015)</f>
        <v>1.015</v>
      </c>
      <c r="E7821" s="16">
        <f>IFERROR(__xludf.DUMMYFUNCTION("""COMPUTED_VALUE"""),66.0)</f>
        <v>66</v>
      </c>
      <c r="F7821" s="19" t="str">
        <f>IFERROR(__xludf.DUMMYFUNCTION("""COMPUTED_VALUE"""),"BLACK")</f>
        <v>BLACK</v>
      </c>
      <c r="G7821" s="20" t="str">
        <f>IFERROR(__xludf.DUMMYFUNCTION("""COMPUTED_VALUE"""),"Uncle Sams Cider (04/04/2023)")</f>
        <v>Uncle Sams Cider (04/04/2023)</v>
      </c>
      <c r="H7821" s="19"/>
    </row>
    <row r="7822">
      <c r="A7822" s="9"/>
      <c r="B7822" s="15"/>
      <c r="C7822" s="9">
        <f>IFERROR(__xludf.DUMMYFUNCTION("""COMPUTED_VALUE"""),45062.1818512963)</f>
        <v>45062.18185</v>
      </c>
      <c r="D7822" s="15">
        <f>IFERROR(__xludf.DUMMYFUNCTION("""COMPUTED_VALUE"""),1.015)</f>
        <v>1.015</v>
      </c>
      <c r="E7822" s="16">
        <f>IFERROR(__xludf.DUMMYFUNCTION("""COMPUTED_VALUE"""),66.0)</f>
        <v>66</v>
      </c>
      <c r="F7822" s="19" t="str">
        <f>IFERROR(__xludf.DUMMYFUNCTION("""COMPUTED_VALUE"""),"BLACK")</f>
        <v>BLACK</v>
      </c>
      <c r="G7822" s="20" t="str">
        <f>IFERROR(__xludf.DUMMYFUNCTION("""COMPUTED_VALUE"""),"Uncle Sams Cider (04/04/2023)")</f>
        <v>Uncle Sams Cider (04/04/2023)</v>
      </c>
      <c r="H7822" s="19"/>
    </row>
    <row r="7823">
      <c r="A7823" s="9"/>
      <c r="B7823" s="15"/>
      <c r="C7823" s="9">
        <f>IFERROR(__xludf.DUMMYFUNCTION("""COMPUTED_VALUE"""),45062.171395868)</f>
        <v>45062.1714</v>
      </c>
      <c r="D7823" s="15">
        <f>IFERROR(__xludf.DUMMYFUNCTION("""COMPUTED_VALUE"""),1.015)</f>
        <v>1.015</v>
      </c>
      <c r="E7823" s="16">
        <f>IFERROR(__xludf.DUMMYFUNCTION("""COMPUTED_VALUE"""),66.0)</f>
        <v>66</v>
      </c>
      <c r="F7823" s="19" t="str">
        <f>IFERROR(__xludf.DUMMYFUNCTION("""COMPUTED_VALUE"""),"BLACK")</f>
        <v>BLACK</v>
      </c>
      <c r="G7823" s="20" t="str">
        <f>IFERROR(__xludf.DUMMYFUNCTION("""COMPUTED_VALUE"""),"Uncle Sams Cider (04/04/2023)")</f>
        <v>Uncle Sams Cider (04/04/2023)</v>
      </c>
      <c r="H7823" s="19"/>
    </row>
    <row r="7824">
      <c r="A7824" s="9"/>
      <c r="B7824" s="15"/>
      <c r="C7824" s="9">
        <f>IFERROR(__xludf.DUMMYFUNCTION("""COMPUTED_VALUE"""),45062.1609748842)</f>
        <v>45062.16097</v>
      </c>
      <c r="D7824" s="15">
        <f>IFERROR(__xludf.DUMMYFUNCTION("""COMPUTED_VALUE"""),1.015)</f>
        <v>1.015</v>
      </c>
      <c r="E7824" s="16">
        <f>IFERROR(__xludf.DUMMYFUNCTION("""COMPUTED_VALUE"""),66.0)</f>
        <v>66</v>
      </c>
      <c r="F7824" s="19" t="str">
        <f>IFERROR(__xludf.DUMMYFUNCTION("""COMPUTED_VALUE"""),"BLACK")</f>
        <v>BLACK</v>
      </c>
      <c r="G7824" s="20" t="str">
        <f>IFERROR(__xludf.DUMMYFUNCTION("""COMPUTED_VALUE"""),"Uncle Sams Cider (04/04/2023)")</f>
        <v>Uncle Sams Cider (04/04/2023)</v>
      </c>
      <c r="H7824" s="19"/>
    </row>
    <row r="7825">
      <c r="A7825" s="9"/>
      <c r="B7825" s="15"/>
      <c r="C7825" s="9">
        <f>IFERROR(__xludf.DUMMYFUNCTION("""COMPUTED_VALUE"""),45062.150518449)</f>
        <v>45062.15052</v>
      </c>
      <c r="D7825" s="15">
        <f>IFERROR(__xludf.DUMMYFUNCTION("""COMPUTED_VALUE"""),1.015)</f>
        <v>1.015</v>
      </c>
      <c r="E7825" s="16">
        <f>IFERROR(__xludf.DUMMYFUNCTION("""COMPUTED_VALUE"""),66.0)</f>
        <v>66</v>
      </c>
      <c r="F7825" s="19" t="str">
        <f>IFERROR(__xludf.DUMMYFUNCTION("""COMPUTED_VALUE"""),"BLACK")</f>
        <v>BLACK</v>
      </c>
      <c r="G7825" s="20" t="str">
        <f>IFERROR(__xludf.DUMMYFUNCTION("""COMPUTED_VALUE"""),"Uncle Sams Cider (04/04/2023)")</f>
        <v>Uncle Sams Cider (04/04/2023)</v>
      </c>
      <c r="H7825" s="19"/>
    </row>
    <row r="7826">
      <c r="A7826" s="9"/>
      <c r="B7826" s="15"/>
      <c r="C7826" s="9">
        <f>IFERROR(__xludf.DUMMYFUNCTION("""COMPUTED_VALUE"""),45062.1400851157)</f>
        <v>45062.14009</v>
      </c>
      <c r="D7826" s="15">
        <f>IFERROR(__xludf.DUMMYFUNCTION("""COMPUTED_VALUE"""),1.015)</f>
        <v>1.015</v>
      </c>
      <c r="E7826" s="16">
        <f>IFERROR(__xludf.DUMMYFUNCTION("""COMPUTED_VALUE"""),66.0)</f>
        <v>66</v>
      </c>
      <c r="F7826" s="19" t="str">
        <f>IFERROR(__xludf.DUMMYFUNCTION("""COMPUTED_VALUE"""),"BLACK")</f>
        <v>BLACK</v>
      </c>
      <c r="G7826" s="20" t="str">
        <f>IFERROR(__xludf.DUMMYFUNCTION("""COMPUTED_VALUE"""),"Uncle Sams Cider (04/04/2023)")</f>
        <v>Uncle Sams Cider (04/04/2023)</v>
      </c>
      <c r="H7826" s="19"/>
    </row>
    <row r="7827">
      <c r="A7827" s="9"/>
      <c r="B7827" s="15"/>
      <c r="C7827" s="9">
        <f>IFERROR(__xludf.DUMMYFUNCTION("""COMPUTED_VALUE"""),45062.1296538888)</f>
        <v>45062.12965</v>
      </c>
      <c r="D7827" s="15">
        <f>IFERROR(__xludf.DUMMYFUNCTION("""COMPUTED_VALUE"""),1.015)</f>
        <v>1.015</v>
      </c>
      <c r="E7827" s="16">
        <f>IFERROR(__xludf.DUMMYFUNCTION("""COMPUTED_VALUE"""),66.0)</f>
        <v>66</v>
      </c>
      <c r="F7827" s="19" t="str">
        <f>IFERROR(__xludf.DUMMYFUNCTION("""COMPUTED_VALUE"""),"BLACK")</f>
        <v>BLACK</v>
      </c>
      <c r="G7827" s="20" t="str">
        <f>IFERROR(__xludf.DUMMYFUNCTION("""COMPUTED_VALUE"""),"Uncle Sams Cider (04/04/2023)")</f>
        <v>Uncle Sams Cider (04/04/2023)</v>
      </c>
      <c r="H7827" s="19"/>
    </row>
    <row r="7828">
      <c r="A7828" s="9"/>
      <c r="B7828" s="15"/>
      <c r="C7828" s="9">
        <f>IFERROR(__xludf.DUMMYFUNCTION("""COMPUTED_VALUE"""),45062.1192324768)</f>
        <v>45062.11923</v>
      </c>
      <c r="D7828" s="15">
        <f>IFERROR(__xludf.DUMMYFUNCTION("""COMPUTED_VALUE"""),1.015)</f>
        <v>1.015</v>
      </c>
      <c r="E7828" s="16">
        <f>IFERROR(__xludf.DUMMYFUNCTION("""COMPUTED_VALUE"""),66.0)</f>
        <v>66</v>
      </c>
      <c r="F7828" s="19" t="str">
        <f>IFERROR(__xludf.DUMMYFUNCTION("""COMPUTED_VALUE"""),"BLACK")</f>
        <v>BLACK</v>
      </c>
      <c r="G7828" s="20" t="str">
        <f>IFERROR(__xludf.DUMMYFUNCTION("""COMPUTED_VALUE"""),"Uncle Sams Cider (04/04/2023)")</f>
        <v>Uncle Sams Cider (04/04/2023)</v>
      </c>
      <c r="H7828" s="19"/>
    </row>
    <row r="7829">
      <c r="A7829" s="9"/>
      <c r="B7829" s="15"/>
      <c r="C7829" s="9">
        <f>IFERROR(__xludf.DUMMYFUNCTION("""COMPUTED_VALUE"""),45062.1087993518)</f>
        <v>45062.1088</v>
      </c>
      <c r="D7829" s="15">
        <f>IFERROR(__xludf.DUMMYFUNCTION("""COMPUTED_VALUE"""),1.015)</f>
        <v>1.015</v>
      </c>
      <c r="E7829" s="16">
        <f>IFERROR(__xludf.DUMMYFUNCTION("""COMPUTED_VALUE"""),66.0)</f>
        <v>66</v>
      </c>
      <c r="F7829" s="19" t="str">
        <f>IFERROR(__xludf.DUMMYFUNCTION("""COMPUTED_VALUE"""),"BLACK")</f>
        <v>BLACK</v>
      </c>
      <c r="G7829" s="20" t="str">
        <f>IFERROR(__xludf.DUMMYFUNCTION("""COMPUTED_VALUE"""),"Uncle Sams Cider (04/04/2023)")</f>
        <v>Uncle Sams Cider (04/04/2023)</v>
      </c>
      <c r="H7829" s="19"/>
    </row>
    <row r="7830">
      <c r="A7830" s="9"/>
      <c r="B7830" s="15"/>
      <c r="C7830" s="9">
        <f>IFERROR(__xludf.DUMMYFUNCTION("""COMPUTED_VALUE"""),45062.0983786226)</f>
        <v>45062.09838</v>
      </c>
      <c r="D7830" s="15">
        <f>IFERROR(__xludf.DUMMYFUNCTION("""COMPUTED_VALUE"""),1.015)</f>
        <v>1.015</v>
      </c>
      <c r="E7830" s="16">
        <f>IFERROR(__xludf.DUMMYFUNCTION("""COMPUTED_VALUE"""),66.0)</f>
        <v>66</v>
      </c>
      <c r="F7830" s="19" t="str">
        <f>IFERROR(__xludf.DUMMYFUNCTION("""COMPUTED_VALUE"""),"BLACK")</f>
        <v>BLACK</v>
      </c>
      <c r="G7830" s="20" t="str">
        <f>IFERROR(__xludf.DUMMYFUNCTION("""COMPUTED_VALUE"""),"Uncle Sams Cider (04/04/2023)")</f>
        <v>Uncle Sams Cider (04/04/2023)</v>
      </c>
      <c r="H7830" s="19"/>
    </row>
    <row r="7831">
      <c r="A7831" s="9"/>
      <c r="B7831" s="15"/>
      <c r="C7831" s="9">
        <f>IFERROR(__xludf.DUMMYFUNCTION("""COMPUTED_VALUE"""),45062.0879583333)</f>
        <v>45062.08796</v>
      </c>
      <c r="D7831" s="15">
        <f>IFERROR(__xludf.DUMMYFUNCTION("""COMPUTED_VALUE"""),1.015)</f>
        <v>1.015</v>
      </c>
      <c r="E7831" s="16">
        <f>IFERROR(__xludf.DUMMYFUNCTION("""COMPUTED_VALUE"""),66.0)</f>
        <v>66</v>
      </c>
      <c r="F7831" s="19" t="str">
        <f>IFERROR(__xludf.DUMMYFUNCTION("""COMPUTED_VALUE"""),"BLACK")</f>
        <v>BLACK</v>
      </c>
      <c r="G7831" s="20" t="str">
        <f>IFERROR(__xludf.DUMMYFUNCTION("""COMPUTED_VALUE"""),"Uncle Sams Cider (04/04/2023)")</f>
        <v>Uncle Sams Cider (04/04/2023)</v>
      </c>
      <c r="H7831" s="19"/>
    </row>
    <row r="7832">
      <c r="A7832" s="9"/>
      <c r="B7832" s="15"/>
      <c r="C7832" s="9">
        <f>IFERROR(__xludf.DUMMYFUNCTION("""COMPUTED_VALUE"""),45062.0775366666)</f>
        <v>45062.07754</v>
      </c>
      <c r="D7832" s="15">
        <f>IFERROR(__xludf.DUMMYFUNCTION("""COMPUTED_VALUE"""),1.015)</f>
        <v>1.015</v>
      </c>
      <c r="E7832" s="16">
        <f>IFERROR(__xludf.DUMMYFUNCTION("""COMPUTED_VALUE"""),66.0)</f>
        <v>66</v>
      </c>
      <c r="F7832" s="19" t="str">
        <f>IFERROR(__xludf.DUMMYFUNCTION("""COMPUTED_VALUE"""),"BLACK")</f>
        <v>BLACK</v>
      </c>
      <c r="G7832" s="20" t="str">
        <f>IFERROR(__xludf.DUMMYFUNCTION("""COMPUTED_VALUE"""),"Uncle Sams Cider (04/04/2023)")</f>
        <v>Uncle Sams Cider (04/04/2023)</v>
      </c>
      <c r="H7832" s="19"/>
    </row>
    <row r="7833">
      <c r="A7833" s="9"/>
      <c r="B7833" s="15"/>
      <c r="C7833" s="9">
        <f>IFERROR(__xludf.DUMMYFUNCTION("""COMPUTED_VALUE"""),45062.067115162)</f>
        <v>45062.06712</v>
      </c>
      <c r="D7833" s="15">
        <f>IFERROR(__xludf.DUMMYFUNCTION("""COMPUTED_VALUE"""),1.015)</f>
        <v>1.015</v>
      </c>
      <c r="E7833" s="16">
        <f>IFERROR(__xludf.DUMMYFUNCTION("""COMPUTED_VALUE"""),66.0)</f>
        <v>66</v>
      </c>
      <c r="F7833" s="19" t="str">
        <f>IFERROR(__xludf.DUMMYFUNCTION("""COMPUTED_VALUE"""),"BLACK")</f>
        <v>BLACK</v>
      </c>
      <c r="G7833" s="20" t="str">
        <f>IFERROR(__xludf.DUMMYFUNCTION("""COMPUTED_VALUE"""),"Uncle Sams Cider (04/04/2023)")</f>
        <v>Uncle Sams Cider (04/04/2023)</v>
      </c>
      <c r="H7833" s="19"/>
    </row>
    <row r="7834">
      <c r="A7834" s="9"/>
      <c r="B7834" s="15"/>
      <c r="C7834" s="9">
        <f>IFERROR(__xludf.DUMMYFUNCTION("""COMPUTED_VALUE"""),45062.056693206)</f>
        <v>45062.05669</v>
      </c>
      <c r="D7834" s="15">
        <f>IFERROR(__xludf.DUMMYFUNCTION("""COMPUTED_VALUE"""),1.015)</f>
        <v>1.015</v>
      </c>
      <c r="E7834" s="16">
        <f>IFERROR(__xludf.DUMMYFUNCTION("""COMPUTED_VALUE"""),66.0)</f>
        <v>66</v>
      </c>
      <c r="F7834" s="19" t="str">
        <f>IFERROR(__xludf.DUMMYFUNCTION("""COMPUTED_VALUE"""),"BLACK")</f>
        <v>BLACK</v>
      </c>
      <c r="G7834" s="20" t="str">
        <f>IFERROR(__xludf.DUMMYFUNCTION("""COMPUTED_VALUE"""),"Uncle Sams Cider (04/04/2023)")</f>
        <v>Uncle Sams Cider (04/04/2023)</v>
      </c>
      <c r="H7834" s="19"/>
    </row>
    <row r="7835">
      <c r="A7835" s="9"/>
      <c r="B7835" s="15"/>
      <c r="C7835" s="9">
        <f>IFERROR(__xludf.DUMMYFUNCTION("""COMPUTED_VALUE"""),45062.0462720949)</f>
        <v>45062.04627</v>
      </c>
      <c r="D7835" s="15">
        <f>IFERROR(__xludf.DUMMYFUNCTION("""COMPUTED_VALUE"""),1.015)</f>
        <v>1.015</v>
      </c>
      <c r="E7835" s="16">
        <f>IFERROR(__xludf.DUMMYFUNCTION("""COMPUTED_VALUE"""),66.0)</f>
        <v>66</v>
      </c>
      <c r="F7835" s="19" t="str">
        <f>IFERROR(__xludf.DUMMYFUNCTION("""COMPUTED_VALUE"""),"BLACK")</f>
        <v>BLACK</v>
      </c>
      <c r="G7835" s="20" t="str">
        <f>IFERROR(__xludf.DUMMYFUNCTION("""COMPUTED_VALUE"""),"Uncle Sams Cider (04/04/2023)")</f>
        <v>Uncle Sams Cider (04/04/2023)</v>
      </c>
      <c r="H7835" s="19"/>
    </row>
    <row r="7836">
      <c r="A7836" s="9"/>
      <c r="B7836" s="15"/>
      <c r="C7836" s="9">
        <f>IFERROR(__xludf.DUMMYFUNCTION("""COMPUTED_VALUE"""),45062.0358501388)</f>
        <v>45062.03585</v>
      </c>
      <c r="D7836" s="15">
        <f>IFERROR(__xludf.DUMMYFUNCTION("""COMPUTED_VALUE"""),1.015)</f>
        <v>1.015</v>
      </c>
      <c r="E7836" s="16">
        <f>IFERROR(__xludf.DUMMYFUNCTION("""COMPUTED_VALUE"""),66.0)</f>
        <v>66</v>
      </c>
      <c r="F7836" s="19" t="str">
        <f>IFERROR(__xludf.DUMMYFUNCTION("""COMPUTED_VALUE"""),"BLACK")</f>
        <v>BLACK</v>
      </c>
      <c r="G7836" s="20" t="str">
        <f>IFERROR(__xludf.DUMMYFUNCTION("""COMPUTED_VALUE"""),"Uncle Sams Cider (04/04/2023)")</f>
        <v>Uncle Sams Cider (04/04/2023)</v>
      </c>
      <c r="H7836" s="19"/>
    </row>
    <row r="7837">
      <c r="A7837" s="9"/>
      <c r="B7837" s="15"/>
      <c r="C7837" s="9">
        <f>IFERROR(__xludf.DUMMYFUNCTION("""COMPUTED_VALUE"""),45062.0254173032)</f>
        <v>45062.02542</v>
      </c>
      <c r="D7837" s="15">
        <f>IFERROR(__xludf.DUMMYFUNCTION("""COMPUTED_VALUE"""),1.015)</f>
        <v>1.015</v>
      </c>
      <c r="E7837" s="16">
        <f>IFERROR(__xludf.DUMMYFUNCTION("""COMPUTED_VALUE"""),66.0)</f>
        <v>66</v>
      </c>
      <c r="F7837" s="19" t="str">
        <f>IFERROR(__xludf.DUMMYFUNCTION("""COMPUTED_VALUE"""),"BLACK")</f>
        <v>BLACK</v>
      </c>
      <c r="G7837" s="20" t="str">
        <f>IFERROR(__xludf.DUMMYFUNCTION("""COMPUTED_VALUE"""),"Uncle Sams Cider (04/04/2023)")</f>
        <v>Uncle Sams Cider (04/04/2023)</v>
      </c>
      <c r="H7837" s="19"/>
    </row>
    <row r="7838">
      <c r="A7838" s="9"/>
      <c r="B7838" s="15"/>
      <c r="C7838" s="9">
        <f>IFERROR(__xludf.DUMMYFUNCTION("""COMPUTED_VALUE"""),45062.0149857175)</f>
        <v>45062.01499</v>
      </c>
      <c r="D7838" s="15">
        <f>IFERROR(__xludf.DUMMYFUNCTION("""COMPUTED_VALUE"""),1.015)</f>
        <v>1.015</v>
      </c>
      <c r="E7838" s="16">
        <f>IFERROR(__xludf.DUMMYFUNCTION("""COMPUTED_VALUE"""),66.0)</f>
        <v>66</v>
      </c>
      <c r="F7838" s="19" t="str">
        <f>IFERROR(__xludf.DUMMYFUNCTION("""COMPUTED_VALUE"""),"BLACK")</f>
        <v>BLACK</v>
      </c>
      <c r="G7838" s="20" t="str">
        <f>IFERROR(__xludf.DUMMYFUNCTION("""COMPUTED_VALUE"""),"Uncle Sams Cider (04/04/2023)")</f>
        <v>Uncle Sams Cider (04/04/2023)</v>
      </c>
      <c r="H7838" s="19"/>
    </row>
    <row r="7839">
      <c r="A7839" s="9"/>
      <c r="B7839" s="15"/>
      <c r="C7839" s="9">
        <f>IFERROR(__xludf.DUMMYFUNCTION("""COMPUTED_VALUE"""),45062.0045541088)</f>
        <v>45062.00455</v>
      </c>
      <c r="D7839" s="15">
        <f>IFERROR(__xludf.DUMMYFUNCTION("""COMPUTED_VALUE"""),1.015)</f>
        <v>1.015</v>
      </c>
      <c r="E7839" s="16">
        <f>IFERROR(__xludf.DUMMYFUNCTION("""COMPUTED_VALUE"""),66.0)</f>
        <v>66</v>
      </c>
      <c r="F7839" s="19" t="str">
        <f>IFERROR(__xludf.DUMMYFUNCTION("""COMPUTED_VALUE"""),"BLACK")</f>
        <v>BLACK</v>
      </c>
      <c r="G7839" s="20" t="str">
        <f>IFERROR(__xludf.DUMMYFUNCTION("""COMPUTED_VALUE"""),"Uncle Sams Cider (04/04/2023)")</f>
        <v>Uncle Sams Cider (04/04/2023)</v>
      </c>
      <c r="H7839" s="19"/>
    </row>
    <row r="7840">
      <c r="A7840" s="9"/>
      <c r="B7840" s="15"/>
      <c r="C7840" s="9">
        <f>IFERROR(__xludf.DUMMYFUNCTION("""COMPUTED_VALUE"""),45061.994121956)</f>
        <v>45061.99412</v>
      </c>
      <c r="D7840" s="15">
        <f>IFERROR(__xludf.DUMMYFUNCTION("""COMPUTED_VALUE"""),1.015)</f>
        <v>1.015</v>
      </c>
      <c r="E7840" s="16">
        <f>IFERROR(__xludf.DUMMYFUNCTION("""COMPUTED_VALUE"""),66.0)</f>
        <v>66</v>
      </c>
      <c r="F7840" s="19" t="str">
        <f>IFERROR(__xludf.DUMMYFUNCTION("""COMPUTED_VALUE"""),"BLACK")</f>
        <v>BLACK</v>
      </c>
      <c r="G7840" s="20" t="str">
        <f>IFERROR(__xludf.DUMMYFUNCTION("""COMPUTED_VALUE"""),"Uncle Sams Cider (04/04/2023)")</f>
        <v>Uncle Sams Cider (04/04/2023)</v>
      </c>
      <c r="H7840" s="19"/>
    </row>
    <row r="7841">
      <c r="A7841" s="9"/>
      <c r="B7841" s="15"/>
      <c r="C7841" s="9">
        <f>IFERROR(__xludf.DUMMYFUNCTION("""COMPUTED_VALUE"""),45061.9836649305)</f>
        <v>45061.98366</v>
      </c>
      <c r="D7841" s="15">
        <f>IFERROR(__xludf.DUMMYFUNCTION("""COMPUTED_VALUE"""),1.015)</f>
        <v>1.015</v>
      </c>
      <c r="E7841" s="16">
        <f>IFERROR(__xludf.DUMMYFUNCTION("""COMPUTED_VALUE"""),66.0)</f>
        <v>66</v>
      </c>
      <c r="F7841" s="19" t="str">
        <f>IFERROR(__xludf.DUMMYFUNCTION("""COMPUTED_VALUE"""),"BLACK")</f>
        <v>BLACK</v>
      </c>
      <c r="G7841" s="20" t="str">
        <f>IFERROR(__xludf.DUMMYFUNCTION("""COMPUTED_VALUE"""),"Uncle Sams Cider (04/04/2023)")</f>
        <v>Uncle Sams Cider (04/04/2023)</v>
      </c>
      <c r="H7841" s="19"/>
    </row>
    <row r="7842">
      <c r="A7842" s="9"/>
      <c r="B7842" s="15"/>
      <c r="C7842" s="9">
        <f>IFERROR(__xludf.DUMMYFUNCTION("""COMPUTED_VALUE"""),45061.9732320717)</f>
        <v>45061.97323</v>
      </c>
      <c r="D7842" s="15">
        <f>IFERROR(__xludf.DUMMYFUNCTION("""COMPUTED_VALUE"""),1.015)</f>
        <v>1.015</v>
      </c>
      <c r="E7842" s="16">
        <f>IFERROR(__xludf.DUMMYFUNCTION("""COMPUTED_VALUE"""),66.0)</f>
        <v>66</v>
      </c>
      <c r="F7842" s="19" t="str">
        <f>IFERROR(__xludf.DUMMYFUNCTION("""COMPUTED_VALUE"""),"BLACK")</f>
        <v>BLACK</v>
      </c>
      <c r="G7842" s="20" t="str">
        <f>IFERROR(__xludf.DUMMYFUNCTION("""COMPUTED_VALUE"""),"Uncle Sams Cider (04/04/2023)")</f>
        <v>Uncle Sams Cider (04/04/2023)</v>
      </c>
      <c r="H7842" s="19"/>
    </row>
    <row r="7843">
      <c r="A7843" s="9"/>
      <c r="B7843" s="15"/>
      <c r="C7843" s="9">
        <f>IFERROR(__xludf.DUMMYFUNCTION("""COMPUTED_VALUE"""),45061.9628117824)</f>
        <v>45061.96281</v>
      </c>
      <c r="D7843" s="15">
        <f>IFERROR(__xludf.DUMMYFUNCTION("""COMPUTED_VALUE"""),1.015)</f>
        <v>1.015</v>
      </c>
      <c r="E7843" s="16">
        <f>IFERROR(__xludf.DUMMYFUNCTION("""COMPUTED_VALUE"""),66.0)</f>
        <v>66</v>
      </c>
      <c r="F7843" s="19" t="str">
        <f>IFERROR(__xludf.DUMMYFUNCTION("""COMPUTED_VALUE"""),"BLACK")</f>
        <v>BLACK</v>
      </c>
      <c r="G7843" s="20" t="str">
        <f>IFERROR(__xludf.DUMMYFUNCTION("""COMPUTED_VALUE"""),"Uncle Sams Cider (04/04/2023)")</f>
        <v>Uncle Sams Cider (04/04/2023)</v>
      </c>
      <c r="H7843" s="19"/>
    </row>
    <row r="7844">
      <c r="A7844" s="9"/>
      <c r="B7844" s="15"/>
      <c r="C7844" s="9">
        <f>IFERROR(__xludf.DUMMYFUNCTION("""COMPUTED_VALUE"""),45061.9523893287)</f>
        <v>45061.95239</v>
      </c>
      <c r="D7844" s="15">
        <f>IFERROR(__xludf.DUMMYFUNCTION("""COMPUTED_VALUE"""),1.015)</f>
        <v>1.015</v>
      </c>
      <c r="E7844" s="16">
        <f>IFERROR(__xludf.DUMMYFUNCTION("""COMPUTED_VALUE"""),66.0)</f>
        <v>66</v>
      </c>
      <c r="F7844" s="19" t="str">
        <f>IFERROR(__xludf.DUMMYFUNCTION("""COMPUTED_VALUE"""),"BLACK")</f>
        <v>BLACK</v>
      </c>
      <c r="G7844" s="20" t="str">
        <f>IFERROR(__xludf.DUMMYFUNCTION("""COMPUTED_VALUE"""),"Uncle Sams Cider (04/04/2023)")</f>
        <v>Uncle Sams Cider (04/04/2023)</v>
      </c>
      <c r="H7844" s="19"/>
    </row>
    <row r="7845">
      <c r="A7845" s="9"/>
      <c r="B7845" s="15"/>
      <c r="C7845" s="9">
        <f>IFERROR(__xludf.DUMMYFUNCTION("""COMPUTED_VALUE"""),45061.9419672222)</f>
        <v>45061.94197</v>
      </c>
      <c r="D7845" s="15">
        <f>IFERROR(__xludf.DUMMYFUNCTION("""COMPUTED_VALUE"""),1.015)</f>
        <v>1.015</v>
      </c>
      <c r="E7845" s="16">
        <f>IFERROR(__xludf.DUMMYFUNCTION("""COMPUTED_VALUE"""),66.0)</f>
        <v>66</v>
      </c>
      <c r="F7845" s="19" t="str">
        <f>IFERROR(__xludf.DUMMYFUNCTION("""COMPUTED_VALUE"""),"BLACK")</f>
        <v>BLACK</v>
      </c>
      <c r="G7845" s="20" t="str">
        <f>IFERROR(__xludf.DUMMYFUNCTION("""COMPUTED_VALUE"""),"Uncle Sams Cider (04/04/2023)")</f>
        <v>Uncle Sams Cider (04/04/2023)</v>
      </c>
      <c r="H7845" s="19"/>
    </row>
    <row r="7846">
      <c r="A7846" s="9"/>
      <c r="B7846" s="15"/>
      <c r="C7846" s="9">
        <f>IFERROR(__xludf.DUMMYFUNCTION("""COMPUTED_VALUE"""),45061.9315111689)</f>
        <v>45061.93151</v>
      </c>
      <c r="D7846" s="15">
        <f>IFERROR(__xludf.DUMMYFUNCTION("""COMPUTED_VALUE"""),1.015)</f>
        <v>1.015</v>
      </c>
      <c r="E7846" s="16">
        <f>IFERROR(__xludf.DUMMYFUNCTION("""COMPUTED_VALUE"""),66.0)</f>
        <v>66</v>
      </c>
      <c r="F7846" s="19" t="str">
        <f>IFERROR(__xludf.DUMMYFUNCTION("""COMPUTED_VALUE"""),"BLACK")</f>
        <v>BLACK</v>
      </c>
      <c r="G7846" s="20" t="str">
        <f>IFERROR(__xludf.DUMMYFUNCTION("""COMPUTED_VALUE"""),"Uncle Sams Cider (04/04/2023)")</f>
        <v>Uncle Sams Cider (04/04/2023)</v>
      </c>
      <c r="H7846" s="19"/>
    </row>
    <row r="7847">
      <c r="A7847" s="9"/>
      <c r="B7847" s="15"/>
      <c r="C7847" s="9">
        <f>IFERROR(__xludf.DUMMYFUNCTION("""COMPUTED_VALUE"""),45061.9210767361)</f>
        <v>45061.92108</v>
      </c>
      <c r="D7847" s="15">
        <f>IFERROR(__xludf.DUMMYFUNCTION("""COMPUTED_VALUE"""),1.015)</f>
        <v>1.015</v>
      </c>
      <c r="E7847" s="16">
        <f>IFERROR(__xludf.DUMMYFUNCTION("""COMPUTED_VALUE"""),66.0)</f>
        <v>66</v>
      </c>
      <c r="F7847" s="19" t="str">
        <f>IFERROR(__xludf.DUMMYFUNCTION("""COMPUTED_VALUE"""),"BLACK")</f>
        <v>BLACK</v>
      </c>
      <c r="G7847" s="20" t="str">
        <f>IFERROR(__xludf.DUMMYFUNCTION("""COMPUTED_VALUE"""),"Uncle Sams Cider (04/04/2023)")</f>
        <v>Uncle Sams Cider (04/04/2023)</v>
      </c>
      <c r="H7847" s="19"/>
    </row>
    <row r="7848">
      <c r="A7848" s="9"/>
      <c r="B7848" s="15"/>
      <c r="C7848" s="9">
        <f>IFERROR(__xludf.DUMMYFUNCTION("""COMPUTED_VALUE"""),45061.9106204398)</f>
        <v>45061.91062</v>
      </c>
      <c r="D7848" s="15">
        <f>IFERROR(__xludf.DUMMYFUNCTION("""COMPUTED_VALUE"""),1.015)</f>
        <v>1.015</v>
      </c>
      <c r="E7848" s="16">
        <f>IFERROR(__xludf.DUMMYFUNCTION("""COMPUTED_VALUE"""),66.0)</f>
        <v>66</v>
      </c>
      <c r="F7848" s="19" t="str">
        <f>IFERROR(__xludf.DUMMYFUNCTION("""COMPUTED_VALUE"""),"BLACK")</f>
        <v>BLACK</v>
      </c>
      <c r="G7848" s="20" t="str">
        <f>IFERROR(__xludf.DUMMYFUNCTION("""COMPUTED_VALUE"""),"Uncle Sams Cider (04/04/2023)")</f>
        <v>Uncle Sams Cider (04/04/2023)</v>
      </c>
      <c r="H7848" s="19"/>
    </row>
    <row r="7849">
      <c r="A7849" s="9"/>
      <c r="B7849" s="15"/>
      <c r="C7849" s="9">
        <f>IFERROR(__xludf.DUMMYFUNCTION("""COMPUTED_VALUE"""),45061.9001990162)</f>
        <v>45061.9002</v>
      </c>
      <c r="D7849" s="15">
        <f>IFERROR(__xludf.DUMMYFUNCTION("""COMPUTED_VALUE"""),1.015)</f>
        <v>1.015</v>
      </c>
      <c r="E7849" s="16">
        <f>IFERROR(__xludf.DUMMYFUNCTION("""COMPUTED_VALUE"""),66.0)</f>
        <v>66</v>
      </c>
      <c r="F7849" s="19" t="str">
        <f>IFERROR(__xludf.DUMMYFUNCTION("""COMPUTED_VALUE"""),"BLACK")</f>
        <v>BLACK</v>
      </c>
      <c r="G7849" s="20" t="str">
        <f>IFERROR(__xludf.DUMMYFUNCTION("""COMPUTED_VALUE"""),"Uncle Sams Cider (04/04/2023)")</f>
        <v>Uncle Sams Cider (04/04/2023)</v>
      </c>
      <c r="H7849" s="19"/>
    </row>
    <row r="7850">
      <c r="A7850" s="9"/>
      <c r="B7850" s="15"/>
      <c r="C7850" s="9">
        <f>IFERROR(__xludf.DUMMYFUNCTION("""COMPUTED_VALUE"""),45061.8897663194)</f>
        <v>45061.88977</v>
      </c>
      <c r="D7850" s="15">
        <f>IFERROR(__xludf.DUMMYFUNCTION("""COMPUTED_VALUE"""),1.015)</f>
        <v>1.015</v>
      </c>
      <c r="E7850" s="16">
        <f>IFERROR(__xludf.DUMMYFUNCTION("""COMPUTED_VALUE"""),66.0)</f>
        <v>66</v>
      </c>
      <c r="F7850" s="19" t="str">
        <f>IFERROR(__xludf.DUMMYFUNCTION("""COMPUTED_VALUE"""),"BLACK")</f>
        <v>BLACK</v>
      </c>
      <c r="G7850" s="20" t="str">
        <f>IFERROR(__xludf.DUMMYFUNCTION("""COMPUTED_VALUE"""),"Uncle Sams Cider (04/04/2023)")</f>
        <v>Uncle Sams Cider (04/04/2023)</v>
      </c>
      <c r="H7850" s="19"/>
    </row>
    <row r="7851">
      <c r="A7851" s="9"/>
      <c r="B7851" s="15"/>
      <c r="C7851" s="9">
        <f>IFERROR(__xludf.DUMMYFUNCTION("""COMPUTED_VALUE"""),45061.8793440277)</f>
        <v>45061.87934</v>
      </c>
      <c r="D7851" s="15">
        <f>IFERROR(__xludf.DUMMYFUNCTION("""COMPUTED_VALUE"""),1.015)</f>
        <v>1.015</v>
      </c>
      <c r="E7851" s="16">
        <f>IFERROR(__xludf.DUMMYFUNCTION("""COMPUTED_VALUE"""),66.0)</f>
        <v>66</v>
      </c>
      <c r="F7851" s="19" t="str">
        <f>IFERROR(__xludf.DUMMYFUNCTION("""COMPUTED_VALUE"""),"BLACK")</f>
        <v>BLACK</v>
      </c>
      <c r="G7851" s="20" t="str">
        <f>IFERROR(__xludf.DUMMYFUNCTION("""COMPUTED_VALUE"""),"Uncle Sams Cider (04/04/2023)")</f>
        <v>Uncle Sams Cider (04/04/2023)</v>
      </c>
      <c r="H7851" s="19"/>
    </row>
    <row r="7852">
      <c r="A7852" s="9"/>
      <c r="B7852" s="15"/>
      <c r="C7852" s="9">
        <f>IFERROR(__xludf.DUMMYFUNCTION("""COMPUTED_VALUE"""),45061.8689214814)</f>
        <v>45061.86892</v>
      </c>
      <c r="D7852" s="15">
        <f>IFERROR(__xludf.DUMMYFUNCTION("""COMPUTED_VALUE"""),1.015)</f>
        <v>1.015</v>
      </c>
      <c r="E7852" s="16">
        <f>IFERROR(__xludf.DUMMYFUNCTION("""COMPUTED_VALUE"""),66.0)</f>
        <v>66</v>
      </c>
      <c r="F7852" s="19" t="str">
        <f>IFERROR(__xludf.DUMMYFUNCTION("""COMPUTED_VALUE"""),"BLACK")</f>
        <v>BLACK</v>
      </c>
      <c r="G7852" s="20" t="str">
        <f>IFERROR(__xludf.DUMMYFUNCTION("""COMPUTED_VALUE"""),"Uncle Sams Cider (04/04/2023)")</f>
        <v>Uncle Sams Cider (04/04/2023)</v>
      </c>
      <c r="H7852" s="19"/>
    </row>
    <row r="7853">
      <c r="A7853" s="9"/>
      <c r="B7853" s="15"/>
      <c r="C7853" s="9">
        <f>IFERROR(__xludf.DUMMYFUNCTION("""COMPUTED_VALUE"""),45061.8584879629)</f>
        <v>45061.85849</v>
      </c>
      <c r="D7853" s="15">
        <f>IFERROR(__xludf.DUMMYFUNCTION("""COMPUTED_VALUE"""),1.015)</f>
        <v>1.015</v>
      </c>
      <c r="E7853" s="16">
        <f>IFERROR(__xludf.DUMMYFUNCTION("""COMPUTED_VALUE"""),66.0)</f>
        <v>66</v>
      </c>
      <c r="F7853" s="19" t="str">
        <f>IFERROR(__xludf.DUMMYFUNCTION("""COMPUTED_VALUE"""),"BLACK")</f>
        <v>BLACK</v>
      </c>
      <c r="G7853" s="20" t="str">
        <f>IFERROR(__xludf.DUMMYFUNCTION("""COMPUTED_VALUE"""),"Uncle Sams Cider (04/04/2023)")</f>
        <v>Uncle Sams Cider (04/04/2023)</v>
      </c>
      <c r="H7853" s="19"/>
    </row>
    <row r="7854">
      <c r="A7854" s="9"/>
      <c r="B7854" s="15"/>
      <c r="C7854" s="9">
        <f>IFERROR(__xludf.DUMMYFUNCTION("""COMPUTED_VALUE"""),45061.8480669444)</f>
        <v>45061.84807</v>
      </c>
      <c r="D7854" s="15">
        <f>IFERROR(__xludf.DUMMYFUNCTION("""COMPUTED_VALUE"""),1.015)</f>
        <v>1.015</v>
      </c>
      <c r="E7854" s="16">
        <f>IFERROR(__xludf.DUMMYFUNCTION("""COMPUTED_VALUE"""),66.0)</f>
        <v>66</v>
      </c>
      <c r="F7854" s="19" t="str">
        <f>IFERROR(__xludf.DUMMYFUNCTION("""COMPUTED_VALUE"""),"BLACK")</f>
        <v>BLACK</v>
      </c>
      <c r="G7854" s="20" t="str">
        <f>IFERROR(__xludf.DUMMYFUNCTION("""COMPUTED_VALUE"""),"Uncle Sams Cider (04/04/2023)")</f>
        <v>Uncle Sams Cider (04/04/2023)</v>
      </c>
      <c r="H7854" s="19"/>
    </row>
    <row r="7855">
      <c r="A7855" s="9"/>
      <c r="B7855" s="15"/>
      <c r="C7855" s="9">
        <f>IFERROR(__xludf.DUMMYFUNCTION("""COMPUTED_VALUE"""),45061.8376460879)</f>
        <v>45061.83765</v>
      </c>
      <c r="D7855" s="15">
        <f>IFERROR(__xludf.DUMMYFUNCTION("""COMPUTED_VALUE"""),1.015)</f>
        <v>1.015</v>
      </c>
      <c r="E7855" s="16">
        <f>IFERROR(__xludf.DUMMYFUNCTION("""COMPUTED_VALUE"""),66.0)</f>
        <v>66</v>
      </c>
      <c r="F7855" s="19" t="str">
        <f>IFERROR(__xludf.DUMMYFUNCTION("""COMPUTED_VALUE"""),"BLACK")</f>
        <v>BLACK</v>
      </c>
      <c r="G7855" s="20" t="str">
        <f>IFERROR(__xludf.DUMMYFUNCTION("""COMPUTED_VALUE"""),"Uncle Sams Cider (04/04/2023)")</f>
        <v>Uncle Sams Cider (04/04/2023)</v>
      </c>
      <c r="H7855" s="19"/>
    </row>
    <row r="7856">
      <c r="A7856" s="9"/>
      <c r="B7856" s="15"/>
      <c r="C7856" s="9">
        <f>IFERROR(__xludf.DUMMYFUNCTION("""COMPUTED_VALUE"""),45061.8271785532)</f>
        <v>45061.82718</v>
      </c>
      <c r="D7856" s="15">
        <f>IFERROR(__xludf.DUMMYFUNCTION("""COMPUTED_VALUE"""),1.015)</f>
        <v>1.015</v>
      </c>
      <c r="E7856" s="16">
        <f>IFERROR(__xludf.DUMMYFUNCTION("""COMPUTED_VALUE"""),66.0)</f>
        <v>66</v>
      </c>
      <c r="F7856" s="19" t="str">
        <f>IFERROR(__xludf.DUMMYFUNCTION("""COMPUTED_VALUE"""),"BLACK")</f>
        <v>BLACK</v>
      </c>
      <c r="G7856" s="20" t="str">
        <f>IFERROR(__xludf.DUMMYFUNCTION("""COMPUTED_VALUE"""),"Uncle Sams Cider (04/04/2023)")</f>
        <v>Uncle Sams Cider (04/04/2023)</v>
      </c>
      <c r="H7856" s="19"/>
    </row>
    <row r="7857">
      <c r="A7857" s="9"/>
      <c r="B7857" s="15"/>
      <c r="C7857" s="9">
        <f>IFERROR(__xludf.DUMMYFUNCTION("""COMPUTED_VALUE"""),45061.8167587384)</f>
        <v>45061.81676</v>
      </c>
      <c r="D7857" s="15">
        <f>IFERROR(__xludf.DUMMYFUNCTION("""COMPUTED_VALUE"""),1.015)</f>
        <v>1.015</v>
      </c>
      <c r="E7857" s="16">
        <f>IFERROR(__xludf.DUMMYFUNCTION("""COMPUTED_VALUE"""),66.0)</f>
        <v>66</v>
      </c>
      <c r="F7857" s="19" t="str">
        <f>IFERROR(__xludf.DUMMYFUNCTION("""COMPUTED_VALUE"""),"BLACK")</f>
        <v>BLACK</v>
      </c>
      <c r="G7857" s="20" t="str">
        <f>IFERROR(__xludf.DUMMYFUNCTION("""COMPUTED_VALUE"""),"Uncle Sams Cider (04/04/2023)")</f>
        <v>Uncle Sams Cider (04/04/2023)</v>
      </c>
      <c r="H7857" s="19"/>
    </row>
    <row r="7858">
      <c r="A7858" s="9"/>
      <c r="B7858" s="15"/>
      <c r="C7858" s="9">
        <f>IFERROR(__xludf.DUMMYFUNCTION("""COMPUTED_VALUE"""),45061.8063382407)</f>
        <v>45061.80634</v>
      </c>
      <c r="D7858" s="15">
        <f>IFERROR(__xludf.DUMMYFUNCTION("""COMPUTED_VALUE"""),1.015)</f>
        <v>1.015</v>
      </c>
      <c r="E7858" s="16">
        <f>IFERROR(__xludf.DUMMYFUNCTION("""COMPUTED_VALUE"""),66.0)</f>
        <v>66</v>
      </c>
      <c r="F7858" s="19" t="str">
        <f>IFERROR(__xludf.DUMMYFUNCTION("""COMPUTED_VALUE"""),"BLACK")</f>
        <v>BLACK</v>
      </c>
      <c r="G7858" s="20" t="str">
        <f>IFERROR(__xludf.DUMMYFUNCTION("""COMPUTED_VALUE"""),"Uncle Sams Cider (04/04/2023)")</f>
        <v>Uncle Sams Cider (04/04/2023)</v>
      </c>
      <c r="H7858" s="19"/>
    </row>
    <row r="7859">
      <c r="A7859" s="9"/>
      <c r="B7859" s="15"/>
      <c r="C7859" s="9">
        <f>IFERROR(__xludf.DUMMYFUNCTION("""COMPUTED_VALUE"""),45061.7958942476)</f>
        <v>45061.79589</v>
      </c>
      <c r="D7859" s="15">
        <f>IFERROR(__xludf.DUMMYFUNCTION("""COMPUTED_VALUE"""),1.015)</f>
        <v>1.015</v>
      </c>
      <c r="E7859" s="16">
        <f>IFERROR(__xludf.DUMMYFUNCTION("""COMPUTED_VALUE"""),66.0)</f>
        <v>66</v>
      </c>
      <c r="F7859" s="19" t="str">
        <f>IFERROR(__xludf.DUMMYFUNCTION("""COMPUTED_VALUE"""),"BLACK")</f>
        <v>BLACK</v>
      </c>
      <c r="G7859" s="20" t="str">
        <f>IFERROR(__xludf.DUMMYFUNCTION("""COMPUTED_VALUE"""),"Uncle Sams Cider (04/04/2023)")</f>
        <v>Uncle Sams Cider (04/04/2023)</v>
      </c>
      <c r="H7859" s="19"/>
    </row>
    <row r="7860">
      <c r="A7860" s="9"/>
      <c r="B7860" s="15"/>
      <c r="C7860" s="9">
        <f>IFERROR(__xludf.DUMMYFUNCTION("""COMPUTED_VALUE"""),45061.7854623032)</f>
        <v>45061.78546</v>
      </c>
      <c r="D7860" s="15">
        <f>IFERROR(__xludf.DUMMYFUNCTION("""COMPUTED_VALUE"""),1.015)</f>
        <v>1.015</v>
      </c>
      <c r="E7860" s="16">
        <f>IFERROR(__xludf.DUMMYFUNCTION("""COMPUTED_VALUE"""),66.0)</f>
        <v>66</v>
      </c>
      <c r="F7860" s="19" t="str">
        <f>IFERROR(__xludf.DUMMYFUNCTION("""COMPUTED_VALUE"""),"BLACK")</f>
        <v>BLACK</v>
      </c>
      <c r="G7860" s="20" t="str">
        <f>IFERROR(__xludf.DUMMYFUNCTION("""COMPUTED_VALUE"""),"Uncle Sams Cider (04/04/2023)")</f>
        <v>Uncle Sams Cider (04/04/2023)</v>
      </c>
      <c r="H7860" s="19"/>
    </row>
    <row r="7861">
      <c r="A7861" s="9"/>
      <c r="B7861" s="15"/>
      <c r="C7861" s="9">
        <f>IFERROR(__xludf.DUMMYFUNCTION("""COMPUTED_VALUE"""),45061.7750068518)</f>
        <v>45061.77501</v>
      </c>
      <c r="D7861" s="15">
        <f>IFERROR(__xludf.DUMMYFUNCTION("""COMPUTED_VALUE"""),1.015)</f>
        <v>1.015</v>
      </c>
      <c r="E7861" s="16">
        <f>IFERROR(__xludf.DUMMYFUNCTION("""COMPUTED_VALUE"""),66.0)</f>
        <v>66</v>
      </c>
      <c r="F7861" s="19" t="str">
        <f>IFERROR(__xludf.DUMMYFUNCTION("""COMPUTED_VALUE"""),"BLACK")</f>
        <v>BLACK</v>
      </c>
      <c r="G7861" s="20" t="str">
        <f>IFERROR(__xludf.DUMMYFUNCTION("""COMPUTED_VALUE"""),"Uncle Sams Cider (04/04/2023)")</f>
        <v>Uncle Sams Cider (04/04/2023)</v>
      </c>
      <c r="H7861" s="19"/>
    </row>
    <row r="7862">
      <c r="A7862" s="9"/>
      <c r="B7862" s="15"/>
      <c r="C7862" s="9">
        <f>IFERROR(__xludf.DUMMYFUNCTION("""COMPUTED_VALUE"""),45061.7645740393)</f>
        <v>45061.76457</v>
      </c>
      <c r="D7862" s="15">
        <f>IFERROR(__xludf.DUMMYFUNCTION("""COMPUTED_VALUE"""),1.015)</f>
        <v>1.015</v>
      </c>
      <c r="E7862" s="16">
        <f>IFERROR(__xludf.DUMMYFUNCTION("""COMPUTED_VALUE"""),66.0)</f>
        <v>66</v>
      </c>
      <c r="F7862" s="19" t="str">
        <f>IFERROR(__xludf.DUMMYFUNCTION("""COMPUTED_VALUE"""),"BLACK")</f>
        <v>BLACK</v>
      </c>
      <c r="G7862" s="20" t="str">
        <f>IFERROR(__xludf.DUMMYFUNCTION("""COMPUTED_VALUE"""),"Uncle Sams Cider (04/04/2023)")</f>
        <v>Uncle Sams Cider (04/04/2023)</v>
      </c>
      <c r="H7862" s="19"/>
    </row>
    <row r="7863">
      <c r="A7863" s="9"/>
      <c r="B7863" s="15"/>
      <c r="C7863" s="9">
        <f>IFERROR(__xludf.DUMMYFUNCTION("""COMPUTED_VALUE"""),45061.7541532638)</f>
        <v>45061.75415</v>
      </c>
      <c r="D7863" s="15">
        <f>IFERROR(__xludf.DUMMYFUNCTION("""COMPUTED_VALUE"""),1.015)</f>
        <v>1.015</v>
      </c>
      <c r="E7863" s="16">
        <f>IFERROR(__xludf.DUMMYFUNCTION("""COMPUTED_VALUE"""),66.0)</f>
        <v>66</v>
      </c>
      <c r="F7863" s="19" t="str">
        <f>IFERROR(__xludf.DUMMYFUNCTION("""COMPUTED_VALUE"""),"BLACK")</f>
        <v>BLACK</v>
      </c>
      <c r="G7863" s="20" t="str">
        <f>IFERROR(__xludf.DUMMYFUNCTION("""COMPUTED_VALUE"""),"Uncle Sams Cider (04/04/2023)")</f>
        <v>Uncle Sams Cider (04/04/2023)</v>
      </c>
      <c r="H7863" s="19"/>
    </row>
    <row r="7864">
      <c r="A7864" s="9"/>
      <c r="B7864" s="15"/>
      <c r="C7864" s="9">
        <f>IFERROR(__xludf.DUMMYFUNCTION("""COMPUTED_VALUE"""),45061.7437327662)</f>
        <v>45061.74373</v>
      </c>
      <c r="D7864" s="15">
        <f>IFERROR(__xludf.DUMMYFUNCTION("""COMPUTED_VALUE"""),1.015)</f>
        <v>1.015</v>
      </c>
      <c r="E7864" s="16">
        <f>IFERROR(__xludf.DUMMYFUNCTION("""COMPUTED_VALUE"""),66.0)</f>
        <v>66</v>
      </c>
      <c r="F7864" s="19" t="str">
        <f>IFERROR(__xludf.DUMMYFUNCTION("""COMPUTED_VALUE"""),"BLACK")</f>
        <v>BLACK</v>
      </c>
      <c r="G7864" s="20" t="str">
        <f>IFERROR(__xludf.DUMMYFUNCTION("""COMPUTED_VALUE"""),"Uncle Sams Cider (04/04/2023)")</f>
        <v>Uncle Sams Cider (04/04/2023)</v>
      </c>
      <c r="H7864" s="19"/>
    </row>
    <row r="7865">
      <c r="A7865" s="9"/>
      <c r="B7865" s="15"/>
      <c r="C7865" s="9">
        <f>IFERROR(__xludf.DUMMYFUNCTION("""COMPUTED_VALUE"""),45061.7333001157)</f>
        <v>45061.7333</v>
      </c>
      <c r="D7865" s="15">
        <f>IFERROR(__xludf.DUMMYFUNCTION("""COMPUTED_VALUE"""),1.015)</f>
        <v>1.015</v>
      </c>
      <c r="E7865" s="16">
        <f>IFERROR(__xludf.DUMMYFUNCTION("""COMPUTED_VALUE"""),66.0)</f>
        <v>66</v>
      </c>
      <c r="F7865" s="19" t="str">
        <f>IFERROR(__xludf.DUMMYFUNCTION("""COMPUTED_VALUE"""),"BLACK")</f>
        <v>BLACK</v>
      </c>
      <c r="G7865" s="20" t="str">
        <f>IFERROR(__xludf.DUMMYFUNCTION("""COMPUTED_VALUE"""),"Uncle Sams Cider (04/04/2023)")</f>
        <v>Uncle Sams Cider (04/04/2023)</v>
      </c>
      <c r="H7865" s="19"/>
    </row>
    <row r="7866">
      <c r="A7866" s="9"/>
      <c r="B7866" s="15"/>
      <c r="C7866" s="9">
        <f>IFERROR(__xludf.DUMMYFUNCTION("""COMPUTED_VALUE"""),45061.7228783217)</f>
        <v>45061.72288</v>
      </c>
      <c r="D7866" s="15">
        <f>IFERROR(__xludf.DUMMYFUNCTION("""COMPUTED_VALUE"""),1.015)</f>
        <v>1.015</v>
      </c>
      <c r="E7866" s="16">
        <f>IFERROR(__xludf.DUMMYFUNCTION("""COMPUTED_VALUE"""),66.0)</f>
        <v>66</v>
      </c>
      <c r="F7866" s="19" t="str">
        <f>IFERROR(__xludf.DUMMYFUNCTION("""COMPUTED_VALUE"""),"BLACK")</f>
        <v>BLACK</v>
      </c>
      <c r="G7866" s="20" t="str">
        <f>IFERROR(__xludf.DUMMYFUNCTION("""COMPUTED_VALUE"""),"Uncle Sams Cider (04/04/2023)")</f>
        <v>Uncle Sams Cider (04/04/2023)</v>
      </c>
      <c r="H7866" s="19"/>
    </row>
    <row r="7867">
      <c r="A7867" s="9"/>
      <c r="B7867" s="15"/>
      <c r="C7867" s="9">
        <f>IFERROR(__xludf.DUMMYFUNCTION("""COMPUTED_VALUE"""),45061.7124456597)</f>
        <v>45061.71245</v>
      </c>
      <c r="D7867" s="15">
        <f>IFERROR(__xludf.DUMMYFUNCTION("""COMPUTED_VALUE"""),1.015)</f>
        <v>1.015</v>
      </c>
      <c r="E7867" s="16">
        <f>IFERROR(__xludf.DUMMYFUNCTION("""COMPUTED_VALUE"""),66.0)</f>
        <v>66</v>
      </c>
      <c r="F7867" s="19" t="str">
        <f>IFERROR(__xludf.DUMMYFUNCTION("""COMPUTED_VALUE"""),"BLACK")</f>
        <v>BLACK</v>
      </c>
      <c r="G7867" s="20" t="str">
        <f>IFERROR(__xludf.DUMMYFUNCTION("""COMPUTED_VALUE"""),"Uncle Sams Cider (04/04/2023)")</f>
        <v>Uncle Sams Cider (04/04/2023)</v>
      </c>
      <c r="H7867" s="19"/>
    </row>
    <row r="7868">
      <c r="A7868" s="9"/>
      <c r="B7868" s="15"/>
      <c r="C7868" s="9">
        <f>IFERROR(__xludf.DUMMYFUNCTION("""COMPUTED_VALUE"""),45061.7020238541)</f>
        <v>45061.70202</v>
      </c>
      <c r="D7868" s="15">
        <f>IFERROR(__xludf.DUMMYFUNCTION("""COMPUTED_VALUE"""),1.015)</f>
        <v>1.015</v>
      </c>
      <c r="E7868" s="16">
        <f>IFERROR(__xludf.DUMMYFUNCTION("""COMPUTED_VALUE"""),66.0)</f>
        <v>66</v>
      </c>
      <c r="F7868" s="19" t="str">
        <f>IFERROR(__xludf.DUMMYFUNCTION("""COMPUTED_VALUE"""),"BLACK")</f>
        <v>BLACK</v>
      </c>
      <c r="G7868" s="20" t="str">
        <f>IFERROR(__xludf.DUMMYFUNCTION("""COMPUTED_VALUE"""),"Uncle Sams Cider (04/04/2023)")</f>
        <v>Uncle Sams Cider (04/04/2023)</v>
      </c>
      <c r="H7868" s="19"/>
    </row>
    <row r="7869">
      <c r="A7869" s="9"/>
      <c r="B7869" s="15"/>
      <c r="C7869" s="9">
        <f>IFERROR(__xludf.DUMMYFUNCTION("""COMPUTED_VALUE"""),45061.6915564583)</f>
        <v>45061.69156</v>
      </c>
      <c r="D7869" s="15">
        <f>IFERROR(__xludf.DUMMYFUNCTION("""COMPUTED_VALUE"""),1.015)</f>
        <v>1.015</v>
      </c>
      <c r="E7869" s="16">
        <f>IFERROR(__xludf.DUMMYFUNCTION("""COMPUTED_VALUE"""),66.0)</f>
        <v>66</v>
      </c>
      <c r="F7869" s="19" t="str">
        <f>IFERROR(__xludf.DUMMYFUNCTION("""COMPUTED_VALUE"""),"BLACK")</f>
        <v>BLACK</v>
      </c>
      <c r="G7869" s="20" t="str">
        <f>IFERROR(__xludf.DUMMYFUNCTION("""COMPUTED_VALUE"""),"Uncle Sams Cider (04/04/2023)")</f>
        <v>Uncle Sams Cider (04/04/2023)</v>
      </c>
      <c r="H7869" s="19"/>
    </row>
    <row r="7870">
      <c r="A7870" s="9"/>
      <c r="B7870" s="15"/>
      <c r="C7870" s="9">
        <f>IFERROR(__xludf.DUMMYFUNCTION("""COMPUTED_VALUE"""),45061.6811117824)</f>
        <v>45061.68111</v>
      </c>
      <c r="D7870" s="15">
        <f>IFERROR(__xludf.DUMMYFUNCTION("""COMPUTED_VALUE"""),1.015)</f>
        <v>1.015</v>
      </c>
      <c r="E7870" s="16">
        <f>IFERROR(__xludf.DUMMYFUNCTION("""COMPUTED_VALUE"""),66.0)</f>
        <v>66</v>
      </c>
      <c r="F7870" s="19" t="str">
        <f>IFERROR(__xludf.DUMMYFUNCTION("""COMPUTED_VALUE"""),"BLACK")</f>
        <v>BLACK</v>
      </c>
      <c r="G7870" s="20" t="str">
        <f>IFERROR(__xludf.DUMMYFUNCTION("""COMPUTED_VALUE"""),"Uncle Sams Cider (04/04/2023)")</f>
        <v>Uncle Sams Cider (04/04/2023)</v>
      </c>
      <c r="H7870" s="19"/>
    </row>
    <row r="7871">
      <c r="A7871" s="9"/>
      <c r="B7871" s="15"/>
      <c r="C7871" s="9">
        <f>IFERROR(__xludf.DUMMYFUNCTION("""COMPUTED_VALUE"""),45061.6706906828)</f>
        <v>45061.67069</v>
      </c>
      <c r="D7871" s="15">
        <f>IFERROR(__xludf.DUMMYFUNCTION("""COMPUTED_VALUE"""),1.015)</f>
        <v>1.015</v>
      </c>
      <c r="E7871" s="16">
        <f>IFERROR(__xludf.DUMMYFUNCTION("""COMPUTED_VALUE"""),66.0)</f>
        <v>66</v>
      </c>
      <c r="F7871" s="19" t="str">
        <f>IFERROR(__xludf.DUMMYFUNCTION("""COMPUTED_VALUE"""),"BLACK")</f>
        <v>BLACK</v>
      </c>
      <c r="G7871" s="20" t="str">
        <f>IFERROR(__xludf.DUMMYFUNCTION("""COMPUTED_VALUE"""),"Uncle Sams Cider (04/04/2023)")</f>
        <v>Uncle Sams Cider (04/04/2023)</v>
      </c>
      <c r="H7871" s="19"/>
    </row>
    <row r="7872">
      <c r="A7872" s="9"/>
      <c r="B7872" s="15"/>
      <c r="C7872" s="9">
        <f>IFERROR(__xludf.DUMMYFUNCTION("""COMPUTED_VALUE"""),45061.6602707523)</f>
        <v>45061.66027</v>
      </c>
      <c r="D7872" s="15">
        <f>IFERROR(__xludf.DUMMYFUNCTION("""COMPUTED_VALUE"""),1.015)</f>
        <v>1.015</v>
      </c>
      <c r="E7872" s="16">
        <f>IFERROR(__xludf.DUMMYFUNCTION("""COMPUTED_VALUE"""),66.0)</f>
        <v>66</v>
      </c>
      <c r="F7872" s="19" t="str">
        <f>IFERROR(__xludf.DUMMYFUNCTION("""COMPUTED_VALUE"""),"BLACK")</f>
        <v>BLACK</v>
      </c>
      <c r="G7872" s="20" t="str">
        <f>IFERROR(__xludf.DUMMYFUNCTION("""COMPUTED_VALUE"""),"Uncle Sams Cider (04/04/2023)")</f>
        <v>Uncle Sams Cider (04/04/2023)</v>
      </c>
      <c r="H7872" s="19"/>
    </row>
    <row r="7873">
      <c r="A7873" s="9"/>
      <c r="B7873" s="15"/>
      <c r="C7873" s="9">
        <f>IFERROR(__xludf.DUMMYFUNCTION("""COMPUTED_VALUE"""),45061.6498384606)</f>
        <v>45061.64984</v>
      </c>
      <c r="D7873" s="15">
        <f>IFERROR(__xludf.DUMMYFUNCTION("""COMPUTED_VALUE"""),1.015)</f>
        <v>1.015</v>
      </c>
      <c r="E7873" s="16">
        <f>IFERROR(__xludf.DUMMYFUNCTION("""COMPUTED_VALUE"""),66.0)</f>
        <v>66</v>
      </c>
      <c r="F7873" s="19" t="str">
        <f>IFERROR(__xludf.DUMMYFUNCTION("""COMPUTED_VALUE"""),"BLACK")</f>
        <v>BLACK</v>
      </c>
      <c r="G7873" s="20" t="str">
        <f>IFERROR(__xludf.DUMMYFUNCTION("""COMPUTED_VALUE"""),"Uncle Sams Cider (04/04/2023)")</f>
        <v>Uncle Sams Cider (04/04/2023)</v>
      </c>
      <c r="H7873" s="19"/>
    </row>
    <row r="7874">
      <c r="A7874" s="9"/>
      <c r="B7874" s="15"/>
      <c r="C7874" s="9">
        <f>IFERROR(__xludf.DUMMYFUNCTION("""COMPUTED_VALUE"""),45061.6394164004)</f>
        <v>45061.63942</v>
      </c>
      <c r="D7874" s="15">
        <f>IFERROR(__xludf.DUMMYFUNCTION("""COMPUTED_VALUE"""),1.015)</f>
        <v>1.015</v>
      </c>
      <c r="E7874" s="16">
        <f>IFERROR(__xludf.DUMMYFUNCTION("""COMPUTED_VALUE"""),66.0)</f>
        <v>66</v>
      </c>
      <c r="F7874" s="19" t="str">
        <f>IFERROR(__xludf.DUMMYFUNCTION("""COMPUTED_VALUE"""),"BLACK")</f>
        <v>BLACK</v>
      </c>
      <c r="G7874" s="20" t="str">
        <f>IFERROR(__xludf.DUMMYFUNCTION("""COMPUTED_VALUE"""),"Uncle Sams Cider (04/04/2023)")</f>
        <v>Uncle Sams Cider (04/04/2023)</v>
      </c>
      <c r="H7874" s="19"/>
    </row>
    <row r="7875">
      <c r="A7875" s="9"/>
      <c r="B7875" s="15"/>
      <c r="C7875" s="9">
        <f>IFERROR(__xludf.DUMMYFUNCTION("""COMPUTED_VALUE"""),45061.6289834375)</f>
        <v>45061.62898</v>
      </c>
      <c r="D7875" s="15">
        <f>IFERROR(__xludf.DUMMYFUNCTION("""COMPUTED_VALUE"""),1.015)</f>
        <v>1.015</v>
      </c>
      <c r="E7875" s="16">
        <f>IFERROR(__xludf.DUMMYFUNCTION("""COMPUTED_VALUE"""),66.0)</f>
        <v>66</v>
      </c>
      <c r="F7875" s="19" t="str">
        <f>IFERROR(__xludf.DUMMYFUNCTION("""COMPUTED_VALUE"""),"BLACK")</f>
        <v>BLACK</v>
      </c>
      <c r="G7875" s="20" t="str">
        <f>IFERROR(__xludf.DUMMYFUNCTION("""COMPUTED_VALUE"""),"Uncle Sams Cider (04/04/2023)")</f>
        <v>Uncle Sams Cider (04/04/2023)</v>
      </c>
      <c r="H7875" s="19"/>
    </row>
    <row r="7876">
      <c r="A7876" s="9"/>
      <c r="B7876" s="15"/>
      <c r="C7876" s="9">
        <f>IFERROR(__xludf.DUMMYFUNCTION("""COMPUTED_VALUE"""),45061.6185273263)</f>
        <v>45061.61853</v>
      </c>
      <c r="D7876" s="15">
        <f>IFERROR(__xludf.DUMMYFUNCTION("""COMPUTED_VALUE"""),1.015)</f>
        <v>1.015</v>
      </c>
      <c r="E7876" s="16">
        <f>IFERROR(__xludf.DUMMYFUNCTION("""COMPUTED_VALUE"""),66.0)</f>
        <v>66</v>
      </c>
      <c r="F7876" s="19" t="str">
        <f>IFERROR(__xludf.DUMMYFUNCTION("""COMPUTED_VALUE"""),"BLACK")</f>
        <v>BLACK</v>
      </c>
      <c r="G7876" s="20" t="str">
        <f>IFERROR(__xludf.DUMMYFUNCTION("""COMPUTED_VALUE"""),"Uncle Sams Cider (04/04/2023)")</f>
        <v>Uncle Sams Cider (04/04/2023)</v>
      </c>
      <c r="H7876" s="19"/>
    </row>
    <row r="7877">
      <c r="A7877" s="9"/>
      <c r="B7877" s="15"/>
      <c r="C7877" s="9">
        <f>IFERROR(__xludf.DUMMYFUNCTION("""COMPUTED_VALUE"""),45061.6080954166)</f>
        <v>45061.6081</v>
      </c>
      <c r="D7877" s="15">
        <f>IFERROR(__xludf.DUMMYFUNCTION("""COMPUTED_VALUE"""),1.015)</f>
        <v>1.015</v>
      </c>
      <c r="E7877" s="16">
        <f>IFERROR(__xludf.DUMMYFUNCTION("""COMPUTED_VALUE"""),66.0)</f>
        <v>66</v>
      </c>
      <c r="F7877" s="19" t="str">
        <f>IFERROR(__xludf.DUMMYFUNCTION("""COMPUTED_VALUE"""),"BLACK")</f>
        <v>BLACK</v>
      </c>
      <c r="G7877" s="20" t="str">
        <f>IFERROR(__xludf.DUMMYFUNCTION("""COMPUTED_VALUE"""),"Uncle Sams Cider (04/04/2023)")</f>
        <v>Uncle Sams Cider (04/04/2023)</v>
      </c>
      <c r="H7877" s="19"/>
    </row>
    <row r="7878">
      <c r="A7878" s="9"/>
      <c r="B7878" s="15"/>
      <c r="C7878" s="9">
        <f>IFERROR(__xludf.DUMMYFUNCTION("""COMPUTED_VALUE"""),45061.597615868)</f>
        <v>45061.59762</v>
      </c>
      <c r="D7878" s="15">
        <f>IFERROR(__xludf.DUMMYFUNCTION("""COMPUTED_VALUE"""),1.015)</f>
        <v>1.015</v>
      </c>
      <c r="E7878" s="16">
        <f>IFERROR(__xludf.DUMMYFUNCTION("""COMPUTED_VALUE"""),66.0)</f>
        <v>66</v>
      </c>
      <c r="F7878" s="19" t="str">
        <f>IFERROR(__xludf.DUMMYFUNCTION("""COMPUTED_VALUE"""),"BLACK")</f>
        <v>BLACK</v>
      </c>
      <c r="G7878" s="20" t="str">
        <f>IFERROR(__xludf.DUMMYFUNCTION("""COMPUTED_VALUE"""),"Uncle Sams Cider (04/04/2023)")</f>
        <v>Uncle Sams Cider (04/04/2023)</v>
      </c>
      <c r="H7878" s="19"/>
    </row>
    <row r="7879">
      <c r="A7879" s="9"/>
      <c r="B7879" s="15"/>
      <c r="C7879" s="9">
        <f>IFERROR(__xludf.DUMMYFUNCTION("""COMPUTED_VALUE"""),45061.5871133796)</f>
        <v>45061.58711</v>
      </c>
      <c r="D7879" s="15">
        <f>IFERROR(__xludf.DUMMYFUNCTION("""COMPUTED_VALUE"""),1.015)</f>
        <v>1.015</v>
      </c>
      <c r="E7879" s="16">
        <f>IFERROR(__xludf.DUMMYFUNCTION("""COMPUTED_VALUE"""),66.0)</f>
        <v>66</v>
      </c>
      <c r="F7879" s="19" t="str">
        <f>IFERROR(__xludf.DUMMYFUNCTION("""COMPUTED_VALUE"""),"BLACK")</f>
        <v>BLACK</v>
      </c>
      <c r="G7879" s="20" t="str">
        <f>IFERROR(__xludf.DUMMYFUNCTION("""COMPUTED_VALUE"""),"Uncle Sams Cider (04/04/2023)")</f>
        <v>Uncle Sams Cider (04/04/2023)</v>
      </c>
      <c r="H7879" s="19"/>
    </row>
    <row r="7880">
      <c r="A7880" s="9"/>
      <c r="B7880" s="15"/>
      <c r="C7880" s="9">
        <f>IFERROR(__xludf.DUMMYFUNCTION("""COMPUTED_VALUE"""),45061.5766926388)</f>
        <v>45061.57669</v>
      </c>
      <c r="D7880" s="15">
        <f>IFERROR(__xludf.DUMMYFUNCTION("""COMPUTED_VALUE"""),1.015)</f>
        <v>1.015</v>
      </c>
      <c r="E7880" s="16">
        <f>IFERROR(__xludf.DUMMYFUNCTION("""COMPUTED_VALUE"""),66.0)</f>
        <v>66</v>
      </c>
      <c r="F7880" s="19" t="str">
        <f>IFERROR(__xludf.DUMMYFUNCTION("""COMPUTED_VALUE"""),"BLACK")</f>
        <v>BLACK</v>
      </c>
      <c r="G7880" s="20" t="str">
        <f>IFERROR(__xludf.DUMMYFUNCTION("""COMPUTED_VALUE"""),"Uncle Sams Cider (04/04/2023)")</f>
        <v>Uncle Sams Cider (04/04/2023)</v>
      </c>
      <c r="H7880" s="19"/>
    </row>
    <row r="7881">
      <c r="A7881" s="9"/>
      <c r="B7881" s="15"/>
      <c r="C7881" s="9">
        <f>IFERROR(__xludf.DUMMYFUNCTION("""COMPUTED_VALUE"""),45061.5662597222)</f>
        <v>45061.56626</v>
      </c>
      <c r="D7881" s="15">
        <f>IFERROR(__xludf.DUMMYFUNCTION("""COMPUTED_VALUE"""),1.015)</f>
        <v>1.015</v>
      </c>
      <c r="E7881" s="16">
        <f>IFERROR(__xludf.DUMMYFUNCTION("""COMPUTED_VALUE"""),66.0)</f>
        <v>66</v>
      </c>
      <c r="F7881" s="19" t="str">
        <f>IFERROR(__xludf.DUMMYFUNCTION("""COMPUTED_VALUE"""),"BLACK")</f>
        <v>BLACK</v>
      </c>
      <c r="G7881" s="20" t="str">
        <f>IFERROR(__xludf.DUMMYFUNCTION("""COMPUTED_VALUE"""),"Uncle Sams Cider (04/04/2023)")</f>
        <v>Uncle Sams Cider (04/04/2023)</v>
      </c>
      <c r="H7881" s="19"/>
    </row>
    <row r="7882">
      <c r="A7882" s="9"/>
      <c r="B7882" s="15"/>
      <c r="C7882" s="9">
        <f>IFERROR(__xludf.DUMMYFUNCTION("""COMPUTED_VALUE"""),45061.5558156481)</f>
        <v>45061.55582</v>
      </c>
      <c r="D7882" s="15">
        <f>IFERROR(__xludf.DUMMYFUNCTION("""COMPUTED_VALUE"""),1.015)</f>
        <v>1.015</v>
      </c>
      <c r="E7882" s="16">
        <f>IFERROR(__xludf.DUMMYFUNCTION("""COMPUTED_VALUE"""),66.0)</f>
        <v>66</v>
      </c>
      <c r="F7882" s="19" t="str">
        <f>IFERROR(__xludf.DUMMYFUNCTION("""COMPUTED_VALUE"""),"BLACK")</f>
        <v>BLACK</v>
      </c>
      <c r="G7882" s="20" t="str">
        <f>IFERROR(__xludf.DUMMYFUNCTION("""COMPUTED_VALUE"""),"Uncle Sams Cider (04/04/2023)")</f>
        <v>Uncle Sams Cider (04/04/2023)</v>
      </c>
      <c r="H7882" s="19"/>
    </row>
    <row r="7883">
      <c r="A7883" s="9"/>
      <c r="B7883" s="15"/>
      <c r="C7883" s="9">
        <f>IFERROR(__xludf.DUMMYFUNCTION("""COMPUTED_VALUE"""),45061.5453931365)</f>
        <v>45061.54539</v>
      </c>
      <c r="D7883" s="15">
        <f>IFERROR(__xludf.DUMMYFUNCTION("""COMPUTED_VALUE"""),1.015)</f>
        <v>1.015</v>
      </c>
      <c r="E7883" s="16">
        <f>IFERROR(__xludf.DUMMYFUNCTION("""COMPUTED_VALUE"""),66.0)</f>
        <v>66</v>
      </c>
      <c r="F7883" s="19" t="str">
        <f>IFERROR(__xludf.DUMMYFUNCTION("""COMPUTED_VALUE"""),"BLACK")</f>
        <v>BLACK</v>
      </c>
      <c r="G7883" s="20" t="str">
        <f>IFERROR(__xludf.DUMMYFUNCTION("""COMPUTED_VALUE"""),"Uncle Sams Cider (04/04/2023)")</f>
        <v>Uncle Sams Cider (04/04/2023)</v>
      </c>
      <c r="H7883" s="19"/>
    </row>
    <row r="7884">
      <c r="A7884" s="9"/>
      <c r="B7884" s="15"/>
      <c r="C7884" s="9">
        <f>IFERROR(__xludf.DUMMYFUNCTION("""COMPUTED_VALUE"""),45061.5349707176)</f>
        <v>45061.53497</v>
      </c>
      <c r="D7884" s="15">
        <f>IFERROR(__xludf.DUMMYFUNCTION("""COMPUTED_VALUE"""),1.015)</f>
        <v>1.015</v>
      </c>
      <c r="E7884" s="16">
        <f>IFERROR(__xludf.DUMMYFUNCTION("""COMPUTED_VALUE"""),66.0)</f>
        <v>66</v>
      </c>
      <c r="F7884" s="19" t="str">
        <f>IFERROR(__xludf.DUMMYFUNCTION("""COMPUTED_VALUE"""),"BLACK")</f>
        <v>BLACK</v>
      </c>
      <c r="G7884" s="20" t="str">
        <f>IFERROR(__xludf.DUMMYFUNCTION("""COMPUTED_VALUE"""),"Uncle Sams Cider (04/04/2023)")</f>
        <v>Uncle Sams Cider (04/04/2023)</v>
      </c>
      <c r="H7884" s="19"/>
    </row>
    <row r="7885">
      <c r="A7885" s="9"/>
      <c r="B7885" s="15"/>
      <c r="C7885" s="9">
        <f>IFERROR(__xludf.DUMMYFUNCTION("""COMPUTED_VALUE"""),45061.5245498379)</f>
        <v>45061.52455</v>
      </c>
      <c r="D7885" s="15">
        <f>IFERROR(__xludf.DUMMYFUNCTION("""COMPUTED_VALUE"""),1.015)</f>
        <v>1.015</v>
      </c>
      <c r="E7885" s="16">
        <f>IFERROR(__xludf.DUMMYFUNCTION("""COMPUTED_VALUE"""),66.0)</f>
        <v>66</v>
      </c>
      <c r="F7885" s="19" t="str">
        <f>IFERROR(__xludf.DUMMYFUNCTION("""COMPUTED_VALUE"""),"BLACK")</f>
        <v>BLACK</v>
      </c>
      <c r="G7885" s="20" t="str">
        <f>IFERROR(__xludf.DUMMYFUNCTION("""COMPUTED_VALUE"""),"Uncle Sams Cider (04/04/2023)")</f>
        <v>Uncle Sams Cider (04/04/2023)</v>
      </c>
      <c r="H7885" s="19"/>
    </row>
    <row r="7886">
      <c r="A7886" s="9"/>
      <c r="B7886" s="15"/>
      <c r="C7886" s="9">
        <f>IFERROR(__xludf.DUMMYFUNCTION("""COMPUTED_VALUE"""),45061.5141288773)</f>
        <v>45061.51413</v>
      </c>
      <c r="D7886" s="15">
        <f>IFERROR(__xludf.DUMMYFUNCTION("""COMPUTED_VALUE"""),1.015)</f>
        <v>1.015</v>
      </c>
      <c r="E7886" s="16">
        <f>IFERROR(__xludf.DUMMYFUNCTION("""COMPUTED_VALUE"""),66.0)</f>
        <v>66</v>
      </c>
      <c r="F7886" s="19" t="str">
        <f>IFERROR(__xludf.DUMMYFUNCTION("""COMPUTED_VALUE"""),"BLACK")</f>
        <v>BLACK</v>
      </c>
      <c r="G7886" s="20" t="str">
        <f>IFERROR(__xludf.DUMMYFUNCTION("""COMPUTED_VALUE"""),"Uncle Sams Cider (04/04/2023)")</f>
        <v>Uncle Sams Cider (04/04/2023)</v>
      </c>
      <c r="H7886" s="19"/>
    </row>
    <row r="7887">
      <c r="A7887" s="9"/>
      <c r="B7887" s="15"/>
      <c r="C7887" s="9">
        <f>IFERROR(__xludf.DUMMYFUNCTION("""COMPUTED_VALUE"""),45061.5037076041)</f>
        <v>45061.50371</v>
      </c>
      <c r="D7887" s="15">
        <f>IFERROR(__xludf.DUMMYFUNCTION("""COMPUTED_VALUE"""),1.015)</f>
        <v>1.015</v>
      </c>
      <c r="E7887" s="16">
        <f>IFERROR(__xludf.DUMMYFUNCTION("""COMPUTED_VALUE"""),66.0)</f>
        <v>66</v>
      </c>
      <c r="F7887" s="19" t="str">
        <f>IFERROR(__xludf.DUMMYFUNCTION("""COMPUTED_VALUE"""),"BLACK")</f>
        <v>BLACK</v>
      </c>
      <c r="G7887" s="20" t="str">
        <f>IFERROR(__xludf.DUMMYFUNCTION("""COMPUTED_VALUE"""),"Uncle Sams Cider (04/04/2023)")</f>
        <v>Uncle Sams Cider (04/04/2023)</v>
      </c>
      <c r="H7887" s="19"/>
    </row>
    <row r="7888">
      <c r="A7888" s="9"/>
      <c r="B7888" s="15"/>
      <c r="C7888" s="9">
        <f>IFERROR(__xludf.DUMMYFUNCTION("""COMPUTED_VALUE"""),45061.4932848611)</f>
        <v>45061.49328</v>
      </c>
      <c r="D7888" s="15">
        <f>IFERROR(__xludf.DUMMYFUNCTION("""COMPUTED_VALUE"""),1.015)</f>
        <v>1.015</v>
      </c>
      <c r="E7888" s="16">
        <f>IFERROR(__xludf.DUMMYFUNCTION("""COMPUTED_VALUE"""),66.0)</f>
        <v>66</v>
      </c>
      <c r="F7888" s="19" t="str">
        <f>IFERROR(__xludf.DUMMYFUNCTION("""COMPUTED_VALUE"""),"BLACK")</f>
        <v>BLACK</v>
      </c>
      <c r="G7888" s="20" t="str">
        <f>IFERROR(__xludf.DUMMYFUNCTION("""COMPUTED_VALUE"""),"Uncle Sams Cider (04/04/2023)")</f>
        <v>Uncle Sams Cider (04/04/2023)</v>
      </c>
      <c r="H7888" s="19"/>
    </row>
    <row r="7889">
      <c r="A7889" s="9"/>
      <c r="B7889" s="15"/>
      <c r="C7889" s="9">
        <f>IFERROR(__xludf.DUMMYFUNCTION("""COMPUTED_VALUE"""),45061.4828514814)</f>
        <v>45061.48285</v>
      </c>
      <c r="D7889" s="15">
        <f>IFERROR(__xludf.DUMMYFUNCTION("""COMPUTED_VALUE"""),1.015)</f>
        <v>1.015</v>
      </c>
      <c r="E7889" s="16">
        <f>IFERROR(__xludf.DUMMYFUNCTION("""COMPUTED_VALUE"""),66.0)</f>
        <v>66</v>
      </c>
      <c r="F7889" s="19" t="str">
        <f>IFERROR(__xludf.DUMMYFUNCTION("""COMPUTED_VALUE"""),"BLACK")</f>
        <v>BLACK</v>
      </c>
      <c r="G7889" s="20" t="str">
        <f>IFERROR(__xludf.DUMMYFUNCTION("""COMPUTED_VALUE"""),"Uncle Sams Cider (04/04/2023)")</f>
        <v>Uncle Sams Cider (04/04/2023)</v>
      </c>
      <c r="H7889" s="19"/>
    </row>
    <row r="7890">
      <c r="A7890" s="9"/>
      <c r="B7890" s="15"/>
      <c r="C7890" s="9">
        <f>IFERROR(__xludf.DUMMYFUNCTION("""COMPUTED_VALUE"""),45061.4724313541)</f>
        <v>45061.47243</v>
      </c>
      <c r="D7890" s="15">
        <f>IFERROR(__xludf.DUMMYFUNCTION("""COMPUTED_VALUE"""),1.015)</f>
        <v>1.015</v>
      </c>
      <c r="E7890" s="16">
        <f>IFERROR(__xludf.DUMMYFUNCTION("""COMPUTED_VALUE"""),66.0)</f>
        <v>66</v>
      </c>
      <c r="F7890" s="19" t="str">
        <f>IFERROR(__xludf.DUMMYFUNCTION("""COMPUTED_VALUE"""),"BLACK")</f>
        <v>BLACK</v>
      </c>
      <c r="G7890" s="20" t="str">
        <f>IFERROR(__xludf.DUMMYFUNCTION("""COMPUTED_VALUE"""),"Uncle Sams Cider (04/04/2023)")</f>
        <v>Uncle Sams Cider (04/04/2023)</v>
      </c>
      <c r="H7890" s="19"/>
    </row>
    <row r="7891">
      <c r="A7891" s="9"/>
      <c r="B7891" s="15"/>
      <c r="C7891" s="9">
        <f>IFERROR(__xludf.DUMMYFUNCTION("""COMPUTED_VALUE"""),45061.4620103472)</f>
        <v>45061.46201</v>
      </c>
      <c r="D7891" s="15">
        <f>IFERROR(__xludf.DUMMYFUNCTION("""COMPUTED_VALUE"""),1.015)</f>
        <v>1.015</v>
      </c>
      <c r="E7891" s="16">
        <f>IFERROR(__xludf.DUMMYFUNCTION("""COMPUTED_VALUE"""),66.0)</f>
        <v>66</v>
      </c>
      <c r="F7891" s="19" t="str">
        <f>IFERROR(__xludf.DUMMYFUNCTION("""COMPUTED_VALUE"""),"BLACK")</f>
        <v>BLACK</v>
      </c>
      <c r="G7891" s="20" t="str">
        <f>IFERROR(__xludf.DUMMYFUNCTION("""COMPUTED_VALUE"""),"Uncle Sams Cider (04/04/2023)")</f>
        <v>Uncle Sams Cider (04/04/2023)</v>
      </c>
      <c r="H7891" s="19"/>
    </row>
    <row r="7892">
      <c r="A7892" s="9"/>
      <c r="B7892" s="15"/>
      <c r="C7892" s="9">
        <f>IFERROR(__xludf.DUMMYFUNCTION("""COMPUTED_VALUE"""),45061.451589618)</f>
        <v>45061.45159</v>
      </c>
      <c r="D7892" s="15">
        <f>IFERROR(__xludf.DUMMYFUNCTION("""COMPUTED_VALUE"""),1.015)</f>
        <v>1.015</v>
      </c>
      <c r="E7892" s="16">
        <f>IFERROR(__xludf.DUMMYFUNCTION("""COMPUTED_VALUE"""),66.0)</f>
        <v>66</v>
      </c>
      <c r="F7892" s="19" t="str">
        <f>IFERROR(__xludf.DUMMYFUNCTION("""COMPUTED_VALUE"""),"BLACK")</f>
        <v>BLACK</v>
      </c>
      <c r="G7892" s="20" t="str">
        <f>IFERROR(__xludf.DUMMYFUNCTION("""COMPUTED_VALUE"""),"Uncle Sams Cider (04/04/2023)")</f>
        <v>Uncle Sams Cider (04/04/2023)</v>
      </c>
      <c r="H7892" s="19"/>
    </row>
    <row r="7893">
      <c r="A7893" s="9"/>
      <c r="B7893" s="15"/>
      <c r="C7893" s="9">
        <f>IFERROR(__xludf.DUMMYFUNCTION("""COMPUTED_VALUE"""),45061.4411465046)</f>
        <v>45061.44115</v>
      </c>
      <c r="D7893" s="15">
        <f>IFERROR(__xludf.DUMMYFUNCTION("""COMPUTED_VALUE"""),1.015)</f>
        <v>1.015</v>
      </c>
      <c r="E7893" s="16">
        <f>IFERROR(__xludf.DUMMYFUNCTION("""COMPUTED_VALUE"""),66.0)</f>
        <v>66</v>
      </c>
      <c r="F7893" s="19" t="str">
        <f>IFERROR(__xludf.DUMMYFUNCTION("""COMPUTED_VALUE"""),"BLACK")</f>
        <v>BLACK</v>
      </c>
      <c r="G7893" s="20" t="str">
        <f>IFERROR(__xludf.DUMMYFUNCTION("""COMPUTED_VALUE"""),"Uncle Sams Cider (04/04/2023)")</f>
        <v>Uncle Sams Cider (04/04/2023)</v>
      </c>
      <c r="H7893" s="19"/>
    </row>
    <row r="7894">
      <c r="A7894" s="9"/>
      <c r="B7894" s="15"/>
      <c r="C7894" s="9">
        <f>IFERROR(__xludf.DUMMYFUNCTION("""COMPUTED_VALUE"""),45061.4306555208)</f>
        <v>45061.43066</v>
      </c>
      <c r="D7894" s="15">
        <f>IFERROR(__xludf.DUMMYFUNCTION("""COMPUTED_VALUE"""),1.015)</f>
        <v>1.015</v>
      </c>
      <c r="E7894" s="16">
        <f>IFERROR(__xludf.DUMMYFUNCTION("""COMPUTED_VALUE"""),66.0)</f>
        <v>66</v>
      </c>
      <c r="F7894" s="19" t="str">
        <f>IFERROR(__xludf.DUMMYFUNCTION("""COMPUTED_VALUE"""),"BLACK")</f>
        <v>BLACK</v>
      </c>
      <c r="G7894" s="20" t="str">
        <f>IFERROR(__xludf.DUMMYFUNCTION("""COMPUTED_VALUE"""),"Uncle Sams Cider (04/04/2023)")</f>
        <v>Uncle Sams Cider (04/04/2023)</v>
      </c>
      <c r="H7894" s="19"/>
    </row>
    <row r="7895">
      <c r="A7895" s="9"/>
      <c r="B7895" s="15"/>
      <c r="C7895" s="9">
        <f>IFERROR(__xludf.DUMMYFUNCTION("""COMPUTED_VALUE"""),45061.420235324)</f>
        <v>45061.42024</v>
      </c>
      <c r="D7895" s="15">
        <f>IFERROR(__xludf.DUMMYFUNCTION("""COMPUTED_VALUE"""),1.015)</f>
        <v>1.015</v>
      </c>
      <c r="E7895" s="16">
        <f>IFERROR(__xludf.DUMMYFUNCTION("""COMPUTED_VALUE"""),66.0)</f>
        <v>66</v>
      </c>
      <c r="F7895" s="19" t="str">
        <f>IFERROR(__xludf.DUMMYFUNCTION("""COMPUTED_VALUE"""),"BLACK")</f>
        <v>BLACK</v>
      </c>
      <c r="G7895" s="20" t="str">
        <f>IFERROR(__xludf.DUMMYFUNCTION("""COMPUTED_VALUE"""),"Uncle Sams Cider (04/04/2023)")</f>
        <v>Uncle Sams Cider (04/04/2023)</v>
      </c>
      <c r="H7895" s="19"/>
    </row>
    <row r="7896">
      <c r="A7896" s="9"/>
      <c r="B7896" s="15"/>
      <c r="C7896" s="9">
        <f>IFERROR(__xludf.DUMMYFUNCTION("""COMPUTED_VALUE"""),45061.409815625)</f>
        <v>45061.40982</v>
      </c>
      <c r="D7896" s="15">
        <f>IFERROR(__xludf.DUMMYFUNCTION("""COMPUTED_VALUE"""),1.015)</f>
        <v>1.015</v>
      </c>
      <c r="E7896" s="16">
        <f>IFERROR(__xludf.DUMMYFUNCTION("""COMPUTED_VALUE"""),66.0)</f>
        <v>66</v>
      </c>
      <c r="F7896" s="19" t="str">
        <f>IFERROR(__xludf.DUMMYFUNCTION("""COMPUTED_VALUE"""),"BLACK")</f>
        <v>BLACK</v>
      </c>
      <c r="G7896" s="20" t="str">
        <f>IFERROR(__xludf.DUMMYFUNCTION("""COMPUTED_VALUE"""),"Uncle Sams Cider (04/04/2023)")</f>
        <v>Uncle Sams Cider (04/04/2023)</v>
      </c>
      <c r="H7896" s="19"/>
    </row>
    <row r="7897">
      <c r="A7897" s="9"/>
      <c r="B7897" s="15"/>
      <c r="C7897" s="9">
        <f>IFERROR(__xludf.DUMMYFUNCTION("""COMPUTED_VALUE"""),45061.3993943518)</f>
        <v>45061.39939</v>
      </c>
      <c r="D7897" s="15">
        <f>IFERROR(__xludf.DUMMYFUNCTION("""COMPUTED_VALUE"""),1.015)</f>
        <v>1.015</v>
      </c>
      <c r="E7897" s="16">
        <f>IFERROR(__xludf.DUMMYFUNCTION("""COMPUTED_VALUE"""),66.0)</f>
        <v>66</v>
      </c>
      <c r="F7897" s="19" t="str">
        <f>IFERROR(__xludf.DUMMYFUNCTION("""COMPUTED_VALUE"""),"BLACK")</f>
        <v>BLACK</v>
      </c>
      <c r="G7897" s="20" t="str">
        <f>IFERROR(__xludf.DUMMYFUNCTION("""COMPUTED_VALUE"""),"Uncle Sams Cider (04/04/2023)")</f>
        <v>Uncle Sams Cider (04/04/2023)</v>
      </c>
      <c r="H7897" s="19"/>
    </row>
    <row r="7898">
      <c r="A7898" s="9"/>
      <c r="B7898" s="15"/>
      <c r="C7898" s="9">
        <f>IFERROR(__xludf.DUMMYFUNCTION("""COMPUTED_VALUE"""),45061.3889736458)</f>
        <v>45061.38897</v>
      </c>
      <c r="D7898" s="15">
        <f>IFERROR(__xludf.DUMMYFUNCTION("""COMPUTED_VALUE"""),1.015)</f>
        <v>1.015</v>
      </c>
      <c r="E7898" s="16">
        <f>IFERROR(__xludf.DUMMYFUNCTION("""COMPUTED_VALUE"""),66.0)</f>
        <v>66</v>
      </c>
      <c r="F7898" s="19" t="str">
        <f>IFERROR(__xludf.DUMMYFUNCTION("""COMPUTED_VALUE"""),"BLACK")</f>
        <v>BLACK</v>
      </c>
      <c r="G7898" s="20" t="str">
        <f>IFERROR(__xludf.DUMMYFUNCTION("""COMPUTED_VALUE"""),"Uncle Sams Cider (04/04/2023)")</f>
        <v>Uncle Sams Cider (04/04/2023)</v>
      </c>
      <c r="H7898" s="19"/>
    </row>
    <row r="7899">
      <c r="A7899" s="9"/>
      <c r="B7899" s="15"/>
      <c r="C7899" s="9">
        <f>IFERROR(__xludf.DUMMYFUNCTION("""COMPUTED_VALUE"""),45061.3785418634)</f>
        <v>45061.37854</v>
      </c>
      <c r="D7899" s="15">
        <f>IFERROR(__xludf.DUMMYFUNCTION("""COMPUTED_VALUE"""),1.015)</f>
        <v>1.015</v>
      </c>
      <c r="E7899" s="16">
        <f>IFERROR(__xludf.DUMMYFUNCTION("""COMPUTED_VALUE"""),66.0)</f>
        <v>66</v>
      </c>
      <c r="F7899" s="19" t="str">
        <f>IFERROR(__xludf.DUMMYFUNCTION("""COMPUTED_VALUE"""),"BLACK")</f>
        <v>BLACK</v>
      </c>
      <c r="G7899" s="20" t="str">
        <f>IFERROR(__xludf.DUMMYFUNCTION("""COMPUTED_VALUE"""),"Uncle Sams Cider (04/04/2023)")</f>
        <v>Uncle Sams Cider (04/04/2023)</v>
      </c>
      <c r="H7899" s="19"/>
    </row>
    <row r="7900">
      <c r="A7900" s="9"/>
      <c r="B7900" s="15"/>
      <c r="C7900" s="9">
        <f>IFERROR(__xludf.DUMMYFUNCTION("""COMPUTED_VALUE"""),45061.3681193287)</f>
        <v>45061.36812</v>
      </c>
      <c r="D7900" s="15">
        <f>IFERROR(__xludf.DUMMYFUNCTION("""COMPUTED_VALUE"""),1.015)</f>
        <v>1.015</v>
      </c>
      <c r="E7900" s="16">
        <f>IFERROR(__xludf.DUMMYFUNCTION("""COMPUTED_VALUE"""),66.0)</f>
        <v>66</v>
      </c>
      <c r="F7900" s="19" t="str">
        <f>IFERROR(__xludf.DUMMYFUNCTION("""COMPUTED_VALUE"""),"BLACK")</f>
        <v>BLACK</v>
      </c>
      <c r="G7900" s="20" t="str">
        <f>IFERROR(__xludf.DUMMYFUNCTION("""COMPUTED_VALUE"""),"Uncle Sams Cider (04/04/2023)")</f>
        <v>Uncle Sams Cider (04/04/2023)</v>
      </c>
      <c r="H7900" s="19"/>
    </row>
    <row r="7901">
      <c r="A7901" s="9"/>
      <c r="B7901" s="15"/>
      <c r="C7901" s="9">
        <f>IFERROR(__xludf.DUMMYFUNCTION("""COMPUTED_VALUE"""),45061.3576863078)</f>
        <v>45061.35769</v>
      </c>
      <c r="D7901" s="15">
        <f>IFERROR(__xludf.DUMMYFUNCTION("""COMPUTED_VALUE"""),1.015)</f>
        <v>1.015</v>
      </c>
      <c r="E7901" s="16">
        <f>IFERROR(__xludf.DUMMYFUNCTION("""COMPUTED_VALUE"""),66.0)</f>
        <v>66</v>
      </c>
      <c r="F7901" s="19" t="str">
        <f>IFERROR(__xludf.DUMMYFUNCTION("""COMPUTED_VALUE"""),"BLACK")</f>
        <v>BLACK</v>
      </c>
      <c r="G7901" s="20" t="str">
        <f>IFERROR(__xludf.DUMMYFUNCTION("""COMPUTED_VALUE"""),"Uncle Sams Cider (04/04/2023)")</f>
        <v>Uncle Sams Cider (04/04/2023)</v>
      </c>
      <c r="H7901" s="19"/>
    </row>
    <row r="7902">
      <c r="A7902" s="9"/>
      <c r="B7902" s="15"/>
      <c r="C7902" s="9">
        <f>IFERROR(__xludf.DUMMYFUNCTION("""COMPUTED_VALUE"""),45061.347254537)</f>
        <v>45061.34725</v>
      </c>
      <c r="D7902" s="15">
        <f>IFERROR(__xludf.DUMMYFUNCTION("""COMPUTED_VALUE"""),1.015)</f>
        <v>1.015</v>
      </c>
      <c r="E7902" s="16">
        <f>IFERROR(__xludf.DUMMYFUNCTION("""COMPUTED_VALUE"""),66.0)</f>
        <v>66</v>
      </c>
      <c r="F7902" s="19" t="str">
        <f>IFERROR(__xludf.DUMMYFUNCTION("""COMPUTED_VALUE"""),"BLACK")</f>
        <v>BLACK</v>
      </c>
      <c r="G7902" s="20" t="str">
        <f>IFERROR(__xludf.DUMMYFUNCTION("""COMPUTED_VALUE"""),"Uncle Sams Cider (04/04/2023)")</f>
        <v>Uncle Sams Cider (04/04/2023)</v>
      </c>
      <c r="H7902" s="19"/>
    </row>
    <row r="7903">
      <c r="A7903" s="9"/>
      <c r="B7903" s="15"/>
      <c r="C7903" s="9">
        <f>IFERROR(__xludf.DUMMYFUNCTION("""COMPUTED_VALUE"""),45061.3368224421)</f>
        <v>45061.33682</v>
      </c>
      <c r="D7903" s="15">
        <f>IFERROR(__xludf.DUMMYFUNCTION("""COMPUTED_VALUE"""),1.015)</f>
        <v>1.015</v>
      </c>
      <c r="E7903" s="16">
        <f>IFERROR(__xludf.DUMMYFUNCTION("""COMPUTED_VALUE"""),66.0)</f>
        <v>66</v>
      </c>
      <c r="F7903" s="19" t="str">
        <f>IFERROR(__xludf.DUMMYFUNCTION("""COMPUTED_VALUE"""),"BLACK")</f>
        <v>BLACK</v>
      </c>
      <c r="G7903" s="20" t="str">
        <f>IFERROR(__xludf.DUMMYFUNCTION("""COMPUTED_VALUE"""),"Uncle Sams Cider (04/04/2023)")</f>
        <v>Uncle Sams Cider (04/04/2023)</v>
      </c>
      <c r="H7903" s="19"/>
    </row>
    <row r="7904">
      <c r="A7904" s="9"/>
      <c r="B7904" s="15"/>
      <c r="C7904" s="9">
        <f>IFERROR(__xludf.DUMMYFUNCTION("""COMPUTED_VALUE"""),45061.3263668402)</f>
        <v>45061.32637</v>
      </c>
      <c r="D7904" s="15">
        <f>IFERROR(__xludf.DUMMYFUNCTION("""COMPUTED_VALUE"""),1.015)</f>
        <v>1.015</v>
      </c>
      <c r="E7904" s="16">
        <f>IFERROR(__xludf.DUMMYFUNCTION("""COMPUTED_VALUE"""),66.0)</f>
        <v>66</v>
      </c>
      <c r="F7904" s="19" t="str">
        <f>IFERROR(__xludf.DUMMYFUNCTION("""COMPUTED_VALUE"""),"BLACK")</f>
        <v>BLACK</v>
      </c>
      <c r="G7904" s="20" t="str">
        <f>IFERROR(__xludf.DUMMYFUNCTION("""COMPUTED_VALUE"""),"Uncle Sams Cider (04/04/2023)")</f>
        <v>Uncle Sams Cider (04/04/2023)</v>
      </c>
      <c r="H7904" s="19"/>
    </row>
    <row r="7905">
      <c r="A7905" s="9"/>
      <c r="B7905" s="15"/>
      <c r="C7905" s="9">
        <f>IFERROR(__xludf.DUMMYFUNCTION("""COMPUTED_VALUE"""),45061.3159352662)</f>
        <v>45061.31594</v>
      </c>
      <c r="D7905" s="15">
        <f>IFERROR(__xludf.DUMMYFUNCTION("""COMPUTED_VALUE"""),1.015)</f>
        <v>1.015</v>
      </c>
      <c r="E7905" s="16">
        <f>IFERROR(__xludf.DUMMYFUNCTION("""COMPUTED_VALUE"""),66.0)</f>
        <v>66</v>
      </c>
      <c r="F7905" s="19" t="str">
        <f>IFERROR(__xludf.DUMMYFUNCTION("""COMPUTED_VALUE"""),"BLACK")</f>
        <v>BLACK</v>
      </c>
      <c r="G7905" s="20" t="str">
        <f>IFERROR(__xludf.DUMMYFUNCTION("""COMPUTED_VALUE"""),"Uncle Sams Cider (04/04/2023)")</f>
        <v>Uncle Sams Cider (04/04/2023)</v>
      </c>
      <c r="H7905" s="19"/>
    </row>
    <row r="7906">
      <c r="A7906" s="9"/>
      <c r="B7906" s="15"/>
      <c r="C7906" s="9">
        <f>IFERROR(__xludf.DUMMYFUNCTION("""COMPUTED_VALUE"""),45061.3055145138)</f>
        <v>45061.30551</v>
      </c>
      <c r="D7906" s="15">
        <f>IFERROR(__xludf.DUMMYFUNCTION("""COMPUTED_VALUE"""),1.015)</f>
        <v>1.015</v>
      </c>
      <c r="E7906" s="16">
        <f>IFERROR(__xludf.DUMMYFUNCTION("""COMPUTED_VALUE"""),66.0)</f>
        <v>66</v>
      </c>
      <c r="F7906" s="19" t="str">
        <f>IFERROR(__xludf.DUMMYFUNCTION("""COMPUTED_VALUE"""),"BLACK")</f>
        <v>BLACK</v>
      </c>
      <c r="G7906" s="20" t="str">
        <f>IFERROR(__xludf.DUMMYFUNCTION("""COMPUTED_VALUE"""),"Uncle Sams Cider (04/04/2023)")</f>
        <v>Uncle Sams Cider (04/04/2023)</v>
      </c>
      <c r="H7906" s="19"/>
    </row>
    <row r="7907">
      <c r="A7907" s="9"/>
      <c r="B7907" s="15"/>
      <c r="C7907" s="9">
        <f>IFERROR(__xludf.DUMMYFUNCTION("""COMPUTED_VALUE"""),45061.2950936111)</f>
        <v>45061.29509</v>
      </c>
      <c r="D7907" s="15">
        <f>IFERROR(__xludf.DUMMYFUNCTION("""COMPUTED_VALUE"""),1.015)</f>
        <v>1.015</v>
      </c>
      <c r="E7907" s="16">
        <f>IFERROR(__xludf.DUMMYFUNCTION("""COMPUTED_VALUE"""),66.0)</f>
        <v>66</v>
      </c>
      <c r="F7907" s="19" t="str">
        <f>IFERROR(__xludf.DUMMYFUNCTION("""COMPUTED_VALUE"""),"BLACK")</f>
        <v>BLACK</v>
      </c>
      <c r="G7907" s="20" t="str">
        <f>IFERROR(__xludf.DUMMYFUNCTION("""COMPUTED_VALUE"""),"Uncle Sams Cider (04/04/2023)")</f>
        <v>Uncle Sams Cider (04/04/2023)</v>
      </c>
      <c r="H7907" s="19"/>
    </row>
    <row r="7908">
      <c r="A7908" s="9"/>
      <c r="B7908" s="15"/>
      <c r="C7908" s="9">
        <f>IFERROR(__xludf.DUMMYFUNCTION("""COMPUTED_VALUE"""),45061.2846505671)</f>
        <v>45061.28465</v>
      </c>
      <c r="D7908" s="15">
        <f>IFERROR(__xludf.DUMMYFUNCTION("""COMPUTED_VALUE"""),1.015)</f>
        <v>1.015</v>
      </c>
      <c r="E7908" s="16">
        <f>IFERROR(__xludf.DUMMYFUNCTION("""COMPUTED_VALUE"""),66.0)</f>
        <v>66</v>
      </c>
      <c r="F7908" s="19" t="str">
        <f>IFERROR(__xludf.DUMMYFUNCTION("""COMPUTED_VALUE"""),"BLACK")</f>
        <v>BLACK</v>
      </c>
      <c r="G7908" s="20" t="str">
        <f>IFERROR(__xludf.DUMMYFUNCTION("""COMPUTED_VALUE"""),"Uncle Sams Cider (04/04/2023)")</f>
        <v>Uncle Sams Cider (04/04/2023)</v>
      </c>
      <c r="H7908" s="19"/>
    </row>
    <row r="7909">
      <c r="A7909" s="9"/>
      <c r="B7909" s="15"/>
      <c r="C7909" s="9">
        <f>IFERROR(__xludf.DUMMYFUNCTION("""COMPUTED_VALUE"""),45061.27423125)</f>
        <v>45061.27423</v>
      </c>
      <c r="D7909" s="15">
        <f>IFERROR(__xludf.DUMMYFUNCTION("""COMPUTED_VALUE"""),1.015)</f>
        <v>1.015</v>
      </c>
      <c r="E7909" s="16">
        <f>IFERROR(__xludf.DUMMYFUNCTION("""COMPUTED_VALUE"""),66.0)</f>
        <v>66</v>
      </c>
      <c r="F7909" s="19" t="str">
        <f>IFERROR(__xludf.DUMMYFUNCTION("""COMPUTED_VALUE"""),"BLACK")</f>
        <v>BLACK</v>
      </c>
      <c r="G7909" s="20" t="str">
        <f>IFERROR(__xludf.DUMMYFUNCTION("""COMPUTED_VALUE"""),"Uncle Sams Cider (04/04/2023)")</f>
        <v>Uncle Sams Cider (04/04/2023)</v>
      </c>
      <c r="H7909" s="19"/>
    </row>
    <row r="7910">
      <c r="A7910" s="9"/>
      <c r="B7910" s="15"/>
      <c r="C7910" s="9">
        <f>IFERROR(__xludf.DUMMYFUNCTION("""COMPUTED_VALUE"""),45061.2637865509)</f>
        <v>45061.26379</v>
      </c>
      <c r="D7910" s="15">
        <f>IFERROR(__xludf.DUMMYFUNCTION("""COMPUTED_VALUE"""),1.015)</f>
        <v>1.015</v>
      </c>
      <c r="E7910" s="16">
        <f>IFERROR(__xludf.DUMMYFUNCTION("""COMPUTED_VALUE"""),66.0)</f>
        <v>66</v>
      </c>
      <c r="F7910" s="19" t="str">
        <f>IFERROR(__xludf.DUMMYFUNCTION("""COMPUTED_VALUE"""),"BLACK")</f>
        <v>BLACK</v>
      </c>
      <c r="G7910" s="20" t="str">
        <f>IFERROR(__xludf.DUMMYFUNCTION("""COMPUTED_VALUE"""),"Uncle Sams Cider (04/04/2023)")</f>
        <v>Uncle Sams Cider (04/04/2023)</v>
      </c>
      <c r="H7910" s="19"/>
    </row>
    <row r="7911">
      <c r="A7911" s="9"/>
      <c r="B7911" s="15"/>
      <c r="C7911" s="9">
        <f>IFERROR(__xludf.DUMMYFUNCTION("""COMPUTED_VALUE"""),45061.2533651157)</f>
        <v>45061.25337</v>
      </c>
      <c r="D7911" s="15">
        <f>IFERROR(__xludf.DUMMYFUNCTION("""COMPUTED_VALUE"""),1.015)</f>
        <v>1.015</v>
      </c>
      <c r="E7911" s="16">
        <f>IFERROR(__xludf.DUMMYFUNCTION("""COMPUTED_VALUE"""),66.0)</f>
        <v>66</v>
      </c>
      <c r="F7911" s="19" t="str">
        <f>IFERROR(__xludf.DUMMYFUNCTION("""COMPUTED_VALUE"""),"BLACK")</f>
        <v>BLACK</v>
      </c>
      <c r="G7911" s="20" t="str">
        <f>IFERROR(__xludf.DUMMYFUNCTION("""COMPUTED_VALUE"""),"Uncle Sams Cider (04/04/2023)")</f>
        <v>Uncle Sams Cider (04/04/2023)</v>
      </c>
      <c r="H7911" s="19"/>
    </row>
    <row r="7912">
      <c r="A7912" s="9"/>
      <c r="B7912" s="15"/>
      <c r="C7912" s="9">
        <f>IFERROR(__xludf.DUMMYFUNCTION("""COMPUTED_VALUE"""),45061.2429455671)</f>
        <v>45061.24295</v>
      </c>
      <c r="D7912" s="15">
        <f>IFERROR(__xludf.DUMMYFUNCTION("""COMPUTED_VALUE"""),1.015)</f>
        <v>1.015</v>
      </c>
      <c r="E7912" s="16">
        <f>IFERROR(__xludf.DUMMYFUNCTION("""COMPUTED_VALUE"""),66.0)</f>
        <v>66</v>
      </c>
      <c r="F7912" s="19" t="str">
        <f>IFERROR(__xludf.DUMMYFUNCTION("""COMPUTED_VALUE"""),"BLACK")</f>
        <v>BLACK</v>
      </c>
      <c r="G7912" s="20" t="str">
        <f>IFERROR(__xludf.DUMMYFUNCTION("""COMPUTED_VALUE"""),"Uncle Sams Cider (04/04/2023)")</f>
        <v>Uncle Sams Cider (04/04/2023)</v>
      </c>
      <c r="H7912" s="19"/>
    </row>
    <row r="7913">
      <c r="A7913" s="9"/>
      <c r="B7913" s="15"/>
      <c r="C7913" s="9">
        <f>IFERROR(__xludf.DUMMYFUNCTION("""COMPUTED_VALUE"""),45061.232490625)</f>
        <v>45061.23249</v>
      </c>
      <c r="D7913" s="15">
        <f>IFERROR(__xludf.DUMMYFUNCTION("""COMPUTED_VALUE"""),1.015)</f>
        <v>1.015</v>
      </c>
      <c r="E7913" s="16">
        <f>IFERROR(__xludf.DUMMYFUNCTION("""COMPUTED_VALUE"""),66.0)</f>
        <v>66</v>
      </c>
      <c r="F7913" s="19" t="str">
        <f>IFERROR(__xludf.DUMMYFUNCTION("""COMPUTED_VALUE"""),"BLACK")</f>
        <v>BLACK</v>
      </c>
      <c r="G7913" s="20" t="str">
        <f>IFERROR(__xludf.DUMMYFUNCTION("""COMPUTED_VALUE"""),"Uncle Sams Cider (04/04/2023)")</f>
        <v>Uncle Sams Cider (04/04/2023)</v>
      </c>
      <c r="H7913" s="19"/>
    </row>
    <row r="7914">
      <c r="A7914" s="9"/>
      <c r="B7914" s="15"/>
      <c r="C7914" s="9">
        <f>IFERROR(__xludf.DUMMYFUNCTION("""COMPUTED_VALUE"""),45061.2220686921)</f>
        <v>45061.22207</v>
      </c>
      <c r="D7914" s="15">
        <f>IFERROR(__xludf.DUMMYFUNCTION("""COMPUTED_VALUE"""),1.016)</f>
        <v>1.016</v>
      </c>
      <c r="E7914" s="16">
        <f>IFERROR(__xludf.DUMMYFUNCTION("""COMPUTED_VALUE"""),66.0)</f>
        <v>66</v>
      </c>
      <c r="F7914" s="19" t="str">
        <f>IFERROR(__xludf.DUMMYFUNCTION("""COMPUTED_VALUE"""),"BLACK")</f>
        <v>BLACK</v>
      </c>
      <c r="G7914" s="20" t="str">
        <f>IFERROR(__xludf.DUMMYFUNCTION("""COMPUTED_VALUE"""),"Uncle Sams Cider (04/04/2023)")</f>
        <v>Uncle Sams Cider (04/04/2023)</v>
      </c>
      <c r="H7914" s="19"/>
    </row>
    <row r="7915">
      <c r="A7915" s="9"/>
      <c r="B7915" s="15"/>
      <c r="C7915" s="9">
        <f>IFERROR(__xludf.DUMMYFUNCTION("""COMPUTED_VALUE"""),45061.2116351041)</f>
        <v>45061.21164</v>
      </c>
      <c r="D7915" s="15">
        <f>IFERROR(__xludf.DUMMYFUNCTION("""COMPUTED_VALUE"""),1.015)</f>
        <v>1.015</v>
      </c>
      <c r="E7915" s="16">
        <f>IFERROR(__xludf.DUMMYFUNCTION("""COMPUTED_VALUE"""),66.0)</f>
        <v>66</v>
      </c>
      <c r="F7915" s="19" t="str">
        <f>IFERROR(__xludf.DUMMYFUNCTION("""COMPUTED_VALUE"""),"BLACK")</f>
        <v>BLACK</v>
      </c>
      <c r="G7915" s="20" t="str">
        <f>IFERROR(__xludf.DUMMYFUNCTION("""COMPUTED_VALUE"""),"Uncle Sams Cider (04/04/2023)")</f>
        <v>Uncle Sams Cider (04/04/2023)</v>
      </c>
      <c r="H7915" s="19"/>
    </row>
    <row r="7916">
      <c r="A7916" s="9"/>
      <c r="B7916" s="15"/>
      <c r="C7916" s="9">
        <f>IFERROR(__xludf.DUMMYFUNCTION("""COMPUTED_VALUE"""),45061.201212905)</f>
        <v>45061.20121</v>
      </c>
      <c r="D7916" s="15">
        <f>IFERROR(__xludf.DUMMYFUNCTION("""COMPUTED_VALUE"""),1.015)</f>
        <v>1.015</v>
      </c>
      <c r="E7916" s="16">
        <f>IFERROR(__xludf.DUMMYFUNCTION("""COMPUTED_VALUE"""),66.0)</f>
        <v>66</v>
      </c>
      <c r="F7916" s="19" t="str">
        <f>IFERROR(__xludf.DUMMYFUNCTION("""COMPUTED_VALUE"""),"BLACK")</f>
        <v>BLACK</v>
      </c>
      <c r="G7916" s="20" t="str">
        <f>IFERROR(__xludf.DUMMYFUNCTION("""COMPUTED_VALUE"""),"Uncle Sams Cider (04/04/2023)")</f>
        <v>Uncle Sams Cider (04/04/2023)</v>
      </c>
      <c r="H7916" s="19"/>
    </row>
    <row r="7917">
      <c r="A7917" s="9"/>
      <c r="B7917" s="15"/>
      <c r="C7917" s="9">
        <f>IFERROR(__xludf.DUMMYFUNCTION("""COMPUTED_VALUE"""),45061.1907789351)</f>
        <v>45061.19078</v>
      </c>
      <c r="D7917" s="15">
        <f>IFERROR(__xludf.DUMMYFUNCTION("""COMPUTED_VALUE"""),1.015)</f>
        <v>1.015</v>
      </c>
      <c r="E7917" s="16">
        <f>IFERROR(__xludf.DUMMYFUNCTION("""COMPUTED_VALUE"""),66.0)</f>
        <v>66</v>
      </c>
      <c r="F7917" s="19" t="str">
        <f>IFERROR(__xludf.DUMMYFUNCTION("""COMPUTED_VALUE"""),"BLACK")</f>
        <v>BLACK</v>
      </c>
      <c r="G7917" s="20" t="str">
        <f>IFERROR(__xludf.DUMMYFUNCTION("""COMPUTED_VALUE"""),"Uncle Sams Cider (04/04/2023)")</f>
        <v>Uncle Sams Cider (04/04/2023)</v>
      </c>
      <c r="H7917" s="19"/>
    </row>
    <row r="7918">
      <c r="A7918" s="9"/>
      <c r="B7918" s="15"/>
      <c r="C7918" s="9">
        <f>IFERROR(__xludf.DUMMYFUNCTION("""COMPUTED_VALUE"""),45061.1803574421)</f>
        <v>45061.18036</v>
      </c>
      <c r="D7918" s="15">
        <f>IFERROR(__xludf.DUMMYFUNCTION("""COMPUTED_VALUE"""),1.015)</f>
        <v>1.015</v>
      </c>
      <c r="E7918" s="16">
        <f>IFERROR(__xludf.DUMMYFUNCTION("""COMPUTED_VALUE"""),66.0)</f>
        <v>66</v>
      </c>
      <c r="F7918" s="19" t="str">
        <f>IFERROR(__xludf.DUMMYFUNCTION("""COMPUTED_VALUE"""),"BLACK")</f>
        <v>BLACK</v>
      </c>
      <c r="G7918" s="20" t="str">
        <f>IFERROR(__xludf.DUMMYFUNCTION("""COMPUTED_VALUE"""),"Uncle Sams Cider (04/04/2023)")</f>
        <v>Uncle Sams Cider (04/04/2023)</v>
      </c>
      <c r="H7918" s="19"/>
    </row>
    <row r="7919">
      <c r="A7919" s="9"/>
      <c r="B7919" s="15"/>
      <c r="C7919" s="9">
        <f>IFERROR(__xludf.DUMMYFUNCTION("""COMPUTED_VALUE"""),45061.1699112384)</f>
        <v>45061.16991</v>
      </c>
      <c r="D7919" s="15">
        <f>IFERROR(__xludf.DUMMYFUNCTION("""COMPUTED_VALUE"""),1.015)</f>
        <v>1.015</v>
      </c>
      <c r="E7919" s="16">
        <f>IFERROR(__xludf.DUMMYFUNCTION("""COMPUTED_VALUE"""),66.0)</f>
        <v>66</v>
      </c>
      <c r="F7919" s="19" t="str">
        <f>IFERROR(__xludf.DUMMYFUNCTION("""COMPUTED_VALUE"""),"BLACK")</f>
        <v>BLACK</v>
      </c>
      <c r="G7919" s="20" t="str">
        <f>IFERROR(__xludf.DUMMYFUNCTION("""COMPUTED_VALUE"""),"Uncle Sams Cider (04/04/2023)")</f>
        <v>Uncle Sams Cider (04/04/2023)</v>
      </c>
      <c r="H7919" s="19"/>
    </row>
    <row r="7920">
      <c r="A7920" s="9"/>
      <c r="B7920" s="15"/>
      <c r="C7920" s="9">
        <f>IFERROR(__xludf.DUMMYFUNCTION("""COMPUTED_VALUE"""),45061.1594892013)</f>
        <v>45061.15949</v>
      </c>
      <c r="D7920" s="15">
        <f>IFERROR(__xludf.DUMMYFUNCTION("""COMPUTED_VALUE"""),1.015)</f>
        <v>1.015</v>
      </c>
      <c r="E7920" s="16">
        <f>IFERROR(__xludf.DUMMYFUNCTION("""COMPUTED_VALUE"""),66.0)</f>
        <v>66</v>
      </c>
      <c r="F7920" s="19" t="str">
        <f>IFERROR(__xludf.DUMMYFUNCTION("""COMPUTED_VALUE"""),"BLACK")</f>
        <v>BLACK</v>
      </c>
      <c r="G7920" s="20" t="str">
        <f>IFERROR(__xludf.DUMMYFUNCTION("""COMPUTED_VALUE"""),"Uncle Sams Cider (04/04/2023)")</f>
        <v>Uncle Sams Cider (04/04/2023)</v>
      </c>
      <c r="H7920" s="19"/>
    </row>
    <row r="7921">
      <c r="A7921" s="9"/>
      <c r="B7921" s="15"/>
      <c r="C7921" s="9">
        <f>IFERROR(__xludf.DUMMYFUNCTION("""COMPUTED_VALUE"""),45061.1490326157)</f>
        <v>45061.14903</v>
      </c>
      <c r="D7921" s="15">
        <f>IFERROR(__xludf.DUMMYFUNCTION("""COMPUTED_VALUE"""),1.015)</f>
        <v>1.015</v>
      </c>
      <c r="E7921" s="16">
        <f>IFERROR(__xludf.DUMMYFUNCTION("""COMPUTED_VALUE"""),66.0)</f>
        <v>66</v>
      </c>
      <c r="F7921" s="19" t="str">
        <f>IFERROR(__xludf.DUMMYFUNCTION("""COMPUTED_VALUE"""),"BLACK")</f>
        <v>BLACK</v>
      </c>
      <c r="G7921" s="20" t="str">
        <f>IFERROR(__xludf.DUMMYFUNCTION("""COMPUTED_VALUE"""),"Uncle Sams Cider (04/04/2023)")</f>
        <v>Uncle Sams Cider (04/04/2023)</v>
      </c>
      <c r="H7921" s="19"/>
    </row>
    <row r="7922">
      <c r="A7922" s="9"/>
      <c r="B7922" s="15"/>
      <c r="C7922" s="9">
        <f>IFERROR(__xludf.DUMMYFUNCTION("""COMPUTED_VALUE"""),45061.1386108449)</f>
        <v>45061.13861</v>
      </c>
      <c r="D7922" s="15">
        <f>IFERROR(__xludf.DUMMYFUNCTION("""COMPUTED_VALUE"""),1.015)</f>
        <v>1.015</v>
      </c>
      <c r="E7922" s="16">
        <f>IFERROR(__xludf.DUMMYFUNCTION("""COMPUTED_VALUE"""),66.0)</f>
        <v>66</v>
      </c>
      <c r="F7922" s="19" t="str">
        <f>IFERROR(__xludf.DUMMYFUNCTION("""COMPUTED_VALUE"""),"BLACK")</f>
        <v>BLACK</v>
      </c>
      <c r="G7922" s="20" t="str">
        <f>IFERROR(__xludf.DUMMYFUNCTION("""COMPUTED_VALUE"""),"Uncle Sams Cider (04/04/2023)")</f>
        <v>Uncle Sams Cider (04/04/2023)</v>
      </c>
      <c r="H7922" s="19"/>
    </row>
    <row r="7923">
      <c r="A7923" s="9"/>
      <c r="B7923" s="15"/>
      <c r="C7923" s="9">
        <f>IFERROR(__xludf.DUMMYFUNCTION("""COMPUTED_VALUE"""),45061.1281669675)</f>
        <v>45061.12817</v>
      </c>
      <c r="D7923" s="15">
        <f>IFERROR(__xludf.DUMMYFUNCTION("""COMPUTED_VALUE"""),1.015)</f>
        <v>1.015</v>
      </c>
      <c r="E7923" s="16">
        <f>IFERROR(__xludf.DUMMYFUNCTION("""COMPUTED_VALUE"""),66.0)</f>
        <v>66</v>
      </c>
      <c r="F7923" s="19" t="str">
        <f>IFERROR(__xludf.DUMMYFUNCTION("""COMPUTED_VALUE"""),"BLACK")</f>
        <v>BLACK</v>
      </c>
      <c r="G7923" s="20" t="str">
        <f>IFERROR(__xludf.DUMMYFUNCTION("""COMPUTED_VALUE"""),"Uncle Sams Cider (04/04/2023)")</f>
        <v>Uncle Sams Cider (04/04/2023)</v>
      </c>
      <c r="H7923" s="19"/>
    </row>
    <row r="7924">
      <c r="A7924" s="9"/>
      <c r="B7924" s="15"/>
      <c r="C7924" s="9">
        <f>IFERROR(__xludf.DUMMYFUNCTION("""COMPUTED_VALUE"""),45061.1177469907)</f>
        <v>45061.11775</v>
      </c>
      <c r="D7924" s="15">
        <f>IFERROR(__xludf.DUMMYFUNCTION("""COMPUTED_VALUE"""),1.015)</f>
        <v>1.015</v>
      </c>
      <c r="E7924" s="16">
        <f>IFERROR(__xludf.DUMMYFUNCTION("""COMPUTED_VALUE"""),66.0)</f>
        <v>66</v>
      </c>
      <c r="F7924" s="19" t="str">
        <f>IFERROR(__xludf.DUMMYFUNCTION("""COMPUTED_VALUE"""),"BLACK")</f>
        <v>BLACK</v>
      </c>
      <c r="G7924" s="20" t="str">
        <f>IFERROR(__xludf.DUMMYFUNCTION("""COMPUTED_VALUE"""),"Uncle Sams Cider (04/04/2023)")</f>
        <v>Uncle Sams Cider (04/04/2023)</v>
      </c>
      <c r="H7924" s="19"/>
    </row>
    <row r="7925">
      <c r="A7925" s="9"/>
      <c r="B7925" s="15"/>
      <c r="C7925" s="9">
        <f>IFERROR(__xludf.DUMMYFUNCTION("""COMPUTED_VALUE"""),45061.107314456)</f>
        <v>45061.10731</v>
      </c>
      <c r="D7925" s="15">
        <f>IFERROR(__xludf.DUMMYFUNCTION("""COMPUTED_VALUE"""),1.015)</f>
        <v>1.015</v>
      </c>
      <c r="E7925" s="16">
        <f>IFERROR(__xludf.DUMMYFUNCTION("""COMPUTED_VALUE"""),66.0)</f>
        <v>66</v>
      </c>
      <c r="F7925" s="19" t="str">
        <f>IFERROR(__xludf.DUMMYFUNCTION("""COMPUTED_VALUE"""),"BLACK")</f>
        <v>BLACK</v>
      </c>
      <c r="G7925" s="20" t="str">
        <f>IFERROR(__xludf.DUMMYFUNCTION("""COMPUTED_VALUE"""),"Uncle Sams Cider (04/04/2023)")</f>
        <v>Uncle Sams Cider (04/04/2023)</v>
      </c>
      <c r="H7925" s="19"/>
    </row>
    <row r="7926">
      <c r="A7926" s="9"/>
      <c r="B7926" s="15"/>
      <c r="C7926" s="9">
        <f>IFERROR(__xludf.DUMMYFUNCTION("""COMPUTED_VALUE"""),45061.096846875)</f>
        <v>45061.09685</v>
      </c>
      <c r="D7926" s="15">
        <f>IFERROR(__xludf.DUMMYFUNCTION("""COMPUTED_VALUE"""),1.016)</f>
        <v>1.016</v>
      </c>
      <c r="E7926" s="16">
        <f>IFERROR(__xludf.DUMMYFUNCTION("""COMPUTED_VALUE"""),66.0)</f>
        <v>66</v>
      </c>
      <c r="F7926" s="19" t="str">
        <f>IFERROR(__xludf.DUMMYFUNCTION("""COMPUTED_VALUE"""),"BLACK")</f>
        <v>BLACK</v>
      </c>
      <c r="G7926" s="20" t="str">
        <f>IFERROR(__xludf.DUMMYFUNCTION("""COMPUTED_VALUE"""),"Uncle Sams Cider (04/04/2023)")</f>
        <v>Uncle Sams Cider (04/04/2023)</v>
      </c>
      <c r="H7926" s="19"/>
    </row>
    <row r="7927">
      <c r="A7927" s="9"/>
      <c r="B7927" s="15"/>
      <c r="C7927" s="9">
        <f>IFERROR(__xludf.DUMMYFUNCTION("""COMPUTED_VALUE"""),45061.086414074)</f>
        <v>45061.08641</v>
      </c>
      <c r="D7927" s="15">
        <f>IFERROR(__xludf.DUMMYFUNCTION("""COMPUTED_VALUE"""),1.015)</f>
        <v>1.015</v>
      </c>
      <c r="E7927" s="16">
        <f>IFERROR(__xludf.DUMMYFUNCTION("""COMPUTED_VALUE"""),66.0)</f>
        <v>66</v>
      </c>
      <c r="F7927" s="19" t="str">
        <f>IFERROR(__xludf.DUMMYFUNCTION("""COMPUTED_VALUE"""),"BLACK")</f>
        <v>BLACK</v>
      </c>
      <c r="G7927" s="20" t="str">
        <f>IFERROR(__xludf.DUMMYFUNCTION("""COMPUTED_VALUE"""),"Uncle Sams Cider (04/04/2023)")</f>
        <v>Uncle Sams Cider (04/04/2023)</v>
      </c>
      <c r="H7927" s="19"/>
    </row>
    <row r="7928">
      <c r="A7928" s="9"/>
      <c r="B7928" s="15"/>
      <c r="C7928" s="9">
        <f>IFERROR(__xludf.DUMMYFUNCTION("""COMPUTED_VALUE"""),45061.0759808564)</f>
        <v>45061.07598</v>
      </c>
      <c r="D7928" s="15">
        <f>IFERROR(__xludf.DUMMYFUNCTION("""COMPUTED_VALUE"""),1.016)</f>
        <v>1.016</v>
      </c>
      <c r="E7928" s="16">
        <f>IFERROR(__xludf.DUMMYFUNCTION("""COMPUTED_VALUE"""),66.0)</f>
        <v>66</v>
      </c>
      <c r="F7928" s="19" t="str">
        <f>IFERROR(__xludf.DUMMYFUNCTION("""COMPUTED_VALUE"""),"BLACK")</f>
        <v>BLACK</v>
      </c>
      <c r="G7928" s="20" t="str">
        <f>IFERROR(__xludf.DUMMYFUNCTION("""COMPUTED_VALUE"""),"Uncle Sams Cider (04/04/2023)")</f>
        <v>Uncle Sams Cider (04/04/2023)</v>
      </c>
      <c r="H7928" s="19"/>
    </row>
    <row r="7929">
      <c r="A7929" s="9"/>
      <c r="B7929" s="15"/>
      <c r="C7929" s="9">
        <f>IFERROR(__xludf.DUMMYFUNCTION("""COMPUTED_VALUE"""),45061.065560706)</f>
        <v>45061.06556</v>
      </c>
      <c r="D7929" s="15">
        <f>IFERROR(__xludf.DUMMYFUNCTION("""COMPUTED_VALUE"""),1.015)</f>
        <v>1.015</v>
      </c>
      <c r="E7929" s="16">
        <f>IFERROR(__xludf.DUMMYFUNCTION("""COMPUTED_VALUE"""),66.0)</f>
        <v>66</v>
      </c>
      <c r="F7929" s="19" t="str">
        <f>IFERROR(__xludf.DUMMYFUNCTION("""COMPUTED_VALUE"""),"BLACK")</f>
        <v>BLACK</v>
      </c>
      <c r="G7929" s="20" t="str">
        <f>IFERROR(__xludf.DUMMYFUNCTION("""COMPUTED_VALUE"""),"Uncle Sams Cider (04/04/2023)")</f>
        <v>Uncle Sams Cider (04/04/2023)</v>
      </c>
      <c r="H7929" s="19"/>
    </row>
    <row r="7930">
      <c r="A7930" s="9"/>
      <c r="B7930" s="15"/>
      <c r="C7930" s="9">
        <f>IFERROR(__xludf.DUMMYFUNCTION("""COMPUTED_VALUE"""),45061.0551045138)</f>
        <v>45061.0551</v>
      </c>
      <c r="D7930" s="15">
        <f>IFERROR(__xludf.DUMMYFUNCTION("""COMPUTED_VALUE"""),1.015)</f>
        <v>1.015</v>
      </c>
      <c r="E7930" s="16">
        <f>IFERROR(__xludf.DUMMYFUNCTION("""COMPUTED_VALUE"""),66.0)</f>
        <v>66</v>
      </c>
      <c r="F7930" s="19" t="str">
        <f>IFERROR(__xludf.DUMMYFUNCTION("""COMPUTED_VALUE"""),"BLACK")</f>
        <v>BLACK</v>
      </c>
      <c r="G7930" s="20" t="str">
        <f>IFERROR(__xludf.DUMMYFUNCTION("""COMPUTED_VALUE"""),"Uncle Sams Cider (04/04/2023)")</f>
        <v>Uncle Sams Cider (04/04/2023)</v>
      </c>
      <c r="H7930" s="19"/>
    </row>
    <row r="7931">
      <c r="A7931" s="9"/>
      <c r="B7931" s="15"/>
      <c r="C7931" s="9">
        <f>IFERROR(__xludf.DUMMYFUNCTION("""COMPUTED_VALUE"""),45061.0446721875)</f>
        <v>45061.04467</v>
      </c>
      <c r="D7931" s="15">
        <f>IFERROR(__xludf.DUMMYFUNCTION("""COMPUTED_VALUE"""),1.016)</f>
        <v>1.016</v>
      </c>
      <c r="E7931" s="16">
        <f>IFERROR(__xludf.DUMMYFUNCTION("""COMPUTED_VALUE"""),66.0)</f>
        <v>66</v>
      </c>
      <c r="F7931" s="19" t="str">
        <f>IFERROR(__xludf.DUMMYFUNCTION("""COMPUTED_VALUE"""),"BLACK")</f>
        <v>BLACK</v>
      </c>
      <c r="G7931" s="20" t="str">
        <f>IFERROR(__xludf.DUMMYFUNCTION("""COMPUTED_VALUE"""),"Uncle Sams Cider (04/04/2023)")</f>
        <v>Uncle Sams Cider (04/04/2023)</v>
      </c>
      <c r="H7931" s="19"/>
    </row>
    <row r="7932">
      <c r="A7932" s="9"/>
      <c r="B7932" s="15"/>
      <c r="C7932" s="9">
        <f>IFERROR(__xludf.DUMMYFUNCTION("""COMPUTED_VALUE"""),45061.0342412152)</f>
        <v>45061.03424</v>
      </c>
      <c r="D7932" s="15">
        <f>IFERROR(__xludf.DUMMYFUNCTION("""COMPUTED_VALUE"""),1.015)</f>
        <v>1.015</v>
      </c>
      <c r="E7932" s="16">
        <f>IFERROR(__xludf.DUMMYFUNCTION("""COMPUTED_VALUE"""),66.0)</f>
        <v>66</v>
      </c>
      <c r="F7932" s="19" t="str">
        <f>IFERROR(__xludf.DUMMYFUNCTION("""COMPUTED_VALUE"""),"BLACK")</f>
        <v>BLACK</v>
      </c>
      <c r="G7932" s="20" t="str">
        <f>IFERROR(__xludf.DUMMYFUNCTION("""COMPUTED_VALUE"""),"Uncle Sams Cider (04/04/2023)")</f>
        <v>Uncle Sams Cider (04/04/2023)</v>
      </c>
      <c r="H7932" s="19"/>
    </row>
    <row r="7933">
      <c r="A7933" s="9"/>
      <c r="B7933" s="15"/>
      <c r="C7933" s="9">
        <f>IFERROR(__xludf.DUMMYFUNCTION("""COMPUTED_VALUE"""),45061.023809537)</f>
        <v>45061.02381</v>
      </c>
      <c r="D7933" s="15">
        <f>IFERROR(__xludf.DUMMYFUNCTION("""COMPUTED_VALUE"""),1.015)</f>
        <v>1.015</v>
      </c>
      <c r="E7933" s="16">
        <f>IFERROR(__xludf.DUMMYFUNCTION("""COMPUTED_VALUE"""),66.0)</f>
        <v>66</v>
      </c>
      <c r="F7933" s="19" t="str">
        <f>IFERROR(__xludf.DUMMYFUNCTION("""COMPUTED_VALUE"""),"BLACK")</f>
        <v>BLACK</v>
      </c>
      <c r="G7933" s="20" t="str">
        <f>IFERROR(__xludf.DUMMYFUNCTION("""COMPUTED_VALUE"""),"Uncle Sams Cider (04/04/2023)")</f>
        <v>Uncle Sams Cider (04/04/2023)</v>
      </c>
      <c r="H7933" s="19"/>
    </row>
    <row r="7934">
      <c r="A7934" s="9"/>
      <c r="B7934" s="15"/>
      <c r="C7934" s="9">
        <f>IFERROR(__xludf.DUMMYFUNCTION("""COMPUTED_VALUE"""),45061.0133895717)</f>
        <v>45061.01339</v>
      </c>
      <c r="D7934" s="15">
        <f>IFERROR(__xludf.DUMMYFUNCTION("""COMPUTED_VALUE"""),1.015)</f>
        <v>1.015</v>
      </c>
      <c r="E7934" s="16">
        <f>IFERROR(__xludf.DUMMYFUNCTION("""COMPUTED_VALUE"""),66.0)</f>
        <v>66</v>
      </c>
      <c r="F7934" s="19" t="str">
        <f>IFERROR(__xludf.DUMMYFUNCTION("""COMPUTED_VALUE"""),"BLACK")</f>
        <v>BLACK</v>
      </c>
      <c r="G7934" s="20" t="str">
        <f>IFERROR(__xludf.DUMMYFUNCTION("""COMPUTED_VALUE"""),"Uncle Sams Cider (04/04/2023)")</f>
        <v>Uncle Sams Cider (04/04/2023)</v>
      </c>
      <c r="H7934" s="19"/>
    </row>
    <row r="7935">
      <c r="A7935" s="9"/>
      <c r="B7935" s="15"/>
      <c r="C7935" s="9">
        <f>IFERROR(__xludf.DUMMYFUNCTION("""COMPUTED_VALUE"""),45061.0029568287)</f>
        <v>45061.00296</v>
      </c>
      <c r="D7935" s="15">
        <f>IFERROR(__xludf.DUMMYFUNCTION("""COMPUTED_VALUE"""),1.016)</f>
        <v>1.016</v>
      </c>
      <c r="E7935" s="16">
        <f>IFERROR(__xludf.DUMMYFUNCTION("""COMPUTED_VALUE"""),66.0)</f>
        <v>66</v>
      </c>
      <c r="F7935" s="19" t="str">
        <f>IFERROR(__xludf.DUMMYFUNCTION("""COMPUTED_VALUE"""),"BLACK")</f>
        <v>BLACK</v>
      </c>
      <c r="G7935" s="20" t="str">
        <f>IFERROR(__xludf.DUMMYFUNCTION("""COMPUTED_VALUE"""),"Uncle Sams Cider (04/04/2023)")</f>
        <v>Uncle Sams Cider (04/04/2023)</v>
      </c>
      <c r="H7935" s="19"/>
    </row>
    <row r="7936">
      <c r="A7936" s="9"/>
      <c r="B7936" s="15"/>
      <c r="C7936" s="9">
        <f>IFERROR(__xludf.DUMMYFUNCTION("""COMPUTED_VALUE"""),45060.9925024652)</f>
        <v>45060.9925</v>
      </c>
      <c r="D7936" s="15">
        <f>IFERROR(__xludf.DUMMYFUNCTION("""COMPUTED_VALUE"""),1.016)</f>
        <v>1.016</v>
      </c>
      <c r="E7936" s="16">
        <f>IFERROR(__xludf.DUMMYFUNCTION("""COMPUTED_VALUE"""),66.0)</f>
        <v>66</v>
      </c>
      <c r="F7936" s="19" t="str">
        <f>IFERROR(__xludf.DUMMYFUNCTION("""COMPUTED_VALUE"""),"BLACK")</f>
        <v>BLACK</v>
      </c>
      <c r="G7936" s="20" t="str">
        <f>IFERROR(__xludf.DUMMYFUNCTION("""COMPUTED_VALUE"""),"Uncle Sams Cider (04/04/2023)")</f>
        <v>Uncle Sams Cider (04/04/2023)</v>
      </c>
      <c r="H7936" s="19"/>
    </row>
    <row r="7937">
      <c r="A7937" s="9"/>
      <c r="B7937" s="15"/>
      <c r="C7937" s="9">
        <f>IFERROR(__xludf.DUMMYFUNCTION("""COMPUTED_VALUE"""),45060.9820699074)</f>
        <v>45060.98207</v>
      </c>
      <c r="D7937" s="15">
        <f>IFERROR(__xludf.DUMMYFUNCTION("""COMPUTED_VALUE"""),1.015)</f>
        <v>1.015</v>
      </c>
      <c r="E7937" s="16">
        <f>IFERROR(__xludf.DUMMYFUNCTION("""COMPUTED_VALUE"""),66.0)</f>
        <v>66</v>
      </c>
      <c r="F7937" s="19" t="str">
        <f>IFERROR(__xludf.DUMMYFUNCTION("""COMPUTED_VALUE"""),"BLACK")</f>
        <v>BLACK</v>
      </c>
      <c r="G7937" s="20" t="str">
        <f>IFERROR(__xludf.DUMMYFUNCTION("""COMPUTED_VALUE"""),"Uncle Sams Cider (04/04/2023)")</f>
        <v>Uncle Sams Cider (04/04/2023)</v>
      </c>
      <c r="H7937" s="19"/>
    </row>
    <row r="7938">
      <c r="A7938" s="9"/>
      <c r="B7938" s="15"/>
      <c r="C7938" s="9">
        <f>IFERROR(__xludf.DUMMYFUNCTION("""COMPUTED_VALUE"""),45060.9716371064)</f>
        <v>45060.97164</v>
      </c>
      <c r="D7938" s="15">
        <f>IFERROR(__xludf.DUMMYFUNCTION("""COMPUTED_VALUE"""),1.015)</f>
        <v>1.015</v>
      </c>
      <c r="E7938" s="16">
        <f>IFERROR(__xludf.DUMMYFUNCTION("""COMPUTED_VALUE"""),66.0)</f>
        <v>66</v>
      </c>
      <c r="F7938" s="19" t="str">
        <f>IFERROR(__xludf.DUMMYFUNCTION("""COMPUTED_VALUE"""),"BLACK")</f>
        <v>BLACK</v>
      </c>
      <c r="G7938" s="20" t="str">
        <f>IFERROR(__xludf.DUMMYFUNCTION("""COMPUTED_VALUE"""),"Uncle Sams Cider (04/04/2023)")</f>
        <v>Uncle Sams Cider (04/04/2023)</v>
      </c>
      <c r="H7938" s="19"/>
    </row>
    <row r="7939">
      <c r="A7939" s="9"/>
      <c r="B7939" s="15"/>
      <c r="C7939" s="9">
        <f>IFERROR(__xludf.DUMMYFUNCTION("""COMPUTED_VALUE"""),45060.9612052777)</f>
        <v>45060.96121</v>
      </c>
      <c r="D7939" s="15">
        <f>IFERROR(__xludf.DUMMYFUNCTION("""COMPUTED_VALUE"""),1.016)</f>
        <v>1.016</v>
      </c>
      <c r="E7939" s="16">
        <f>IFERROR(__xludf.DUMMYFUNCTION("""COMPUTED_VALUE"""),66.0)</f>
        <v>66</v>
      </c>
      <c r="F7939" s="19" t="str">
        <f>IFERROR(__xludf.DUMMYFUNCTION("""COMPUTED_VALUE"""),"BLACK")</f>
        <v>BLACK</v>
      </c>
      <c r="G7939" s="20" t="str">
        <f>IFERROR(__xludf.DUMMYFUNCTION("""COMPUTED_VALUE"""),"Uncle Sams Cider (04/04/2023)")</f>
        <v>Uncle Sams Cider (04/04/2023)</v>
      </c>
      <c r="H7939" s="19"/>
    </row>
    <row r="7940">
      <c r="A7940" s="9"/>
      <c r="B7940" s="15"/>
      <c r="C7940" s="9">
        <f>IFERROR(__xludf.DUMMYFUNCTION("""COMPUTED_VALUE"""),45060.9507257407)</f>
        <v>45060.95073</v>
      </c>
      <c r="D7940" s="15">
        <f>IFERROR(__xludf.DUMMYFUNCTION("""COMPUTED_VALUE"""),1.016)</f>
        <v>1.016</v>
      </c>
      <c r="E7940" s="16">
        <f>IFERROR(__xludf.DUMMYFUNCTION("""COMPUTED_VALUE"""),66.0)</f>
        <v>66</v>
      </c>
      <c r="F7940" s="19" t="str">
        <f>IFERROR(__xludf.DUMMYFUNCTION("""COMPUTED_VALUE"""),"BLACK")</f>
        <v>BLACK</v>
      </c>
      <c r="G7940" s="20" t="str">
        <f>IFERROR(__xludf.DUMMYFUNCTION("""COMPUTED_VALUE"""),"Uncle Sams Cider (04/04/2023)")</f>
        <v>Uncle Sams Cider (04/04/2023)</v>
      </c>
      <c r="H7940" s="19"/>
    </row>
    <row r="7941">
      <c r="A7941" s="9"/>
      <c r="B7941" s="15"/>
      <c r="C7941" s="9">
        <f>IFERROR(__xludf.DUMMYFUNCTION("""COMPUTED_VALUE"""),45060.9403040972)</f>
        <v>45060.9403</v>
      </c>
      <c r="D7941" s="15">
        <f>IFERROR(__xludf.DUMMYFUNCTION("""COMPUTED_VALUE"""),1.016)</f>
        <v>1.016</v>
      </c>
      <c r="E7941" s="16">
        <f>IFERROR(__xludf.DUMMYFUNCTION("""COMPUTED_VALUE"""),66.0)</f>
        <v>66</v>
      </c>
      <c r="F7941" s="19" t="str">
        <f>IFERROR(__xludf.DUMMYFUNCTION("""COMPUTED_VALUE"""),"BLACK")</f>
        <v>BLACK</v>
      </c>
      <c r="G7941" s="20" t="str">
        <f>IFERROR(__xludf.DUMMYFUNCTION("""COMPUTED_VALUE"""),"Uncle Sams Cider (04/04/2023)")</f>
        <v>Uncle Sams Cider (04/04/2023)</v>
      </c>
      <c r="H7941" s="19"/>
    </row>
    <row r="7942">
      <c r="A7942" s="9"/>
      <c r="B7942" s="15"/>
      <c r="C7942" s="9">
        <f>IFERROR(__xludf.DUMMYFUNCTION("""COMPUTED_VALUE"""),45060.929871574)</f>
        <v>45060.92987</v>
      </c>
      <c r="D7942" s="15">
        <f>IFERROR(__xludf.DUMMYFUNCTION("""COMPUTED_VALUE"""),1.016)</f>
        <v>1.016</v>
      </c>
      <c r="E7942" s="16">
        <f>IFERROR(__xludf.DUMMYFUNCTION("""COMPUTED_VALUE"""),66.0)</f>
        <v>66</v>
      </c>
      <c r="F7942" s="19" t="str">
        <f>IFERROR(__xludf.DUMMYFUNCTION("""COMPUTED_VALUE"""),"BLACK")</f>
        <v>BLACK</v>
      </c>
      <c r="G7942" s="20" t="str">
        <f>IFERROR(__xludf.DUMMYFUNCTION("""COMPUTED_VALUE"""),"Uncle Sams Cider (04/04/2023)")</f>
        <v>Uncle Sams Cider (04/04/2023)</v>
      </c>
      <c r="H7942" s="19"/>
    </row>
    <row r="7943">
      <c r="A7943" s="9"/>
      <c r="B7943" s="15"/>
      <c r="C7943" s="9">
        <f>IFERROR(__xludf.DUMMYFUNCTION("""COMPUTED_VALUE"""),45060.9194267824)</f>
        <v>45060.91943</v>
      </c>
      <c r="D7943" s="15">
        <f>IFERROR(__xludf.DUMMYFUNCTION("""COMPUTED_VALUE"""),1.015)</f>
        <v>1.015</v>
      </c>
      <c r="E7943" s="16">
        <f>IFERROR(__xludf.DUMMYFUNCTION("""COMPUTED_VALUE"""),66.0)</f>
        <v>66</v>
      </c>
      <c r="F7943" s="19" t="str">
        <f>IFERROR(__xludf.DUMMYFUNCTION("""COMPUTED_VALUE"""),"BLACK")</f>
        <v>BLACK</v>
      </c>
      <c r="G7943" s="20" t="str">
        <f>IFERROR(__xludf.DUMMYFUNCTION("""COMPUTED_VALUE"""),"Uncle Sams Cider (04/04/2023)")</f>
        <v>Uncle Sams Cider (04/04/2023)</v>
      </c>
      <c r="H7943" s="19"/>
    </row>
    <row r="7944">
      <c r="A7944" s="9"/>
      <c r="B7944" s="15"/>
      <c r="C7944" s="9">
        <f>IFERROR(__xludf.DUMMYFUNCTION("""COMPUTED_VALUE"""),45060.9089946643)</f>
        <v>45060.90899</v>
      </c>
      <c r="D7944" s="15">
        <f>IFERROR(__xludf.DUMMYFUNCTION("""COMPUTED_VALUE"""),1.016)</f>
        <v>1.016</v>
      </c>
      <c r="E7944" s="16">
        <f>IFERROR(__xludf.DUMMYFUNCTION("""COMPUTED_VALUE"""),66.0)</f>
        <v>66</v>
      </c>
      <c r="F7944" s="19" t="str">
        <f>IFERROR(__xludf.DUMMYFUNCTION("""COMPUTED_VALUE"""),"BLACK")</f>
        <v>BLACK</v>
      </c>
      <c r="G7944" s="20" t="str">
        <f>IFERROR(__xludf.DUMMYFUNCTION("""COMPUTED_VALUE"""),"Uncle Sams Cider (04/04/2023)")</f>
        <v>Uncle Sams Cider (04/04/2023)</v>
      </c>
      <c r="H7944" s="19"/>
    </row>
    <row r="7945">
      <c r="A7945" s="9"/>
      <c r="B7945" s="15"/>
      <c r="C7945" s="9">
        <f>IFERROR(__xludf.DUMMYFUNCTION("""COMPUTED_VALUE"""),45060.8985731481)</f>
        <v>45060.89857</v>
      </c>
      <c r="D7945" s="15">
        <f>IFERROR(__xludf.DUMMYFUNCTION("""COMPUTED_VALUE"""),1.015)</f>
        <v>1.015</v>
      </c>
      <c r="E7945" s="16">
        <f>IFERROR(__xludf.DUMMYFUNCTION("""COMPUTED_VALUE"""),66.0)</f>
        <v>66</v>
      </c>
      <c r="F7945" s="19" t="str">
        <f>IFERROR(__xludf.DUMMYFUNCTION("""COMPUTED_VALUE"""),"BLACK")</f>
        <v>BLACK</v>
      </c>
      <c r="G7945" s="20" t="str">
        <f>IFERROR(__xludf.DUMMYFUNCTION("""COMPUTED_VALUE"""),"Uncle Sams Cider (04/04/2023)")</f>
        <v>Uncle Sams Cider (04/04/2023)</v>
      </c>
      <c r="H7945" s="19"/>
    </row>
    <row r="7946">
      <c r="A7946" s="9"/>
      <c r="B7946" s="15"/>
      <c r="C7946" s="9">
        <f>IFERROR(__xludf.DUMMYFUNCTION("""COMPUTED_VALUE"""),45060.8881530671)</f>
        <v>45060.88815</v>
      </c>
      <c r="D7946" s="15">
        <f>IFERROR(__xludf.DUMMYFUNCTION("""COMPUTED_VALUE"""),1.015)</f>
        <v>1.015</v>
      </c>
      <c r="E7946" s="16">
        <f>IFERROR(__xludf.DUMMYFUNCTION("""COMPUTED_VALUE"""),66.0)</f>
        <v>66</v>
      </c>
      <c r="F7946" s="19" t="str">
        <f>IFERROR(__xludf.DUMMYFUNCTION("""COMPUTED_VALUE"""),"BLACK")</f>
        <v>BLACK</v>
      </c>
      <c r="G7946" s="20" t="str">
        <f>IFERROR(__xludf.DUMMYFUNCTION("""COMPUTED_VALUE"""),"Uncle Sams Cider (04/04/2023)")</f>
        <v>Uncle Sams Cider (04/04/2023)</v>
      </c>
      <c r="H7946" s="19"/>
    </row>
    <row r="7947">
      <c r="A7947" s="9"/>
      <c r="B7947" s="15"/>
      <c r="C7947" s="9">
        <f>IFERROR(__xludf.DUMMYFUNCTION("""COMPUTED_VALUE"""),45060.8777193865)</f>
        <v>45060.87772</v>
      </c>
      <c r="D7947" s="15">
        <f>IFERROR(__xludf.DUMMYFUNCTION("""COMPUTED_VALUE"""),1.016)</f>
        <v>1.016</v>
      </c>
      <c r="E7947" s="16">
        <f>IFERROR(__xludf.DUMMYFUNCTION("""COMPUTED_VALUE"""),66.0)</f>
        <v>66</v>
      </c>
      <c r="F7947" s="19" t="str">
        <f>IFERROR(__xludf.DUMMYFUNCTION("""COMPUTED_VALUE"""),"BLACK")</f>
        <v>BLACK</v>
      </c>
      <c r="G7947" s="20" t="str">
        <f>IFERROR(__xludf.DUMMYFUNCTION("""COMPUTED_VALUE"""),"Uncle Sams Cider (04/04/2023)")</f>
        <v>Uncle Sams Cider (04/04/2023)</v>
      </c>
      <c r="H7947" s="19"/>
    </row>
    <row r="7948">
      <c r="A7948" s="9"/>
      <c r="B7948" s="15"/>
      <c r="C7948" s="9">
        <f>IFERROR(__xludf.DUMMYFUNCTION("""COMPUTED_VALUE"""),45060.8672760416)</f>
        <v>45060.86728</v>
      </c>
      <c r="D7948" s="15">
        <f>IFERROR(__xludf.DUMMYFUNCTION("""COMPUTED_VALUE"""),1.016)</f>
        <v>1.016</v>
      </c>
      <c r="E7948" s="16">
        <f>IFERROR(__xludf.DUMMYFUNCTION("""COMPUTED_VALUE"""),66.0)</f>
        <v>66</v>
      </c>
      <c r="F7948" s="19" t="str">
        <f>IFERROR(__xludf.DUMMYFUNCTION("""COMPUTED_VALUE"""),"BLACK")</f>
        <v>BLACK</v>
      </c>
      <c r="G7948" s="20" t="str">
        <f>IFERROR(__xludf.DUMMYFUNCTION("""COMPUTED_VALUE"""),"Uncle Sams Cider (04/04/2023)")</f>
        <v>Uncle Sams Cider (04/04/2023)</v>
      </c>
      <c r="H7948" s="19"/>
    </row>
    <row r="7949">
      <c r="A7949" s="9"/>
      <c r="B7949" s="15"/>
      <c r="C7949" s="9">
        <f>IFERROR(__xludf.DUMMYFUNCTION("""COMPUTED_VALUE"""),45060.856844074)</f>
        <v>45060.85684</v>
      </c>
      <c r="D7949" s="15">
        <f>IFERROR(__xludf.DUMMYFUNCTION("""COMPUTED_VALUE"""),1.016)</f>
        <v>1.016</v>
      </c>
      <c r="E7949" s="16">
        <f>IFERROR(__xludf.DUMMYFUNCTION("""COMPUTED_VALUE"""),66.0)</f>
        <v>66</v>
      </c>
      <c r="F7949" s="19" t="str">
        <f>IFERROR(__xludf.DUMMYFUNCTION("""COMPUTED_VALUE"""),"BLACK")</f>
        <v>BLACK</v>
      </c>
      <c r="G7949" s="20" t="str">
        <f>IFERROR(__xludf.DUMMYFUNCTION("""COMPUTED_VALUE"""),"Uncle Sams Cider (04/04/2023)")</f>
        <v>Uncle Sams Cider (04/04/2023)</v>
      </c>
      <c r="H7949" s="19"/>
    </row>
    <row r="7950">
      <c r="A7950" s="9"/>
      <c r="B7950" s="15"/>
      <c r="C7950" s="9">
        <f>IFERROR(__xludf.DUMMYFUNCTION("""COMPUTED_VALUE"""),45060.8464109375)</f>
        <v>45060.84641</v>
      </c>
      <c r="D7950" s="15">
        <f>IFERROR(__xludf.DUMMYFUNCTION("""COMPUTED_VALUE"""),1.015)</f>
        <v>1.015</v>
      </c>
      <c r="E7950" s="16">
        <f>IFERROR(__xludf.DUMMYFUNCTION("""COMPUTED_VALUE"""),66.0)</f>
        <v>66</v>
      </c>
      <c r="F7950" s="19" t="str">
        <f>IFERROR(__xludf.DUMMYFUNCTION("""COMPUTED_VALUE"""),"BLACK")</f>
        <v>BLACK</v>
      </c>
      <c r="G7950" s="20" t="str">
        <f>IFERROR(__xludf.DUMMYFUNCTION("""COMPUTED_VALUE"""),"Uncle Sams Cider (04/04/2023)")</f>
        <v>Uncle Sams Cider (04/04/2023)</v>
      </c>
      <c r="H7950" s="19"/>
    </row>
    <row r="7951">
      <c r="A7951" s="9"/>
      <c r="B7951" s="15"/>
      <c r="C7951" s="9">
        <f>IFERROR(__xludf.DUMMYFUNCTION("""COMPUTED_VALUE"""),45060.8359668171)</f>
        <v>45060.83597</v>
      </c>
      <c r="D7951" s="15">
        <f>IFERROR(__xludf.DUMMYFUNCTION("""COMPUTED_VALUE"""),1.016)</f>
        <v>1.016</v>
      </c>
      <c r="E7951" s="16">
        <f>IFERROR(__xludf.DUMMYFUNCTION("""COMPUTED_VALUE"""),66.0)</f>
        <v>66</v>
      </c>
      <c r="F7951" s="19" t="str">
        <f>IFERROR(__xludf.DUMMYFUNCTION("""COMPUTED_VALUE"""),"BLACK")</f>
        <v>BLACK</v>
      </c>
      <c r="G7951" s="20" t="str">
        <f>IFERROR(__xludf.DUMMYFUNCTION("""COMPUTED_VALUE"""),"Uncle Sams Cider (04/04/2023)")</f>
        <v>Uncle Sams Cider (04/04/2023)</v>
      </c>
      <c r="H7951" s="19"/>
    </row>
    <row r="7952">
      <c r="A7952" s="9"/>
      <c r="B7952" s="15"/>
      <c r="C7952" s="9">
        <f>IFERROR(__xludf.DUMMYFUNCTION("""COMPUTED_VALUE"""),45060.8255327199)</f>
        <v>45060.82553</v>
      </c>
      <c r="D7952" s="15">
        <f>IFERROR(__xludf.DUMMYFUNCTION("""COMPUTED_VALUE"""),1.016)</f>
        <v>1.016</v>
      </c>
      <c r="E7952" s="16">
        <f>IFERROR(__xludf.DUMMYFUNCTION("""COMPUTED_VALUE"""),65.0)</f>
        <v>65</v>
      </c>
      <c r="F7952" s="19" t="str">
        <f>IFERROR(__xludf.DUMMYFUNCTION("""COMPUTED_VALUE"""),"BLACK")</f>
        <v>BLACK</v>
      </c>
      <c r="G7952" s="20" t="str">
        <f>IFERROR(__xludf.DUMMYFUNCTION("""COMPUTED_VALUE"""),"Uncle Sams Cider (04/04/2023)")</f>
        <v>Uncle Sams Cider (04/04/2023)</v>
      </c>
      <c r="H7952" s="19"/>
    </row>
    <row r="7953">
      <c r="A7953" s="9"/>
      <c r="B7953" s="15"/>
      <c r="C7953" s="9">
        <f>IFERROR(__xludf.DUMMYFUNCTION("""COMPUTED_VALUE"""),45060.815099155)</f>
        <v>45060.8151</v>
      </c>
      <c r="D7953" s="15">
        <f>IFERROR(__xludf.DUMMYFUNCTION("""COMPUTED_VALUE"""),1.016)</f>
        <v>1.016</v>
      </c>
      <c r="E7953" s="16">
        <f>IFERROR(__xludf.DUMMYFUNCTION("""COMPUTED_VALUE"""),65.0)</f>
        <v>65</v>
      </c>
      <c r="F7953" s="19" t="str">
        <f>IFERROR(__xludf.DUMMYFUNCTION("""COMPUTED_VALUE"""),"BLACK")</f>
        <v>BLACK</v>
      </c>
      <c r="G7953" s="20" t="str">
        <f>IFERROR(__xludf.DUMMYFUNCTION("""COMPUTED_VALUE"""),"Uncle Sams Cider (04/04/2023)")</f>
        <v>Uncle Sams Cider (04/04/2023)</v>
      </c>
      <c r="H7953" s="19"/>
    </row>
    <row r="7954">
      <c r="A7954" s="9"/>
      <c r="B7954" s="15"/>
      <c r="C7954" s="9">
        <f>IFERROR(__xludf.DUMMYFUNCTION("""COMPUTED_VALUE"""),45060.8046667361)</f>
        <v>45060.80467</v>
      </c>
      <c r="D7954" s="15">
        <f>IFERROR(__xludf.DUMMYFUNCTION("""COMPUTED_VALUE"""),1.016)</f>
        <v>1.016</v>
      </c>
      <c r="E7954" s="16">
        <f>IFERROR(__xludf.DUMMYFUNCTION("""COMPUTED_VALUE"""),65.0)</f>
        <v>65</v>
      </c>
      <c r="F7954" s="19" t="str">
        <f>IFERROR(__xludf.DUMMYFUNCTION("""COMPUTED_VALUE"""),"BLACK")</f>
        <v>BLACK</v>
      </c>
      <c r="G7954" s="20" t="str">
        <f>IFERROR(__xludf.DUMMYFUNCTION("""COMPUTED_VALUE"""),"Uncle Sams Cider (04/04/2023)")</f>
        <v>Uncle Sams Cider (04/04/2023)</v>
      </c>
      <c r="H7954" s="19"/>
    </row>
    <row r="7955">
      <c r="A7955" s="9"/>
      <c r="B7955" s="15"/>
      <c r="C7955" s="9">
        <f>IFERROR(__xludf.DUMMYFUNCTION("""COMPUTED_VALUE"""),45060.7942330092)</f>
        <v>45060.79423</v>
      </c>
      <c r="D7955" s="15">
        <f>IFERROR(__xludf.DUMMYFUNCTION("""COMPUTED_VALUE"""),1.016)</f>
        <v>1.016</v>
      </c>
      <c r="E7955" s="16">
        <f>IFERROR(__xludf.DUMMYFUNCTION("""COMPUTED_VALUE"""),66.0)</f>
        <v>66</v>
      </c>
      <c r="F7955" s="19" t="str">
        <f>IFERROR(__xludf.DUMMYFUNCTION("""COMPUTED_VALUE"""),"BLACK")</f>
        <v>BLACK</v>
      </c>
      <c r="G7955" s="20" t="str">
        <f>IFERROR(__xludf.DUMMYFUNCTION("""COMPUTED_VALUE"""),"Uncle Sams Cider (04/04/2023)")</f>
        <v>Uncle Sams Cider (04/04/2023)</v>
      </c>
      <c r="H7955" s="19"/>
    </row>
    <row r="7956">
      <c r="A7956" s="9"/>
      <c r="B7956" s="15"/>
      <c r="C7956" s="9">
        <f>IFERROR(__xludf.DUMMYFUNCTION("""COMPUTED_VALUE"""),45060.7837866666)</f>
        <v>45060.78379</v>
      </c>
      <c r="D7956" s="15">
        <f>IFERROR(__xludf.DUMMYFUNCTION("""COMPUTED_VALUE"""),1.016)</f>
        <v>1.016</v>
      </c>
      <c r="E7956" s="16">
        <f>IFERROR(__xludf.DUMMYFUNCTION("""COMPUTED_VALUE"""),66.0)</f>
        <v>66</v>
      </c>
      <c r="F7956" s="19" t="str">
        <f>IFERROR(__xludf.DUMMYFUNCTION("""COMPUTED_VALUE"""),"BLACK")</f>
        <v>BLACK</v>
      </c>
      <c r="G7956" s="20" t="str">
        <f>IFERROR(__xludf.DUMMYFUNCTION("""COMPUTED_VALUE"""),"Uncle Sams Cider (04/04/2023)")</f>
        <v>Uncle Sams Cider (04/04/2023)</v>
      </c>
      <c r="H7956" s="19"/>
    </row>
    <row r="7957">
      <c r="A7957" s="9"/>
      <c r="B7957" s="15"/>
      <c r="C7957" s="9">
        <f>IFERROR(__xludf.DUMMYFUNCTION("""COMPUTED_VALUE"""),45060.7733648263)</f>
        <v>45060.77336</v>
      </c>
      <c r="D7957" s="15">
        <f>IFERROR(__xludf.DUMMYFUNCTION("""COMPUTED_VALUE"""),1.016)</f>
        <v>1.016</v>
      </c>
      <c r="E7957" s="16">
        <f>IFERROR(__xludf.DUMMYFUNCTION("""COMPUTED_VALUE"""),65.0)</f>
        <v>65</v>
      </c>
      <c r="F7957" s="19" t="str">
        <f>IFERROR(__xludf.DUMMYFUNCTION("""COMPUTED_VALUE"""),"BLACK")</f>
        <v>BLACK</v>
      </c>
      <c r="G7957" s="20" t="str">
        <f>IFERROR(__xludf.DUMMYFUNCTION("""COMPUTED_VALUE"""),"Uncle Sams Cider (04/04/2023)")</f>
        <v>Uncle Sams Cider (04/04/2023)</v>
      </c>
      <c r="H7957" s="19"/>
    </row>
    <row r="7958">
      <c r="A7958" s="9"/>
      <c r="B7958" s="15"/>
      <c r="C7958" s="9">
        <f>IFERROR(__xludf.DUMMYFUNCTION("""COMPUTED_VALUE"""),45060.7629333217)</f>
        <v>45060.76293</v>
      </c>
      <c r="D7958" s="15">
        <f>IFERROR(__xludf.DUMMYFUNCTION("""COMPUTED_VALUE"""),1.016)</f>
        <v>1.016</v>
      </c>
      <c r="E7958" s="16">
        <f>IFERROR(__xludf.DUMMYFUNCTION("""COMPUTED_VALUE"""),65.0)</f>
        <v>65</v>
      </c>
      <c r="F7958" s="19" t="str">
        <f>IFERROR(__xludf.DUMMYFUNCTION("""COMPUTED_VALUE"""),"BLACK")</f>
        <v>BLACK</v>
      </c>
      <c r="G7958" s="20" t="str">
        <f>IFERROR(__xludf.DUMMYFUNCTION("""COMPUTED_VALUE"""),"Uncle Sams Cider (04/04/2023)")</f>
        <v>Uncle Sams Cider (04/04/2023)</v>
      </c>
      <c r="H7958" s="19"/>
    </row>
    <row r="7959">
      <c r="A7959" s="9"/>
      <c r="B7959" s="15"/>
      <c r="C7959" s="9">
        <f>IFERROR(__xludf.DUMMYFUNCTION("""COMPUTED_VALUE"""),45060.7524881828)</f>
        <v>45060.75249</v>
      </c>
      <c r="D7959" s="15">
        <f>IFERROR(__xludf.DUMMYFUNCTION("""COMPUTED_VALUE"""),1.016)</f>
        <v>1.016</v>
      </c>
      <c r="E7959" s="16">
        <f>IFERROR(__xludf.DUMMYFUNCTION("""COMPUTED_VALUE"""),65.0)</f>
        <v>65</v>
      </c>
      <c r="F7959" s="19" t="str">
        <f>IFERROR(__xludf.DUMMYFUNCTION("""COMPUTED_VALUE"""),"BLACK")</f>
        <v>BLACK</v>
      </c>
      <c r="G7959" s="20" t="str">
        <f>IFERROR(__xludf.DUMMYFUNCTION("""COMPUTED_VALUE"""),"Uncle Sams Cider (04/04/2023)")</f>
        <v>Uncle Sams Cider (04/04/2023)</v>
      </c>
      <c r="H7959" s="19"/>
    </row>
    <row r="7960">
      <c r="A7960" s="9"/>
      <c r="B7960" s="15"/>
      <c r="C7960" s="9">
        <f>IFERROR(__xludf.DUMMYFUNCTION("""COMPUTED_VALUE"""),45060.7420434722)</f>
        <v>45060.74204</v>
      </c>
      <c r="D7960" s="15">
        <f>IFERROR(__xludf.DUMMYFUNCTION("""COMPUTED_VALUE"""),1.016)</f>
        <v>1.016</v>
      </c>
      <c r="E7960" s="16">
        <f>IFERROR(__xludf.DUMMYFUNCTION("""COMPUTED_VALUE"""),65.0)</f>
        <v>65</v>
      </c>
      <c r="F7960" s="19" t="str">
        <f>IFERROR(__xludf.DUMMYFUNCTION("""COMPUTED_VALUE"""),"BLACK")</f>
        <v>BLACK</v>
      </c>
      <c r="G7960" s="20" t="str">
        <f>IFERROR(__xludf.DUMMYFUNCTION("""COMPUTED_VALUE"""),"Uncle Sams Cider (04/04/2023)")</f>
        <v>Uncle Sams Cider (04/04/2023)</v>
      </c>
      <c r="H7960" s="19"/>
    </row>
    <row r="7961">
      <c r="A7961" s="9"/>
      <c r="B7961" s="15"/>
      <c r="C7961" s="9">
        <f>IFERROR(__xludf.DUMMYFUNCTION("""COMPUTED_VALUE"""),45060.7316113541)</f>
        <v>45060.73161</v>
      </c>
      <c r="D7961" s="15">
        <f>IFERROR(__xludf.DUMMYFUNCTION("""COMPUTED_VALUE"""),1.016)</f>
        <v>1.016</v>
      </c>
      <c r="E7961" s="16">
        <f>IFERROR(__xludf.DUMMYFUNCTION("""COMPUTED_VALUE"""),65.0)</f>
        <v>65</v>
      </c>
      <c r="F7961" s="19" t="str">
        <f>IFERROR(__xludf.DUMMYFUNCTION("""COMPUTED_VALUE"""),"BLACK")</f>
        <v>BLACK</v>
      </c>
      <c r="G7961" s="20" t="str">
        <f>IFERROR(__xludf.DUMMYFUNCTION("""COMPUTED_VALUE"""),"Uncle Sams Cider (04/04/2023)")</f>
        <v>Uncle Sams Cider (04/04/2023)</v>
      </c>
      <c r="H7961" s="19"/>
    </row>
    <row r="7962">
      <c r="A7962" s="9"/>
      <c r="B7962" s="15"/>
      <c r="C7962" s="9">
        <f>IFERROR(__xludf.DUMMYFUNCTION("""COMPUTED_VALUE"""),45060.7211913541)</f>
        <v>45060.72119</v>
      </c>
      <c r="D7962" s="15">
        <f>IFERROR(__xludf.DUMMYFUNCTION("""COMPUTED_VALUE"""),1.016)</f>
        <v>1.016</v>
      </c>
      <c r="E7962" s="16">
        <f>IFERROR(__xludf.DUMMYFUNCTION("""COMPUTED_VALUE"""),65.0)</f>
        <v>65</v>
      </c>
      <c r="F7962" s="19" t="str">
        <f>IFERROR(__xludf.DUMMYFUNCTION("""COMPUTED_VALUE"""),"BLACK")</f>
        <v>BLACK</v>
      </c>
      <c r="G7962" s="20" t="str">
        <f>IFERROR(__xludf.DUMMYFUNCTION("""COMPUTED_VALUE"""),"Uncle Sams Cider (04/04/2023)")</f>
        <v>Uncle Sams Cider (04/04/2023)</v>
      </c>
      <c r="H7962" s="19"/>
    </row>
    <row r="7963">
      <c r="A7963" s="9"/>
      <c r="B7963" s="15"/>
      <c r="C7963" s="9">
        <f>IFERROR(__xludf.DUMMYFUNCTION("""COMPUTED_VALUE"""),45060.7107684606)</f>
        <v>45060.71077</v>
      </c>
      <c r="D7963" s="15">
        <f>IFERROR(__xludf.DUMMYFUNCTION("""COMPUTED_VALUE"""),1.016)</f>
        <v>1.016</v>
      </c>
      <c r="E7963" s="16">
        <f>IFERROR(__xludf.DUMMYFUNCTION("""COMPUTED_VALUE"""),65.0)</f>
        <v>65</v>
      </c>
      <c r="F7963" s="19" t="str">
        <f>IFERROR(__xludf.DUMMYFUNCTION("""COMPUTED_VALUE"""),"BLACK")</f>
        <v>BLACK</v>
      </c>
      <c r="G7963" s="20" t="str">
        <f>IFERROR(__xludf.DUMMYFUNCTION("""COMPUTED_VALUE"""),"Uncle Sams Cider (04/04/2023)")</f>
        <v>Uncle Sams Cider (04/04/2023)</v>
      </c>
      <c r="H7963" s="19"/>
    </row>
    <row r="7964">
      <c r="A7964" s="9"/>
      <c r="B7964" s="15"/>
      <c r="C7964" s="9">
        <f>IFERROR(__xludf.DUMMYFUNCTION("""COMPUTED_VALUE"""),45060.7003472685)</f>
        <v>45060.70035</v>
      </c>
      <c r="D7964" s="15">
        <f>IFERROR(__xludf.DUMMYFUNCTION("""COMPUTED_VALUE"""),1.016)</f>
        <v>1.016</v>
      </c>
      <c r="E7964" s="16">
        <f>IFERROR(__xludf.DUMMYFUNCTION("""COMPUTED_VALUE"""),65.0)</f>
        <v>65</v>
      </c>
      <c r="F7964" s="19" t="str">
        <f>IFERROR(__xludf.DUMMYFUNCTION("""COMPUTED_VALUE"""),"BLACK")</f>
        <v>BLACK</v>
      </c>
      <c r="G7964" s="20" t="str">
        <f>IFERROR(__xludf.DUMMYFUNCTION("""COMPUTED_VALUE"""),"Uncle Sams Cider (04/04/2023)")</f>
        <v>Uncle Sams Cider (04/04/2023)</v>
      </c>
      <c r="H7964" s="19"/>
    </row>
    <row r="7965">
      <c r="A7965" s="9"/>
      <c r="B7965" s="15"/>
      <c r="C7965" s="9">
        <f>IFERROR(__xludf.DUMMYFUNCTION("""COMPUTED_VALUE"""),45060.6899035648)</f>
        <v>45060.6899</v>
      </c>
      <c r="D7965" s="15">
        <f>IFERROR(__xludf.DUMMYFUNCTION("""COMPUTED_VALUE"""),1.016)</f>
        <v>1.016</v>
      </c>
      <c r="E7965" s="16">
        <f>IFERROR(__xludf.DUMMYFUNCTION("""COMPUTED_VALUE"""),66.0)</f>
        <v>66</v>
      </c>
      <c r="F7965" s="19" t="str">
        <f>IFERROR(__xludf.DUMMYFUNCTION("""COMPUTED_VALUE"""),"BLACK")</f>
        <v>BLACK</v>
      </c>
      <c r="G7965" s="20" t="str">
        <f>IFERROR(__xludf.DUMMYFUNCTION("""COMPUTED_VALUE"""),"Uncle Sams Cider (04/04/2023)")</f>
        <v>Uncle Sams Cider (04/04/2023)</v>
      </c>
      <c r="H7965" s="19"/>
    </row>
    <row r="7966">
      <c r="A7966" s="9"/>
      <c r="B7966" s="15"/>
      <c r="C7966" s="9">
        <f>IFERROR(__xludf.DUMMYFUNCTION("""COMPUTED_VALUE"""),45060.67947125)</f>
        <v>45060.67947</v>
      </c>
      <c r="D7966" s="15">
        <f>IFERROR(__xludf.DUMMYFUNCTION("""COMPUTED_VALUE"""),1.016)</f>
        <v>1.016</v>
      </c>
      <c r="E7966" s="16">
        <f>IFERROR(__xludf.DUMMYFUNCTION("""COMPUTED_VALUE"""),65.0)</f>
        <v>65</v>
      </c>
      <c r="F7966" s="19" t="str">
        <f>IFERROR(__xludf.DUMMYFUNCTION("""COMPUTED_VALUE"""),"BLACK")</f>
        <v>BLACK</v>
      </c>
      <c r="G7966" s="20" t="str">
        <f>IFERROR(__xludf.DUMMYFUNCTION("""COMPUTED_VALUE"""),"Uncle Sams Cider (04/04/2023)")</f>
        <v>Uncle Sams Cider (04/04/2023)</v>
      </c>
      <c r="H7966" s="19"/>
    </row>
    <row r="7967">
      <c r="A7967" s="9"/>
      <c r="B7967" s="15"/>
      <c r="C7967" s="9">
        <f>IFERROR(__xludf.DUMMYFUNCTION("""COMPUTED_VALUE"""),45060.6690386226)</f>
        <v>45060.66904</v>
      </c>
      <c r="D7967" s="15">
        <f>IFERROR(__xludf.DUMMYFUNCTION("""COMPUTED_VALUE"""),1.016)</f>
        <v>1.016</v>
      </c>
      <c r="E7967" s="16">
        <f>IFERROR(__xludf.DUMMYFUNCTION("""COMPUTED_VALUE"""),65.0)</f>
        <v>65</v>
      </c>
      <c r="F7967" s="19" t="str">
        <f>IFERROR(__xludf.DUMMYFUNCTION("""COMPUTED_VALUE"""),"BLACK")</f>
        <v>BLACK</v>
      </c>
      <c r="G7967" s="20" t="str">
        <f>IFERROR(__xludf.DUMMYFUNCTION("""COMPUTED_VALUE"""),"Uncle Sams Cider (04/04/2023)")</f>
        <v>Uncle Sams Cider (04/04/2023)</v>
      </c>
      <c r="H7967" s="19"/>
    </row>
    <row r="7968">
      <c r="A7968" s="9"/>
      <c r="B7968" s="15"/>
      <c r="C7968" s="9">
        <f>IFERROR(__xludf.DUMMYFUNCTION("""COMPUTED_VALUE"""),45060.6586169097)</f>
        <v>45060.65862</v>
      </c>
      <c r="D7968" s="15">
        <f>IFERROR(__xludf.DUMMYFUNCTION("""COMPUTED_VALUE"""),1.016)</f>
        <v>1.016</v>
      </c>
      <c r="E7968" s="16">
        <f>IFERROR(__xludf.DUMMYFUNCTION("""COMPUTED_VALUE"""),65.0)</f>
        <v>65</v>
      </c>
      <c r="F7968" s="19" t="str">
        <f>IFERROR(__xludf.DUMMYFUNCTION("""COMPUTED_VALUE"""),"BLACK")</f>
        <v>BLACK</v>
      </c>
      <c r="G7968" s="20" t="str">
        <f>IFERROR(__xludf.DUMMYFUNCTION("""COMPUTED_VALUE"""),"Uncle Sams Cider (04/04/2023)")</f>
        <v>Uncle Sams Cider (04/04/2023)</v>
      </c>
      <c r="H7968" s="19"/>
    </row>
    <row r="7969">
      <c r="A7969" s="9"/>
      <c r="B7969" s="15"/>
      <c r="C7969" s="9">
        <f>IFERROR(__xludf.DUMMYFUNCTION("""COMPUTED_VALUE"""),45060.648197662)</f>
        <v>45060.6482</v>
      </c>
      <c r="D7969" s="15">
        <f>IFERROR(__xludf.DUMMYFUNCTION("""COMPUTED_VALUE"""),1.016)</f>
        <v>1.016</v>
      </c>
      <c r="E7969" s="16">
        <f>IFERROR(__xludf.DUMMYFUNCTION("""COMPUTED_VALUE"""),65.0)</f>
        <v>65</v>
      </c>
      <c r="F7969" s="19" t="str">
        <f>IFERROR(__xludf.DUMMYFUNCTION("""COMPUTED_VALUE"""),"BLACK")</f>
        <v>BLACK</v>
      </c>
      <c r="G7969" s="20" t="str">
        <f>IFERROR(__xludf.DUMMYFUNCTION("""COMPUTED_VALUE"""),"Uncle Sams Cider (04/04/2023)")</f>
        <v>Uncle Sams Cider (04/04/2023)</v>
      </c>
      <c r="H7969" s="19"/>
    </row>
    <row r="7970">
      <c r="A7970" s="9"/>
      <c r="B7970" s="15"/>
      <c r="C7970" s="9">
        <f>IFERROR(__xludf.DUMMYFUNCTION("""COMPUTED_VALUE"""),45060.6377768402)</f>
        <v>45060.63778</v>
      </c>
      <c r="D7970" s="15">
        <f>IFERROR(__xludf.DUMMYFUNCTION("""COMPUTED_VALUE"""),1.016)</f>
        <v>1.016</v>
      </c>
      <c r="E7970" s="16">
        <f>IFERROR(__xludf.DUMMYFUNCTION("""COMPUTED_VALUE"""),65.0)</f>
        <v>65</v>
      </c>
      <c r="F7970" s="19" t="str">
        <f>IFERROR(__xludf.DUMMYFUNCTION("""COMPUTED_VALUE"""),"BLACK")</f>
        <v>BLACK</v>
      </c>
      <c r="G7970" s="20" t="str">
        <f>IFERROR(__xludf.DUMMYFUNCTION("""COMPUTED_VALUE"""),"Uncle Sams Cider (04/04/2023)")</f>
        <v>Uncle Sams Cider (04/04/2023)</v>
      </c>
      <c r="H7970" s="19"/>
    </row>
    <row r="7971">
      <c r="A7971" s="9"/>
      <c r="B7971" s="15"/>
      <c r="C7971" s="9">
        <f>IFERROR(__xludf.DUMMYFUNCTION("""COMPUTED_VALUE"""),45060.6273455902)</f>
        <v>45060.62735</v>
      </c>
      <c r="D7971" s="15">
        <f>IFERROR(__xludf.DUMMYFUNCTION("""COMPUTED_VALUE"""),1.016)</f>
        <v>1.016</v>
      </c>
      <c r="E7971" s="16">
        <f>IFERROR(__xludf.DUMMYFUNCTION("""COMPUTED_VALUE"""),65.0)</f>
        <v>65</v>
      </c>
      <c r="F7971" s="19" t="str">
        <f>IFERROR(__xludf.DUMMYFUNCTION("""COMPUTED_VALUE"""),"BLACK")</f>
        <v>BLACK</v>
      </c>
      <c r="G7971" s="20" t="str">
        <f>IFERROR(__xludf.DUMMYFUNCTION("""COMPUTED_VALUE"""),"Uncle Sams Cider (04/04/2023)")</f>
        <v>Uncle Sams Cider (04/04/2023)</v>
      </c>
      <c r="H7971" s="19"/>
    </row>
    <row r="7972">
      <c r="A7972" s="9"/>
      <c r="B7972" s="15"/>
      <c r="C7972" s="9">
        <f>IFERROR(__xludf.DUMMYFUNCTION("""COMPUTED_VALUE"""),45060.6169006018)</f>
        <v>45060.6169</v>
      </c>
      <c r="D7972" s="15">
        <f>IFERROR(__xludf.DUMMYFUNCTION("""COMPUTED_VALUE"""),1.016)</f>
        <v>1.016</v>
      </c>
      <c r="E7972" s="16">
        <f>IFERROR(__xludf.DUMMYFUNCTION("""COMPUTED_VALUE"""),65.0)</f>
        <v>65</v>
      </c>
      <c r="F7972" s="19" t="str">
        <f>IFERROR(__xludf.DUMMYFUNCTION("""COMPUTED_VALUE"""),"BLACK")</f>
        <v>BLACK</v>
      </c>
      <c r="G7972" s="20" t="str">
        <f>IFERROR(__xludf.DUMMYFUNCTION("""COMPUTED_VALUE"""),"Uncle Sams Cider (04/04/2023)")</f>
        <v>Uncle Sams Cider (04/04/2023)</v>
      </c>
      <c r="H7972" s="19"/>
    </row>
    <row r="7973">
      <c r="A7973" s="9"/>
      <c r="B7973" s="15"/>
      <c r="C7973" s="9">
        <f>IFERROR(__xludf.DUMMYFUNCTION("""COMPUTED_VALUE"""),45060.6064782523)</f>
        <v>45060.60648</v>
      </c>
      <c r="D7973" s="15">
        <f>IFERROR(__xludf.DUMMYFUNCTION("""COMPUTED_VALUE"""),1.016)</f>
        <v>1.016</v>
      </c>
      <c r="E7973" s="16">
        <f>IFERROR(__xludf.DUMMYFUNCTION("""COMPUTED_VALUE"""),66.0)</f>
        <v>66</v>
      </c>
      <c r="F7973" s="19" t="str">
        <f>IFERROR(__xludf.DUMMYFUNCTION("""COMPUTED_VALUE"""),"BLACK")</f>
        <v>BLACK</v>
      </c>
      <c r="G7973" s="20" t="str">
        <f>IFERROR(__xludf.DUMMYFUNCTION("""COMPUTED_VALUE"""),"Uncle Sams Cider (04/04/2023)")</f>
        <v>Uncle Sams Cider (04/04/2023)</v>
      </c>
      <c r="H7973" s="19"/>
    </row>
    <row r="7974">
      <c r="A7974" s="9"/>
      <c r="B7974" s="15"/>
      <c r="C7974" s="9">
        <f>IFERROR(__xludf.DUMMYFUNCTION("""COMPUTED_VALUE"""),45060.5960239814)</f>
        <v>45060.59602</v>
      </c>
      <c r="D7974" s="15">
        <f>IFERROR(__xludf.DUMMYFUNCTION("""COMPUTED_VALUE"""),1.016)</f>
        <v>1.016</v>
      </c>
      <c r="E7974" s="16">
        <f>IFERROR(__xludf.DUMMYFUNCTION("""COMPUTED_VALUE"""),65.0)</f>
        <v>65</v>
      </c>
      <c r="F7974" s="19" t="str">
        <f>IFERROR(__xludf.DUMMYFUNCTION("""COMPUTED_VALUE"""),"BLACK")</f>
        <v>BLACK</v>
      </c>
      <c r="G7974" s="20" t="str">
        <f>IFERROR(__xludf.DUMMYFUNCTION("""COMPUTED_VALUE"""),"Uncle Sams Cider (04/04/2023)")</f>
        <v>Uncle Sams Cider (04/04/2023)</v>
      </c>
      <c r="H7974" s="19"/>
    </row>
    <row r="7975">
      <c r="A7975" s="9"/>
      <c r="B7975" s="15"/>
      <c r="C7975" s="9">
        <f>IFERROR(__xludf.DUMMYFUNCTION("""COMPUTED_VALUE"""),45060.5855791782)</f>
        <v>45060.58558</v>
      </c>
      <c r="D7975" s="15">
        <f>IFERROR(__xludf.DUMMYFUNCTION("""COMPUTED_VALUE"""),1.016)</f>
        <v>1.016</v>
      </c>
      <c r="E7975" s="16">
        <f>IFERROR(__xludf.DUMMYFUNCTION("""COMPUTED_VALUE"""),65.0)</f>
        <v>65</v>
      </c>
      <c r="F7975" s="19" t="str">
        <f>IFERROR(__xludf.DUMMYFUNCTION("""COMPUTED_VALUE"""),"BLACK")</f>
        <v>BLACK</v>
      </c>
      <c r="G7975" s="20" t="str">
        <f>IFERROR(__xludf.DUMMYFUNCTION("""COMPUTED_VALUE"""),"Uncle Sams Cider (04/04/2023)")</f>
        <v>Uncle Sams Cider (04/04/2023)</v>
      </c>
      <c r="H7975" s="19"/>
    </row>
    <row r="7976">
      <c r="A7976" s="9"/>
      <c r="B7976" s="15"/>
      <c r="C7976" s="9">
        <f>IFERROR(__xludf.DUMMYFUNCTION("""COMPUTED_VALUE"""),45060.5751577662)</f>
        <v>45060.57516</v>
      </c>
      <c r="D7976" s="15">
        <f>IFERROR(__xludf.DUMMYFUNCTION("""COMPUTED_VALUE"""),1.016)</f>
        <v>1.016</v>
      </c>
      <c r="E7976" s="16">
        <f>IFERROR(__xludf.DUMMYFUNCTION("""COMPUTED_VALUE"""),65.0)</f>
        <v>65</v>
      </c>
      <c r="F7976" s="19" t="str">
        <f>IFERROR(__xludf.DUMMYFUNCTION("""COMPUTED_VALUE"""),"BLACK")</f>
        <v>BLACK</v>
      </c>
      <c r="G7976" s="20" t="str">
        <f>IFERROR(__xludf.DUMMYFUNCTION("""COMPUTED_VALUE"""),"Uncle Sams Cider (04/04/2023)")</f>
        <v>Uncle Sams Cider (04/04/2023)</v>
      </c>
      <c r="H7976" s="19"/>
    </row>
    <row r="7977">
      <c r="A7977" s="9"/>
      <c r="B7977" s="15"/>
      <c r="C7977" s="9">
        <f>IFERROR(__xludf.DUMMYFUNCTION("""COMPUTED_VALUE"""),45060.5647024652)</f>
        <v>45060.5647</v>
      </c>
      <c r="D7977" s="15">
        <f>IFERROR(__xludf.DUMMYFUNCTION("""COMPUTED_VALUE"""),1.016)</f>
        <v>1.016</v>
      </c>
      <c r="E7977" s="16">
        <f>IFERROR(__xludf.DUMMYFUNCTION("""COMPUTED_VALUE"""),65.0)</f>
        <v>65</v>
      </c>
      <c r="F7977" s="19" t="str">
        <f>IFERROR(__xludf.DUMMYFUNCTION("""COMPUTED_VALUE"""),"BLACK")</f>
        <v>BLACK</v>
      </c>
      <c r="G7977" s="20" t="str">
        <f>IFERROR(__xludf.DUMMYFUNCTION("""COMPUTED_VALUE"""),"Uncle Sams Cider (04/04/2023)")</f>
        <v>Uncle Sams Cider (04/04/2023)</v>
      </c>
      <c r="H7977" s="19"/>
    </row>
    <row r="7978">
      <c r="A7978" s="9"/>
      <c r="B7978" s="15"/>
      <c r="C7978" s="9">
        <f>IFERROR(__xludf.DUMMYFUNCTION("""COMPUTED_VALUE"""),45060.5542576041)</f>
        <v>45060.55426</v>
      </c>
      <c r="D7978" s="15">
        <f>IFERROR(__xludf.DUMMYFUNCTION("""COMPUTED_VALUE"""),1.016)</f>
        <v>1.016</v>
      </c>
      <c r="E7978" s="16">
        <f>IFERROR(__xludf.DUMMYFUNCTION("""COMPUTED_VALUE"""),65.0)</f>
        <v>65</v>
      </c>
      <c r="F7978" s="19" t="str">
        <f>IFERROR(__xludf.DUMMYFUNCTION("""COMPUTED_VALUE"""),"BLACK")</f>
        <v>BLACK</v>
      </c>
      <c r="G7978" s="20" t="str">
        <f>IFERROR(__xludf.DUMMYFUNCTION("""COMPUTED_VALUE"""),"Uncle Sams Cider (04/04/2023)")</f>
        <v>Uncle Sams Cider (04/04/2023)</v>
      </c>
      <c r="H7978" s="19"/>
    </row>
    <row r="7979">
      <c r="A7979" s="9"/>
      <c r="B7979" s="15"/>
      <c r="C7979" s="9">
        <f>IFERROR(__xludf.DUMMYFUNCTION("""COMPUTED_VALUE"""),45060.5438256018)</f>
        <v>45060.54383</v>
      </c>
      <c r="D7979" s="15">
        <f>IFERROR(__xludf.DUMMYFUNCTION("""COMPUTED_VALUE"""),1.016)</f>
        <v>1.016</v>
      </c>
      <c r="E7979" s="16">
        <f>IFERROR(__xludf.DUMMYFUNCTION("""COMPUTED_VALUE"""),65.0)</f>
        <v>65</v>
      </c>
      <c r="F7979" s="19" t="str">
        <f>IFERROR(__xludf.DUMMYFUNCTION("""COMPUTED_VALUE"""),"BLACK")</f>
        <v>BLACK</v>
      </c>
      <c r="G7979" s="20" t="str">
        <f>IFERROR(__xludf.DUMMYFUNCTION("""COMPUTED_VALUE"""),"Uncle Sams Cider (04/04/2023)")</f>
        <v>Uncle Sams Cider (04/04/2023)</v>
      </c>
      <c r="H7979" s="19"/>
    </row>
    <row r="7980">
      <c r="A7980" s="9"/>
      <c r="B7980" s="15"/>
      <c r="C7980" s="9">
        <f>IFERROR(__xludf.DUMMYFUNCTION("""COMPUTED_VALUE"""),45060.5334036921)</f>
        <v>45060.5334</v>
      </c>
      <c r="D7980" s="15">
        <f>IFERROR(__xludf.DUMMYFUNCTION("""COMPUTED_VALUE"""),1.016)</f>
        <v>1.016</v>
      </c>
      <c r="E7980" s="16">
        <f>IFERROR(__xludf.DUMMYFUNCTION("""COMPUTED_VALUE"""),65.0)</f>
        <v>65</v>
      </c>
      <c r="F7980" s="19" t="str">
        <f>IFERROR(__xludf.DUMMYFUNCTION("""COMPUTED_VALUE"""),"BLACK")</f>
        <v>BLACK</v>
      </c>
      <c r="G7980" s="20" t="str">
        <f>IFERROR(__xludf.DUMMYFUNCTION("""COMPUTED_VALUE"""),"Uncle Sams Cider (04/04/2023)")</f>
        <v>Uncle Sams Cider (04/04/2023)</v>
      </c>
      <c r="H7980" s="19"/>
    </row>
    <row r="7981">
      <c r="A7981" s="9"/>
      <c r="B7981" s="15"/>
      <c r="C7981" s="9">
        <f>IFERROR(__xludf.DUMMYFUNCTION("""COMPUTED_VALUE"""),45060.5229707638)</f>
        <v>45060.52297</v>
      </c>
      <c r="D7981" s="15">
        <f>IFERROR(__xludf.DUMMYFUNCTION("""COMPUTED_VALUE"""),1.016)</f>
        <v>1.016</v>
      </c>
      <c r="E7981" s="16">
        <f>IFERROR(__xludf.DUMMYFUNCTION("""COMPUTED_VALUE"""),65.0)</f>
        <v>65</v>
      </c>
      <c r="F7981" s="19" t="str">
        <f>IFERROR(__xludf.DUMMYFUNCTION("""COMPUTED_VALUE"""),"BLACK")</f>
        <v>BLACK</v>
      </c>
      <c r="G7981" s="20" t="str">
        <f>IFERROR(__xludf.DUMMYFUNCTION("""COMPUTED_VALUE"""),"Uncle Sams Cider (04/04/2023)")</f>
        <v>Uncle Sams Cider (04/04/2023)</v>
      </c>
      <c r="H7981" s="19"/>
    </row>
    <row r="7982">
      <c r="A7982" s="9"/>
      <c r="B7982" s="15"/>
      <c r="C7982" s="9">
        <f>IFERROR(__xludf.DUMMYFUNCTION("""COMPUTED_VALUE"""),45060.5125253819)</f>
        <v>45060.51253</v>
      </c>
      <c r="D7982" s="15">
        <f>IFERROR(__xludf.DUMMYFUNCTION("""COMPUTED_VALUE"""),1.016)</f>
        <v>1.016</v>
      </c>
      <c r="E7982" s="16">
        <f>IFERROR(__xludf.DUMMYFUNCTION("""COMPUTED_VALUE"""),65.0)</f>
        <v>65</v>
      </c>
      <c r="F7982" s="19" t="str">
        <f>IFERROR(__xludf.DUMMYFUNCTION("""COMPUTED_VALUE"""),"BLACK")</f>
        <v>BLACK</v>
      </c>
      <c r="G7982" s="20" t="str">
        <f>IFERROR(__xludf.DUMMYFUNCTION("""COMPUTED_VALUE"""),"Uncle Sams Cider (04/04/2023)")</f>
        <v>Uncle Sams Cider (04/04/2023)</v>
      </c>
      <c r="H7982" s="19"/>
    </row>
    <row r="7983">
      <c r="A7983" s="9"/>
      <c r="B7983" s="15"/>
      <c r="C7983" s="9">
        <f>IFERROR(__xludf.DUMMYFUNCTION("""COMPUTED_VALUE"""),45060.5020827777)</f>
        <v>45060.50208</v>
      </c>
      <c r="D7983" s="15">
        <f>IFERROR(__xludf.DUMMYFUNCTION("""COMPUTED_VALUE"""),1.016)</f>
        <v>1.016</v>
      </c>
      <c r="E7983" s="16">
        <f>IFERROR(__xludf.DUMMYFUNCTION("""COMPUTED_VALUE"""),65.0)</f>
        <v>65</v>
      </c>
      <c r="F7983" s="19" t="str">
        <f>IFERROR(__xludf.DUMMYFUNCTION("""COMPUTED_VALUE"""),"BLACK")</f>
        <v>BLACK</v>
      </c>
      <c r="G7983" s="20" t="str">
        <f>IFERROR(__xludf.DUMMYFUNCTION("""COMPUTED_VALUE"""),"Uncle Sams Cider (04/04/2023)")</f>
        <v>Uncle Sams Cider (04/04/2023)</v>
      </c>
      <c r="H7983" s="19"/>
    </row>
    <row r="7984">
      <c r="A7984" s="9"/>
      <c r="B7984" s="15"/>
      <c r="C7984" s="9">
        <f>IFERROR(__xludf.DUMMYFUNCTION("""COMPUTED_VALUE"""),45060.4916260185)</f>
        <v>45060.49163</v>
      </c>
      <c r="D7984" s="15">
        <f>IFERROR(__xludf.DUMMYFUNCTION("""COMPUTED_VALUE"""),1.016)</f>
        <v>1.016</v>
      </c>
      <c r="E7984" s="16">
        <f>IFERROR(__xludf.DUMMYFUNCTION("""COMPUTED_VALUE"""),65.0)</f>
        <v>65</v>
      </c>
      <c r="F7984" s="19" t="str">
        <f>IFERROR(__xludf.DUMMYFUNCTION("""COMPUTED_VALUE"""),"BLACK")</f>
        <v>BLACK</v>
      </c>
      <c r="G7984" s="20" t="str">
        <f>IFERROR(__xludf.DUMMYFUNCTION("""COMPUTED_VALUE"""),"Uncle Sams Cider (04/04/2023)")</f>
        <v>Uncle Sams Cider (04/04/2023)</v>
      </c>
      <c r="H7984" s="19"/>
    </row>
    <row r="7985">
      <c r="A7985" s="9"/>
      <c r="B7985" s="15"/>
      <c r="C7985" s="9">
        <f>IFERROR(__xludf.DUMMYFUNCTION("""COMPUTED_VALUE"""),45060.4811702314)</f>
        <v>45060.48117</v>
      </c>
      <c r="D7985" s="15">
        <f>IFERROR(__xludf.DUMMYFUNCTION("""COMPUTED_VALUE"""),1.016)</f>
        <v>1.016</v>
      </c>
      <c r="E7985" s="16">
        <f>IFERROR(__xludf.DUMMYFUNCTION("""COMPUTED_VALUE"""),65.0)</f>
        <v>65</v>
      </c>
      <c r="F7985" s="19" t="str">
        <f>IFERROR(__xludf.DUMMYFUNCTION("""COMPUTED_VALUE"""),"BLACK")</f>
        <v>BLACK</v>
      </c>
      <c r="G7985" s="20" t="str">
        <f>IFERROR(__xludf.DUMMYFUNCTION("""COMPUTED_VALUE"""),"Uncle Sams Cider (04/04/2023)")</f>
        <v>Uncle Sams Cider (04/04/2023)</v>
      </c>
      <c r="H7985" s="19"/>
    </row>
    <row r="7986">
      <c r="A7986" s="9"/>
      <c r="B7986" s="15"/>
      <c r="C7986" s="9">
        <f>IFERROR(__xludf.DUMMYFUNCTION("""COMPUTED_VALUE"""),45060.4707513657)</f>
        <v>45060.47075</v>
      </c>
      <c r="D7986" s="15">
        <f>IFERROR(__xludf.DUMMYFUNCTION("""COMPUTED_VALUE"""),1.016)</f>
        <v>1.016</v>
      </c>
      <c r="E7986" s="16">
        <f>IFERROR(__xludf.DUMMYFUNCTION("""COMPUTED_VALUE"""),65.0)</f>
        <v>65</v>
      </c>
      <c r="F7986" s="19" t="str">
        <f>IFERROR(__xludf.DUMMYFUNCTION("""COMPUTED_VALUE"""),"BLACK")</f>
        <v>BLACK</v>
      </c>
      <c r="G7986" s="20" t="str">
        <f>IFERROR(__xludf.DUMMYFUNCTION("""COMPUTED_VALUE"""),"Uncle Sams Cider (04/04/2023)")</f>
        <v>Uncle Sams Cider (04/04/2023)</v>
      </c>
      <c r="H7986" s="19"/>
    </row>
    <row r="7987">
      <c r="A7987" s="9"/>
      <c r="B7987" s="15"/>
      <c r="C7987" s="9">
        <f>IFERROR(__xludf.DUMMYFUNCTION("""COMPUTED_VALUE"""),45060.460295706)</f>
        <v>45060.4603</v>
      </c>
      <c r="D7987" s="15">
        <f>IFERROR(__xludf.DUMMYFUNCTION("""COMPUTED_VALUE"""),1.016)</f>
        <v>1.016</v>
      </c>
      <c r="E7987" s="16">
        <f>IFERROR(__xludf.DUMMYFUNCTION("""COMPUTED_VALUE"""),65.0)</f>
        <v>65</v>
      </c>
      <c r="F7987" s="19" t="str">
        <f>IFERROR(__xludf.DUMMYFUNCTION("""COMPUTED_VALUE"""),"BLACK")</f>
        <v>BLACK</v>
      </c>
      <c r="G7987" s="20" t="str">
        <f>IFERROR(__xludf.DUMMYFUNCTION("""COMPUTED_VALUE"""),"Uncle Sams Cider (04/04/2023)")</f>
        <v>Uncle Sams Cider (04/04/2023)</v>
      </c>
      <c r="H7987" s="19"/>
    </row>
    <row r="7988">
      <c r="A7988" s="9"/>
      <c r="B7988" s="15"/>
      <c r="C7988" s="9">
        <f>IFERROR(__xludf.DUMMYFUNCTION("""COMPUTED_VALUE"""),45060.449872581)</f>
        <v>45060.44987</v>
      </c>
      <c r="D7988" s="15">
        <f>IFERROR(__xludf.DUMMYFUNCTION("""COMPUTED_VALUE"""),1.016)</f>
        <v>1.016</v>
      </c>
      <c r="E7988" s="16">
        <f>IFERROR(__xludf.DUMMYFUNCTION("""COMPUTED_VALUE"""),65.0)</f>
        <v>65</v>
      </c>
      <c r="F7988" s="19" t="str">
        <f>IFERROR(__xludf.DUMMYFUNCTION("""COMPUTED_VALUE"""),"BLACK")</f>
        <v>BLACK</v>
      </c>
      <c r="G7988" s="20" t="str">
        <f>IFERROR(__xludf.DUMMYFUNCTION("""COMPUTED_VALUE"""),"Uncle Sams Cider (04/04/2023)")</f>
        <v>Uncle Sams Cider (04/04/2023)</v>
      </c>
      <c r="H7988" s="19"/>
    </row>
    <row r="7989">
      <c r="A7989" s="9"/>
      <c r="B7989" s="15"/>
      <c r="C7989" s="9">
        <f>IFERROR(__xludf.DUMMYFUNCTION("""COMPUTED_VALUE"""),45060.4394498495)</f>
        <v>45060.43945</v>
      </c>
      <c r="D7989" s="15">
        <f>IFERROR(__xludf.DUMMYFUNCTION("""COMPUTED_VALUE"""),1.016)</f>
        <v>1.016</v>
      </c>
      <c r="E7989" s="16">
        <f>IFERROR(__xludf.DUMMYFUNCTION("""COMPUTED_VALUE"""),65.0)</f>
        <v>65</v>
      </c>
      <c r="F7989" s="19" t="str">
        <f>IFERROR(__xludf.DUMMYFUNCTION("""COMPUTED_VALUE"""),"BLACK")</f>
        <v>BLACK</v>
      </c>
      <c r="G7989" s="20" t="str">
        <f>IFERROR(__xludf.DUMMYFUNCTION("""COMPUTED_VALUE"""),"Uncle Sams Cider (04/04/2023)")</f>
        <v>Uncle Sams Cider (04/04/2023)</v>
      </c>
      <c r="H7989" s="19"/>
    </row>
    <row r="7990">
      <c r="A7990" s="9"/>
      <c r="B7990" s="15"/>
      <c r="C7990" s="9">
        <f>IFERROR(__xludf.DUMMYFUNCTION("""COMPUTED_VALUE"""),45060.4290053009)</f>
        <v>45060.42901</v>
      </c>
      <c r="D7990" s="15">
        <f>IFERROR(__xludf.DUMMYFUNCTION("""COMPUTED_VALUE"""),1.016)</f>
        <v>1.016</v>
      </c>
      <c r="E7990" s="16">
        <f>IFERROR(__xludf.DUMMYFUNCTION("""COMPUTED_VALUE"""),65.0)</f>
        <v>65</v>
      </c>
      <c r="F7990" s="19" t="str">
        <f>IFERROR(__xludf.DUMMYFUNCTION("""COMPUTED_VALUE"""),"BLACK")</f>
        <v>BLACK</v>
      </c>
      <c r="G7990" s="20" t="str">
        <f>IFERROR(__xludf.DUMMYFUNCTION("""COMPUTED_VALUE"""),"Uncle Sams Cider (04/04/2023)")</f>
        <v>Uncle Sams Cider (04/04/2023)</v>
      </c>
      <c r="H7990" s="19"/>
    </row>
    <row r="7991">
      <c r="A7991" s="9"/>
      <c r="B7991" s="15"/>
      <c r="C7991" s="9">
        <f>IFERROR(__xludf.DUMMYFUNCTION("""COMPUTED_VALUE"""),45060.4185856944)</f>
        <v>45060.41859</v>
      </c>
      <c r="D7991" s="15">
        <f>IFERROR(__xludf.DUMMYFUNCTION("""COMPUTED_VALUE"""),1.016)</f>
        <v>1.016</v>
      </c>
      <c r="E7991" s="16">
        <f>IFERROR(__xludf.DUMMYFUNCTION("""COMPUTED_VALUE"""),65.0)</f>
        <v>65</v>
      </c>
      <c r="F7991" s="19" t="str">
        <f>IFERROR(__xludf.DUMMYFUNCTION("""COMPUTED_VALUE"""),"BLACK")</f>
        <v>BLACK</v>
      </c>
      <c r="G7991" s="20" t="str">
        <f>IFERROR(__xludf.DUMMYFUNCTION("""COMPUTED_VALUE"""),"Uncle Sams Cider (04/04/2023)")</f>
        <v>Uncle Sams Cider (04/04/2023)</v>
      </c>
      <c r="H7991" s="19"/>
    </row>
    <row r="7992">
      <c r="A7992" s="9"/>
      <c r="B7992" s="15"/>
      <c r="C7992" s="9">
        <f>IFERROR(__xludf.DUMMYFUNCTION("""COMPUTED_VALUE"""),45060.4081418518)</f>
        <v>45060.40814</v>
      </c>
      <c r="D7992" s="15">
        <f>IFERROR(__xludf.DUMMYFUNCTION("""COMPUTED_VALUE"""),1.016)</f>
        <v>1.016</v>
      </c>
      <c r="E7992" s="16">
        <f>IFERROR(__xludf.DUMMYFUNCTION("""COMPUTED_VALUE"""),65.0)</f>
        <v>65</v>
      </c>
      <c r="F7992" s="19" t="str">
        <f>IFERROR(__xludf.DUMMYFUNCTION("""COMPUTED_VALUE"""),"BLACK")</f>
        <v>BLACK</v>
      </c>
      <c r="G7992" s="20" t="str">
        <f>IFERROR(__xludf.DUMMYFUNCTION("""COMPUTED_VALUE"""),"Uncle Sams Cider (04/04/2023)")</f>
        <v>Uncle Sams Cider (04/04/2023)</v>
      </c>
      <c r="H7992" s="19"/>
    </row>
    <row r="7993">
      <c r="A7993" s="9"/>
      <c r="B7993" s="15"/>
      <c r="C7993" s="9">
        <f>IFERROR(__xludf.DUMMYFUNCTION("""COMPUTED_VALUE"""),45060.3977200347)</f>
        <v>45060.39772</v>
      </c>
      <c r="D7993" s="15">
        <f>IFERROR(__xludf.DUMMYFUNCTION("""COMPUTED_VALUE"""),1.016)</f>
        <v>1.016</v>
      </c>
      <c r="E7993" s="16">
        <f>IFERROR(__xludf.DUMMYFUNCTION("""COMPUTED_VALUE"""),65.0)</f>
        <v>65</v>
      </c>
      <c r="F7993" s="19" t="str">
        <f>IFERROR(__xludf.DUMMYFUNCTION("""COMPUTED_VALUE"""),"BLACK")</f>
        <v>BLACK</v>
      </c>
      <c r="G7993" s="20" t="str">
        <f>IFERROR(__xludf.DUMMYFUNCTION("""COMPUTED_VALUE"""),"Uncle Sams Cider (04/04/2023)")</f>
        <v>Uncle Sams Cider (04/04/2023)</v>
      </c>
      <c r="H7993" s="19"/>
    </row>
    <row r="7994">
      <c r="A7994" s="9"/>
      <c r="B7994" s="15"/>
      <c r="C7994" s="9">
        <f>IFERROR(__xludf.DUMMYFUNCTION("""COMPUTED_VALUE"""),45060.3872973958)</f>
        <v>45060.3873</v>
      </c>
      <c r="D7994" s="15">
        <f>IFERROR(__xludf.DUMMYFUNCTION("""COMPUTED_VALUE"""),1.016)</f>
        <v>1.016</v>
      </c>
      <c r="E7994" s="16">
        <f>IFERROR(__xludf.DUMMYFUNCTION("""COMPUTED_VALUE"""),65.0)</f>
        <v>65</v>
      </c>
      <c r="F7994" s="19" t="str">
        <f>IFERROR(__xludf.DUMMYFUNCTION("""COMPUTED_VALUE"""),"BLACK")</f>
        <v>BLACK</v>
      </c>
      <c r="G7994" s="20" t="str">
        <f>IFERROR(__xludf.DUMMYFUNCTION("""COMPUTED_VALUE"""),"Uncle Sams Cider (04/04/2023)")</f>
        <v>Uncle Sams Cider (04/04/2023)</v>
      </c>
      <c r="H7994" s="19"/>
    </row>
    <row r="7995">
      <c r="A7995" s="9"/>
      <c r="B7995" s="15"/>
      <c r="C7995" s="9">
        <f>IFERROR(__xludf.DUMMYFUNCTION("""COMPUTED_VALUE"""),45060.376874618)</f>
        <v>45060.37687</v>
      </c>
      <c r="D7995" s="15">
        <f>IFERROR(__xludf.DUMMYFUNCTION("""COMPUTED_VALUE"""),1.016)</f>
        <v>1.016</v>
      </c>
      <c r="E7995" s="16">
        <f>IFERROR(__xludf.DUMMYFUNCTION("""COMPUTED_VALUE"""),65.0)</f>
        <v>65</v>
      </c>
      <c r="F7995" s="19" t="str">
        <f>IFERROR(__xludf.DUMMYFUNCTION("""COMPUTED_VALUE"""),"BLACK")</f>
        <v>BLACK</v>
      </c>
      <c r="G7995" s="20" t="str">
        <f>IFERROR(__xludf.DUMMYFUNCTION("""COMPUTED_VALUE"""),"Uncle Sams Cider (04/04/2023)")</f>
        <v>Uncle Sams Cider (04/04/2023)</v>
      </c>
      <c r="H7995" s="19"/>
    </row>
    <row r="7996">
      <c r="A7996" s="9"/>
      <c r="B7996" s="15"/>
      <c r="C7996" s="9">
        <f>IFERROR(__xludf.DUMMYFUNCTION("""COMPUTED_VALUE"""),45060.366445)</f>
        <v>45060.36645</v>
      </c>
      <c r="D7996" s="15">
        <f>IFERROR(__xludf.DUMMYFUNCTION("""COMPUTED_VALUE"""),1.016)</f>
        <v>1.016</v>
      </c>
      <c r="E7996" s="16">
        <f>IFERROR(__xludf.DUMMYFUNCTION("""COMPUTED_VALUE"""),65.0)</f>
        <v>65</v>
      </c>
      <c r="F7996" s="19" t="str">
        <f>IFERROR(__xludf.DUMMYFUNCTION("""COMPUTED_VALUE"""),"BLACK")</f>
        <v>BLACK</v>
      </c>
      <c r="G7996" s="20" t="str">
        <f>IFERROR(__xludf.DUMMYFUNCTION("""COMPUTED_VALUE"""),"Uncle Sams Cider (04/04/2023)")</f>
        <v>Uncle Sams Cider (04/04/2023)</v>
      </c>
      <c r="H7996" s="19"/>
    </row>
    <row r="7997">
      <c r="A7997" s="9"/>
      <c r="B7997" s="15"/>
      <c r="C7997" s="9">
        <f>IFERROR(__xludf.DUMMYFUNCTION("""COMPUTED_VALUE"""),45060.3560114236)</f>
        <v>45060.35601</v>
      </c>
      <c r="D7997" s="15">
        <f>IFERROR(__xludf.DUMMYFUNCTION("""COMPUTED_VALUE"""),1.016)</f>
        <v>1.016</v>
      </c>
      <c r="E7997" s="16">
        <f>IFERROR(__xludf.DUMMYFUNCTION("""COMPUTED_VALUE"""),65.0)</f>
        <v>65</v>
      </c>
      <c r="F7997" s="19" t="str">
        <f>IFERROR(__xludf.DUMMYFUNCTION("""COMPUTED_VALUE"""),"BLACK")</f>
        <v>BLACK</v>
      </c>
      <c r="G7997" s="20" t="str">
        <f>IFERROR(__xludf.DUMMYFUNCTION("""COMPUTED_VALUE"""),"Uncle Sams Cider (04/04/2023)")</f>
        <v>Uncle Sams Cider (04/04/2023)</v>
      </c>
      <c r="H7997" s="19"/>
    </row>
    <row r="7998">
      <c r="A7998" s="9"/>
      <c r="B7998" s="15"/>
      <c r="C7998" s="9">
        <f>IFERROR(__xludf.DUMMYFUNCTION("""COMPUTED_VALUE"""),45060.345579155)</f>
        <v>45060.34558</v>
      </c>
      <c r="D7998" s="15">
        <f>IFERROR(__xludf.DUMMYFUNCTION("""COMPUTED_VALUE"""),1.016)</f>
        <v>1.016</v>
      </c>
      <c r="E7998" s="16">
        <f>IFERROR(__xludf.DUMMYFUNCTION("""COMPUTED_VALUE"""),65.0)</f>
        <v>65</v>
      </c>
      <c r="F7998" s="19" t="str">
        <f>IFERROR(__xludf.DUMMYFUNCTION("""COMPUTED_VALUE"""),"BLACK")</f>
        <v>BLACK</v>
      </c>
      <c r="G7998" s="20" t="str">
        <f>IFERROR(__xludf.DUMMYFUNCTION("""COMPUTED_VALUE"""),"Uncle Sams Cider (04/04/2023)")</f>
        <v>Uncle Sams Cider (04/04/2023)</v>
      </c>
      <c r="H7998" s="19"/>
    </row>
    <row r="7999">
      <c r="A7999" s="9"/>
      <c r="B7999" s="15"/>
      <c r="C7999" s="9">
        <f>IFERROR(__xludf.DUMMYFUNCTION("""COMPUTED_VALUE"""),45060.3351441087)</f>
        <v>45060.33514</v>
      </c>
      <c r="D7999" s="15">
        <f>IFERROR(__xludf.DUMMYFUNCTION("""COMPUTED_VALUE"""),1.016)</f>
        <v>1.016</v>
      </c>
      <c r="E7999" s="16">
        <f>IFERROR(__xludf.DUMMYFUNCTION("""COMPUTED_VALUE"""),65.0)</f>
        <v>65</v>
      </c>
      <c r="F7999" s="19" t="str">
        <f>IFERROR(__xludf.DUMMYFUNCTION("""COMPUTED_VALUE"""),"BLACK")</f>
        <v>BLACK</v>
      </c>
      <c r="G7999" s="20" t="str">
        <f>IFERROR(__xludf.DUMMYFUNCTION("""COMPUTED_VALUE"""),"Uncle Sams Cider (04/04/2023)")</f>
        <v>Uncle Sams Cider (04/04/2023)</v>
      </c>
      <c r="H7999" s="19"/>
    </row>
    <row r="8000">
      <c r="A8000" s="9"/>
      <c r="B8000" s="15"/>
      <c r="C8000" s="9">
        <f>IFERROR(__xludf.DUMMYFUNCTION("""COMPUTED_VALUE"""),45060.3247238657)</f>
        <v>45060.32472</v>
      </c>
      <c r="D8000" s="15">
        <f>IFERROR(__xludf.DUMMYFUNCTION("""COMPUTED_VALUE"""),1.016)</f>
        <v>1.016</v>
      </c>
      <c r="E8000" s="16">
        <f>IFERROR(__xludf.DUMMYFUNCTION("""COMPUTED_VALUE"""),65.0)</f>
        <v>65</v>
      </c>
      <c r="F8000" s="19" t="str">
        <f>IFERROR(__xludf.DUMMYFUNCTION("""COMPUTED_VALUE"""),"BLACK")</f>
        <v>BLACK</v>
      </c>
      <c r="G8000" s="20" t="str">
        <f>IFERROR(__xludf.DUMMYFUNCTION("""COMPUTED_VALUE"""),"Uncle Sams Cider (04/04/2023)")</f>
        <v>Uncle Sams Cider (04/04/2023)</v>
      </c>
      <c r="H8000" s="19"/>
    </row>
    <row r="8001">
      <c r="A8001" s="9"/>
      <c r="B8001" s="15"/>
      <c r="C8001" s="9">
        <f>IFERROR(__xludf.DUMMYFUNCTION("""COMPUTED_VALUE"""),45060.3142920717)</f>
        <v>45060.31429</v>
      </c>
      <c r="D8001" s="15">
        <f>IFERROR(__xludf.DUMMYFUNCTION("""COMPUTED_VALUE"""),1.016)</f>
        <v>1.016</v>
      </c>
      <c r="E8001" s="16">
        <f>IFERROR(__xludf.DUMMYFUNCTION("""COMPUTED_VALUE"""),65.0)</f>
        <v>65</v>
      </c>
      <c r="F8001" s="19" t="str">
        <f>IFERROR(__xludf.DUMMYFUNCTION("""COMPUTED_VALUE"""),"BLACK")</f>
        <v>BLACK</v>
      </c>
      <c r="G8001" s="20" t="str">
        <f>IFERROR(__xludf.DUMMYFUNCTION("""COMPUTED_VALUE"""),"Uncle Sams Cider (04/04/2023)")</f>
        <v>Uncle Sams Cider (04/04/2023)</v>
      </c>
      <c r="H8001" s="19"/>
    </row>
    <row r="8002">
      <c r="A8002" s="9"/>
      <c r="B8002" s="15"/>
      <c r="C8002" s="9">
        <f>IFERROR(__xludf.DUMMYFUNCTION("""COMPUTED_VALUE"""),45060.303870625)</f>
        <v>45060.30387</v>
      </c>
      <c r="D8002" s="15">
        <f>IFERROR(__xludf.DUMMYFUNCTION("""COMPUTED_VALUE"""),1.016)</f>
        <v>1.016</v>
      </c>
      <c r="E8002" s="16">
        <f>IFERROR(__xludf.DUMMYFUNCTION("""COMPUTED_VALUE"""),65.0)</f>
        <v>65</v>
      </c>
      <c r="F8002" s="19" t="str">
        <f>IFERROR(__xludf.DUMMYFUNCTION("""COMPUTED_VALUE"""),"BLACK")</f>
        <v>BLACK</v>
      </c>
      <c r="G8002" s="20" t="str">
        <f>IFERROR(__xludf.DUMMYFUNCTION("""COMPUTED_VALUE"""),"Uncle Sams Cider (04/04/2023)")</f>
        <v>Uncle Sams Cider (04/04/2023)</v>
      </c>
      <c r="H8002" s="19"/>
    </row>
    <row r="8003">
      <c r="A8003" s="9"/>
      <c r="B8003" s="15"/>
      <c r="C8003" s="9">
        <f>IFERROR(__xludf.DUMMYFUNCTION("""COMPUTED_VALUE"""),45060.2934248611)</f>
        <v>45060.29342</v>
      </c>
      <c r="D8003" s="15">
        <f>IFERROR(__xludf.DUMMYFUNCTION("""COMPUTED_VALUE"""),1.016)</f>
        <v>1.016</v>
      </c>
      <c r="E8003" s="16">
        <f>IFERROR(__xludf.DUMMYFUNCTION("""COMPUTED_VALUE"""),65.0)</f>
        <v>65</v>
      </c>
      <c r="F8003" s="19" t="str">
        <f>IFERROR(__xludf.DUMMYFUNCTION("""COMPUTED_VALUE"""),"BLACK")</f>
        <v>BLACK</v>
      </c>
      <c r="G8003" s="20" t="str">
        <f>IFERROR(__xludf.DUMMYFUNCTION("""COMPUTED_VALUE"""),"Uncle Sams Cider (04/04/2023)")</f>
        <v>Uncle Sams Cider (04/04/2023)</v>
      </c>
      <c r="H8003" s="19"/>
    </row>
    <row r="8004">
      <c r="A8004" s="9"/>
      <c r="B8004" s="15"/>
      <c r="C8004" s="9">
        <f>IFERROR(__xludf.DUMMYFUNCTION("""COMPUTED_VALUE"""),45060.2830046064)</f>
        <v>45060.283</v>
      </c>
      <c r="D8004" s="15">
        <f>IFERROR(__xludf.DUMMYFUNCTION("""COMPUTED_VALUE"""),1.016)</f>
        <v>1.016</v>
      </c>
      <c r="E8004" s="16">
        <f>IFERROR(__xludf.DUMMYFUNCTION("""COMPUTED_VALUE"""),65.0)</f>
        <v>65</v>
      </c>
      <c r="F8004" s="19" t="str">
        <f>IFERROR(__xludf.DUMMYFUNCTION("""COMPUTED_VALUE"""),"BLACK")</f>
        <v>BLACK</v>
      </c>
      <c r="G8004" s="20" t="str">
        <f>IFERROR(__xludf.DUMMYFUNCTION("""COMPUTED_VALUE"""),"Uncle Sams Cider (04/04/2023)")</f>
        <v>Uncle Sams Cider (04/04/2023)</v>
      </c>
      <c r="H8004" s="19"/>
    </row>
    <row r="8005">
      <c r="A8005" s="9"/>
      <c r="B8005" s="15"/>
      <c r="C8005" s="9">
        <f>IFERROR(__xludf.DUMMYFUNCTION("""COMPUTED_VALUE"""),45060.272584456)</f>
        <v>45060.27258</v>
      </c>
      <c r="D8005" s="15">
        <f>IFERROR(__xludf.DUMMYFUNCTION("""COMPUTED_VALUE"""),1.016)</f>
        <v>1.016</v>
      </c>
      <c r="E8005" s="16">
        <f>IFERROR(__xludf.DUMMYFUNCTION("""COMPUTED_VALUE"""),65.0)</f>
        <v>65</v>
      </c>
      <c r="F8005" s="19" t="str">
        <f>IFERROR(__xludf.DUMMYFUNCTION("""COMPUTED_VALUE"""),"BLACK")</f>
        <v>BLACK</v>
      </c>
      <c r="G8005" s="20" t="str">
        <f>IFERROR(__xludf.DUMMYFUNCTION("""COMPUTED_VALUE"""),"Uncle Sams Cider (04/04/2023)")</f>
        <v>Uncle Sams Cider (04/04/2023)</v>
      </c>
      <c r="H8005" s="19"/>
    </row>
    <row r="8006">
      <c r="A8006" s="9"/>
      <c r="B8006" s="15"/>
      <c r="C8006" s="9">
        <f>IFERROR(__xludf.DUMMYFUNCTION("""COMPUTED_VALUE"""),45060.2621513888)</f>
        <v>45060.26215</v>
      </c>
      <c r="D8006" s="15">
        <f>IFERROR(__xludf.DUMMYFUNCTION("""COMPUTED_VALUE"""),1.016)</f>
        <v>1.016</v>
      </c>
      <c r="E8006" s="16">
        <f>IFERROR(__xludf.DUMMYFUNCTION("""COMPUTED_VALUE"""),65.0)</f>
        <v>65</v>
      </c>
      <c r="F8006" s="19" t="str">
        <f>IFERROR(__xludf.DUMMYFUNCTION("""COMPUTED_VALUE"""),"BLACK")</f>
        <v>BLACK</v>
      </c>
      <c r="G8006" s="20" t="str">
        <f>IFERROR(__xludf.DUMMYFUNCTION("""COMPUTED_VALUE"""),"Uncle Sams Cider (04/04/2023)")</f>
        <v>Uncle Sams Cider (04/04/2023)</v>
      </c>
      <c r="H8006" s="19"/>
    </row>
    <row r="8007">
      <c r="A8007" s="9"/>
      <c r="B8007" s="15"/>
      <c r="C8007" s="9">
        <f>IFERROR(__xludf.DUMMYFUNCTION("""COMPUTED_VALUE"""),45060.2516599074)</f>
        <v>45060.25166</v>
      </c>
      <c r="D8007" s="15">
        <f>IFERROR(__xludf.DUMMYFUNCTION("""COMPUTED_VALUE"""),1.016)</f>
        <v>1.016</v>
      </c>
      <c r="E8007" s="16">
        <f>IFERROR(__xludf.DUMMYFUNCTION("""COMPUTED_VALUE"""),65.0)</f>
        <v>65</v>
      </c>
      <c r="F8007" s="19" t="str">
        <f>IFERROR(__xludf.DUMMYFUNCTION("""COMPUTED_VALUE"""),"BLACK")</f>
        <v>BLACK</v>
      </c>
      <c r="G8007" s="20" t="str">
        <f>IFERROR(__xludf.DUMMYFUNCTION("""COMPUTED_VALUE"""),"Uncle Sams Cider (04/04/2023)")</f>
        <v>Uncle Sams Cider (04/04/2023)</v>
      </c>
      <c r="H8007" s="19"/>
    </row>
    <row r="8008">
      <c r="A8008" s="9"/>
      <c r="B8008" s="15"/>
      <c r="C8008" s="9">
        <f>IFERROR(__xludf.DUMMYFUNCTION("""COMPUTED_VALUE"""),45060.2412389583)</f>
        <v>45060.24124</v>
      </c>
      <c r="D8008" s="15">
        <f>IFERROR(__xludf.DUMMYFUNCTION("""COMPUTED_VALUE"""),1.016)</f>
        <v>1.016</v>
      </c>
      <c r="E8008" s="16">
        <f>IFERROR(__xludf.DUMMYFUNCTION("""COMPUTED_VALUE"""),65.0)</f>
        <v>65</v>
      </c>
      <c r="F8008" s="19" t="str">
        <f>IFERROR(__xludf.DUMMYFUNCTION("""COMPUTED_VALUE"""),"BLACK")</f>
        <v>BLACK</v>
      </c>
      <c r="G8008" s="20" t="str">
        <f>IFERROR(__xludf.DUMMYFUNCTION("""COMPUTED_VALUE"""),"Uncle Sams Cider (04/04/2023)")</f>
        <v>Uncle Sams Cider (04/04/2023)</v>
      </c>
      <c r="H8008" s="19"/>
    </row>
    <row r="8009">
      <c r="A8009" s="9"/>
      <c r="B8009" s="15"/>
      <c r="C8009" s="9">
        <f>IFERROR(__xludf.DUMMYFUNCTION("""COMPUTED_VALUE"""),45060.2308048379)</f>
        <v>45060.2308</v>
      </c>
      <c r="D8009" s="15">
        <f>IFERROR(__xludf.DUMMYFUNCTION("""COMPUTED_VALUE"""),1.016)</f>
        <v>1.016</v>
      </c>
      <c r="E8009" s="16">
        <f>IFERROR(__xludf.DUMMYFUNCTION("""COMPUTED_VALUE"""),65.0)</f>
        <v>65</v>
      </c>
      <c r="F8009" s="19" t="str">
        <f>IFERROR(__xludf.DUMMYFUNCTION("""COMPUTED_VALUE"""),"BLACK")</f>
        <v>BLACK</v>
      </c>
      <c r="G8009" s="20" t="str">
        <f>IFERROR(__xludf.DUMMYFUNCTION("""COMPUTED_VALUE"""),"Uncle Sams Cider (04/04/2023)")</f>
        <v>Uncle Sams Cider (04/04/2023)</v>
      </c>
      <c r="H8009" s="19"/>
    </row>
    <row r="8010">
      <c r="A8010" s="9"/>
      <c r="B8010" s="15"/>
      <c r="C8010" s="9">
        <f>IFERROR(__xludf.DUMMYFUNCTION("""COMPUTED_VALUE"""),45060.2203836689)</f>
        <v>45060.22038</v>
      </c>
      <c r="D8010" s="15">
        <f>IFERROR(__xludf.DUMMYFUNCTION("""COMPUTED_VALUE"""),1.016)</f>
        <v>1.016</v>
      </c>
      <c r="E8010" s="16">
        <f>IFERROR(__xludf.DUMMYFUNCTION("""COMPUTED_VALUE"""),65.0)</f>
        <v>65</v>
      </c>
      <c r="F8010" s="19" t="str">
        <f>IFERROR(__xludf.DUMMYFUNCTION("""COMPUTED_VALUE"""),"BLACK")</f>
        <v>BLACK</v>
      </c>
      <c r="G8010" s="20" t="str">
        <f>IFERROR(__xludf.DUMMYFUNCTION("""COMPUTED_VALUE"""),"Uncle Sams Cider (04/04/2023)")</f>
        <v>Uncle Sams Cider (04/04/2023)</v>
      </c>
      <c r="H8010" s="19"/>
    </row>
    <row r="8011">
      <c r="A8011" s="9"/>
      <c r="B8011" s="15"/>
      <c r="C8011" s="9">
        <f>IFERROR(__xludf.DUMMYFUNCTION("""COMPUTED_VALUE"""),45060.2099630555)</f>
        <v>45060.20996</v>
      </c>
      <c r="D8011" s="15">
        <f>IFERROR(__xludf.DUMMYFUNCTION("""COMPUTED_VALUE"""),1.016)</f>
        <v>1.016</v>
      </c>
      <c r="E8011" s="16">
        <f>IFERROR(__xludf.DUMMYFUNCTION("""COMPUTED_VALUE"""),65.0)</f>
        <v>65</v>
      </c>
      <c r="F8011" s="19" t="str">
        <f>IFERROR(__xludf.DUMMYFUNCTION("""COMPUTED_VALUE"""),"BLACK")</f>
        <v>BLACK</v>
      </c>
      <c r="G8011" s="20" t="str">
        <f>IFERROR(__xludf.DUMMYFUNCTION("""COMPUTED_VALUE"""),"Uncle Sams Cider (04/04/2023)")</f>
        <v>Uncle Sams Cider (04/04/2023)</v>
      </c>
      <c r="H8011" s="19"/>
    </row>
    <row r="8012">
      <c r="A8012" s="9"/>
      <c r="B8012" s="15"/>
      <c r="C8012" s="9">
        <f>IFERROR(__xludf.DUMMYFUNCTION("""COMPUTED_VALUE"""),45060.1995052777)</f>
        <v>45060.19951</v>
      </c>
      <c r="D8012" s="15">
        <f>IFERROR(__xludf.DUMMYFUNCTION("""COMPUTED_VALUE"""),1.016)</f>
        <v>1.016</v>
      </c>
      <c r="E8012" s="16">
        <f>IFERROR(__xludf.DUMMYFUNCTION("""COMPUTED_VALUE"""),65.0)</f>
        <v>65</v>
      </c>
      <c r="F8012" s="19" t="str">
        <f>IFERROR(__xludf.DUMMYFUNCTION("""COMPUTED_VALUE"""),"BLACK")</f>
        <v>BLACK</v>
      </c>
      <c r="G8012" s="20" t="str">
        <f>IFERROR(__xludf.DUMMYFUNCTION("""COMPUTED_VALUE"""),"Uncle Sams Cider (04/04/2023)")</f>
        <v>Uncle Sams Cider (04/04/2023)</v>
      </c>
      <c r="H8012" s="19"/>
    </row>
    <row r="8013">
      <c r="A8013" s="9"/>
      <c r="B8013" s="15"/>
      <c r="C8013" s="9">
        <f>IFERROR(__xludf.DUMMYFUNCTION("""COMPUTED_VALUE"""),45060.189075081)</f>
        <v>45060.18908</v>
      </c>
      <c r="D8013" s="15">
        <f>IFERROR(__xludf.DUMMYFUNCTION("""COMPUTED_VALUE"""),1.016)</f>
        <v>1.016</v>
      </c>
      <c r="E8013" s="16">
        <f>IFERROR(__xludf.DUMMYFUNCTION("""COMPUTED_VALUE"""),65.0)</f>
        <v>65</v>
      </c>
      <c r="F8013" s="19" t="str">
        <f>IFERROR(__xludf.DUMMYFUNCTION("""COMPUTED_VALUE"""),"BLACK")</f>
        <v>BLACK</v>
      </c>
      <c r="G8013" s="20" t="str">
        <f>IFERROR(__xludf.DUMMYFUNCTION("""COMPUTED_VALUE"""),"Uncle Sams Cider (04/04/2023)")</f>
        <v>Uncle Sams Cider (04/04/2023)</v>
      </c>
      <c r="H8013" s="19"/>
    </row>
    <row r="8014">
      <c r="A8014" s="9"/>
      <c r="B8014" s="15"/>
      <c r="C8014" s="9">
        <f>IFERROR(__xludf.DUMMYFUNCTION("""COMPUTED_VALUE"""),45060.1785596296)</f>
        <v>45060.17856</v>
      </c>
      <c r="D8014" s="15">
        <f>IFERROR(__xludf.DUMMYFUNCTION("""COMPUTED_VALUE"""),1.016)</f>
        <v>1.016</v>
      </c>
      <c r="E8014" s="16">
        <f>IFERROR(__xludf.DUMMYFUNCTION("""COMPUTED_VALUE"""),65.0)</f>
        <v>65</v>
      </c>
      <c r="F8014" s="19" t="str">
        <f>IFERROR(__xludf.DUMMYFUNCTION("""COMPUTED_VALUE"""),"BLACK")</f>
        <v>BLACK</v>
      </c>
      <c r="G8014" s="20" t="str">
        <f>IFERROR(__xludf.DUMMYFUNCTION("""COMPUTED_VALUE"""),"Uncle Sams Cider (04/04/2023)")</f>
        <v>Uncle Sams Cider (04/04/2023)</v>
      </c>
      <c r="H8014" s="19"/>
    </row>
    <row r="8015">
      <c r="A8015" s="9"/>
      <c r="B8015" s="15"/>
      <c r="C8015" s="9">
        <f>IFERROR(__xludf.DUMMYFUNCTION("""COMPUTED_VALUE"""),45060.168137824)</f>
        <v>45060.16814</v>
      </c>
      <c r="D8015" s="15">
        <f>IFERROR(__xludf.DUMMYFUNCTION("""COMPUTED_VALUE"""),1.016)</f>
        <v>1.016</v>
      </c>
      <c r="E8015" s="16">
        <f>IFERROR(__xludf.DUMMYFUNCTION("""COMPUTED_VALUE"""),65.0)</f>
        <v>65</v>
      </c>
      <c r="F8015" s="19" t="str">
        <f>IFERROR(__xludf.DUMMYFUNCTION("""COMPUTED_VALUE"""),"BLACK")</f>
        <v>BLACK</v>
      </c>
      <c r="G8015" s="20" t="str">
        <f>IFERROR(__xludf.DUMMYFUNCTION("""COMPUTED_VALUE"""),"Uncle Sams Cider (04/04/2023)")</f>
        <v>Uncle Sams Cider (04/04/2023)</v>
      </c>
      <c r="H8015" s="19"/>
    </row>
    <row r="8016">
      <c r="A8016" s="9"/>
      <c r="B8016" s="15"/>
      <c r="C8016" s="9">
        <f>IFERROR(__xludf.DUMMYFUNCTION("""COMPUTED_VALUE"""),45060.1576912152)</f>
        <v>45060.15769</v>
      </c>
      <c r="D8016" s="15">
        <f>IFERROR(__xludf.DUMMYFUNCTION("""COMPUTED_VALUE"""),1.016)</f>
        <v>1.016</v>
      </c>
      <c r="E8016" s="16">
        <f>IFERROR(__xludf.DUMMYFUNCTION("""COMPUTED_VALUE"""),65.0)</f>
        <v>65</v>
      </c>
      <c r="F8016" s="19" t="str">
        <f>IFERROR(__xludf.DUMMYFUNCTION("""COMPUTED_VALUE"""),"BLACK")</f>
        <v>BLACK</v>
      </c>
      <c r="G8016" s="20" t="str">
        <f>IFERROR(__xludf.DUMMYFUNCTION("""COMPUTED_VALUE"""),"Uncle Sams Cider (04/04/2023)")</f>
        <v>Uncle Sams Cider (04/04/2023)</v>
      </c>
      <c r="H8016" s="19"/>
    </row>
    <row r="8017">
      <c r="A8017" s="9"/>
      <c r="B8017" s="15"/>
      <c r="C8017" s="9">
        <f>IFERROR(__xludf.DUMMYFUNCTION("""COMPUTED_VALUE"""),45060.1471785995)</f>
        <v>45060.14718</v>
      </c>
      <c r="D8017" s="15">
        <f>IFERROR(__xludf.DUMMYFUNCTION("""COMPUTED_VALUE"""),1.016)</f>
        <v>1.016</v>
      </c>
      <c r="E8017" s="16">
        <f>IFERROR(__xludf.DUMMYFUNCTION("""COMPUTED_VALUE"""),65.0)</f>
        <v>65</v>
      </c>
      <c r="F8017" s="19" t="str">
        <f>IFERROR(__xludf.DUMMYFUNCTION("""COMPUTED_VALUE"""),"BLACK")</f>
        <v>BLACK</v>
      </c>
      <c r="G8017" s="20" t="str">
        <f>IFERROR(__xludf.DUMMYFUNCTION("""COMPUTED_VALUE"""),"Uncle Sams Cider (04/04/2023)")</f>
        <v>Uncle Sams Cider (04/04/2023)</v>
      </c>
      <c r="H8017" s="19"/>
    </row>
    <row r="8018">
      <c r="A8018" s="9"/>
      <c r="B8018" s="15"/>
      <c r="C8018" s="9">
        <f>IFERROR(__xludf.DUMMYFUNCTION("""COMPUTED_VALUE"""),45060.1367440625)</f>
        <v>45060.13674</v>
      </c>
      <c r="D8018" s="15">
        <f>IFERROR(__xludf.DUMMYFUNCTION("""COMPUTED_VALUE"""),1.016)</f>
        <v>1.016</v>
      </c>
      <c r="E8018" s="16">
        <f>IFERROR(__xludf.DUMMYFUNCTION("""COMPUTED_VALUE"""),65.0)</f>
        <v>65</v>
      </c>
      <c r="F8018" s="19" t="str">
        <f>IFERROR(__xludf.DUMMYFUNCTION("""COMPUTED_VALUE"""),"BLACK")</f>
        <v>BLACK</v>
      </c>
      <c r="G8018" s="20" t="str">
        <f>IFERROR(__xludf.DUMMYFUNCTION("""COMPUTED_VALUE"""),"Uncle Sams Cider (04/04/2023)")</f>
        <v>Uncle Sams Cider (04/04/2023)</v>
      </c>
      <c r="H8018" s="19"/>
    </row>
    <row r="8019">
      <c r="A8019" s="9"/>
      <c r="B8019" s="15"/>
      <c r="C8019" s="9">
        <f>IFERROR(__xludf.DUMMYFUNCTION("""COMPUTED_VALUE"""),45060.1263236342)</f>
        <v>45060.12632</v>
      </c>
      <c r="D8019" s="15">
        <f>IFERROR(__xludf.DUMMYFUNCTION("""COMPUTED_VALUE"""),1.016)</f>
        <v>1.016</v>
      </c>
      <c r="E8019" s="16">
        <f>IFERROR(__xludf.DUMMYFUNCTION("""COMPUTED_VALUE"""),65.0)</f>
        <v>65</v>
      </c>
      <c r="F8019" s="19" t="str">
        <f>IFERROR(__xludf.DUMMYFUNCTION("""COMPUTED_VALUE"""),"BLACK")</f>
        <v>BLACK</v>
      </c>
      <c r="G8019" s="20" t="str">
        <f>IFERROR(__xludf.DUMMYFUNCTION("""COMPUTED_VALUE"""),"Uncle Sams Cider (04/04/2023)")</f>
        <v>Uncle Sams Cider (04/04/2023)</v>
      </c>
      <c r="H8019" s="19"/>
    </row>
    <row r="8020">
      <c r="A8020" s="9"/>
      <c r="B8020" s="15"/>
      <c r="C8020" s="9">
        <f>IFERROR(__xludf.DUMMYFUNCTION("""COMPUTED_VALUE"""),45060.1159018171)</f>
        <v>45060.1159</v>
      </c>
      <c r="D8020" s="15">
        <f>IFERROR(__xludf.DUMMYFUNCTION("""COMPUTED_VALUE"""),1.016)</f>
        <v>1.016</v>
      </c>
      <c r="E8020" s="16">
        <f>IFERROR(__xludf.DUMMYFUNCTION("""COMPUTED_VALUE"""),65.0)</f>
        <v>65</v>
      </c>
      <c r="F8020" s="19" t="str">
        <f>IFERROR(__xludf.DUMMYFUNCTION("""COMPUTED_VALUE"""),"BLACK")</f>
        <v>BLACK</v>
      </c>
      <c r="G8020" s="20" t="str">
        <f>IFERROR(__xludf.DUMMYFUNCTION("""COMPUTED_VALUE"""),"Uncle Sams Cider (04/04/2023)")</f>
        <v>Uncle Sams Cider (04/04/2023)</v>
      </c>
      <c r="H8020" s="19"/>
    </row>
    <row r="8021">
      <c r="A8021" s="9"/>
      <c r="B8021" s="15"/>
      <c r="C8021" s="9">
        <f>IFERROR(__xludf.DUMMYFUNCTION("""COMPUTED_VALUE"""),45060.1054812615)</f>
        <v>45060.10548</v>
      </c>
      <c r="D8021" s="15">
        <f>IFERROR(__xludf.DUMMYFUNCTION("""COMPUTED_VALUE"""),1.016)</f>
        <v>1.016</v>
      </c>
      <c r="E8021" s="16">
        <f>IFERROR(__xludf.DUMMYFUNCTION("""COMPUTED_VALUE"""),65.0)</f>
        <v>65</v>
      </c>
      <c r="F8021" s="19" t="str">
        <f>IFERROR(__xludf.DUMMYFUNCTION("""COMPUTED_VALUE"""),"BLACK")</f>
        <v>BLACK</v>
      </c>
      <c r="G8021" s="20" t="str">
        <f>IFERROR(__xludf.DUMMYFUNCTION("""COMPUTED_VALUE"""),"Uncle Sams Cider (04/04/2023)")</f>
        <v>Uncle Sams Cider (04/04/2023)</v>
      </c>
      <c r="H8021" s="19"/>
    </row>
    <row r="8022">
      <c r="A8022" s="9"/>
      <c r="B8022" s="15"/>
      <c r="C8022" s="9">
        <f>IFERROR(__xludf.DUMMYFUNCTION("""COMPUTED_VALUE"""),45060.0950476504)</f>
        <v>45060.09505</v>
      </c>
      <c r="D8022" s="15">
        <f>IFERROR(__xludf.DUMMYFUNCTION("""COMPUTED_VALUE"""),1.016)</f>
        <v>1.016</v>
      </c>
      <c r="E8022" s="16">
        <f>IFERROR(__xludf.DUMMYFUNCTION("""COMPUTED_VALUE"""),65.0)</f>
        <v>65</v>
      </c>
      <c r="F8022" s="19" t="str">
        <f>IFERROR(__xludf.DUMMYFUNCTION("""COMPUTED_VALUE"""),"BLACK")</f>
        <v>BLACK</v>
      </c>
      <c r="G8022" s="20" t="str">
        <f>IFERROR(__xludf.DUMMYFUNCTION("""COMPUTED_VALUE"""),"Uncle Sams Cider (04/04/2023)")</f>
        <v>Uncle Sams Cider (04/04/2023)</v>
      </c>
      <c r="H8022" s="19"/>
    </row>
    <row r="8023">
      <c r="A8023" s="9"/>
      <c r="B8023" s="15"/>
      <c r="C8023" s="9">
        <f>IFERROR(__xludf.DUMMYFUNCTION("""COMPUTED_VALUE"""),45060.0846263541)</f>
        <v>45060.08463</v>
      </c>
      <c r="D8023" s="15">
        <f>IFERROR(__xludf.DUMMYFUNCTION("""COMPUTED_VALUE"""),1.016)</f>
        <v>1.016</v>
      </c>
      <c r="E8023" s="16">
        <f>IFERROR(__xludf.DUMMYFUNCTION("""COMPUTED_VALUE"""),65.0)</f>
        <v>65</v>
      </c>
      <c r="F8023" s="19" t="str">
        <f>IFERROR(__xludf.DUMMYFUNCTION("""COMPUTED_VALUE"""),"BLACK")</f>
        <v>BLACK</v>
      </c>
      <c r="G8023" s="20" t="str">
        <f>IFERROR(__xludf.DUMMYFUNCTION("""COMPUTED_VALUE"""),"Uncle Sams Cider (04/04/2023)")</f>
        <v>Uncle Sams Cider (04/04/2023)</v>
      </c>
      <c r="H8023" s="19"/>
    </row>
    <row r="8024">
      <c r="A8024" s="9"/>
      <c r="B8024" s="15"/>
      <c r="C8024" s="9">
        <f>IFERROR(__xludf.DUMMYFUNCTION("""COMPUTED_VALUE"""),45060.0741908912)</f>
        <v>45060.07419</v>
      </c>
      <c r="D8024" s="15">
        <f>IFERROR(__xludf.DUMMYFUNCTION("""COMPUTED_VALUE"""),1.016)</f>
        <v>1.016</v>
      </c>
      <c r="E8024" s="16">
        <f>IFERROR(__xludf.DUMMYFUNCTION("""COMPUTED_VALUE"""),65.0)</f>
        <v>65</v>
      </c>
      <c r="F8024" s="19" t="str">
        <f>IFERROR(__xludf.DUMMYFUNCTION("""COMPUTED_VALUE"""),"BLACK")</f>
        <v>BLACK</v>
      </c>
      <c r="G8024" s="20" t="str">
        <f>IFERROR(__xludf.DUMMYFUNCTION("""COMPUTED_VALUE"""),"Uncle Sams Cider (04/04/2023)")</f>
        <v>Uncle Sams Cider (04/04/2023)</v>
      </c>
      <c r="H8024" s="19"/>
    </row>
    <row r="8025">
      <c r="A8025" s="9"/>
      <c r="B8025" s="15"/>
      <c r="C8025" s="9">
        <f>IFERROR(__xludf.DUMMYFUNCTION("""COMPUTED_VALUE"""),45060.0637461458)</f>
        <v>45060.06375</v>
      </c>
      <c r="D8025" s="15">
        <f>IFERROR(__xludf.DUMMYFUNCTION("""COMPUTED_VALUE"""),1.016)</f>
        <v>1.016</v>
      </c>
      <c r="E8025" s="16">
        <f>IFERROR(__xludf.DUMMYFUNCTION("""COMPUTED_VALUE"""),65.0)</f>
        <v>65</v>
      </c>
      <c r="F8025" s="19" t="str">
        <f>IFERROR(__xludf.DUMMYFUNCTION("""COMPUTED_VALUE"""),"BLACK")</f>
        <v>BLACK</v>
      </c>
      <c r="G8025" s="20" t="str">
        <f>IFERROR(__xludf.DUMMYFUNCTION("""COMPUTED_VALUE"""),"Uncle Sams Cider (04/04/2023)")</f>
        <v>Uncle Sams Cider (04/04/2023)</v>
      </c>
      <c r="H8025" s="19"/>
    </row>
    <row r="8026">
      <c r="A8026" s="9"/>
      <c r="B8026" s="15"/>
      <c r="C8026" s="9">
        <f>IFERROR(__xludf.DUMMYFUNCTION("""COMPUTED_VALUE"""),45060.0533256481)</f>
        <v>45060.05333</v>
      </c>
      <c r="D8026" s="15">
        <f>IFERROR(__xludf.DUMMYFUNCTION("""COMPUTED_VALUE"""),1.016)</f>
        <v>1.016</v>
      </c>
      <c r="E8026" s="16">
        <f>IFERROR(__xludf.DUMMYFUNCTION("""COMPUTED_VALUE"""),65.0)</f>
        <v>65</v>
      </c>
      <c r="F8026" s="19" t="str">
        <f>IFERROR(__xludf.DUMMYFUNCTION("""COMPUTED_VALUE"""),"BLACK")</f>
        <v>BLACK</v>
      </c>
      <c r="G8026" s="20" t="str">
        <f>IFERROR(__xludf.DUMMYFUNCTION("""COMPUTED_VALUE"""),"Uncle Sams Cider (04/04/2023)")</f>
        <v>Uncle Sams Cider (04/04/2023)</v>
      </c>
      <c r="H8026" s="19"/>
    </row>
    <row r="8027">
      <c r="A8027" s="9"/>
      <c r="B8027" s="15"/>
      <c r="C8027" s="9">
        <f>IFERROR(__xludf.DUMMYFUNCTION("""COMPUTED_VALUE"""),45060.0428699421)</f>
        <v>45060.04287</v>
      </c>
      <c r="D8027" s="15">
        <f>IFERROR(__xludf.DUMMYFUNCTION("""COMPUTED_VALUE"""),1.016)</f>
        <v>1.016</v>
      </c>
      <c r="E8027" s="16">
        <f>IFERROR(__xludf.DUMMYFUNCTION("""COMPUTED_VALUE"""),65.0)</f>
        <v>65</v>
      </c>
      <c r="F8027" s="19" t="str">
        <f>IFERROR(__xludf.DUMMYFUNCTION("""COMPUTED_VALUE"""),"BLACK")</f>
        <v>BLACK</v>
      </c>
      <c r="G8027" s="20" t="str">
        <f>IFERROR(__xludf.DUMMYFUNCTION("""COMPUTED_VALUE"""),"Uncle Sams Cider (04/04/2023)")</f>
        <v>Uncle Sams Cider (04/04/2023)</v>
      </c>
      <c r="H8027" s="19"/>
    </row>
    <row r="8028">
      <c r="A8028" s="9"/>
      <c r="B8028" s="15"/>
      <c r="C8028" s="9">
        <f>IFERROR(__xludf.DUMMYFUNCTION("""COMPUTED_VALUE"""),45060.0324485763)</f>
        <v>45060.03245</v>
      </c>
      <c r="D8028" s="15">
        <f>IFERROR(__xludf.DUMMYFUNCTION("""COMPUTED_VALUE"""),1.016)</f>
        <v>1.016</v>
      </c>
      <c r="E8028" s="16">
        <f>IFERROR(__xludf.DUMMYFUNCTION("""COMPUTED_VALUE"""),65.0)</f>
        <v>65</v>
      </c>
      <c r="F8028" s="19" t="str">
        <f>IFERROR(__xludf.DUMMYFUNCTION("""COMPUTED_VALUE"""),"BLACK")</f>
        <v>BLACK</v>
      </c>
      <c r="G8028" s="20" t="str">
        <f>IFERROR(__xludf.DUMMYFUNCTION("""COMPUTED_VALUE"""),"Uncle Sams Cider (04/04/2023)")</f>
        <v>Uncle Sams Cider (04/04/2023)</v>
      </c>
      <c r="H8028" s="19"/>
    </row>
    <row r="8029">
      <c r="A8029" s="9"/>
      <c r="B8029" s="15"/>
      <c r="C8029" s="9">
        <f>IFERROR(__xludf.DUMMYFUNCTION("""COMPUTED_VALUE"""),45060.0219575115)</f>
        <v>45060.02196</v>
      </c>
      <c r="D8029" s="15">
        <f>IFERROR(__xludf.DUMMYFUNCTION("""COMPUTED_VALUE"""),1.016)</f>
        <v>1.016</v>
      </c>
      <c r="E8029" s="16">
        <f>IFERROR(__xludf.DUMMYFUNCTION("""COMPUTED_VALUE"""),65.0)</f>
        <v>65</v>
      </c>
      <c r="F8029" s="19" t="str">
        <f>IFERROR(__xludf.DUMMYFUNCTION("""COMPUTED_VALUE"""),"BLACK")</f>
        <v>BLACK</v>
      </c>
      <c r="G8029" s="20" t="str">
        <f>IFERROR(__xludf.DUMMYFUNCTION("""COMPUTED_VALUE"""),"Uncle Sams Cider (04/04/2023)")</f>
        <v>Uncle Sams Cider (04/04/2023)</v>
      </c>
      <c r="H8029" s="19"/>
    </row>
    <row r="8030">
      <c r="A8030" s="9"/>
      <c r="B8030" s="15"/>
      <c r="C8030" s="9">
        <f>IFERROR(__xludf.DUMMYFUNCTION("""COMPUTED_VALUE"""),45060.0115254051)</f>
        <v>45060.01153</v>
      </c>
      <c r="D8030" s="15">
        <f>IFERROR(__xludf.DUMMYFUNCTION("""COMPUTED_VALUE"""),1.016)</f>
        <v>1.016</v>
      </c>
      <c r="E8030" s="16">
        <f>IFERROR(__xludf.DUMMYFUNCTION("""COMPUTED_VALUE"""),65.0)</f>
        <v>65</v>
      </c>
      <c r="F8030" s="19" t="str">
        <f>IFERROR(__xludf.DUMMYFUNCTION("""COMPUTED_VALUE"""),"BLACK")</f>
        <v>BLACK</v>
      </c>
      <c r="G8030" s="20" t="str">
        <f>IFERROR(__xludf.DUMMYFUNCTION("""COMPUTED_VALUE"""),"Uncle Sams Cider (04/04/2023)")</f>
        <v>Uncle Sams Cider (04/04/2023)</v>
      </c>
      <c r="H8030" s="19"/>
    </row>
    <row r="8031">
      <c r="A8031" s="9"/>
      <c r="B8031" s="15"/>
      <c r="C8031" s="9">
        <f>IFERROR(__xludf.DUMMYFUNCTION("""COMPUTED_VALUE"""),45060.0011033101)</f>
        <v>45060.0011</v>
      </c>
      <c r="D8031" s="15">
        <f>IFERROR(__xludf.DUMMYFUNCTION("""COMPUTED_VALUE"""),1.017)</f>
        <v>1.017</v>
      </c>
      <c r="E8031" s="16">
        <f>IFERROR(__xludf.DUMMYFUNCTION("""COMPUTED_VALUE"""),65.0)</f>
        <v>65</v>
      </c>
      <c r="F8031" s="19" t="str">
        <f>IFERROR(__xludf.DUMMYFUNCTION("""COMPUTED_VALUE"""),"BLACK")</f>
        <v>BLACK</v>
      </c>
      <c r="G8031" s="20" t="str">
        <f>IFERROR(__xludf.DUMMYFUNCTION("""COMPUTED_VALUE"""),"Uncle Sams Cider (04/04/2023)")</f>
        <v>Uncle Sams Cider (04/04/2023)</v>
      </c>
      <c r="H8031" s="19"/>
    </row>
    <row r="8032">
      <c r="A8032" s="9"/>
      <c r="B8032" s="15"/>
      <c r="C8032" s="9">
        <f>IFERROR(__xludf.DUMMYFUNCTION("""COMPUTED_VALUE"""),45059.9906220138)</f>
        <v>45059.99062</v>
      </c>
      <c r="D8032" s="15">
        <f>IFERROR(__xludf.DUMMYFUNCTION("""COMPUTED_VALUE"""),1.016)</f>
        <v>1.016</v>
      </c>
      <c r="E8032" s="16">
        <f>IFERROR(__xludf.DUMMYFUNCTION("""COMPUTED_VALUE"""),65.0)</f>
        <v>65</v>
      </c>
      <c r="F8032" s="19" t="str">
        <f>IFERROR(__xludf.DUMMYFUNCTION("""COMPUTED_VALUE"""),"BLACK")</f>
        <v>BLACK</v>
      </c>
      <c r="G8032" s="20" t="str">
        <f>IFERROR(__xludf.DUMMYFUNCTION("""COMPUTED_VALUE"""),"Uncle Sams Cider (04/04/2023)")</f>
        <v>Uncle Sams Cider (04/04/2023)</v>
      </c>
      <c r="H8032" s="19"/>
    </row>
    <row r="8033">
      <c r="A8033" s="9"/>
      <c r="B8033" s="15"/>
      <c r="C8033" s="9">
        <f>IFERROR(__xludf.DUMMYFUNCTION("""COMPUTED_VALUE"""),45059.9801194791)</f>
        <v>45059.98012</v>
      </c>
      <c r="D8033" s="15">
        <f>IFERROR(__xludf.DUMMYFUNCTION("""COMPUTED_VALUE"""),1.016)</f>
        <v>1.016</v>
      </c>
      <c r="E8033" s="16">
        <f>IFERROR(__xludf.DUMMYFUNCTION("""COMPUTED_VALUE"""),65.0)</f>
        <v>65</v>
      </c>
      <c r="F8033" s="19" t="str">
        <f>IFERROR(__xludf.DUMMYFUNCTION("""COMPUTED_VALUE"""),"BLACK")</f>
        <v>BLACK</v>
      </c>
      <c r="G8033" s="20" t="str">
        <f>IFERROR(__xludf.DUMMYFUNCTION("""COMPUTED_VALUE"""),"Uncle Sams Cider (04/04/2023)")</f>
        <v>Uncle Sams Cider (04/04/2023)</v>
      </c>
      <c r="H8033" s="19"/>
    </row>
    <row r="8034">
      <c r="A8034" s="9"/>
      <c r="B8034" s="15"/>
      <c r="C8034" s="9">
        <f>IFERROR(__xludf.DUMMYFUNCTION("""COMPUTED_VALUE"""),45059.9696993981)</f>
        <v>45059.9697</v>
      </c>
      <c r="D8034" s="15">
        <f>IFERROR(__xludf.DUMMYFUNCTION("""COMPUTED_VALUE"""),1.016)</f>
        <v>1.016</v>
      </c>
      <c r="E8034" s="16">
        <f>IFERROR(__xludf.DUMMYFUNCTION("""COMPUTED_VALUE"""),65.0)</f>
        <v>65</v>
      </c>
      <c r="F8034" s="19" t="str">
        <f>IFERROR(__xludf.DUMMYFUNCTION("""COMPUTED_VALUE"""),"BLACK")</f>
        <v>BLACK</v>
      </c>
      <c r="G8034" s="20" t="str">
        <f>IFERROR(__xludf.DUMMYFUNCTION("""COMPUTED_VALUE"""),"Uncle Sams Cider (04/04/2023)")</f>
        <v>Uncle Sams Cider (04/04/2023)</v>
      </c>
      <c r="H8034" s="19"/>
    </row>
    <row r="8035">
      <c r="A8035" s="9"/>
      <c r="B8035" s="15"/>
      <c r="C8035" s="9">
        <f>IFERROR(__xludf.DUMMYFUNCTION("""COMPUTED_VALUE"""),45059.9592452777)</f>
        <v>45059.95925</v>
      </c>
      <c r="D8035" s="15">
        <f>IFERROR(__xludf.DUMMYFUNCTION("""COMPUTED_VALUE"""),1.016)</f>
        <v>1.016</v>
      </c>
      <c r="E8035" s="16">
        <f>IFERROR(__xludf.DUMMYFUNCTION("""COMPUTED_VALUE"""),65.0)</f>
        <v>65</v>
      </c>
      <c r="F8035" s="19" t="str">
        <f>IFERROR(__xludf.DUMMYFUNCTION("""COMPUTED_VALUE"""),"BLACK")</f>
        <v>BLACK</v>
      </c>
      <c r="G8035" s="20" t="str">
        <f>IFERROR(__xludf.DUMMYFUNCTION("""COMPUTED_VALUE"""),"Uncle Sams Cider (04/04/2023)")</f>
        <v>Uncle Sams Cider (04/04/2023)</v>
      </c>
      <c r="H8035" s="19"/>
    </row>
    <row r="8036">
      <c r="A8036" s="9"/>
      <c r="B8036" s="15"/>
      <c r="C8036" s="9">
        <f>IFERROR(__xludf.DUMMYFUNCTION("""COMPUTED_VALUE"""),45059.9488235995)</f>
        <v>45059.94882</v>
      </c>
      <c r="D8036" s="15">
        <f>IFERROR(__xludf.DUMMYFUNCTION("""COMPUTED_VALUE"""),1.016)</f>
        <v>1.016</v>
      </c>
      <c r="E8036" s="16">
        <f>IFERROR(__xludf.DUMMYFUNCTION("""COMPUTED_VALUE"""),65.0)</f>
        <v>65</v>
      </c>
      <c r="F8036" s="19" t="str">
        <f>IFERROR(__xludf.DUMMYFUNCTION("""COMPUTED_VALUE"""),"BLACK")</f>
        <v>BLACK</v>
      </c>
      <c r="G8036" s="20" t="str">
        <f>IFERROR(__xludf.DUMMYFUNCTION("""COMPUTED_VALUE"""),"Uncle Sams Cider (04/04/2023)")</f>
        <v>Uncle Sams Cider (04/04/2023)</v>
      </c>
      <c r="H8036" s="19"/>
    </row>
    <row r="8037">
      <c r="A8037" s="9"/>
      <c r="B8037" s="15"/>
      <c r="C8037" s="9">
        <f>IFERROR(__xludf.DUMMYFUNCTION("""COMPUTED_VALUE"""),45059.9384045486)</f>
        <v>45059.9384</v>
      </c>
      <c r="D8037" s="15">
        <f>IFERROR(__xludf.DUMMYFUNCTION("""COMPUTED_VALUE"""),1.016)</f>
        <v>1.016</v>
      </c>
      <c r="E8037" s="16">
        <f>IFERROR(__xludf.DUMMYFUNCTION("""COMPUTED_VALUE"""),65.0)</f>
        <v>65</v>
      </c>
      <c r="F8037" s="19" t="str">
        <f>IFERROR(__xludf.DUMMYFUNCTION("""COMPUTED_VALUE"""),"BLACK")</f>
        <v>BLACK</v>
      </c>
      <c r="G8037" s="20" t="str">
        <f>IFERROR(__xludf.DUMMYFUNCTION("""COMPUTED_VALUE"""),"Uncle Sams Cider (04/04/2023)")</f>
        <v>Uncle Sams Cider (04/04/2023)</v>
      </c>
      <c r="H8037" s="19"/>
    </row>
    <row r="8038">
      <c r="A8038" s="9"/>
      <c r="B8038" s="15"/>
      <c r="C8038" s="9">
        <f>IFERROR(__xludf.DUMMYFUNCTION("""COMPUTED_VALUE"""),45059.9279498379)</f>
        <v>45059.92795</v>
      </c>
      <c r="D8038" s="15">
        <f>IFERROR(__xludf.DUMMYFUNCTION("""COMPUTED_VALUE"""),1.016)</f>
        <v>1.016</v>
      </c>
      <c r="E8038" s="16">
        <f>IFERROR(__xludf.DUMMYFUNCTION("""COMPUTED_VALUE"""),65.0)</f>
        <v>65</v>
      </c>
      <c r="F8038" s="19" t="str">
        <f>IFERROR(__xludf.DUMMYFUNCTION("""COMPUTED_VALUE"""),"BLACK")</f>
        <v>BLACK</v>
      </c>
      <c r="G8038" s="20" t="str">
        <f>IFERROR(__xludf.DUMMYFUNCTION("""COMPUTED_VALUE"""),"Uncle Sams Cider (04/04/2023)")</f>
        <v>Uncle Sams Cider (04/04/2023)</v>
      </c>
      <c r="H8038" s="19"/>
    </row>
    <row r="8039">
      <c r="A8039" s="9"/>
      <c r="B8039" s="15"/>
      <c r="C8039" s="9">
        <f>IFERROR(__xludf.DUMMYFUNCTION("""COMPUTED_VALUE"""),45059.9175154976)</f>
        <v>45059.91752</v>
      </c>
      <c r="D8039" s="15">
        <f>IFERROR(__xludf.DUMMYFUNCTION("""COMPUTED_VALUE"""),1.016)</f>
        <v>1.016</v>
      </c>
      <c r="E8039" s="16">
        <f>IFERROR(__xludf.DUMMYFUNCTION("""COMPUTED_VALUE"""),65.0)</f>
        <v>65</v>
      </c>
      <c r="F8039" s="19" t="str">
        <f>IFERROR(__xludf.DUMMYFUNCTION("""COMPUTED_VALUE"""),"BLACK")</f>
        <v>BLACK</v>
      </c>
      <c r="G8039" s="20" t="str">
        <f>IFERROR(__xludf.DUMMYFUNCTION("""COMPUTED_VALUE"""),"Uncle Sams Cider (04/04/2023)")</f>
        <v>Uncle Sams Cider (04/04/2023)</v>
      </c>
      <c r="H8039" s="19"/>
    </row>
    <row r="8040">
      <c r="A8040" s="9"/>
      <c r="B8040" s="15"/>
      <c r="C8040" s="9">
        <f>IFERROR(__xludf.DUMMYFUNCTION("""COMPUTED_VALUE"""),45059.907060162)</f>
        <v>45059.90706</v>
      </c>
      <c r="D8040" s="15">
        <f>IFERROR(__xludf.DUMMYFUNCTION("""COMPUTED_VALUE"""),1.016)</f>
        <v>1.016</v>
      </c>
      <c r="E8040" s="16">
        <f>IFERROR(__xludf.DUMMYFUNCTION("""COMPUTED_VALUE"""),65.0)</f>
        <v>65</v>
      </c>
      <c r="F8040" s="19" t="str">
        <f>IFERROR(__xludf.DUMMYFUNCTION("""COMPUTED_VALUE"""),"BLACK")</f>
        <v>BLACK</v>
      </c>
      <c r="G8040" s="20" t="str">
        <f>IFERROR(__xludf.DUMMYFUNCTION("""COMPUTED_VALUE"""),"Uncle Sams Cider (04/04/2023)")</f>
        <v>Uncle Sams Cider (04/04/2023)</v>
      </c>
      <c r="H8040" s="19"/>
    </row>
    <row r="8041">
      <c r="A8041" s="9"/>
      <c r="B8041" s="15"/>
      <c r="C8041" s="9">
        <f>IFERROR(__xludf.DUMMYFUNCTION("""COMPUTED_VALUE"""),45059.8966276967)</f>
        <v>45059.89663</v>
      </c>
      <c r="D8041" s="15">
        <f>IFERROR(__xludf.DUMMYFUNCTION("""COMPUTED_VALUE"""),1.016)</f>
        <v>1.016</v>
      </c>
      <c r="E8041" s="16">
        <f>IFERROR(__xludf.DUMMYFUNCTION("""COMPUTED_VALUE"""),65.0)</f>
        <v>65</v>
      </c>
      <c r="F8041" s="19" t="str">
        <f>IFERROR(__xludf.DUMMYFUNCTION("""COMPUTED_VALUE"""),"BLACK")</f>
        <v>BLACK</v>
      </c>
      <c r="G8041" s="20" t="str">
        <f>IFERROR(__xludf.DUMMYFUNCTION("""COMPUTED_VALUE"""),"Uncle Sams Cider (04/04/2023)")</f>
        <v>Uncle Sams Cider (04/04/2023)</v>
      </c>
      <c r="H8041" s="19"/>
    </row>
    <row r="8042">
      <c r="A8042" s="9"/>
      <c r="B8042" s="15"/>
      <c r="C8042" s="9">
        <f>IFERROR(__xludf.DUMMYFUNCTION("""COMPUTED_VALUE"""),45059.8861837152)</f>
        <v>45059.88618</v>
      </c>
      <c r="D8042" s="15">
        <f>IFERROR(__xludf.DUMMYFUNCTION("""COMPUTED_VALUE"""),1.016)</f>
        <v>1.016</v>
      </c>
      <c r="E8042" s="16">
        <f>IFERROR(__xludf.DUMMYFUNCTION("""COMPUTED_VALUE"""),65.0)</f>
        <v>65</v>
      </c>
      <c r="F8042" s="19" t="str">
        <f>IFERROR(__xludf.DUMMYFUNCTION("""COMPUTED_VALUE"""),"BLACK")</f>
        <v>BLACK</v>
      </c>
      <c r="G8042" s="20" t="str">
        <f>IFERROR(__xludf.DUMMYFUNCTION("""COMPUTED_VALUE"""),"Uncle Sams Cider (04/04/2023)")</f>
        <v>Uncle Sams Cider (04/04/2023)</v>
      </c>
      <c r="H8042" s="19"/>
    </row>
    <row r="8043">
      <c r="A8043" s="9"/>
      <c r="B8043" s="15"/>
      <c r="C8043" s="9">
        <f>IFERROR(__xludf.DUMMYFUNCTION("""COMPUTED_VALUE"""),45059.8757623611)</f>
        <v>45059.87576</v>
      </c>
      <c r="D8043" s="15">
        <f>IFERROR(__xludf.DUMMYFUNCTION("""COMPUTED_VALUE"""),1.016)</f>
        <v>1.016</v>
      </c>
      <c r="E8043" s="16">
        <f>IFERROR(__xludf.DUMMYFUNCTION("""COMPUTED_VALUE"""),65.0)</f>
        <v>65</v>
      </c>
      <c r="F8043" s="19" t="str">
        <f>IFERROR(__xludf.DUMMYFUNCTION("""COMPUTED_VALUE"""),"BLACK")</f>
        <v>BLACK</v>
      </c>
      <c r="G8043" s="20" t="str">
        <f>IFERROR(__xludf.DUMMYFUNCTION("""COMPUTED_VALUE"""),"Uncle Sams Cider (04/04/2023)")</f>
        <v>Uncle Sams Cider (04/04/2023)</v>
      </c>
      <c r="H8043" s="19"/>
    </row>
    <row r="8044">
      <c r="A8044" s="9"/>
      <c r="B8044" s="15"/>
      <c r="C8044" s="9">
        <f>IFERROR(__xludf.DUMMYFUNCTION("""COMPUTED_VALUE"""),45059.8653398726)</f>
        <v>45059.86534</v>
      </c>
      <c r="D8044" s="15">
        <f>IFERROR(__xludf.DUMMYFUNCTION("""COMPUTED_VALUE"""),1.016)</f>
        <v>1.016</v>
      </c>
      <c r="E8044" s="16">
        <f>IFERROR(__xludf.DUMMYFUNCTION("""COMPUTED_VALUE"""),65.0)</f>
        <v>65</v>
      </c>
      <c r="F8044" s="19" t="str">
        <f>IFERROR(__xludf.DUMMYFUNCTION("""COMPUTED_VALUE"""),"BLACK")</f>
        <v>BLACK</v>
      </c>
      <c r="G8044" s="20" t="str">
        <f>IFERROR(__xludf.DUMMYFUNCTION("""COMPUTED_VALUE"""),"Uncle Sams Cider (04/04/2023)")</f>
        <v>Uncle Sams Cider (04/04/2023)</v>
      </c>
      <c r="H8044" s="19"/>
    </row>
    <row r="8045">
      <c r="A8045" s="9"/>
      <c r="B8045" s="15"/>
      <c r="C8045" s="9">
        <f>IFERROR(__xludf.DUMMYFUNCTION("""COMPUTED_VALUE"""),45059.8549178472)</f>
        <v>45059.85492</v>
      </c>
      <c r="D8045" s="15">
        <f>IFERROR(__xludf.DUMMYFUNCTION("""COMPUTED_VALUE"""),1.017)</f>
        <v>1.017</v>
      </c>
      <c r="E8045" s="16">
        <f>IFERROR(__xludf.DUMMYFUNCTION("""COMPUTED_VALUE"""),65.0)</f>
        <v>65</v>
      </c>
      <c r="F8045" s="19" t="str">
        <f>IFERROR(__xludf.DUMMYFUNCTION("""COMPUTED_VALUE"""),"BLACK")</f>
        <v>BLACK</v>
      </c>
      <c r="G8045" s="20" t="str">
        <f>IFERROR(__xludf.DUMMYFUNCTION("""COMPUTED_VALUE"""),"Uncle Sams Cider (04/04/2023)")</f>
        <v>Uncle Sams Cider (04/04/2023)</v>
      </c>
      <c r="H8045" s="19"/>
    </row>
    <row r="8046">
      <c r="A8046" s="9"/>
      <c r="B8046" s="15"/>
      <c r="C8046" s="9">
        <f>IFERROR(__xludf.DUMMYFUNCTION("""COMPUTED_VALUE"""),45059.8444972453)</f>
        <v>45059.8445</v>
      </c>
      <c r="D8046" s="15">
        <f>IFERROR(__xludf.DUMMYFUNCTION("""COMPUTED_VALUE"""),1.016)</f>
        <v>1.016</v>
      </c>
      <c r="E8046" s="16">
        <f>IFERROR(__xludf.DUMMYFUNCTION("""COMPUTED_VALUE"""),65.0)</f>
        <v>65</v>
      </c>
      <c r="F8046" s="19" t="str">
        <f>IFERROR(__xludf.DUMMYFUNCTION("""COMPUTED_VALUE"""),"BLACK")</f>
        <v>BLACK</v>
      </c>
      <c r="G8046" s="20" t="str">
        <f>IFERROR(__xludf.DUMMYFUNCTION("""COMPUTED_VALUE"""),"Uncle Sams Cider (04/04/2023)")</f>
        <v>Uncle Sams Cider (04/04/2023)</v>
      </c>
      <c r="H8046" s="19"/>
    </row>
    <row r="8047">
      <c r="A8047" s="9"/>
      <c r="B8047" s="15"/>
      <c r="C8047" s="9">
        <f>IFERROR(__xludf.DUMMYFUNCTION("""COMPUTED_VALUE"""),45059.8340758217)</f>
        <v>45059.83408</v>
      </c>
      <c r="D8047" s="15">
        <f>IFERROR(__xludf.DUMMYFUNCTION("""COMPUTED_VALUE"""),1.016)</f>
        <v>1.016</v>
      </c>
      <c r="E8047" s="16">
        <f>IFERROR(__xludf.DUMMYFUNCTION("""COMPUTED_VALUE"""),65.0)</f>
        <v>65</v>
      </c>
      <c r="F8047" s="19" t="str">
        <f>IFERROR(__xludf.DUMMYFUNCTION("""COMPUTED_VALUE"""),"BLACK")</f>
        <v>BLACK</v>
      </c>
      <c r="G8047" s="20" t="str">
        <f>IFERROR(__xludf.DUMMYFUNCTION("""COMPUTED_VALUE"""),"Uncle Sams Cider (04/04/2023)")</f>
        <v>Uncle Sams Cider (04/04/2023)</v>
      </c>
      <c r="H8047" s="19"/>
    </row>
    <row r="8048">
      <c r="A8048" s="9"/>
      <c r="B8048" s="15"/>
      <c r="C8048" s="9">
        <f>IFERROR(__xludf.DUMMYFUNCTION("""COMPUTED_VALUE"""),45059.8236427199)</f>
        <v>45059.82364</v>
      </c>
      <c r="D8048" s="15">
        <f>IFERROR(__xludf.DUMMYFUNCTION("""COMPUTED_VALUE"""),1.017)</f>
        <v>1.017</v>
      </c>
      <c r="E8048" s="16">
        <f>IFERROR(__xludf.DUMMYFUNCTION("""COMPUTED_VALUE"""),65.0)</f>
        <v>65</v>
      </c>
      <c r="F8048" s="19" t="str">
        <f>IFERROR(__xludf.DUMMYFUNCTION("""COMPUTED_VALUE"""),"BLACK")</f>
        <v>BLACK</v>
      </c>
      <c r="G8048" s="20" t="str">
        <f>IFERROR(__xludf.DUMMYFUNCTION("""COMPUTED_VALUE"""),"Uncle Sams Cider (04/04/2023)")</f>
        <v>Uncle Sams Cider (04/04/2023)</v>
      </c>
      <c r="H8048" s="19"/>
    </row>
    <row r="8049">
      <c r="A8049" s="9"/>
      <c r="B8049" s="15"/>
      <c r="C8049" s="9">
        <f>IFERROR(__xludf.DUMMYFUNCTION("""COMPUTED_VALUE"""),45059.8131875694)</f>
        <v>45059.81319</v>
      </c>
      <c r="D8049" s="15">
        <f>IFERROR(__xludf.DUMMYFUNCTION("""COMPUTED_VALUE"""),1.016)</f>
        <v>1.016</v>
      </c>
      <c r="E8049" s="16">
        <f>IFERROR(__xludf.DUMMYFUNCTION("""COMPUTED_VALUE"""),65.0)</f>
        <v>65</v>
      </c>
      <c r="F8049" s="19" t="str">
        <f>IFERROR(__xludf.DUMMYFUNCTION("""COMPUTED_VALUE"""),"BLACK")</f>
        <v>BLACK</v>
      </c>
      <c r="G8049" s="20" t="str">
        <f>IFERROR(__xludf.DUMMYFUNCTION("""COMPUTED_VALUE"""),"Uncle Sams Cider (04/04/2023)")</f>
        <v>Uncle Sams Cider (04/04/2023)</v>
      </c>
      <c r="H8049" s="19"/>
    </row>
    <row r="8050">
      <c r="A8050" s="9"/>
      <c r="B8050" s="15"/>
      <c r="C8050" s="9">
        <f>IFERROR(__xludf.DUMMYFUNCTION("""COMPUTED_VALUE"""),45059.802684699)</f>
        <v>45059.80268</v>
      </c>
      <c r="D8050" s="15">
        <f>IFERROR(__xludf.DUMMYFUNCTION("""COMPUTED_VALUE"""),1.017)</f>
        <v>1.017</v>
      </c>
      <c r="E8050" s="16">
        <f>IFERROR(__xludf.DUMMYFUNCTION("""COMPUTED_VALUE"""),65.0)</f>
        <v>65</v>
      </c>
      <c r="F8050" s="19" t="str">
        <f>IFERROR(__xludf.DUMMYFUNCTION("""COMPUTED_VALUE"""),"BLACK")</f>
        <v>BLACK</v>
      </c>
      <c r="G8050" s="20" t="str">
        <f>IFERROR(__xludf.DUMMYFUNCTION("""COMPUTED_VALUE"""),"Uncle Sams Cider (04/04/2023)")</f>
        <v>Uncle Sams Cider (04/04/2023)</v>
      </c>
      <c r="H8050" s="19"/>
    </row>
    <row r="8051">
      <c r="A8051" s="9"/>
      <c r="B8051" s="15"/>
      <c r="C8051" s="9">
        <f>IFERROR(__xludf.DUMMYFUNCTION("""COMPUTED_VALUE"""),45059.7922637152)</f>
        <v>45059.79226</v>
      </c>
      <c r="D8051" s="15">
        <f>IFERROR(__xludf.DUMMYFUNCTION("""COMPUTED_VALUE"""),1.016)</f>
        <v>1.016</v>
      </c>
      <c r="E8051" s="16">
        <f>IFERROR(__xludf.DUMMYFUNCTION("""COMPUTED_VALUE"""),65.0)</f>
        <v>65</v>
      </c>
      <c r="F8051" s="19" t="str">
        <f>IFERROR(__xludf.DUMMYFUNCTION("""COMPUTED_VALUE"""),"BLACK")</f>
        <v>BLACK</v>
      </c>
      <c r="G8051" s="20" t="str">
        <f>IFERROR(__xludf.DUMMYFUNCTION("""COMPUTED_VALUE"""),"Uncle Sams Cider (04/04/2023)")</f>
        <v>Uncle Sams Cider (04/04/2023)</v>
      </c>
      <c r="H8051" s="19"/>
    </row>
    <row r="8052">
      <c r="A8052" s="9"/>
      <c r="B8052" s="15"/>
      <c r="C8052" s="9">
        <f>IFERROR(__xludf.DUMMYFUNCTION("""COMPUTED_VALUE"""),45059.7818436226)</f>
        <v>45059.78184</v>
      </c>
      <c r="D8052" s="15">
        <f>IFERROR(__xludf.DUMMYFUNCTION("""COMPUTED_VALUE"""),1.016)</f>
        <v>1.016</v>
      </c>
      <c r="E8052" s="16">
        <f>IFERROR(__xludf.DUMMYFUNCTION("""COMPUTED_VALUE"""),65.0)</f>
        <v>65</v>
      </c>
      <c r="F8052" s="19" t="str">
        <f>IFERROR(__xludf.DUMMYFUNCTION("""COMPUTED_VALUE"""),"BLACK")</f>
        <v>BLACK</v>
      </c>
      <c r="G8052" s="20" t="str">
        <f>IFERROR(__xludf.DUMMYFUNCTION("""COMPUTED_VALUE"""),"Uncle Sams Cider (04/04/2023)")</f>
        <v>Uncle Sams Cider (04/04/2023)</v>
      </c>
      <c r="H8052" s="19"/>
    </row>
    <row r="8053">
      <c r="A8053" s="9"/>
      <c r="B8053" s="15"/>
      <c r="C8053" s="9">
        <f>IFERROR(__xludf.DUMMYFUNCTION("""COMPUTED_VALUE"""),45059.7714111226)</f>
        <v>45059.77141</v>
      </c>
      <c r="D8053" s="15">
        <f>IFERROR(__xludf.DUMMYFUNCTION("""COMPUTED_VALUE"""),1.016)</f>
        <v>1.016</v>
      </c>
      <c r="E8053" s="16">
        <f>IFERROR(__xludf.DUMMYFUNCTION("""COMPUTED_VALUE"""),65.0)</f>
        <v>65</v>
      </c>
      <c r="F8053" s="19" t="str">
        <f>IFERROR(__xludf.DUMMYFUNCTION("""COMPUTED_VALUE"""),"BLACK")</f>
        <v>BLACK</v>
      </c>
      <c r="G8053" s="20" t="str">
        <f>IFERROR(__xludf.DUMMYFUNCTION("""COMPUTED_VALUE"""),"Uncle Sams Cider (04/04/2023)")</f>
        <v>Uncle Sams Cider (04/04/2023)</v>
      </c>
      <c r="H8053" s="19"/>
    </row>
    <row r="8054">
      <c r="A8054" s="9"/>
      <c r="B8054" s="15"/>
      <c r="C8054" s="9">
        <f>IFERROR(__xludf.DUMMYFUNCTION("""COMPUTED_VALUE"""),45059.7609797569)</f>
        <v>45059.76098</v>
      </c>
      <c r="D8054" s="15">
        <f>IFERROR(__xludf.DUMMYFUNCTION("""COMPUTED_VALUE"""),1.016)</f>
        <v>1.016</v>
      </c>
      <c r="E8054" s="16">
        <f>IFERROR(__xludf.DUMMYFUNCTION("""COMPUTED_VALUE"""),65.0)</f>
        <v>65</v>
      </c>
      <c r="F8054" s="19" t="str">
        <f>IFERROR(__xludf.DUMMYFUNCTION("""COMPUTED_VALUE"""),"BLACK")</f>
        <v>BLACK</v>
      </c>
      <c r="G8054" s="20" t="str">
        <f>IFERROR(__xludf.DUMMYFUNCTION("""COMPUTED_VALUE"""),"Uncle Sams Cider (04/04/2023)")</f>
        <v>Uncle Sams Cider (04/04/2023)</v>
      </c>
      <c r="H8054" s="19"/>
    </row>
    <row r="8055">
      <c r="A8055" s="9"/>
      <c r="B8055" s="15"/>
      <c r="C8055" s="9">
        <f>IFERROR(__xludf.DUMMYFUNCTION("""COMPUTED_VALUE"""),45059.7505596064)</f>
        <v>45059.75056</v>
      </c>
      <c r="D8055" s="15">
        <f>IFERROR(__xludf.DUMMYFUNCTION("""COMPUTED_VALUE"""),1.016)</f>
        <v>1.016</v>
      </c>
      <c r="E8055" s="16">
        <f>IFERROR(__xludf.DUMMYFUNCTION("""COMPUTED_VALUE"""),65.0)</f>
        <v>65</v>
      </c>
      <c r="F8055" s="19" t="str">
        <f>IFERROR(__xludf.DUMMYFUNCTION("""COMPUTED_VALUE"""),"BLACK")</f>
        <v>BLACK</v>
      </c>
      <c r="G8055" s="20" t="str">
        <f>IFERROR(__xludf.DUMMYFUNCTION("""COMPUTED_VALUE"""),"Uncle Sams Cider (04/04/2023)")</f>
        <v>Uncle Sams Cider (04/04/2023)</v>
      </c>
      <c r="H8055" s="19"/>
    </row>
    <row r="8056">
      <c r="A8056" s="9"/>
      <c r="B8056" s="15"/>
      <c r="C8056" s="9">
        <f>IFERROR(__xludf.DUMMYFUNCTION("""COMPUTED_VALUE"""),45059.7401380324)</f>
        <v>45059.74014</v>
      </c>
      <c r="D8056" s="15">
        <f>IFERROR(__xludf.DUMMYFUNCTION("""COMPUTED_VALUE"""),1.016)</f>
        <v>1.016</v>
      </c>
      <c r="E8056" s="16">
        <f>IFERROR(__xludf.DUMMYFUNCTION("""COMPUTED_VALUE"""),65.0)</f>
        <v>65</v>
      </c>
      <c r="F8056" s="19" t="str">
        <f>IFERROR(__xludf.DUMMYFUNCTION("""COMPUTED_VALUE"""),"BLACK")</f>
        <v>BLACK</v>
      </c>
      <c r="G8056" s="20" t="str">
        <f>IFERROR(__xludf.DUMMYFUNCTION("""COMPUTED_VALUE"""),"Uncle Sams Cider (04/04/2023)")</f>
        <v>Uncle Sams Cider (04/04/2023)</v>
      </c>
      <c r="H8056" s="19"/>
    </row>
    <row r="8057">
      <c r="A8057" s="9"/>
      <c r="B8057" s="15"/>
      <c r="C8057" s="9">
        <f>IFERROR(__xludf.DUMMYFUNCTION("""COMPUTED_VALUE"""),45059.7297198263)</f>
        <v>45059.72972</v>
      </c>
      <c r="D8057" s="15">
        <f>IFERROR(__xludf.DUMMYFUNCTION("""COMPUTED_VALUE"""),1.016)</f>
        <v>1.016</v>
      </c>
      <c r="E8057" s="16">
        <f>IFERROR(__xludf.DUMMYFUNCTION("""COMPUTED_VALUE"""),65.0)</f>
        <v>65</v>
      </c>
      <c r="F8057" s="19" t="str">
        <f>IFERROR(__xludf.DUMMYFUNCTION("""COMPUTED_VALUE"""),"BLACK")</f>
        <v>BLACK</v>
      </c>
      <c r="G8057" s="20" t="str">
        <f>IFERROR(__xludf.DUMMYFUNCTION("""COMPUTED_VALUE"""),"Uncle Sams Cider (04/04/2023)")</f>
        <v>Uncle Sams Cider (04/04/2023)</v>
      </c>
      <c r="H8057" s="19"/>
    </row>
    <row r="8058">
      <c r="A8058" s="9"/>
      <c r="B8058" s="15"/>
      <c r="C8058" s="9">
        <f>IFERROR(__xludf.DUMMYFUNCTION("""COMPUTED_VALUE"""),45059.7192891203)</f>
        <v>45059.71929</v>
      </c>
      <c r="D8058" s="15">
        <f>IFERROR(__xludf.DUMMYFUNCTION("""COMPUTED_VALUE"""),1.017)</f>
        <v>1.017</v>
      </c>
      <c r="E8058" s="16">
        <f>IFERROR(__xludf.DUMMYFUNCTION("""COMPUTED_VALUE"""),65.0)</f>
        <v>65</v>
      </c>
      <c r="F8058" s="19" t="str">
        <f>IFERROR(__xludf.DUMMYFUNCTION("""COMPUTED_VALUE"""),"BLACK")</f>
        <v>BLACK</v>
      </c>
      <c r="G8058" s="20" t="str">
        <f>IFERROR(__xludf.DUMMYFUNCTION("""COMPUTED_VALUE"""),"Uncle Sams Cider (04/04/2023)")</f>
        <v>Uncle Sams Cider (04/04/2023)</v>
      </c>
      <c r="H8058" s="19"/>
    </row>
    <row r="8059">
      <c r="A8059" s="9"/>
      <c r="B8059" s="15"/>
      <c r="C8059" s="9">
        <f>IFERROR(__xludf.DUMMYFUNCTION("""COMPUTED_VALUE"""),45059.7088569444)</f>
        <v>45059.70886</v>
      </c>
      <c r="D8059" s="15">
        <f>IFERROR(__xludf.DUMMYFUNCTION("""COMPUTED_VALUE"""),1.016)</f>
        <v>1.016</v>
      </c>
      <c r="E8059" s="16">
        <f>IFERROR(__xludf.DUMMYFUNCTION("""COMPUTED_VALUE"""),65.0)</f>
        <v>65</v>
      </c>
      <c r="F8059" s="19" t="str">
        <f>IFERROR(__xludf.DUMMYFUNCTION("""COMPUTED_VALUE"""),"BLACK")</f>
        <v>BLACK</v>
      </c>
      <c r="G8059" s="20" t="str">
        <f>IFERROR(__xludf.DUMMYFUNCTION("""COMPUTED_VALUE"""),"Uncle Sams Cider (04/04/2023)")</f>
        <v>Uncle Sams Cider (04/04/2023)</v>
      </c>
      <c r="H8059" s="19"/>
    </row>
    <row r="8060">
      <c r="A8060" s="9"/>
      <c r="B8060" s="15"/>
      <c r="C8060" s="9">
        <f>IFERROR(__xludf.DUMMYFUNCTION("""COMPUTED_VALUE"""),45059.6984000231)</f>
        <v>45059.6984</v>
      </c>
      <c r="D8060" s="15">
        <f>IFERROR(__xludf.DUMMYFUNCTION("""COMPUTED_VALUE"""),1.016)</f>
        <v>1.016</v>
      </c>
      <c r="E8060" s="16">
        <f>IFERROR(__xludf.DUMMYFUNCTION("""COMPUTED_VALUE"""),65.0)</f>
        <v>65</v>
      </c>
      <c r="F8060" s="19" t="str">
        <f>IFERROR(__xludf.DUMMYFUNCTION("""COMPUTED_VALUE"""),"BLACK")</f>
        <v>BLACK</v>
      </c>
      <c r="G8060" s="20" t="str">
        <f>IFERROR(__xludf.DUMMYFUNCTION("""COMPUTED_VALUE"""),"Uncle Sams Cider (04/04/2023)")</f>
        <v>Uncle Sams Cider (04/04/2023)</v>
      </c>
      <c r="H8060" s="19"/>
    </row>
    <row r="8061">
      <c r="A8061" s="9"/>
      <c r="B8061" s="15"/>
      <c r="C8061" s="9">
        <f>IFERROR(__xludf.DUMMYFUNCTION("""COMPUTED_VALUE"""),45059.6879790625)</f>
        <v>45059.68798</v>
      </c>
      <c r="D8061" s="15">
        <f>IFERROR(__xludf.DUMMYFUNCTION("""COMPUTED_VALUE"""),1.016)</f>
        <v>1.016</v>
      </c>
      <c r="E8061" s="16">
        <f>IFERROR(__xludf.DUMMYFUNCTION("""COMPUTED_VALUE"""),65.0)</f>
        <v>65</v>
      </c>
      <c r="F8061" s="19" t="str">
        <f>IFERROR(__xludf.DUMMYFUNCTION("""COMPUTED_VALUE"""),"BLACK")</f>
        <v>BLACK</v>
      </c>
      <c r="G8061" s="20" t="str">
        <f>IFERROR(__xludf.DUMMYFUNCTION("""COMPUTED_VALUE"""),"Uncle Sams Cider (04/04/2023)")</f>
        <v>Uncle Sams Cider (04/04/2023)</v>
      </c>
      <c r="H8061" s="19"/>
    </row>
    <row r="8062">
      <c r="A8062" s="9"/>
      <c r="B8062" s="15"/>
      <c r="C8062" s="9">
        <f>IFERROR(__xludf.DUMMYFUNCTION("""COMPUTED_VALUE"""),45059.67754625)</f>
        <v>45059.67755</v>
      </c>
      <c r="D8062" s="15">
        <f>IFERROR(__xludf.DUMMYFUNCTION("""COMPUTED_VALUE"""),1.016)</f>
        <v>1.016</v>
      </c>
      <c r="E8062" s="16">
        <f>IFERROR(__xludf.DUMMYFUNCTION("""COMPUTED_VALUE"""),65.0)</f>
        <v>65</v>
      </c>
      <c r="F8062" s="19" t="str">
        <f>IFERROR(__xludf.DUMMYFUNCTION("""COMPUTED_VALUE"""),"BLACK")</f>
        <v>BLACK</v>
      </c>
      <c r="G8062" s="20" t="str">
        <f>IFERROR(__xludf.DUMMYFUNCTION("""COMPUTED_VALUE"""),"Uncle Sams Cider (04/04/2023)")</f>
        <v>Uncle Sams Cider (04/04/2023)</v>
      </c>
      <c r="H8062" s="19"/>
    </row>
    <row r="8063">
      <c r="A8063" s="9"/>
      <c r="B8063" s="15"/>
      <c r="C8063" s="9">
        <f>IFERROR(__xludf.DUMMYFUNCTION("""COMPUTED_VALUE"""),45059.6671243981)</f>
        <v>45059.66712</v>
      </c>
      <c r="D8063" s="15">
        <f>IFERROR(__xludf.DUMMYFUNCTION("""COMPUTED_VALUE"""),1.017)</f>
        <v>1.017</v>
      </c>
      <c r="E8063" s="16">
        <f>IFERROR(__xludf.DUMMYFUNCTION("""COMPUTED_VALUE"""),65.0)</f>
        <v>65</v>
      </c>
      <c r="F8063" s="19" t="str">
        <f>IFERROR(__xludf.DUMMYFUNCTION("""COMPUTED_VALUE"""),"BLACK")</f>
        <v>BLACK</v>
      </c>
      <c r="G8063" s="20" t="str">
        <f>IFERROR(__xludf.DUMMYFUNCTION("""COMPUTED_VALUE"""),"Uncle Sams Cider (04/04/2023)")</f>
        <v>Uncle Sams Cider (04/04/2023)</v>
      </c>
      <c r="H8063" s="19"/>
    </row>
    <row r="8064">
      <c r="A8064" s="9"/>
      <c r="B8064" s="15"/>
      <c r="C8064" s="9">
        <f>IFERROR(__xludf.DUMMYFUNCTION("""COMPUTED_VALUE"""),45059.6566459143)</f>
        <v>45059.65665</v>
      </c>
      <c r="D8064" s="15">
        <f>IFERROR(__xludf.DUMMYFUNCTION("""COMPUTED_VALUE"""),1.017)</f>
        <v>1.017</v>
      </c>
      <c r="E8064" s="16">
        <f>IFERROR(__xludf.DUMMYFUNCTION("""COMPUTED_VALUE"""),65.0)</f>
        <v>65</v>
      </c>
      <c r="F8064" s="19" t="str">
        <f>IFERROR(__xludf.DUMMYFUNCTION("""COMPUTED_VALUE"""),"BLACK")</f>
        <v>BLACK</v>
      </c>
      <c r="G8064" s="20" t="str">
        <f>IFERROR(__xludf.DUMMYFUNCTION("""COMPUTED_VALUE"""),"Uncle Sams Cider (04/04/2023)")</f>
        <v>Uncle Sams Cider (04/04/2023)</v>
      </c>
      <c r="H8064" s="19"/>
    </row>
    <row r="8065">
      <c r="A8065" s="9"/>
      <c r="B8065" s="15"/>
      <c r="C8065" s="9">
        <f>IFERROR(__xludf.DUMMYFUNCTION("""COMPUTED_VALUE"""),45059.6462004398)</f>
        <v>45059.6462</v>
      </c>
      <c r="D8065" s="15">
        <f>IFERROR(__xludf.DUMMYFUNCTION("""COMPUTED_VALUE"""),1.016)</f>
        <v>1.016</v>
      </c>
      <c r="E8065" s="16">
        <f>IFERROR(__xludf.DUMMYFUNCTION("""COMPUTED_VALUE"""),65.0)</f>
        <v>65</v>
      </c>
      <c r="F8065" s="19" t="str">
        <f>IFERROR(__xludf.DUMMYFUNCTION("""COMPUTED_VALUE"""),"BLACK")</f>
        <v>BLACK</v>
      </c>
      <c r="G8065" s="20" t="str">
        <f>IFERROR(__xludf.DUMMYFUNCTION("""COMPUTED_VALUE"""),"Uncle Sams Cider (04/04/2023)")</f>
        <v>Uncle Sams Cider (04/04/2023)</v>
      </c>
      <c r="H8065" s="19"/>
    </row>
    <row r="8066">
      <c r="A8066" s="9"/>
      <c r="B8066" s="15"/>
      <c r="C8066" s="9">
        <f>IFERROR(__xludf.DUMMYFUNCTION("""COMPUTED_VALUE"""),45059.6357809259)</f>
        <v>45059.63578</v>
      </c>
      <c r="D8066" s="15">
        <f>IFERROR(__xludf.DUMMYFUNCTION("""COMPUTED_VALUE"""),1.016)</f>
        <v>1.016</v>
      </c>
      <c r="E8066" s="16">
        <f>IFERROR(__xludf.DUMMYFUNCTION("""COMPUTED_VALUE"""),65.0)</f>
        <v>65</v>
      </c>
      <c r="F8066" s="19" t="str">
        <f>IFERROR(__xludf.DUMMYFUNCTION("""COMPUTED_VALUE"""),"BLACK")</f>
        <v>BLACK</v>
      </c>
      <c r="G8066" s="20" t="str">
        <f>IFERROR(__xludf.DUMMYFUNCTION("""COMPUTED_VALUE"""),"Uncle Sams Cider (04/04/2023)")</f>
        <v>Uncle Sams Cider (04/04/2023)</v>
      </c>
      <c r="H8066" s="19"/>
    </row>
    <row r="8067">
      <c r="A8067" s="9"/>
      <c r="B8067" s="15"/>
      <c r="C8067" s="9">
        <f>IFERROR(__xludf.DUMMYFUNCTION("""COMPUTED_VALUE"""),45059.6253257523)</f>
        <v>45059.62533</v>
      </c>
      <c r="D8067" s="15">
        <f>IFERROR(__xludf.DUMMYFUNCTION("""COMPUTED_VALUE"""),1.016)</f>
        <v>1.016</v>
      </c>
      <c r="E8067" s="16">
        <f>IFERROR(__xludf.DUMMYFUNCTION("""COMPUTED_VALUE"""),65.0)</f>
        <v>65</v>
      </c>
      <c r="F8067" s="19" t="str">
        <f>IFERROR(__xludf.DUMMYFUNCTION("""COMPUTED_VALUE"""),"BLACK")</f>
        <v>BLACK</v>
      </c>
      <c r="G8067" s="20" t="str">
        <f>IFERROR(__xludf.DUMMYFUNCTION("""COMPUTED_VALUE"""),"Uncle Sams Cider (04/04/2023)")</f>
        <v>Uncle Sams Cider (04/04/2023)</v>
      </c>
      <c r="H8067" s="19"/>
    </row>
    <row r="8068">
      <c r="A8068" s="9"/>
      <c r="B8068" s="15"/>
      <c r="C8068" s="9">
        <f>IFERROR(__xludf.DUMMYFUNCTION("""COMPUTED_VALUE"""),45059.6148818634)</f>
        <v>45059.61488</v>
      </c>
      <c r="D8068" s="15">
        <f>IFERROR(__xludf.DUMMYFUNCTION("""COMPUTED_VALUE"""),1.016)</f>
        <v>1.016</v>
      </c>
      <c r="E8068" s="16">
        <f>IFERROR(__xludf.DUMMYFUNCTION("""COMPUTED_VALUE"""),65.0)</f>
        <v>65</v>
      </c>
      <c r="F8068" s="19" t="str">
        <f>IFERROR(__xludf.DUMMYFUNCTION("""COMPUTED_VALUE"""),"BLACK")</f>
        <v>BLACK</v>
      </c>
      <c r="G8068" s="20" t="str">
        <f>IFERROR(__xludf.DUMMYFUNCTION("""COMPUTED_VALUE"""),"Uncle Sams Cider (04/04/2023)")</f>
        <v>Uncle Sams Cider (04/04/2023)</v>
      </c>
      <c r="H8068" s="19"/>
    </row>
    <row r="8069">
      <c r="A8069" s="9"/>
      <c r="B8069" s="15"/>
      <c r="C8069" s="9">
        <f>IFERROR(__xludf.DUMMYFUNCTION("""COMPUTED_VALUE"""),45059.6044140625)</f>
        <v>45059.60441</v>
      </c>
      <c r="D8069" s="15">
        <f>IFERROR(__xludf.DUMMYFUNCTION("""COMPUTED_VALUE"""),1.017)</f>
        <v>1.017</v>
      </c>
      <c r="E8069" s="16">
        <f>IFERROR(__xludf.DUMMYFUNCTION("""COMPUTED_VALUE"""),65.0)</f>
        <v>65</v>
      </c>
      <c r="F8069" s="19" t="str">
        <f>IFERROR(__xludf.DUMMYFUNCTION("""COMPUTED_VALUE"""),"BLACK")</f>
        <v>BLACK</v>
      </c>
      <c r="G8069" s="20" t="str">
        <f>IFERROR(__xludf.DUMMYFUNCTION("""COMPUTED_VALUE"""),"Uncle Sams Cider (04/04/2023)")</f>
        <v>Uncle Sams Cider (04/04/2023)</v>
      </c>
      <c r="H8069" s="19"/>
    </row>
    <row r="8070">
      <c r="A8070" s="9"/>
      <c r="B8070" s="15"/>
      <c r="C8070" s="9">
        <f>IFERROR(__xludf.DUMMYFUNCTION("""COMPUTED_VALUE"""),45059.5939459143)</f>
        <v>45059.59395</v>
      </c>
      <c r="D8070" s="15">
        <f>IFERROR(__xludf.DUMMYFUNCTION("""COMPUTED_VALUE"""),1.016)</f>
        <v>1.016</v>
      </c>
      <c r="E8070" s="16">
        <f>IFERROR(__xludf.DUMMYFUNCTION("""COMPUTED_VALUE"""),65.0)</f>
        <v>65</v>
      </c>
      <c r="F8070" s="19" t="str">
        <f>IFERROR(__xludf.DUMMYFUNCTION("""COMPUTED_VALUE"""),"BLACK")</f>
        <v>BLACK</v>
      </c>
      <c r="G8070" s="20" t="str">
        <f>IFERROR(__xludf.DUMMYFUNCTION("""COMPUTED_VALUE"""),"Uncle Sams Cider (04/04/2023)")</f>
        <v>Uncle Sams Cider (04/04/2023)</v>
      </c>
      <c r="H8070" s="19"/>
    </row>
    <row r="8071">
      <c r="A8071" s="9"/>
      <c r="B8071" s="15"/>
      <c r="C8071" s="9">
        <f>IFERROR(__xludf.DUMMYFUNCTION("""COMPUTED_VALUE"""),45059.5835149421)</f>
        <v>45059.58351</v>
      </c>
      <c r="D8071" s="15">
        <f>IFERROR(__xludf.DUMMYFUNCTION("""COMPUTED_VALUE"""),1.016)</f>
        <v>1.016</v>
      </c>
      <c r="E8071" s="16">
        <f>IFERROR(__xludf.DUMMYFUNCTION("""COMPUTED_VALUE"""),65.0)</f>
        <v>65</v>
      </c>
      <c r="F8071" s="19" t="str">
        <f>IFERROR(__xludf.DUMMYFUNCTION("""COMPUTED_VALUE"""),"BLACK")</f>
        <v>BLACK</v>
      </c>
      <c r="G8071" s="20" t="str">
        <f>IFERROR(__xludf.DUMMYFUNCTION("""COMPUTED_VALUE"""),"Uncle Sams Cider (04/04/2023)")</f>
        <v>Uncle Sams Cider (04/04/2023)</v>
      </c>
      <c r="H8071" s="19"/>
    </row>
    <row r="8072">
      <c r="A8072" s="9"/>
      <c r="B8072" s="15"/>
      <c r="C8072" s="9">
        <f>IFERROR(__xludf.DUMMYFUNCTION("""COMPUTED_VALUE"""),45059.5730918402)</f>
        <v>45059.57309</v>
      </c>
      <c r="D8072" s="15">
        <f>IFERROR(__xludf.DUMMYFUNCTION("""COMPUTED_VALUE"""),1.017)</f>
        <v>1.017</v>
      </c>
      <c r="E8072" s="16">
        <f>IFERROR(__xludf.DUMMYFUNCTION("""COMPUTED_VALUE"""),65.0)</f>
        <v>65</v>
      </c>
      <c r="F8072" s="19" t="str">
        <f>IFERROR(__xludf.DUMMYFUNCTION("""COMPUTED_VALUE"""),"BLACK")</f>
        <v>BLACK</v>
      </c>
      <c r="G8072" s="20" t="str">
        <f>IFERROR(__xludf.DUMMYFUNCTION("""COMPUTED_VALUE"""),"Uncle Sams Cider (04/04/2023)")</f>
        <v>Uncle Sams Cider (04/04/2023)</v>
      </c>
      <c r="H8072" s="19"/>
    </row>
    <row r="8073">
      <c r="A8073" s="9"/>
      <c r="B8073" s="15"/>
      <c r="C8073" s="9">
        <f>IFERROR(__xludf.DUMMYFUNCTION("""COMPUTED_VALUE"""),45059.562658993)</f>
        <v>45059.56266</v>
      </c>
      <c r="D8073" s="15">
        <f>IFERROR(__xludf.DUMMYFUNCTION("""COMPUTED_VALUE"""),1.017)</f>
        <v>1.017</v>
      </c>
      <c r="E8073" s="16">
        <f>IFERROR(__xludf.DUMMYFUNCTION("""COMPUTED_VALUE"""),65.0)</f>
        <v>65</v>
      </c>
      <c r="F8073" s="19" t="str">
        <f>IFERROR(__xludf.DUMMYFUNCTION("""COMPUTED_VALUE"""),"BLACK")</f>
        <v>BLACK</v>
      </c>
      <c r="G8073" s="20" t="str">
        <f>IFERROR(__xludf.DUMMYFUNCTION("""COMPUTED_VALUE"""),"Uncle Sams Cider (04/04/2023)")</f>
        <v>Uncle Sams Cider (04/04/2023)</v>
      </c>
      <c r="H8073" s="19"/>
    </row>
    <row r="8074">
      <c r="A8074" s="9"/>
      <c r="B8074" s="15"/>
      <c r="C8074" s="9">
        <f>IFERROR(__xludf.DUMMYFUNCTION("""COMPUTED_VALUE"""),45059.552237118)</f>
        <v>45059.55224</v>
      </c>
      <c r="D8074" s="15">
        <f>IFERROR(__xludf.DUMMYFUNCTION("""COMPUTED_VALUE"""),1.017)</f>
        <v>1.017</v>
      </c>
      <c r="E8074" s="16">
        <f>IFERROR(__xludf.DUMMYFUNCTION("""COMPUTED_VALUE"""),65.0)</f>
        <v>65</v>
      </c>
      <c r="F8074" s="19" t="str">
        <f>IFERROR(__xludf.DUMMYFUNCTION("""COMPUTED_VALUE"""),"BLACK")</f>
        <v>BLACK</v>
      </c>
      <c r="G8074" s="20" t="str">
        <f>IFERROR(__xludf.DUMMYFUNCTION("""COMPUTED_VALUE"""),"Uncle Sams Cider (04/04/2023)")</f>
        <v>Uncle Sams Cider (04/04/2023)</v>
      </c>
      <c r="H8074" s="19"/>
    </row>
    <row r="8075">
      <c r="A8075" s="9"/>
      <c r="B8075" s="15"/>
      <c r="C8075" s="9">
        <f>IFERROR(__xludf.DUMMYFUNCTION("""COMPUTED_VALUE"""),45059.5418040162)</f>
        <v>45059.5418</v>
      </c>
      <c r="D8075" s="15">
        <f>IFERROR(__xludf.DUMMYFUNCTION("""COMPUTED_VALUE"""),1.016)</f>
        <v>1.016</v>
      </c>
      <c r="E8075" s="16">
        <f>IFERROR(__xludf.DUMMYFUNCTION("""COMPUTED_VALUE"""),65.0)</f>
        <v>65</v>
      </c>
      <c r="F8075" s="19" t="str">
        <f>IFERROR(__xludf.DUMMYFUNCTION("""COMPUTED_VALUE"""),"BLACK")</f>
        <v>BLACK</v>
      </c>
      <c r="G8075" s="20" t="str">
        <f>IFERROR(__xludf.DUMMYFUNCTION("""COMPUTED_VALUE"""),"Uncle Sams Cider (04/04/2023)")</f>
        <v>Uncle Sams Cider (04/04/2023)</v>
      </c>
      <c r="H8075" s="19"/>
    </row>
    <row r="8076">
      <c r="A8076" s="9"/>
      <c r="B8076" s="15"/>
      <c r="C8076" s="9">
        <f>IFERROR(__xludf.DUMMYFUNCTION("""COMPUTED_VALUE"""),45059.5313829861)</f>
        <v>45059.53138</v>
      </c>
      <c r="D8076" s="15">
        <f>IFERROR(__xludf.DUMMYFUNCTION("""COMPUTED_VALUE"""),1.016)</f>
        <v>1.016</v>
      </c>
      <c r="E8076" s="16">
        <f>IFERROR(__xludf.DUMMYFUNCTION("""COMPUTED_VALUE"""),65.0)</f>
        <v>65</v>
      </c>
      <c r="F8076" s="19" t="str">
        <f>IFERROR(__xludf.DUMMYFUNCTION("""COMPUTED_VALUE"""),"BLACK")</f>
        <v>BLACK</v>
      </c>
      <c r="G8076" s="20" t="str">
        <f>IFERROR(__xludf.DUMMYFUNCTION("""COMPUTED_VALUE"""),"Uncle Sams Cider (04/04/2023)")</f>
        <v>Uncle Sams Cider (04/04/2023)</v>
      </c>
      <c r="H8076" s="19"/>
    </row>
    <row r="8077">
      <c r="A8077" s="9"/>
      <c r="B8077" s="15"/>
      <c r="C8077" s="9">
        <f>IFERROR(__xludf.DUMMYFUNCTION("""COMPUTED_VALUE"""),45059.5209622338)</f>
        <v>45059.52096</v>
      </c>
      <c r="D8077" s="15">
        <f>IFERROR(__xludf.DUMMYFUNCTION("""COMPUTED_VALUE"""),1.017)</f>
        <v>1.017</v>
      </c>
      <c r="E8077" s="16">
        <f>IFERROR(__xludf.DUMMYFUNCTION("""COMPUTED_VALUE"""),65.0)</f>
        <v>65</v>
      </c>
      <c r="F8077" s="19" t="str">
        <f>IFERROR(__xludf.DUMMYFUNCTION("""COMPUTED_VALUE"""),"BLACK")</f>
        <v>BLACK</v>
      </c>
      <c r="G8077" s="20" t="str">
        <f>IFERROR(__xludf.DUMMYFUNCTION("""COMPUTED_VALUE"""),"Uncle Sams Cider (04/04/2023)")</f>
        <v>Uncle Sams Cider (04/04/2023)</v>
      </c>
      <c r="H8077" s="19"/>
    </row>
    <row r="8078">
      <c r="A8078" s="9"/>
      <c r="B8078" s="15"/>
      <c r="C8078" s="9">
        <f>IFERROR(__xludf.DUMMYFUNCTION("""COMPUTED_VALUE"""),45059.5105066898)</f>
        <v>45059.51051</v>
      </c>
      <c r="D8078" s="15">
        <f>IFERROR(__xludf.DUMMYFUNCTION("""COMPUTED_VALUE"""),1.016)</f>
        <v>1.016</v>
      </c>
      <c r="E8078" s="16">
        <f>IFERROR(__xludf.DUMMYFUNCTION("""COMPUTED_VALUE"""),65.0)</f>
        <v>65</v>
      </c>
      <c r="F8078" s="19" t="str">
        <f>IFERROR(__xludf.DUMMYFUNCTION("""COMPUTED_VALUE"""),"BLACK")</f>
        <v>BLACK</v>
      </c>
      <c r="G8078" s="20" t="str">
        <f>IFERROR(__xludf.DUMMYFUNCTION("""COMPUTED_VALUE"""),"Uncle Sams Cider (04/04/2023)")</f>
        <v>Uncle Sams Cider (04/04/2023)</v>
      </c>
      <c r="H8078" s="19"/>
    </row>
    <row r="8079">
      <c r="A8079" s="9"/>
      <c r="B8079" s="15"/>
      <c r="C8079" s="9">
        <f>IFERROR(__xludf.DUMMYFUNCTION("""COMPUTED_VALUE"""),45059.5000279861)</f>
        <v>45059.50003</v>
      </c>
      <c r="D8079" s="15">
        <f>IFERROR(__xludf.DUMMYFUNCTION("""COMPUTED_VALUE"""),1.017)</f>
        <v>1.017</v>
      </c>
      <c r="E8079" s="16">
        <f>IFERROR(__xludf.DUMMYFUNCTION("""COMPUTED_VALUE"""),65.0)</f>
        <v>65</v>
      </c>
      <c r="F8079" s="19" t="str">
        <f>IFERROR(__xludf.DUMMYFUNCTION("""COMPUTED_VALUE"""),"BLACK")</f>
        <v>BLACK</v>
      </c>
      <c r="G8079" s="20" t="str">
        <f>IFERROR(__xludf.DUMMYFUNCTION("""COMPUTED_VALUE"""),"Uncle Sams Cider (04/04/2023)")</f>
        <v>Uncle Sams Cider (04/04/2023)</v>
      </c>
      <c r="H8079" s="19"/>
    </row>
    <row r="8080">
      <c r="A8080" s="9"/>
      <c r="B8080" s="15"/>
      <c r="C8080" s="9">
        <f>IFERROR(__xludf.DUMMYFUNCTION("""COMPUTED_VALUE"""),45059.4895842939)</f>
        <v>45059.48958</v>
      </c>
      <c r="D8080" s="15">
        <f>IFERROR(__xludf.DUMMYFUNCTION("""COMPUTED_VALUE"""),1.017)</f>
        <v>1.017</v>
      </c>
      <c r="E8080" s="16">
        <f>IFERROR(__xludf.DUMMYFUNCTION("""COMPUTED_VALUE"""),65.0)</f>
        <v>65</v>
      </c>
      <c r="F8080" s="19" t="str">
        <f>IFERROR(__xludf.DUMMYFUNCTION("""COMPUTED_VALUE"""),"BLACK")</f>
        <v>BLACK</v>
      </c>
      <c r="G8080" s="20" t="str">
        <f>IFERROR(__xludf.DUMMYFUNCTION("""COMPUTED_VALUE"""),"Uncle Sams Cider (04/04/2023)")</f>
        <v>Uncle Sams Cider (04/04/2023)</v>
      </c>
      <c r="H8080" s="19"/>
    </row>
    <row r="8081">
      <c r="A8081" s="9"/>
      <c r="B8081" s="15"/>
      <c r="C8081" s="9">
        <f>IFERROR(__xludf.DUMMYFUNCTION("""COMPUTED_VALUE"""),45059.4791167129)</f>
        <v>45059.47912</v>
      </c>
      <c r="D8081" s="15">
        <f>IFERROR(__xludf.DUMMYFUNCTION("""COMPUTED_VALUE"""),1.016)</f>
        <v>1.016</v>
      </c>
      <c r="E8081" s="16">
        <f>IFERROR(__xludf.DUMMYFUNCTION("""COMPUTED_VALUE"""),65.0)</f>
        <v>65</v>
      </c>
      <c r="F8081" s="19" t="str">
        <f>IFERROR(__xludf.DUMMYFUNCTION("""COMPUTED_VALUE"""),"BLACK")</f>
        <v>BLACK</v>
      </c>
      <c r="G8081" s="20" t="str">
        <f>IFERROR(__xludf.DUMMYFUNCTION("""COMPUTED_VALUE"""),"Uncle Sams Cider (04/04/2023)")</f>
        <v>Uncle Sams Cider (04/04/2023)</v>
      </c>
      <c r="H8081" s="19"/>
    </row>
    <row r="8082">
      <c r="A8082" s="9"/>
      <c r="B8082" s="15"/>
      <c r="C8082" s="9">
        <f>IFERROR(__xludf.DUMMYFUNCTION("""COMPUTED_VALUE"""),45059.4686839236)</f>
        <v>45059.46868</v>
      </c>
      <c r="D8082" s="15">
        <f>IFERROR(__xludf.DUMMYFUNCTION("""COMPUTED_VALUE"""),1.016)</f>
        <v>1.016</v>
      </c>
      <c r="E8082" s="16">
        <f>IFERROR(__xludf.DUMMYFUNCTION("""COMPUTED_VALUE"""),65.0)</f>
        <v>65</v>
      </c>
      <c r="F8082" s="19" t="str">
        <f>IFERROR(__xludf.DUMMYFUNCTION("""COMPUTED_VALUE"""),"BLACK")</f>
        <v>BLACK</v>
      </c>
      <c r="G8082" s="20" t="str">
        <f>IFERROR(__xludf.DUMMYFUNCTION("""COMPUTED_VALUE"""),"Uncle Sams Cider (04/04/2023)")</f>
        <v>Uncle Sams Cider (04/04/2023)</v>
      </c>
      <c r="H8082" s="19"/>
    </row>
    <row r="8083">
      <c r="A8083" s="9"/>
      <c r="B8083" s="15"/>
      <c r="C8083" s="9">
        <f>IFERROR(__xludf.DUMMYFUNCTION("""COMPUTED_VALUE"""),45059.4582642708)</f>
        <v>45059.45826</v>
      </c>
      <c r="D8083" s="15">
        <f>IFERROR(__xludf.DUMMYFUNCTION("""COMPUTED_VALUE"""),1.016)</f>
        <v>1.016</v>
      </c>
      <c r="E8083" s="16">
        <f>IFERROR(__xludf.DUMMYFUNCTION("""COMPUTED_VALUE"""),65.0)</f>
        <v>65</v>
      </c>
      <c r="F8083" s="19" t="str">
        <f>IFERROR(__xludf.DUMMYFUNCTION("""COMPUTED_VALUE"""),"BLACK")</f>
        <v>BLACK</v>
      </c>
      <c r="G8083" s="20" t="str">
        <f>IFERROR(__xludf.DUMMYFUNCTION("""COMPUTED_VALUE"""),"Uncle Sams Cider (04/04/2023)")</f>
        <v>Uncle Sams Cider (04/04/2023)</v>
      </c>
      <c r="H8083" s="19"/>
    </row>
    <row r="8084">
      <c r="A8084" s="9"/>
      <c r="B8084" s="15"/>
      <c r="C8084" s="9">
        <f>IFERROR(__xludf.DUMMYFUNCTION("""COMPUTED_VALUE"""),45059.4478439583)</f>
        <v>45059.44784</v>
      </c>
      <c r="D8084" s="15">
        <f>IFERROR(__xludf.DUMMYFUNCTION("""COMPUTED_VALUE"""),1.017)</f>
        <v>1.017</v>
      </c>
      <c r="E8084" s="16">
        <f>IFERROR(__xludf.DUMMYFUNCTION("""COMPUTED_VALUE"""),65.0)</f>
        <v>65</v>
      </c>
      <c r="F8084" s="19" t="str">
        <f>IFERROR(__xludf.DUMMYFUNCTION("""COMPUTED_VALUE"""),"BLACK")</f>
        <v>BLACK</v>
      </c>
      <c r="G8084" s="20" t="str">
        <f>IFERROR(__xludf.DUMMYFUNCTION("""COMPUTED_VALUE"""),"Uncle Sams Cider (04/04/2023)")</f>
        <v>Uncle Sams Cider (04/04/2023)</v>
      </c>
      <c r="H8084" s="19"/>
    </row>
    <row r="8085">
      <c r="A8085" s="9"/>
      <c r="B8085" s="15"/>
      <c r="C8085" s="9">
        <f>IFERROR(__xludf.DUMMYFUNCTION("""COMPUTED_VALUE"""),45059.4374222453)</f>
        <v>45059.43742</v>
      </c>
      <c r="D8085" s="15">
        <f>IFERROR(__xludf.DUMMYFUNCTION("""COMPUTED_VALUE"""),1.016)</f>
        <v>1.016</v>
      </c>
      <c r="E8085" s="16">
        <f>IFERROR(__xludf.DUMMYFUNCTION("""COMPUTED_VALUE"""),65.0)</f>
        <v>65</v>
      </c>
      <c r="F8085" s="19" t="str">
        <f>IFERROR(__xludf.DUMMYFUNCTION("""COMPUTED_VALUE"""),"BLACK")</f>
        <v>BLACK</v>
      </c>
      <c r="G8085" s="20" t="str">
        <f>IFERROR(__xludf.DUMMYFUNCTION("""COMPUTED_VALUE"""),"Uncle Sams Cider (04/04/2023)")</f>
        <v>Uncle Sams Cider (04/04/2023)</v>
      </c>
      <c r="H8085" s="19"/>
    </row>
    <row r="8086">
      <c r="A8086" s="9"/>
      <c r="B8086" s="15"/>
      <c r="C8086" s="9">
        <f>IFERROR(__xludf.DUMMYFUNCTION("""COMPUTED_VALUE"""),45059.4269886111)</f>
        <v>45059.42699</v>
      </c>
      <c r="D8086" s="15">
        <f>IFERROR(__xludf.DUMMYFUNCTION("""COMPUTED_VALUE"""),1.016)</f>
        <v>1.016</v>
      </c>
      <c r="E8086" s="16">
        <f>IFERROR(__xludf.DUMMYFUNCTION("""COMPUTED_VALUE"""),65.0)</f>
        <v>65</v>
      </c>
      <c r="F8086" s="19" t="str">
        <f>IFERROR(__xludf.DUMMYFUNCTION("""COMPUTED_VALUE"""),"BLACK")</f>
        <v>BLACK</v>
      </c>
      <c r="G8086" s="20" t="str">
        <f>IFERROR(__xludf.DUMMYFUNCTION("""COMPUTED_VALUE"""),"Uncle Sams Cider (04/04/2023)")</f>
        <v>Uncle Sams Cider (04/04/2023)</v>
      </c>
      <c r="H8086" s="19"/>
    </row>
    <row r="8087">
      <c r="A8087" s="9"/>
      <c r="B8087" s="15"/>
      <c r="C8087" s="9">
        <f>IFERROR(__xludf.DUMMYFUNCTION("""COMPUTED_VALUE"""),45059.4165681018)</f>
        <v>45059.41657</v>
      </c>
      <c r="D8087" s="15">
        <f>IFERROR(__xludf.DUMMYFUNCTION("""COMPUTED_VALUE"""),1.016)</f>
        <v>1.016</v>
      </c>
      <c r="E8087" s="16">
        <f>IFERROR(__xludf.DUMMYFUNCTION("""COMPUTED_VALUE"""),65.0)</f>
        <v>65</v>
      </c>
      <c r="F8087" s="19" t="str">
        <f>IFERROR(__xludf.DUMMYFUNCTION("""COMPUTED_VALUE"""),"BLACK")</f>
        <v>BLACK</v>
      </c>
      <c r="G8087" s="20" t="str">
        <f>IFERROR(__xludf.DUMMYFUNCTION("""COMPUTED_VALUE"""),"Uncle Sams Cider (04/04/2023)")</f>
        <v>Uncle Sams Cider (04/04/2023)</v>
      </c>
      <c r="H8087" s="19"/>
    </row>
    <row r="8088">
      <c r="A8088" s="9"/>
      <c r="B8088" s="15"/>
      <c r="C8088" s="9">
        <f>IFERROR(__xludf.DUMMYFUNCTION("""COMPUTED_VALUE"""),45059.4061360648)</f>
        <v>45059.40614</v>
      </c>
      <c r="D8088" s="15">
        <f>IFERROR(__xludf.DUMMYFUNCTION("""COMPUTED_VALUE"""),1.016)</f>
        <v>1.016</v>
      </c>
      <c r="E8088" s="16">
        <f>IFERROR(__xludf.DUMMYFUNCTION("""COMPUTED_VALUE"""),65.0)</f>
        <v>65</v>
      </c>
      <c r="F8088" s="19" t="str">
        <f>IFERROR(__xludf.DUMMYFUNCTION("""COMPUTED_VALUE"""),"BLACK")</f>
        <v>BLACK</v>
      </c>
      <c r="G8088" s="20" t="str">
        <f>IFERROR(__xludf.DUMMYFUNCTION("""COMPUTED_VALUE"""),"Uncle Sams Cider (04/04/2023)")</f>
        <v>Uncle Sams Cider (04/04/2023)</v>
      </c>
      <c r="H8088" s="19"/>
    </row>
    <row r="8089">
      <c r="A8089" s="9"/>
      <c r="B8089" s="15"/>
      <c r="C8089" s="9">
        <f>IFERROR(__xludf.DUMMYFUNCTION("""COMPUTED_VALUE"""),45059.3956685648)</f>
        <v>45059.39567</v>
      </c>
      <c r="D8089" s="15">
        <f>IFERROR(__xludf.DUMMYFUNCTION("""COMPUTED_VALUE"""),1.016)</f>
        <v>1.016</v>
      </c>
      <c r="E8089" s="16">
        <f>IFERROR(__xludf.DUMMYFUNCTION("""COMPUTED_VALUE"""),65.0)</f>
        <v>65</v>
      </c>
      <c r="F8089" s="19" t="str">
        <f>IFERROR(__xludf.DUMMYFUNCTION("""COMPUTED_VALUE"""),"BLACK")</f>
        <v>BLACK</v>
      </c>
      <c r="G8089" s="20" t="str">
        <f>IFERROR(__xludf.DUMMYFUNCTION("""COMPUTED_VALUE"""),"Uncle Sams Cider (04/04/2023)")</f>
        <v>Uncle Sams Cider (04/04/2023)</v>
      </c>
      <c r="H8089" s="19"/>
    </row>
    <row r="8090">
      <c r="A8090" s="9"/>
      <c r="B8090" s="15"/>
      <c r="C8090" s="9">
        <f>IFERROR(__xludf.DUMMYFUNCTION("""COMPUTED_VALUE"""),45059.3851194213)</f>
        <v>45059.38512</v>
      </c>
      <c r="D8090" s="15">
        <f>IFERROR(__xludf.DUMMYFUNCTION("""COMPUTED_VALUE"""),1.016)</f>
        <v>1.016</v>
      </c>
      <c r="E8090" s="16">
        <f>IFERROR(__xludf.DUMMYFUNCTION("""COMPUTED_VALUE"""),65.0)</f>
        <v>65</v>
      </c>
      <c r="F8090" s="19" t="str">
        <f>IFERROR(__xludf.DUMMYFUNCTION("""COMPUTED_VALUE"""),"BLACK")</f>
        <v>BLACK</v>
      </c>
      <c r="G8090" s="20" t="str">
        <f>IFERROR(__xludf.DUMMYFUNCTION("""COMPUTED_VALUE"""),"Uncle Sams Cider (04/04/2023)")</f>
        <v>Uncle Sams Cider (04/04/2023)</v>
      </c>
      <c r="H8090" s="19"/>
    </row>
    <row r="8091">
      <c r="A8091" s="9"/>
      <c r="B8091" s="15"/>
      <c r="C8091" s="9">
        <f>IFERROR(__xludf.DUMMYFUNCTION("""COMPUTED_VALUE"""),45059.3745938541)</f>
        <v>45059.37459</v>
      </c>
      <c r="D8091" s="15">
        <f>IFERROR(__xludf.DUMMYFUNCTION("""COMPUTED_VALUE"""),1.016)</f>
        <v>1.016</v>
      </c>
      <c r="E8091" s="16">
        <f>IFERROR(__xludf.DUMMYFUNCTION("""COMPUTED_VALUE"""),65.0)</f>
        <v>65</v>
      </c>
      <c r="F8091" s="19" t="str">
        <f>IFERROR(__xludf.DUMMYFUNCTION("""COMPUTED_VALUE"""),"BLACK")</f>
        <v>BLACK</v>
      </c>
      <c r="G8091" s="20" t="str">
        <f>IFERROR(__xludf.DUMMYFUNCTION("""COMPUTED_VALUE"""),"Uncle Sams Cider (04/04/2023)")</f>
        <v>Uncle Sams Cider (04/04/2023)</v>
      </c>
      <c r="H8091" s="19"/>
    </row>
    <row r="8092">
      <c r="A8092" s="9"/>
      <c r="B8092" s="15"/>
      <c r="C8092" s="9">
        <f>IFERROR(__xludf.DUMMYFUNCTION("""COMPUTED_VALUE"""),45059.3641727314)</f>
        <v>45059.36417</v>
      </c>
      <c r="D8092" s="15">
        <f>IFERROR(__xludf.DUMMYFUNCTION("""COMPUTED_VALUE"""),1.016)</f>
        <v>1.016</v>
      </c>
      <c r="E8092" s="16">
        <f>IFERROR(__xludf.DUMMYFUNCTION("""COMPUTED_VALUE"""),65.0)</f>
        <v>65</v>
      </c>
      <c r="F8092" s="19" t="str">
        <f>IFERROR(__xludf.DUMMYFUNCTION("""COMPUTED_VALUE"""),"BLACK")</f>
        <v>BLACK</v>
      </c>
      <c r="G8092" s="20" t="str">
        <f>IFERROR(__xludf.DUMMYFUNCTION("""COMPUTED_VALUE"""),"Uncle Sams Cider (04/04/2023)")</f>
        <v>Uncle Sams Cider (04/04/2023)</v>
      </c>
      <c r="H8092" s="19"/>
    </row>
    <row r="8093">
      <c r="A8093" s="9"/>
      <c r="B8093" s="15"/>
      <c r="C8093" s="9">
        <f>IFERROR(__xludf.DUMMYFUNCTION("""COMPUTED_VALUE"""),45059.3537527546)</f>
        <v>45059.35375</v>
      </c>
      <c r="D8093" s="15">
        <f>IFERROR(__xludf.DUMMYFUNCTION("""COMPUTED_VALUE"""),1.016)</f>
        <v>1.016</v>
      </c>
      <c r="E8093" s="16">
        <f>IFERROR(__xludf.DUMMYFUNCTION("""COMPUTED_VALUE"""),65.0)</f>
        <v>65</v>
      </c>
      <c r="F8093" s="19" t="str">
        <f>IFERROR(__xludf.DUMMYFUNCTION("""COMPUTED_VALUE"""),"BLACK")</f>
        <v>BLACK</v>
      </c>
      <c r="G8093" s="20" t="str">
        <f>IFERROR(__xludf.DUMMYFUNCTION("""COMPUTED_VALUE"""),"Uncle Sams Cider (04/04/2023)")</f>
        <v>Uncle Sams Cider (04/04/2023)</v>
      </c>
      <c r="H8093" s="19"/>
    </row>
    <row r="8094">
      <c r="A8094" s="9"/>
      <c r="B8094" s="15"/>
      <c r="C8094" s="9">
        <f>IFERROR(__xludf.DUMMYFUNCTION("""COMPUTED_VALUE"""),45059.3432854513)</f>
        <v>45059.34329</v>
      </c>
      <c r="D8094" s="15">
        <f>IFERROR(__xludf.DUMMYFUNCTION("""COMPUTED_VALUE"""),1.016)</f>
        <v>1.016</v>
      </c>
      <c r="E8094" s="16">
        <f>IFERROR(__xludf.DUMMYFUNCTION("""COMPUTED_VALUE"""),65.0)</f>
        <v>65</v>
      </c>
      <c r="F8094" s="19" t="str">
        <f>IFERROR(__xludf.DUMMYFUNCTION("""COMPUTED_VALUE"""),"BLACK")</f>
        <v>BLACK</v>
      </c>
      <c r="G8094" s="20" t="str">
        <f>IFERROR(__xludf.DUMMYFUNCTION("""COMPUTED_VALUE"""),"Uncle Sams Cider (04/04/2023)")</f>
        <v>Uncle Sams Cider (04/04/2023)</v>
      </c>
      <c r="H8094" s="19"/>
    </row>
    <row r="8095">
      <c r="A8095" s="9"/>
      <c r="B8095" s="15"/>
      <c r="C8095" s="9">
        <f>IFERROR(__xludf.DUMMYFUNCTION("""COMPUTED_VALUE"""),45059.332851956)</f>
        <v>45059.33285</v>
      </c>
      <c r="D8095" s="15">
        <f>IFERROR(__xludf.DUMMYFUNCTION("""COMPUTED_VALUE"""),1.016)</f>
        <v>1.016</v>
      </c>
      <c r="E8095" s="16">
        <f>IFERROR(__xludf.DUMMYFUNCTION("""COMPUTED_VALUE"""),65.0)</f>
        <v>65</v>
      </c>
      <c r="F8095" s="19" t="str">
        <f>IFERROR(__xludf.DUMMYFUNCTION("""COMPUTED_VALUE"""),"BLACK")</f>
        <v>BLACK</v>
      </c>
      <c r="G8095" s="20" t="str">
        <f>IFERROR(__xludf.DUMMYFUNCTION("""COMPUTED_VALUE"""),"Uncle Sams Cider (04/04/2023)")</f>
        <v>Uncle Sams Cider (04/04/2023)</v>
      </c>
      <c r="H8095" s="19"/>
    </row>
    <row r="8096">
      <c r="A8096" s="9"/>
      <c r="B8096" s="15"/>
      <c r="C8096" s="9">
        <f>IFERROR(__xludf.DUMMYFUNCTION("""COMPUTED_VALUE"""),45059.3224075115)</f>
        <v>45059.32241</v>
      </c>
      <c r="D8096" s="15">
        <f>IFERROR(__xludf.DUMMYFUNCTION("""COMPUTED_VALUE"""),1.016)</f>
        <v>1.016</v>
      </c>
      <c r="E8096" s="16">
        <f>IFERROR(__xludf.DUMMYFUNCTION("""COMPUTED_VALUE"""),65.0)</f>
        <v>65</v>
      </c>
      <c r="F8096" s="19" t="str">
        <f>IFERROR(__xludf.DUMMYFUNCTION("""COMPUTED_VALUE"""),"BLACK")</f>
        <v>BLACK</v>
      </c>
      <c r="G8096" s="20" t="str">
        <f>IFERROR(__xludf.DUMMYFUNCTION("""COMPUTED_VALUE"""),"Uncle Sams Cider (04/04/2023)")</f>
        <v>Uncle Sams Cider (04/04/2023)</v>
      </c>
      <c r="H8096" s="19"/>
    </row>
    <row r="8097">
      <c r="A8097" s="9"/>
      <c r="B8097" s="15"/>
      <c r="C8097" s="9">
        <f>IFERROR(__xludf.DUMMYFUNCTION("""COMPUTED_VALUE"""),45059.3119620486)</f>
        <v>45059.31196</v>
      </c>
      <c r="D8097" s="15">
        <f>IFERROR(__xludf.DUMMYFUNCTION("""COMPUTED_VALUE"""),1.016)</f>
        <v>1.016</v>
      </c>
      <c r="E8097" s="16">
        <f>IFERROR(__xludf.DUMMYFUNCTION("""COMPUTED_VALUE"""),65.0)</f>
        <v>65</v>
      </c>
      <c r="F8097" s="19" t="str">
        <f>IFERROR(__xludf.DUMMYFUNCTION("""COMPUTED_VALUE"""),"BLACK")</f>
        <v>BLACK</v>
      </c>
      <c r="G8097" s="20" t="str">
        <f>IFERROR(__xludf.DUMMYFUNCTION("""COMPUTED_VALUE"""),"Uncle Sams Cider (04/04/2023)")</f>
        <v>Uncle Sams Cider (04/04/2023)</v>
      </c>
      <c r="H8097" s="19"/>
    </row>
    <row r="8098">
      <c r="A8098" s="9"/>
      <c r="B8098" s="15"/>
      <c r="C8098" s="9">
        <f>IFERROR(__xludf.DUMMYFUNCTION("""COMPUTED_VALUE"""),45059.3015295486)</f>
        <v>45059.30153</v>
      </c>
      <c r="D8098" s="15">
        <f>IFERROR(__xludf.DUMMYFUNCTION("""COMPUTED_VALUE"""),1.016)</f>
        <v>1.016</v>
      </c>
      <c r="E8098" s="16">
        <f>IFERROR(__xludf.DUMMYFUNCTION("""COMPUTED_VALUE"""),65.0)</f>
        <v>65</v>
      </c>
      <c r="F8098" s="19" t="str">
        <f>IFERROR(__xludf.DUMMYFUNCTION("""COMPUTED_VALUE"""),"BLACK")</f>
        <v>BLACK</v>
      </c>
      <c r="G8098" s="20" t="str">
        <f>IFERROR(__xludf.DUMMYFUNCTION("""COMPUTED_VALUE"""),"Uncle Sams Cider (04/04/2023)")</f>
        <v>Uncle Sams Cider (04/04/2023)</v>
      </c>
      <c r="H8098" s="19"/>
    </row>
    <row r="8099">
      <c r="A8099" s="9"/>
      <c r="B8099" s="15"/>
      <c r="C8099" s="9">
        <f>IFERROR(__xludf.DUMMYFUNCTION("""COMPUTED_VALUE"""),45059.2910764004)</f>
        <v>45059.29108</v>
      </c>
      <c r="D8099" s="15">
        <f>IFERROR(__xludf.DUMMYFUNCTION("""COMPUTED_VALUE"""),1.016)</f>
        <v>1.016</v>
      </c>
      <c r="E8099" s="16">
        <f>IFERROR(__xludf.DUMMYFUNCTION("""COMPUTED_VALUE"""),65.0)</f>
        <v>65</v>
      </c>
      <c r="F8099" s="19" t="str">
        <f>IFERROR(__xludf.DUMMYFUNCTION("""COMPUTED_VALUE"""),"BLACK")</f>
        <v>BLACK</v>
      </c>
      <c r="G8099" s="20" t="str">
        <f>IFERROR(__xludf.DUMMYFUNCTION("""COMPUTED_VALUE"""),"Uncle Sams Cider (04/04/2023)")</f>
        <v>Uncle Sams Cider (04/04/2023)</v>
      </c>
      <c r="H8099" s="19"/>
    </row>
    <row r="8100">
      <c r="A8100" s="9"/>
      <c r="B8100" s="15"/>
      <c r="C8100" s="9">
        <f>IFERROR(__xludf.DUMMYFUNCTION("""COMPUTED_VALUE"""),45059.2806436226)</f>
        <v>45059.28064</v>
      </c>
      <c r="D8100" s="15">
        <f>IFERROR(__xludf.DUMMYFUNCTION("""COMPUTED_VALUE"""),1.017)</f>
        <v>1.017</v>
      </c>
      <c r="E8100" s="16">
        <f>IFERROR(__xludf.DUMMYFUNCTION("""COMPUTED_VALUE"""),65.0)</f>
        <v>65</v>
      </c>
      <c r="F8100" s="19" t="str">
        <f>IFERROR(__xludf.DUMMYFUNCTION("""COMPUTED_VALUE"""),"BLACK")</f>
        <v>BLACK</v>
      </c>
      <c r="G8100" s="20" t="str">
        <f>IFERROR(__xludf.DUMMYFUNCTION("""COMPUTED_VALUE"""),"Uncle Sams Cider (04/04/2023)")</f>
        <v>Uncle Sams Cider (04/04/2023)</v>
      </c>
      <c r="H8100" s="19"/>
    </row>
    <row r="8101">
      <c r="A8101" s="9"/>
      <c r="B8101" s="15"/>
      <c r="C8101" s="9">
        <f>IFERROR(__xludf.DUMMYFUNCTION("""COMPUTED_VALUE"""),45059.2702109953)</f>
        <v>45059.27021</v>
      </c>
      <c r="D8101" s="15">
        <f>IFERROR(__xludf.DUMMYFUNCTION("""COMPUTED_VALUE"""),1.016)</f>
        <v>1.016</v>
      </c>
      <c r="E8101" s="16">
        <f>IFERROR(__xludf.DUMMYFUNCTION("""COMPUTED_VALUE"""),65.0)</f>
        <v>65</v>
      </c>
      <c r="F8101" s="19" t="str">
        <f>IFERROR(__xludf.DUMMYFUNCTION("""COMPUTED_VALUE"""),"BLACK")</f>
        <v>BLACK</v>
      </c>
      <c r="G8101" s="20" t="str">
        <f>IFERROR(__xludf.DUMMYFUNCTION("""COMPUTED_VALUE"""),"Uncle Sams Cider (04/04/2023)")</f>
        <v>Uncle Sams Cider (04/04/2023)</v>
      </c>
      <c r="H8101" s="19"/>
    </row>
    <row r="8102">
      <c r="A8102" s="9"/>
      <c r="B8102" s="15"/>
      <c r="C8102" s="9">
        <f>IFERROR(__xludf.DUMMYFUNCTION("""COMPUTED_VALUE"""),45059.2597782175)</f>
        <v>45059.25978</v>
      </c>
      <c r="D8102" s="15">
        <f>IFERROR(__xludf.DUMMYFUNCTION("""COMPUTED_VALUE"""),1.016)</f>
        <v>1.016</v>
      </c>
      <c r="E8102" s="16">
        <f>IFERROR(__xludf.DUMMYFUNCTION("""COMPUTED_VALUE"""),65.0)</f>
        <v>65</v>
      </c>
      <c r="F8102" s="19" t="str">
        <f>IFERROR(__xludf.DUMMYFUNCTION("""COMPUTED_VALUE"""),"BLACK")</f>
        <v>BLACK</v>
      </c>
      <c r="G8102" s="20" t="str">
        <f>IFERROR(__xludf.DUMMYFUNCTION("""COMPUTED_VALUE"""),"Uncle Sams Cider (04/04/2023)")</f>
        <v>Uncle Sams Cider (04/04/2023)</v>
      </c>
      <c r="H8102" s="19"/>
    </row>
    <row r="8103">
      <c r="A8103" s="9"/>
      <c r="B8103" s="15"/>
      <c r="C8103" s="9">
        <f>IFERROR(__xludf.DUMMYFUNCTION("""COMPUTED_VALUE"""),45059.2493091203)</f>
        <v>45059.24931</v>
      </c>
      <c r="D8103" s="15">
        <f>IFERROR(__xludf.DUMMYFUNCTION("""COMPUTED_VALUE"""),1.016)</f>
        <v>1.016</v>
      </c>
      <c r="E8103" s="16">
        <f>IFERROR(__xludf.DUMMYFUNCTION("""COMPUTED_VALUE"""),65.0)</f>
        <v>65</v>
      </c>
      <c r="F8103" s="19" t="str">
        <f>IFERROR(__xludf.DUMMYFUNCTION("""COMPUTED_VALUE"""),"BLACK")</f>
        <v>BLACK</v>
      </c>
      <c r="G8103" s="20" t="str">
        <f>IFERROR(__xludf.DUMMYFUNCTION("""COMPUTED_VALUE"""),"Uncle Sams Cider (04/04/2023)")</f>
        <v>Uncle Sams Cider (04/04/2023)</v>
      </c>
      <c r="H8103" s="19"/>
    </row>
    <row r="8104">
      <c r="A8104" s="9"/>
      <c r="B8104" s="15"/>
      <c r="C8104" s="9">
        <f>IFERROR(__xludf.DUMMYFUNCTION("""COMPUTED_VALUE"""),45059.2388878472)</f>
        <v>45059.23889</v>
      </c>
      <c r="D8104" s="15">
        <f>IFERROR(__xludf.DUMMYFUNCTION("""COMPUTED_VALUE"""),1.017)</f>
        <v>1.017</v>
      </c>
      <c r="E8104" s="16">
        <f>IFERROR(__xludf.DUMMYFUNCTION("""COMPUTED_VALUE"""),65.0)</f>
        <v>65</v>
      </c>
      <c r="F8104" s="19" t="str">
        <f>IFERROR(__xludf.DUMMYFUNCTION("""COMPUTED_VALUE"""),"BLACK")</f>
        <v>BLACK</v>
      </c>
      <c r="G8104" s="20" t="str">
        <f>IFERROR(__xludf.DUMMYFUNCTION("""COMPUTED_VALUE"""),"Uncle Sams Cider (04/04/2023)")</f>
        <v>Uncle Sams Cider (04/04/2023)</v>
      </c>
      <c r="H8104" s="19"/>
    </row>
    <row r="8105">
      <c r="A8105" s="9"/>
      <c r="B8105" s="15"/>
      <c r="C8105" s="9">
        <f>IFERROR(__xludf.DUMMYFUNCTION("""COMPUTED_VALUE"""),45059.2284673379)</f>
        <v>45059.22847</v>
      </c>
      <c r="D8105" s="15">
        <f>IFERROR(__xludf.DUMMYFUNCTION("""COMPUTED_VALUE"""),1.016)</f>
        <v>1.016</v>
      </c>
      <c r="E8105" s="16">
        <f>IFERROR(__xludf.DUMMYFUNCTION("""COMPUTED_VALUE"""),65.0)</f>
        <v>65</v>
      </c>
      <c r="F8105" s="19" t="str">
        <f>IFERROR(__xludf.DUMMYFUNCTION("""COMPUTED_VALUE"""),"BLACK")</f>
        <v>BLACK</v>
      </c>
      <c r="G8105" s="20" t="str">
        <f>IFERROR(__xludf.DUMMYFUNCTION("""COMPUTED_VALUE"""),"Uncle Sams Cider (04/04/2023)")</f>
        <v>Uncle Sams Cider (04/04/2023)</v>
      </c>
      <c r="H8105" s="19"/>
    </row>
    <row r="8106">
      <c r="A8106" s="9"/>
      <c r="B8106" s="15"/>
      <c r="C8106" s="9">
        <f>IFERROR(__xludf.DUMMYFUNCTION("""COMPUTED_VALUE"""),45059.2180226851)</f>
        <v>45059.21802</v>
      </c>
      <c r="D8106" s="15">
        <f>IFERROR(__xludf.DUMMYFUNCTION("""COMPUTED_VALUE"""),1.016)</f>
        <v>1.016</v>
      </c>
      <c r="E8106" s="16">
        <f>IFERROR(__xludf.DUMMYFUNCTION("""COMPUTED_VALUE"""),65.0)</f>
        <v>65</v>
      </c>
      <c r="F8106" s="19" t="str">
        <f>IFERROR(__xludf.DUMMYFUNCTION("""COMPUTED_VALUE"""),"BLACK")</f>
        <v>BLACK</v>
      </c>
      <c r="G8106" s="20" t="str">
        <f>IFERROR(__xludf.DUMMYFUNCTION("""COMPUTED_VALUE"""),"Uncle Sams Cider (04/04/2023)")</f>
        <v>Uncle Sams Cider (04/04/2023)</v>
      </c>
      <c r="H8106" s="19"/>
    </row>
    <row r="8107">
      <c r="A8107" s="9"/>
      <c r="B8107" s="15"/>
      <c r="C8107" s="9">
        <f>IFERROR(__xludf.DUMMYFUNCTION("""COMPUTED_VALUE"""),45059.2076029166)</f>
        <v>45059.2076</v>
      </c>
      <c r="D8107" s="15">
        <f>IFERROR(__xludf.DUMMYFUNCTION("""COMPUTED_VALUE"""),1.016)</f>
        <v>1.016</v>
      </c>
      <c r="E8107" s="16">
        <f>IFERROR(__xludf.DUMMYFUNCTION("""COMPUTED_VALUE"""),65.0)</f>
        <v>65</v>
      </c>
      <c r="F8107" s="19" t="str">
        <f>IFERROR(__xludf.DUMMYFUNCTION("""COMPUTED_VALUE"""),"BLACK")</f>
        <v>BLACK</v>
      </c>
      <c r="G8107" s="20" t="str">
        <f>IFERROR(__xludf.DUMMYFUNCTION("""COMPUTED_VALUE"""),"Uncle Sams Cider (04/04/2023)")</f>
        <v>Uncle Sams Cider (04/04/2023)</v>
      </c>
      <c r="H8107" s="19"/>
    </row>
    <row r="8108">
      <c r="A8108" s="9"/>
      <c r="B8108" s="15"/>
      <c r="C8108" s="9">
        <f>IFERROR(__xludf.DUMMYFUNCTION("""COMPUTED_VALUE"""),45059.1971812152)</f>
        <v>45059.19718</v>
      </c>
      <c r="D8108" s="15">
        <f>IFERROR(__xludf.DUMMYFUNCTION("""COMPUTED_VALUE"""),1.016)</f>
        <v>1.016</v>
      </c>
      <c r="E8108" s="16">
        <f>IFERROR(__xludf.DUMMYFUNCTION("""COMPUTED_VALUE"""),65.0)</f>
        <v>65</v>
      </c>
      <c r="F8108" s="19" t="str">
        <f>IFERROR(__xludf.DUMMYFUNCTION("""COMPUTED_VALUE"""),"BLACK")</f>
        <v>BLACK</v>
      </c>
      <c r="G8108" s="20" t="str">
        <f>IFERROR(__xludf.DUMMYFUNCTION("""COMPUTED_VALUE"""),"Uncle Sams Cider (04/04/2023)")</f>
        <v>Uncle Sams Cider (04/04/2023)</v>
      </c>
      <c r="H8108" s="19"/>
    </row>
    <row r="8109">
      <c r="A8109" s="9"/>
      <c r="B8109" s="15"/>
      <c r="C8109" s="9">
        <f>IFERROR(__xludf.DUMMYFUNCTION("""COMPUTED_VALUE"""),45059.1867477199)</f>
        <v>45059.18675</v>
      </c>
      <c r="D8109" s="15">
        <f>IFERROR(__xludf.DUMMYFUNCTION("""COMPUTED_VALUE"""),1.016)</f>
        <v>1.016</v>
      </c>
      <c r="E8109" s="16">
        <f>IFERROR(__xludf.DUMMYFUNCTION("""COMPUTED_VALUE"""),65.0)</f>
        <v>65</v>
      </c>
      <c r="F8109" s="19" t="str">
        <f>IFERROR(__xludf.DUMMYFUNCTION("""COMPUTED_VALUE"""),"BLACK")</f>
        <v>BLACK</v>
      </c>
      <c r="G8109" s="20" t="str">
        <f>IFERROR(__xludf.DUMMYFUNCTION("""COMPUTED_VALUE"""),"Uncle Sams Cider (04/04/2023)")</f>
        <v>Uncle Sams Cider (04/04/2023)</v>
      </c>
      <c r="H8109" s="19"/>
    </row>
    <row r="8110">
      <c r="A8110" s="9"/>
      <c r="B8110" s="15"/>
      <c r="C8110" s="9">
        <f>IFERROR(__xludf.DUMMYFUNCTION("""COMPUTED_VALUE"""),45059.1762798379)</f>
        <v>45059.17628</v>
      </c>
      <c r="D8110" s="15">
        <f>IFERROR(__xludf.DUMMYFUNCTION("""COMPUTED_VALUE"""),1.016)</f>
        <v>1.016</v>
      </c>
      <c r="E8110" s="16">
        <f>IFERROR(__xludf.DUMMYFUNCTION("""COMPUTED_VALUE"""),65.0)</f>
        <v>65</v>
      </c>
      <c r="F8110" s="19" t="str">
        <f>IFERROR(__xludf.DUMMYFUNCTION("""COMPUTED_VALUE"""),"BLACK")</f>
        <v>BLACK</v>
      </c>
      <c r="G8110" s="20" t="str">
        <f>IFERROR(__xludf.DUMMYFUNCTION("""COMPUTED_VALUE"""),"Uncle Sams Cider (04/04/2023)")</f>
        <v>Uncle Sams Cider (04/04/2023)</v>
      </c>
      <c r="H8110" s="19"/>
    </row>
    <row r="8111">
      <c r="A8111" s="9"/>
      <c r="B8111" s="15"/>
      <c r="C8111" s="9">
        <f>IFERROR(__xludf.DUMMYFUNCTION("""COMPUTED_VALUE"""),45059.1658481713)</f>
        <v>45059.16585</v>
      </c>
      <c r="D8111" s="15">
        <f>IFERROR(__xludf.DUMMYFUNCTION("""COMPUTED_VALUE"""),1.016)</f>
        <v>1.016</v>
      </c>
      <c r="E8111" s="16">
        <f>IFERROR(__xludf.DUMMYFUNCTION("""COMPUTED_VALUE"""),65.0)</f>
        <v>65</v>
      </c>
      <c r="F8111" s="19" t="str">
        <f>IFERROR(__xludf.DUMMYFUNCTION("""COMPUTED_VALUE"""),"BLACK")</f>
        <v>BLACK</v>
      </c>
      <c r="G8111" s="20" t="str">
        <f>IFERROR(__xludf.DUMMYFUNCTION("""COMPUTED_VALUE"""),"Uncle Sams Cider (04/04/2023)")</f>
        <v>Uncle Sams Cider (04/04/2023)</v>
      </c>
      <c r="H8111" s="19"/>
    </row>
    <row r="8112">
      <c r="A8112" s="9"/>
      <c r="B8112" s="15"/>
      <c r="C8112" s="9">
        <f>IFERROR(__xludf.DUMMYFUNCTION("""COMPUTED_VALUE"""),45059.1553917592)</f>
        <v>45059.15539</v>
      </c>
      <c r="D8112" s="15">
        <f>IFERROR(__xludf.DUMMYFUNCTION("""COMPUTED_VALUE"""),1.017)</f>
        <v>1.017</v>
      </c>
      <c r="E8112" s="16">
        <f>IFERROR(__xludf.DUMMYFUNCTION("""COMPUTED_VALUE"""),65.0)</f>
        <v>65</v>
      </c>
      <c r="F8112" s="19" t="str">
        <f>IFERROR(__xludf.DUMMYFUNCTION("""COMPUTED_VALUE"""),"BLACK")</f>
        <v>BLACK</v>
      </c>
      <c r="G8112" s="20" t="str">
        <f>IFERROR(__xludf.DUMMYFUNCTION("""COMPUTED_VALUE"""),"Uncle Sams Cider (04/04/2023)")</f>
        <v>Uncle Sams Cider (04/04/2023)</v>
      </c>
      <c r="H8112" s="19"/>
    </row>
    <row r="8113">
      <c r="A8113" s="9"/>
      <c r="B8113" s="15"/>
      <c r="C8113" s="9">
        <f>IFERROR(__xludf.DUMMYFUNCTION("""COMPUTED_VALUE"""),45059.1449492129)</f>
        <v>45059.14495</v>
      </c>
      <c r="D8113" s="15">
        <f>IFERROR(__xludf.DUMMYFUNCTION("""COMPUTED_VALUE"""),1.017)</f>
        <v>1.017</v>
      </c>
      <c r="E8113" s="16">
        <f>IFERROR(__xludf.DUMMYFUNCTION("""COMPUTED_VALUE"""),65.0)</f>
        <v>65</v>
      </c>
      <c r="F8113" s="19" t="str">
        <f>IFERROR(__xludf.DUMMYFUNCTION("""COMPUTED_VALUE"""),"BLACK")</f>
        <v>BLACK</v>
      </c>
      <c r="G8113" s="20" t="str">
        <f>IFERROR(__xludf.DUMMYFUNCTION("""COMPUTED_VALUE"""),"Uncle Sams Cider (04/04/2023)")</f>
        <v>Uncle Sams Cider (04/04/2023)</v>
      </c>
      <c r="H8113" s="19"/>
    </row>
    <row r="8114">
      <c r="A8114" s="9"/>
      <c r="B8114" s="15"/>
      <c r="C8114" s="9">
        <f>IFERROR(__xludf.DUMMYFUNCTION("""COMPUTED_VALUE"""),45059.134481875)</f>
        <v>45059.13448</v>
      </c>
      <c r="D8114" s="15">
        <f>IFERROR(__xludf.DUMMYFUNCTION("""COMPUTED_VALUE"""),1.016)</f>
        <v>1.016</v>
      </c>
      <c r="E8114" s="16">
        <f>IFERROR(__xludf.DUMMYFUNCTION("""COMPUTED_VALUE"""),65.0)</f>
        <v>65</v>
      </c>
      <c r="F8114" s="19" t="str">
        <f>IFERROR(__xludf.DUMMYFUNCTION("""COMPUTED_VALUE"""),"BLACK")</f>
        <v>BLACK</v>
      </c>
      <c r="G8114" s="20" t="str">
        <f>IFERROR(__xludf.DUMMYFUNCTION("""COMPUTED_VALUE"""),"Uncle Sams Cider (04/04/2023)")</f>
        <v>Uncle Sams Cider (04/04/2023)</v>
      </c>
      <c r="H8114" s="19"/>
    </row>
    <row r="8115">
      <c r="A8115" s="9"/>
      <c r="B8115" s="15"/>
      <c r="C8115" s="9">
        <f>IFERROR(__xludf.DUMMYFUNCTION("""COMPUTED_VALUE"""),45059.1240372453)</f>
        <v>45059.12404</v>
      </c>
      <c r="D8115" s="15">
        <f>IFERROR(__xludf.DUMMYFUNCTION("""COMPUTED_VALUE"""),1.017)</f>
        <v>1.017</v>
      </c>
      <c r="E8115" s="16">
        <f>IFERROR(__xludf.DUMMYFUNCTION("""COMPUTED_VALUE"""),65.0)</f>
        <v>65</v>
      </c>
      <c r="F8115" s="19" t="str">
        <f>IFERROR(__xludf.DUMMYFUNCTION("""COMPUTED_VALUE"""),"BLACK")</f>
        <v>BLACK</v>
      </c>
      <c r="G8115" s="20" t="str">
        <f>IFERROR(__xludf.DUMMYFUNCTION("""COMPUTED_VALUE"""),"Uncle Sams Cider (04/04/2023)")</f>
        <v>Uncle Sams Cider (04/04/2023)</v>
      </c>
      <c r="H8115" s="19"/>
    </row>
    <row r="8116">
      <c r="A8116" s="9"/>
      <c r="B8116" s="15"/>
      <c r="C8116" s="9">
        <f>IFERROR(__xludf.DUMMYFUNCTION("""COMPUTED_VALUE"""),45059.1135937268)</f>
        <v>45059.11359</v>
      </c>
      <c r="D8116" s="15">
        <f>IFERROR(__xludf.DUMMYFUNCTION("""COMPUTED_VALUE"""),1.016)</f>
        <v>1.016</v>
      </c>
      <c r="E8116" s="16">
        <f>IFERROR(__xludf.DUMMYFUNCTION("""COMPUTED_VALUE"""),65.0)</f>
        <v>65</v>
      </c>
      <c r="F8116" s="19" t="str">
        <f>IFERROR(__xludf.DUMMYFUNCTION("""COMPUTED_VALUE"""),"BLACK")</f>
        <v>BLACK</v>
      </c>
      <c r="G8116" s="20" t="str">
        <f>IFERROR(__xludf.DUMMYFUNCTION("""COMPUTED_VALUE"""),"Uncle Sams Cider (04/04/2023)")</f>
        <v>Uncle Sams Cider (04/04/2023)</v>
      </c>
      <c r="H8116" s="19"/>
    </row>
    <row r="8117">
      <c r="A8117" s="9"/>
      <c r="B8117" s="15"/>
      <c r="C8117" s="9">
        <f>IFERROR(__xludf.DUMMYFUNCTION("""COMPUTED_VALUE"""),45059.1031612847)</f>
        <v>45059.10316</v>
      </c>
      <c r="D8117" s="15">
        <f>IFERROR(__xludf.DUMMYFUNCTION("""COMPUTED_VALUE"""),1.016)</f>
        <v>1.016</v>
      </c>
      <c r="E8117" s="16">
        <f>IFERROR(__xludf.DUMMYFUNCTION("""COMPUTED_VALUE"""),65.0)</f>
        <v>65</v>
      </c>
      <c r="F8117" s="19" t="str">
        <f>IFERROR(__xludf.DUMMYFUNCTION("""COMPUTED_VALUE"""),"BLACK")</f>
        <v>BLACK</v>
      </c>
      <c r="G8117" s="20" t="str">
        <f>IFERROR(__xludf.DUMMYFUNCTION("""COMPUTED_VALUE"""),"Uncle Sams Cider (04/04/2023)")</f>
        <v>Uncle Sams Cider (04/04/2023)</v>
      </c>
      <c r="H8117" s="19"/>
    </row>
    <row r="8118">
      <c r="A8118" s="9"/>
      <c r="B8118" s="15"/>
      <c r="C8118" s="9">
        <f>IFERROR(__xludf.DUMMYFUNCTION("""COMPUTED_VALUE"""),45059.0927430555)</f>
        <v>45059.09274</v>
      </c>
      <c r="D8118" s="15">
        <f>IFERROR(__xludf.DUMMYFUNCTION("""COMPUTED_VALUE"""),1.016)</f>
        <v>1.016</v>
      </c>
      <c r="E8118" s="16">
        <f>IFERROR(__xludf.DUMMYFUNCTION("""COMPUTED_VALUE"""),65.0)</f>
        <v>65</v>
      </c>
      <c r="F8118" s="19" t="str">
        <f>IFERROR(__xludf.DUMMYFUNCTION("""COMPUTED_VALUE"""),"BLACK")</f>
        <v>BLACK</v>
      </c>
      <c r="G8118" s="20" t="str">
        <f>IFERROR(__xludf.DUMMYFUNCTION("""COMPUTED_VALUE"""),"Uncle Sams Cider (04/04/2023)")</f>
        <v>Uncle Sams Cider (04/04/2023)</v>
      </c>
      <c r="H8118" s="19"/>
    </row>
    <row r="8119">
      <c r="A8119" s="9"/>
      <c r="B8119" s="15"/>
      <c r="C8119" s="9">
        <f>IFERROR(__xludf.DUMMYFUNCTION("""COMPUTED_VALUE"""),45059.0822869444)</f>
        <v>45059.08229</v>
      </c>
      <c r="D8119" s="15">
        <f>IFERROR(__xludf.DUMMYFUNCTION("""COMPUTED_VALUE"""),1.016)</f>
        <v>1.016</v>
      </c>
      <c r="E8119" s="16">
        <f>IFERROR(__xludf.DUMMYFUNCTION("""COMPUTED_VALUE"""),65.0)</f>
        <v>65</v>
      </c>
      <c r="F8119" s="19" t="str">
        <f>IFERROR(__xludf.DUMMYFUNCTION("""COMPUTED_VALUE"""),"BLACK")</f>
        <v>BLACK</v>
      </c>
      <c r="G8119" s="20" t="str">
        <f>IFERROR(__xludf.DUMMYFUNCTION("""COMPUTED_VALUE"""),"Uncle Sams Cider (04/04/2023)")</f>
        <v>Uncle Sams Cider (04/04/2023)</v>
      </c>
      <c r="H8119" s="19"/>
    </row>
    <row r="8120">
      <c r="A8120" s="9"/>
      <c r="B8120" s="15"/>
      <c r="C8120" s="9">
        <f>IFERROR(__xludf.DUMMYFUNCTION("""COMPUTED_VALUE"""),45059.0718204629)</f>
        <v>45059.07182</v>
      </c>
      <c r="D8120" s="15">
        <f>IFERROR(__xludf.DUMMYFUNCTION("""COMPUTED_VALUE"""),1.017)</f>
        <v>1.017</v>
      </c>
      <c r="E8120" s="16">
        <f>IFERROR(__xludf.DUMMYFUNCTION("""COMPUTED_VALUE"""),65.0)</f>
        <v>65</v>
      </c>
      <c r="F8120" s="19" t="str">
        <f>IFERROR(__xludf.DUMMYFUNCTION("""COMPUTED_VALUE"""),"BLACK")</f>
        <v>BLACK</v>
      </c>
      <c r="G8120" s="20" t="str">
        <f>IFERROR(__xludf.DUMMYFUNCTION("""COMPUTED_VALUE"""),"Uncle Sams Cider (04/04/2023)")</f>
        <v>Uncle Sams Cider (04/04/2023)</v>
      </c>
      <c r="H8120" s="19"/>
    </row>
    <row r="8121">
      <c r="A8121" s="9"/>
      <c r="B8121" s="15"/>
      <c r="C8121" s="9">
        <f>IFERROR(__xludf.DUMMYFUNCTION("""COMPUTED_VALUE"""),45059.0613294907)</f>
        <v>45059.06133</v>
      </c>
      <c r="D8121" s="15">
        <f>IFERROR(__xludf.DUMMYFUNCTION("""COMPUTED_VALUE"""),1.017)</f>
        <v>1.017</v>
      </c>
      <c r="E8121" s="16">
        <f>IFERROR(__xludf.DUMMYFUNCTION("""COMPUTED_VALUE"""),65.0)</f>
        <v>65</v>
      </c>
      <c r="F8121" s="19" t="str">
        <f>IFERROR(__xludf.DUMMYFUNCTION("""COMPUTED_VALUE"""),"BLACK")</f>
        <v>BLACK</v>
      </c>
      <c r="G8121" s="20" t="str">
        <f>IFERROR(__xludf.DUMMYFUNCTION("""COMPUTED_VALUE"""),"Uncle Sams Cider (04/04/2023)")</f>
        <v>Uncle Sams Cider (04/04/2023)</v>
      </c>
      <c r="H8121" s="19"/>
    </row>
    <row r="8122">
      <c r="A8122" s="9"/>
      <c r="B8122" s="15"/>
      <c r="C8122" s="9">
        <f>IFERROR(__xludf.DUMMYFUNCTION("""COMPUTED_VALUE"""),45059.0509076273)</f>
        <v>45059.05091</v>
      </c>
      <c r="D8122" s="15">
        <f>IFERROR(__xludf.DUMMYFUNCTION("""COMPUTED_VALUE"""),1.017)</f>
        <v>1.017</v>
      </c>
      <c r="E8122" s="16">
        <f>IFERROR(__xludf.DUMMYFUNCTION("""COMPUTED_VALUE"""),65.0)</f>
        <v>65</v>
      </c>
      <c r="F8122" s="19" t="str">
        <f>IFERROR(__xludf.DUMMYFUNCTION("""COMPUTED_VALUE"""),"BLACK")</f>
        <v>BLACK</v>
      </c>
      <c r="G8122" s="20" t="str">
        <f>IFERROR(__xludf.DUMMYFUNCTION("""COMPUTED_VALUE"""),"Uncle Sams Cider (04/04/2023)")</f>
        <v>Uncle Sams Cider (04/04/2023)</v>
      </c>
      <c r="H8122" s="19"/>
    </row>
    <row r="8123">
      <c r="A8123" s="9"/>
      <c r="B8123" s="15"/>
      <c r="C8123" s="9">
        <f>IFERROR(__xludf.DUMMYFUNCTION("""COMPUTED_VALUE"""),45059.0404876736)</f>
        <v>45059.04049</v>
      </c>
      <c r="D8123" s="15">
        <f>IFERROR(__xludf.DUMMYFUNCTION("""COMPUTED_VALUE"""),1.017)</f>
        <v>1.017</v>
      </c>
      <c r="E8123" s="16">
        <f>IFERROR(__xludf.DUMMYFUNCTION("""COMPUTED_VALUE"""),65.0)</f>
        <v>65</v>
      </c>
      <c r="F8123" s="19" t="str">
        <f>IFERROR(__xludf.DUMMYFUNCTION("""COMPUTED_VALUE"""),"BLACK")</f>
        <v>BLACK</v>
      </c>
      <c r="G8123" s="20" t="str">
        <f>IFERROR(__xludf.DUMMYFUNCTION("""COMPUTED_VALUE"""),"Uncle Sams Cider (04/04/2023)")</f>
        <v>Uncle Sams Cider (04/04/2023)</v>
      </c>
      <c r="H8123" s="19"/>
    </row>
    <row r="8124">
      <c r="A8124" s="9"/>
      <c r="B8124" s="15"/>
      <c r="C8124" s="9">
        <f>IFERROR(__xludf.DUMMYFUNCTION("""COMPUTED_VALUE"""),45059.0299965393)</f>
        <v>45059.03</v>
      </c>
      <c r="D8124" s="15">
        <f>IFERROR(__xludf.DUMMYFUNCTION("""COMPUTED_VALUE"""),1.016)</f>
        <v>1.016</v>
      </c>
      <c r="E8124" s="16">
        <f>IFERROR(__xludf.DUMMYFUNCTION("""COMPUTED_VALUE"""),65.0)</f>
        <v>65</v>
      </c>
      <c r="F8124" s="19" t="str">
        <f>IFERROR(__xludf.DUMMYFUNCTION("""COMPUTED_VALUE"""),"BLACK")</f>
        <v>BLACK</v>
      </c>
      <c r="G8124" s="20" t="str">
        <f>IFERROR(__xludf.DUMMYFUNCTION("""COMPUTED_VALUE"""),"Uncle Sams Cider (04/04/2023)")</f>
        <v>Uncle Sams Cider (04/04/2023)</v>
      </c>
      <c r="H8124" s="19"/>
    </row>
    <row r="8125">
      <c r="A8125" s="9"/>
      <c r="B8125" s="15"/>
      <c r="C8125" s="9">
        <f>IFERROR(__xludf.DUMMYFUNCTION("""COMPUTED_VALUE"""),45059.0195612615)</f>
        <v>45059.01956</v>
      </c>
      <c r="D8125" s="15">
        <f>IFERROR(__xludf.DUMMYFUNCTION("""COMPUTED_VALUE"""),1.017)</f>
        <v>1.017</v>
      </c>
      <c r="E8125" s="16">
        <f>IFERROR(__xludf.DUMMYFUNCTION("""COMPUTED_VALUE"""),65.0)</f>
        <v>65</v>
      </c>
      <c r="F8125" s="19" t="str">
        <f>IFERROR(__xludf.DUMMYFUNCTION("""COMPUTED_VALUE"""),"BLACK")</f>
        <v>BLACK</v>
      </c>
      <c r="G8125" s="20" t="str">
        <f>IFERROR(__xludf.DUMMYFUNCTION("""COMPUTED_VALUE"""),"Uncle Sams Cider (04/04/2023)")</f>
        <v>Uncle Sams Cider (04/04/2023)</v>
      </c>
      <c r="H8125" s="19"/>
    </row>
    <row r="8126">
      <c r="A8126" s="9"/>
      <c r="B8126" s="15"/>
      <c r="C8126" s="9">
        <f>IFERROR(__xludf.DUMMYFUNCTION("""COMPUTED_VALUE"""),45059.009132037)</f>
        <v>45059.00913</v>
      </c>
      <c r="D8126" s="15">
        <f>IFERROR(__xludf.DUMMYFUNCTION("""COMPUTED_VALUE"""),1.017)</f>
        <v>1.017</v>
      </c>
      <c r="E8126" s="16">
        <f>IFERROR(__xludf.DUMMYFUNCTION("""COMPUTED_VALUE"""),65.0)</f>
        <v>65</v>
      </c>
      <c r="F8126" s="19" t="str">
        <f>IFERROR(__xludf.DUMMYFUNCTION("""COMPUTED_VALUE"""),"BLACK")</f>
        <v>BLACK</v>
      </c>
      <c r="G8126" s="20" t="str">
        <f>IFERROR(__xludf.DUMMYFUNCTION("""COMPUTED_VALUE"""),"Uncle Sams Cider (04/04/2023)")</f>
        <v>Uncle Sams Cider (04/04/2023)</v>
      </c>
      <c r="H8126" s="19"/>
    </row>
    <row r="8127">
      <c r="A8127" s="9"/>
      <c r="B8127" s="15"/>
      <c r="C8127" s="9">
        <f>IFERROR(__xludf.DUMMYFUNCTION("""COMPUTED_VALUE"""),45058.9987107291)</f>
        <v>45058.99871</v>
      </c>
      <c r="D8127" s="15">
        <f>IFERROR(__xludf.DUMMYFUNCTION("""COMPUTED_VALUE"""),1.016)</f>
        <v>1.016</v>
      </c>
      <c r="E8127" s="16">
        <f>IFERROR(__xludf.DUMMYFUNCTION("""COMPUTED_VALUE"""),65.0)</f>
        <v>65</v>
      </c>
      <c r="F8127" s="19" t="str">
        <f>IFERROR(__xludf.DUMMYFUNCTION("""COMPUTED_VALUE"""),"BLACK")</f>
        <v>BLACK</v>
      </c>
      <c r="G8127" s="20" t="str">
        <f>IFERROR(__xludf.DUMMYFUNCTION("""COMPUTED_VALUE"""),"Uncle Sams Cider (04/04/2023)")</f>
        <v>Uncle Sams Cider (04/04/2023)</v>
      </c>
      <c r="H8127" s="19"/>
    </row>
    <row r="8128">
      <c r="A8128" s="9"/>
      <c r="B8128" s="15"/>
      <c r="C8128" s="9">
        <f>IFERROR(__xludf.DUMMYFUNCTION("""COMPUTED_VALUE"""),45058.9882893171)</f>
        <v>45058.98829</v>
      </c>
      <c r="D8128" s="15">
        <f>IFERROR(__xludf.DUMMYFUNCTION("""COMPUTED_VALUE"""),1.017)</f>
        <v>1.017</v>
      </c>
      <c r="E8128" s="16">
        <f>IFERROR(__xludf.DUMMYFUNCTION("""COMPUTED_VALUE"""),65.0)</f>
        <v>65</v>
      </c>
      <c r="F8128" s="19" t="str">
        <f>IFERROR(__xludf.DUMMYFUNCTION("""COMPUTED_VALUE"""),"BLACK")</f>
        <v>BLACK</v>
      </c>
      <c r="G8128" s="20" t="str">
        <f>IFERROR(__xludf.DUMMYFUNCTION("""COMPUTED_VALUE"""),"Uncle Sams Cider (04/04/2023)")</f>
        <v>Uncle Sams Cider (04/04/2023)</v>
      </c>
      <c r="H8128" s="19"/>
    </row>
    <row r="8129">
      <c r="A8129" s="9"/>
      <c r="B8129" s="15"/>
      <c r="C8129" s="9">
        <f>IFERROR(__xludf.DUMMYFUNCTION("""COMPUTED_VALUE"""),45058.9778676157)</f>
        <v>45058.97787</v>
      </c>
      <c r="D8129" s="15">
        <f>IFERROR(__xludf.DUMMYFUNCTION("""COMPUTED_VALUE"""),1.017)</f>
        <v>1.017</v>
      </c>
      <c r="E8129" s="16">
        <f>IFERROR(__xludf.DUMMYFUNCTION("""COMPUTED_VALUE"""),65.0)</f>
        <v>65</v>
      </c>
      <c r="F8129" s="19" t="str">
        <f>IFERROR(__xludf.DUMMYFUNCTION("""COMPUTED_VALUE"""),"BLACK")</f>
        <v>BLACK</v>
      </c>
      <c r="G8129" s="20" t="str">
        <f>IFERROR(__xludf.DUMMYFUNCTION("""COMPUTED_VALUE"""),"Uncle Sams Cider (04/04/2023)")</f>
        <v>Uncle Sams Cider (04/04/2023)</v>
      </c>
      <c r="H8129" s="19"/>
    </row>
    <row r="8130">
      <c r="A8130" s="9"/>
      <c r="B8130" s="15"/>
      <c r="C8130" s="9">
        <f>IFERROR(__xludf.DUMMYFUNCTION("""COMPUTED_VALUE"""),45058.9674022337)</f>
        <v>45058.9674</v>
      </c>
      <c r="D8130" s="15">
        <f>IFERROR(__xludf.DUMMYFUNCTION("""COMPUTED_VALUE"""),1.017)</f>
        <v>1.017</v>
      </c>
      <c r="E8130" s="16">
        <f>IFERROR(__xludf.DUMMYFUNCTION("""COMPUTED_VALUE"""),65.0)</f>
        <v>65</v>
      </c>
      <c r="F8130" s="19" t="str">
        <f>IFERROR(__xludf.DUMMYFUNCTION("""COMPUTED_VALUE"""),"BLACK")</f>
        <v>BLACK</v>
      </c>
      <c r="G8130" s="20" t="str">
        <f>IFERROR(__xludf.DUMMYFUNCTION("""COMPUTED_VALUE"""),"Uncle Sams Cider (04/04/2023)")</f>
        <v>Uncle Sams Cider (04/04/2023)</v>
      </c>
      <c r="H8130" s="19"/>
    </row>
    <row r="8131">
      <c r="A8131" s="9"/>
      <c r="B8131" s="15"/>
      <c r="C8131" s="9">
        <f>IFERROR(__xludf.DUMMYFUNCTION("""COMPUTED_VALUE"""),45058.95694603)</f>
        <v>45058.95695</v>
      </c>
      <c r="D8131" s="15">
        <f>IFERROR(__xludf.DUMMYFUNCTION("""COMPUTED_VALUE"""),1.017)</f>
        <v>1.017</v>
      </c>
      <c r="E8131" s="16">
        <f>IFERROR(__xludf.DUMMYFUNCTION("""COMPUTED_VALUE"""),65.0)</f>
        <v>65</v>
      </c>
      <c r="F8131" s="19" t="str">
        <f>IFERROR(__xludf.DUMMYFUNCTION("""COMPUTED_VALUE"""),"BLACK")</f>
        <v>BLACK</v>
      </c>
      <c r="G8131" s="20" t="str">
        <f>IFERROR(__xludf.DUMMYFUNCTION("""COMPUTED_VALUE"""),"Uncle Sams Cider (04/04/2023)")</f>
        <v>Uncle Sams Cider (04/04/2023)</v>
      </c>
      <c r="H8131" s="19"/>
    </row>
    <row r="8132">
      <c r="A8132" s="9"/>
      <c r="B8132" s="15"/>
      <c r="C8132" s="9">
        <f>IFERROR(__xludf.DUMMYFUNCTION("""COMPUTED_VALUE"""),45058.9464995949)</f>
        <v>45058.9465</v>
      </c>
      <c r="D8132" s="15">
        <f>IFERROR(__xludf.DUMMYFUNCTION("""COMPUTED_VALUE"""),1.017)</f>
        <v>1.017</v>
      </c>
      <c r="E8132" s="16">
        <f>IFERROR(__xludf.DUMMYFUNCTION("""COMPUTED_VALUE"""),65.0)</f>
        <v>65</v>
      </c>
      <c r="F8132" s="19" t="str">
        <f>IFERROR(__xludf.DUMMYFUNCTION("""COMPUTED_VALUE"""),"BLACK")</f>
        <v>BLACK</v>
      </c>
      <c r="G8132" s="20" t="str">
        <f>IFERROR(__xludf.DUMMYFUNCTION("""COMPUTED_VALUE"""),"Uncle Sams Cider (04/04/2023)")</f>
        <v>Uncle Sams Cider (04/04/2023)</v>
      </c>
      <c r="H8132" s="19"/>
    </row>
    <row r="8133">
      <c r="A8133" s="9"/>
      <c r="B8133" s="15"/>
      <c r="C8133" s="9">
        <f>IFERROR(__xludf.DUMMYFUNCTION("""COMPUTED_VALUE"""),45058.9360559259)</f>
        <v>45058.93606</v>
      </c>
      <c r="D8133" s="15">
        <f>IFERROR(__xludf.DUMMYFUNCTION("""COMPUTED_VALUE"""),1.016)</f>
        <v>1.016</v>
      </c>
      <c r="E8133" s="16">
        <f>IFERROR(__xludf.DUMMYFUNCTION("""COMPUTED_VALUE"""),65.0)</f>
        <v>65</v>
      </c>
      <c r="F8133" s="19" t="str">
        <f>IFERROR(__xludf.DUMMYFUNCTION("""COMPUTED_VALUE"""),"BLACK")</f>
        <v>BLACK</v>
      </c>
      <c r="G8133" s="20" t="str">
        <f>IFERROR(__xludf.DUMMYFUNCTION("""COMPUTED_VALUE"""),"Uncle Sams Cider (04/04/2023)")</f>
        <v>Uncle Sams Cider (04/04/2023)</v>
      </c>
      <c r="H8133" s="19"/>
    </row>
    <row r="8134">
      <c r="A8134" s="9"/>
      <c r="B8134" s="15"/>
      <c r="C8134" s="9">
        <f>IFERROR(__xludf.DUMMYFUNCTION("""COMPUTED_VALUE"""),45058.9255873842)</f>
        <v>45058.92559</v>
      </c>
      <c r="D8134" s="15">
        <f>IFERROR(__xludf.DUMMYFUNCTION("""COMPUTED_VALUE"""),1.017)</f>
        <v>1.017</v>
      </c>
      <c r="E8134" s="16">
        <f>IFERROR(__xludf.DUMMYFUNCTION("""COMPUTED_VALUE"""),65.0)</f>
        <v>65</v>
      </c>
      <c r="F8134" s="19" t="str">
        <f>IFERROR(__xludf.DUMMYFUNCTION("""COMPUTED_VALUE"""),"BLACK")</f>
        <v>BLACK</v>
      </c>
      <c r="G8134" s="20" t="str">
        <f>IFERROR(__xludf.DUMMYFUNCTION("""COMPUTED_VALUE"""),"Uncle Sams Cider (04/04/2023)")</f>
        <v>Uncle Sams Cider (04/04/2023)</v>
      </c>
      <c r="H8134" s="19"/>
    </row>
    <row r="8135">
      <c r="A8135" s="9"/>
      <c r="B8135" s="15"/>
      <c r="C8135" s="9">
        <f>IFERROR(__xludf.DUMMYFUNCTION("""COMPUTED_VALUE"""),45058.9151683449)</f>
        <v>45058.91517</v>
      </c>
      <c r="D8135" s="15">
        <f>IFERROR(__xludf.DUMMYFUNCTION("""COMPUTED_VALUE"""),1.017)</f>
        <v>1.017</v>
      </c>
      <c r="E8135" s="16">
        <f>IFERROR(__xludf.DUMMYFUNCTION("""COMPUTED_VALUE"""),65.0)</f>
        <v>65</v>
      </c>
      <c r="F8135" s="19" t="str">
        <f>IFERROR(__xludf.DUMMYFUNCTION("""COMPUTED_VALUE"""),"BLACK")</f>
        <v>BLACK</v>
      </c>
      <c r="G8135" s="20" t="str">
        <f>IFERROR(__xludf.DUMMYFUNCTION("""COMPUTED_VALUE"""),"Uncle Sams Cider (04/04/2023)")</f>
        <v>Uncle Sams Cider (04/04/2023)</v>
      </c>
      <c r="H8135" s="19"/>
    </row>
    <row r="8136">
      <c r="A8136" s="9"/>
      <c r="B8136" s="15"/>
      <c r="C8136" s="9">
        <f>IFERROR(__xludf.DUMMYFUNCTION("""COMPUTED_VALUE"""),45058.9047468634)</f>
        <v>45058.90475</v>
      </c>
      <c r="D8136" s="15">
        <f>IFERROR(__xludf.DUMMYFUNCTION("""COMPUTED_VALUE"""),1.017)</f>
        <v>1.017</v>
      </c>
      <c r="E8136" s="16">
        <f>IFERROR(__xludf.DUMMYFUNCTION("""COMPUTED_VALUE"""),65.0)</f>
        <v>65</v>
      </c>
      <c r="F8136" s="19" t="str">
        <f>IFERROR(__xludf.DUMMYFUNCTION("""COMPUTED_VALUE"""),"BLACK")</f>
        <v>BLACK</v>
      </c>
      <c r="G8136" s="20" t="str">
        <f>IFERROR(__xludf.DUMMYFUNCTION("""COMPUTED_VALUE"""),"Uncle Sams Cider (04/04/2023)")</f>
        <v>Uncle Sams Cider (04/04/2023)</v>
      </c>
      <c r="H8136" s="19"/>
    </row>
    <row r="8137">
      <c r="A8137" s="9"/>
      <c r="B8137" s="15"/>
      <c r="C8137" s="9">
        <f>IFERROR(__xludf.DUMMYFUNCTION("""COMPUTED_VALUE"""),45058.8942804513)</f>
        <v>45058.89428</v>
      </c>
      <c r="D8137" s="15">
        <f>IFERROR(__xludf.DUMMYFUNCTION("""COMPUTED_VALUE"""),1.017)</f>
        <v>1.017</v>
      </c>
      <c r="E8137" s="16">
        <f>IFERROR(__xludf.DUMMYFUNCTION("""COMPUTED_VALUE"""),65.0)</f>
        <v>65</v>
      </c>
      <c r="F8137" s="19" t="str">
        <f>IFERROR(__xludf.DUMMYFUNCTION("""COMPUTED_VALUE"""),"BLACK")</f>
        <v>BLACK</v>
      </c>
      <c r="G8137" s="20" t="str">
        <f>IFERROR(__xludf.DUMMYFUNCTION("""COMPUTED_VALUE"""),"Uncle Sams Cider (04/04/2023)")</f>
        <v>Uncle Sams Cider (04/04/2023)</v>
      </c>
      <c r="H8137" s="19"/>
    </row>
    <row r="8138">
      <c r="A8138" s="9"/>
      <c r="B8138" s="15"/>
      <c r="C8138" s="9">
        <f>IFERROR(__xludf.DUMMYFUNCTION("""COMPUTED_VALUE"""),45058.8838471759)</f>
        <v>45058.88385</v>
      </c>
      <c r="D8138" s="15">
        <f>IFERROR(__xludf.DUMMYFUNCTION("""COMPUTED_VALUE"""),1.017)</f>
        <v>1.017</v>
      </c>
      <c r="E8138" s="16">
        <f>IFERROR(__xludf.DUMMYFUNCTION("""COMPUTED_VALUE"""),65.0)</f>
        <v>65</v>
      </c>
      <c r="F8138" s="19" t="str">
        <f>IFERROR(__xludf.DUMMYFUNCTION("""COMPUTED_VALUE"""),"BLACK")</f>
        <v>BLACK</v>
      </c>
      <c r="G8138" s="20" t="str">
        <f>IFERROR(__xludf.DUMMYFUNCTION("""COMPUTED_VALUE"""),"Uncle Sams Cider (04/04/2023)")</f>
        <v>Uncle Sams Cider (04/04/2023)</v>
      </c>
      <c r="H8138" s="19"/>
    </row>
    <row r="8139">
      <c r="A8139" s="9"/>
      <c r="B8139" s="15"/>
      <c r="C8139" s="9">
        <f>IFERROR(__xludf.DUMMYFUNCTION("""COMPUTED_VALUE"""),45058.8734256134)</f>
        <v>45058.87343</v>
      </c>
      <c r="D8139" s="15">
        <f>IFERROR(__xludf.DUMMYFUNCTION("""COMPUTED_VALUE"""),1.017)</f>
        <v>1.017</v>
      </c>
      <c r="E8139" s="16">
        <f>IFERROR(__xludf.DUMMYFUNCTION("""COMPUTED_VALUE"""),65.0)</f>
        <v>65</v>
      </c>
      <c r="F8139" s="19" t="str">
        <f>IFERROR(__xludf.DUMMYFUNCTION("""COMPUTED_VALUE"""),"BLACK")</f>
        <v>BLACK</v>
      </c>
      <c r="G8139" s="20" t="str">
        <f>IFERROR(__xludf.DUMMYFUNCTION("""COMPUTED_VALUE"""),"Uncle Sams Cider (04/04/2023)")</f>
        <v>Uncle Sams Cider (04/04/2023)</v>
      </c>
      <c r="H8139" s="19"/>
    </row>
    <row r="8140">
      <c r="A8140" s="9"/>
      <c r="B8140" s="15"/>
      <c r="C8140" s="9">
        <f>IFERROR(__xludf.DUMMYFUNCTION("""COMPUTED_VALUE"""),45058.863005162)</f>
        <v>45058.86301</v>
      </c>
      <c r="D8140" s="15">
        <f>IFERROR(__xludf.DUMMYFUNCTION("""COMPUTED_VALUE"""),1.017)</f>
        <v>1.017</v>
      </c>
      <c r="E8140" s="16">
        <f>IFERROR(__xludf.DUMMYFUNCTION("""COMPUTED_VALUE"""),65.0)</f>
        <v>65</v>
      </c>
      <c r="F8140" s="19" t="str">
        <f>IFERROR(__xludf.DUMMYFUNCTION("""COMPUTED_VALUE"""),"BLACK")</f>
        <v>BLACK</v>
      </c>
      <c r="G8140" s="20" t="str">
        <f>IFERROR(__xludf.DUMMYFUNCTION("""COMPUTED_VALUE"""),"Uncle Sams Cider (04/04/2023)")</f>
        <v>Uncle Sams Cider (04/04/2023)</v>
      </c>
      <c r="H8140" s="19"/>
    </row>
    <row r="8141">
      <c r="A8141" s="9"/>
      <c r="B8141" s="15"/>
      <c r="C8141" s="9">
        <f>IFERROR(__xludf.DUMMYFUNCTION("""COMPUTED_VALUE"""),45058.85246853)</f>
        <v>45058.85247</v>
      </c>
      <c r="D8141" s="15">
        <f>IFERROR(__xludf.DUMMYFUNCTION("""COMPUTED_VALUE"""),1.017)</f>
        <v>1.017</v>
      </c>
      <c r="E8141" s="16">
        <f>IFERROR(__xludf.DUMMYFUNCTION("""COMPUTED_VALUE"""),65.0)</f>
        <v>65</v>
      </c>
      <c r="F8141" s="19" t="str">
        <f>IFERROR(__xludf.DUMMYFUNCTION("""COMPUTED_VALUE"""),"BLACK")</f>
        <v>BLACK</v>
      </c>
      <c r="G8141" s="20" t="str">
        <f>IFERROR(__xludf.DUMMYFUNCTION("""COMPUTED_VALUE"""),"Uncle Sams Cider (04/04/2023)")</f>
        <v>Uncle Sams Cider (04/04/2023)</v>
      </c>
      <c r="H8141" s="19"/>
    </row>
    <row r="8142">
      <c r="A8142" s="9"/>
      <c r="B8142" s="15"/>
      <c r="C8142" s="9">
        <f>IFERROR(__xludf.DUMMYFUNCTION("""COMPUTED_VALUE"""),45058.8420248842)</f>
        <v>45058.84202</v>
      </c>
      <c r="D8142" s="15">
        <f>IFERROR(__xludf.DUMMYFUNCTION("""COMPUTED_VALUE"""),1.017)</f>
        <v>1.017</v>
      </c>
      <c r="E8142" s="16">
        <f>IFERROR(__xludf.DUMMYFUNCTION("""COMPUTED_VALUE"""),65.0)</f>
        <v>65</v>
      </c>
      <c r="F8142" s="19" t="str">
        <f>IFERROR(__xludf.DUMMYFUNCTION("""COMPUTED_VALUE"""),"BLACK")</f>
        <v>BLACK</v>
      </c>
      <c r="G8142" s="20" t="str">
        <f>IFERROR(__xludf.DUMMYFUNCTION("""COMPUTED_VALUE"""),"Uncle Sams Cider (04/04/2023)")</f>
        <v>Uncle Sams Cider (04/04/2023)</v>
      </c>
      <c r="H8142" s="19"/>
    </row>
    <row r="8143">
      <c r="A8143" s="9"/>
      <c r="B8143" s="15"/>
      <c r="C8143" s="9">
        <f>IFERROR(__xludf.DUMMYFUNCTION("""COMPUTED_VALUE"""),45058.8315797916)</f>
        <v>45058.83158</v>
      </c>
      <c r="D8143" s="15">
        <f>IFERROR(__xludf.DUMMYFUNCTION("""COMPUTED_VALUE"""),1.017)</f>
        <v>1.017</v>
      </c>
      <c r="E8143" s="16">
        <f>IFERROR(__xludf.DUMMYFUNCTION("""COMPUTED_VALUE"""),65.0)</f>
        <v>65</v>
      </c>
      <c r="F8143" s="19" t="str">
        <f>IFERROR(__xludf.DUMMYFUNCTION("""COMPUTED_VALUE"""),"BLACK")</f>
        <v>BLACK</v>
      </c>
      <c r="G8143" s="20" t="str">
        <f>IFERROR(__xludf.DUMMYFUNCTION("""COMPUTED_VALUE"""),"Uncle Sams Cider (04/04/2023)")</f>
        <v>Uncle Sams Cider (04/04/2023)</v>
      </c>
      <c r="H8143" s="19"/>
    </row>
    <row r="8144">
      <c r="A8144" s="9"/>
      <c r="B8144" s="15"/>
      <c r="C8144" s="9">
        <f>IFERROR(__xludf.DUMMYFUNCTION("""COMPUTED_VALUE"""),45058.8211232523)</f>
        <v>45058.82112</v>
      </c>
      <c r="D8144" s="15">
        <f>IFERROR(__xludf.DUMMYFUNCTION("""COMPUTED_VALUE"""),1.017)</f>
        <v>1.017</v>
      </c>
      <c r="E8144" s="16">
        <f>IFERROR(__xludf.DUMMYFUNCTION("""COMPUTED_VALUE"""),65.0)</f>
        <v>65</v>
      </c>
      <c r="F8144" s="19" t="str">
        <f>IFERROR(__xludf.DUMMYFUNCTION("""COMPUTED_VALUE"""),"BLACK")</f>
        <v>BLACK</v>
      </c>
      <c r="G8144" s="20" t="str">
        <f>IFERROR(__xludf.DUMMYFUNCTION("""COMPUTED_VALUE"""),"Uncle Sams Cider (04/04/2023)")</f>
        <v>Uncle Sams Cider (04/04/2023)</v>
      </c>
      <c r="H8144" s="19"/>
    </row>
    <row r="8145">
      <c r="A8145" s="9"/>
      <c r="B8145" s="15"/>
      <c r="C8145" s="9">
        <f>IFERROR(__xludf.DUMMYFUNCTION("""COMPUTED_VALUE"""),45058.8107013657)</f>
        <v>45058.8107</v>
      </c>
      <c r="D8145" s="15">
        <f>IFERROR(__xludf.DUMMYFUNCTION("""COMPUTED_VALUE"""),1.017)</f>
        <v>1.017</v>
      </c>
      <c r="E8145" s="16">
        <f>IFERROR(__xludf.DUMMYFUNCTION("""COMPUTED_VALUE"""),64.0)</f>
        <v>64</v>
      </c>
      <c r="F8145" s="19" t="str">
        <f>IFERROR(__xludf.DUMMYFUNCTION("""COMPUTED_VALUE"""),"BLACK")</f>
        <v>BLACK</v>
      </c>
      <c r="G8145" s="20" t="str">
        <f>IFERROR(__xludf.DUMMYFUNCTION("""COMPUTED_VALUE"""),"Uncle Sams Cider (04/04/2023)")</f>
        <v>Uncle Sams Cider (04/04/2023)</v>
      </c>
      <c r="H8145" s="19"/>
    </row>
    <row r="8146">
      <c r="A8146" s="9"/>
      <c r="B8146" s="15"/>
      <c r="C8146" s="9">
        <f>IFERROR(__xludf.DUMMYFUNCTION("""COMPUTED_VALUE"""),45058.8002436458)</f>
        <v>45058.80024</v>
      </c>
      <c r="D8146" s="15">
        <f>IFERROR(__xludf.DUMMYFUNCTION("""COMPUTED_VALUE"""),1.017)</f>
        <v>1.017</v>
      </c>
      <c r="E8146" s="16">
        <f>IFERROR(__xludf.DUMMYFUNCTION("""COMPUTED_VALUE"""),65.0)</f>
        <v>65</v>
      </c>
      <c r="F8146" s="19" t="str">
        <f>IFERROR(__xludf.DUMMYFUNCTION("""COMPUTED_VALUE"""),"BLACK")</f>
        <v>BLACK</v>
      </c>
      <c r="G8146" s="20" t="str">
        <f>IFERROR(__xludf.DUMMYFUNCTION("""COMPUTED_VALUE"""),"Uncle Sams Cider (04/04/2023)")</f>
        <v>Uncle Sams Cider (04/04/2023)</v>
      </c>
      <c r="H8146" s="19"/>
    </row>
    <row r="8147">
      <c r="A8147" s="9"/>
      <c r="B8147" s="15"/>
      <c r="C8147" s="9">
        <f>IFERROR(__xludf.DUMMYFUNCTION("""COMPUTED_VALUE"""),45058.7897751967)</f>
        <v>45058.78978</v>
      </c>
      <c r="D8147" s="15">
        <f>IFERROR(__xludf.DUMMYFUNCTION("""COMPUTED_VALUE"""),1.017)</f>
        <v>1.017</v>
      </c>
      <c r="E8147" s="16">
        <f>IFERROR(__xludf.DUMMYFUNCTION("""COMPUTED_VALUE"""),64.0)</f>
        <v>64</v>
      </c>
      <c r="F8147" s="19" t="str">
        <f>IFERROR(__xludf.DUMMYFUNCTION("""COMPUTED_VALUE"""),"BLACK")</f>
        <v>BLACK</v>
      </c>
      <c r="G8147" s="20" t="str">
        <f>IFERROR(__xludf.DUMMYFUNCTION("""COMPUTED_VALUE"""),"Uncle Sams Cider (04/04/2023)")</f>
        <v>Uncle Sams Cider (04/04/2023)</v>
      </c>
      <c r="H8147" s="19"/>
    </row>
    <row r="8148">
      <c r="A8148" s="9"/>
      <c r="B8148" s="15"/>
      <c r="C8148" s="9">
        <f>IFERROR(__xludf.DUMMYFUNCTION("""COMPUTED_VALUE"""),45058.779308125)</f>
        <v>45058.77931</v>
      </c>
      <c r="D8148" s="15">
        <f>IFERROR(__xludf.DUMMYFUNCTION("""COMPUTED_VALUE"""),1.017)</f>
        <v>1.017</v>
      </c>
      <c r="E8148" s="16">
        <f>IFERROR(__xludf.DUMMYFUNCTION("""COMPUTED_VALUE"""),65.0)</f>
        <v>65</v>
      </c>
      <c r="F8148" s="19" t="str">
        <f>IFERROR(__xludf.DUMMYFUNCTION("""COMPUTED_VALUE"""),"BLACK")</f>
        <v>BLACK</v>
      </c>
      <c r="G8148" s="20" t="str">
        <f>IFERROR(__xludf.DUMMYFUNCTION("""COMPUTED_VALUE"""),"Uncle Sams Cider (04/04/2023)")</f>
        <v>Uncle Sams Cider (04/04/2023)</v>
      </c>
      <c r="H8148" s="19"/>
    </row>
    <row r="8149">
      <c r="A8149" s="9"/>
      <c r="B8149" s="15"/>
      <c r="C8149" s="9">
        <f>IFERROR(__xludf.DUMMYFUNCTION("""COMPUTED_VALUE"""),45058.7688869791)</f>
        <v>45058.76889</v>
      </c>
      <c r="D8149" s="15">
        <f>IFERROR(__xludf.DUMMYFUNCTION("""COMPUTED_VALUE"""),1.017)</f>
        <v>1.017</v>
      </c>
      <c r="E8149" s="16">
        <f>IFERROR(__xludf.DUMMYFUNCTION("""COMPUTED_VALUE"""),64.0)</f>
        <v>64</v>
      </c>
      <c r="F8149" s="19" t="str">
        <f>IFERROR(__xludf.DUMMYFUNCTION("""COMPUTED_VALUE"""),"BLACK")</f>
        <v>BLACK</v>
      </c>
      <c r="G8149" s="20" t="str">
        <f>IFERROR(__xludf.DUMMYFUNCTION("""COMPUTED_VALUE"""),"Uncle Sams Cider (04/04/2023)")</f>
        <v>Uncle Sams Cider (04/04/2023)</v>
      </c>
      <c r="H8149" s="19"/>
    </row>
    <row r="8150">
      <c r="A8150" s="9"/>
      <c r="B8150" s="15"/>
      <c r="C8150" s="9">
        <f>IFERROR(__xludf.DUMMYFUNCTION("""COMPUTED_VALUE"""),45058.7584422916)</f>
        <v>45058.75844</v>
      </c>
      <c r="D8150" s="15">
        <f>IFERROR(__xludf.DUMMYFUNCTION("""COMPUTED_VALUE"""),1.017)</f>
        <v>1.017</v>
      </c>
      <c r="E8150" s="16">
        <f>IFERROR(__xludf.DUMMYFUNCTION("""COMPUTED_VALUE"""),65.0)</f>
        <v>65</v>
      </c>
      <c r="F8150" s="19" t="str">
        <f>IFERROR(__xludf.DUMMYFUNCTION("""COMPUTED_VALUE"""),"BLACK")</f>
        <v>BLACK</v>
      </c>
      <c r="G8150" s="20" t="str">
        <f>IFERROR(__xludf.DUMMYFUNCTION("""COMPUTED_VALUE"""),"Uncle Sams Cider (04/04/2023)")</f>
        <v>Uncle Sams Cider (04/04/2023)</v>
      </c>
      <c r="H8150" s="19"/>
    </row>
    <row r="8151">
      <c r="A8151" s="9"/>
      <c r="B8151" s="15"/>
      <c r="C8151" s="9">
        <f>IFERROR(__xludf.DUMMYFUNCTION("""COMPUTED_VALUE"""),45058.7479988888)</f>
        <v>45058.748</v>
      </c>
      <c r="D8151" s="15">
        <f>IFERROR(__xludf.DUMMYFUNCTION("""COMPUTED_VALUE"""),1.017)</f>
        <v>1.017</v>
      </c>
      <c r="E8151" s="16">
        <f>IFERROR(__xludf.DUMMYFUNCTION("""COMPUTED_VALUE"""),64.0)</f>
        <v>64</v>
      </c>
      <c r="F8151" s="19" t="str">
        <f>IFERROR(__xludf.DUMMYFUNCTION("""COMPUTED_VALUE"""),"BLACK")</f>
        <v>BLACK</v>
      </c>
      <c r="G8151" s="20" t="str">
        <f>IFERROR(__xludf.DUMMYFUNCTION("""COMPUTED_VALUE"""),"Uncle Sams Cider (04/04/2023)")</f>
        <v>Uncle Sams Cider (04/04/2023)</v>
      </c>
      <c r="H8151" s="19"/>
    </row>
    <row r="8152">
      <c r="A8152" s="9"/>
      <c r="B8152" s="15"/>
      <c r="C8152" s="9">
        <f>IFERROR(__xludf.DUMMYFUNCTION("""COMPUTED_VALUE"""),45058.7375184722)</f>
        <v>45058.73752</v>
      </c>
      <c r="D8152" s="15">
        <f>IFERROR(__xludf.DUMMYFUNCTION("""COMPUTED_VALUE"""),1.017)</f>
        <v>1.017</v>
      </c>
      <c r="E8152" s="16">
        <f>IFERROR(__xludf.DUMMYFUNCTION("""COMPUTED_VALUE"""),65.0)</f>
        <v>65</v>
      </c>
      <c r="F8152" s="19" t="str">
        <f>IFERROR(__xludf.DUMMYFUNCTION("""COMPUTED_VALUE"""),"BLACK")</f>
        <v>BLACK</v>
      </c>
      <c r="G8152" s="20" t="str">
        <f>IFERROR(__xludf.DUMMYFUNCTION("""COMPUTED_VALUE"""),"Uncle Sams Cider (04/04/2023)")</f>
        <v>Uncle Sams Cider (04/04/2023)</v>
      </c>
      <c r="H8152" s="19"/>
    </row>
    <row r="8153">
      <c r="A8153" s="9"/>
      <c r="B8153" s="15"/>
      <c r="C8153" s="9">
        <f>IFERROR(__xludf.DUMMYFUNCTION("""COMPUTED_VALUE"""),45058.727097743)</f>
        <v>45058.7271</v>
      </c>
      <c r="D8153" s="15">
        <f>IFERROR(__xludf.DUMMYFUNCTION("""COMPUTED_VALUE"""),1.017)</f>
        <v>1.017</v>
      </c>
      <c r="E8153" s="16">
        <f>IFERROR(__xludf.DUMMYFUNCTION("""COMPUTED_VALUE"""),64.0)</f>
        <v>64</v>
      </c>
      <c r="F8153" s="19" t="str">
        <f>IFERROR(__xludf.DUMMYFUNCTION("""COMPUTED_VALUE"""),"BLACK")</f>
        <v>BLACK</v>
      </c>
      <c r="G8153" s="20" t="str">
        <f>IFERROR(__xludf.DUMMYFUNCTION("""COMPUTED_VALUE"""),"Uncle Sams Cider (04/04/2023)")</f>
        <v>Uncle Sams Cider (04/04/2023)</v>
      </c>
      <c r="H8153" s="19"/>
    </row>
    <row r="8154">
      <c r="A8154" s="9"/>
      <c r="B8154" s="15"/>
      <c r="C8154" s="9">
        <f>IFERROR(__xludf.DUMMYFUNCTION("""COMPUTED_VALUE"""),45058.7166655208)</f>
        <v>45058.71667</v>
      </c>
      <c r="D8154" s="15">
        <f>IFERROR(__xludf.DUMMYFUNCTION("""COMPUTED_VALUE"""),1.017)</f>
        <v>1.017</v>
      </c>
      <c r="E8154" s="16">
        <f>IFERROR(__xludf.DUMMYFUNCTION("""COMPUTED_VALUE"""),64.0)</f>
        <v>64</v>
      </c>
      <c r="F8154" s="19" t="str">
        <f>IFERROR(__xludf.DUMMYFUNCTION("""COMPUTED_VALUE"""),"BLACK")</f>
        <v>BLACK</v>
      </c>
      <c r="G8154" s="20" t="str">
        <f>IFERROR(__xludf.DUMMYFUNCTION("""COMPUTED_VALUE"""),"Uncle Sams Cider (04/04/2023)")</f>
        <v>Uncle Sams Cider (04/04/2023)</v>
      </c>
      <c r="H8154" s="19"/>
    </row>
    <row r="8155">
      <c r="A8155" s="9"/>
      <c r="B8155" s="15"/>
      <c r="C8155" s="9">
        <f>IFERROR(__xludf.DUMMYFUNCTION("""COMPUTED_VALUE"""),45058.7061761805)</f>
        <v>45058.70618</v>
      </c>
      <c r="D8155" s="15">
        <f>IFERROR(__xludf.DUMMYFUNCTION("""COMPUTED_VALUE"""),1.017)</f>
        <v>1.017</v>
      </c>
      <c r="E8155" s="16">
        <f>IFERROR(__xludf.DUMMYFUNCTION("""COMPUTED_VALUE"""),64.0)</f>
        <v>64</v>
      </c>
      <c r="F8155" s="19" t="str">
        <f>IFERROR(__xludf.DUMMYFUNCTION("""COMPUTED_VALUE"""),"BLACK")</f>
        <v>BLACK</v>
      </c>
      <c r="G8155" s="20" t="str">
        <f>IFERROR(__xludf.DUMMYFUNCTION("""COMPUTED_VALUE"""),"Uncle Sams Cider (04/04/2023)")</f>
        <v>Uncle Sams Cider (04/04/2023)</v>
      </c>
      <c r="H8155" s="19"/>
    </row>
    <row r="8156">
      <c r="A8156" s="9"/>
      <c r="B8156" s="15"/>
      <c r="C8156" s="9">
        <f>IFERROR(__xludf.DUMMYFUNCTION("""COMPUTED_VALUE"""),45058.6957204166)</f>
        <v>45058.69572</v>
      </c>
      <c r="D8156" s="15">
        <f>IFERROR(__xludf.DUMMYFUNCTION("""COMPUTED_VALUE"""),1.017)</f>
        <v>1.017</v>
      </c>
      <c r="E8156" s="16">
        <f>IFERROR(__xludf.DUMMYFUNCTION("""COMPUTED_VALUE"""),64.0)</f>
        <v>64</v>
      </c>
      <c r="F8156" s="19" t="str">
        <f>IFERROR(__xludf.DUMMYFUNCTION("""COMPUTED_VALUE"""),"BLACK")</f>
        <v>BLACK</v>
      </c>
      <c r="G8156" s="20" t="str">
        <f>IFERROR(__xludf.DUMMYFUNCTION("""COMPUTED_VALUE"""),"Uncle Sams Cider (04/04/2023)")</f>
        <v>Uncle Sams Cider (04/04/2023)</v>
      </c>
      <c r="H8156" s="19"/>
    </row>
    <row r="8157">
      <c r="A8157" s="9"/>
      <c r="B8157" s="15"/>
      <c r="C8157" s="9">
        <f>IFERROR(__xludf.DUMMYFUNCTION("""COMPUTED_VALUE"""),45058.6852989467)</f>
        <v>45058.6853</v>
      </c>
      <c r="D8157" s="15">
        <f>IFERROR(__xludf.DUMMYFUNCTION("""COMPUTED_VALUE"""),1.017)</f>
        <v>1.017</v>
      </c>
      <c r="E8157" s="16">
        <f>IFERROR(__xludf.DUMMYFUNCTION("""COMPUTED_VALUE"""),64.0)</f>
        <v>64</v>
      </c>
      <c r="F8157" s="19" t="str">
        <f>IFERROR(__xludf.DUMMYFUNCTION("""COMPUTED_VALUE"""),"BLACK")</f>
        <v>BLACK</v>
      </c>
      <c r="G8157" s="20" t="str">
        <f>IFERROR(__xludf.DUMMYFUNCTION("""COMPUTED_VALUE"""),"Uncle Sams Cider (04/04/2023)")</f>
        <v>Uncle Sams Cider (04/04/2023)</v>
      </c>
      <c r="H8157" s="19"/>
    </row>
    <row r="8158">
      <c r="A8158" s="9"/>
      <c r="B8158" s="15"/>
      <c r="C8158" s="9">
        <f>IFERROR(__xludf.DUMMYFUNCTION("""COMPUTED_VALUE"""),45058.6747857523)</f>
        <v>45058.67479</v>
      </c>
      <c r="D8158" s="15">
        <f>IFERROR(__xludf.DUMMYFUNCTION("""COMPUTED_VALUE"""),1.017)</f>
        <v>1.017</v>
      </c>
      <c r="E8158" s="16">
        <f>IFERROR(__xludf.DUMMYFUNCTION("""COMPUTED_VALUE"""),64.0)</f>
        <v>64</v>
      </c>
      <c r="F8158" s="19" t="str">
        <f>IFERROR(__xludf.DUMMYFUNCTION("""COMPUTED_VALUE"""),"BLACK")</f>
        <v>BLACK</v>
      </c>
      <c r="G8158" s="20" t="str">
        <f>IFERROR(__xludf.DUMMYFUNCTION("""COMPUTED_VALUE"""),"Uncle Sams Cider (04/04/2023)")</f>
        <v>Uncle Sams Cider (04/04/2023)</v>
      </c>
      <c r="H8158" s="19"/>
    </row>
    <row r="8159">
      <c r="A8159" s="9"/>
      <c r="B8159" s="15"/>
      <c r="C8159" s="9">
        <f>IFERROR(__xludf.DUMMYFUNCTION("""COMPUTED_VALUE"""),45058.6643060648)</f>
        <v>45058.66431</v>
      </c>
      <c r="D8159" s="15">
        <f>IFERROR(__xludf.DUMMYFUNCTION("""COMPUTED_VALUE"""),1.017)</f>
        <v>1.017</v>
      </c>
      <c r="E8159" s="16">
        <f>IFERROR(__xludf.DUMMYFUNCTION("""COMPUTED_VALUE"""),64.0)</f>
        <v>64</v>
      </c>
      <c r="F8159" s="19" t="str">
        <f>IFERROR(__xludf.DUMMYFUNCTION("""COMPUTED_VALUE"""),"BLACK")</f>
        <v>BLACK</v>
      </c>
      <c r="G8159" s="20" t="str">
        <f>IFERROR(__xludf.DUMMYFUNCTION("""COMPUTED_VALUE"""),"Uncle Sams Cider (04/04/2023)")</f>
        <v>Uncle Sams Cider (04/04/2023)</v>
      </c>
      <c r="H8159" s="19"/>
    </row>
    <row r="8160">
      <c r="A8160" s="9"/>
      <c r="B8160" s="15"/>
      <c r="C8160" s="9">
        <f>IFERROR(__xludf.DUMMYFUNCTION("""COMPUTED_VALUE"""),45058.6538741666)</f>
        <v>45058.65387</v>
      </c>
      <c r="D8160" s="15">
        <f>IFERROR(__xludf.DUMMYFUNCTION("""COMPUTED_VALUE"""),1.017)</f>
        <v>1.017</v>
      </c>
      <c r="E8160" s="16">
        <f>IFERROR(__xludf.DUMMYFUNCTION("""COMPUTED_VALUE"""),64.0)</f>
        <v>64</v>
      </c>
      <c r="F8160" s="19" t="str">
        <f>IFERROR(__xludf.DUMMYFUNCTION("""COMPUTED_VALUE"""),"BLACK")</f>
        <v>BLACK</v>
      </c>
      <c r="G8160" s="20" t="str">
        <f>IFERROR(__xludf.DUMMYFUNCTION("""COMPUTED_VALUE"""),"Uncle Sams Cider (04/04/2023)")</f>
        <v>Uncle Sams Cider (04/04/2023)</v>
      </c>
      <c r="H8160" s="19"/>
    </row>
    <row r="8161">
      <c r="A8161" s="9"/>
      <c r="B8161" s="15"/>
      <c r="C8161" s="9">
        <f>IFERROR(__xludf.DUMMYFUNCTION("""COMPUTED_VALUE"""),45058.6434528125)</f>
        <v>45058.64345</v>
      </c>
      <c r="D8161" s="15">
        <f>IFERROR(__xludf.DUMMYFUNCTION("""COMPUTED_VALUE"""),1.017)</f>
        <v>1.017</v>
      </c>
      <c r="E8161" s="16">
        <f>IFERROR(__xludf.DUMMYFUNCTION("""COMPUTED_VALUE"""),64.0)</f>
        <v>64</v>
      </c>
      <c r="F8161" s="19" t="str">
        <f>IFERROR(__xludf.DUMMYFUNCTION("""COMPUTED_VALUE"""),"BLACK")</f>
        <v>BLACK</v>
      </c>
      <c r="G8161" s="20" t="str">
        <f>IFERROR(__xludf.DUMMYFUNCTION("""COMPUTED_VALUE"""),"Uncle Sams Cider (04/04/2023)")</f>
        <v>Uncle Sams Cider (04/04/2023)</v>
      </c>
      <c r="H8161" s="19"/>
    </row>
    <row r="8162">
      <c r="A8162" s="9"/>
      <c r="B8162" s="15"/>
      <c r="C8162" s="9">
        <f>IFERROR(__xludf.DUMMYFUNCTION("""COMPUTED_VALUE"""),45058.6329158101)</f>
        <v>45058.63292</v>
      </c>
      <c r="D8162" s="15">
        <f>IFERROR(__xludf.DUMMYFUNCTION("""COMPUTED_VALUE"""),1.017)</f>
        <v>1.017</v>
      </c>
      <c r="E8162" s="16">
        <f>IFERROR(__xludf.DUMMYFUNCTION("""COMPUTED_VALUE"""),64.0)</f>
        <v>64</v>
      </c>
      <c r="F8162" s="19" t="str">
        <f>IFERROR(__xludf.DUMMYFUNCTION("""COMPUTED_VALUE"""),"BLACK")</f>
        <v>BLACK</v>
      </c>
      <c r="G8162" s="20" t="str">
        <f>IFERROR(__xludf.DUMMYFUNCTION("""COMPUTED_VALUE"""),"Uncle Sams Cider (04/04/2023)")</f>
        <v>Uncle Sams Cider (04/04/2023)</v>
      </c>
      <c r="H8162" s="19"/>
    </row>
    <row r="8163">
      <c r="A8163" s="9"/>
      <c r="B8163" s="15"/>
      <c r="C8163" s="9">
        <f>IFERROR(__xludf.DUMMYFUNCTION("""COMPUTED_VALUE"""),45058.6224606365)</f>
        <v>45058.62246</v>
      </c>
      <c r="D8163" s="15">
        <f>IFERROR(__xludf.DUMMYFUNCTION("""COMPUTED_VALUE"""),1.017)</f>
        <v>1.017</v>
      </c>
      <c r="E8163" s="16">
        <f>IFERROR(__xludf.DUMMYFUNCTION("""COMPUTED_VALUE"""),64.0)</f>
        <v>64</v>
      </c>
      <c r="F8163" s="19" t="str">
        <f>IFERROR(__xludf.DUMMYFUNCTION("""COMPUTED_VALUE"""),"BLACK")</f>
        <v>BLACK</v>
      </c>
      <c r="G8163" s="20" t="str">
        <f>IFERROR(__xludf.DUMMYFUNCTION("""COMPUTED_VALUE"""),"Uncle Sams Cider (04/04/2023)")</f>
        <v>Uncle Sams Cider (04/04/2023)</v>
      </c>
      <c r="H8163" s="19"/>
    </row>
    <row r="8164">
      <c r="A8164" s="9"/>
      <c r="B8164" s="15"/>
      <c r="C8164" s="9">
        <f>IFERROR(__xludf.DUMMYFUNCTION("""COMPUTED_VALUE"""),45058.6120395833)</f>
        <v>45058.61204</v>
      </c>
      <c r="D8164" s="15">
        <f>IFERROR(__xludf.DUMMYFUNCTION("""COMPUTED_VALUE"""),1.017)</f>
        <v>1.017</v>
      </c>
      <c r="E8164" s="16">
        <f>IFERROR(__xludf.DUMMYFUNCTION("""COMPUTED_VALUE"""),64.0)</f>
        <v>64</v>
      </c>
      <c r="F8164" s="19" t="str">
        <f>IFERROR(__xludf.DUMMYFUNCTION("""COMPUTED_VALUE"""),"BLACK")</f>
        <v>BLACK</v>
      </c>
      <c r="G8164" s="20" t="str">
        <f>IFERROR(__xludf.DUMMYFUNCTION("""COMPUTED_VALUE"""),"Uncle Sams Cider (04/04/2023)")</f>
        <v>Uncle Sams Cider (04/04/2023)</v>
      </c>
      <c r="H8164" s="19"/>
    </row>
    <row r="8165">
      <c r="A8165" s="9"/>
      <c r="B8165" s="15"/>
      <c r="C8165" s="9">
        <f>IFERROR(__xludf.DUMMYFUNCTION("""COMPUTED_VALUE"""),45058.601620706)</f>
        <v>45058.60162</v>
      </c>
      <c r="D8165" s="15">
        <f>IFERROR(__xludf.DUMMYFUNCTION("""COMPUTED_VALUE"""),1.017)</f>
        <v>1.017</v>
      </c>
      <c r="E8165" s="16">
        <f>IFERROR(__xludf.DUMMYFUNCTION("""COMPUTED_VALUE"""),64.0)</f>
        <v>64</v>
      </c>
      <c r="F8165" s="19" t="str">
        <f>IFERROR(__xludf.DUMMYFUNCTION("""COMPUTED_VALUE"""),"BLACK")</f>
        <v>BLACK</v>
      </c>
      <c r="G8165" s="20" t="str">
        <f>IFERROR(__xludf.DUMMYFUNCTION("""COMPUTED_VALUE"""),"Uncle Sams Cider (04/04/2023)")</f>
        <v>Uncle Sams Cider (04/04/2023)</v>
      </c>
      <c r="H8165" s="19"/>
    </row>
    <row r="8166">
      <c r="A8166" s="9"/>
      <c r="B8166" s="15"/>
      <c r="C8166" s="9">
        <f>IFERROR(__xludf.DUMMYFUNCTION("""COMPUTED_VALUE"""),45058.5911648726)</f>
        <v>45058.59116</v>
      </c>
      <c r="D8166" s="15">
        <f>IFERROR(__xludf.DUMMYFUNCTION("""COMPUTED_VALUE"""),1.017)</f>
        <v>1.017</v>
      </c>
      <c r="E8166" s="16">
        <f>IFERROR(__xludf.DUMMYFUNCTION("""COMPUTED_VALUE"""),64.0)</f>
        <v>64</v>
      </c>
      <c r="F8166" s="19" t="str">
        <f>IFERROR(__xludf.DUMMYFUNCTION("""COMPUTED_VALUE"""),"BLACK")</f>
        <v>BLACK</v>
      </c>
      <c r="G8166" s="20" t="str">
        <f>IFERROR(__xludf.DUMMYFUNCTION("""COMPUTED_VALUE"""),"Uncle Sams Cider (04/04/2023)")</f>
        <v>Uncle Sams Cider (04/04/2023)</v>
      </c>
      <c r="H8166" s="19"/>
    </row>
    <row r="8167">
      <c r="A8167" s="9"/>
      <c r="B8167" s="15"/>
      <c r="C8167" s="9">
        <f>IFERROR(__xludf.DUMMYFUNCTION("""COMPUTED_VALUE"""),45058.5806284027)</f>
        <v>45058.58063</v>
      </c>
      <c r="D8167" s="15">
        <f>IFERROR(__xludf.DUMMYFUNCTION("""COMPUTED_VALUE"""),1.017)</f>
        <v>1.017</v>
      </c>
      <c r="E8167" s="16">
        <f>IFERROR(__xludf.DUMMYFUNCTION("""COMPUTED_VALUE"""),64.0)</f>
        <v>64</v>
      </c>
      <c r="F8167" s="19" t="str">
        <f>IFERROR(__xludf.DUMMYFUNCTION("""COMPUTED_VALUE"""),"BLACK")</f>
        <v>BLACK</v>
      </c>
      <c r="G8167" s="20" t="str">
        <f>IFERROR(__xludf.DUMMYFUNCTION("""COMPUTED_VALUE"""),"Uncle Sams Cider (04/04/2023)")</f>
        <v>Uncle Sams Cider (04/04/2023)</v>
      </c>
      <c r="H8167" s="19"/>
    </row>
    <row r="8168">
      <c r="A8168" s="9"/>
      <c r="B8168" s="15"/>
      <c r="C8168" s="9">
        <f>IFERROR(__xludf.DUMMYFUNCTION("""COMPUTED_VALUE"""),45058.5702077199)</f>
        <v>45058.57021</v>
      </c>
      <c r="D8168" s="15">
        <f>IFERROR(__xludf.DUMMYFUNCTION("""COMPUTED_VALUE"""),1.017)</f>
        <v>1.017</v>
      </c>
      <c r="E8168" s="16">
        <f>IFERROR(__xludf.DUMMYFUNCTION("""COMPUTED_VALUE"""),64.0)</f>
        <v>64</v>
      </c>
      <c r="F8168" s="19" t="str">
        <f>IFERROR(__xludf.DUMMYFUNCTION("""COMPUTED_VALUE"""),"BLACK")</f>
        <v>BLACK</v>
      </c>
      <c r="G8168" s="20" t="str">
        <f>IFERROR(__xludf.DUMMYFUNCTION("""COMPUTED_VALUE"""),"Uncle Sams Cider (04/04/2023)")</f>
        <v>Uncle Sams Cider (04/04/2023)</v>
      </c>
      <c r="H8168" s="19"/>
    </row>
    <row r="8169">
      <c r="A8169" s="9"/>
      <c r="B8169" s="15"/>
      <c r="C8169" s="9">
        <f>IFERROR(__xludf.DUMMYFUNCTION("""COMPUTED_VALUE"""),45058.5597885648)</f>
        <v>45058.55979</v>
      </c>
      <c r="D8169" s="15">
        <f>IFERROR(__xludf.DUMMYFUNCTION("""COMPUTED_VALUE"""),1.017)</f>
        <v>1.017</v>
      </c>
      <c r="E8169" s="16">
        <f>IFERROR(__xludf.DUMMYFUNCTION("""COMPUTED_VALUE"""),64.0)</f>
        <v>64</v>
      </c>
      <c r="F8169" s="19" t="str">
        <f>IFERROR(__xludf.DUMMYFUNCTION("""COMPUTED_VALUE"""),"BLACK")</f>
        <v>BLACK</v>
      </c>
      <c r="G8169" s="20" t="str">
        <f>IFERROR(__xludf.DUMMYFUNCTION("""COMPUTED_VALUE"""),"Uncle Sams Cider (04/04/2023)")</f>
        <v>Uncle Sams Cider (04/04/2023)</v>
      </c>
      <c r="H8169" s="19"/>
    </row>
    <row r="8170">
      <c r="A8170" s="9"/>
      <c r="B8170" s="15"/>
      <c r="C8170" s="9">
        <f>IFERROR(__xludf.DUMMYFUNCTION("""COMPUTED_VALUE"""),45058.5493675694)</f>
        <v>45058.54937</v>
      </c>
      <c r="D8170" s="15">
        <f>IFERROR(__xludf.DUMMYFUNCTION("""COMPUTED_VALUE"""),1.017)</f>
        <v>1.017</v>
      </c>
      <c r="E8170" s="16">
        <f>IFERROR(__xludf.DUMMYFUNCTION("""COMPUTED_VALUE"""),64.0)</f>
        <v>64</v>
      </c>
      <c r="F8170" s="19" t="str">
        <f>IFERROR(__xludf.DUMMYFUNCTION("""COMPUTED_VALUE"""),"BLACK")</f>
        <v>BLACK</v>
      </c>
      <c r="G8170" s="20" t="str">
        <f>IFERROR(__xludf.DUMMYFUNCTION("""COMPUTED_VALUE"""),"Uncle Sams Cider (04/04/2023)")</f>
        <v>Uncle Sams Cider (04/04/2023)</v>
      </c>
      <c r="H8170" s="19"/>
    </row>
    <row r="8171">
      <c r="A8171" s="9"/>
      <c r="B8171" s="15"/>
      <c r="C8171" s="9">
        <f>IFERROR(__xludf.DUMMYFUNCTION("""COMPUTED_VALUE"""),45058.5389470254)</f>
        <v>45058.53895</v>
      </c>
      <c r="D8171" s="15">
        <f>IFERROR(__xludf.DUMMYFUNCTION("""COMPUTED_VALUE"""),1.017)</f>
        <v>1.017</v>
      </c>
      <c r="E8171" s="16">
        <f>IFERROR(__xludf.DUMMYFUNCTION("""COMPUTED_VALUE"""),64.0)</f>
        <v>64</v>
      </c>
      <c r="F8171" s="19" t="str">
        <f>IFERROR(__xludf.DUMMYFUNCTION("""COMPUTED_VALUE"""),"BLACK")</f>
        <v>BLACK</v>
      </c>
      <c r="G8171" s="20" t="str">
        <f>IFERROR(__xludf.DUMMYFUNCTION("""COMPUTED_VALUE"""),"Uncle Sams Cider (04/04/2023)")</f>
        <v>Uncle Sams Cider (04/04/2023)</v>
      </c>
      <c r="H8171" s="19"/>
    </row>
    <row r="8172">
      <c r="A8172" s="9"/>
      <c r="B8172" s="15"/>
      <c r="C8172" s="9">
        <f>IFERROR(__xludf.DUMMYFUNCTION("""COMPUTED_VALUE"""),45058.5285233912)</f>
        <v>45058.52852</v>
      </c>
      <c r="D8172" s="15">
        <f>IFERROR(__xludf.DUMMYFUNCTION("""COMPUTED_VALUE"""),1.017)</f>
        <v>1.017</v>
      </c>
      <c r="E8172" s="16">
        <f>IFERROR(__xludf.DUMMYFUNCTION("""COMPUTED_VALUE"""),64.0)</f>
        <v>64</v>
      </c>
      <c r="F8172" s="19" t="str">
        <f>IFERROR(__xludf.DUMMYFUNCTION("""COMPUTED_VALUE"""),"BLACK")</f>
        <v>BLACK</v>
      </c>
      <c r="G8172" s="20" t="str">
        <f>IFERROR(__xludf.DUMMYFUNCTION("""COMPUTED_VALUE"""),"Uncle Sams Cider (04/04/2023)")</f>
        <v>Uncle Sams Cider (04/04/2023)</v>
      </c>
      <c r="H8172" s="19"/>
    </row>
    <row r="8173">
      <c r="A8173" s="9"/>
      <c r="B8173" s="15"/>
      <c r="C8173" s="9">
        <f>IFERROR(__xludf.DUMMYFUNCTION("""COMPUTED_VALUE"""),45058.5181020949)</f>
        <v>45058.5181</v>
      </c>
      <c r="D8173" s="15">
        <f>IFERROR(__xludf.DUMMYFUNCTION("""COMPUTED_VALUE"""),1.017)</f>
        <v>1.017</v>
      </c>
      <c r="E8173" s="16">
        <f>IFERROR(__xludf.DUMMYFUNCTION("""COMPUTED_VALUE"""),64.0)</f>
        <v>64</v>
      </c>
      <c r="F8173" s="19" t="str">
        <f>IFERROR(__xludf.DUMMYFUNCTION("""COMPUTED_VALUE"""),"BLACK")</f>
        <v>BLACK</v>
      </c>
      <c r="G8173" s="20" t="str">
        <f>IFERROR(__xludf.DUMMYFUNCTION("""COMPUTED_VALUE"""),"Uncle Sams Cider (04/04/2023)")</f>
        <v>Uncle Sams Cider (04/04/2023)</v>
      </c>
      <c r="H8173" s="19"/>
    </row>
    <row r="8174">
      <c r="A8174" s="9"/>
      <c r="B8174" s="15"/>
      <c r="C8174" s="9">
        <f>IFERROR(__xludf.DUMMYFUNCTION("""COMPUTED_VALUE"""),45058.5076800925)</f>
        <v>45058.50768</v>
      </c>
      <c r="D8174" s="15">
        <f>IFERROR(__xludf.DUMMYFUNCTION("""COMPUTED_VALUE"""),1.017)</f>
        <v>1.017</v>
      </c>
      <c r="E8174" s="16">
        <f>IFERROR(__xludf.DUMMYFUNCTION("""COMPUTED_VALUE"""),64.0)</f>
        <v>64</v>
      </c>
      <c r="F8174" s="19" t="str">
        <f>IFERROR(__xludf.DUMMYFUNCTION("""COMPUTED_VALUE"""),"BLACK")</f>
        <v>BLACK</v>
      </c>
      <c r="G8174" s="20" t="str">
        <f>IFERROR(__xludf.DUMMYFUNCTION("""COMPUTED_VALUE"""),"Uncle Sams Cider (04/04/2023)")</f>
        <v>Uncle Sams Cider (04/04/2023)</v>
      </c>
      <c r="H8174" s="19"/>
    </row>
    <row r="8175">
      <c r="A8175" s="9"/>
      <c r="B8175" s="15"/>
      <c r="C8175" s="9">
        <f>IFERROR(__xludf.DUMMYFUNCTION("""COMPUTED_VALUE"""),45058.4972479282)</f>
        <v>45058.49725</v>
      </c>
      <c r="D8175" s="15">
        <f>IFERROR(__xludf.DUMMYFUNCTION("""COMPUTED_VALUE"""),1.017)</f>
        <v>1.017</v>
      </c>
      <c r="E8175" s="16">
        <f>IFERROR(__xludf.DUMMYFUNCTION("""COMPUTED_VALUE"""),64.0)</f>
        <v>64</v>
      </c>
      <c r="F8175" s="19" t="str">
        <f>IFERROR(__xludf.DUMMYFUNCTION("""COMPUTED_VALUE"""),"BLACK")</f>
        <v>BLACK</v>
      </c>
      <c r="G8175" s="20" t="str">
        <f>IFERROR(__xludf.DUMMYFUNCTION("""COMPUTED_VALUE"""),"Uncle Sams Cider (04/04/2023)")</f>
        <v>Uncle Sams Cider (04/04/2023)</v>
      </c>
      <c r="H8175" s="19"/>
    </row>
    <row r="8176">
      <c r="A8176" s="9"/>
      <c r="B8176" s="15"/>
      <c r="C8176" s="9">
        <f>IFERROR(__xludf.DUMMYFUNCTION("""COMPUTED_VALUE"""),45058.4868040856)</f>
        <v>45058.4868</v>
      </c>
      <c r="D8176" s="15">
        <f>IFERROR(__xludf.DUMMYFUNCTION("""COMPUTED_VALUE"""),1.017)</f>
        <v>1.017</v>
      </c>
      <c r="E8176" s="16">
        <f>IFERROR(__xludf.DUMMYFUNCTION("""COMPUTED_VALUE"""),64.0)</f>
        <v>64</v>
      </c>
      <c r="F8176" s="19" t="str">
        <f>IFERROR(__xludf.DUMMYFUNCTION("""COMPUTED_VALUE"""),"BLACK")</f>
        <v>BLACK</v>
      </c>
      <c r="G8176" s="20" t="str">
        <f>IFERROR(__xludf.DUMMYFUNCTION("""COMPUTED_VALUE"""),"Uncle Sams Cider (04/04/2023)")</f>
        <v>Uncle Sams Cider (04/04/2023)</v>
      </c>
      <c r="H8176" s="19"/>
    </row>
    <row r="8177">
      <c r="A8177" s="9"/>
      <c r="B8177" s="15"/>
      <c r="C8177" s="9">
        <f>IFERROR(__xludf.DUMMYFUNCTION("""COMPUTED_VALUE"""),45058.4763715277)</f>
        <v>45058.47637</v>
      </c>
      <c r="D8177" s="15">
        <f>IFERROR(__xludf.DUMMYFUNCTION("""COMPUTED_VALUE"""),1.017)</f>
        <v>1.017</v>
      </c>
      <c r="E8177" s="16">
        <f>IFERROR(__xludf.DUMMYFUNCTION("""COMPUTED_VALUE"""),64.0)</f>
        <v>64</v>
      </c>
      <c r="F8177" s="19" t="str">
        <f>IFERROR(__xludf.DUMMYFUNCTION("""COMPUTED_VALUE"""),"BLACK")</f>
        <v>BLACK</v>
      </c>
      <c r="G8177" s="20" t="str">
        <f>IFERROR(__xludf.DUMMYFUNCTION("""COMPUTED_VALUE"""),"Uncle Sams Cider (04/04/2023)")</f>
        <v>Uncle Sams Cider (04/04/2023)</v>
      </c>
      <c r="H8177" s="19"/>
    </row>
    <row r="8178">
      <c r="A8178" s="9"/>
      <c r="B8178" s="15"/>
      <c r="C8178" s="9">
        <f>IFERROR(__xludf.DUMMYFUNCTION("""COMPUTED_VALUE"""),45058.465890706)</f>
        <v>45058.46589</v>
      </c>
      <c r="D8178" s="15">
        <f>IFERROR(__xludf.DUMMYFUNCTION("""COMPUTED_VALUE"""),1.017)</f>
        <v>1.017</v>
      </c>
      <c r="E8178" s="16">
        <f>IFERROR(__xludf.DUMMYFUNCTION("""COMPUTED_VALUE"""),64.0)</f>
        <v>64</v>
      </c>
      <c r="F8178" s="19" t="str">
        <f>IFERROR(__xludf.DUMMYFUNCTION("""COMPUTED_VALUE"""),"BLACK")</f>
        <v>BLACK</v>
      </c>
      <c r="G8178" s="20" t="str">
        <f>IFERROR(__xludf.DUMMYFUNCTION("""COMPUTED_VALUE"""),"Uncle Sams Cider (04/04/2023)")</f>
        <v>Uncle Sams Cider (04/04/2023)</v>
      </c>
      <c r="H8178" s="19"/>
    </row>
    <row r="8179">
      <c r="A8179" s="9"/>
      <c r="B8179" s="15"/>
      <c r="C8179" s="9">
        <f>IFERROR(__xludf.DUMMYFUNCTION("""COMPUTED_VALUE"""),45058.4554687615)</f>
        <v>45058.45547</v>
      </c>
      <c r="D8179" s="15">
        <f>IFERROR(__xludf.DUMMYFUNCTION("""COMPUTED_VALUE"""),1.017)</f>
        <v>1.017</v>
      </c>
      <c r="E8179" s="16">
        <f>IFERROR(__xludf.DUMMYFUNCTION("""COMPUTED_VALUE"""),64.0)</f>
        <v>64</v>
      </c>
      <c r="F8179" s="19" t="str">
        <f>IFERROR(__xludf.DUMMYFUNCTION("""COMPUTED_VALUE"""),"BLACK")</f>
        <v>BLACK</v>
      </c>
      <c r="G8179" s="20" t="str">
        <f>IFERROR(__xludf.DUMMYFUNCTION("""COMPUTED_VALUE"""),"Uncle Sams Cider (04/04/2023)")</f>
        <v>Uncle Sams Cider (04/04/2023)</v>
      </c>
      <c r="H8179" s="19"/>
    </row>
    <row r="8180">
      <c r="A8180" s="9"/>
      <c r="B8180" s="15"/>
      <c r="C8180" s="9">
        <f>IFERROR(__xludf.DUMMYFUNCTION("""COMPUTED_VALUE"""),45058.4450478472)</f>
        <v>45058.44505</v>
      </c>
      <c r="D8180" s="15">
        <f>IFERROR(__xludf.DUMMYFUNCTION("""COMPUTED_VALUE"""),1.017)</f>
        <v>1.017</v>
      </c>
      <c r="E8180" s="16">
        <f>IFERROR(__xludf.DUMMYFUNCTION("""COMPUTED_VALUE"""),64.0)</f>
        <v>64</v>
      </c>
      <c r="F8180" s="19" t="str">
        <f>IFERROR(__xludf.DUMMYFUNCTION("""COMPUTED_VALUE"""),"BLACK")</f>
        <v>BLACK</v>
      </c>
      <c r="G8180" s="20" t="str">
        <f>IFERROR(__xludf.DUMMYFUNCTION("""COMPUTED_VALUE"""),"Uncle Sams Cider (04/04/2023)")</f>
        <v>Uncle Sams Cider (04/04/2023)</v>
      </c>
      <c r="H8180" s="19"/>
    </row>
    <row r="8181">
      <c r="A8181" s="9"/>
      <c r="B8181" s="15"/>
      <c r="C8181" s="9">
        <f>IFERROR(__xludf.DUMMYFUNCTION("""COMPUTED_VALUE"""),45058.4346254282)</f>
        <v>45058.43463</v>
      </c>
      <c r="D8181" s="15">
        <f>IFERROR(__xludf.DUMMYFUNCTION("""COMPUTED_VALUE"""),1.017)</f>
        <v>1.017</v>
      </c>
      <c r="E8181" s="16">
        <f>IFERROR(__xludf.DUMMYFUNCTION("""COMPUTED_VALUE"""),64.0)</f>
        <v>64</v>
      </c>
      <c r="F8181" s="19" t="str">
        <f>IFERROR(__xludf.DUMMYFUNCTION("""COMPUTED_VALUE"""),"BLACK")</f>
        <v>BLACK</v>
      </c>
      <c r="G8181" s="20" t="str">
        <f>IFERROR(__xludf.DUMMYFUNCTION("""COMPUTED_VALUE"""),"Uncle Sams Cider (04/04/2023)")</f>
        <v>Uncle Sams Cider (04/04/2023)</v>
      </c>
      <c r="H8181" s="19"/>
    </row>
    <row r="8182">
      <c r="A8182" s="9"/>
      <c r="B8182" s="15"/>
      <c r="C8182" s="9">
        <f>IFERROR(__xludf.DUMMYFUNCTION("""COMPUTED_VALUE"""),45058.4242032523)</f>
        <v>45058.4242</v>
      </c>
      <c r="D8182" s="15">
        <f>IFERROR(__xludf.DUMMYFUNCTION("""COMPUTED_VALUE"""),1.016)</f>
        <v>1.016</v>
      </c>
      <c r="E8182" s="16">
        <f>IFERROR(__xludf.DUMMYFUNCTION("""COMPUTED_VALUE"""),64.0)</f>
        <v>64</v>
      </c>
      <c r="F8182" s="19" t="str">
        <f>IFERROR(__xludf.DUMMYFUNCTION("""COMPUTED_VALUE"""),"BLACK")</f>
        <v>BLACK</v>
      </c>
      <c r="G8182" s="20" t="str">
        <f>IFERROR(__xludf.DUMMYFUNCTION("""COMPUTED_VALUE"""),"Uncle Sams Cider (04/04/2023)")</f>
        <v>Uncle Sams Cider (04/04/2023)</v>
      </c>
      <c r="H8182" s="19"/>
    </row>
    <row r="8183">
      <c r="A8183" s="9"/>
      <c r="B8183" s="15"/>
      <c r="C8183" s="9">
        <f>IFERROR(__xludf.DUMMYFUNCTION("""COMPUTED_VALUE"""),45058.4137708912)</f>
        <v>45058.41377</v>
      </c>
      <c r="D8183" s="15">
        <f>IFERROR(__xludf.DUMMYFUNCTION("""COMPUTED_VALUE"""),1.017)</f>
        <v>1.017</v>
      </c>
      <c r="E8183" s="16">
        <f>IFERROR(__xludf.DUMMYFUNCTION("""COMPUTED_VALUE"""),64.0)</f>
        <v>64</v>
      </c>
      <c r="F8183" s="19" t="str">
        <f>IFERROR(__xludf.DUMMYFUNCTION("""COMPUTED_VALUE"""),"BLACK")</f>
        <v>BLACK</v>
      </c>
      <c r="G8183" s="20" t="str">
        <f>IFERROR(__xludf.DUMMYFUNCTION("""COMPUTED_VALUE"""),"Uncle Sams Cider (04/04/2023)")</f>
        <v>Uncle Sams Cider (04/04/2023)</v>
      </c>
      <c r="H8183" s="19"/>
    </row>
    <row r="8184">
      <c r="A8184" s="9"/>
      <c r="B8184" s="15"/>
      <c r="C8184" s="9">
        <f>IFERROR(__xludf.DUMMYFUNCTION("""COMPUTED_VALUE"""),45058.4033382523)</f>
        <v>45058.40334</v>
      </c>
      <c r="D8184" s="15">
        <f>IFERROR(__xludf.DUMMYFUNCTION("""COMPUTED_VALUE"""),1.017)</f>
        <v>1.017</v>
      </c>
      <c r="E8184" s="16">
        <f>IFERROR(__xludf.DUMMYFUNCTION("""COMPUTED_VALUE"""),64.0)</f>
        <v>64</v>
      </c>
      <c r="F8184" s="19" t="str">
        <f>IFERROR(__xludf.DUMMYFUNCTION("""COMPUTED_VALUE"""),"BLACK")</f>
        <v>BLACK</v>
      </c>
      <c r="G8184" s="20" t="str">
        <f>IFERROR(__xludf.DUMMYFUNCTION("""COMPUTED_VALUE"""),"Uncle Sams Cider (04/04/2023)")</f>
        <v>Uncle Sams Cider (04/04/2023)</v>
      </c>
      <c r="H8184" s="19"/>
    </row>
    <row r="8185">
      <c r="A8185" s="9"/>
      <c r="B8185" s="15"/>
      <c r="C8185" s="9">
        <f>IFERROR(__xludf.DUMMYFUNCTION("""COMPUTED_VALUE"""),45058.392917824)</f>
        <v>45058.39292</v>
      </c>
      <c r="D8185" s="15">
        <f>IFERROR(__xludf.DUMMYFUNCTION("""COMPUTED_VALUE"""),1.017)</f>
        <v>1.017</v>
      </c>
      <c r="E8185" s="16">
        <f>IFERROR(__xludf.DUMMYFUNCTION("""COMPUTED_VALUE"""),64.0)</f>
        <v>64</v>
      </c>
      <c r="F8185" s="19" t="str">
        <f>IFERROR(__xludf.DUMMYFUNCTION("""COMPUTED_VALUE"""),"BLACK")</f>
        <v>BLACK</v>
      </c>
      <c r="G8185" s="20" t="str">
        <f>IFERROR(__xludf.DUMMYFUNCTION("""COMPUTED_VALUE"""),"Uncle Sams Cider (04/04/2023)")</f>
        <v>Uncle Sams Cider (04/04/2023)</v>
      </c>
      <c r="H8185" s="19"/>
    </row>
    <row r="8186">
      <c r="A8186" s="9"/>
      <c r="B8186" s="15"/>
      <c r="C8186" s="9">
        <f>IFERROR(__xludf.DUMMYFUNCTION("""COMPUTED_VALUE"""),45058.3824974421)</f>
        <v>45058.3825</v>
      </c>
      <c r="D8186" s="15">
        <f>IFERROR(__xludf.DUMMYFUNCTION("""COMPUTED_VALUE"""),1.017)</f>
        <v>1.017</v>
      </c>
      <c r="E8186" s="16">
        <f>IFERROR(__xludf.DUMMYFUNCTION("""COMPUTED_VALUE"""),64.0)</f>
        <v>64</v>
      </c>
      <c r="F8186" s="19" t="str">
        <f>IFERROR(__xludf.DUMMYFUNCTION("""COMPUTED_VALUE"""),"BLACK")</f>
        <v>BLACK</v>
      </c>
      <c r="G8186" s="20" t="str">
        <f>IFERROR(__xludf.DUMMYFUNCTION("""COMPUTED_VALUE"""),"Uncle Sams Cider (04/04/2023)")</f>
        <v>Uncle Sams Cider (04/04/2023)</v>
      </c>
      <c r="H8186" s="19"/>
    </row>
    <row r="8187">
      <c r="A8187" s="9"/>
      <c r="B8187" s="15"/>
      <c r="C8187" s="9">
        <f>IFERROR(__xludf.DUMMYFUNCTION("""COMPUTED_VALUE"""),45058.3720764236)</f>
        <v>45058.37208</v>
      </c>
      <c r="D8187" s="15">
        <f>IFERROR(__xludf.DUMMYFUNCTION("""COMPUTED_VALUE"""),1.017)</f>
        <v>1.017</v>
      </c>
      <c r="E8187" s="16">
        <f>IFERROR(__xludf.DUMMYFUNCTION("""COMPUTED_VALUE"""),64.0)</f>
        <v>64</v>
      </c>
      <c r="F8187" s="19" t="str">
        <f>IFERROR(__xludf.DUMMYFUNCTION("""COMPUTED_VALUE"""),"BLACK")</f>
        <v>BLACK</v>
      </c>
      <c r="G8187" s="20" t="str">
        <f>IFERROR(__xludf.DUMMYFUNCTION("""COMPUTED_VALUE"""),"Uncle Sams Cider (04/04/2023)")</f>
        <v>Uncle Sams Cider (04/04/2023)</v>
      </c>
      <c r="H8187" s="19"/>
    </row>
    <row r="8188">
      <c r="A8188" s="9"/>
      <c r="B8188" s="15"/>
      <c r="C8188" s="9">
        <f>IFERROR(__xludf.DUMMYFUNCTION("""COMPUTED_VALUE"""),45058.3616453703)</f>
        <v>45058.36165</v>
      </c>
      <c r="D8188" s="15">
        <f>IFERROR(__xludf.DUMMYFUNCTION("""COMPUTED_VALUE"""),1.017)</f>
        <v>1.017</v>
      </c>
      <c r="E8188" s="16">
        <f>IFERROR(__xludf.DUMMYFUNCTION("""COMPUTED_VALUE"""),64.0)</f>
        <v>64</v>
      </c>
      <c r="F8188" s="19" t="str">
        <f>IFERROR(__xludf.DUMMYFUNCTION("""COMPUTED_VALUE"""),"BLACK")</f>
        <v>BLACK</v>
      </c>
      <c r="G8188" s="20" t="str">
        <f>IFERROR(__xludf.DUMMYFUNCTION("""COMPUTED_VALUE"""),"Uncle Sams Cider (04/04/2023)")</f>
        <v>Uncle Sams Cider (04/04/2023)</v>
      </c>
      <c r="H8188" s="19"/>
    </row>
    <row r="8189">
      <c r="A8189" s="9"/>
      <c r="B8189" s="15"/>
      <c r="C8189" s="9">
        <f>IFERROR(__xludf.DUMMYFUNCTION("""COMPUTED_VALUE"""),45058.3512240509)</f>
        <v>45058.35122</v>
      </c>
      <c r="D8189" s="15">
        <f>IFERROR(__xludf.DUMMYFUNCTION("""COMPUTED_VALUE"""),1.017)</f>
        <v>1.017</v>
      </c>
      <c r="E8189" s="16">
        <f>IFERROR(__xludf.DUMMYFUNCTION("""COMPUTED_VALUE"""),64.0)</f>
        <v>64</v>
      </c>
      <c r="F8189" s="19" t="str">
        <f>IFERROR(__xludf.DUMMYFUNCTION("""COMPUTED_VALUE"""),"BLACK")</f>
        <v>BLACK</v>
      </c>
      <c r="G8189" s="20" t="str">
        <f>IFERROR(__xludf.DUMMYFUNCTION("""COMPUTED_VALUE"""),"Uncle Sams Cider (04/04/2023)")</f>
        <v>Uncle Sams Cider (04/04/2023)</v>
      </c>
      <c r="H8189" s="19"/>
    </row>
    <row r="8190">
      <c r="A8190" s="9"/>
      <c r="B8190" s="15"/>
      <c r="C8190" s="9">
        <f>IFERROR(__xludf.DUMMYFUNCTION("""COMPUTED_VALUE"""),45058.3408013773)</f>
        <v>45058.3408</v>
      </c>
      <c r="D8190" s="15">
        <f>IFERROR(__xludf.DUMMYFUNCTION("""COMPUTED_VALUE"""),1.017)</f>
        <v>1.017</v>
      </c>
      <c r="E8190" s="16">
        <f>IFERROR(__xludf.DUMMYFUNCTION("""COMPUTED_VALUE"""),64.0)</f>
        <v>64</v>
      </c>
      <c r="F8190" s="19" t="str">
        <f>IFERROR(__xludf.DUMMYFUNCTION("""COMPUTED_VALUE"""),"BLACK")</f>
        <v>BLACK</v>
      </c>
      <c r="G8190" s="20" t="str">
        <f>IFERROR(__xludf.DUMMYFUNCTION("""COMPUTED_VALUE"""),"Uncle Sams Cider (04/04/2023)")</f>
        <v>Uncle Sams Cider (04/04/2023)</v>
      </c>
      <c r="H8190" s="19"/>
    </row>
    <row r="8191">
      <c r="A8191" s="9"/>
      <c r="B8191" s="15"/>
      <c r="C8191" s="9">
        <f>IFERROR(__xludf.DUMMYFUNCTION("""COMPUTED_VALUE"""),45058.3303801273)</f>
        <v>45058.33038</v>
      </c>
      <c r="D8191" s="15">
        <f>IFERROR(__xludf.DUMMYFUNCTION("""COMPUTED_VALUE"""),1.017)</f>
        <v>1.017</v>
      </c>
      <c r="E8191" s="16">
        <f>IFERROR(__xludf.DUMMYFUNCTION("""COMPUTED_VALUE"""),64.0)</f>
        <v>64</v>
      </c>
      <c r="F8191" s="19" t="str">
        <f>IFERROR(__xludf.DUMMYFUNCTION("""COMPUTED_VALUE"""),"BLACK")</f>
        <v>BLACK</v>
      </c>
      <c r="G8191" s="20" t="str">
        <f>IFERROR(__xludf.DUMMYFUNCTION("""COMPUTED_VALUE"""),"Uncle Sams Cider (04/04/2023)")</f>
        <v>Uncle Sams Cider (04/04/2023)</v>
      </c>
      <c r="H8191" s="19"/>
    </row>
    <row r="8192">
      <c r="A8192" s="9"/>
      <c r="B8192" s="15"/>
      <c r="C8192" s="9">
        <f>IFERROR(__xludf.DUMMYFUNCTION("""COMPUTED_VALUE"""),45058.3199577546)</f>
        <v>45058.31996</v>
      </c>
      <c r="D8192" s="15">
        <f>IFERROR(__xludf.DUMMYFUNCTION("""COMPUTED_VALUE"""),1.017)</f>
        <v>1.017</v>
      </c>
      <c r="E8192" s="16">
        <f>IFERROR(__xludf.DUMMYFUNCTION("""COMPUTED_VALUE"""),64.0)</f>
        <v>64</v>
      </c>
      <c r="F8192" s="19" t="str">
        <f>IFERROR(__xludf.DUMMYFUNCTION("""COMPUTED_VALUE"""),"BLACK")</f>
        <v>BLACK</v>
      </c>
      <c r="G8192" s="20" t="str">
        <f>IFERROR(__xludf.DUMMYFUNCTION("""COMPUTED_VALUE"""),"Uncle Sams Cider (04/04/2023)")</f>
        <v>Uncle Sams Cider (04/04/2023)</v>
      </c>
      <c r="H8192" s="19"/>
    </row>
    <row r="8193">
      <c r="A8193" s="9"/>
      <c r="B8193" s="15"/>
      <c r="C8193" s="9">
        <f>IFERROR(__xludf.DUMMYFUNCTION("""COMPUTED_VALUE"""),45058.3095141203)</f>
        <v>45058.30951</v>
      </c>
      <c r="D8193" s="15">
        <f>IFERROR(__xludf.DUMMYFUNCTION("""COMPUTED_VALUE"""),1.017)</f>
        <v>1.017</v>
      </c>
      <c r="E8193" s="16">
        <f>IFERROR(__xludf.DUMMYFUNCTION("""COMPUTED_VALUE"""),64.0)</f>
        <v>64</v>
      </c>
      <c r="F8193" s="19" t="str">
        <f>IFERROR(__xludf.DUMMYFUNCTION("""COMPUTED_VALUE"""),"BLACK")</f>
        <v>BLACK</v>
      </c>
      <c r="G8193" s="20" t="str">
        <f>IFERROR(__xludf.DUMMYFUNCTION("""COMPUTED_VALUE"""),"Uncle Sams Cider (04/04/2023)")</f>
        <v>Uncle Sams Cider (04/04/2023)</v>
      </c>
      <c r="H8193" s="19"/>
    </row>
    <row r="8194">
      <c r="A8194" s="9"/>
      <c r="B8194" s="15"/>
      <c r="C8194" s="9">
        <f>IFERROR(__xludf.DUMMYFUNCTION("""COMPUTED_VALUE"""),45058.2990808217)</f>
        <v>45058.29908</v>
      </c>
      <c r="D8194" s="15">
        <f>IFERROR(__xludf.DUMMYFUNCTION("""COMPUTED_VALUE"""),1.017)</f>
        <v>1.017</v>
      </c>
      <c r="E8194" s="16">
        <f>IFERROR(__xludf.DUMMYFUNCTION("""COMPUTED_VALUE"""),64.0)</f>
        <v>64</v>
      </c>
      <c r="F8194" s="19" t="str">
        <f>IFERROR(__xludf.DUMMYFUNCTION("""COMPUTED_VALUE"""),"BLACK")</f>
        <v>BLACK</v>
      </c>
      <c r="G8194" s="20" t="str">
        <f>IFERROR(__xludf.DUMMYFUNCTION("""COMPUTED_VALUE"""),"Uncle Sams Cider (04/04/2023)")</f>
        <v>Uncle Sams Cider (04/04/2023)</v>
      </c>
      <c r="H8194" s="19"/>
    </row>
    <row r="8195">
      <c r="A8195" s="9"/>
      <c r="B8195" s="15"/>
      <c r="C8195" s="9">
        <f>IFERROR(__xludf.DUMMYFUNCTION("""COMPUTED_VALUE"""),45058.2886488194)</f>
        <v>45058.28865</v>
      </c>
      <c r="D8195" s="15">
        <f>IFERROR(__xludf.DUMMYFUNCTION("""COMPUTED_VALUE"""),1.017)</f>
        <v>1.017</v>
      </c>
      <c r="E8195" s="16">
        <f>IFERROR(__xludf.DUMMYFUNCTION("""COMPUTED_VALUE"""),64.0)</f>
        <v>64</v>
      </c>
      <c r="F8195" s="19" t="str">
        <f>IFERROR(__xludf.DUMMYFUNCTION("""COMPUTED_VALUE"""),"BLACK")</f>
        <v>BLACK</v>
      </c>
      <c r="G8195" s="20" t="str">
        <f>IFERROR(__xludf.DUMMYFUNCTION("""COMPUTED_VALUE"""),"Uncle Sams Cider (04/04/2023)")</f>
        <v>Uncle Sams Cider (04/04/2023)</v>
      </c>
      <c r="H8195" s="19"/>
    </row>
    <row r="8196">
      <c r="A8196" s="9"/>
      <c r="B8196" s="15"/>
      <c r="C8196" s="9">
        <f>IFERROR(__xludf.DUMMYFUNCTION("""COMPUTED_VALUE"""),45058.2782279513)</f>
        <v>45058.27823</v>
      </c>
      <c r="D8196" s="15">
        <f>IFERROR(__xludf.DUMMYFUNCTION("""COMPUTED_VALUE"""),1.017)</f>
        <v>1.017</v>
      </c>
      <c r="E8196" s="16">
        <f>IFERROR(__xludf.DUMMYFUNCTION("""COMPUTED_VALUE"""),64.0)</f>
        <v>64</v>
      </c>
      <c r="F8196" s="19" t="str">
        <f>IFERROR(__xludf.DUMMYFUNCTION("""COMPUTED_VALUE"""),"BLACK")</f>
        <v>BLACK</v>
      </c>
      <c r="G8196" s="20" t="str">
        <f>IFERROR(__xludf.DUMMYFUNCTION("""COMPUTED_VALUE"""),"Uncle Sams Cider (04/04/2023)")</f>
        <v>Uncle Sams Cider (04/04/2023)</v>
      </c>
      <c r="H8196" s="19"/>
    </row>
    <row r="8197">
      <c r="A8197" s="9"/>
      <c r="B8197" s="15"/>
      <c r="C8197" s="9">
        <f>IFERROR(__xludf.DUMMYFUNCTION("""COMPUTED_VALUE"""),45058.2677950347)</f>
        <v>45058.2678</v>
      </c>
      <c r="D8197" s="15">
        <f>IFERROR(__xludf.DUMMYFUNCTION("""COMPUTED_VALUE"""),1.017)</f>
        <v>1.017</v>
      </c>
      <c r="E8197" s="16">
        <f>IFERROR(__xludf.DUMMYFUNCTION("""COMPUTED_VALUE"""),64.0)</f>
        <v>64</v>
      </c>
      <c r="F8197" s="19" t="str">
        <f>IFERROR(__xludf.DUMMYFUNCTION("""COMPUTED_VALUE"""),"BLACK")</f>
        <v>BLACK</v>
      </c>
      <c r="G8197" s="20" t="str">
        <f>IFERROR(__xludf.DUMMYFUNCTION("""COMPUTED_VALUE"""),"Uncle Sams Cider (04/04/2023)")</f>
        <v>Uncle Sams Cider (04/04/2023)</v>
      </c>
      <c r="H8197" s="19"/>
    </row>
    <row r="8198">
      <c r="A8198" s="9"/>
      <c r="B8198" s="15"/>
      <c r="C8198" s="9">
        <f>IFERROR(__xludf.DUMMYFUNCTION("""COMPUTED_VALUE"""),45058.257374456)</f>
        <v>45058.25737</v>
      </c>
      <c r="D8198" s="15">
        <f>IFERROR(__xludf.DUMMYFUNCTION("""COMPUTED_VALUE"""),1.017)</f>
        <v>1.017</v>
      </c>
      <c r="E8198" s="16">
        <f>IFERROR(__xludf.DUMMYFUNCTION("""COMPUTED_VALUE"""),64.0)</f>
        <v>64</v>
      </c>
      <c r="F8198" s="19" t="str">
        <f>IFERROR(__xludf.DUMMYFUNCTION("""COMPUTED_VALUE"""),"BLACK")</f>
        <v>BLACK</v>
      </c>
      <c r="G8198" s="20" t="str">
        <f>IFERROR(__xludf.DUMMYFUNCTION("""COMPUTED_VALUE"""),"Uncle Sams Cider (04/04/2023)")</f>
        <v>Uncle Sams Cider (04/04/2023)</v>
      </c>
      <c r="H8198" s="19"/>
    </row>
    <row r="8199">
      <c r="A8199" s="9"/>
      <c r="B8199" s="15"/>
      <c r="C8199" s="9">
        <f>IFERROR(__xludf.DUMMYFUNCTION("""COMPUTED_VALUE"""),45058.2469540509)</f>
        <v>45058.24695</v>
      </c>
      <c r="D8199" s="15">
        <f>IFERROR(__xludf.DUMMYFUNCTION("""COMPUTED_VALUE"""),1.017)</f>
        <v>1.017</v>
      </c>
      <c r="E8199" s="16">
        <f>IFERROR(__xludf.DUMMYFUNCTION("""COMPUTED_VALUE"""),64.0)</f>
        <v>64</v>
      </c>
      <c r="F8199" s="19" t="str">
        <f>IFERROR(__xludf.DUMMYFUNCTION("""COMPUTED_VALUE"""),"BLACK")</f>
        <v>BLACK</v>
      </c>
      <c r="G8199" s="20" t="str">
        <f>IFERROR(__xludf.DUMMYFUNCTION("""COMPUTED_VALUE"""),"Uncle Sams Cider (04/04/2023)")</f>
        <v>Uncle Sams Cider (04/04/2023)</v>
      </c>
      <c r="H8199" s="19"/>
    </row>
    <row r="8200">
      <c r="A8200" s="9"/>
      <c r="B8200" s="15"/>
      <c r="C8200" s="9">
        <f>IFERROR(__xludf.DUMMYFUNCTION("""COMPUTED_VALUE"""),45058.2365346412)</f>
        <v>45058.23653</v>
      </c>
      <c r="D8200" s="15">
        <f>IFERROR(__xludf.DUMMYFUNCTION("""COMPUTED_VALUE"""),1.017)</f>
        <v>1.017</v>
      </c>
      <c r="E8200" s="16">
        <f>IFERROR(__xludf.DUMMYFUNCTION("""COMPUTED_VALUE"""),64.0)</f>
        <v>64</v>
      </c>
      <c r="F8200" s="19" t="str">
        <f>IFERROR(__xludf.DUMMYFUNCTION("""COMPUTED_VALUE"""),"BLACK")</f>
        <v>BLACK</v>
      </c>
      <c r="G8200" s="20" t="str">
        <f>IFERROR(__xludf.DUMMYFUNCTION("""COMPUTED_VALUE"""),"Uncle Sams Cider (04/04/2023)")</f>
        <v>Uncle Sams Cider (04/04/2023)</v>
      </c>
      <c r="H8200" s="19"/>
    </row>
    <row r="8201">
      <c r="A8201" s="9"/>
      <c r="B8201" s="15"/>
      <c r="C8201" s="9">
        <f>IFERROR(__xludf.DUMMYFUNCTION("""COMPUTED_VALUE"""),45058.2261126851)</f>
        <v>45058.22611</v>
      </c>
      <c r="D8201" s="15">
        <f>IFERROR(__xludf.DUMMYFUNCTION("""COMPUTED_VALUE"""),1.017)</f>
        <v>1.017</v>
      </c>
      <c r="E8201" s="16">
        <f>IFERROR(__xludf.DUMMYFUNCTION("""COMPUTED_VALUE"""),64.0)</f>
        <v>64</v>
      </c>
      <c r="F8201" s="19" t="str">
        <f>IFERROR(__xludf.DUMMYFUNCTION("""COMPUTED_VALUE"""),"BLACK")</f>
        <v>BLACK</v>
      </c>
      <c r="G8201" s="20" t="str">
        <f>IFERROR(__xludf.DUMMYFUNCTION("""COMPUTED_VALUE"""),"Uncle Sams Cider (04/04/2023)")</f>
        <v>Uncle Sams Cider (04/04/2023)</v>
      </c>
      <c r="H8201" s="19"/>
    </row>
    <row r="8202">
      <c r="A8202" s="9"/>
      <c r="B8202" s="15"/>
      <c r="C8202" s="9">
        <f>IFERROR(__xludf.DUMMYFUNCTION("""COMPUTED_VALUE"""),45058.215668206)</f>
        <v>45058.21567</v>
      </c>
      <c r="D8202" s="15">
        <f>IFERROR(__xludf.DUMMYFUNCTION("""COMPUTED_VALUE"""),1.017)</f>
        <v>1.017</v>
      </c>
      <c r="E8202" s="16">
        <f>IFERROR(__xludf.DUMMYFUNCTION("""COMPUTED_VALUE"""),64.0)</f>
        <v>64</v>
      </c>
      <c r="F8202" s="19" t="str">
        <f>IFERROR(__xludf.DUMMYFUNCTION("""COMPUTED_VALUE"""),"BLACK")</f>
        <v>BLACK</v>
      </c>
      <c r="G8202" s="20" t="str">
        <f>IFERROR(__xludf.DUMMYFUNCTION("""COMPUTED_VALUE"""),"Uncle Sams Cider (04/04/2023)")</f>
        <v>Uncle Sams Cider (04/04/2023)</v>
      </c>
      <c r="H8202" s="19"/>
    </row>
    <row r="8203">
      <c r="A8203" s="9"/>
      <c r="B8203" s="15"/>
      <c r="C8203" s="9">
        <f>IFERROR(__xludf.DUMMYFUNCTION("""COMPUTED_VALUE"""),45058.2052494097)</f>
        <v>45058.20525</v>
      </c>
      <c r="D8203" s="15">
        <f>IFERROR(__xludf.DUMMYFUNCTION("""COMPUTED_VALUE"""),1.017)</f>
        <v>1.017</v>
      </c>
      <c r="E8203" s="16">
        <f>IFERROR(__xludf.DUMMYFUNCTION("""COMPUTED_VALUE"""),64.0)</f>
        <v>64</v>
      </c>
      <c r="F8203" s="19" t="str">
        <f>IFERROR(__xludf.DUMMYFUNCTION("""COMPUTED_VALUE"""),"BLACK")</f>
        <v>BLACK</v>
      </c>
      <c r="G8203" s="20" t="str">
        <f>IFERROR(__xludf.DUMMYFUNCTION("""COMPUTED_VALUE"""),"Uncle Sams Cider (04/04/2023)")</f>
        <v>Uncle Sams Cider (04/04/2023)</v>
      </c>
      <c r="H8203" s="19"/>
    </row>
    <row r="8204">
      <c r="A8204" s="9"/>
      <c r="B8204" s="15"/>
      <c r="C8204" s="9">
        <f>IFERROR(__xludf.DUMMYFUNCTION("""COMPUTED_VALUE"""),45058.1948271064)</f>
        <v>45058.19483</v>
      </c>
      <c r="D8204" s="15">
        <f>IFERROR(__xludf.DUMMYFUNCTION("""COMPUTED_VALUE"""),1.017)</f>
        <v>1.017</v>
      </c>
      <c r="E8204" s="16">
        <f>IFERROR(__xludf.DUMMYFUNCTION("""COMPUTED_VALUE"""),64.0)</f>
        <v>64</v>
      </c>
      <c r="F8204" s="19" t="str">
        <f>IFERROR(__xludf.DUMMYFUNCTION("""COMPUTED_VALUE"""),"BLACK")</f>
        <v>BLACK</v>
      </c>
      <c r="G8204" s="20" t="str">
        <f>IFERROR(__xludf.DUMMYFUNCTION("""COMPUTED_VALUE"""),"Uncle Sams Cider (04/04/2023)")</f>
        <v>Uncle Sams Cider (04/04/2023)</v>
      </c>
      <c r="H8204" s="19"/>
    </row>
    <row r="8205">
      <c r="A8205" s="9"/>
      <c r="B8205" s="15"/>
      <c r="C8205" s="9">
        <f>IFERROR(__xludf.DUMMYFUNCTION("""COMPUTED_VALUE"""),45058.1843937963)</f>
        <v>45058.18439</v>
      </c>
      <c r="D8205" s="15">
        <f>IFERROR(__xludf.DUMMYFUNCTION("""COMPUTED_VALUE"""),1.017)</f>
        <v>1.017</v>
      </c>
      <c r="E8205" s="16">
        <f>IFERROR(__xludf.DUMMYFUNCTION("""COMPUTED_VALUE"""),64.0)</f>
        <v>64</v>
      </c>
      <c r="F8205" s="19" t="str">
        <f>IFERROR(__xludf.DUMMYFUNCTION("""COMPUTED_VALUE"""),"BLACK")</f>
        <v>BLACK</v>
      </c>
      <c r="G8205" s="20" t="str">
        <f>IFERROR(__xludf.DUMMYFUNCTION("""COMPUTED_VALUE"""),"Uncle Sams Cider (04/04/2023)")</f>
        <v>Uncle Sams Cider (04/04/2023)</v>
      </c>
      <c r="H8205" s="19"/>
    </row>
    <row r="8206">
      <c r="A8206" s="9"/>
      <c r="B8206" s="15"/>
      <c r="C8206" s="9">
        <f>IFERROR(__xludf.DUMMYFUNCTION("""COMPUTED_VALUE"""),45058.1739601851)</f>
        <v>45058.17396</v>
      </c>
      <c r="D8206" s="15">
        <f>IFERROR(__xludf.DUMMYFUNCTION("""COMPUTED_VALUE"""),1.017)</f>
        <v>1.017</v>
      </c>
      <c r="E8206" s="16">
        <f>IFERROR(__xludf.DUMMYFUNCTION("""COMPUTED_VALUE"""),64.0)</f>
        <v>64</v>
      </c>
      <c r="F8206" s="19" t="str">
        <f>IFERROR(__xludf.DUMMYFUNCTION("""COMPUTED_VALUE"""),"BLACK")</f>
        <v>BLACK</v>
      </c>
      <c r="G8206" s="20" t="str">
        <f>IFERROR(__xludf.DUMMYFUNCTION("""COMPUTED_VALUE"""),"Uncle Sams Cider (04/04/2023)")</f>
        <v>Uncle Sams Cider (04/04/2023)</v>
      </c>
      <c r="H8206" s="19"/>
    </row>
    <row r="8207">
      <c r="A8207" s="9"/>
      <c r="B8207" s="15"/>
      <c r="C8207" s="9">
        <f>IFERROR(__xludf.DUMMYFUNCTION("""COMPUTED_VALUE"""),45058.1635268518)</f>
        <v>45058.16353</v>
      </c>
      <c r="D8207" s="15">
        <f>IFERROR(__xludf.DUMMYFUNCTION("""COMPUTED_VALUE"""),1.017)</f>
        <v>1.017</v>
      </c>
      <c r="E8207" s="16">
        <f>IFERROR(__xludf.DUMMYFUNCTION("""COMPUTED_VALUE"""),64.0)</f>
        <v>64</v>
      </c>
      <c r="F8207" s="19" t="str">
        <f>IFERROR(__xludf.DUMMYFUNCTION("""COMPUTED_VALUE"""),"BLACK")</f>
        <v>BLACK</v>
      </c>
      <c r="G8207" s="20" t="str">
        <f>IFERROR(__xludf.DUMMYFUNCTION("""COMPUTED_VALUE"""),"Uncle Sams Cider (04/04/2023)")</f>
        <v>Uncle Sams Cider (04/04/2023)</v>
      </c>
      <c r="H8207" s="19"/>
    </row>
    <row r="8208">
      <c r="A8208" s="9"/>
      <c r="B8208" s="15"/>
      <c r="C8208" s="9">
        <f>IFERROR(__xludf.DUMMYFUNCTION("""COMPUTED_VALUE"""),45058.1530944676)</f>
        <v>45058.15309</v>
      </c>
      <c r="D8208" s="15">
        <f>IFERROR(__xludf.DUMMYFUNCTION("""COMPUTED_VALUE"""),1.017)</f>
        <v>1.017</v>
      </c>
      <c r="E8208" s="16">
        <f>IFERROR(__xludf.DUMMYFUNCTION("""COMPUTED_VALUE"""),64.0)</f>
        <v>64</v>
      </c>
      <c r="F8208" s="19" t="str">
        <f>IFERROR(__xludf.DUMMYFUNCTION("""COMPUTED_VALUE"""),"BLACK")</f>
        <v>BLACK</v>
      </c>
      <c r="G8208" s="20" t="str">
        <f>IFERROR(__xludf.DUMMYFUNCTION("""COMPUTED_VALUE"""),"Uncle Sams Cider (04/04/2023)")</f>
        <v>Uncle Sams Cider (04/04/2023)</v>
      </c>
      <c r="H8208" s="19"/>
    </row>
    <row r="8209">
      <c r="A8209" s="9"/>
      <c r="B8209" s="15"/>
      <c r="C8209" s="9">
        <f>IFERROR(__xludf.DUMMYFUNCTION("""COMPUTED_VALUE"""),45058.1426267708)</f>
        <v>45058.14263</v>
      </c>
      <c r="D8209" s="15">
        <f>IFERROR(__xludf.DUMMYFUNCTION("""COMPUTED_VALUE"""),1.017)</f>
        <v>1.017</v>
      </c>
      <c r="E8209" s="16">
        <f>IFERROR(__xludf.DUMMYFUNCTION("""COMPUTED_VALUE"""),64.0)</f>
        <v>64</v>
      </c>
      <c r="F8209" s="19" t="str">
        <f>IFERROR(__xludf.DUMMYFUNCTION("""COMPUTED_VALUE"""),"BLACK")</f>
        <v>BLACK</v>
      </c>
      <c r="G8209" s="20" t="str">
        <f>IFERROR(__xludf.DUMMYFUNCTION("""COMPUTED_VALUE"""),"Uncle Sams Cider (04/04/2023)")</f>
        <v>Uncle Sams Cider (04/04/2023)</v>
      </c>
      <c r="H8209" s="19"/>
    </row>
    <row r="8210">
      <c r="A8210" s="9"/>
      <c r="B8210" s="15"/>
      <c r="C8210" s="9">
        <f>IFERROR(__xludf.DUMMYFUNCTION("""COMPUTED_VALUE"""),45058.1322058101)</f>
        <v>45058.13221</v>
      </c>
      <c r="D8210" s="15">
        <f>IFERROR(__xludf.DUMMYFUNCTION("""COMPUTED_VALUE"""),1.017)</f>
        <v>1.017</v>
      </c>
      <c r="E8210" s="16">
        <f>IFERROR(__xludf.DUMMYFUNCTION("""COMPUTED_VALUE"""),64.0)</f>
        <v>64</v>
      </c>
      <c r="F8210" s="19" t="str">
        <f>IFERROR(__xludf.DUMMYFUNCTION("""COMPUTED_VALUE"""),"BLACK")</f>
        <v>BLACK</v>
      </c>
      <c r="G8210" s="20" t="str">
        <f>IFERROR(__xludf.DUMMYFUNCTION("""COMPUTED_VALUE"""),"Uncle Sams Cider (04/04/2023)")</f>
        <v>Uncle Sams Cider (04/04/2023)</v>
      </c>
      <c r="H8210" s="19"/>
    </row>
    <row r="8211">
      <c r="A8211" s="9"/>
      <c r="B8211" s="15"/>
      <c r="C8211" s="9">
        <f>IFERROR(__xludf.DUMMYFUNCTION("""COMPUTED_VALUE"""),45058.1217860069)</f>
        <v>45058.12179</v>
      </c>
      <c r="D8211" s="15">
        <f>IFERROR(__xludf.DUMMYFUNCTION("""COMPUTED_VALUE"""),1.017)</f>
        <v>1.017</v>
      </c>
      <c r="E8211" s="16">
        <f>IFERROR(__xludf.DUMMYFUNCTION("""COMPUTED_VALUE"""),64.0)</f>
        <v>64</v>
      </c>
      <c r="F8211" s="19" t="str">
        <f>IFERROR(__xludf.DUMMYFUNCTION("""COMPUTED_VALUE"""),"BLACK")</f>
        <v>BLACK</v>
      </c>
      <c r="G8211" s="20" t="str">
        <f>IFERROR(__xludf.DUMMYFUNCTION("""COMPUTED_VALUE"""),"Uncle Sams Cider (04/04/2023)")</f>
        <v>Uncle Sams Cider (04/04/2023)</v>
      </c>
      <c r="H8211" s="19"/>
    </row>
    <row r="8212">
      <c r="A8212" s="9"/>
      <c r="B8212" s="15"/>
      <c r="C8212" s="9">
        <f>IFERROR(__xludf.DUMMYFUNCTION("""COMPUTED_VALUE"""),45058.1113662384)</f>
        <v>45058.11137</v>
      </c>
      <c r="D8212" s="15">
        <f>IFERROR(__xludf.DUMMYFUNCTION("""COMPUTED_VALUE"""),1.017)</f>
        <v>1.017</v>
      </c>
      <c r="E8212" s="16">
        <f>IFERROR(__xludf.DUMMYFUNCTION("""COMPUTED_VALUE"""),64.0)</f>
        <v>64</v>
      </c>
      <c r="F8212" s="19" t="str">
        <f>IFERROR(__xludf.DUMMYFUNCTION("""COMPUTED_VALUE"""),"BLACK")</f>
        <v>BLACK</v>
      </c>
      <c r="G8212" s="20" t="str">
        <f>IFERROR(__xludf.DUMMYFUNCTION("""COMPUTED_VALUE"""),"Uncle Sams Cider (04/04/2023)")</f>
        <v>Uncle Sams Cider (04/04/2023)</v>
      </c>
      <c r="H8212" s="19"/>
    </row>
    <row r="8213">
      <c r="A8213" s="9"/>
      <c r="B8213" s="15"/>
      <c r="C8213" s="9">
        <f>IFERROR(__xludf.DUMMYFUNCTION("""COMPUTED_VALUE"""),45058.1009454398)</f>
        <v>45058.10095</v>
      </c>
      <c r="D8213" s="15">
        <f>IFERROR(__xludf.DUMMYFUNCTION("""COMPUTED_VALUE"""),1.017)</f>
        <v>1.017</v>
      </c>
      <c r="E8213" s="16">
        <f>IFERROR(__xludf.DUMMYFUNCTION("""COMPUTED_VALUE"""),64.0)</f>
        <v>64</v>
      </c>
      <c r="F8213" s="19" t="str">
        <f>IFERROR(__xludf.DUMMYFUNCTION("""COMPUTED_VALUE"""),"BLACK")</f>
        <v>BLACK</v>
      </c>
      <c r="G8213" s="20" t="str">
        <f>IFERROR(__xludf.DUMMYFUNCTION("""COMPUTED_VALUE"""),"Uncle Sams Cider (04/04/2023)")</f>
        <v>Uncle Sams Cider (04/04/2023)</v>
      </c>
      <c r="H8213" s="19"/>
    </row>
    <row r="8214">
      <c r="A8214" s="9"/>
      <c r="B8214" s="15"/>
      <c r="C8214" s="9">
        <f>IFERROR(__xludf.DUMMYFUNCTION("""COMPUTED_VALUE"""),45058.0905257407)</f>
        <v>45058.09053</v>
      </c>
      <c r="D8214" s="15">
        <f>IFERROR(__xludf.DUMMYFUNCTION("""COMPUTED_VALUE"""),1.017)</f>
        <v>1.017</v>
      </c>
      <c r="E8214" s="16">
        <f>IFERROR(__xludf.DUMMYFUNCTION("""COMPUTED_VALUE"""),64.0)</f>
        <v>64</v>
      </c>
      <c r="F8214" s="19" t="str">
        <f>IFERROR(__xludf.DUMMYFUNCTION("""COMPUTED_VALUE"""),"BLACK")</f>
        <v>BLACK</v>
      </c>
      <c r="G8214" s="20" t="str">
        <f>IFERROR(__xludf.DUMMYFUNCTION("""COMPUTED_VALUE"""),"Uncle Sams Cider (04/04/2023)")</f>
        <v>Uncle Sams Cider (04/04/2023)</v>
      </c>
      <c r="H8214" s="19"/>
    </row>
    <row r="8215">
      <c r="A8215" s="9"/>
      <c r="B8215" s="15"/>
      <c r="C8215" s="9">
        <f>IFERROR(__xludf.DUMMYFUNCTION("""COMPUTED_VALUE"""),45058.0800922685)</f>
        <v>45058.08009</v>
      </c>
      <c r="D8215" s="15">
        <f>IFERROR(__xludf.DUMMYFUNCTION("""COMPUTED_VALUE"""),1.017)</f>
        <v>1.017</v>
      </c>
      <c r="E8215" s="16">
        <f>IFERROR(__xludf.DUMMYFUNCTION("""COMPUTED_VALUE"""),64.0)</f>
        <v>64</v>
      </c>
      <c r="F8215" s="19" t="str">
        <f>IFERROR(__xludf.DUMMYFUNCTION("""COMPUTED_VALUE"""),"BLACK")</f>
        <v>BLACK</v>
      </c>
      <c r="G8215" s="20" t="str">
        <f>IFERROR(__xludf.DUMMYFUNCTION("""COMPUTED_VALUE"""),"Uncle Sams Cider (04/04/2023)")</f>
        <v>Uncle Sams Cider (04/04/2023)</v>
      </c>
      <c r="H8215" s="19"/>
    </row>
    <row r="8216">
      <c r="A8216" s="9"/>
      <c r="B8216" s="15"/>
      <c r="C8216" s="9">
        <f>IFERROR(__xludf.DUMMYFUNCTION("""COMPUTED_VALUE"""),45058.0696704513)</f>
        <v>45058.06967</v>
      </c>
      <c r="D8216" s="15">
        <f>IFERROR(__xludf.DUMMYFUNCTION("""COMPUTED_VALUE"""),1.017)</f>
        <v>1.017</v>
      </c>
      <c r="E8216" s="16">
        <f>IFERROR(__xludf.DUMMYFUNCTION("""COMPUTED_VALUE"""),64.0)</f>
        <v>64</v>
      </c>
      <c r="F8216" s="19" t="str">
        <f>IFERROR(__xludf.DUMMYFUNCTION("""COMPUTED_VALUE"""),"BLACK")</f>
        <v>BLACK</v>
      </c>
      <c r="G8216" s="20" t="str">
        <f>IFERROR(__xludf.DUMMYFUNCTION("""COMPUTED_VALUE"""),"Uncle Sams Cider (04/04/2023)")</f>
        <v>Uncle Sams Cider (04/04/2023)</v>
      </c>
      <c r="H8216" s="19"/>
    </row>
    <row r="8217">
      <c r="A8217" s="9"/>
      <c r="B8217" s="15"/>
      <c r="C8217" s="9">
        <f>IFERROR(__xludf.DUMMYFUNCTION("""COMPUTED_VALUE"""),45058.0592380787)</f>
        <v>45058.05924</v>
      </c>
      <c r="D8217" s="15">
        <f>IFERROR(__xludf.DUMMYFUNCTION("""COMPUTED_VALUE"""),1.017)</f>
        <v>1.017</v>
      </c>
      <c r="E8217" s="16">
        <f>IFERROR(__xludf.DUMMYFUNCTION("""COMPUTED_VALUE"""),64.0)</f>
        <v>64</v>
      </c>
      <c r="F8217" s="19" t="str">
        <f>IFERROR(__xludf.DUMMYFUNCTION("""COMPUTED_VALUE"""),"BLACK")</f>
        <v>BLACK</v>
      </c>
      <c r="G8217" s="20" t="str">
        <f>IFERROR(__xludf.DUMMYFUNCTION("""COMPUTED_VALUE"""),"Uncle Sams Cider (04/04/2023)")</f>
        <v>Uncle Sams Cider (04/04/2023)</v>
      </c>
      <c r="H8217" s="19"/>
    </row>
    <row r="8218">
      <c r="A8218" s="9"/>
      <c r="B8218" s="15"/>
      <c r="C8218" s="9">
        <f>IFERROR(__xludf.DUMMYFUNCTION("""COMPUTED_VALUE"""),45058.0488164699)</f>
        <v>45058.04882</v>
      </c>
      <c r="D8218" s="15">
        <f>IFERROR(__xludf.DUMMYFUNCTION("""COMPUTED_VALUE"""),1.017)</f>
        <v>1.017</v>
      </c>
      <c r="E8218" s="16">
        <f>IFERROR(__xludf.DUMMYFUNCTION("""COMPUTED_VALUE"""),64.0)</f>
        <v>64</v>
      </c>
      <c r="F8218" s="19" t="str">
        <f>IFERROR(__xludf.DUMMYFUNCTION("""COMPUTED_VALUE"""),"BLACK")</f>
        <v>BLACK</v>
      </c>
      <c r="G8218" s="20" t="str">
        <f>IFERROR(__xludf.DUMMYFUNCTION("""COMPUTED_VALUE"""),"Uncle Sams Cider (04/04/2023)")</f>
        <v>Uncle Sams Cider (04/04/2023)</v>
      </c>
      <c r="H8218" s="19"/>
    </row>
    <row r="8219">
      <c r="A8219" s="9"/>
      <c r="B8219" s="15"/>
      <c r="C8219" s="9">
        <f>IFERROR(__xludf.DUMMYFUNCTION("""COMPUTED_VALUE"""),45058.038382037)</f>
        <v>45058.03838</v>
      </c>
      <c r="D8219" s="15">
        <f>IFERROR(__xludf.DUMMYFUNCTION("""COMPUTED_VALUE"""),1.017)</f>
        <v>1.017</v>
      </c>
      <c r="E8219" s="16">
        <f>IFERROR(__xludf.DUMMYFUNCTION("""COMPUTED_VALUE"""),64.0)</f>
        <v>64</v>
      </c>
      <c r="F8219" s="19" t="str">
        <f>IFERROR(__xludf.DUMMYFUNCTION("""COMPUTED_VALUE"""),"BLACK")</f>
        <v>BLACK</v>
      </c>
      <c r="G8219" s="20" t="str">
        <f>IFERROR(__xludf.DUMMYFUNCTION("""COMPUTED_VALUE"""),"Uncle Sams Cider (04/04/2023)")</f>
        <v>Uncle Sams Cider (04/04/2023)</v>
      </c>
      <c r="H8219" s="19"/>
    </row>
    <row r="8220">
      <c r="A8220" s="9"/>
      <c r="B8220" s="15"/>
      <c r="C8220" s="9">
        <f>IFERROR(__xludf.DUMMYFUNCTION("""COMPUTED_VALUE"""),45058.0279618634)</f>
        <v>45058.02796</v>
      </c>
      <c r="D8220" s="15">
        <f>IFERROR(__xludf.DUMMYFUNCTION("""COMPUTED_VALUE"""),1.017)</f>
        <v>1.017</v>
      </c>
      <c r="E8220" s="16">
        <f>IFERROR(__xludf.DUMMYFUNCTION("""COMPUTED_VALUE"""),64.0)</f>
        <v>64</v>
      </c>
      <c r="F8220" s="19" t="str">
        <f>IFERROR(__xludf.DUMMYFUNCTION("""COMPUTED_VALUE"""),"BLACK")</f>
        <v>BLACK</v>
      </c>
      <c r="G8220" s="20" t="str">
        <f>IFERROR(__xludf.DUMMYFUNCTION("""COMPUTED_VALUE"""),"Uncle Sams Cider (04/04/2023)")</f>
        <v>Uncle Sams Cider (04/04/2023)</v>
      </c>
      <c r="H8220" s="19"/>
    </row>
    <row r="8221">
      <c r="A8221" s="9"/>
      <c r="B8221" s="15"/>
      <c r="C8221" s="9">
        <f>IFERROR(__xludf.DUMMYFUNCTION("""COMPUTED_VALUE"""),45058.0175412152)</f>
        <v>45058.01754</v>
      </c>
      <c r="D8221" s="15">
        <f>IFERROR(__xludf.DUMMYFUNCTION("""COMPUTED_VALUE"""),1.017)</f>
        <v>1.017</v>
      </c>
      <c r="E8221" s="16">
        <f>IFERROR(__xludf.DUMMYFUNCTION("""COMPUTED_VALUE"""),64.0)</f>
        <v>64</v>
      </c>
      <c r="F8221" s="19" t="str">
        <f>IFERROR(__xludf.DUMMYFUNCTION("""COMPUTED_VALUE"""),"BLACK")</f>
        <v>BLACK</v>
      </c>
      <c r="G8221" s="20" t="str">
        <f>IFERROR(__xludf.DUMMYFUNCTION("""COMPUTED_VALUE"""),"Uncle Sams Cider (04/04/2023)")</f>
        <v>Uncle Sams Cider (04/04/2023)</v>
      </c>
      <c r="H8221" s="19"/>
    </row>
    <row r="8222">
      <c r="A8222" s="9"/>
      <c r="B8222" s="15"/>
      <c r="C8222" s="9">
        <f>IFERROR(__xludf.DUMMYFUNCTION("""COMPUTED_VALUE"""),45058.0071213657)</f>
        <v>45058.00712</v>
      </c>
      <c r="D8222" s="15">
        <f>IFERROR(__xludf.DUMMYFUNCTION("""COMPUTED_VALUE"""),1.017)</f>
        <v>1.017</v>
      </c>
      <c r="E8222" s="16">
        <f>IFERROR(__xludf.DUMMYFUNCTION("""COMPUTED_VALUE"""),64.0)</f>
        <v>64</v>
      </c>
      <c r="F8222" s="19" t="str">
        <f>IFERROR(__xludf.DUMMYFUNCTION("""COMPUTED_VALUE"""),"BLACK")</f>
        <v>BLACK</v>
      </c>
      <c r="G8222" s="20" t="str">
        <f>IFERROR(__xludf.DUMMYFUNCTION("""COMPUTED_VALUE"""),"Uncle Sams Cider (04/04/2023)")</f>
        <v>Uncle Sams Cider (04/04/2023)</v>
      </c>
      <c r="H8222" s="19"/>
    </row>
    <row r="8223">
      <c r="A8223" s="9"/>
      <c r="B8223" s="15"/>
      <c r="C8223" s="9">
        <f>IFERROR(__xludf.DUMMYFUNCTION("""COMPUTED_VALUE"""),45057.9967006944)</f>
        <v>45057.9967</v>
      </c>
      <c r="D8223" s="15">
        <f>IFERROR(__xludf.DUMMYFUNCTION("""COMPUTED_VALUE"""),1.017)</f>
        <v>1.017</v>
      </c>
      <c r="E8223" s="16">
        <f>IFERROR(__xludf.DUMMYFUNCTION("""COMPUTED_VALUE"""),64.0)</f>
        <v>64</v>
      </c>
      <c r="F8223" s="19" t="str">
        <f>IFERROR(__xludf.DUMMYFUNCTION("""COMPUTED_VALUE"""),"BLACK")</f>
        <v>BLACK</v>
      </c>
      <c r="G8223" s="20" t="str">
        <f>IFERROR(__xludf.DUMMYFUNCTION("""COMPUTED_VALUE"""),"Uncle Sams Cider (04/04/2023)")</f>
        <v>Uncle Sams Cider (04/04/2023)</v>
      </c>
      <c r="H8223" s="19"/>
    </row>
    <row r="8224">
      <c r="A8224" s="9"/>
      <c r="B8224" s="15"/>
      <c r="C8224" s="9">
        <f>IFERROR(__xludf.DUMMYFUNCTION("""COMPUTED_VALUE"""),45057.9862689004)</f>
        <v>45057.98627</v>
      </c>
      <c r="D8224" s="15">
        <f>IFERROR(__xludf.DUMMYFUNCTION("""COMPUTED_VALUE"""),1.017)</f>
        <v>1.017</v>
      </c>
      <c r="E8224" s="16">
        <f>IFERROR(__xludf.DUMMYFUNCTION("""COMPUTED_VALUE"""),64.0)</f>
        <v>64</v>
      </c>
      <c r="F8224" s="19" t="str">
        <f>IFERROR(__xludf.DUMMYFUNCTION("""COMPUTED_VALUE"""),"BLACK")</f>
        <v>BLACK</v>
      </c>
      <c r="G8224" s="20" t="str">
        <f>IFERROR(__xludf.DUMMYFUNCTION("""COMPUTED_VALUE"""),"Uncle Sams Cider (04/04/2023)")</f>
        <v>Uncle Sams Cider (04/04/2023)</v>
      </c>
      <c r="H8224" s="19"/>
    </row>
    <row r="8225">
      <c r="A8225" s="9"/>
      <c r="B8225" s="15"/>
      <c r="C8225" s="9">
        <f>IFERROR(__xludf.DUMMYFUNCTION("""COMPUTED_VALUE"""),45057.9758243055)</f>
        <v>45057.97582</v>
      </c>
      <c r="D8225" s="15">
        <f>IFERROR(__xludf.DUMMYFUNCTION("""COMPUTED_VALUE"""),1.017)</f>
        <v>1.017</v>
      </c>
      <c r="E8225" s="16">
        <f>IFERROR(__xludf.DUMMYFUNCTION("""COMPUTED_VALUE"""),64.0)</f>
        <v>64</v>
      </c>
      <c r="F8225" s="19" t="str">
        <f>IFERROR(__xludf.DUMMYFUNCTION("""COMPUTED_VALUE"""),"BLACK")</f>
        <v>BLACK</v>
      </c>
      <c r="G8225" s="20" t="str">
        <f>IFERROR(__xludf.DUMMYFUNCTION("""COMPUTED_VALUE"""),"Uncle Sams Cider (04/04/2023)")</f>
        <v>Uncle Sams Cider (04/04/2023)</v>
      </c>
      <c r="H8225" s="19"/>
    </row>
    <row r="8226">
      <c r="A8226" s="9"/>
      <c r="B8226" s="15"/>
      <c r="C8226" s="9">
        <f>IFERROR(__xludf.DUMMYFUNCTION("""COMPUTED_VALUE"""),45057.9653795138)</f>
        <v>45057.96538</v>
      </c>
      <c r="D8226" s="15">
        <f>IFERROR(__xludf.DUMMYFUNCTION("""COMPUTED_VALUE"""),1.017)</f>
        <v>1.017</v>
      </c>
      <c r="E8226" s="16">
        <f>IFERROR(__xludf.DUMMYFUNCTION("""COMPUTED_VALUE"""),64.0)</f>
        <v>64</v>
      </c>
      <c r="F8226" s="19" t="str">
        <f>IFERROR(__xludf.DUMMYFUNCTION("""COMPUTED_VALUE"""),"BLACK")</f>
        <v>BLACK</v>
      </c>
      <c r="G8226" s="20" t="str">
        <f>IFERROR(__xludf.DUMMYFUNCTION("""COMPUTED_VALUE"""),"Uncle Sams Cider (04/04/2023)")</f>
        <v>Uncle Sams Cider (04/04/2023)</v>
      </c>
      <c r="H8226" s="19"/>
    </row>
    <row r="8227">
      <c r="A8227" s="9"/>
      <c r="B8227" s="15"/>
      <c r="C8227" s="9">
        <f>IFERROR(__xludf.DUMMYFUNCTION("""COMPUTED_VALUE"""),45057.9549598379)</f>
        <v>45057.95496</v>
      </c>
      <c r="D8227" s="15">
        <f>IFERROR(__xludf.DUMMYFUNCTION("""COMPUTED_VALUE"""),1.017)</f>
        <v>1.017</v>
      </c>
      <c r="E8227" s="16">
        <f>IFERROR(__xludf.DUMMYFUNCTION("""COMPUTED_VALUE"""),64.0)</f>
        <v>64</v>
      </c>
      <c r="F8227" s="19" t="str">
        <f>IFERROR(__xludf.DUMMYFUNCTION("""COMPUTED_VALUE"""),"BLACK")</f>
        <v>BLACK</v>
      </c>
      <c r="G8227" s="20" t="str">
        <f>IFERROR(__xludf.DUMMYFUNCTION("""COMPUTED_VALUE"""),"Uncle Sams Cider (04/04/2023)")</f>
        <v>Uncle Sams Cider (04/04/2023)</v>
      </c>
      <c r="H8227" s="19"/>
    </row>
    <row r="8228">
      <c r="A8228" s="9"/>
      <c r="B8228" s="15"/>
      <c r="C8228" s="9">
        <f>IFERROR(__xludf.DUMMYFUNCTION("""COMPUTED_VALUE"""),45057.9445373611)</f>
        <v>45057.94454</v>
      </c>
      <c r="D8228" s="15">
        <f>IFERROR(__xludf.DUMMYFUNCTION("""COMPUTED_VALUE"""),1.017)</f>
        <v>1.017</v>
      </c>
      <c r="E8228" s="16">
        <f>IFERROR(__xludf.DUMMYFUNCTION("""COMPUTED_VALUE"""),64.0)</f>
        <v>64</v>
      </c>
      <c r="F8228" s="19" t="str">
        <f>IFERROR(__xludf.DUMMYFUNCTION("""COMPUTED_VALUE"""),"BLACK")</f>
        <v>BLACK</v>
      </c>
      <c r="G8228" s="20" t="str">
        <f>IFERROR(__xludf.DUMMYFUNCTION("""COMPUTED_VALUE"""),"Uncle Sams Cider (04/04/2023)")</f>
        <v>Uncle Sams Cider (04/04/2023)</v>
      </c>
      <c r="H8228" s="19"/>
    </row>
    <row r="8229">
      <c r="A8229" s="9"/>
      <c r="B8229" s="15"/>
      <c r="C8229" s="9">
        <f>IFERROR(__xludf.DUMMYFUNCTION("""COMPUTED_VALUE"""),45057.9341184606)</f>
        <v>45057.93412</v>
      </c>
      <c r="D8229" s="15">
        <f>IFERROR(__xludf.DUMMYFUNCTION("""COMPUTED_VALUE"""),1.017)</f>
        <v>1.017</v>
      </c>
      <c r="E8229" s="16">
        <f>IFERROR(__xludf.DUMMYFUNCTION("""COMPUTED_VALUE"""),64.0)</f>
        <v>64</v>
      </c>
      <c r="F8229" s="19" t="str">
        <f>IFERROR(__xludf.DUMMYFUNCTION("""COMPUTED_VALUE"""),"BLACK")</f>
        <v>BLACK</v>
      </c>
      <c r="G8229" s="20" t="str">
        <f>IFERROR(__xludf.DUMMYFUNCTION("""COMPUTED_VALUE"""),"Uncle Sams Cider (04/04/2023)")</f>
        <v>Uncle Sams Cider (04/04/2023)</v>
      </c>
      <c r="H8229" s="19"/>
    </row>
    <row r="8230">
      <c r="A8230" s="9"/>
      <c r="B8230" s="15"/>
      <c r="C8230" s="9">
        <f>IFERROR(__xludf.DUMMYFUNCTION("""COMPUTED_VALUE"""),45057.9236973379)</f>
        <v>45057.9237</v>
      </c>
      <c r="D8230" s="15">
        <f>IFERROR(__xludf.DUMMYFUNCTION("""COMPUTED_VALUE"""),1.017)</f>
        <v>1.017</v>
      </c>
      <c r="E8230" s="16">
        <f>IFERROR(__xludf.DUMMYFUNCTION("""COMPUTED_VALUE"""),64.0)</f>
        <v>64</v>
      </c>
      <c r="F8230" s="19" t="str">
        <f>IFERROR(__xludf.DUMMYFUNCTION("""COMPUTED_VALUE"""),"BLACK")</f>
        <v>BLACK</v>
      </c>
      <c r="G8230" s="20" t="str">
        <f>IFERROR(__xludf.DUMMYFUNCTION("""COMPUTED_VALUE"""),"Uncle Sams Cider (04/04/2023)")</f>
        <v>Uncle Sams Cider (04/04/2023)</v>
      </c>
      <c r="H8230" s="19"/>
    </row>
    <row r="8231">
      <c r="A8231" s="9"/>
      <c r="B8231" s="15"/>
      <c r="C8231" s="9">
        <f>IFERROR(__xludf.DUMMYFUNCTION("""COMPUTED_VALUE"""),45057.9132775347)</f>
        <v>45057.91328</v>
      </c>
      <c r="D8231" s="15">
        <f>IFERROR(__xludf.DUMMYFUNCTION("""COMPUTED_VALUE"""),1.017)</f>
        <v>1.017</v>
      </c>
      <c r="E8231" s="16">
        <f>IFERROR(__xludf.DUMMYFUNCTION("""COMPUTED_VALUE"""),64.0)</f>
        <v>64</v>
      </c>
      <c r="F8231" s="19" t="str">
        <f>IFERROR(__xludf.DUMMYFUNCTION("""COMPUTED_VALUE"""),"BLACK")</f>
        <v>BLACK</v>
      </c>
      <c r="G8231" s="20" t="str">
        <f>IFERROR(__xludf.DUMMYFUNCTION("""COMPUTED_VALUE"""),"Uncle Sams Cider (04/04/2023)")</f>
        <v>Uncle Sams Cider (04/04/2023)</v>
      </c>
      <c r="H8231" s="19"/>
    </row>
    <row r="8232">
      <c r="A8232" s="9"/>
      <c r="B8232" s="15"/>
      <c r="C8232" s="9">
        <f>IFERROR(__xludf.DUMMYFUNCTION("""COMPUTED_VALUE"""),45057.9028096296)</f>
        <v>45057.90281</v>
      </c>
      <c r="D8232" s="15">
        <f>IFERROR(__xludf.DUMMYFUNCTION("""COMPUTED_VALUE"""),1.017)</f>
        <v>1.017</v>
      </c>
      <c r="E8232" s="16">
        <f>IFERROR(__xludf.DUMMYFUNCTION("""COMPUTED_VALUE"""),64.0)</f>
        <v>64</v>
      </c>
      <c r="F8232" s="19" t="str">
        <f>IFERROR(__xludf.DUMMYFUNCTION("""COMPUTED_VALUE"""),"BLACK")</f>
        <v>BLACK</v>
      </c>
      <c r="G8232" s="20" t="str">
        <f>IFERROR(__xludf.DUMMYFUNCTION("""COMPUTED_VALUE"""),"Uncle Sams Cider (04/04/2023)")</f>
        <v>Uncle Sams Cider (04/04/2023)</v>
      </c>
      <c r="H8232" s="19"/>
    </row>
    <row r="8233">
      <c r="A8233" s="9"/>
      <c r="B8233" s="15"/>
      <c r="C8233" s="9">
        <f>IFERROR(__xludf.DUMMYFUNCTION("""COMPUTED_VALUE"""),45057.8923526273)</f>
        <v>45057.89235</v>
      </c>
      <c r="D8233" s="15">
        <f>IFERROR(__xludf.DUMMYFUNCTION("""COMPUTED_VALUE"""),1.017)</f>
        <v>1.017</v>
      </c>
      <c r="E8233" s="16">
        <f>IFERROR(__xludf.DUMMYFUNCTION("""COMPUTED_VALUE"""),64.0)</f>
        <v>64</v>
      </c>
      <c r="F8233" s="19" t="str">
        <f>IFERROR(__xludf.DUMMYFUNCTION("""COMPUTED_VALUE"""),"BLACK")</f>
        <v>BLACK</v>
      </c>
      <c r="G8233" s="20" t="str">
        <f>IFERROR(__xludf.DUMMYFUNCTION("""COMPUTED_VALUE"""),"Uncle Sams Cider (04/04/2023)")</f>
        <v>Uncle Sams Cider (04/04/2023)</v>
      </c>
      <c r="H8233" s="19"/>
    </row>
    <row r="8234">
      <c r="A8234" s="9"/>
      <c r="B8234" s="15"/>
      <c r="C8234" s="9">
        <f>IFERROR(__xludf.DUMMYFUNCTION("""COMPUTED_VALUE"""),45057.8819309722)</f>
        <v>45057.88193</v>
      </c>
      <c r="D8234" s="15">
        <f>IFERROR(__xludf.DUMMYFUNCTION("""COMPUTED_VALUE"""),1.017)</f>
        <v>1.017</v>
      </c>
      <c r="E8234" s="16">
        <f>IFERROR(__xludf.DUMMYFUNCTION("""COMPUTED_VALUE"""),64.0)</f>
        <v>64</v>
      </c>
      <c r="F8234" s="19" t="str">
        <f>IFERROR(__xludf.DUMMYFUNCTION("""COMPUTED_VALUE"""),"BLACK")</f>
        <v>BLACK</v>
      </c>
      <c r="G8234" s="20" t="str">
        <f>IFERROR(__xludf.DUMMYFUNCTION("""COMPUTED_VALUE"""),"Uncle Sams Cider (04/04/2023)")</f>
        <v>Uncle Sams Cider (04/04/2023)</v>
      </c>
      <c r="H8234" s="19"/>
    </row>
    <row r="8235">
      <c r="A8235" s="9"/>
      <c r="B8235" s="15"/>
      <c r="C8235" s="9">
        <f>IFERROR(__xludf.DUMMYFUNCTION("""COMPUTED_VALUE"""),45057.8715103009)</f>
        <v>45057.87151</v>
      </c>
      <c r="D8235" s="15">
        <f>IFERROR(__xludf.DUMMYFUNCTION("""COMPUTED_VALUE"""),1.017)</f>
        <v>1.017</v>
      </c>
      <c r="E8235" s="16">
        <f>IFERROR(__xludf.DUMMYFUNCTION("""COMPUTED_VALUE"""),64.0)</f>
        <v>64</v>
      </c>
      <c r="F8235" s="19" t="str">
        <f>IFERROR(__xludf.DUMMYFUNCTION("""COMPUTED_VALUE"""),"BLACK")</f>
        <v>BLACK</v>
      </c>
      <c r="G8235" s="20" t="str">
        <f>IFERROR(__xludf.DUMMYFUNCTION("""COMPUTED_VALUE"""),"Uncle Sams Cider (04/04/2023)")</f>
        <v>Uncle Sams Cider (04/04/2023)</v>
      </c>
      <c r="H8235" s="19"/>
    </row>
    <row r="8236">
      <c r="A8236" s="9"/>
      <c r="B8236" s="15"/>
      <c r="C8236" s="9">
        <f>IFERROR(__xludf.DUMMYFUNCTION("""COMPUTED_VALUE"""),45057.8610660185)</f>
        <v>45057.86107</v>
      </c>
      <c r="D8236" s="15">
        <f>IFERROR(__xludf.DUMMYFUNCTION("""COMPUTED_VALUE"""),1.017)</f>
        <v>1.017</v>
      </c>
      <c r="E8236" s="16">
        <f>IFERROR(__xludf.DUMMYFUNCTION("""COMPUTED_VALUE"""),64.0)</f>
        <v>64</v>
      </c>
      <c r="F8236" s="19" t="str">
        <f>IFERROR(__xludf.DUMMYFUNCTION("""COMPUTED_VALUE"""),"BLACK")</f>
        <v>BLACK</v>
      </c>
      <c r="G8236" s="20" t="str">
        <f>IFERROR(__xludf.DUMMYFUNCTION("""COMPUTED_VALUE"""),"Uncle Sams Cider (04/04/2023)")</f>
        <v>Uncle Sams Cider (04/04/2023)</v>
      </c>
      <c r="H8236" s="19"/>
    </row>
    <row r="8237">
      <c r="A8237" s="9"/>
      <c r="B8237" s="15"/>
      <c r="C8237" s="9">
        <f>IFERROR(__xludf.DUMMYFUNCTION("""COMPUTED_VALUE"""),45057.8506442476)</f>
        <v>45057.85064</v>
      </c>
      <c r="D8237" s="15">
        <f>IFERROR(__xludf.DUMMYFUNCTION("""COMPUTED_VALUE"""),1.017)</f>
        <v>1.017</v>
      </c>
      <c r="E8237" s="16">
        <f>IFERROR(__xludf.DUMMYFUNCTION("""COMPUTED_VALUE"""),64.0)</f>
        <v>64</v>
      </c>
      <c r="F8237" s="19" t="str">
        <f>IFERROR(__xludf.DUMMYFUNCTION("""COMPUTED_VALUE"""),"BLACK")</f>
        <v>BLACK</v>
      </c>
      <c r="G8237" s="20" t="str">
        <f>IFERROR(__xludf.DUMMYFUNCTION("""COMPUTED_VALUE"""),"Uncle Sams Cider (04/04/2023)")</f>
        <v>Uncle Sams Cider (04/04/2023)</v>
      </c>
      <c r="H8237" s="19"/>
    </row>
    <row r="8238">
      <c r="A8238" s="9"/>
      <c r="B8238" s="15"/>
      <c r="C8238" s="9">
        <f>IFERROR(__xludf.DUMMYFUNCTION("""COMPUTED_VALUE"""),45057.8402231018)</f>
        <v>45057.84022</v>
      </c>
      <c r="D8238" s="15">
        <f>IFERROR(__xludf.DUMMYFUNCTION("""COMPUTED_VALUE"""),1.017)</f>
        <v>1.017</v>
      </c>
      <c r="E8238" s="16">
        <f>IFERROR(__xludf.DUMMYFUNCTION("""COMPUTED_VALUE"""),64.0)</f>
        <v>64</v>
      </c>
      <c r="F8238" s="19" t="str">
        <f>IFERROR(__xludf.DUMMYFUNCTION("""COMPUTED_VALUE"""),"BLACK")</f>
        <v>BLACK</v>
      </c>
      <c r="G8238" s="20" t="str">
        <f>IFERROR(__xludf.DUMMYFUNCTION("""COMPUTED_VALUE"""),"Uncle Sams Cider (04/04/2023)")</f>
        <v>Uncle Sams Cider (04/04/2023)</v>
      </c>
      <c r="H8238" s="19"/>
    </row>
    <row r="8239">
      <c r="A8239" s="9"/>
      <c r="B8239" s="15"/>
      <c r="C8239" s="9">
        <f>IFERROR(__xludf.DUMMYFUNCTION("""COMPUTED_VALUE"""),45057.8298003587)</f>
        <v>45057.8298</v>
      </c>
      <c r="D8239" s="15">
        <f>IFERROR(__xludf.DUMMYFUNCTION("""COMPUTED_VALUE"""),1.017)</f>
        <v>1.017</v>
      </c>
      <c r="E8239" s="16">
        <f>IFERROR(__xludf.DUMMYFUNCTION("""COMPUTED_VALUE"""),64.0)</f>
        <v>64</v>
      </c>
      <c r="F8239" s="19" t="str">
        <f>IFERROR(__xludf.DUMMYFUNCTION("""COMPUTED_VALUE"""),"BLACK")</f>
        <v>BLACK</v>
      </c>
      <c r="G8239" s="20" t="str">
        <f>IFERROR(__xludf.DUMMYFUNCTION("""COMPUTED_VALUE"""),"Uncle Sams Cider (04/04/2023)")</f>
        <v>Uncle Sams Cider (04/04/2023)</v>
      </c>
      <c r="H8239" s="19"/>
    </row>
    <row r="8240">
      <c r="A8240" s="9"/>
      <c r="B8240" s="15"/>
      <c r="C8240" s="9">
        <f>IFERROR(__xludf.DUMMYFUNCTION("""COMPUTED_VALUE"""),45057.8193783564)</f>
        <v>45057.81938</v>
      </c>
      <c r="D8240" s="15">
        <f>IFERROR(__xludf.DUMMYFUNCTION("""COMPUTED_VALUE"""),1.017)</f>
        <v>1.017</v>
      </c>
      <c r="E8240" s="16">
        <f>IFERROR(__xludf.DUMMYFUNCTION("""COMPUTED_VALUE"""),64.0)</f>
        <v>64</v>
      </c>
      <c r="F8240" s="19" t="str">
        <f>IFERROR(__xludf.DUMMYFUNCTION("""COMPUTED_VALUE"""),"BLACK")</f>
        <v>BLACK</v>
      </c>
      <c r="G8240" s="20" t="str">
        <f>IFERROR(__xludf.DUMMYFUNCTION("""COMPUTED_VALUE"""),"Uncle Sams Cider (04/04/2023)")</f>
        <v>Uncle Sams Cider (04/04/2023)</v>
      </c>
      <c r="H8240" s="19"/>
    </row>
    <row r="8241">
      <c r="A8241" s="9"/>
      <c r="B8241" s="15"/>
      <c r="C8241" s="9">
        <f>IFERROR(__xludf.DUMMYFUNCTION("""COMPUTED_VALUE"""),45057.8089442939)</f>
        <v>45057.80894</v>
      </c>
      <c r="D8241" s="15">
        <f>IFERROR(__xludf.DUMMYFUNCTION("""COMPUTED_VALUE"""),1.017)</f>
        <v>1.017</v>
      </c>
      <c r="E8241" s="16">
        <f>IFERROR(__xludf.DUMMYFUNCTION("""COMPUTED_VALUE"""),64.0)</f>
        <v>64</v>
      </c>
      <c r="F8241" s="19" t="str">
        <f>IFERROR(__xludf.DUMMYFUNCTION("""COMPUTED_VALUE"""),"BLACK")</f>
        <v>BLACK</v>
      </c>
      <c r="G8241" s="20" t="str">
        <f>IFERROR(__xludf.DUMMYFUNCTION("""COMPUTED_VALUE"""),"Uncle Sams Cider (04/04/2023)")</f>
        <v>Uncle Sams Cider (04/04/2023)</v>
      </c>
      <c r="H8241" s="19"/>
    </row>
    <row r="8242">
      <c r="A8242" s="9"/>
      <c r="B8242" s="15"/>
      <c r="C8242" s="9">
        <f>IFERROR(__xludf.DUMMYFUNCTION("""COMPUTED_VALUE"""),45057.7985232291)</f>
        <v>45057.79852</v>
      </c>
      <c r="D8242" s="15">
        <f>IFERROR(__xludf.DUMMYFUNCTION("""COMPUTED_VALUE"""),1.018)</f>
        <v>1.018</v>
      </c>
      <c r="E8242" s="16">
        <f>IFERROR(__xludf.DUMMYFUNCTION("""COMPUTED_VALUE"""),64.0)</f>
        <v>64</v>
      </c>
      <c r="F8242" s="19" t="str">
        <f>IFERROR(__xludf.DUMMYFUNCTION("""COMPUTED_VALUE"""),"BLACK")</f>
        <v>BLACK</v>
      </c>
      <c r="G8242" s="20" t="str">
        <f>IFERROR(__xludf.DUMMYFUNCTION("""COMPUTED_VALUE"""),"Uncle Sams Cider (04/04/2023)")</f>
        <v>Uncle Sams Cider (04/04/2023)</v>
      </c>
      <c r="H8242" s="19"/>
    </row>
    <row r="8243">
      <c r="A8243" s="9"/>
      <c r="B8243" s="15"/>
      <c r="C8243" s="9">
        <f>IFERROR(__xludf.DUMMYFUNCTION("""COMPUTED_VALUE"""),45057.7880910416)</f>
        <v>45057.78809</v>
      </c>
      <c r="D8243" s="15">
        <f>IFERROR(__xludf.DUMMYFUNCTION("""COMPUTED_VALUE"""),1.017)</f>
        <v>1.017</v>
      </c>
      <c r="E8243" s="16">
        <f>IFERROR(__xludf.DUMMYFUNCTION("""COMPUTED_VALUE"""),64.0)</f>
        <v>64</v>
      </c>
      <c r="F8243" s="19" t="str">
        <f>IFERROR(__xludf.DUMMYFUNCTION("""COMPUTED_VALUE"""),"BLACK")</f>
        <v>BLACK</v>
      </c>
      <c r="G8243" s="20" t="str">
        <f>IFERROR(__xludf.DUMMYFUNCTION("""COMPUTED_VALUE"""),"Uncle Sams Cider (04/04/2023)")</f>
        <v>Uncle Sams Cider (04/04/2023)</v>
      </c>
      <c r="H8243" s="19"/>
    </row>
    <row r="8244">
      <c r="A8244" s="9"/>
      <c r="B8244" s="15"/>
      <c r="C8244" s="9">
        <f>IFERROR(__xludf.DUMMYFUNCTION("""COMPUTED_VALUE"""),45057.7776581365)</f>
        <v>45057.77766</v>
      </c>
      <c r="D8244" s="15">
        <f>IFERROR(__xludf.DUMMYFUNCTION("""COMPUTED_VALUE"""),1.017)</f>
        <v>1.017</v>
      </c>
      <c r="E8244" s="16">
        <f>IFERROR(__xludf.DUMMYFUNCTION("""COMPUTED_VALUE"""),64.0)</f>
        <v>64</v>
      </c>
      <c r="F8244" s="19" t="str">
        <f>IFERROR(__xludf.DUMMYFUNCTION("""COMPUTED_VALUE"""),"BLACK")</f>
        <v>BLACK</v>
      </c>
      <c r="G8244" s="20" t="str">
        <f>IFERROR(__xludf.DUMMYFUNCTION("""COMPUTED_VALUE"""),"Uncle Sams Cider (04/04/2023)")</f>
        <v>Uncle Sams Cider (04/04/2023)</v>
      </c>
      <c r="H8244" s="19"/>
    </row>
    <row r="8245">
      <c r="A8245" s="9"/>
      <c r="B8245" s="15"/>
      <c r="C8245" s="9">
        <f>IFERROR(__xludf.DUMMYFUNCTION("""COMPUTED_VALUE"""),45057.7672364467)</f>
        <v>45057.76724</v>
      </c>
      <c r="D8245" s="15">
        <f>IFERROR(__xludf.DUMMYFUNCTION("""COMPUTED_VALUE"""),1.017)</f>
        <v>1.017</v>
      </c>
      <c r="E8245" s="16">
        <f>IFERROR(__xludf.DUMMYFUNCTION("""COMPUTED_VALUE"""),64.0)</f>
        <v>64</v>
      </c>
      <c r="F8245" s="19" t="str">
        <f>IFERROR(__xludf.DUMMYFUNCTION("""COMPUTED_VALUE"""),"BLACK")</f>
        <v>BLACK</v>
      </c>
      <c r="G8245" s="20" t="str">
        <f>IFERROR(__xludf.DUMMYFUNCTION("""COMPUTED_VALUE"""),"Uncle Sams Cider (04/04/2023)")</f>
        <v>Uncle Sams Cider (04/04/2023)</v>
      </c>
      <c r="H8245" s="19"/>
    </row>
    <row r="8246">
      <c r="A8246" s="9"/>
      <c r="B8246" s="15"/>
      <c r="C8246" s="9">
        <f>IFERROR(__xludf.DUMMYFUNCTION("""COMPUTED_VALUE"""),45057.7568159606)</f>
        <v>45057.75682</v>
      </c>
      <c r="D8246" s="15">
        <f>IFERROR(__xludf.DUMMYFUNCTION("""COMPUTED_VALUE"""),1.017)</f>
        <v>1.017</v>
      </c>
      <c r="E8246" s="16">
        <f>IFERROR(__xludf.DUMMYFUNCTION("""COMPUTED_VALUE"""),64.0)</f>
        <v>64</v>
      </c>
      <c r="F8246" s="19" t="str">
        <f>IFERROR(__xludf.DUMMYFUNCTION("""COMPUTED_VALUE"""),"BLACK")</f>
        <v>BLACK</v>
      </c>
      <c r="G8246" s="20" t="str">
        <f>IFERROR(__xludf.DUMMYFUNCTION("""COMPUTED_VALUE"""),"Uncle Sams Cider (04/04/2023)")</f>
        <v>Uncle Sams Cider (04/04/2023)</v>
      </c>
      <c r="H8246" s="19"/>
    </row>
    <row r="8247">
      <c r="A8247" s="9"/>
      <c r="B8247" s="15"/>
      <c r="C8247" s="9">
        <f>IFERROR(__xludf.DUMMYFUNCTION("""COMPUTED_VALUE"""),45057.7463928356)</f>
        <v>45057.74639</v>
      </c>
      <c r="D8247" s="15">
        <f>IFERROR(__xludf.DUMMYFUNCTION("""COMPUTED_VALUE"""),1.017)</f>
        <v>1.017</v>
      </c>
      <c r="E8247" s="16">
        <f>IFERROR(__xludf.DUMMYFUNCTION("""COMPUTED_VALUE"""),64.0)</f>
        <v>64</v>
      </c>
      <c r="F8247" s="19" t="str">
        <f>IFERROR(__xludf.DUMMYFUNCTION("""COMPUTED_VALUE"""),"BLACK")</f>
        <v>BLACK</v>
      </c>
      <c r="G8247" s="20" t="str">
        <f>IFERROR(__xludf.DUMMYFUNCTION("""COMPUTED_VALUE"""),"Uncle Sams Cider (04/04/2023)")</f>
        <v>Uncle Sams Cider (04/04/2023)</v>
      </c>
      <c r="H8247" s="19"/>
    </row>
    <row r="8248">
      <c r="A8248" s="9"/>
      <c r="B8248" s="15"/>
      <c r="C8248" s="9">
        <f>IFERROR(__xludf.DUMMYFUNCTION("""COMPUTED_VALUE"""),45057.7359720717)</f>
        <v>45057.73597</v>
      </c>
      <c r="D8248" s="15">
        <f>IFERROR(__xludf.DUMMYFUNCTION("""COMPUTED_VALUE"""),1.017)</f>
        <v>1.017</v>
      </c>
      <c r="E8248" s="16">
        <f>IFERROR(__xludf.DUMMYFUNCTION("""COMPUTED_VALUE"""),64.0)</f>
        <v>64</v>
      </c>
      <c r="F8248" s="19" t="str">
        <f>IFERROR(__xludf.DUMMYFUNCTION("""COMPUTED_VALUE"""),"BLACK")</f>
        <v>BLACK</v>
      </c>
      <c r="G8248" s="20" t="str">
        <f>IFERROR(__xludf.DUMMYFUNCTION("""COMPUTED_VALUE"""),"Uncle Sams Cider (04/04/2023)")</f>
        <v>Uncle Sams Cider (04/04/2023)</v>
      </c>
      <c r="H8248" s="19"/>
    </row>
    <row r="8249">
      <c r="A8249" s="9"/>
      <c r="B8249" s="15"/>
      <c r="C8249" s="9">
        <f>IFERROR(__xludf.DUMMYFUNCTION("""COMPUTED_VALUE"""),45057.7255497338)</f>
        <v>45057.72555</v>
      </c>
      <c r="D8249" s="15">
        <f>IFERROR(__xludf.DUMMYFUNCTION("""COMPUTED_VALUE"""),1.017)</f>
        <v>1.017</v>
      </c>
      <c r="E8249" s="16">
        <f>IFERROR(__xludf.DUMMYFUNCTION("""COMPUTED_VALUE"""),64.0)</f>
        <v>64</v>
      </c>
      <c r="F8249" s="19" t="str">
        <f>IFERROR(__xludf.DUMMYFUNCTION("""COMPUTED_VALUE"""),"BLACK")</f>
        <v>BLACK</v>
      </c>
      <c r="G8249" s="20" t="str">
        <f>IFERROR(__xludf.DUMMYFUNCTION("""COMPUTED_VALUE"""),"Uncle Sams Cider (04/04/2023)")</f>
        <v>Uncle Sams Cider (04/04/2023)</v>
      </c>
      <c r="H8249" s="19"/>
    </row>
    <row r="8250">
      <c r="A8250" s="9"/>
      <c r="B8250" s="15"/>
      <c r="C8250" s="9">
        <f>IFERROR(__xludf.DUMMYFUNCTION("""COMPUTED_VALUE"""),45057.715127581)</f>
        <v>45057.71513</v>
      </c>
      <c r="D8250" s="15">
        <f>IFERROR(__xludf.DUMMYFUNCTION("""COMPUTED_VALUE"""),1.017)</f>
        <v>1.017</v>
      </c>
      <c r="E8250" s="16">
        <f>IFERROR(__xludf.DUMMYFUNCTION("""COMPUTED_VALUE"""),64.0)</f>
        <v>64</v>
      </c>
      <c r="F8250" s="19" t="str">
        <f>IFERROR(__xludf.DUMMYFUNCTION("""COMPUTED_VALUE"""),"BLACK")</f>
        <v>BLACK</v>
      </c>
      <c r="G8250" s="20" t="str">
        <f>IFERROR(__xludf.DUMMYFUNCTION("""COMPUTED_VALUE"""),"Uncle Sams Cider (04/04/2023)")</f>
        <v>Uncle Sams Cider (04/04/2023)</v>
      </c>
      <c r="H8250" s="19"/>
    </row>
    <row r="8251">
      <c r="A8251" s="9"/>
      <c r="B8251" s="15"/>
      <c r="C8251" s="9">
        <f>IFERROR(__xludf.DUMMYFUNCTION("""COMPUTED_VALUE"""),45057.7047074074)</f>
        <v>45057.70471</v>
      </c>
      <c r="D8251" s="15">
        <f>IFERROR(__xludf.DUMMYFUNCTION("""COMPUTED_VALUE"""),1.017)</f>
        <v>1.017</v>
      </c>
      <c r="E8251" s="16">
        <f>IFERROR(__xludf.DUMMYFUNCTION("""COMPUTED_VALUE"""),64.0)</f>
        <v>64</v>
      </c>
      <c r="F8251" s="19" t="str">
        <f>IFERROR(__xludf.DUMMYFUNCTION("""COMPUTED_VALUE"""),"BLACK")</f>
        <v>BLACK</v>
      </c>
      <c r="G8251" s="20" t="str">
        <f>IFERROR(__xludf.DUMMYFUNCTION("""COMPUTED_VALUE"""),"Uncle Sams Cider (04/04/2023)")</f>
        <v>Uncle Sams Cider (04/04/2023)</v>
      </c>
      <c r="H8251" s="19"/>
    </row>
    <row r="8252">
      <c r="A8252" s="9"/>
      <c r="B8252" s="15"/>
      <c r="C8252" s="9">
        <f>IFERROR(__xludf.DUMMYFUNCTION("""COMPUTED_VALUE"""),45057.6942875)</f>
        <v>45057.69429</v>
      </c>
      <c r="D8252" s="15">
        <f>IFERROR(__xludf.DUMMYFUNCTION("""COMPUTED_VALUE"""),1.017)</f>
        <v>1.017</v>
      </c>
      <c r="E8252" s="16">
        <f>IFERROR(__xludf.DUMMYFUNCTION("""COMPUTED_VALUE"""),64.0)</f>
        <v>64</v>
      </c>
      <c r="F8252" s="19" t="str">
        <f>IFERROR(__xludf.DUMMYFUNCTION("""COMPUTED_VALUE"""),"BLACK")</f>
        <v>BLACK</v>
      </c>
      <c r="G8252" s="20" t="str">
        <f>IFERROR(__xludf.DUMMYFUNCTION("""COMPUTED_VALUE"""),"Uncle Sams Cider (04/04/2023)")</f>
        <v>Uncle Sams Cider (04/04/2023)</v>
      </c>
      <c r="H8252" s="19"/>
    </row>
    <row r="8253">
      <c r="A8253" s="9"/>
      <c r="B8253" s="15"/>
      <c r="C8253" s="9">
        <f>IFERROR(__xludf.DUMMYFUNCTION("""COMPUTED_VALUE"""),45057.6838662268)</f>
        <v>45057.68387</v>
      </c>
      <c r="D8253" s="15">
        <f>IFERROR(__xludf.DUMMYFUNCTION("""COMPUTED_VALUE"""),1.017)</f>
        <v>1.017</v>
      </c>
      <c r="E8253" s="16">
        <f>IFERROR(__xludf.DUMMYFUNCTION("""COMPUTED_VALUE"""),64.0)</f>
        <v>64</v>
      </c>
      <c r="F8253" s="19" t="str">
        <f>IFERROR(__xludf.DUMMYFUNCTION("""COMPUTED_VALUE"""),"BLACK")</f>
        <v>BLACK</v>
      </c>
      <c r="G8253" s="20" t="str">
        <f>IFERROR(__xludf.DUMMYFUNCTION("""COMPUTED_VALUE"""),"Uncle Sams Cider (04/04/2023)")</f>
        <v>Uncle Sams Cider (04/04/2023)</v>
      </c>
      <c r="H8253" s="19"/>
    </row>
    <row r="8254">
      <c r="A8254" s="9"/>
      <c r="B8254" s="15"/>
      <c r="C8254" s="9">
        <f>IFERROR(__xludf.DUMMYFUNCTION("""COMPUTED_VALUE"""),45057.6734346296)</f>
        <v>45057.67343</v>
      </c>
      <c r="D8254" s="15">
        <f>IFERROR(__xludf.DUMMYFUNCTION("""COMPUTED_VALUE"""),1.017)</f>
        <v>1.017</v>
      </c>
      <c r="E8254" s="16">
        <f>IFERROR(__xludf.DUMMYFUNCTION("""COMPUTED_VALUE"""),64.0)</f>
        <v>64</v>
      </c>
      <c r="F8254" s="19" t="str">
        <f>IFERROR(__xludf.DUMMYFUNCTION("""COMPUTED_VALUE"""),"BLACK")</f>
        <v>BLACK</v>
      </c>
      <c r="G8254" s="20" t="str">
        <f>IFERROR(__xludf.DUMMYFUNCTION("""COMPUTED_VALUE"""),"Uncle Sams Cider (04/04/2023)")</f>
        <v>Uncle Sams Cider (04/04/2023)</v>
      </c>
      <c r="H8254" s="19"/>
    </row>
    <row r="8255">
      <c r="A8255" s="9"/>
      <c r="B8255" s="15"/>
      <c r="C8255" s="9">
        <f>IFERROR(__xludf.DUMMYFUNCTION("""COMPUTED_VALUE"""),45057.6630154166)</f>
        <v>45057.66302</v>
      </c>
      <c r="D8255" s="15">
        <f>IFERROR(__xludf.DUMMYFUNCTION("""COMPUTED_VALUE"""),1.017)</f>
        <v>1.017</v>
      </c>
      <c r="E8255" s="16">
        <f>IFERROR(__xludf.DUMMYFUNCTION("""COMPUTED_VALUE"""),64.0)</f>
        <v>64</v>
      </c>
      <c r="F8255" s="19" t="str">
        <f>IFERROR(__xludf.DUMMYFUNCTION("""COMPUTED_VALUE"""),"BLACK")</f>
        <v>BLACK</v>
      </c>
      <c r="G8255" s="20" t="str">
        <f>IFERROR(__xludf.DUMMYFUNCTION("""COMPUTED_VALUE"""),"Uncle Sams Cider (04/04/2023)")</f>
        <v>Uncle Sams Cider (04/04/2023)</v>
      </c>
      <c r="H8255" s="19"/>
    </row>
    <row r="8256">
      <c r="A8256" s="9"/>
      <c r="B8256" s="15"/>
      <c r="C8256" s="9">
        <f>IFERROR(__xludf.DUMMYFUNCTION("""COMPUTED_VALUE"""),45057.6525941435)</f>
        <v>45057.65259</v>
      </c>
      <c r="D8256" s="15">
        <f>IFERROR(__xludf.DUMMYFUNCTION("""COMPUTED_VALUE"""),1.017)</f>
        <v>1.017</v>
      </c>
      <c r="E8256" s="16">
        <f>IFERROR(__xludf.DUMMYFUNCTION("""COMPUTED_VALUE"""),64.0)</f>
        <v>64</v>
      </c>
      <c r="F8256" s="19" t="str">
        <f>IFERROR(__xludf.DUMMYFUNCTION("""COMPUTED_VALUE"""),"BLACK")</f>
        <v>BLACK</v>
      </c>
      <c r="G8256" s="20" t="str">
        <f>IFERROR(__xludf.DUMMYFUNCTION("""COMPUTED_VALUE"""),"Uncle Sams Cider (04/04/2023)")</f>
        <v>Uncle Sams Cider (04/04/2023)</v>
      </c>
      <c r="H8256" s="19"/>
    </row>
    <row r="8257">
      <c r="A8257" s="9"/>
      <c r="B8257" s="15"/>
      <c r="C8257" s="9">
        <f>IFERROR(__xludf.DUMMYFUNCTION("""COMPUTED_VALUE"""),45057.6421721875)</f>
        <v>45057.64217</v>
      </c>
      <c r="D8257" s="15">
        <f>IFERROR(__xludf.DUMMYFUNCTION("""COMPUTED_VALUE"""),1.017)</f>
        <v>1.017</v>
      </c>
      <c r="E8257" s="16">
        <f>IFERROR(__xludf.DUMMYFUNCTION("""COMPUTED_VALUE"""),64.0)</f>
        <v>64</v>
      </c>
      <c r="F8257" s="19" t="str">
        <f>IFERROR(__xludf.DUMMYFUNCTION("""COMPUTED_VALUE"""),"BLACK")</f>
        <v>BLACK</v>
      </c>
      <c r="G8257" s="20" t="str">
        <f>IFERROR(__xludf.DUMMYFUNCTION("""COMPUTED_VALUE"""),"Uncle Sams Cider (04/04/2023)")</f>
        <v>Uncle Sams Cider (04/04/2023)</v>
      </c>
      <c r="H8257" s="19"/>
    </row>
    <row r="8258">
      <c r="A8258" s="9"/>
      <c r="B8258" s="15"/>
      <c r="C8258" s="9">
        <f>IFERROR(__xludf.DUMMYFUNCTION("""COMPUTED_VALUE"""),45057.6317527199)</f>
        <v>45057.63175</v>
      </c>
      <c r="D8258" s="15">
        <f>IFERROR(__xludf.DUMMYFUNCTION("""COMPUTED_VALUE"""),1.017)</f>
        <v>1.017</v>
      </c>
      <c r="E8258" s="16">
        <f>IFERROR(__xludf.DUMMYFUNCTION("""COMPUTED_VALUE"""),64.0)</f>
        <v>64</v>
      </c>
      <c r="F8258" s="19" t="str">
        <f>IFERROR(__xludf.DUMMYFUNCTION("""COMPUTED_VALUE"""),"BLACK")</f>
        <v>BLACK</v>
      </c>
      <c r="G8258" s="20" t="str">
        <f>IFERROR(__xludf.DUMMYFUNCTION("""COMPUTED_VALUE"""),"Uncle Sams Cider (04/04/2023)")</f>
        <v>Uncle Sams Cider (04/04/2023)</v>
      </c>
      <c r="H8258" s="19"/>
    </row>
    <row r="8259">
      <c r="A8259" s="9"/>
      <c r="B8259" s="15"/>
      <c r="C8259" s="9">
        <f>IFERROR(__xludf.DUMMYFUNCTION("""COMPUTED_VALUE"""),45057.6213305671)</f>
        <v>45057.62133</v>
      </c>
      <c r="D8259" s="15">
        <f>IFERROR(__xludf.DUMMYFUNCTION("""COMPUTED_VALUE"""),1.018)</f>
        <v>1.018</v>
      </c>
      <c r="E8259" s="16">
        <f>IFERROR(__xludf.DUMMYFUNCTION("""COMPUTED_VALUE"""),64.0)</f>
        <v>64</v>
      </c>
      <c r="F8259" s="19" t="str">
        <f>IFERROR(__xludf.DUMMYFUNCTION("""COMPUTED_VALUE"""),"BLACK")</f>
        <v>BLACK</v>
      </c>
      <c r="G8259" s="20" t="str">
        <f>IFERROR(__xludf.DUMMYFUNCTION("""COMPUTED_VALUE"""),"Uncle Sams Cider (04/04/2023)")</f>
        <v>Uncle Sams Cider (04/04/2023)</v>
      </c>
      <c r="H8259" s="19"/>
    </row>
    <row r="8260">
      <c r="A8260" s="9"/>
      <c r="B8260" s="15"/>
      <c r="C8260" s="9">
        <f>IFERROR(__xludf.DUMMYFUNCTION("""COMPUTED_VALUE"""),45057.6109098842)</f>
        <v>45057.61091</v>
      </c>
      <c r="D8260" s="15">
        <f>IFERROR(__xludf.DUMMYFUNCTION("""COMPUTED_VALUE"""),1.017)</f>
        <v>1.017</v>
      </c>
      <c r="E8260" s="16">
        <f>IFERROR(__xludf.DUMMYFUNCTION("""COMPUTED_VALUE"""),64.0)</f>
        <v>64</v>
      </c>
      <c r="F8260" s="19" t="str">
        <f>IFERROR(__xludf.DUMMYFUNCTION("""COMPUTED_VALUE"""),"BLACK")</f>
        <v>BLACK</v>
      </c>
      <c r="G8260" s="20" t="str">
        <f>IFERROR(__xludf.DUMMYFUNCTION("""COMPUTED_VALUE"""),"Uncle Sams Cider (04/04/2023)")</f>
        <v>Uncle Sams Cider (04/04/2023)</v>
      </c>
      <c r="H8260" s="19"/>
    </row>
    <row r="8261">
      <c r="A8261" s="9"/>
      <c r="B8261" s="15"/>
      <c r="C8261" s="9">
        <f>IFERROR(__xludf.DUMMYFUNCTION("""COMPUTED_VALUE"""),45057.6004889351)</f>
        <v>45057.60049</v>
      </c>
      <c r="D8261" s="15">
        <f>IFERROR(__xludf.DUMMYFUNCTION("""COMPUTED_VALUE"""),1.018)</f>
        <v>1.018</v>
      </c>
      <c r="E8261" s="16">
        <f>IFERROR(__xludf.DUMMYFUNCTION("""COMPUTED_VALUE"""),64.0)</f>
        <v>64</v>
      </c>
      <c r="F8261" s="19" t="str">
        <f>IFERROR(__xludf.DUMMYFUNCTION("""COMPUTED_VALUE"""),"BLACK")</f>
        <v>BLACK</v>
      </c>
      <c r="G8261" s="20" t="str">
        <f>IFERROR(__xludf.DUMMYFUNCTION("""COMPUTED_VALUE"""),"Uncle Sams Cider (04/04/2023)")</f>
        <v>Uncle Sams Cider (04/04/2023)</v>
      </c>
      <c r="H8261" s="19"/>
    </row>
    <row r="8262">
      <c r="A8262" s="9"/>
      <c r="B8262" s="15"/>
      <c r="C8262" s="9">
        <f>IFERROR(__xludf.DUMMYFUNCTION("""COMPUTED_VALUE"""),45057.5900578009)</f>
        <v>45057.59006</v>
      </c>
      <c r="D8262" s="15">
        <f>IFERROR(__xludf.DUMMYFUNCTION("""COMPUTED_VALUE"""),1.018)</f>
        <v>1.018</v>
      </c>
      <c r="E8262" s="16">
        <f>IFERROR(__xludf.DUMMYFUNCTION("""COMPUTED_VALUE"""),64.0)</f>
        <v>64</v>
      </c>
      <c r="F8262" s="19" t="str">
        <f>IFERROR(__xludf.DUMMYFUNCTION("""COMPUTED_VALUE"""),"BLACK")</f>
        <v>BLACK</v>
      </c>
      <c r="G8262" s="20" t="str">
        <f>IFERROR(__xludf.DUMMYFUNCTION("""COMPUTED_VALUE"""),"Uncle Sams Cider (04/04/2023)")</f>
        <v>Uncle Sams Cider (04/04/2023)</v>
      </c>
      <c r="H8262" s="19"/>
    </row>
    <row r="8263">
      <c r="A8263" s="9"/>
      <c r="B8263" s="15"/>
      <c r="C8263" s="9">
        <f>IFERROR(__xludf.DUMMYFUNCTION("""COMPUTED_VALUE"""),45057.5796357638)</f>
        <v>45057.57964</v>
      </c>
      <c r="D8263" s="15">
        <f>IFERROR(__xludf.DUMMYFUNCTION("""COMPUTED_VALUE"""),1.018)</f>
        <v>1.018</v>
      </c>
      <c r="E8263" s="16">
        <f>IFERROR(__xludf.DUMMYFUNCTION("""COMPUTED_VALUE"""),64.0)</f>
        <v>64</v>
      </c>
      <c r="F8263" s="19" t="str">
        <f>IFERROR(__xludf.DUMMYFUNCTION("""COMPUTED_VALUE"""),"BLACK")</f>
        <v>BLACK</v>
      </c>
      <c r="G8263" s="20" t="str">
        <f>IFERROR(__xludf.DUMMYFUNCTION("""COMPUTED_VALUE"""),"Uncle Sams Cider (04/04/2023)")</f>
        <v>Uncle Sams Cider (04/04/2023)</v>
      </c>
      <c r="H8263" s="19"/>
    </row>
    <row r="8264">
      <c r="A8264" s="9"/>
      <c r="B8264" s="15"/>
      <c r="C8264" s="9">
        <f>IFERROR(__xludf.DUMMYFUNCTION("""COMPUTED_VALUE"""),45057.5692133101)</f>
        <v>45057.56921</v>
      </c>
      <c r="D8264" s="15">
        <f>IFERROR(__xludf.DUMMYFUNCTION("""COMPUTED_VALUE"""),1.017)</f>
        <v>1.017</v>
      </c>
      <c r="E8264" s="16">
        <f>IFERROR(__xludf.DUMMYFUNCTION("""COMPUTED_VALUE"""),64.0)</f>
        <v>64</v>
      </c>
      <c r="F8264" s="19" t="str">
        <f>IFERROR(__xludf.DUMMYFUNCTION("""COMPUTED_VALUE"""),"BLACK")</f>
        <v>BLACK</v>
      </c>
      <c r="G8264" s="20" t="str">
        <f>IFERROR(__xludf.DUMMYFUNCTION("""COMPUTED_VALUE"""),"Uncle Sams Cider (04/04/2023)")</f>
        <v>Uncle Sams Cider (04/04/2023)</v>
      </c>
      <c r="H8264" s="19"/>
    </row>
    <row r="8265">
      <c r="A8265" s="9"/>
      <c r="B8265" s="15"/>
      <c r="C8265" s="9">
        <f>IFERROR(__xludf.DUMMYFUNCTION("""COMPUTED_VALUE"""),45057.5587926041)</f>
        <v>45057.55879</v>
      </c>
      <c r="D8265" s="15">
        <f>IFERROR(__xludf.DUMMYFUNCTION("""COMPUTED_VALUE"""),1.017)</f>
        <v>1.017</v>
      </c>
      <c r="E8265" s="16">
        <f>IFERROR(__xludf.DUMMYFUNCTION("""COMPUTED_VALUE"""),64.0)</f>
        <v>64</v>
      </c>
      <c r="F8265" s="19" t="str">
        <f>IFERROR(__xludf.DUMMYFUNCTION("""COMPUTED_VALUE"""),"BLACK")</f>
        <v>BLACK</v>
      </c>
      <c r="G8265" s="20" t="str">
        <f>IFERROR(__xludf.DUMMYFUNCTION("""COMPUTED_VALUE"""),"Uncle Sams Cider (04/04/2023)")</f>
        <v>Uncle Sams Cider (04/04/2023)</v>
      </c>
      <c r="H8265" s="19"/>
    </row>
    <row r="8266">
      <c r="A8266" s="9"/>
      <c r="B8266" s="15"/>
      <c r="C8266" s="9">
        <f>IFERROR(__xludf.DUMMYFUNCTION("""COMPUTED_VALUE"""),45057.5483604976)</f>
        <v>45057.54836</v>
      </c>
      <c r="D8266" s="15">
        <f>IFERROR(__xludf.DUMMYFUNCTION("""COMPUTED_VALUE"""),1.017)</f>
        <v>1.017</v>
      </c>
      <c r="E8266" s="16">
        <f>IFERROR(__xludf.DUMMYFUNCTION("""COMPUTED_VALUE"""),64.0)</f>
        <v>64</v>
      </c>
      <c r="F8266" s="19" t="str">
        <f>IFERROR(__xludf.DUMMYFUNCTION("""COMPUTED_VALUE"""),"BLACK")</f>
        <v>BLACK</v>
      </c>
      <c r="G8266" s="20" t="str">
        <f>IFERROR(__xludf.DUMMYFUNCTION("""COMPUTED_VALUE"""),"Uncle Sams Cider (04/04/2023)")</f>
        <v>Uncle Sams Cider (04/04/2023)</v>
      </c>
      <c r="H8266" s="19"/>
    </row>
    <row r="8267">
      <c r="A8267" s="9"/>
      <c r="B8267" s="15"/>
      <c r="C8267" s="9">
        <f>IFERROR(__xludf.DUMMYFUNCTION("""COMPUTED_VALUE"""),45057.5379398726)</f>
        <v>45057.53794</v>
      </c>
      <c r="D8267" s="15">
        <f>IFERROR(__xludf.DUMMYFUNCTION("""COMPUTED_VALUE"""),1.017)</f>
        <v>1.017</v>
      </c>
      <c r="E8267" s="16">
        <f>IFERROR(__xludf.DUMMYFUNCTION("""COMPUTED_VALUE"""),64.0)</f>
        <v>64</v>
      </c>
      <c r="F8267" s="19" t="str">
        <f>IFERROR(__xludf.DUMMYFUNCTION("""COMPUTED_VALUE"""),"BLACK")</f>
        <v>BLACK</v>
      </c>
      <c r="G8267" s="20" t="str">
        <f>IFERROR(__xludf.DUMMYFUNCTION("""COMPUTED_VALUE"""),"Uncle Sams Cider (04/04/2023)")</f>
        <v>Uncle Sams Cider (04/04/2023)</v>
      </c>
      <c r="H8267" s="19"/>
    </row>
    <row r="8268">
      <c r="A8268" s="9"/>
      <c r="B8268" s="15"/>
      <c r="C8268" s="9">
        <f>IFERROR(__xludf.DUMMYFUNCTION("""COMPUTED_VALUE"""),45057.5275194212)</f>
        <v>45057.52752</v>
      </c>
      <c r="D8268" s="15">
        <f>IFERROR(__xludf.DUMMYFUNCTION("""COMPUTED_VALUE"""),1.017)</f>
        <v>1.017</v>
      </c>
      <c r="E8268" s="16">
        <f>IFERROR(__xludf.DUMMYFUNCTION("""COMPUTED_VALUE"""),64.0)</f>
        <v>64</v>
      </c>
      <c r="F8268" s="19" t="str">
        <f>IFERROR(__xludf.DUMMYFUNCTION("""COMPUTED_VALUE"""),"BLACK")</f>
        <v>BLACK</v>
      </c>
      <c r="G8268" s="20" t="str">
        <f>IFERROR(__xludf.DUMMYFUNCTION("""COMPUTED_VALUE"""),"Uncle Sams Cider (04/04/2023)")</f>
        <v>Uncle Sams Cider (04/04/2023)</v>
      </c>
      <c r="H8268" s="19"/>
    </row>
    <row r="8269">
      <c r="A8269" s="9"/>
      <c r="B8269" s="15"/>
      <c r="C8269" s="9">
        <f>IFERROR(__xludf.DUMMYFUNCTION("""COMPUTED_VALUE"""),45057.5170869791)</f>
        <v>45057.51709</v>
      </c>
      <c r="D8269" s="15">
        <f>IFERROR(__xludf.DUMMYFUNCTION("""COMPUTED_VALUE"""),1.018)</f>
        <v>1.018</v>
      </c>
      <c r="E8269" s="16">
        <f>IFERROR(__xludf.DUMMYFUNCTION("""COMPUTED_VALUE"""),64.0)</f>
        <v>64</v>
      </c>
      <c r="F8269" s="19" t="str">
        <f>IFERROR(__xludf.DUMMYFUNCTION("""COMPUTED_VALUE"""),"BLACK")</f>
        <v>BLACK</v>
      </c>
      <c r="G8269" s="20" t="str">
        <f>IFERROR(__xludf.DUMMYFUNCTION("""COMPUTED_VALUE"""),"Uncle Sams Cider (04/04/2023)")</f>
        <v>Uncle Sams Cider (04/04/2023)</v>
      </c>
      <c r="H8269" s="19"/>
    </row>
    <row r="8270">
      <c r="A8270" s="9"/>
      <c r="B8270" s="15"/>
      <c r="C8270" s="9">
        <f>IFERROR(__xludf.DUMMYFUNCTION("""COMPUTED_VALUE"""),45057.506664537)</f>
        <v>45057.50666</v>
      </c>
      <c r="D8270" s="15">
        <f>IFERROR(__xludf.DUMMYFUNCTION("""COMPUTED_VALUE"""),1.018)</f>
        <v>1.018</v>
      </c>
      <c r="E8270" s="16">
        <f>IFERROR(__xludf.DUMMYFUNCTION("""COMPUTED_VALUE"""),64.0)</f>
        <v>64</v>
      </c>
      <c r="F8270" s="19" t="str">
        <f>IFERROR(__xludf.DUMMYFUNCTION("""COMPUTED_VALUE"""),"BLACK")</f>
        <v>BLACK</v>
      </c>
      <c r="G8270" s="20" t="str">
        <f>IFERROR(__xludf.DUMMYFUNCTION("""COMPUTED_VALUE"""),"Uncle Sams Cider (04/04/2023)")</f>
        <v>Uncle Sams Cider (04/04/2023)</v>
      </c>
      <c r="H8270" s="19"/>
    </row>
    <row r="8271">
      <c r="A8271" s="9"/>
      <c r="B8271" s="15"/>
      <c r="C8271" s="9">
        <f>IFERROR(__xludf.DUMMYFUNCTION("""COMPUTED_VALUE"""),45057.4962430092)</f>
        <v>45057.49624</v>
      </c>
      <c r="D8271" s="15">
        <f>IFERROR(__xludf.DUMMYFUNCTION("""COMPUTED_VALUE"""),1.018)</f>
        <v>1.018</v>
      </c>
      <c r="E8271" s="16">
        <f>IFERROR(__xludf.DUMMYFUNCTION("""COMPUTED_VALUE"""),64.0)</f>
        <v>64</v>
      </c>
      <c r="F8271" s="19" t="str">
        <f>IFERROR(__xludf.DUMMYFUNCTION("""COMPUTED_VALUE"""),"BLACK")</f>
        <v>BLACK</v>
      </c>
      <c r="G8271" s="20" t="str">
        <f>IFERROR(__xludf.DUMMYFUNCTION("""COMPUTED_VALUE"""),"Uncle Sams Cider (04/04/2023)")</f>
        <v>Uncle Sams Cider (04/04/2023)</v>
      </c>
      <c r="H8271" s="19"/>
    </row>
    <row r="8272">
      <c r="A8272" s="9"/>
      <c r="B8272" s="15"/>
      <c r="C8272" s="9">
        <f>IFERROR(__xludf.DUMMYFUNCTION("""COMPUTED_VALUE"""),45057.4858195601)</f>
        <v>45057.48582</v>
      </c>
      <c r="D8272" s="15">
        <f>IFERROR(__xludf.DUMMYFUNCTION("""COMPUTED_VALUE"""),1.018)</f>
        <v>1.018</v>
      </c>
      <c r="E8272" s="16">
        <f>IFERROR(__xludf.DUMMYFUNCTION("""COMPUTED_VALUE"""),64.0)</f>
        <v>64</v>
      </c>
      <c r="F8272" s="19" t="str">
        <f>IFERROR(__xludf.DUMMYFUNCTION("""COMPUTED_VALUE"""),"BLACK")</f>
        <v>BLACK</v>
      </c>
      <c r="G8272" s="20" t="str">
        <f>IFERROR(__xludf.DUMMYFUNCTION("""COMPUTED_VALUE"""),"Uncle Sams Cider (04/04/2023)")</f>
        <v>Uncle Sams Cider (04/04/2023)</v>
      </c>
      <c r="H8272" s="19"/>
    </row>
    <row r="8273">
      <c r="A8273" s="9"/>
      <c r="B8273" s="15"/>
      <c r="C8273" s="9">
        <f>IFERROR(__xludf.DUMMYFUNCTION("""COMPUTED_VALUE"""),45057.4753865856)</f>
        <v>45057.47539</v>
      </c>
      <c r="D8273" s="15">
        <f>IFERROR(__xludf.DUMMYFUNCTION("""COMPUTED_VALUE"""),1.017)</f>
        <v>1.017</v>
      </c>
      <c r="E8273" s="16">
        <f>IFERROR(__xludf.DUMMYFUNCTION("""COMPUTED_VALUE"""),64.0)</f>
        <v>64</v>
      </c>
      <c r="F8273" s="19" t="str">
        <f>IFERROR(__xludf.DUMMYFUNCTION("""COMPUTED_VALUE"""),"BLACK")</f>
        <v>BLACK</v>
      </c>
      <c r="G8273" s="20" t="str">
        <f>IFERROR(__xludf.DUMMYFUNCTION("""COMPUTED_VALUE"""),"Uncle Sams Cider (04/04/2023)")</f>
        <v>Uncle Sams Cider (04/04/2023)</v>
      </c>
      <c r="H8273" s="19"/>
    </row>
    <row r="8274">
      <c r="A8274" s="9"/>
      <c r="B8274" s="15"/>
      <c r="C8274" s="9">
        <f>IFERROR(__xludf.DUMMYFUNCTION("""COMPUTED_VALUE"""),45057.4649642939)</f>
        <v>45057.46496</v>
      </c>
      <c r="D8274" s="15">
        <f>IFERROR(__xludf.DUMMYFUNCTION("""COMPUTED_VALUE"""),1.018)</f>
        <v>1.018</v>
      </c>
      <c r="E8274" s="16">
        <f>IFERROR(__xludf.DUMMYFUNCTION("""COMPUTED_VALUE"""),64.0)</f>
        <v>64</v>
      </c>
      <c r="F8274" s="19" t="str">
        <f>IFERROR(__xludf.DUMMYFUNCTION("""COMPUTED_VALUE"""),"BLACK")</f>
        <v>BLACK</v>
      </c>
      <c r="G8274" s="20" t="str">
        <f>IFERROR(__xludf.DUMMYFUNCTION("""COMPUTED_VALUE"""),"Uncle Sams Cider (04/04/2023)")</f>
        <v>Uncle Sams Cider (04/04/2023)</v>
      </c>
      <c r="H8274" s="19"/>
    </row>
    <row r="8275">
      <c r="A8275" s="9"/>
      <c r="B8275" s="15"/>
      <c r="C8275" s="9">
        <f>IFERROR(__xludf.DUMMYFUNCTION("""COMPUTED_VALUE"""),45057.4545421875)</f>
        <v>45057.45454</v>
      </c>
      <c r="D8275" s="15">
        <f>IFERROR(__xludf.DUMMYFUNCTION("""COMPUTED_VALUE"""),1.017)</f>
        <v>1.017</v>
      </c>
      <c r="E8275" s="16">
        <f>IFERROR(__xludf.DUMMYFUNCTION("""COMPUTED_VALUE"""),64.0)</f>
        <v>64</v>
      </c>
      <c r="F8275" s="19" t="str">
        <f>IFERROR(__xludf.DUMMYFUNCTION("""COMPUTED_VALUE"""),"BLACK")</f>
        <v>BLACK</v>
      </c>
      <c r="G8275" s="20" t="str">
        <f>IFERROR(__xludf.DUMMYFUNCTION("""COMPUTED_VALUE"""),"Uncle Sams Cider (04/04/2023)")</f>
        <v>Uncle Sams Cider (04/04/2023)</v>
      </c>
      <c r="H8275" s="19"/>
    </row>
    <row r="8276">
      <c r="A8276" s="9"/>
      <c r="B8276" s="15"/>
      <c r="C8276" s="9">
        <f>IFERROR(__xludf.DUMMYFUNCTION("""COMPUTED_VALUE"""),45057.4441216087)</f>
        <v>45057.44412</v>
      </c>
      <c r="D8276" s="15">
        <f>IFERROR(__xludf.DUMMYFUNCTION("""COMPUTED_VALUE"""),1.018)</f>
        <v>1.018</v>
      </c>
      <c r="E8276" s="16">
        <f>IFERROR(__xludf.DUMMYFUNCTION("""COMPUTED_VALUE"""),64.0)</f>
        <v>64</v>
      </c>
      <c r="F8276" s="19" t="str">
        <f>IFERROR(__xludf.DUMMYFUNCTION("""COMPUTED_VALUE"""),"BLACK")</f>
        <v>BLACK</v>
      </c>
      <c r="G8276" s="20" t="str">
        <f>IFERROR(__xludf.DUMMYFUNCTION("""COMPUTED_VALUE"""),"Uncle Sams Cider (04/04/2023)")</f>
        <v>Uncle Sams Cider (04/04/2023)</v>
      </c>
      <c r="H8276" s="19"/>
    </row>
    <row r="8277">
      <c r="A8277" s="9"/>
      <c r="B8277" s="15"/>
      <c r="C8277" s="9">
        <f>IFERROR(__xludf.DUMMYFUNCTION("""COMPUTED_VALUE"""),45057.4336992245)</f>
        <v>45057.4337</v>
      </c>
      <c r="D8277" s="15">
        <f>IFERROR(__xludf.DUMMYFUNCTION("""COMPUTED_VALUE"""),1.017)</f>
        <v>1.017</v>
      </c>
      <c r="E8277" s="16">
        <f>IFERROR(__xludf.DUMMYFUNCTION("""COMPUTED_VALUE"""),64.0)</f>
        <v>64</v>
      </c>
      <c r="F8277" s="19" t="str">
        <f>IFERROR(__xludf.DUMMYFUNCTION("""COMPUTED_VALUE"""),"BLACK")</f>
        <v>BLACK</v>
      </c>
      <c r="G8277" s="20" t="str">
        <f>IFERROR(__xludf.DUMMYFUNCTION("""COMPUTED_VALUE"""),"Uncle Sams Cider (04/04/2023)")</f>
        <v>Uncle Sams Cider (04/04/2023)</v>
      </c>
      <c r="H8277" s="19"/>
    </row>
    <row r="8278">
      <c r="A8278" s="9"/>
      <c r="B8278" s="15"/>
      <c r="C8278" s="9">
        <f>IFERROR(__xludf.DUMMYFUNCTION("""COMPUTED_VALUE"""),45057.4232545486)</f>
        <v>45057.42325</v>
      </c>
      <c r="D8278" s="15">
        <f>IFERROR(__xludf.DUMMYFUNCTION("""COMPUTED_VALUE"""),1.017)</f>
        <v>1.017</v>
      </c>
      <c r="E8278" s="16">
        <f>IFERROR(__xludf.DUMMYFUNCTION("""COMPUTED_VALUE"""),64.0)</f>
        <v>64</v>
      </c>
      <c r="F8278" s="19" t="str">
        <f>IFERROR(__xludf.DUMMYFUNCTION("""COMPUTED_VALUE"""),"BLACK")</f>
        <v>BLACK</v>
      </c>
      <c r="G8278" s="20" t="str">
        <f>IFERROR(__xludf.DUMMYFUNCTION("""COMPUTED_VALUE"""),"Uncle Sams Cider (04/04/2023)")</f>
        <v>Uncle Sams Cider (04/04/2023)</v>
      </c>
      <c r="H8278" s="19"/>
    </row>
    <row r="8279">
      <c r="A8279" s="9"/>
      <c r="B8279" s="15"/>
      <c r="C8279" s="9">
        <f>IFERROR(__xludf.DUMMYFUNCTION("""COMPUTED_VALUE"""),45057.412836875)</f>
        <v>45057.41284</v>
      </c>
      <c r="D8279" s="15">
        <f>IFERROR(__xludf.DUMMYFUNCTION("""COMPUTED_VALUE"""),1.017)</f>
        <v>1.017</v>
      </c>
      <c r="E8279" s="16">
        <f>IFERROR(__xludf.DUMMYFUNCTION("""COMPUTED_VALUE"""),64.0)</f>
        <v>64</v>
      </c>
      <c r="F8279" s="19" t="str">
        <f>IFERROR(__xludf.DUMMYFUNCTION("""COMPUTED_VALUE"""),"BLACK")</f>
        <v>BLACK</v>
      </c>
      <c r="G8279" s="20" t="str">
        <f>IFERROR(__xludf.DUMMYFUNCTION("""COMPUTED_VALUE"""),"Uncle Sams Cider (04/04/2023)")</f>
        <v>Uncle Sams Cider (04/04/2023)</v>
      </c>
      <c r="H8279" s="19"/>
    </row>
    <row r="8280">
      <c r="A8280" s="9"/>
      <c r="B8280" s="15"/>
      <c r="C8280" s="9">
        <f>IFERROR(__xludf.DUMMYFUNCTION("""COMPUTED_VALUE"""),45057.4024157523)</f>
        <v>45057.40242</v>
      </c>
      <c r="D8280" s="15">
        <f>IFERROR(__xludf.DUMMYFUNCTION("""COMPUTED_VALUE"""),1.018)</f>
        <v>1.018</v>
      </c>
      <c r="E8280" s="16">
        <f>IFERROR(__xludf.DUMMYFUNCTION("""COMPUTED_VALUE"""),64.0)</f>
        <v>64</v>
      </c>
      <c r="F8280" s="19" t="str">
        <f>IFERROR(__xludf.DUMMYFUNCTION("""COMPUTED_VALUE"""),"BLACK")</f>
        <v>BLACK</v>
      </c>
      <c r="G8280" s="20" t="str">
        <f>IFERROR(__xludf.DUMMYFUNCTION("""COMPUTED_VALUE"""),"Uncle Sams Cider (04/04/2023)")</f>
        <v>Uncle Sams Cider (04/04/2023)</v>
      </c>
      <c r="H8280" s="19"/>
    </row>
    <row r="8281">
      <c r="A8281" s="9"/>
      <c r="B8281" s="15"/>
      <c r="C8281" s="9">
        <f>IFERROR(__xludf.DUMMYFUNCTION("""COMPUTED_VALUE"""),45057.3919933217)</f>
        <v>45057.39199</v>
      </c>
      <c r="D8281" s="15">
        <f>IFERROR(__xludf.DUMMYFUNCTION("""COMPUTED_VALUE"""),1.018)</f>
        <v>1.018</v>
      </c>
      <c r="E8281" s="16">
        <f>IFERROR(__xludf.DUMMYFUNCTION("""COMPUTED_VALUE"""),64.0)</f>
        <v>64</v>
      </c>
      <c r="F8281" s="19" t="str">
        <f>IFERROR(__xludf.DUMMYFUNCTION("""COMPUTED_VALUE"""),"BLACK")</f>
        <v>BLACK</v>
      </c>
      <c r="G8281" s="20" t="str">
        <f>IFERROR(__xludf.DUMMYFUNCTION("""COMPUTED_VALUE"""),"Uncle Sams Cider (04/04/2023)")</f>
        <v>Uncle Sams Cider (04/04/2023)</v>
      </c>
      <c r="H8281" s="19"/>
    </row>
    <row r="8282">
      <c r="A8282" s="9"/>
      <c r="B8282" s="15"/>
      <c r="C8282" s="9">
        <f>IFERROR(__xludf.DUMMYFUNCTION("""COMPUTED_VALUE"""),45057.3815607291)</f>
        <v>45057.38156</v>
      </c>
      <c r="D8282" s="15">
        <f>IFERROR(__xludf.DUMMYFUNCTION("""COMPUTED_VALUE"""),1.017)</f>
        <v>1.017</v>
      </c>
      <c r="E8282" s="16">
        <f>IFERROR(__xludf.DUMMYFUNCTION("""COMPUTED_VALUE"""),64.0)</f>
        <v>64</v>
      </c>
      <c r="F8282" s="19" t="str">
        <f>IFERROR(__xludf.DUMMYFUNCTION("""COMPUTED_VALUE"""),"BLACK")</f>
        <v>BLACK</v>
      </c>
      <c r="G8282" s="20" t="str">
        <f>IFERROR(__xludf.DUMMYFUNCTION("""COMPUTED_VALUE"""),"Uncle Sams Cider (04/04/2023)")</f>
        <v>Uncle Sams Cider (04/04/2023)</v>
      </c>
      <c r="H8282" s="19"/>
    </row>
    <row r="8283">
      <c r="A8283" s="9"/>
      <c r="B8283" s="15"/>
      <c r="C8283" s="9">
        <f>IFERROR(__xludf.DUMMYFUNCTION("""COMPUTED_VALUE"""),45057.37114)</f>
        <v>45057.37114</v>
      </c>
      <c r="D8283" s="15">
        <f>IFERROR(__xludf.DUMMYFUNCTION("""COMPUTED_VALUE"""),1.018)</f>
        <v>1.018</v>
      </c>
      <c r="E8283" s="16">
        <f>IFERROR(__xludf.DUMMYFUNCTION("""COMPUTED_VALUE"""),64.0)</f>
        <v>64</v>
      </c>
      <c r="F8283" s="19" t="str">
        <f>IFERROR(__xludf.DUMMYFUNCTION("""COMPUTED_VALUE"""),"BLACK")</f>
        <v>BLACK</v>
      </c>
      <c r="G8283" s="20" t="str">
        <f>IFERROR(__xludf.DUMMYFUNCTION("""COMPUTED_VALUE"""),"Uncle Sams Cider (04/04/2023)")</f>
        <v>Uncle Sams Cider (04/04/2023)</v>
      </c>
      <c r="H8283" s="19"/>
    </row>
    <row r="8284">
      <c r="A8284" s="9"/>
      <c r="B8284" s="15"/>
      <c r="C8284" s="9">
        <f>IFERROR(__xludf.DUMMYFUNCTION("""COMPUTED_VALUE"""),45057.360706331)</f>
        <v>45057.36071</v>
      </c>
      <c r="D8284" s="15">
        <f>IFERROR(__xludf.DUMMYFUNCTION("""COMPUTED_VALUE"""),1.017)</f>
        <v>1.017</v>
      </c>
      <c r="E8284" s="16">
        <f>IFERROR(__xludf.DUMMYFUNCTION("""COMPUTED_VALUE"""),64.0)</f>
        <v>64</v>
      </c>
      <c r="F8284" s="19" t="str">
        <f>IFERROR(__xludf.DUMMYFUNCTION("""COMPUTED_VALUE"""),"BLACK")</f>
        <v>BLACK</v>
      </c>
      <c r="G8284" s="20" t="str">
        <f>IFERROR(__xludf.DUMMYFUNCTION("""COMPUTED_VALUE"""),"Uncle Sams Cider (04/04/2023)")</f>
        <v>Uncle Sams Cider (04/04/2023)</v>
      </c>
      <c r="H8284" s="19"/>
    </row>
    <row r="8285">
      <c r="A8285" s="9"/>
      <c r="B8285" s="15"/>
      <c r="C8285" s="9">
        <f>IFERROR(__xludf.DUMMYFUNCTION("""COMPUTED_VALUE"""),45057.3502851736)</f>
        <v>45057.35029</v>
      </c>
      <c r="D8285" s="15">
        <f>IFERROR(__xludf.DUMMYFUNCTION("""COMPUTED_VALUE"""),1.018)</f>
        <v>1.018</v>
      </c>
      <c r="E8285" s="16">
        <f>IFERROR(__xludf.DUMMYFUNCTION("""COMPUTED_VALUE"""),64.0)</f>
        <v>64</v>
      </c>
      <c r="F8285" s="19" t="str">
        <f>IFERROR(__xludf.DUMMYFUNCTION("""COMPUTED_VALUE"""),"BLACK")</f>
        <v>BLACK</v>
      </c>
      <c r="G8285" s="20" t="str">
        <f>IFERROR(__xludf.DUMMYFUNCTION("""COMPUTED_VALUE"""),"Uncle Sams Cider (04/04/2023)")</f>
        <v>Uncle Sams Cider (04/04/2023)</v>
      </c>
      <c r="H8285" s="19"/>
    </row>
    <row r="8286">
      <c r="A8286" s="9"/>
      <c r="B8286" s="15"/>
      <c r="C8286" s="9">
        <f>IFERROR(__xludf.DUMMYFUNCTION("""COMPUTED_VALUE"""),45057.3398632291)</f>
        <v>45057.33986</v>
      </c>
      <c r="D8286" s="15">
        <f>IFERROR(__xludf.DUMMYFUNCTION("""COMPUTED_VALUE"""),1.018)</f>
        <v>1.018</v>
      </c>
      <c r="E8286" s="16">
        <f>IFERROR(__xludf.DUMMYFUNCTION("""COMPUTED_VALUE"""),64.0)</f>
        <v>64</v>
      </c>
      <c r="F8286" s="19" t="str">
        <f>IFERROR(__xludf.DUMMYFUNCTION("""COMPUTED_VALUE"""),"BLACK")</f>
        <v>BLACK</v>
      </c>
      <c r="G8286" s="20" t="str">
        <f>IFERROR(__xludf.DUMMYFUNCTION("""COMPUTED_VALUE"""),"Uncle Sams Cider (04/04/2023)")</f>
        <v>Uncle Sams Cider (04/04/2023)</v>
      </c>
      <c r="H8286" s="19"/>
    </row>
    <row r="8287">
      <c r="A8287" s="9"/>
      <c r="B8287" s="15"/>
      <c r="C8287" s="9">
        <f>IFERROR(__xludf.DUMMYFUNCTION("""COMPUTED_VALUE"""),45057.3294435763)</f>
        <v>45057.32944</v>
      </c>
      <c r="D8287" s="15">
        <f>IFERROR(__xludf.DUMMYFUNCTION("""COMPUTED_VALUE"""),1.018)</f>
        <v>1.018</v>
      </c>
      <c r="E8287" s="16">
        <f>IFERROR(__xludf.DUMMYFUNCTION("""COMPUTED_VALUE"""),64.0)</f>
        <v>64</v>
      </c>
      <c r="F8287" s="19" t="str">
        <f>IFERROR(__xludf.DUMMYFUNCTION("""COMPUTED_VALUE"""),"BLACK")</f>
        <v>BLACK</v>
      </c>
      <c r="G8287" s="20" t="str">
        <f>IFERROR(__xludf.DUMMYFUNCTION("""COMPUTED_VALUE"""),"Uncle Sams Cider (04/04/2023)")</f>
        <v>Uncle Sams Cider (04/04/2023)</v>
      </c>
      <c r="H8287" s="19"/>
    </row>
    <row r="8288">
      <c r="A8288" s="9"/>
      <c r="B8288" s="15"/>
      <c r="C8288" s="9">
        <f>IFERROR(__xludf.DUMMYFUNCTION("""COMPUTED_VALUE"""),45057.3190226736)</f>
        <v>45057.31902</v>
      </c>
      <c r="D8288" s="15">
        <f>IFERROR(__xludf.DUMMYFUNCTION("""COMPUTED_VALUE"""),1.018)</f>
        <v>1.018</v>
      </c>
      <c r="E8288" s="16">
        <f>IFERROR(__xludf.DUMMYFUNCTION("""COMPUTED_VALUE"""),64.0)</f>
        <v>64</v>
      </c>
      <c r="F8288" s="19" t="str">
        <f>IFERROR(__xludf.DUMMYFUNCTION("""COMPUTED_VALUE"""),"BLACK")</f>
        <v>BLACK</v>
      </c>
      <c r="G8288" s="20" t="str">
        <f>IFERROR(__xludf.DUMMYFUNCTION("""COMPUTED_VALUE"""),"Uncle Sams Cider (04/04/2023)")</f>
        <v>Uncle Sams Cider (04/04/2023)</v>
      </c>
      <c r="H8288" s="19"/>
    </row>
    <row r="8289">
      <c r="A8289" s="9"/>
      <c r="B8289" s="15"/>
      <c r="C8289" s="9">
        <f>IFERROR(__xludf.DUMMYFUNCTION("""COMPUTED_VALUE"""),45057.3085911111)</f>
        <v>45057.30859</v>
      </c>
      <c r="D8289" s="15">
        <f>IFERROR(__xludf.DUMMYFUNCTION("""COMPUTED_VALUE"""),1.017)</f>
        <v>1.017</v>
      </c>
      <c r="E8289" s="16">
        <f>IFERROR(__xludf.DUMMYFUNCTION("""COMPUTED_VALUE"""),64.0)</f>
        <v>64</v>
      </c>
      <c r="F8289" s="19" t="str">
        <f>IFERROR(__xludf.DUMMYFUNCTION("""COMPUTED_VALUE"""),"BLACK")</f>
        <v>BLACK</v>
      </c>
      <c r="G8289" s="20" t="str">
        <f>IFERROR(__xludf.DUMMYFUNCTION("""COMPUTED_VALUE"""),"Uncle Sams Cider (04/04/2023)")</f>
        <v>Uncle Sams Cider (04/04/2023)</v>
      </c>
      <c r="H8289" s="19"/>
    </row>
    <row r="8290">
      <c r="A8290" s="9"/>
      <c r="B8290" s="15"/>
      <c r="C8290" s="9">
        <f>IFERROR(__xludf.DUMMYFUNCTION("""COMPUTED_VALUE"""),45057.2981702777)</f>
        <v>45057.29817</v>
      </c>
      <c r="D8290" s="15">
        <f>IFERROR(__xludf.DUMMYFUNCTION("""COMPUTED_VALUE"""),1.018)</f>
        <v>1.018</v>
      </c>
      <c r="E8290" s="16">
        <f>IFERROR(__xludf.DUMMYFUNCTION("""COMPUTED_VALUE"""),64.0)</f>
        <v>64</v>
      </c>
      <c r="F8290" s="19" t="str">
        <f>IFERROR(__xludf.DUMMYFUNCTION("""COMPUTED_VALUE"""),"BLACK")</f>
        <v>BLACK</v>
      </c>
      <c r="G8290" s="20" t="str">
        <f>IFERROR(__xludf.DUMMYFUNCTION("""COMPUTED_VALUE"""),"Uncle Sams Cider (04/04/2023)")</f>
        <v>Uncle Sams Cider (04/04/2023)</v>
      </c>
      <c r="H8290" s="19"/>
    </row>
    <row r="8291">
      <c r="A8291" s="9"/>
      <c r="B8291" s="15"/>
      <c r="C8291" s="9">
        <f>IFERROR(__xludf.DUMMYFUNCTION("""COMPUTED_VALUE"""),45057.2877512384)</f>
        <v>45057.28775</v>
      </c>
      <c r="D8291" s="15">
        <f>IFERROR(__xludf.DUMMYFUNCTION("""COMPUTED_VALUE"""),1.017)</f>
        <v>1.017</v>
      </c>
      <c r="E8291" s="16">
        <f>IFERROR(__xludf.DUMMYFUNCTION("""COMPUTED_VALUE"""),64.0)</f>
        <v>64</v>
      </c>
      <c r="F8291" s="19" t="str">
        <f>IFERROR(__xludf.DUMMYFUNCTION("""COMPUTED_VALUE"""),"BLACK")</f>
        <v>BLACK</v>
      </c>
      <c r="G8291" s="20" t="str">
        <f>IFERROR(__xludf.DUMMYFUNCTION("""COMPUTED_VALUE"""),"Uncle Sams Cider (04/04/2023)")</f>
        <v>Uncle Sams Cider (04/04/2023)</v>
      </c>
      <c r="H8291" s="19"/>
    </row>
    <row r="8292">
      <c r="A8292" s="9"/>
      <c r="B8292" s="15"/>
      <c r="C8292" s="9">
        <f>IFERROR(__xludf.DUMMYFUNCTION("""COMPUTED_VALUE"""),45057.2773177777)</f>
        <v>45057.27732</v>
      </c>
      <c r="D8292" s="15">
        <f>IFERROR(__xludf.DUMMYFUNCTION("""COMPUTED_VALUE"""),1.018)</f>
        <v>1.018</v>
      </c>
      <c r="E8292" s="16">
        <f>IFERROR(__xludf.DUMMYFUNCTION("""COMPUTED_VALUE"""),64.0)</f>
        <v>64</v>
      </c>
      <c r="F8292" s="19" t="str">
        <f>IFERROR(__xludf.DUMMYFUNCTION("""COMPUTED_VALUE"""),"BLACK")</f>
        <v>BLACK</v>
      </c>
      <c r="G8292" s="20" t="str">
        <f>IFERROR(__xludf.DUMMYFUNCTION("""COMPUTED_VALUE"""),"Uncle Sams Cider (04/04/2023)")</f>
        <v>Uncle Sams Cider (04/04/2023)</v>
      </c>
      <c r="H8292" s="19"/>
    </row>
    <row r="8293">
      <c r="A8293" s="9"/>
      <c r="B8293" s="15"/>
      <c r="C8293" s="9">
        <f>IFERROR(__xludf.DUMMYFUNCTION("""COMPUTED_VALUE"""),45057.2668842708)</f>
        <v>45057.26688</v>
      </c>
      <c r="D8293" s="15">
        <f>IFERROR(__xludf.DUMMYFUNCTION("""COMPUTED_VALUE"""),1.018)</f>
        <v>1.018</v>
      </c>
      <c r="E8293" s="16">
        <f>IFERROR(__xludf.DUMMYFUNCTION("""COMPUTED_VALUE"""),64.0)</f>
        <v>64</v>
      </c>
      <c r="F8293" s="19" t="str">
        <f>IFERROR(__xludf.DUMMYFUNCTION("""COMPUTED_VALUE"""),"BLACK")</f>
        <v>BLACK</v>
      </c>
      <c r="G8293" s="20" t="str">
        <f>IFERROR(__xludf.DUMMYFUNCTION("""COMPUTED_VALUE"""),"Uncle Sams Cider (04/04/2023)")</f>
        <v>Uncle Sams Cider (04/04/2023)</v>
      </c>
      <c r="H8293" s="19"/>
    </row>
    <row r="8294">
      <c r="A8294" s="9"/>
      <c r="B8294" s="15"/>
      <c r="C8294" s="9">
        <f>IFERROR(__xludf.DUMMYFUNCTION("""COMPUTED_VALUE"""),45057.2564521527)</f>
        <v>45057.25645</v>
      </c>
      <c r="D8294" s="15">
        <f>IFERROR(__xludf.DUMMYFUNCTION("""COMPUTED_VALUE"""),1.018)</f>
        <v>1.018</v>
      </c>
      <c r="E8294" s="16">
        <f>IFERROR(__xludf.DUMMYFUNCTION("""COMPUTED_VALUE"""),64.0)</f>
        <v>64</v>
      </c>
      <c r="F8294" s="19" t="str">
        <f>IFERROR(__xludf.DUMMYFUNCTION("""COMPUTED_VALUE"""),"BLACK")</f>
        <v>BLACK</v>
      </c>
      <c r="G8294" s="20" t="str">
        <f>IFERROR(__xludf.DUMMYFUNCTION("""COMPUTED_VALUE"""),"Uncle Sams Cider (04/04/2023)")</f>
        <v>Uncle Sams Cider (04/04/2023)</v>
      </c>
      <c r="H8294" s="19"/>
    </row>
    <row r="8295">
      <c r="A8295" s="9"/>
      <c r="B8295" s="15"/>
      <c r="C8295" s="9">
        <f>IFERROR(__xludf.DUMMYFUNCTION("""COMPUTED_VALUE"""),45057.2460315393)</f>
        <v>45057.24603</v>
      </c>
      <c r="D8295" s="15">
        <f>IFERROR(__xludf.DUMMYFUNCTION("""COMPUTED_VALUE"""),1.018)</f>
        <v>1.018</v>
      </c>
      <c r="E8295" s="16">
        <f>IFERROR(__xludf.DUMMYFUNCTION("""COMPUTED_VALUE"""),64.0)</f>
        <v>64</v>
      </c>
      <c r="F8295" s="19" t="str">
        <f>IFERROR(__xludf.DUMMYFUNCTION("""COMPUTED_VALUE"""),"BLACK")</f>
        <v>BLACK</v>
      </c>
      <c r="G8295" s="20" t="str">
        <f>IFERROR(__xludf.DUMMYFUNCTION("""COMPUTED_VALUE"""),"Uncle Sams Cider (04/04/2023)")</f>
        <v>Uncle Sams Cider (04/04/2023)</v>
      </c>
      <c r="H8295" s="19"/>
    </row>
    <row r="8296">
      <c r="A8296" s="9"/>
      <c r="B8296" s="15"/>
      <c r="C8296" s="9">
        <f>IFERROR(__xludf.DUMMYFUNCTION("""COMPUTED_VALUE"""),45057.2355976157)</f>
        <v>45057.2356</v>
      </c>
      <c r="D8296" s="15">
        <f>IFERROR(__xludf.DUMMYFUNCTION("""COMPUTED_VALUE"""),1.018)</f>
        <v>1.018</v>
      </c>
      <c r="E8296" s="16">
        <f>IFERROR(__xludf.DUMMYFUNCTION("""COMPUTED_VALUE"""),64.0)</f>
        <v>64</v>
      </c>
      <c r="F8296" s="19" t="str">
        <f>IFERROR(__xludf.DUMMYFUNCTION("""COMPUTED_VALUE"""),"BLACK")</f>
        <v>BLACK</v>
      </c>
      <c r="G8296" s="20" t="str">
        <f>IFERROR(__xludf.DUMMYFUNCTION("""COMPUTED_VALUE"""),"Uncle Sams Cider (04/04/2023)")</f>
        <v>Uncle Sams Cider (04/04/2023)</v>
      </c>
      <c r="H8296" s="19"/>
    </row>
    <row r="8297">
      <c r="A8297" s="9"/>
      <c r="B8297" s="15"/>
      <c r="C8297" s="9">
        <f>IFERROR(__xludf.DUMMYFUNCTION("""COMPUTED_VALUE"""),45057.2251762731)</f>
        <v>45057.22518</v>
      </c>
      <c r="D8297" s="15">
        <f>IFERROR(__xludf.DUMMYFUNCTION("""COMPUTED_VALUE"""),1.018)</f>
        <v>1.018</v>
      </c>
      <c r="E8297" s="16">
        <f>IFERROR(__xludf.DUMMYFUNCTION("""COMPUTED_VALUE"""),64.0)</f>
        <v>64</v>
      </c>
      <c r="F8297" s="19" t="str">
        <f>IFERROR(__xludf.DUMMYFUNCTION("""COMPUTED_VALUE"""),"BLACK")</f>
        <v>BLACK</v>
      </c>
      <c r="G8297" s="20" t="str">
        <f>IFERROR(__xludf.DUMMYFUNCTION("""COMPUTED_VALUE"""),"Uncle Sams Cider (04/04/2023)")</f>
        <v>Uncle Sams Cider (04/04/2023)</v>
      </c>
      <c r="H8297" s="19"/>
    </row>
    <row r="8298">
      <c r="A8298" s="9"/>
      <c r="B8298" s="15"/>
      <c r="C8298" s="9">
        <f>IFERROR(__xludf.DUMMYFUNCTION("""COMPUTED_VALUE"""),45057.214742199)</f>
        <v>45057.21474</v>
      </c>
      <c r="D8298" s="15">
        <f>IFERROR(__xludf.DUMMYFUNCTION("""COMPUTED_VALUE"""),1.018)</f>
        <v>1.018</v>
      </c>
      <c r="E8298" s="16">
        <f>IFERROR(__xludf.DUMMYFUNCTION("""COMPUTED_VALUE"""),64.0)</f>
        <v>64</v>
      </c>
      <c r="F8298" s="19" t="str">
        <f>IFERROR(__xludf.DUMMYFUNCTION("""COMPUTED_VALUE"""),"BLACK")</f>
        <v>BLACK</v>
      </c>
      <c r="G8298" s="20" t="str">
        <f>IFERROR(__xludf.DUMMYFUNCTION("""COMPUTED_VALUE"""),"Uncle Sams Cider (04/04/2023)")</f>
        <v>Uncle Sams Cider (04/04/2023)</v>
      </c>
      <c r="H8298" s="19"/>
    </row>
    <row r="8299">
      <c r="A8299" s="9"/>
      <c r="B8299" s="15"/>
      <c r="C8299" s="9">
        <f>IFERROR(__xludf.DUMMYFUNCTION("""COMPUTED_VALUE"""),45057.2043088773)</f>
        <v>45057.20431</v>
      </c>
      <c r="D8299" s="15">
        <f>IFERROR(__xludf.DUMMYFUNCTION("""COMPUTED_VALUE"""),1.018)</f>
        <v>1.018</v>
      </c>
      <c r="E8299" s="16">
        <f>IFERROR(__xludf.DUMMYFUNCTION("""COMPUTED_VALUE"""),64.0)</f>
        <v>64</v>
      </c>
      <c r="F8299" s="19" t="str">
        <f>IFERROR(__xludf.DUMMYFUNCTION("""COMPUTED_VALUE"""),"BLACK")</f>
        <v>BLACK</v>
      </c>
      <c r="G8299" s="20" t="str">
        <f>IFERROR(__xludf.DUMMYFUNCTION("""COMPUTED_VALUE"""),"Uncle Sams Cider (04/04/2023)")</f>
        <v>Uncle Sams Cider (04/04/2023)</v>
      </c>
      <c r="H8299" s="19"/>
    </row>
    <row r="8300">
      <c r="A8300" s="9"/>
      <c r="B8300" s="15"/>
      <c r="C8300" s="9">
        <f>IFERROR(__xludf.DUMMYFUNCTION("""COMPUTED_VALUE"""),45057.1938878703)</f>
        <v>45057.19389</v>
      </c>
      <c r="D8300" s="15">
        <f>IFERROR(__xludf.DUMMYFUNCTION("""COMPUTED_VALUE"""),1.018)</f>
        <v>1.018</v>
      </c>
      <c r="E8300" s="16">
        <f>IFERROR(__xludf.DUMMYFUNCTION("""COMPUTED_VALUE"""),64.0)</f>
        <v>64</v>
      </c>
      <c r="F8300" s="19" t="str">
        <f>IFERROR(__xludf.DUMMYFUNCTION("""COMPUTED_VALUE"""),"BLACK")</f>
        <v>BLACK</v>
      </c>
      <c r="G8300" s="20" t="str">
        <f>IFERROR(__xludf.DUMMYFUNCTION("""COMPUTED_VALUE"""),"Uncle Sams Cider (04/04/2023)")</f>
        <v>Uncle Sams Cider (04/04/2023)</v>
      </c>
      <c r="H8300" s="19"/>
    </row>
    <row r="8301">
      <c r="A8301" s="9"/>
      <c r="B8301" s="15"/>
      <c r="C8301" s="9">
        <f>IFERROR(__xludf.DUMMYFUNCTION("""COMPUTED_VALUE"""),45057.1834668055)</f>
        <v>45057.18347</v>
      </c>
      <c r="D8301" s="15">
        <f>IFERROR(__xludf.DUMMYFUNCTION("""COMPUTED_VALUE"""),1.018)</f>
        <v>1.018</v>
      </c>
      <c r="E8301" s="16">
        <f>IFERROR(__xludf.DUMMYFUNCTION("""COMPUTED_VALUE"""),64.0)</f>
        <v>64</v>
      </c>
      <c r="F8301" s="19" t="str">
        <f>IFERROR(__xludf.DUMMYFUNCTION("""COMPUTED_VALUE"""),"BLACK")</f>
        <v>BLACK</v>
      </c>
      <c r="G8301" s="20" t="str">
        <f>IFERROR(__xludf.DUMMYFUNCTION("""COMPUTED_VALUE"""),"Uncle Sams Cider (04/04/2023)")</f>
        <v>Uncle Sams Cider (04/04/2023)</v>
      </c>
      <c r="H8301" s="19"/>
    </row>
    <row r="8302">
      <c r="A8302" s="9"/>
      <c r="B8302" s="15"/>
      <c r="C8302" s="9">
        <f>IFERROR(__xludf.DUMMYFUNCTION("""COMPUTED_VALUE"""),45057.1730350347)</f>
        <v>45057.17304</v>
      </c>
      <c r="D8302" s="15">
        <f>IFERROR(__xludf.DUMMYFUNCTION("""COMPUTED_VALUE"""),1.018)</f>
        <v>1.018</v>
      </c>
      <c r="E8302" s="16">
        <f>IFERROR(__xludf.DUMMYFUNCTION("""COMPUTED_VALUE"""),64.0)</f>
        <v>64</v>
      </c>
      <c r="F8302" s="19" t="str">
        <f>IFERROR(__xludf.DUMMYFUNCTION("""COMPUTED_VALUE"""),"BLACK")</f>
        <v>BLACK</v>
      </c>
      <c r="G8302" s="20" t="str">
        <f>IFERROR(__xludf.DUMMYFUNCTION("""COMPUTED_VALUE"""),"Uncle Sams Cider (04/04/2023)")</f>
        <v>Uncle Sams Cider (04/04/2023)</v>
      </c>
      <c r="H8302" s="19"/>
    </row>
    <row r="8303">
      <c r="A8303" s="9"/>
      <c r="B8303" s="15"/>
      <c r="C8303" s="9">
        <f>IFERROR(__xludf.DUMMYFUNCTION("""COMPUTED_VALUE"""),45057.1626128472)</f>
        <v>45057.16261</v>
      </c>
      <c r="D8303" s="15">
        <f>IFERROR(__xludf.DUMMYFUNCTION("""COMPUTED_VALUE"""),1.018)</f>
        <v>1.018</v>
      </c>
      <c r="E8303" s="16">
        <f>IFERROR(__xludf.DUMMYFUNCTION("""COMPUTED_VALUE"""),64.0)</f>
        <v>64</v>
      </c>
      <c r="F8303" s="19" t="str">
        <f>IFERROR(__xludf.DUMMYFUNCTION("""COMPUTED_VALUE"""),"BLACK")</f>
        <v>BLACK</v>
      </c>
      <c r="G8303" s="20" t="str">
        <f>IFERROR(__xludf.DUMMYFUNCTION("""COMPUTED_VALUE"""),"Uncle Sams Cider (04/04/2023)")</f>
        <v>Uncle Sams Cider (04/04/2023)</v>
      </c>
      <c r="H8303" s="19"/>
    </row>
    <row r="8304">
      <c r="A8304" s="9"/>
      <c r="B8304" s="15"/>
      <c r="C8304" s="9">
        <f>IFERROR(__xludf.DUMMYFUNCTION("""COMPUTED_VALUE"""),45057.1521800578)</f>
        <v>45057.15218</v>
      </c>
      <c r="D8304" s="15">
        <f>IFERROR(__xludf.DUMMYFUNCTION("""COMPUTED_VALUE"""),1.018)</f>
        <v>1.018</v>
      </c>
      <c r="E8304" s="16">
        <f>IFERROR(__xludf.DUMMYFUNCTION("""COMPUTED_VALUE"""),64.0)</f>
        <v>64</v>
      </c>
      <c r="F8304" s="19" t="str">
        <f>IFERROR(__xludf.DUMMYFUNCTION("""COMPUTED_VALUE"""),"BLACK")</f>
        <v>BLACK</v>
      </c>
      <c r="G8304" s="20" t="str">
        <f>IFERROR(__xludf.DUMMYFUNCTION("""COMPUTED_VALUE"""),"Uncle Sams Cider (04/04/2023)")</f>
        <v>Uncle Sams Cider (04/04/2023)</v>
      </c>
      <c r="H8304" s="19"/>
    </row>
    <row r="8305">
      <c r="A8305" s="9"/>
      <c r="B8305" s="15"/>
      <c r="C8305" s="9">
        <f>IFERROR(__xludf.DUMMYFUNCTION("""COMPUTED_VALUE"""),45057.1417349884)</f>
        <v>45057.14173</v>
      </c>
      <c r="D8305" s="15">
        <f>IFERROR(__xludf.DUMMYFUNCTION("""COMPUTED_VALUE"""),1.018)</f>
        <v>1.018</v>
      </c>
      <c r="E8305" s="16">
        <f>IFERROR(__xludf.DUMMYFUNCTION("""COMPUTED_VALUE"""),64.0)</f>
        <v>64</v>
      </c>
      <c r="F8305" s="19" t="str">
        <f>IFERROR(__xludf.DUMMYFUNCTION("""COMPUTED_VALUE"""),"BLACK")</f>
        <v>BLACK</v>
      </c>
      <c r="G8305" s="20" t="str">
        <f>IFERROR(__xludf.DUMMYFUNCTION("""COMPUTED_VALUE"""),"Uncle Sams Cider (04/04/2023)")</f>
        <v>Uncle Sams Cider (04/04/2023)</v>
      </c>
      <c r="H8305" s="19"/>
    </row>
    <row r="8306">
      <c r="A8306" s="9"/>
      <c r="B8306" s="15"/>
      <c r="C8306" s="9">
        <f>IFERROR(__xludf.DUMMYFUNCTION("""COMPUTED_VALUE"""),45057.131312037)</f>
        <v>45057.13131</v>
      </c>
      <c r="D8306" s="15">
        <f>IFERROR(__xludf.DUMMYFUNCTION("""COMPUTED_VALUE"""),1.018)</f>
        <v>1.018</v>
      </c>
      <c r="E8306" s="16">
        <f>IFERROR(__xludf.DUMMYFUNCTION("""COMPUTED_VALUE"""),64.0)</f>
        <v>64</v>
      </c>
      <c r="F8306" s="19" t="str">
        <f>IFERROR(__xludf.DUMMYFUNCTION("""COMPUTED_VALUE"""),"BLACK")</f>
        <v>BLACK</v>
      </c>
      <c r="G8306" s="20" t="str">
        <f>IFERROR(__xludf.DUMMYFUNCTION("""COMPUTED_VALUE"""),"Uncle Sams Cider (04/04/2023)")</f>
        <v>Uncle Sams Cider (04/04/2023)</v>
      </c>
      <c r="H8306" s="19"/>
    </row>
    <row r="8307">
      <c r="A8307" s="9"/>
      <c r="B8307" s="15"/>
      <c r="C8307" s="9">
        <f>IFERROR(__xludf.DUMMYFUNCTION("""COMPUTED_VALUE"""),45057.1208919675)</f>
        <v>45057.12089</v>
      </c>
      <c r="D8307" s="15">
        <f>IFERROR(__xludf.DUMMYFUNCTION("""COMPUTED_VALUE"""),1.017)</f>
        <v>1.017</v>
      </c>
      <c r="E8307" s="16">
        <f>IFERROR(__xludf.DUMMYFUNCTION("""COMPUTED_VALUE"""),64.0)</f>
        <v>64</v>
      </c>
      <c r="F8307" s="19" t="str">
        <f>IFERROR(__xludf.DUMMYFUNCTION("""COMPUTED_VALUE"""),"BLACK")</f>
        <v>BLACK</v>
      </c>
      <c r="G8307" s="20" t="str">
        <f>IFERROR(__xludf.DUMMYFUNCTION("""COMPUTED_VALUE"""),"Uncle Sams Cider (04/04/2023)")</f>
        <v>Uncle Sams Cider (04/04/2023)</v>
      </c>
      <c r="H8307" s="19"/>
    </row>
    <row r="8308">
      <c r="A8308" s="9"/>
      <c r="B8308" s="15"/>
      <c r="C8308" s="9">
        <f>IFERROR(__xludf.DUMMYFUNCTION("""COMPUTED_VALUE"""),45057.1104593171)</f>
        <v>45057.11046</v>
      </c>
      <c r="D8308" s="15">
        <f>IFERROR(__xludf.DUMMYFUNCTION("""COMPUTED_VALUE"""),1.018)</f>
        <v>1.018</v>
      </c>
      <c r="E8308" s="16">
        <f>IFERROR(__xludf.DUMMYFUNCTION("""COMPUTED_VALUE"""),64.0)</f>
        <v>64</v>
      </c>
      <c r="F8308" s="19" t="str">
        <f>IFERROR(__xludf.DUMMYFUNCTION("""COMPUTED_VALUE"""),"BLACK")</f>
        <v>BLACK</v>
      </c>
      <c r="G8308" s="20" t="str">
        <f>IFERROR(__xludf.DUMMYFUNCTION("""COMPUTED_VALUE"""),"Uncle Sams Cider (04/04/2023)")</f>
        <v>Uncle Sams Cider (04/04/2023)</v>
      </c>
      <c r="H8308" s="19"/>
    </row>
    <row r="8309">
      <c r="A8309" s="9"/>
      <c r="B8309" s="15"/>
      <c r="C8309" s="9">
        <f>IFERROR(__xludf.DUMMYFUNCTION("""COMPUTED_VALUE"""),45057.100003287)</f>
        <v>45057.1</v>
      </c>
      <c r="D8309" s="15">
        <f>IFERROR(__xludf.DUMMYFUNCTION("""COMPUTED_VALUE"""),1.018)</f>
        <v>1.018</v>
      </c>
      <c r="E8309" s="16">
        <f>IFERROR(__xludf.DUMMYFUNCTION("""COMPUTED_VALUE"""),64.0)</f>
        <v>64</v>
      </c>
      <c r="F8309" s="19" t="str">
        <f>IFERROR(__xludf.DUMMYFUNCTION("""COMPUTED_VALUE"""),"BLACK")</f>
        <v>BLACK</v>
      </c>
      <c r="G8309" s="20" t="str">
        <f>IFERROR(__xludf.DUMMYFUNCTION("""COMPUTED_VALUE"""),"Uncle Sams Cider (04/04/2023)")</f>
        <v>Uncle Sams Cider (04/04/2023)</v>
      </c>
      <c r="H8309" s="19"/>
    </row>
    <row r="8310">
      <c r="A8310" s="9"/>
      <c r="B8310" s="15"/>
      <c r="C8310" s="9">
        <f>IFERROR(__xludf.DUMMYFUNCTION("""COMPUTED_VALUE"""),45057.08958478)</f>
        <v>45057.08958</v>
      </c>
      <c r="D8310" s="15">
        <f>IFERROR(__xludf.DUMMYFUNCTION("""COMPUTED_VALUE"""),1.018)</f>
        <v>1.018</v>
      </c>
      <c r="E8310" s="16">
        <f>IFERROR(__xludf.DUMMYFUNCTION("""COMPUTED_VALUE"""),64.0)</f>
        <v>64</v>
      </c>
      <c r="F8310" s="19" t="str">
        <f>IFERROR(__xludf.DUMMYFUNCTION("""COMPUTED_VALUE"""),"BLACK")</f>
        <v>BLACK</v>
      </c>
      <c r="G8310" s="20" t="str">
        <f>IFERROR(__xludf.DUMMYFUNCTION("""COMPUTED_VALUE"""),"Uncle Sams Cider (04/04/2023)")</f>
        <v>Uncle Sams Cider (04/04/2023)</v>
      </c>
      <c r="H8310" s="19"/>
    </row>
    <row r="8311">
      <c r="A8311" s="9"/>
      <c r="B8311" s="15"/>
      <c r="C8311" s="9">
        <f>IFERROR(__xludf.DUMMYFUNCTION("""COMPUTED_VALUE"""),45057.0791510532)</f>
        <v>45057.07915</v>
      </c>
      <c r="D8311" s="15">
        <f>IFERROR(__xludf.DUMMYFUNCTION("""COMPUTED_VALUE"""),1.018)</f>
        <v>1.018</v>
      </c>
      <c r="E8311" s="16">
        <f>IFERROR(__xludf.DUMMYFUNCTION("""COMPUTED_VALUE"""),64.0)</f>
        <v>64</v>
      </c>
      <c r="F8311" s="19" t="str">
        <f>IFERROR(__xludf.DUMMYFUNCTION("""COMPUTED_VALUE"""),"BLACK")</f>
        <v>BLACK</v>
      </c>
      <c r="G8311" s="20" t="str">
        <f>IFERROR(__xludf.DUMMYFUNCTION("""COMPUTED_VALUE"""),"Uncle Sams Cider (04/04/2023)")</f>
        <v>Uncle Sams Cider (04/04/2023)</v>
      </c>
      <c r="H8311" s="19"/>
    </row>
    <row r="8312">
      <c r="A8312" s="9"/>
      <c r="B8312" s="15"/>
      <c r="C8312" s="9">
        <f>IFERROR(__xludf.DUMMYFUNCTION("""COMPUTED_VALUE"""),45057.0582976157)</f>
        <v>45057.0583</v>
      </c>
      <c r="D8312" s="15">
        <f>IFERROR(__xludf.DUMMYFUNCTION("""COMPUTED_VALUE"""),1.018)</f>
        <v>1.018</v>
      </c>
      <c r="E8312" s="16">
        <f>IFERROR(__xludf.DUMMYFUNCTION("""COMPUTED_VALUE"""),64.0)</f>
        <v>64</v>
      </c>
      <c r="F8312" s="19" t="str">
        <f>IFERROR(__xludf.DUMMYFUNCTION("""COMPUTED_VALUE"""),"BLACK")</f>
        <v>BLACK</v>
      </c>
      <c r="G8312" s="20" t="str">
        <f>IFERROR(__xludf.DUMMYFUNCTION("""COMPUTED_VALUE"""),"Uncle Sams Cider (04/04/2023)")</f>
        <v>Uncle Sams Cider (04/04/2023)</v>
      </c>
      <c r="H8312" s="19"/>
    </row>
    <row r="8313">
      <c r="A8313" s="9"/>
      <c r="B8313" s="15"/>
      <c r="C8313" s="9">
        <f>IFERROR(__xludf.DUMMYFUNCTION("""COMPUTED_VALUE"""),45057.0478640393)</f>
        <v>45057.04786</v>
      </c>
      <c r="D8313" s="15">
        <f>IFERROR(__xludf.DUMMYFUNCTION("""COMPUTED_VALUE"""),1.018)</f>
        <v>1.018</v>
      </c>
      <c r="E8313" s="16">
        <f>IFERROR(__xludf.DUMMYFUNCTION("""COMPUTED_VALUE"""),64.0)</f>
        <v>64</v>
      </c>
      <c r="F8313" s="19" t="str">
        <f>IFERROR(__xludf.DUMMYFUNCTION("""COMPUTED_VALUE"""),"BLACK")</f>
        <v>BLACK</v>
      </c>
      <c r="G8313" s="20" t="str">
        <f>IFERROR(__xludf.DUMMYFUNCTION("""COMPUTED_VALUE"""),"Uncle Sams Cider (04/04/2023)")</f>
        <v>Uncle Sams Cider (04/04/2023)</v>
      </c>
      <c r="H8313" s="19"/>
    </row>
    <row r="8314">
      <c r="A8314" s="9"/>
      <c r="B8314" s="15"/>
      <c r="C8314" s="9">
        <f>IFERROR(__xludf.DUMMYFUNCTION("""COMPUTED_VALUE"""),45057.0374422685)</f>
        <v>45057.03744</v>
      </c>
      <c r="D8314" s="15">
        <f>IFERROR(__xludf.DUMMYFUNCTION("""COMPUTED_VALUE"""),1.018)</f>
        <v>1.018</v>
      </c>
      <c r="E8314" s="16">
        <f>IFERROR(__xludf.DUMMYFUNCTION("""COMPUTED_VALUE"""),64.0)</f>
        <v>64</v>
      </c>
      <c r="F8314" s="19" t="str">
        <f>IFERROR(__xludf.DUMMYFUNCTION("""COMPUTED_VALUE"""),"BLACK")</f>
        <v>BLACK</v>
      </c>
      <c r="G8314" s="20" t="str">
        <f>IFERROR(__xludf.DUMMYFUNCTION("""COMPUTED_VALUE"""),"Uncle Sams Cider (04/04/2023)")</f>
        <v>Uncle Sams Cider (04/04/2023)</v>
      </c>
      <c r="H8314" s="19"/>
    </row>
    <row r="8315">
      <c r="A8315" s="9"/>
      <c r="B8315" s="15"/>
      <c r="C8315" s="9">
        <f>IFERROR(__xludf.DUMMYFUNCTION("""COMPUTED_VALUE"""),45057.0270193634)</f>
        <v>45057.02702</v>
      </c>
      <c r="D8315" s="15">
        <f>IFERROR(__xludf.DUMMYFUNCTION("""COMPUTED_VALUE"""),1.018)</f>
        <v>1.018</v>
      </c>
      <c r="E8315" s="16">
        <f>IFERROR(__xludf.DUMMYFUNCTION("""COMPUTED_VALUE"""),64.0)</f>
        <v>64</v>
      </c>
      <c r="F8315" s="19" t="str">
        <f>IFERROR(__xludf.DUMMYFUNCTION("""COMPUTED_VALUE"""),"BLACK")</f>
        <v>BLACK</v>
      </c>
      <c r="G8315" s="20" t="str">
        <f>IFERROR(__xludf.DUMMYFUNCTION("""COMPUTED_VALUE"""),"Uncle Sams Cider (04/04/2023)")</f>
        <v>Uncle Sams Cider (04/04/2023)</v>
      </c>
      <c r="H8315" s="19"/>
    </row>
    <row r="8316">
      <c r="A8316" s="9"/>
      <c r="B8316" s="15"/>
      <c r="C8316" s="9">
        <f>IFERROR(__xludf.DUMMYFUNCTION("""COMPUTED_VALUE"""),45057.0165989351)</f>
        <v>45057.0166</v>
      </c>
      <c r="D8316" s="15">
        <f>IFERROR(__xludf.DUMMYFUNCTION("""COMPUTED_VALUE"""),1.018)</f>
        <v>1.018</v>
      </c>
      <c r="E8316" s="16">
        <f>IFERROR(__xludf.DUMMYFUNCTION("""COMPUTED_VALUE"""),64.0)</f>
        <v>64</v>
      </c>
      <c r="F8316" s="19" t="str">
        <f>IFERROR(__xludf.DUMMYFUNCTION("""COMPUTED_VALUE"""),"BLACK")</f>
        <v>BLACK</v>
      </c>
      <c r="G8316" s="20" t="str">
        <f>IFERROR(__xludf.DUMMYFUNCTION("""COMPUTED_VALUE"""),"Uncle Sams Cider (04/04/2023)")</f>
        <v>Uncle Sams Cider (04/04/2023)</v>
      </c>
      <c r="H8316" s="19"/>
    </row>
    <row r="8317">
      <c r="A8317" s="9"/>
      <c r="B8317" s="15"/>
      <c r="C8317" s="9">
        <f>IFERROR(__xludf.DUMMYFUNCTION("""COMPUTED_VALUE"""),45057.0061661111)</f>
        <v>45057.00617</v>
      </c>
      <c r="D8317" s="15">
        <f>IFERROR(__xludf.DUMMYFUNCTION("""COMPUTED_VALUE"""),1.018)</f>
        <v>1.018</v>
      </c>
      <c r="E8317" s="16">
        <f>IFERROR(__xludf.DUMMYFUNCTION("""COMPUTED_VALUE"""),64.0)</f>
        <v>64</v>
      </c>
      <c r="F8317" s="19" t="str">
        <f>IFERROR(__xludf.DUMMYFUNCTION("""COMPUTED_VALUE"""),"BLACK")</f>
        <v>BLACK</v>
      </c>
      <c r="G8317" s="20" t="str">
        <f>IFERROR(__xludf.DUMMYFUNCTION("""COMPUTED_VALUE"""),"Uncle Sams Cider (04/04/2023)")</f>
        <v>Uncle Sams Cider (04/04/2023)</v>
      </c>
      <c r="H8317" s="19"/>
    </row>
    <row r="8318">
      <c r="A8318" s="9"/>
      <c r="B8318" s="15"/>
      <c r="C8318" s="9">
        <f>IFERROR(__xludf.DUMMYFUNCTION("""COMPUTED_VALUE"""),45056.9957431018)</f>
        <v>45056.99574</v>
      </c>
      <c r="D8318" s="15">
        <f>IFERROR(__xludf.DUMMYFUNCTION("""COMPUTED_VALUE"""),1.018)</f>
        <v>1.018</v>
      </c>
      <c r="E8318" s="16">
        <f>IFERROR(__xludf.DUMMYFUNCTION("""COMPUTED_VALUE"""),64.0)</f>
        <v>64</v>
      </c>
      <c r="F8318" s="19" t="str">
        <f>IFERROR(__xludf.DUMMYFUNCTION("""COMPUTED_VALUE"""),"BLACK")</f>
        <v>BLACK</v>
      </c>
      <c r="G8318" s="20" t="str">
        <f>IFERROR(__xludf.DUMMYFUNCTION("""COMPUTED_VALUE"""),"Uncle Sams Cider (04/04/2023)")</f>
        <v>Uncle Sams Cider (04/04/2023)</v>
      </c>
      <c r="H8318" s="19"/>
    </row>
    <row r="8319">
      <c r="A8319" s="9"/>
      <c r="B8319" s="15"/>
      <c r="C8319" s="9">
        <f>IFERROR(__xludf.DUMMYFUNCTION("""COMPUTED_VALUE"""),45056.9853212152)</f>
        <v>45056.98532</v>
      </c>
      <c r="D8319" s="15">
        <f>IFERROR(__xludf.DUMMYFUNCTION("""COMPUTED_VALUE"""),1.018)</f>
        <v>1.018</v>
      </c>
      <c r="E8319" s="16">
        <f>IFERROR(__xludf.DUMMYFUNCTION("""COMPUTED_VALUE"""),64.0)</f>
        <v>64</v>
      </c>
      <c r="F8319" s="19" t="str">
        <f>IFERROR(__xludf.DUMMYFUNCTION("""COMPUTED_VALUE"""),"BLACK")</f>
        <v>BLACK</v>
      </c>
      <c r="G8319" s="20" t="str">
        <f>IFERROR(__xludf.DUMMYFUNCTION("""COMPUTED_VALUE"""),"Uncle Sams Cider (04/04/2023)")</f>
        <v>Uncle Sams Cider (04/04/2023)</v>
      </c>
      <c r="H8319" s="19"/>
    </row>
    <row r="8320">
      <c r="A8320" s="9"/>
      <c r="B8320" s="15"/>
      <c r="C8320" s="9">
        <f>IFERROR(__xludf.DUMMYFUNCTION("""COMPUTED_VALUE"""),45056.9749012384)</f>
        <v>45056.9749</v>
      </c>
      <c r="D8320" s="15">
        <f>IFERROR(__xludf.DUMMYFUNCTION("""COMPUTED_VALUE"""),1.018)</f>
        <v>1.018</v>
      </c>
      <c r="E8320" s="16">
        <f>IFERROR(__xludf.DUMMYFUNCTION("""COMPUTED_VALUE"""),64.0)</f>
        <v>64</v>
      </c>
      <c r="F8320" s="19" t="str">
        <f>IFERROR(__xludf.DUMMYFUNCTION("""COMPUTED_VALUE"""),"BLACK")</f>
        <v>BLACK</v>
      </c>
      <c r="G8320" s="20" t="str">
        <f>IFERROR(__xludf.DUMMYFUNCTION("""COMPUTED_VALUE"""),"Uncle Sams Cider (04/04/2023)")</f>
        <v>Uncle Sams Cider (04/04/2023)</v>
      </c>
      <c r="H8320" s="19"/>
    </row>
    <row r="8321">
      <c r="A8321" s="9"/>
      <c r="B8321" s="15"/>
      <c r="C8321" s="9">
        <f>IFERROR(__xludf.DUMMYFUNCTION("""COMPUTED_VALUE"""),45056.9644798958)</f>
        <v>45056.96448</v>
      </c>
      <c r="D8321" s="15">
        <f>IFERROR(__xludf.DUMMYFUNCTION("""COMPUTED_VALUE"""),1.018)</f>
        <v>1.018</v>
      </c>
      <c r="E8321" s="16">
        <f>IFERROR(__xludf.DUMMYFUNCTION("""COMPUTED_VALUE"""),64.0)</f>
        <v>64</v>
      </c>
      <c r="F8321" s="19" t="str">
        <f>IFERROR(__xludf.DUMMYFUNCTION("""COMPUTED_VALUE"""),"BLACK")</f>
        <v>BLACK</v>
      </c>
      <c r="G8321" s="20" t="str">
        <f>IFERROR(__xludf.DUMMYFUNCTION("""COMPUTED_VALUE"""),"Uncle Sams Cider (04/04/2023)")</f>
        <v>Uncle Sams Cider (04/04/2023)</v>
      </c>
      <c r="H8321" s="19"/>
    </row>
    <row r="8322">
      <c r="A8322" s="9"/>
      <c r="B8322" s="15"/>
      <c r="C8322" s="9">
        <f>IFERROR(__xludf.DUMMYFUNCTION("""COMPUTED_VALUE"""),45056.9540591203)</f>
        <v>45056.95406</v>
      </c>
      <c r="D8322" s="15">
        <f>IFERROR(__xludf.DUMMYFUNCTION("""COMPUTED_VALUE"""),1.018)</f>
        <v>1.018</v>
      </c>
      <c r="E8322" s="16">
        <f>IFERROR(__xludf.DUMMYFUNCTION("""COMPUTED_VALUE"""),64.0)</f>
        <v>64</v>
      </c>
      <c r="F8322" s="19" t="str">
        <f>IFERROR(__xludf.DUMMYFUNCTION("""COMPUTED_VALUE"""),"BLACK")</f>
        <v>BLACK</v>
      </c>
      <c r="G8322" s="20" t="str">
        <f>IFERROR(__xludf.DUMMYFUNCTION("""COMPUTED_VALUE"""),"Uncle Sams Cider (04/04/2023)")</f>
        <v>Uncle Sams Cider (04/04/2023)</v>
      </c>
      <c r="H8322" s="19"/>
    </row>
    <row r="8323">
      <c r="A8323" s="9"/>
      <c r="B8323" s="15"/>
      <c r="C8323" s="9">
        <f>IFERROR(__xludf.DUMMYFUNCTION("""COMPUTED_VALUE"""),45056.9436274074)</f>
        <v>45056.94363</v>
      </c>
      <c r="D8323" s="15">
        <f>IFERROR(__xludf.DUMMYFUNCTION("""COMPUTED_VALUE"""),1.018)</f>
        <v>1.018</v>
      </c>
      <c r="E8323" s="16">
        <f>IFERROR(__xludf.DUMMYFUNCTION("""COMPUTED_VALUE"""),64.0)</f>
        <v>64</v>
      </c>
      <c r="F8323" s="19" t="str">
        <f>IFERROR(__xludf.DUMMYFUNCTION("""COMPUTED_VALUE"""),"BLACK")</f>
        <v>BLACK</v>
      </c>
      <c r="G8323" s="20" t="str">
        <f>IFERROR(__xludf.DUMMYFUNCTION("""COMPUTED_VALUE"""),"Uncle Sams Cider (04/04/2023)")</f>
        <v>Uncle Sams Cider (04/04/2023)</v>
      </c>
      <c r="H8323" s="19"/>
    </row>
    <row r="8324">
      <c r="A8324" s="9"/>
      <c r="B8324" s="15"/>
      <c r="C8324" s="9">
        <f>IFERROR(__xludf.DUMMYFUNCTION("""COMPUTED_VALUE"""),45056.9332065509)</f>
        <v>45056.93321</v>
      </c>
      <c r="D8324" s="15">
        <f>IFERROR(__xludf.DUMMYFUNCTION("""COMPUTED_VALUE"""),1.018)</f>
        <v>1.018</v>
      </c>
      <c r="E8324" s="16">
        <f>IFERROR(__xludf.DUMMYFUNCTION("""COMPUTED_VALUE"""),64.0)</f>
        <v>64</v>
      </c>
      <c r="F8324" s="19" t="str">
        <f>IFERROR(__xludf.DUMMYFUNCTION("""COMPUTED_VALUE"""),"BLACK")</f>
        <v>BLACK</v>
      </c>
      <c r="G8324" s="20" t="str">
        <f>IFERROR(__xludf.DUMMYFUNCTION("""COMPUTED_VALUE"""),"Uncle Sams Cider (04/04/2023)")</f>
        <v>Uncle Sams Cider (04/04/2023)</v>
      </c>
      <c r="H8324" s="19"/>
    </row>
    <row r="8325">
      <c r="A8325" s="9"/>
      <c r="B8325" s="15"/>
      <c r="C8325" s="9">
        <f>IFERROR(__xludf.DUMMYFUNCTION("""COMPUTED_VALUE"""),45056.9227854745)</f>
        <v>45056.92279</v>
      </c>
      <c r="D8325" s="15">
        <f>IFERROR(__xludf.DUMMYFUNCTION("""COMPUTED_VALUE"""),1.018)</f>
        <v>1.018</v>
      </c>
      <c r="E8325" s="16">
        <f>IFERROR(__xludf.DUMMYFUNCTION("""COMPUTED_VALUE"""),64.0)</f>
        <v>64</v>
      </c>
      <c r="F8325" s="19" t="str">
        <f>IFERROR(__xludf.DUMMYFUNCTION("""COMPUTED_VALUE"""),"BLACK")</f>
        <v>BLACK</v>
      </c>
      <c r="G8325" s="20" t="str">
        <f>IFERROR(__xludf.DUMMYFUNCTION("""COMPUTED_VALUE"""),"Uncle Sams Cider (04/04/2023)")</f>
        <v>Uncle Sams Cider (04/04/2023)</v>
      </c>
      <c r="H8325" s="19"/>
    </row>
    <row r="8326">
      <c r="A8326" s="9"/>
      <c r="B8326" s="15"/>
      <c r="C8326" s="9">
        <f>IFERROR(__xludf.DUMMYFUNCTION("""COMPUTED_VALUE"""),45056.9123516898)</f>
        <v>45056.91235</v>
      </c>
      <c r="D8326" s="15">
        <f>IFERROR(__xludf.DUMMYFUNCTION("""COMPUTED_VALUE"""),1.018)</f>
        <v>1.018</v>
      </c>
      <c r="E8326" s="16">
        <f>IFERROR(__xludf.DUMMYFUNCTION("""COMPUTED_VALUE"""),64.0)</f>
        <v>64</v>
      </c>
      <c r="F8326" s="19" t="str">
        <f>IFERROR(__xludf.DUMMYFUNCTION("""COMPUTED_VALUE"""),"BLACK")</f>
        <v>BLACK</v>
      </c>
      <c r="G8326" s="20" t="str">
        <f>IFERROR(__xludf.DUMMYFUNCTION("""COMPUTED_VALUE"""),"Uncle Sams Cider (04/04/2023)")</f>
        <v>Uncle Sams Cider (04/04/2023)</v>
      </c>
      <c r="H8326" s="19"/>
    </row>
    <row r="8327">
      <c r="A8327" s="9"/>
      <c r="B8327" s="15"/>
      <c r="C8327" s="9">
        <f>IFERROR(__xludf.DUMMYFUNCTION("""COMPUTED_VALUE"""),45056.9019308564)</f>
        <v>45056.90193</v>
      </c>
      <c r="D8327" s="15">
        <f>IFERROR(__xludf.DUMMYFUNCTION("""COMPUTED_VALUE"""),1.018)</f>
        <v>1.018</v>
      </c>
      <c r="E8327" s="16">
        <f>IFERROR(__xludf.DUMMYFUNCTION("""COMPUTED_VALUE"""),64.0)</f>
        <v>64</v>
      </c>
      <c r="F8327" s="19" t="str">
        <f>IFERROR(__xludf.DUMMYFUNCTION("""COMPUTED_VALUE"""),"BLACK")</f>
        <v>BLACK</v>
      </c>
      <c r="G8327" s="20" t="str">
        <f>IFERROR(__xludf.DUMMYFUNCTION("""COMPUTED_VALUE"""),"Uncle Sams Cider (04/04/2023)")</f>
        <v>Uncle Sams Cider (04/04/2023)</v>
      </c>
      <c r="H8327" s="19"/>
    </row>
    <row r="8328">
      <c r="A8328" s="9"/>
      <c r="B8328" s="15"/>
      <c r="C8328" s="9">
        <f>IFERROR(__xludf.DUMMYFUNCTION("""COMPUTED_VALUE"""),45056.8914996527)</f>
        <v>45056.8915</v>
      </c>
      <c r="D8328" s="15">
        <f>IFERROR(__xludf.DUMMYFUNCTION("""COMPUTED_VALUE"""),1.018)</f>
        <v>1.018</v>
      </c>
      <c r="E8328" s="16">
        <f>IFERROR(__xludf.DUMMYFUNCTION("""COMPUTED_VALUE"""),64.0)</f>
        <v>64</v>
      </c>
      <c r="F8328" s="19" t="str">
        <f>IFERROR(__xludf.DUMMYFUNCTION("""COMPUTED_VALUE"""),"BLACK")</f>
        <v>BLACK</v>
      </c>
      <c r="G8328" s="20" t="str">
        <f>IFERROR(__xludf.DUMMYFUNCTION("""COMPUTED_VALUE"""),"Uncle Sams Cider (04/04/2023)")</f>
        <v>Uncle Sams Cider (04/04/2023)</v>
      </c>
      <c r="H8328" s="19"/>
    </row>
    <row r="8329">
      <c r="A8329" s="9"/>
      <c r="B8329" s="15"/>
      <c r="C8329" s="9">
        <f>IFERROR(__xludf.DUMMYFUNCTION("""COMPUTED_VALUE"""),45056.8810785185)</f>
        <v>45056.88108</v>
      </c>
      <c r="D8329" s="15">
        <f>IFERROR(__xludf.DUMMYFUNCTION("""COMPUTED_VALUE"""),1.018)</f>
        <v>1.018</v>
      </c>
      <c r="E8329" s="16">
        <f>IFERROR(__xludf.DUMMYFUNCTION("""COMPUTED_VALUE"""),64.0)</f>
        <v>64</v>
      </c>
      <c r="F8329" s="19" t="str">
        <f>IFERROR(__xludf.DUMMYFUNCTION("""COMPUTED_VALUE"""),"BLACK")</f>
        <v>BLACK</v>
      </c>
      <c r="G8329" s="20" t="str">
        <f>IFERROR(__xludf.DUMMYFUNCTION("""COMPUTED_VALUE"""),"Uncle Sams Cider (04/04/2023)")</f>
        <v>Uncle Sams Cider (04/04/2023)</v>
      </c>
      <c r="H8329" s="19"/>
    </row>
    <row r="8330">
      <c r="A8330" s="9"/>
      <c r="B8330" s="15"/>
      <c r="C8330" s="9">
        <f>IFERROR(__xludf.DUMMYFUNCTION("""COMPUTED_VALUE"""),45056.870646956)</f>
        <v>45056.87065</v>
      </c>
      <c r="D8330" s="15">
        <f>IFERROR(__xludf.DUMMYFUNCTION("""COMPUTED_VALUE"""),1.018)</f>
        <v>1.018</v>
      </c>
      <c r="E8330" s="16">
        <f>IFERROR(__xludf.DUMMYFUNCTION("""COMPUTED_VALUE"""),64.0)</f>
        <v>64</v>
      </c>
      <c r="F8330" s="19" t="str">
        <f>IFERROR(__xludf.DUMMYFUNCTION("""COMPUTED_VALUE"""),"BLACK")</f>
        <v>BLACK</v>
      </c>
      <c r="G8330" s="20" t="str">
        <f>IFERROR(__xludf.DUMMYFUNCTION("""COMPUTED_VALUE"""),"Uncle Sams Cider (04/04/2023)")</f>
        <v>Uncle Sams Cider (04/04/2023)</v>
      </c>
      <c r="H8330" s="19"/>
    </row>
    <row r="8331">
      <c r="A8331" s="9"/>
      <c r="B8331" s="15"/>
      <c r="C8331" s="9">
        <f>IFERROR(__xludf.DUMMYFUNCTION("""COMPUTED_VALUE"""),45056.8602010532)</f>
        <v>45056.8602</v>
      </c>
      <c r="D8331" s="15">
        <f>IFERROR(__xludf.DUMMYFUNCTION("""COMPUTED_VALUE"""),1.018)</f>
        <v>1.018</v>
      </c>
      <c r="E8331" s="16">
        <f>IFERROR(__xludf.DUMMYFUNCTION("""COMPUTED_VALUE"""),64.0)</f>
        <v>64</v>
      </c>
      <c r="F8331" s="19" t="str">
        <f>IFERROR(__xludf.DUMMYFUNCTION("""COMPUTED_VALUE"""),"BLACK")</f>
        <v>BLACK</v>
      </c>
      <c r="G8331" s="20" t="str">
        <f>IFERROR(__xludf.DUMMYFUNCTION("""COMPUTED_VALUE"""),"Uncle Sams Cider (04/04/2023)")</f>
        <v>Uncle Sams Cider (04/04/2023)</v>
      </c>
      <c r="H8331" s="19"/>
    </row>
    <row r="8332">
      <c r="A8332" s="9"/>
      <c r="B8332" s="15"/>
      <c r="C8332" s="9">
        <f>IFERROR(__xludf.DUMMYFUNCTION("""COMPUTED_VALUE"""),45056.8497792708)</f>
        <v>45056.84978</v>
      </c>
      <c r="D8332" s="15">
        <f>IFERROR(__xludf.DUMMYFUNCTION("""COMPUTED_VALUE"""),1.018)</f>
        <v>1.018</v>
      </c>
      <c r="E8332" s="16">
        <f>IFERROR(__xludf.DUMMYFUNCTION("""COMPUTED_VALUE"""),64.0)</f>
        <v>64</v>
      </c>
      <c r="F8332" s="19" t="str">
        <f>IFERROR(__xludf.DUMMYFUNCTION("""COMPUTED_VALUE"""),"BLACK")</f>
        <v>BLACK</v>
      </c>
      <c r="G8332" s="20" t="str">
        <f>IFERROR(__xludf.DUMMYFUNCTION("""COMPUTED_VALUE"""),"Uncle Sams Cider (04/04/2023)")</f>
        <v>Uncle Sams Cider (04/04/2023)</v>
      </c>
      <c r="H8332" s="19"/>
    </row>
    <row r="8333">
      <c r="A8333" s="9"/>
      <c r="B8333" s="15"/>
      <c r="C8333" s="9">
        <f>IFERROR(__xludf.DUMMYFUNCTION("""COMPUTED_VALUE"""),45056.839322199)</f>
        <v>45056.83932</v>
      </c>
      <c r="D8333" s="15">
        <f>IFERROR(__xludf.DUMMYFUNCTION("""COMPUTED_VALUE"""),1.018)</f>
        <v>1.018</v>
      </c>
      <c r="E8333" s="16">
        <f>IFERROR(__xludf.DUMMYFUNCTION("""COMPUTED_VALUE"""),64.0)</f>
        <v>64</v>
      </c>
      <c r="F8333" s="19" t="str">
        <f>IFERROR(__xludf.DUMMYFUNCTION("""COMPUTED_VALUE"""),"BLACK")</f>
        <v>BLACK</v>
      </c>
      <c r="G8333" s="20" t="str">
        <f>IFERROR(__xludf.DUMMYFUNCTION("""COMPUTED_VALUE"""),"Uncle Sams Cider (04/04/2023)")</f>
        <v>Uncle Sams Cider (04/04/2023)</v>
      </c>
      <c r="H8333" s="19"/>
    </row>
    <row r="8334">
      <c r="A8334" s="9"/>
      <c r="B8334" s="15"/>
      <c r="C8334" s="9">
        <f>IFERROR(__xludf.DUMMYFUNCTION("""COMPUTED_VALUE"""),45056.8288887615)</f>
        <v>45056.82889</v>
      </c>
      <c r="D8334" s="15">
        <f>IFERROR(__xludf.DUMMYFUNCTION("""COMPUTED_VALUE"""),1.018)</f>
        <v>1.018</v>
      </c>
      <c r="E8334" s="16">
        <f>IFERROR(__xludf.DUMMYFUNCTION("""COMPUTED_VALUE"""),64.0)</f>
        <v>64</v>
      </c>
      <c r="F8334" s="19" t="str">
        <f>IFERROR(__xludf.DUMMYFUNCTION("""COMPUTED_VALUE"""),"BLACK")</f>
        <v>BLACK</v>
      </c>
      <c r="G8334" s="20" t="str">
        <f>IFERROR(__xludf.DUMMYFUNCTION("""COMPUTED_VALUE"""),"Uncle Sams Cider (04/04/2023)")</f>
        <v>Uncle Sams Cider (04/04/2023)</v>
      </c>
      <c r="H8334" s="19"/>
    </row>
    <row r="8335">
      <c r="A8335" s="9"/>
      <c r="B8335" s="15"/>
      <c r="C8335" s="9">
        <f>IFERROR(__xludf.DUMMYFUNCTION("""COMPUTED_VALUE"""),45056.8184681365)</f>
        <v>45056.81847</v>
      </c>
      <c r="D8335" s="15">
        <f>IFERROR(__xludf.DUMMYFUNCTION("""COMPUTED_VALUE"""),1.018)</f>
        <v>1.018</v>
      </c>
      <c r="E8335" s="16">
        <f>IFERROR(__xludf.DUMMYFUNCTION("""COMPUTED_VALUE"""),64.0)</f>
        <v>64</v>
      </c>
      <c r="F8335" s="19" t="str">
        <f>IFERROR(__xludf.DUMMYFUNCTION("""COMPUTED_VALUE"""),"BLACK")</f>
        <v>BLACK</v>
      </c>
      <c r="G8335" s="20" t="str">
        <f>IFERROR(__xludf.DUMMYFUNCTION("""COMPUTED_VALUE"""),"Uncle Sams Cider (04/04/2023)")</f>
        <v>Uncle Sams Cider (04/04/2023)</v>
      </c>
      <c r="H8335" s="19"/>
    </row>
    <row r="8336">
      <c r="A8336" s="9"/>
      <c r="B8336" s="15"/>
      <c r="C8336" s="9">
        <f>IFERROR(__xludf.DUMMYFUNCTION("""COMPUTED_VALUE"""),45056.8080248148)</f>
        <v>45056.80802</v>
      </c>
      <c r="D8336" s="15">
        <f>IFERROR(__xludf.DUMMYFUNCTION("""COMPUTED_VALUE"""),1.018)</f>
        <v>1.018</v>
      </c>
      <c r="E8336" s="16">
        <f>IFERROR(__xludf.DUMMYFUNCTION("""COMPUTED_VALUE"""),64.0)</f>
        <v>64</v>
      </c>
      <c r="F8336" s="19" t="str">
        <f>IFERROR(__xludf.DUMMYFUNCTION("""COMPUTED_VALUE"""),"BLACK")</f>
        <v>BLACK</v>
      </c>
      <c r="G8336" s="20" t="str">
        <f>IFERROR(__xludf.DUMMYFUNCTION("""COMPUTED_VALUE"""),"Uncle Sams Cider (04/04/2023)")</f>
        <v>Uncle Sams Cider (04/04/2023)</v>
      </c>
      <c r="H8336" s="19"/>
    </row>
    <row r="8337">
      <c r="A8337" s="9"/>
      <c r="B8337" s="15"/>
      <c r="C8337" s="9">
        <f>IFERROR(__xludf.DUMMYFUNCTION("""COMPUTED_VALUE"""),45056.7976037037)</f>
        <v>45056.7976</v>
      </c>
      <c r="D8337" s="15">
        <f>IFERROR(__xludf.DUMMYFUNCTION("""COMPUTED_VALUE"""),1.018)</f>
        <v>1.018</v>
      </c>
      <c r="E8337" s="16">
        <f>IFERROR(__xludf.DUMMYFUNCTION("""COMPUTED_VALUE"""),64.0)</f>
        <v>64</v>
      </c>
      <c r="F8337" s="19" t="str">
        <f>IFERROR(__xludf.DUMMYFUNCTION("""COMPUTED_VALUE"""),"BLACK")</f>
        <v>BLACK</v>
      </c>
      <c r="G8337" s="20" t="str">
        <f>IFERROR(__xludf.DUMMYFUNCTION("""COMPUTED_VALUE"""),"Uncle Sams Cider (04/04/2023)")</f>
        <v>Uncle Sams Cider (04/04/2023)</v>
      </c>
      <c r="H8337" s="19"/>
    </row>
    <row r="8338">
      <c r="A8338" s="9"/>
      <c r="B8338" s="15"/>
      <c r="C8338" s="9">
        <f>IFERROR(__xludf.DUMMYFUNCTION("""COMPUTED_VALUE"""),45056.7871594097)</f>
        <v>45056.78716</v>
      </c>
      <c r="D8338" s="15">
        <f>IFERROR(__xludf.DUMMYFUNCTION("""COMPUTED_VALUE"""),1.018)</f>
        <v>1.018</v>
      </c>
      <c r="E8338" s="16">
        <f>IFERROR(__xludf.DUMMYFUNCTION("""COMPUTED_VALUE"""),64.0)</f>
        <v>64</v>
      </c>
      <c r="F8338" s="19" t="str">
        <f>IFERROR(__xludf.DUMMYFUNCTION("""COMPUTED_VALUE"""),"BLACK")</f>
        <v>BLACK</v>
      </c>
      <c r="G8338" s="20" t="str">
        <f>IFERROR(__xludf.DUMMYFUNCTION("""COMPUTED_VALUE"""),"Uncle Sams Cider (04/04/2023)")</f>
        <v>Uncle Sams Cider (04/04/2023)</v>
      </c>
      <c r="H8338" s="19"/>
    </row>
    <row r="8339">
      <c r="A8339" s="9"/>
      <c r="B8339" s="15"/>
      <c r="C8339" s="9">
        <f>IFERROR(__xludf.DUMMYFUNCTION("""COMPUTED_VALUE"""),45056.7767374537)</f>
        <v>45056.77674</v>
      </c>
      <c r="D8339" s="15">
        <f>IFERROR(__xludf.DUMMYFUNCTION("""COMPUTED_VALUE"""),1.018)</f>
        <v>1.018</v>
      </c>
      <c r="E8339" s="16">
        <f>IFERROR(__xludf.DUMMYFUNCTION("""COMPUTED_VALUE"""),64.0)</f>
        <v>64</v>
      </c>
      <c r="F8339" s="19" t="str">
        <f>IFERROR(__xludf.DUMMYFUNCTION("""COMPUTED_VALUE"""),"BLACK")</f>
        <v>BLACK</v>
      </c>
      <c r="G8339" s="20" t="str">
        <f>IFERROR(__xludf.DUMMYFUNCTION("""COMPUTED_VALUE"""),"Uncle Sams Cider (04/04/2023)")</f>
        <v>Uncle Sams Cider (04/04/2023)</v>
      </c>
      <c r="H8339" s="19"/>
    </row>
    <row r="8340">
      <c r="A8340" s="9"/>
      <c r="B8340" s="15"/>
      <c r="C8340" s="9">
        <f>IFERROR(__xludf.DUMMYFUNCTION("""COMPUTED_VALUE"""),45056.7663175578)</f>
        <v>45056.76632</v>
      </c>
      <c r="D8340" s="15">
        <f>IFERROR(__xludf.DUMMYFUNCTION("""COMPUTED_VALUE"""),1.018)</f>
        <v>1.018</v>
      </c>
      <c r="E8340" s="16">
        <f>IFERROR(__xludf.DUMMYFUNCTION("""COMPUTED_VALUE"""),64.0)</f>
        <v>64</v>
      </c>
      <c r="F8340" s="19" t="str">
        <f>IFERROR(__xludf.DUMMYFUNCTION("""COMPUTED_VALUE"""),"BLACK")</f>
        <v>BLACK</v>
      </c>
      <c r="G8340" s="20" t="str">
        <f>IFERROR(__xludf.DUMMYFUNCTION("""COMPUTED_VALUE"""),"Uncle Sams Cider (04/04/2023)")</f>
        <v>Uncle Sams Cider (04/04/2023)</v>
      </c>
      <c r="H8340" s="19"/>
    </row>
    <row r="8341">
      <c r="A8341" s="9"/>
      <c r="B8341" s="15"/>
      <c r="C8341" s="9">
        <f>IFERROR(__xludf.DUMMYFUNCTION("""COMPUTED_VALUE"""),45056.7558956365)</f>
        <v>45056.7559</v>
      </c>
      <c r="D8341" s="15">
        <f>IFERROR(__xludf.DUMMYFUNCTION("""COMPUTED_VALUE"""),1.018)</f>
        <v>1.018</v>
      </c>
      <c r="E8341" s="16">
        <f>IFERROR(__xludf.DUMMYFUNCTION("""COMPUTED_VALUE"""),64.0)</f>
        <v>64</v>
      </c>
      <c r="F8341" s="19" t="str">
        <f>IFERROR(__xludf.DUMMYFUNCTION("""COMPUTED_VALUE"""),"BLACK")</f>
        <v>BLACK</v>
      </c>
      <c r="G8341" s="20" t="str">
        <f>IFERROR(__xludf.DUMMYFUNCTION("""COMPUTED_VALUE"""),"Uncle Sams Cider (04/04/2023)")</f>
        <v>Uncle Sams Cider (04/04/2023)</v>
      </c>
      <c r="H8341" s="19"/>
    </row>
    <row r="8342">
      <c r="A8342" s="9"/>
      <c r="B8342" s="15"/>
      <c r="C8342" s="9">
        <f>IFERROR(__xludf.DUMMYFUNCTION("""COMPUTED_VALUE"""),45056.7454734953)</f>
        <v>45056.74547</v>
      </c>
      <c r="D8342" s="15">
        <f>IFERROR(__xludf.DUMMYFUNCTION("""COMPUTED_VALUE"""),1.019)</f>
        <v>1.019</v>
      </c>
      <c r="E8342" s="16">
        <f>IFERROR(__xludf.DUMMYFUNCTION("""COMPUTED_VALUE"""),64.0)</f>
        <v>64</v>
      </c>
      <c r="F8342" s="19" t="str">
        <f>IFERROR(__xludf.DUMMYFUNCTION("""COMPUTED_VALUE"""),"BLACK")</f>
        <v>BLACK</v>
      </c>
      <c r="G8342" s="20" t="str">
        <f>IFERROR(__xludf.DUMMYFUNCTION("""COMPUTED_VALUE"""),"Uncle Sams Cider (04/04/2023)")</f>
        <v>Uncle Sams Cider (04/04/2023)</v>
      </c>
      <c r="H8342" s="19"/>
    </row>
    <row r="8343">
      <c r="A8343" s="9"/>
      <c r="B8343" s="15"/>
      <c r="C8343" s="9">
        <f>IFERROR(__xludf.DUMMYFUNCTION("""COMPUTED_VALUE"""),45056.7350536111)</f>
        <v>45056.73505</v>
      </c>
      <c r="D8343" s="15">
        <f>IFERROR(__xludf.DUMMYFUNCTION("""COMPUTED_VALUE"""),1.018)</f>
        <v>1.018</v>
      </c>
      <c r="E8343" s="16">
        <f>IFERROR(__xludf.DUMMYFUNCTION("""COMPUTED_VALUE"""),64.0)</f>
        <v>64</v>
      </c>
      <c r="F8343" s="19" t="str">
        <f>IFERROR(__xludf.DUMMYFUNCTION("""COMPUTED_VALUE"""),"BLACK")</f>
        <v>BLACK</v>
      </c>
      <c r="G8343" s="20" t="str">
        <f>IFERROR(__xludf.DUMMYFUNCTION("""COMPUTED_VALUE"""),"Uncle Sams Cider (04/04/2023)")</f>
        <v>Uncle Sams Cider (04/04/2023)</v>
      </c>
      <c r="H8343" s="19"/>
    </row>
    <row r="8344">
      <c r="A8344" s="9"/>
      <c r="B8344" s="15"/>
      <c r="C8344" s="9">
        <f>IFERROR(__xludf.DUMMYFUNCTION("""COMPUTED_VALUE"""),45056.724619537)</f>
        <v>45056.72462</v>
      </c>
      <c r="D8344" s="15">
        <f>IFERROR(__xludf.DUMMYFUNCTION("""COMPUTED_VALUE"""),1.018)</f>
        <v>1.018</v>
      </c>
      <c r="E8344" s="16">
        <f>IFERROR(__xludf.DUMMYFUNCTION("""COMPUTED_VALUE"""),64.0)</f>
        <v>64</v>
      </c>
      <c r="F8344" s="19" t="str">
        <f>IFERROR(__xludf.DUMMYFUNCTION("""COMPUTED_VALUE"""),"BLACK")</f>
        <v>BLACK</v>
      </c>
      <c r="G8344" s="20" t="str">
        <f>IFERROR(__xludf.DUMMYFUNCTION("""COMPUTED_VALUE"""),"Uncle Sams Cider (04/04/2023)")</f>
        <v>Uncle Sams Cider (04/04/2023)</v>
      </c>
      <c r="H8344" s="19"/>
    </row>
    <row r="8345">
      <c r="A8345" s="9"/>
      <c r="B8345" s="15"/>
      <c r="C8345" s="9">
        <f>IFERROR(__xludf.DUMMYFUNCTION("""COMPUTED_VALUE"""),45056.7141965625)</f>
        <v>45056.7142</v>
      </c>
      <c r="D8345" s="15">
        <f>IFERROR(__xludf.DUMMYFUNCTION("""COMPUTED_VALUE"""),1.018)</f>
        <v>1.018</v>
      </c>
      <c r="E8345" s="16">
        <f>IFERROR(__xludf.DUMMYFUNCTION("""COMPUTED_VALUE"""),64.0)</f>
        <v>64</v>
      </c>
      <c r="F8345" s="19" t="str">
        <f>IFERROR(__xludf.DUMMYFUNCTION("""COMPUTED_VALUE"""),"BLACK")</f>
        <v>BLACK</v>
      </c>
      <c r="G8345" s="20" t="str">
        <f>IFERROR(__xludf.DUMMYFUNCTION("""COMPUTED_VALUE"""),"Uncle Sams Cider (04/04/2023)")</f>
        <v>Uncle Sams Cider (04/04/2023)</v>
      </c>
      <c r="H8345" s="19"/>
    </row>
    <row r="8346">
      <c r="A8346" s="9"/>
      <c r="B8346" s="15"/>
      <c r="C8346" s="9">
        <f>IFERROR(__xludf.DUMMYFUNCTION("""COMPUTED_VALUE"""),45056.7037644907)</f>
        <v>45056.70376</v>
      </c>
      <c r="D8346" s="15">
        <f>IFERROR(__xludf.DUMMYFUNCTION("""COMPUTED_VALUE"""),1.018)</f>
        <v>1.018</v>
      </c>
      <c r="E8346" s="16">
        <f>IFERROR(__xludf.DUMMYFUNCTION("""COMPUTED_VALUE"""),64.0)</f>
        <v>64</v>
      </c>
      <c r="F8346" s="19" t="str">
        <f>IFERROR(__xludf.DUMMYFUNCTION("""COMPUTED_VALUE"""),"BLACK")</f>
        <v>BLACK</v>
      </c>
      <c r="G8346" s="20" t="str">
        <f>IFERROR(__xludf.DUMMYFUNCTION("""COMPUTED_VALUE"""),"Uncle Sams Cider (04/04/2023)")</f>
        <v>Uncle Sams Cider (04/04/2023)</v>
      </c>
      <c r="H8346" s="19"/>
    </row>
    <row r="8347">
      <c r="A8347" s="9"/>
      <c r="B8347" s="15"/>
      <c r="C8347" s="9">
        <f>IFERROR(__xludf.DUMMYFUNCTION("""COMPUTED_VALUE"""),45056.6933418865)</f>
        <v>45056.69334</v>
      </c>
      <c r="D8347" s="15">
        <f>IFERROR(__xludf.DUMMYFUNCTION("""COMPUTED_VALUE"""),1.018)</f>
        <v>1.018</v>
      </c>
      <c r="E8347" s="16">
        <f>IFERROR(__xludf.DUMMYFUNCTION("""COMPUTED_VALUE"""),64.0)</f>
        <v>64</v>
      </c>
      <c r="F8347" s="19" t="str">
        <f>IFERROR(__xludf.DUMMYFUNCTION("""COMPUTED_VALUE"""),"BLACK")</f>
        <v>BLACK</v>
      </c>
      <c r="G8347" s="20" t="str">
        <f>IFERROR(__xludf.DUMMYFUNCTION("""COMPUTED_VALUE"""),"Uncle Sams Cider (04/04/2023)")</f>
        <v>Uncle Sams Cider (04/04/2023)</v>
      </c>
      <c r="H8347" s="19"/>
    </row>
    <row r="8348">
      <c r="A8348" s="9"/>
      <c r="B8348" s="15"/>
      <c r="C8348" s="9">
        <f>IFERROR(__xludf.DUMMYFUNCTION("""COMPUTED_VALUE"""),45056.6829091666)</f>
        <v>45056.68291</v>
      </c>
      <c r="D8348" s="15">
        <f>IFERROR(__xludf.DUMMYFUNCTION("""COMPUTED_VALUE"""),1.018)</f>
        <v>1.018</v>
      </c>
      <c r="E8348" s="16">
        <f>IFERROR(__xludf.DUMMYFUNCTION("""COMPUTED_VALUE"""),64.0)</f>
        <v>64</v>
      </c>
      <c r="F8348" s="19" t="str">
        <f>IFERROR(__xludf.DUMMYFUNCTION("""COMPUTED_VALUE"""),"BLACK")</f>
        <v>BLACK</v>
      </c>
      <c r="G8348" s="20" t="str">
        <f>IFERROR(__xludf.DUMMYFUNCTION("""COMPUTED_VALUE"""),"Uncle Sams Cider (04/04/2023)")</f>
        <v>Uncle Sams Cider (04/04/2023)</v>
      </c>
      <c r="H8348" s="19"/>
    </row>
    <row r="8349">
      <c r="A8349" s="9"/>
      <c r="B8349" s="15"/>
      <c r="C8349" s="9">
        <f>IFERROR(__xludf.DUMMYFUNCTION("""COMPUTED_VALUE"""),45056.6724627777)</f>
        <v>45056.67246</v>
      </c>
      <c r="D8349" s="15">
        <f>IFERROR(__xludf.DUMMYFUNCTION("""COMPUTED_VALUE"""),1.018)</f>
        <v>1.018</v>
      </c>
      <c r="E8349" s="16">
        <f>IFERROR(__xludf.DUMMYFUNCTION("""COMPUTED_VALUE"""),64.0)</f>
        <v>64</v>
      </c>
      <c r="F8349" s="19" t="str">
        <f>IFERROR(__xludf.DUMMYFUNCTION("""COMPUTED_VALUE"""),"BLACK")</f>
        <v>BLACK</v>
      </c>
      <c r="G8349" s="20" t="str">
        <f>IFERROR(__xludf.DUMMYFUNCTION("""COMPUTED_VALUE"""),"Uncle Sams Cider (04/04/2023)")</f>
        <v>Uncle Sams Cider (04/04/2023)</v>
      </c>
      <c r="H8349" s="19"/>
    </row>
    <row r="8350">
      <c r="A8350" s="9"/>
      <c r="B8350" s="15"/>
      <c r="C8350" s="9">
        <f>IFERROR(__xludf.DUMMYFUNCTION("""COMPUTED_VALUE"""),45056.6620076273)</f>
        <v>45056.66201</v>
      </c>
      <c r="D8350" s="15">
        <f>IFERROR(__xludf.DUMMYFUNCTION("""COMPUTED_VALUE"""),1.018)</f>
        <v>1.018</v>
      </c>
      <c r="E8350" s="16">
        <f>IFERROR(__xludf.DUMMYFUNCTION("""COMPUTED_VALUE"""),64.0)</f>
        <v>64</v>
      </c>
      <c r="F8350" s="19" t="str">
        <f>IFERROR(__xludf.DUMMYFUNCTION("""COMPUTED_VALUE"""),"BLACK")</f>
        <v>BLACK</v>
      </c>
      <c r="G8350" s="20" t="str">
        <f>IFERROR(__xludf.DUMMYFUNCTION("""COMPUTED_VALUE"""),"Uncle Sams Cider (04/04/2023)")</f>
        <v>Uncle Sams Cider (04/04/2023)</v>
      </c>
      <c r="H8350" s="19"/>
    </row>
    <row r="8351">
      <c r="A8351" s="9"/>
      <c r="B8351" s="15"/>
      <c r="C8351" s="9">
        <f>IFERROR(__xludf.DUMMYFUNCTION("""COMPUTED_VALUE"""),45056.6515875463)</f>
        <v>45056.65159</v>
      </c>
      <c r="D8351" s="15">
        <f>IFERROR(__xludf.DUMMYFUNCTION("""COMPUTED_VALUE"""),1.018)</f>
        <v>1.018</v>
      </c>
      <c r="E8351" s="16">
        <f>IFERROR(__xludf.DUMMYFUNCTION("""COMPUTED_VALUE"""),64.0)</f>
        <v>64</v>
      </c>
      <c r="F8351" s="19" t="str">
        <f>IFERROR(__xludf.DUMMYFUNCTION("""COMPUTED_VALUE"""),"BLACK")</f>
        <v>BLACK</v>
      </c>
      <c r="G8351" s="20" t="str">
        <f>IFERROR(__xludf.DUMMYFUNCTION("""COMPUTED_VALUE"""),"Uncle Sams Cider (04/04/2023)")</f>
        <v>Uncle Sams Cider (04/04/2023)</v>
      </c>
      <c r="H8351" s="19"/>
    </row>
    <row r="8352">
      <c r="A8352" s="9"/>
      <c r="B8352" s="15"/>
      <c r="C8352" s="9">
        <f>IFERROR(__xludf.DUMMYFUNCTION("""COMPUTED_VALUE"""),45056.6411672453)</f>
        <v>45056.64117</v>
      </c>
      <c r="D8352" s="15">
        <f>IFERROR(__xludf.DUMMYFUNCTION("""COMPUTED_VALUE"""),1.018)</f>
        <v>1.018</v>
      </c>
      <c r="E8352" s="16">
        <f>IFERROR(__xludf.DUMMYFUNCTION("""COMPUTED_VALUE"""),64.0)</f>
        <v>64</v>
      </c>
      <c r="F8352" s="19" t="str">
        <f>IFERROR(__xludf.DUMMYFUNCTION("""COMPUTED_VALUE"""),"BLACK")</f>
        <v>BLACK</v>
      </c>
      <c r="G8352" s="20" t="str">
        <f>IFERROR(__xludf.DUMMYFUNCTION("""COMPUTED_VALUE"""),"Uncle Sams Cider (04/04/2023)")</f>
        <v>Uncle Sams Cider (04/04/2023)</v>
      </c>
      <c r="H8352" s="19"/>
    </row>
    <row r="8353">
      <c r="A8353" s="9"/>
      <c r="B8353" s="15"/>
      <c r="C8353" s="9">
        <f>IFERROR(__xludf.DUMMYFUNCTION("""COMPUTED_VALUE"""),45056.6307461574)</f>
        <v>45056.63075</v>
      </c>
      <c r="D8353" s="15">
        <f>IFERROR(__xludf.DUMMYFUNCTION("""COMPUTED_VALUE"""),1.018)</f>
        <v>1.018</v>
      </c>
      <c r="E8353" s="16">
        <f>IFERROR(__xludf.DUMMYFUNCTION("""COMPUTED_VALUE"""),64.0)</f>
        <v>64</v>
      </c>
      <c r="F8353" s="19" t="str">
        <f>IFERROR(__xludf.DUMMYFUNCTION("""COMPUTED_VALUE"""),"BLACK")</f>
        <v>BLACK</v>
      </c>
      <c r="G8353" s="20" t="str">
        <f>IFERROR(__xludf.DUMMYFUNCTION("""COMPUTED_VALUE"""),"Uncle Sams Cider (04/04/2023)")</f>
        <v>Uncle Sams Cider (04/04/2023)</v>
      </c>
      <c r="H8353" s="19"/>
    </row>
    <row r="8354">
      <c r="A8354" s="9"/>
      <c r="B8354" s="15"/>
      <c r="C8354" s="9">
        <f>IFERROR(__xludf.DUMMYFUNCTION("""COMPUTED_VALUE"""),45056.6203256134)</f>
        <v>45056.62033</v>
      </c>
      <c r="D8354" s="15">
        <f>IFERROR(__xludf.DUMMYFUNCTION("""COMPUTED_VALUE"""),1.018)</f>
        <v>1.018</v>
      </c>
      <c r="E8354" s="16">
        <f>IFERROR(__xludf.DUMMYFUNCTION("""COMPUTED_VALUE"""),64.0)</f>
        <v>64</v>
      </c>
      <c r="F8354" s="19" t="str">
        <f>IFERROR(__xludf.DUMMYFUNCTION("""COMPUTED_VALUE"""),"BLACK")</f>
        <v>BLACK</v>
      </c>
      <c r="G8354" s="20" t="str">
        <f>IFERROR(__xludf.DUMMYFUNCTION("""COMPUTED_VALUE"""),"Uncle Sams Cider (04/04/2023)")</f>
        <v>Uncle Sams Cider (04/04/2023)</v>
      </c>
      <c r="H8354" s="19"/>
    </row>
    <row r="8355">
      <c r="A8355" s="9"/>
      <c r="B8355" s="15"/>
      <c r="C8355" s="9">
        <f>IFERROR(__xludf.DUMMYFUNCTION("""COMPUTED_VALUE"""),45056.609904456)</f>
        <v>45056.6099</v>
      </c>
      <c r="D8355" s="15">
        <f>IFERROR(__xludf.DUMMYFUNCTION("""COMPUTED_VALUE"""),1.018)</f>
        <v>1.018</v>
      </c>
      <c r="E8355" s="16">
        <f>IFERROR(__xludf.DUMMYFUNCTION("""COMPUTED_VALUE"""),64.0)</f>
        <v>64</v>
      </c>
      <c r="F8355" s="19" t="str">
        <f>IFERROR(__xludf.DUMMYFUNCTION("""COMPUTED_VALUE"""),"BLACK")</f>
        <v>BLACK</v>
      </c>
      <c r="G8355" s="20" t="str">
        <f>IFERROR(__xludf.DUMMYFUNCTION("""COMPUTED_VALUE"""),"Uncle Sams Cider (04/04/2023)")</f>
        <v>Uncle Sams Cider (04/04/2023)</v>
      </c>
      <c r="H8355" s="19"/>
    </row>
    <row r="8356">
      <c r="A8356" s="9"/>
      <c r="B8356" s="15"/>
      <c r="C8356" s="9">
        <f>IFERROR(__xludf.DUMMYFUNCTION("""COMPUTED_VALUE"""),45056.59948375)</f>
        <v>45056.59948</v>
      </c>
      <c r="D8356" s="15">
        <f>IFERROR(__xludf.DUMMYFUNCTION("""COMPUTED_VALUE"""),1.018)</f>
        <v>1.018</v>
      </c>
      <c r="E8356" s="16">
        <f>IFERROR(__xludf.DUMMYFUNCTION("""COMPUTED_VALUE"""),64.0)</f>
        <v>64</v>
      </c>
      <c r="F8356" s="19" t="str">
        <f>IFERROR(__xludf.DUMMYFUNCTION("""COMPUTED_VALUE"""),"BLACK")</f>
        <v>BLACK</v>
      </c>
      <c r="G8356" s="20" t="str">
        <f>IFERROR(__xludf.DUMMYFUNCTION("""COMPUTED_VALUE"""),"Uncle Sams Cider (04/04/2023)")</f>
        <v>Uncle Sams Cider (04/04/2023)</v>
      </c>
      <c r="H8356" s="19"/>
    </row>
    <row r="8357">
      <c r="A8357" s="9"/>
      <c r="B8357" s="15"/>
      <c r="C8357" s="9">
        <f>IFERROR(__xludf.DUMMYFUNCTION("""COMPUTED_VALUE"""),45056.5890521759)</f>
        <v>45056.58905</v>
      </c>
      <c r="D8357" s="15">
        <f>IFERROR(__xludf.DUMMYFUNCTION("""COMPUTED_VALUE"""),1.018)</f>
        <v>1.018</v>
      </c>
      <c r="E8357" s="16">
        <f>IFERROR(__xludf.DUMMYFUNCTION("""COMPUTED_VALUE"""),64.0)</f>
        <v>64</v>
      </c>
      <c r="F8357" s="19" t="str">
        <f>IFERROR(__xludf.DUMMYFUNCTION("""COMPUTED_VALUE"""),"BLACK")</f>
        <v>BLACK</v>
      </c>
      <c r="G8357" s="20" t="str">
        <f>IFERROR(__xludf.DUMMYFUNCTION("""COMPUTED_VALUE"""),"Uncle Sams Cider (04/04/2023)")</f>
        <v>Uncle Sams Cider (04/04/2023)</v>
      </c>
      <c r="H8357" s="19"/>
    </row>
    <row r="8358">
      <c r="A8358" s="9"/>
      <c r="B8358" s="15"/>
      <c r="C8358" s="9">
        <f>IFERROR(__xludf.DUMMYFUNCTION("""COMPUTED_VALUE"""),45056.57863125)</f>
        <v>45056.57863</v>
      </c>
      <c r="D8358" s="15">
        <f>IFERROR(__xludf.DUMMYFUNCTION("""COMPUTED_VALUE"""),1.019)</f>
        <v>1.019</v>
      </c>
      <c r="E8358" s="16">
        <f>IFERROR(__xludf.DUMMYFUNCTION("""COMPUTED_VALUE"""),64.0)</f>
        <v>64</v>
      </c>
      <c r="F8358" s="19" t="str">
        <f>IFERROR(__xludf.DUMMYFUNCTION("""COMPUTED_VALUE"""),"BLACK")</f>
        <v>BLACK</v>
      </c>
      <c r="G8358" s="20" t="str">
        <f>IFERROR(__xludf.DUMMYFUNCTION("""COMPUTED_VALUE"""),"Uncle Sams Cider (04/04/2023)")</f>
        <v>Uncle Sams Cider (04/04/2023)</v>
      </c>
      <c r="H8358" s="19"/>
    </row>
    <row r="8359">
      <c r="A8359" s="9"/>
      <c r="B8359" s="15"/>
      <c r="C8359" s="9">
        <f>IFERROR(__xludf.DUMMYFUNCTION("""COMPUTED_VALUE"""),45056.568209456)</f>
        <v>45056.56821</v>
      </c>
      <c r="D8359" s="15">
        <f>IFERROR(__xludf.DUMMYFUNCTION("""COMPUTED_VALUE"""),1.019)</f>
        <v>1.019</v>
      </c>
      <c r="E8359" s="16">
        <f>IFERROR(__xludf.DUMMYFUNCTION("""COMPUTED_VALUE"""),64.0)</f>
        <v>64</v>
      </c>
      <c r="F8359" s="19" t="str">
        <f>IFERROR(__xludf.DUMMYFUNCTION("""COMPUTED_VALUE"""),"BLACK")</f>
        <v>BLACK</v>
      </c>
      <c r="G8359" s="20" t="str">
        <f>IFERROR(__xludf.DUMMYFUNCTION("""COMPUTED_VALUE"""),"Uncle Sams Cider (04/04/2023)")</f>
        <v>Uncle Sams Cider (04/04/2023)</v>
      </c>
      <c r="H8359" s="19"/>
    </row>
    <row r="8360">
      <c r="A8360" s="9"/>
      <c r="B8360" s="15"/>
      <c r="C8360" s="9">
        <f>IFERROR(__xludf.DUMMYFUNCTION("""COMPUTED_VALUE"""),45056.5577897916)</f>
        <v>45056.55779</v>
      </c>
      <c r="D8360" s="15">
        <f>IFERROR(__xludf.DUMMYFUNCTION("""COMPUTED_VALUE"""),1.018)</f>
        <v>1.018</v>
      </c>
      <c r="E8360" s="16">
        <f>IFERROR(__xludf.DUMMYFUNCTION("""COMPUTED_VALUE"""),64.0)</f>
        <v>64</v>
      </c>
      <c r="F8360" s="19" t="str">
        <f>IFERROR(__xludf.DUMMYFUNCTION("""COMPUTED_VALUE"""),"BLACK")</f>
        <v>BLACK</v>
      </c>
      <c r="G8360" s="20" t="str">
        <f>IFERROR(__xludf.DUMMYFUNCTION("""COMPUTED_VALUE"""),"Uncle Sams Cider (04/04/2023)")</f>
        <v>Uncle Sams Cider (04/04/2023)</v>
      </c>
      <c r="H8360" s="19"/>
    </row>
    <row r="8361">
      <c r="A8361" s="9"/>
      <c r="B8361" s="15"/>
      <c r="C8361" s="9">
        <f>IFERROR(__xludf.DUMMYFUNCTION("""COMPUTED_VALUE"""),45056.5473120601)</f>
        <v>45056.54731</v>
      </c>
      <c r="D8361" s="15">
        <f>IFERROR(__xludf.DUMMYFUNCTION("""COMPUTED_VALUE"""),1.019)</f>
        <v>1.019</v>
      </c>
      <c r="E8361" s="16">
        <f>IFERROR(__xludf.DUMMYFUNCTION("""COMPUTED_VALUE"""),64.0)</f>
        <v>64</v>
      </c>
      <c r="F8361" s="19" t="str">
        <f>IFERROR(__xludf.DUMMYFUNCTION("""COMPUTED_VALUE"""),"BLACK")</f>
        <v>BLACK</v>
      </c>
      <c r="G8361" s="20" t="str">
        <f>IFERROR(__xludf.DUMMYFUNCTION("""COMPUTED_VALUE"""),"Uncle Sams Cider (04/04/2023)")</f>
        <v>Uncle Sams Cider (04/04/2023)</v>
      </c>
      <c r="H8361" s="19"/>
    </row>
    <row r="8362">
      <c r="A8362" s="9"/>
      <c r="B8362" s="15"/>
      <c r="C8362" s="9">
        <f>IFERROR(__xludf.DUMMYFUNCTION("""COMPUTED_VALUE"""),45056.536890868)</f>
        <v>45056.53689</v>
      </c>
      <c r="D8362" s="15">
        <f>IFERROR(__xludf.DUMMYFUNCTION("""COMPUTED_VALUE"""),1.018)</f>
        <v>1.018</v>
      </c>
      <c r="E8362" s="16">
        <f>IFERROR(__xludf.DUMMYFUNCTION("""COMPUTED_VALUE"""),64.0)</f>
        <v>64</v>
      </c>
      <c r="F8362" s="19" t="str">
        <f>IFERROR(__xludf.DUMMYFUNCTION("""COMPUTED_VALUE"""),"BLACK")</f>
        <v>BLACK</v>
      </c>
      <c r="G8362" s="20" t="str">
        <f>IFERROR(__xludf.DUMMYFUNCTION("""COMPUTED_VALUE"""),"Uncle Sams Cider (04/04/2023)")</f>
        <v>Uncle Sams Cider (04/04/2023)</v>
      </c>
      <c r="H8362" s="19"/>
    </row>
    <row r="8363">
      <c r="A8363" s="9"/>
      <c r="B8363" s="15"/>
      <c r="C8363" s="9">
        <f>IFERROR(__xludf.DUMMYFUNCTION("""COMPUTED_VALUE"""),45056.5264707986)</f>
        <v>45056.52647</v>
      </c>
      <c r="D8363" s="15">
        <f>IFERROR(__xludf.DUMMYFUNCTION("""COMPUTED_VALUE"""),1.019)</f>
        <v>1.019</v>
      </c>
      <c r="E8363" s="16">
        <f>IFERROR(__xludf.DUMMYFUNCTION("""COMPUTED_VALUE"""),64.0)</f>
        <v>64</v>
      </c>
      <c r="F8363" s="19" t="str">
        <f>IFERROR(__xludf.DUMMYFUNCTION("""COMPUTED_VALUE"""),"BLACK")</f>
        <v>BLACK</v>
      </c>
      <c r="G8363" s="20" t="str">
        <f>IFERROR(__xludf.DUMMYFUNCTION("""COMPUTED_VALUE"""),"Uncle Sams Cider (04/04/2023)")</f>
        <v>Uncle Sams Cider (04/04/2023)</v>
      </c>
      <c r="H8363" s="19"/>
    </row>
    <row r="8364">
      <c r="A8364" s="9"/>
      <c r="B8364" s="15"/>
      <c r="C8364" s="9">
        <f>IFERROR(__xludf.DUMMYFUNCTION("""COMPUTED_VALUE"""),45056.516014155)</f>
        <v>45056.51601</v>
      </c>
      <c r="D8364" s="15">
        <f>IFERROR(__xludf.DUMMYFUNCTION("""COMPUTED_VALUE"""),1.018)</f>
        <v>1.018</v>
      </c>
      <c r="E8364" s="16">
        <f>IFERROR(__xludf.DUMMYFUNCTION("""COMPUTED_VALUE"""),64.0)</f>
        <v>64</v>
      </c>
      <c r="F8364" s="19" t="str">
        <f>IFERROR(__xludf.DUMMYFUNCTION("""COMPUTED_VALUE"""),"BLACK")</f>
        <v>BLACK</v>
      </c>
      <c r="G8364" s="20" t="str">
        <f>IFERROR(__xludf.DUMMYFUNCTION("""COMPUTED_VALUE"""),"Uncle Sams Cider (04/04/2023)")</f>
        <v>Uncle Sams Cider (04/04/2023)</v>
      </c>
      <c r="H8364" s="19"/>
    </row>
    <row r="8365">
      <c r="A8365" s="9"/>
      <c r="B8365" s="15"/>
      <c r="C8365" s="9">
        <f>IFERROR(__xludf.DUMMYFUNCTION("""COMPUTED_VALUE"""),45056.5055815162)</f>
        <v>45056.50558</v>
      </c>
      <c r="D8365" s="15">
        <f>IFERROR(__xludf.DUMMYFUNCTION("""COMPUTED_VALUE"""),1.019)</f>
        <v>1.019</v>
      </c>
      <c r="E8365" s="16">
        <f>IFERROR(__xludf.DUMMYFUNCTION("""COMPUTED_VALUE"""),64.0)</f>
        <v>64</v>
      </c>
      <c r="F8365" s="19" t="str">
        <f>IFERROR(__xludf.DUMMYFUNCTION("""COMPUTED_VALUE"""),"BLACK")</f>
        <v>BLACK</v>
      </c>
      <c r="G8365" s="20" t="str">
        <f>IFERROR(__xludf.DUMMYFUNCTION("""COMPUTED_VALUE"""),"Uncle Sams Cider (04/04/2023)")</f>
        <v>Uncle Sams Cider (04/04/2023)</v>
      </c>
      <c r="H8365" s="19"/>
    </row>
    <row r="8366">
      <c r="A8366" s="9"/>
      <c r="B8366" s="15"/>
      <c r="C8366" s="9">
        <f>IFERROR(__xludf.DUMMYFUNCTION("""COMPUTED_VALUE"""),45056.4951596412)</f>
        <v>45056.49516</v>
      </c>
      <c r="D8366" s="15">
        <f>IFERROR(__xludf.DUMMYFUNCTION("""COMPUTED_VALUE"""),1.019)</f>
        <v>1.019</v>
      </c>
      <c r="E8366" s="16">
        <f>IFERROR(__xludf.DUMMYFUNCTION("""COMPUTED_VALUE"""),64.0)</f>
        <v>64</v>
      </c>
      <c r="F8366" s="19" t="str">
        <f>IFERROR(__xludf.DUMMYFUNCTION("""COMPUTED_VALUE"""),"BLACK")</f>
        <v>BLACK</v>
      </c>
      <c r="G8366" s="20" t="str">
        <f>IFERROR(__xludf.DUMMYFUNCTION("""COMPUTED_VALUE"""),"Uncle Sams Cider (04/04/2023)")</f>
        <v>Uncle Sams Cider (04/04/2023)</v>
      </c>
      <c r="H8366" s="19"/>
    </row>
    <row r="8367">
      <c r="A8367" s="9"/>
      <c r="B8367" s="15"/>
      <c r="C8367" s="9">
        <f>IFERROR(__xludf.DUMMYFUNCTION("""COMPUTED_VALUE"""),45056.4847378935)</f>
        <v>45056.48474</v>
      </c>
      <c r="D8367" s="15">
        <f>IFERROR(__xludf.DUMMYFUNCTION("""COMPUTED_VALUE"""),1.018)</f>
        <v>1.018</v>
      </c>
      <c r="E8367" s="16">
        <f>IFERROR(__xludf.DUMMYFUNCTION("""COMPUTED_VALUE"""),64.0)</f>
        <v>64</v>
      </c>
      <c r="F8367" s="19" t="str">
        <f>IFERROR(__xludf.DUMMYFUNCTION("""COMPUTED_VALUE"""),"BLACK")</f>
        <v>BLACK</v>
      </c>
      <c r="G8367" s="20" t="str">
        <f>IFERROR(__xludf.DUMMYFUNCTION("""COMPUTED_VALUE"""),"Uncle Sams Cider (04/04/2023)")</f>
        <v>Uncle Sams Cider (04/04/2023)</v>
      </c>
      <c r="H8367" s="19"/>
    </row>
    <row r="8368">
      <c r="A8368" s="9"/>
      <c r="B8368" s="15"/>
      <c r="C8368" s="9">
        <f>IFERROR(__xludf.DUMMYFUNCTION("""COMPUTED_VALUE"""),45056.4742844444)</f>
        <v>45056.47428</v>
      </c>
      <c r="D8368" s="15">
        <f>IFERROR(__xludf.DUMMYFUNCTION("""COMPUTED_VALUE"""),1.018)</f>
        <v>1.018</v>
      </c>
      <c r="E8368" s="16">
        <f>IFERROR(__xludf.DUMMYFUNCTION("""COMPUTED_VALUE"""),64.0)</f>
        <v>64</v>
      </c>
      <c r="F8368" s="19" t="str">
        <f>IFERROR(__xludf.DUMMYFUNCTION("""COMPUTED_VALUE"""),"BLACK")</f>
        <v>BLACK</v>
      </c>
      <c r="G8368" s="20" t="str">
        <f>IFERROR(__xludf.DUMMYFUNCTION("""COMPUTED_VALUE"""),"Uncle Sams Cider (04/04/2023)")</f>
        <v>Uncle Sams Cider (04/04/2023)</v>
      </c>
      <c r="H8368" s="19"/>
    </row>
    <row r="8369">
      <c r="A8369" s="9"/>
      <c r="B8369" s="15"/>
      <c r="C8369" s="9">
        <f>IFERROR(__xludf.DUMMYFUNCTION("""COMPUTED_VALUE"""),45056.4638641203)</f>
        <v>45056.46386</v>
      </c>
      <c r="D8369" s="15">
        <f>IFERROR(__xludf.DUMMYFUNCTION("""COMPUTED_VALUE"""),1.019)</f>
        <v>1.019</v>
      </c>
      <c r="E8369" s="16">
        <f>IFERROR(__xludf.DUMMYFUNCTION("""COMPUTED_VALUE"""),64.0)</f>
        <v>64</v>
      </c>
      <c r="F8369" s="19" t="str">
        <f>IFERROR(__xludf.DUMMYFUNCTION("""COMPUTED_VALUE"""),"BLACK")</f>
        <v>BLACK</v>
      </c>
      <c r="G8369" s="20" t="str">
        <f>IFERROR(__xludf.DUMMYFUNCTION("""COMPUTED_VALUE"""),"Uncle Sams Cider (04/04/2023)")</f>
        <v>Uncle Sams Cider (04/04/2023)</v>
      </c>
      <c r="H8369" s="19"/>
    </row>
    <row r="8370">
      <c r="A8370" s="9"/>
      <c r="B8370" s="15"/>
      <c r="C8370" s="9">
        <f>IFERROR(__xludf.DUMMYFUNCTION("""COMPUTED_VALUE"""),45056.4534421643)</f>
        <v>45056.45344</v>
      </c>
      <c r="D8370" s="15">
        <f>IFERROR(__xludf.DUMMYFUNCTION("""COMPUTED_VALUE"""),1.019)</f>
        <v>1.019</v>
      </c>
      <c r="E8370" s="16">
        <f>IFERROR(__xludf.DUMMYFUNCTION("""COMPUTED_VALUE"""),64.0)</f>
        <v>64</v>
      </c>
      <c r="F8370" s="19" t="str">
        <f>IFERROR(__xludf.DUMMYFUNCTION("""COMPUTED_VALUE"""),"BLACK")</f>
        <v>BLACK</v>
      </c>
      <c r="G8370" s="20" t="str">
        <f>IFERROR(__xludf.DUMMYFUNCTION("""COMPUTED_VALUE"""),"Uncle Sams Cider (04/04/2023)")</f>
        <v>Uncle Sams Cider (04/04/2023)</v>
      </c>
      <c r="H8370" s="19"/>
    </row>
    <row r="8371">
      <c r="A8371" s="9"/>
      <c r="B8371" s="15"/>
      <c r="C8371" s="9">
        <f>IFERROR(__xludf.DUMMYFUNCTION("""COMPUTED_VALUE"""),45056.4430202893)</f>
        <v>45056.44302</v>
      </c>
      <c r="D8371" s="15">
        <f>IFERROR(__xludf.DUMMYFUNCTION("""COMPUTED_VALUE"""),1.018)</f>
        <v>1.018</v>
      </c>
      <c r="E8371" s="16">
        <f>IFERROR(__xludf.DUMMYFUNCTION("""COMPUTED_VALUE"""),64.0)</f>
        <v>64</v>
      </c>
      <c r="F8371" s="19" t="str">
        <f>IFERROR(__xludf.DUMMYFUNCTION("""COMPUTED_VALUE"""),"BLACK")</f>
        <v>BLACK</v>
      </c>
      <c r="G8371" s="20" t="str">
        <f>IFERROR(__xludf.DUMMYFUNCTION("""COMPUTED_VALUE"""),"Uncle Sams Cider (04/04/2023)")</f>
        <v>Uncle Sams Cider (04/04/2023)</v>
      </c>
      <c r="H8371" s="19"/>
    </row>
    <row r="8372">
      <c r="A8372" s="9"/>
      <c r="B8372" s="15"/>
      <c r="C8372" s="9">
        <f>IFERROR(__xludf.DUMMYFUNCTION("""COMPUTED_VALUE"""),45056.4325880555)</f>
        <v>45056.43259</v>
      </c>
      <c r="D8372" s="15">
        <f>IFERROR(__xludf.DUMMYFUNCTION("""COMPUTED_VALUE"""),1.018)</f>
        <v>1.018</v>
      </c>
      <c r="E8372" s="16">
        <f>IFERROR(__xludf.DUMMYFUNCTION("""COMPUTED_VALUE"""),64.0)</f>
        <v>64</v>
      </c>
      <c r="F8372" s="19" t="str">
        <f>IFERROR(__xludf.DUMMYFUNCTION("""COMPUTED_VALUE"""),"BLACK")</f>
        <v>BLACK</v>
      </c>
      <c r="G8372" s="20" t="str">
        <f>IFERROR(__xludf.DUMMYFUNCTION("""COMPUTED_VALUE"""),"Uncle Sams Cider (04/04/2023)")</f>
        <v>Uncle Sams Cider (04/04/2023)</v>
      </c>
      <c r="H8372" s="19"/>
    </row>
    <row r="8373">
      <c r="A8373" s="9"/>
      <c r="B8373" s="15"/>
      <c r="C8373" s="9">
        <f>IFERROR(__xludf.DUMMYFUNCTION("""COMPUTED_VALUE"""),45056.4221550925)</f>
        <v>45056.42216</v>
      </c>
      <c r="D8373" s="15">
        <f>IFERROR(__xludf.DUMMYFUNCTION("""COMPUTED_VALUE"""),1.019)</f>
        <v>1.019</v>
      </c>
      <c r="E8373" s="16">
        <f>IFERROR(__xludf.DUMMYFUNCTION("""COMPUTED_VALUE"""),64.0)</f>
        <v>64</v>
      </c>
      <c r="F8373" s="19" t="str">
        <f>IFERROR(__xludf.DUMMYFUNCTION("""COMPUTED_VALUE"""),"BLACK")</f>
        <v>BLACK</v>
      </c>
      <c r="G8373" s="20" t="str">
        <f>IFERROR(__xludf.DUMMYFUNCTION("""COMPUTED_VALUE"""),"Uncle Sams Cider (04/04/2023)")</f>
        <v>Uncle Sams Cider (04/04/2023)</v>
      </c>
      <c r="H8373" s="19"/>
    </row>
    <row r="8374">
      <c r="A8374" s="9"/>
      <c r="B8374" s="15"/>
      <c r="C8374" s="9">
        <f>IFERROR(__xludf.DUMMYFUNCTION("""COMPUTED_VALUE"""),45056.411709699)</f>
        <v>45056.41171</v>
      </c>
      <c r="D8374" s="15">
        <f>IFERROR(__xludf.DUMMYFUNCTION("""COMPUTED_VALUE"""),1.018)</f>
        <v>1.018</v>
      </c>
      <c r="E8374" s="16">
        <f>IFERROR(__xludf.DUMMYFUNCTION("""COMPUTED_VALUE"""),64.0)</f>
        <v>64</v>
      </c>
      <c r="F8374" s="19" t="str">
        <f>IFERROR(__xludf.DUMMYFUNCTION("""COMPUTED_VALUE"""),"BLACK")</f>
        <v>BLACK</v>
      </c>
      <c r="G8374" s="20" t="str">
        <f>IFERROR(__xludf.DUMMYFUNCTION("""COMPUTED_VALUE"""),"Uncle Sams Cider (04/04/2023)")</f>
        <v>Uncle Sams Cider (04/04/2023)</v>
      </c>
      <c r="H8374" s="19"/>
    </row>
    <row r="8375">
      <c r="A8375" s="9"/>
      <c r="B8375" s="15"/>
      <c r="C8375" s="9">
        <f>IFERROR(__xludf.DUMMYFUNCTION("""COMPUTED_VALUE"""),45056.4012896759)</f>
        <v>45056.40129</v>
      </c>
      <c r="D8375" s="15">
        <f>IFERROR(__xludf.DUMMYFUNCTION("""COMPUTED_VALUE"""),1.019)</f>
        <v>1.019</v>
      </c>
      <c r="E8375" s="16">
        <f>IFERROR(__xludf.DUMMYFUNCTION("""COMPUTED_VALUE"""),64.0)</f>
        <v>64</v>
      </c>
      <c r="F8375" s="19" t="str">
        <f>IFERROR(__xludf.DUMMYFUNCTION("""COMPUTED_VALUE"""),"BLACK")</f>
        <v>BLACK</v>
      </c>
      <c r="G8375" s="20" t="str">
        <f>IFERROR(__xludf.DUMMYFUNCTION("""COMPUTED_VALUE"""),"Uncle Sams Cider (04/04/2023)")</f>
        <v>Uncle Sams Cider (04/04/2023)</v>
      </c>
      <c r="H8375" s="19"/>
    </row>
    <row r="8376">
      <c r="A8376" s="9"/>
      <c r="B8376" s="15"/>
      <c r="C8376" s="9">
        <f>IFERROR(__xludf.DUMMYFUNCTION("""COMPUTED_VALUE"""),45056.3908665277)</f>
        <v>45056.39087</v>
      </c>
      <c r="D8376" s="15">
        <f>IFERROR(__xludf.DUMMYFUNCTION("""COMPUTED_VALUE"""),1.018)</f>
        <v>1.018</v>
      </c>
      <c r="E8376" s="16">
        <f>IFERROR(__xludf.DUMMYFUNCTION("""COMPUTED_VALUE"""),64.0)</f>
        <v>64</v>
      </c>
      <c r="F8376" s="19" t="str">
        <f>IFERROR(__xludf.DUMMYFUNCTION("""COMPUTED_VALUE"""),"BLACK")</f>
        <v>BLACK</v>
      </c>
      <c r="G8376" s="20" t="str">
        <f>IFERROR(__xludf.DUMMYFUNCTION("""COMPUTED_VALUE"""),"Uncle Sams Cider (04/04/2023)")</f>
        <v>Uncle Sams Cider (04/04/2023)</v>
      </c>
      <c r="H8376" s="19"/>
    </row>
    <row r="8377">
      <c r="A8377" s="9"/>
      <c r="B8377" s="15"/>
      <c r="C8377" s="9">
        <f>IFERROR(__xludf.DUMMYFUNCTION("""COMPUTED_VALUE"""),45056.3804325347)</f>
        <v>45056.38043</v>
      </c>
      <c r="D8377" s="15">
        <f>IFERROR(__xludf.DUMMYFUNCTION("""COMPUTED_VALUE"""),1.019)</f>
        <v>1.019</v>
      </c>
      <c r="E8377" s="16">
        <f>IFERROR(__xludf.DUMMYFUNCTION("""COMPUTED_VALUE"""),64.0)</f>
        <v>64</v>
      </c>
      <c r="F8377" s="19" t="str">
        <f>IFERROR(__xludf.DUMMYFUNCTION("""COMPUTED_VALUE"""),"BLACK")</f>
        <v>BLACK</v>
      </c>
      <c r="G8377" s="20" t="str">
        <f>IFERROR(__xludf.DUMMYFUNCTION("""COMPUTED_VALUE"""),"Uncle Sams Cider (04/04/2023)")</f>
        <v>Uncle Sams Cider (04/04/2023)</v>
      </c>
      <c r="H8377" s="19"/>
    </row>
    <row r="8378">
      <c r="A8378" s="9"/>
      <c r="B8378" s="15"/>
      <c r="C8378" s="9">
        <f>IFERROR(__xludf.DUMMYFUNCTION("""COMPUTED_VALUE"""),45056.3699998611)</f>
        <v>45056.37</v>
      </c>
      <c r="D8378" s="15">
        <f>IFERROR(__xludf.DUMMYFUNCTION("""COMPUTED_VALUE"""),1.019)</f>
        <v>1.019</v>
      </c>
      <c r="E8378" s="16">
        <f>IFERROR(__xludf.DUMMYFUNCTION("""COMPUTED_VALUE"""),64.0)</f>
        <v>64</v>
      </c>
      <c r="F8378" s="19" t="str">
        <f>IFERROR(__xludf.DUMMYFUNCTION("""COMPUTED_VALUE"""),"BLACK")</f>
        <v>BLACK</v>
      </c>
      <c r="G8378" s="20" t="str">
        <f>IFERROR(__xludf.DUMMYFUNCTION("""COMPUTED_VALUE"""),"Uncle Sams Cider (04/04/2023)")</f>
        <v>Uncle Sams Cider (04/04/2023)</v>
      </c>
      <c r="H8378" s="19"/>
    </row>
    <row r="8379">
      <c r="A8379" s="9"/>
      <c r="B8379" s="15"/>
      <c r="C8379" s="9">
        <f>IFERROR(__xludf.DUMMYFUNCTION("""COMPUTED_VALUE"""),45056.3595558796)</f>
        <v>45056.35956</v>
      </c>
      <c r="D8379" s="15">
        <f>IFERROR(__xludf.DUMMYFUNCTION("""COMPUTED_VALUE"""),1.018)</f>
        <v>1.018</v>
      </c>
      <c r="E8379" s="16">
        <f>IFERROR(__xludf.DUMMYFUNCTION("""COMPUTED_VALUE"""),64.0)</f>
        <v>64</v>
      </c>
      <c r="F8379" s="19" t="str">
        <f>IFERROR(__xludf.DUMMYFUNCTION("""COMPUTED_VALUE"""),"BLACK")</f>
        <v>BLACK</v>
      </c>
      <c r="G8379" s="20" t="str">
        <f>IFERROR(__xludf.DUMMYFUNCTION("""COMPUTED_VALUE"""),"Uncle Sams Cider (04/04/2023)")</f>
        <v>Uncle Sams Cider (04/04/2023)</v>
      </c>
      <c r="H8379" s="19"/>
    </row>
    <row r="8380">
      <c r="A8380" s="9"/>
      <c r="B8380" s="15"/>
      <c r="C8380" s="9">
        <f>IFERROR(__xludf.DUMMYFUNCTION("""COMPUTED_VALUE"""),45056.3491365277)</f>
        <v>45056.34914</v>
      </c>
      <c r="D8380" s="15">
        <f>IFERROR(__xludf.DUMMYFUNCTION("""COMPUTED_VALUE"""),1.018)</f>
        <v>1.018</v>
      </c>
      <c r="E8380" s="16">
        <f>IFERROR(__xludf.DUMMYFUNCTION("""COMPUTED_VALUE"""),64.0)</f>
        <v>64</v>
      </c>
      <c r="F8380" s="19" t="str">
        <f>IFERROR(__xludf.DUMMYFUNCTION("""COMPUTED_VALUE"""),"BLACK")</f>
        <v>BLACK</v>
      </c>
      <c r="G8380" s="20" t="str">
        <f>IFERROR(__xludf.DUMMYFUNCTION("""COMPUTED_VALUE"""),"Uncle Sams Cider (04/04/2023)")</f>
        <v>Uncle Sams Cider (04/04/2023)</v>
      </c>
      <c r="H8380" s="19"/>
    </row>
    <row r="8381">
      <c r="A8381" s="9"/>
      <c r="B8381" s="15"/>
      <c r="C8381" s="9">
        <f>IFERROR(__xludf.DUMMYFUNCTION("""COMPUTED_VALUE"""),45056.3386909259)</f>
        <v>45056.33869</v>
      </c>
      <c r="D8381" s="15">
        <f>IFERROR(__xludf.DUMMYFUNCTION("""COMPUTED_VALUE"""),1.019)</f>
        <v>1.019</v>
      </c>
      <c r="E8381" s="16">
        <f>IFERROR(__xludf.DUMMYFUNCTION("""COMPUTED_VALUE"""),64.0)</f>
        <v>64</v>
      </c>
      <c r="F8381" s="19" t="str">
        <f>IFERROR(__xludf.DUMMYFUNCTION("""COMPUTED_VALUE"""),"BLACK")</f>
        <v>BLACK</v>
      </c>
      <c r="G8381" s="20" t="str">
        <f>IFERROR(__xludf.DUMMYFUNCTION("""COMPUTED_VALUE"""),"Uncle Sams Cider (04/04/2023)")</f>
        <v>Uncle Sams Cider (04/04/2023)</v>
      </c>
      <c r="H8381" s="19"/>
    </row>
    <row r="8382">
      <c r="A8382" s="9"/>
      <c r="B8382" s="15"/>
      <c r="C8382" s="9">
        <f>IFERROR(__xludf.DUMMYFUNCTION("""COMPUTED_VALUE"""),45056.3282703819)</f>
        <v>45056.32827</v>
      </c>
      <c r="D8382" s="15">
        <f>IFERROR(__xludf.DUMMYFUNCTION("""COMPUTED_VALUE"""),1.019)</f>
        <v>1.019</v>
      </c>
      <c r="E8382" s="16">
        <f>IFERROR(__xludf.DUMMYFUNCTION("""COMPUTED_VALUE"""),64.0)</f>
        <v>64</v>
      </c>
      <c r="F8382" s="19" t="str">
        <f>IFERROR(__xludf.DUMMYFUNCTION("""COMPUTED_VALUE"""),"BLACK")</f>
        <v>BLACK</v>
      </c>
      <c r="G8382" s="20" t="str">
        <f>IFERROR(__xludf.DUMMYFUNCTION("""COMPUTED_VALUE"""),"Uncle Sams Cider (04/04/2023)")</f>
        <v>Uncle Sams Cider (04/04/2023)</v>
      </c>
      <c r="H8382" s="19"/>
    </row>
    <row r="8383">
      <c r="A8383" s="9"/>
      <c r="B8383" s="15"/>
      <c r="C8383" s="9">
        <f>IFERROR(__xludf.DUMMYFUNCTION("""COMPUTED_VALUE"""),45056.3178372685)</f>
        <v>45056.31784</v>
      </c>
      <c r="D8383" s="15">
        <f>IFERROR(__xludf.DUMMYFUNCTION("""COMPUTED_VALUE"""),1.018)</f>
        <v>1.018</v>
      </c>
      <c r="E8383" s="16">
        <f>IFERROR(__xludf.DUMMYFUNCTION("""COMPUTED_VALUE"""),64.0)</f>
        <v>64</v>
      </c>
      <c r="F8383" s="19" t="str">
        <f>IFERROR(__xludf.DUMMYFUNCTION("""COMPUTED_VALUE"""),"BLACK")</f>
        <v>BLACK</v>
      </c>
      <c r="G8383" s="20" t="str">
        <f>IFERROR(__xludf.DUMMYFUNCTION("""COMPUTED_VALUE"""),"Uncle Sams Cider (04/04/2023)")</f>
        <v>Uncle Sams Cider (04/04/2023)</v>
      </c>
      <c r="H8383" s="19"/>
    </row>
    <row r="8384">
      <c r="A8384" s="9"/>
      <c r="B8384" s="15"/>
      <c r="C8384" s="9">
        <f>IFERROR(__xludf.DUMMYFUNCTION("""COMPUTED_VALUE"""),45056.307415949)</f>
        <v>45056.30742</v>
      </c>
      <c r="D8384" s="15">
        <f>IFERROR(__xludf.DUMMYFUNCTION("""COMPUTED_VALUE"""),1.019)</f>
        <v>1.019</v>
      </c>
      <c r="E8384" s="16">
        <f>IFERROR(__xludf.DUMMYFUNCTION("""COMPUTED_VALUE"""),64.0)</f>
        <v>64</v>
      </c>
      <c r="F8384" s="19" t="str">
        <f>IFERROR(__xludf.DUMMYFUNCTION("""COMPUTED_VALUE"""),"BLACK")</f>
        <v>BLACK</v>
      </c>
      <c r="G8384" s="20" t="str">
        <f>IFERROR(__xludf.DUMMYFUNCTION("""COMPUTED_VALUE"""),"Uncle Sams Cider (04/04/2023)")</f>
        <v>Uncle Sams Cider (04/04/2023)</v>
      </c>
      <c r="H8384" s="19"/>
    </row>
    <row r="8385">
      <c r="A8385" s="9"/>
      <c r="B8385" s="15"/>
      <c r="C8385" s="9">
        <f>IFERROR(__xludf.DUMMYFUNCTION("""COMPUTED_VALUE"""),45056.296960949)</f>
        <v>45056.29696</v>
      </c>
      <c r="D8385" s="15">
        <f>IFERROR(__xludf.DUMMYFUNCTION("""COMPUTED_VALUE"""),1.019)</f>
        <v>1.019</v>
      </c>
      <c r="E8385" s="16">
        <f>IFERROR(__xludf.DUMMYFUNCTION("""COMPUTED_VALUE"""),64.0)</f>
        <v>64</v>
      </c>
      <c r="F8385" s="19" t="str">
        <f>IFERROR(__xludf.DUMMYFUNCTION("""COMPUTED_VALUE"""),"BLACK")</f>
        <v>BLACK</v>
      </c>
      <c r="G8385" s="20" t="str">
        <f>IFERROR(__xludf.DUMMYFUNCTION("""COMPUTED_VALUE"""),"Uncle Sams Cider (04/04/2023)")</f>
        <v>Uncle Sams Cider (04/04/2023)</v>
      </c>
      <c r="H8385" s="19"/>
    </row>
    <row r="8386">
      <c r="A8386" s="9"/>
      <c r="B8386" s="15"/>
      <c r="C8386" s="9">
        <f>IFERROR(__xludf.DUMMYFUNCTION("""COMPUTED_VALUE"""),45056.286528993)</f>
        <v>45056.28653</v>
      </c>
      <c r="D8386" s="15">
        <f>IFERROR(__xludf.DUMMYFUNCTION("""COMPUTED_VALUE"""),1.019)</f>
        <v>1.019</v>
      </c>
      <c r="E8386" s="16">
        <f>IFERROR(__xludf.DUMMYFUNCTION("""COMPUTED_VALUE"""),64.0)</f>
        <v>64</v>
      </c>
      <c r="F8386" s="19" t="str">
        <f>IFERROR(__xludf.DUMMYFUNCTION("""COMPUTED_VALUE"""),"BLACK")</f>
        <v>BLACK</v>
      </c>
      <c r="G8386" s="20" t="str">
        <f>IFERROR(__xludf.DUMMYFUNCTION("""COMPUTED_VALUE"""),"Uncle Sams Cider (04/04/2023)")</f>
        <v>Uncle Sams Cider (04/04/2023)</v>
      </c>
      <c r="H8386" s="19"/>
    </row>
    <row r="8387">
      <c r="A8387" s="9"/>
      <c r="B8387" s="15"/>
      <c r="C8387" s="9">
        <f>IFERROR(__xludf.DUMMYFUNCTION("""COMPUTED_VALUE"""),45056.2761083912)</f>
        <v>45056.27611</v>
      </c>
      <c r="D8387" s="15">
        <f>IFERROR(__xludf.DUMMYFUNCTION("""COMPUTED_VALUE"""),1.019)</f>
        <v>1.019</v>
      </c>
      <c r="E8387" s="16">
        <f>IFERROR(__xludf.DUMMYFUNCTION("""COMPUTED_VALUE"""),64.0)</f>
        <v>64</v>
      </c>
      <c r="F8387" s="19" t="str">
        <f>IFERROR(__xludf.DUMMYFUNCTION("""COMPUTED_VALUE"""),"BLACK")</f>
        <v>BLACK</v>
      </c>
      <c r="G8387" s="20" t="str">
        <f>IFERROR(__xludf.DUMMYFUNCTION("""COMPUTED_VALUE"""),"Uncle Sams Cider (04/04/2023)")</f>
        <v>Uncle Sams Cider (04/04/2023)</v>
      </c>
      <c r="H8387" s="19"/>
    </row>
    <row r="8388">
      <c r="A8388" s="9"/>
      <c r="B8388" s="15"/>
      <c r="C8388" s="9">
        <f>IFERROR(__xludf.DUMMYFUNCTION("""COMPUTED_VALUE"""),45056.2656774189)</f>
        <v>45056.26568</v>
      </c>
      <c r="D8388" s="15">
        <f>IFERROR(__xludf.DUMMYFUNCTION("""COMPUTED_VALUE"""),1.019)</f>
        <v>1.019</v>
      </c>
      <c r="E8388" s="16">
        <f>IFERROR(__xludf.DUMMYFUNCTION("""COMPUTED_VALUE"""),64.0)</f>
        <v>64</v>
      </c>
      <c r="F8388" s="19" t="str">
        <f>IFERROR(__xludf.DUMMYFUNCTION("""COMPUTED_VALUE"""),"BLACK")</f>
        <v>BLACK</v>
      </c>
      <c r="G8388" s="20" t="str">
        <f>IFERROR(__xludf.DUMMYFUNCTION("""COMPUTED_VALUE"""),"Uncle Sams Cider (04/04/2023)")</f>
        <v>Uncle Sams Cider (04/04/2023)</v>
      </c>
      <c r="H8388" s="19"/>
    </row>
    <row r="8389">
      <c r="A8389" s="9"/>
      <c r="B8389" s="15"/>
      <c r="C8389" s="9">
        <f>IFERROR(__xludf.DUMMYFUNCTION("""COMPUTED_VALUE"""),45056.2552448148)</f>
        <v>45056.25524</v>
      </c>
      <c r="D8389" s="15">
        <f>IFERROR(__xludf.DUMMYFUNCTION("""COMPUTED_VALUE"""),1.019)</f>
        <v>1.019</v>
      </c>
      <c r="E8389" s="16">
        <f>IFERROR(__xludf.DUMMYFUNCTION("""COMPUTED_VALUE"""),64.0)</f>
        <v>64</v>
      </c>
      <c r="F8389" s="19" t="str">
        <f>IFERROR(__xludf.DUMMYFUNCTION("""COMPUTED_VALUE"""),"BLACK")</f>
        <v>BLACK</v>
      </c>
      <c r="G8389" s="20" t="str">
        <f>IFERROR(__xludf.DUMMYFUNCTION("""COMPUTED_VALUE"""),"Uncle Sams Cider (04/04/2023)")</f>
        <v>Uncle Sams Cider (04/04/2023)</v>
      </c>
      <c r="H8389" s="19"/>
    </row>
    <row r="8390">
      <c r="A8390" s="9"/>
      <c r="B8390" s="15"/>
      <c r="C8390" s="9">
        <f>IFERROR(__xludf.DUMMYFUNCTION("""COMPUTED_VALUE"""),45056.2448235185)</f>
        <v>45056.24482</v>
      </c>
      <c r="D8390" s="15">
        <f>IFERROR(__xludf.DUMMYFUNCTION("""COMPUTED_VALUE"""),1.019)</f>
        <v>1.019</v>
      </c>
      <c r="E8390" s="16">
        <f>IFERROR(__xludf.DUMMYFUNCTION("""COMPUTED_VALUE"""),64.0)</f>
        <v>64</v>
      </c>
      <c r="F8390" s="19" t="str">
        <f>IFERROR(__xludf.DUMMYFUNCTION("""COMPUTED_VALUE"""),"BLACK")</f>
        <v>BLACK</v>
      </c>
      <c r="G8390" s="20" t="str">
        <f>IFERROR(__xludf.DUMMYFUNCTION("""COMPUTED_VALUE"""),"Uncle Sams Cider (04/04/2023)")</f>
        <v>Uncle Sams Cider (04/04/2023)</v>
      </c>
      <c r="H8390" s="19"/>
    </row>
    <row r="8391">
      <c r="A8391" s="9"/>
      <c r="B8391" s="15"/>
      <c r="C8391" s="9">
        <f>IFERROR(__xludf.DUMMYFUNCTION("""COMPUTED_VALUE"""),45056.2343894675)</f>
        <v>45056.23439</v>
      </c>
      <c r="D8391" s="15">
        <f>IFERROR(__xludf.DUMMYFUNCTION("""COMPUTED_VALUE"""),1.019)</f>
        <v>1.019</v>
      </c>
      <c r="E8391" s="16">
        <f>IFERROR(__xludf.DUMMYFUNCTION("""COMPUTED_VALUE"""),64.0)</f>
        <v>64</v>
      </c>
      <c r="F8391" s="19" t="str">
        <f>IFERROR(__xludf.DUMMYFUNCTION("""COMPUTED_VALUE"""),"BLACK")</f>
        <v>BLACK</v>
      </c>
      <c r="G8391" s="20" t="str">
        <f>IFERROR(__xludf.DUMMYFUNCTION("""COMPUTED_VALUE"""),"Uncle Sams Cider (04/04/2023)")</f>
        <v>Uncle Sams Cider (04/04/2023)</v>
      </c>
      <c r="H8391" s="19"/>
    </row>
    <row r="8392">
      <c r="A8392" s="9"/>
      <c r="B8392" s="15"/>
      <c r="C8392" s="9">
        <f>IFERROR(__xludf.DUMMYFUNCTION("""COMPUTED_VALUE"""),45056.2239695023)</f>
        <v>45056.22397</v>
      </c>
      <c r="D8392" s="15">
        <f>IFERROR(__xludf.DUMMYFUNCTION("""COMPUTED_VALUE"""),1.019)</f>
        <v>1.019</v>
      </c>
      <c r="E8392" s="16">
        <f>IFERROR(__xludf.DUMMYFUNCTION("""COMPUTED_VALUE"""),64.0)</f>
        <v>64</v>
      </c>
      <c r="F8392" s="19" t="str">
        <f>IFERROR(__xludf.DUMMYFUNCTION("""COMPUTED_VALUE"""),"BLACK")</f>
        <v>BLACK</v>
      </c>
      <c r="G8392" s="20" t="str">
        <f>IFERROR(__xludf.DUMMYFUNCTION("""COMPUTED_VALUE"""),"Uncle Sams Cider (04/04/2023)")</f>
        <v>Uncle Sams Cider (04/04/2023)</v>
      </c>
      <c r="H8392" s="19"/>
    </row>
    <row r="8393">
      <c r="A8393" s="9"/>
      <c r="B8393" s="15"/>
      <c r="C8393" s="9">
        <f>IFERROR(__xludf.DUMMYFUNCTION("""COMPUTED_VALUE"""),45056.2135473726)</f>
        <v>45056.21355</v>
      </c>
      <c r="D8393" s="15">
        <f>IFERROR(__xludf.DUMMYFUNCTION("""COMPUTED_VALUE"""),1.019)</f>
        <v>1.019</v>
      </c>
      <c r="E8393" s="16">
        <f>IFERROR(__xludf.DUMMYFUNCTION("""COMPUTED_VALUE"""),64.0)</f>
        <v>64</v>
      </c>
      <c r="F8393" s="19" t="str">
        <f>IFERROR(__xludf.DUMMYFUNCTION("""COMPUTED_VALUE"""),"BLACK")</f>
        <v>BLACK</v>
      </c>
      <c r="G8393" s="20" t="str">
        <f>IFERROR(__xludf.DUMMYFUNCTION("""COMPUTED_VALUE"""),"Uncle Sams Cider (04/04/2023)")</f>
        <v>Uncle Sams Cider (04/04/2023)</v>
      </c>
      <c r="H8393" s="19"/>
    </row>
    <row r="8394">
      <c r="A8394" s="9"/>
      <c r="B8394" s="15"/>
      <c r="C8394" s="9">
        <f>IFERROR(__xludf.DUMMYFUNCTION("""COMPUTED_VALUE"""),45056.2031162152)</f>
        <v>45056.20312</v>
      </c>
      <c r="D8394" s="15">
        <f>IFERROR(__xludf.DUMMYFUNCTION("""COMPUTED_VALUE"""),1.019)</f>
        <v>1.019</v>
      </c>
      <c r="E8394" s="16">
        <f>IFERROR(__xludf.DUMMYFUNCTION("""COMPUTED_VALUE"""),64.0)</f>
        <v>64</v>
      </c>
      <c r="F8394" s="19" t="str">
        <f>IFERROR(__xludf.DUMMYFUNCTION("""COMPUTED_VALUE"""),"BLACK")</f>
        <v>BLACK</v>
      </c>
      <c r="G8394" s="20" t="str">
        <f>IFERROR(__xludf.DUMMYFUNCTION("""COMPUTED_VALUE"""),"Uncle Sams Cider (04/04/2023)")</f>
        <v>Uncle Sams Cider (04/04/2023)</v>
      </c>
      <c r="H8394" s="19"/>
    </row>
    <row r="8395">
      <c r="A8395" s="9"/>
      <c r="B8395" s="15"/>
      <c r="C8395" s="9">
        <f>IFERROR(__xludf.DUMMYFUNCTION("""COMPUTED_VALUE"""),45056.1926830092)</f>
        <v>45056.19268</v>
      </c>
      <c r="D8395" s="15">
        <f>IFERROR(__xludf.DUMMYFUNCTION("""COMPUTED_VALUE"""),1.019)</f>
        <v>1.019</v>
      </c>
      <c r="E8395" s="16">
        <f>IFERROR(__xludf.DUMMYFUNCTION("""COMPUTED_VALUE"""),64.0)</f>
        <v>64</v>
      </c>
      <c r="F8395" s="19" t="str">
        <f>IFERROR(__xludf.DUMMYFUNCTION("""COMPUTED_VALUE"""),"BLACK")</f>
        <v>BLACK</v>
      </c>
      <c r="G8395" s="20" t="str">
        <f>IFERROR(__xludf.DUMMYFUNCTION("""COMPUTED_VALUE"""),"Uncle Sams Cider (04/04/2023)")</f>
        <v>Uncle Sams Cider (04/04/2023)</v>
      </c>
      <c r="H8395" s="19"/>
    </row>
    <row r="8396">
      <c r="A8396" s="9"/>
      <c r="B8396" s="15"/>
      <c r="C8396" s="9">
        <f>IFERROR(__xludf.DUMMYFUNCTION("""COMPUTED_VALUE"""),45056.1822613078)</f>
        <v>45056.18226</v>
      </c>
      <c r="D8396" s="15">
        <f>IFERROR(__xludf.DUMMYFUNCTION("""COMPUTED_VALUE"""),1.019)</f>
        <v>1.019</v>
      </c>
      <c r="E8396" s="16">
        <f>IFERROR(__xludf.DUMMYFUNCTION("""COMPUTED_VALUE"""),64.0)</f>
        <v>64</v>
      </c>
      <c r="F8396" s="19" t="str">
        <f>IFERROR(__xludf.DUMMYFUNCTION("""COMPUTED_VALUE"""),"BLACK")</f>
        <v>BLACK</v>
      </c>
      <c r="G8396" s="20" t="str">
        <f>IFERROR(__xludf.DUMMYFUNCTION("""COMPUTED_VALUE"""),"Uncle Sams Cider (04/04/2023)")</f>
        <v>Uncle Sams Cider (04/04/2023)</v>
      </c>
      <c r="H8396" s="19"/>
    </row>
    <row r="8397">
      <c r="A8397" s="9"/>
      <c r="B8397" s="15"/>
      <c r="C8397" s="9">
        <f>IFERROR(__xludf.DUMMYFUNCTION("""COMPUTED_VALUE"""),45056.1717941782)</f>
        <v>45056.17179</v>
      </c>
      <c r="D8397" s="15">
        <f>IFERROR(__xludf.DUMMYFUNCTION("""COMPUTED_VALUE"""),1.018)</f>
        <v>1.018</v>
      </c>
      <c r="E8397" s="16">
        <f>IFERROR(__xludf.DUMMYFUNCTION("""COMPUTED_VALUE"""),64.0)</f>
        <v>64</v>
      </c>
      <c r="F8397" s="19" t="str">
        <f>IFERROR(__xludf.DUMMYFUNCTION("""COMPUTED_VALUE"""),"BLACK")</f>
        <v>BLACK</v>
      </c>
      <c r="G8397" s="20" t="str">
        <f>IFERROR(__xludf.DUMMYFUNCTION("""COMPUTED_VALUE"""),"Uncle Sams Cider (04/04/2023)")</f>
        <v>Uncle Sams Cider (04/04/2023)</v>
      </c>
      <c r="H8397" s="19"/>
    </row>
    <row r="8398">
      <c r="A8398" s="9"/>
      <c r="B8398" s="15"/>
      <c r="C8398" s="9">
        <f>IFERROR(__xludf.DUMMYFUNCTION("""COMPUTED_VALUE"""),45056.1613749884)</f>
        <v>45056.16137</v>
      </c>
      <c r="D8398" s="15">
        <f>IFERROR(__xludf.DUMMYFUNCTION("""COMPUTED_VALUE"""),1.019)</f>
        <v>1.019</v>
      </c>
      <c r="E8398" s="16">
        <f>IFERROR(__xludf.DUMMYFUNCTION("""COMPUTED_VALUE"""),64.0)</f>
        <v>64</v>
      </c>
      <c r="F8398" s="19" t="str">
        <f>IFERROR(__xludf.DUMMYFUNCTION("""COMPUTED_VALUE"""),"BLACK")</f>
        <v>BLACK</v>
      </c>
      <c r="G8398" s="20" t="str">
        <f>IFERROR(__xludf.DUMMYFUNCTION("""COMPUTED_VALUE"""),"Uncle Sams Cider (04/04/2023)")</f>
        <v>Uncle Sams Cider (04/04/2023)</v>
      </c>
      <c r="H8398" s="19"/>
    </row>
    <row r="8399">
      <c r="A8399" s="9"/>
      <c r="B8399" s="15"/>
      <c r="C8399" s="9">
        <f>IFERROR(__xludf.DUMMYFUNCTION("""COMPUTED_VALUE"""),45056.1509418865)</f>
        <v>45056.15094</v>
      </c>
      <c r="D8399" s="15">
        <f>IFERROR(__xludf.DUMMYFUNCTION("""COMPUTED_VALUE"""),1.019)</f>
        <v>1.019</v>
      </c>
      <c r="E8399" s="16">
        <f>IFERROR(__xludf.DUMMYFUNCTION("""COMPUTED_VALUE"""),64.0)</f>
        <v>64</v>
      </c>
      <c r="F8399" s="19" t="str">
        <f>IFERROR(__xludf.DUMMYFUNCTION("""COMPUTED_VALUE"""),"BLACK")</f>
        <v>BLACK</v>
      </c>
      <c r="G8399" s="20" t="str">
        <f>IFERROR(__xludf.DUMMYFUNCTION("""COMPUTED_VALUE"""),"Uncle Sams Cider (04/04/2023)")</f>
        <v>Uncle Sams Cider (04/04/2023)</v>
      </c>
      <c r="H8399" s="19"/>
    </row>
    <row r="8400">
      <c r="A8400" s="9"/>
      <c r="B8400" s="15"/>
      <c r="C8400" s="9">
        <f>IFERROR(__xludf.DUMMYFUNCTION("""COMPUTED_VALUE"""),45056.1405094213)</f>
        <v>45056.14051</v>
      </c>
      <c r="D8400" s="15">
        <f>IFERROR(__xludf.DUMMYFUNCTION("""COMPUTED_VALUE"""),1.019)</f>
        <v>1.019</v>
      </c>
      <c r="E8400" s="16">
        <f>IFERROR(__xludf.DUMMYFUNCTION("""COMPUTED_VALUE"""),64.0)</f>
        <v>64</v>
      </c>
      <c r="F8400" s="19" t="str">
        <f>IFERROR(__xludf.DUMMYFUNCTION("""COMPUTED_VALUE"""),"BLACK")</f>
        <v>BLACK</v>
      </c>
      <c r="G8400" s="20" t="str">
        <f>IFERROR(__xludf.DUMMYFUNCTION("""COMPUTED_VALUE"""),"Uncle Sams Cider (04/04/2023)")</f>
        <v>Uncle Sams Cider (04/04/2023)</v>
      </c>
      <c r="H8400" s="19"/>
    </row>
    <row r="8401">
      <c r="A8401" s="9"/>
      <c r="B8401" s="15"/>
      <c r="C8401" s="9">
        <f>IFERROR(__xludf.DUMMYFUNCTION("""COMPUTED_VALUE"""),45056.1300896875)</f>
        <v>45056.13009</v>
      </c>
      <c r="D8401" s="15">
        <f>IFERROR(__xludf.DUMMYFUNCTION("""COMPUTED_VALUE"""),1.019)</f>
        <v>1.019</v>
      </c>
      <c r="E8401" s="16">
        <f>IFERROR(__xludf.DUMMYFUNCTION("""COMPUTED_VALUE"""),64.0)</f>
        <v>64</v>
      </c>
      <c r="F8401" s="19" t="str">
        <f>IFERROR(__xludf.DUMMYFUNCTION("""COMPUTED_VALUE"""),"BLACK")</f>
        <v>BLACK</v>
      </c>
      <c r="G8401" s="20" t="str">
        <f>IFERROR(__xludf.DUMMYFUNCTION("""COMPUTED_VALUE"""),"Uncle Sams Cider (04/04/2023)")</f>
        <v>Uncle Sams Cider (04/04/2023)</v>
      </c>
      <c r="H8401" s="19"/>
    </row>
    <row r="8402">
      <c r="A8402" s="9"/>
      <c r="B8402" s="15"/>
      <c r="C8402" s="9">
        <f>IFERROR(__xludf.DUMMYFUNCTION("""COMPUTED_VALUE"""),45056.119668831)</f>
        <v>45056.11967</v>
      </c>
      <c r="D8402" s="15">
        <f>IFERROR(__xludf.DUMMYFUNCTION("""COMPUTED_VALUE"""),1.019)</f>
        <v>1.019</v>
      </c>
      <c r="E8402" s="16">
        <f>IFERROR(__xludf.DUMMYFUNCTION("""COMPUTED_VALUE"""),64.0)</f>
        <v>64</v>
      </c>
      <c r="F8402" s="19" t="str">
        <f>IFERROR(__xludf.DUMMYFUNCTION("""COMPUTED_VALUE"""),"BLACK")</f>
        <v>BLACK</v>
      </c>
      <c r="G8402" s="20" t="str">
        <f>IFERROR(__xludf.DUMMYFUNCTION("""COMPUTED_VALUE"""),"Uncle Sams Cider (04/04/2023)")</f>
        <v>Uncle Sams Cider (04/04/2023)</v>
      </c>
      <c r="H8402" s="19"/>
    </row>
    <row r="8403">
      <c r="A8403" s="9"/>
      <c r="B8403" s="15"/>
      <c r="C8403" s="9">
        <f>IFERROR(__xludf.DUMMYFUNCTION("""COMPUTED_VALUE"""),45056.1092470717)</f>
        <v>45056.10925</v>
      </c>
      <c r="D8403" s="15">
        <f>IFERROR(__xludf.DUMMYFUNCTION("""COMPUTED_VALUE"""),1.019)</f>
        <v>1.019</v>
      </c>
      <c r="E8403" s="16">
        <f>IFERROR(__xludf.DUMMYFUNCTION("""COMPUTED_VALUE"""),64.0)</f>
        <v>64</v>
      </c>
      <c r="F8403" s="19" t="str">
        <f>IFERROR(__xludf.DUMMYFUNCTION("""COMPUTED_VALUE"""),"BLACK")</f>
        <v>BLACK</v>
      </c>
      <c r="G8403" s="20" t="str">
        <f>IFERROR(__xludf.DUMMYFUNCTION("""COMPUTED_VALUE"""),"Uncle Sams Cider (04/04/2023)")</f>
        <v>Uncle Sams Cider (04/04/2023)</v>
      </c>
      <c r="H8403" s="19"/>
    </row>
    <row r="8404">
      <c r="A8404" s="9"/>
      <c r="B8404" s="15"/>
      <c r="C8404" s="9">
        <f>IFERROR(__xludf.DUMMYFUNCTION("""COMPUTED_VALUE"""),45056.0988261458)</f>
        <v>45056.09883</v>
      </c>
      <c r="D8404" s="15">
        <f>IFERROR(__xludf.DUMMYFUNCTION("""COMPUTED_VALUE"""),1.019)</f>
        <v>1.019</v>
      </c>
      <c r="E8404" s="16">
        <f>IFERROR(__xludf.DUMMYFUNCTION("""COMPUTED_VALUE"""),64.0)</f>
        <v>64</v>
      </c>
      <c r="F8404" s="19" t="str">
        <f>IFERROR(__xludf.DUMMYFUNCTION("""COMPUTED_VALUE"""),"BLACK")</f>
        <v>BLACK</v>
      </c>
      <c r="G8404" s="20" t="str">
        <f>IFERROR(__xludf.DUMMYFUNCTION("""COMPUTED_VALUE"""),"Uncle Sams Cider (04/04/2023)")</f>
        <v>Uncle Sams Cider (04/04/2023)</v>
      </c>
      <c r="H8404" s="19"/>
    </row>
    <row r="8405">
      <c r="A8405" s="9"/>
      <c r="B8405" s="15"/>
      <c r="C8405" s="9">
        <f>IFERROR(__xludf.DUMMYFUNCTION("""COMPUTED_VALUE"""),45056.0884044444)</f>
        <v>45056.0884</v>
      </c>
      <c r="D8405" s="15">
        <f>IFERROR(__xludf.DUMMYFUNCTION("""COMPUTED_VALUE"""),1.019)</f>
        <v>1.019</v>
      </c>
      <c r="E8405" s="16">
        <f>IFERROR(__xludf.DUMMYFUNCTION("""COMPUTED_VALUE"""),64.0)</f>
        <v>64</v>
      </c>
      <c r="F8405" s="19" t="str">
        <f>IFERROR(__xludf.DUMMYFUNCTION("""COMPUTED_VALUE"""),"BLACK")</f>
        <v>BLACK</v>
      </c>
      <c r="G8405" s="20" t="str">
        <f>IFERROR(__xludf.DUMMYFUNCTION("""COMPUTED_VALUE"""),"Uncle Sams Cider (04/04/2023)")</f>
        <v>Uncle Sams Cider (04/04/2023)</v>
      </c>
      <c r="H8405" s="19"/>
    </row>
    <row r="8406">
      <c r="A8406" s="9"/>
      <c r="B8406" s="15"/>
      <c r="C8406" s="9">
        <f>IFERROR(__xludf.DUMMYFUNCTION("""COMPUTED_VALUE"""),45056.0779825463)</f>
        <v>45056.07798</v>
      </c>
      <c r="D8406" s="15">
        <f>IFERROR(__xludf.DUMMYFUNCTION("""COMPUTED_VALUE"""),1.018)</f>
        <v>1.018</v>
      </c>
      <c r="E8406" s="16">
        <f>IFERROR(__xludf.DUMMYFUNCTION("""COMPUTED_VALUE"""),64.0)</f>
        <v>64</v>
      </c>
      <c r="F8406" s="19" t="str">
        <f>IFERROR(__xludf.DUMMYFUNCTION("""COMPUTED_VALUE"""),"BLACK")</f>
        <v>BLACK</v>
      </c>
      <c r="G8406" s="20" t="str">
        <f>IFERROR(__xludf.DUMMYFUNCTION("""COMPUTED_VALUE"""),"Uncle Sams Cider (04/04/2023)")</f>
        <v>Uncle Sams Cider (04/04/2023)</v>
      </c>
      <c r="H8406" s="19"/>
    </row>
    <row r="8407">
      <c r="A8407" s="9"/>
      <c r="B8407" s="15"/>
      <c r="C8407" s="9">
        <f>IFERROR(__xludf.DUMMYFUNCTION("""COMPUTED_VALUE"""),45056.0675617824)</f>
        <v>45056.06756</v>
      </c>
      <c r="D8407" s="15">
        <f>IFERROR(__xludf.DUMMYFUNCTION("""COMPUTED_VALUE"""),1.019)</f>
        <v>1.019</v>
      </c>
      <c r="E8407" s="16">
        <f>IFERROR(__xludf.DUMMYFUNCTION("""COMPUTED_VALUE"""),64.0)</f>
        <v>64</v>
      </c>
      <c r="F8407" s="19" t="str">
        <f>IFERROR(__xludf.DUMMYFUNCTION("""COMPUTED_VALUE"""),"BLACK")</f>
        <v>BLACK</v>
      </c>
      <c r="G8407" s="20" t="str">
        <f>IFERROR(__xludf.DUMMYFUNCTION("""COMPUTED_VALUE"""),"Uncle Sams Cider (04/04/2023)")</f>
        <v>Uncle Sams Cider (04/04/2023)</v>
      </c>
      <c r="H8407" s="19"/>
    </row>
    <row r="8408">
      <c r="A8408" s="9"/>
      <c r="B8408" s="15"/>
      <c r="C8408" s="9">
        <f>IFERROR(__xludf.DUMMYFUNCTION("""COMPUTED_VALUE"""),45056.05713978)</f>
        <v>45056.05714</v>
      </c>
      <c r="D8408" s="15">
        <f>IFERROR(__xludf.DUMMYFUNCTION("""COMPUTED_VALUE"""),1.019)</f>
        <v>1.019</v>
      </c>
      <c r="E8408" s="16">
        <f>IFERROR(__xludf.DUMMYFUNCTION("""COMPUTED_VALUE"""),64.0)</f>
        <v>64</v>
      </c>
      <c r="F8408" s="19" t="str">
        <f>IFERROR(__xludf.DUMMYFUNCTION("""COMPUTED_VALUE"""),"BLACK")</f>
        <v>BLACK</v>
      </c>
      <c r="G8408" s="20" t="str">
        <f>IFERROR(__xludf.DUMMYFUNCTION("""COMPUTED_VALUE"""),"Uncle Sams Cider (04/04/2023)")</f>
        <v>Uncle Sams Cider (04/04/2023)</v>
      </c>
      <c r="H8408" s="19"/>
    </row>
    <row r="8409">
      <c r="A8409" s="9"/>
      <c r="B8409" s="15"/>
      <c r="C8409" s="9">
        <f>IFERROR(__xludf.DUMMYFUNCTION("""COMPUTED_VALUE"""),45056.046707662)</f>
        <v>45056.04671</v>
      </c>
      <c r="D8409" s="15">
        <f>IFERROR(__xludf.DUMMYFUNCTION("""COMPUTED_VALUE"""),1.019)</f>
        <v>1.019</v>
      </c>
      <c r="E8409" s="16">
        <f>IFERROR(__xludf.DUMMYFUNCTION("""COMPUTED_VALUE"""),64.0)</f>
        <v>64</v>
      </c>
      <c r="F8409" s="19" t="str">
        <f>IFERROR(__xludf.DUMMYFUNCTION("""COMPUTED_VALUE"""),"BLACK")</f>
        <v>BLACK</v>
      </c>
      <c r="G8409" s="20" t="str">
        <f>IFERROR(__xludf.DUMMYFUNCTION("""COMPUTED_VALUE"""),"Uncle Sams Cider (04/04/2023)")</f>
        <v>Uncle Sams Cider (04/04/2023)</v>
      </c>
      <c r="H8409" s="19"/>
    </row>
    <row r="8410">
      <c r="A8410" s="9"/>
      <c r="B8410" s="15"/>
      <c r="C8410" s="9">
        <f>IFERROR(__xludf.DUMMYFUNCTION("""COMPUTED_VALUE"""),45056.0362855555)</f>
        <v>45056.03629</v>
      </c>
      <c r="D8410" s="15">
        <f>IFERROR(__xludf.DUMMYFUNCTION("""COMPUTED_VALUE"""),1.019)</f>
        <v>1.019</v>
      </c>
      <c r="E8410" s="16">
        <f>IFERROR(__xludf.DUMMYFUNCTION("""COMPUTED_VALUE"""),64.0)</f>
        <v>64</v>
      </c>
      <c r="F8410" s="19" t="str">
        <f>IFERROR(__xludf.DUMMYFUNCTION("""COMPUTED_VALUE"""),"BLACK")</f>
        <v>BLACK</v>
      </c>
      <c r="G8410" s="20" t="str">
        <f>IFERROR(__xludf.DUMMYFUNCTION("""COMPUTED_VALUE"""),"Uncle Sams Cider (04/04/2023)")</f>
        <v>Uncle Sams Cider (04/04/2023)</v>
      </c>
      <c r="H8410" s="19"/>
    </row>
    <row r="8411">
      <c r="A8411" s="9"/>
      <c r="B8411" s="15"/>
      <c r="C8411" s="9">
        <f>IFERROR(__xludf.DUMMYFUNCTION("""COMPUTED_VALUE"""),45056.0258528472)</f>
        <v>45056.02585</v>
      </c>
      <c r="D8411" s="15">
        <f>IFERROR(__xludf.DUMMYFUNCTION("""COMPUTED_VALUE"""),1.019)</f>
        <v>1.019</v>
      </c>
      <c r="E8411" s="16">
        <f>IFERROR(__xludf.DUMMYFUNCTION("""COMPUTED_VALUE"""),64.0)</f>
        <v>64</v>
      </c>
      <c r="F8411" s="19" t="str">
        <f>IFERROR(__xludf.DUMMYFUNCTION("""COMPUTED_VALUE"""),"BLACK")</f>
        <v>BLACK</v>
      </c>
      <c r="G8411" s="20" t="str">
        <f>IFERROR(__xludf.DUMMYFUNCTION("""COMPUTED_VALUE"""),"Uncle Sams Cider (04/04/2023)")</f>
        <v>Uncle Sams Cider (04/04/2023)</v>
      </c>
      <c r="H8411" s="19"/>
    </row>
    <row r="8412">
      <c r="A8412" s="9"/>
      <c r="B8412" s="15"/>
      <c r="C8412" s="9">
        <f>IFERROR(__xludf.DUMMYFUNCTION("""COMPUTED_VALUE"""),45056.0049985879)</f>
        <v>45056.005</v>
      </c>
      <c r="D8412" s="15">
        <f>IFERROR(__xludf.DUMMYFUNCTION("""COMPUTED_VALUE"""),1.019)</f>
        <v>1.019</v>
      </c>
      <c r="E8412" s="16">
        <f>IFERROR(__xludf.DUMMYFUNCTION("""COMPUTED_VALUE"""),64.0)</f>
        <v>64</v>
      </c>
      <c r="F8412" s="19" t="str">
        <f>IFERROR(__xludf.DUMMYFUNCTION("""COMPUTED_VALUE"""),"BLACK")</f>
        <v>BLACK</v>
      </c>
      <c r="G8412" s="20" t="str">
        <f>IFERROR(__xludf.DUMMYFUNCTION("""COMPUTED_VALUE"""),"Uncle Sams Cider (04/04/2023)")</f>
        <v>Uncle Sams Cider (04/04/2023)</v>
      </c>
      <c r="H8412" s="19"/>
    </row>
    <row r="8413">
      <c r="A8413" s="9"/>
      <c r="B8413" s="15"/>
      <c r="C8413" s="9">
        <f>IFERROR(__xludf.DUMMYFUNCTION("""COMPUTED_VALUE"""),45055.9945756018)</f>
        <v>45055.99458</v>
      </c>
      <c r="D8413" s="15">
        <f>IFERROR(__xludf.DUMMYFUNCTION("""COMPUTED_VALUE"""),1.018)</f>
        <v>1.018</v>
      </c>
      <c r="E8413" s="16">
        <f>IFERROR(__xludf.DUMMYFUNCTION("""COMPUTED_VALUE"""),64.0)</f>
        <v>64</v>
      </c>
      <c r="F8413" s="19" t="str">
        <f>IFERROR(__xludf.DUMMYFUNCTION("""COMPUTED_VALUE"""),"BLACK")</f>
        <v>BLACK</v>
      </c>
      <c r="G8413" s="20" t="str">
        <f>IFERROR(__xludf.DUMMYFUNCTION("""COMPUTED_VALUE"""),"Uncle Sams Cider (04/04/2023)")</f>
        <v>Uncle Sams Cider (04/04/2023)</v>
      </c>
      <c r="H8413" s="19"/>
    </row>
    <row r="8414">
      <c r="A8414" s="9"/>
      <c r="B8414" s="15"/>
      <c r="C8414" s="9">
        <f>IFERROR(__xludf.DUMMYFUNCTION("""COMPUTED_VALUE"""),45055.9841541782)</f>
        <v>45055.98415</v>
      </c>
      <c r="D8414" s="15">
        <f>IFERROR(__xludf.DUMMYFUNCTION("""COMPUTED_VALUE"""),1.019)</f>
        <v>1.019</v>
      </c>
      <c r="E8414" s="16">
        <f>IFERROR(__xludf.DUMMYFUNCTION("""COMPUTED_VALUE"""),64.0)</f>
        <v>64</v>
      </c>
      <c r="F8414" s="19" t="str">
        <f>IFERROR(__xludf.DUMMYFUNCTION("""COMPUTED_VALUE"""),"BLACK")</f>
        <v>BLACK</v>
      </c>
      <c r="G8414" s="20" t="str">
        <f>IFERROR(__xludf.DUMMYFUNCTION("""COMPUTED_VALUE"""),"Uncle Sams Cider (04/04/2023)")</f>
        <v>Uncle Sams Cider (04/04/2023)</v>
      </c>
      <c r="H8414" s="19"/>
    </row>
    <row r="8415">
      <c r="A8415" s="9"/>
      <c r="B8415" s="15"/>
      <c r="C8415" s="9">
        <f>IFERROR(__xludf.DUMMYFUNCTION("""COMPUTED_VALUE"""),45055.9737210763)</f>
        <v>45055.97372</v>
      </c>
      <c r="D8415" s="15">
        <f>IFERROR(__xludf.DUMMYFUNCTION("""COMPUTED_VALUE"""),1.019)</f>
        <v>1.019</v>
      </c>
      <c r="E8415" s="16">
        <f>IFERROR(__xludf.DUMMYFUNCTION("""COMPUTED_VALUE"""),64.0)</f>
        <v>64</v>
      </c>
      <c r="F8415" s="19" t="str">
        <f>IFERROR(__xludf.DUMMYFUNCTION("""COMPUTED_VALUE"""),"BLACK")</f>
        <v>BLACK</v>
      </c>
      <c r="G8415" s="20" t="str">
        <f>IFERROR(__xludf.DUMMYFUNCTION("""COMPUTED_VALUE"""),"Uncle Sams Cider (04/04/2023)")</f>
        <v>Uncle Sams Cider (04/04/2023)</v>
      </c>
      <c r="H8415" s="19"/>
    </row>
    <row r="8416">
      <c r="A8416" s="9"/>
      <c r="B8416" s="15"/>
      <c r="C8416" s="9">
        <f>IFERROR(__xludf.DUMMYFUNCTION("""COMPUTED_VALUE"""),45055.9632994907)</f>
        <v>45055.9633</v>
      </c>
      <c r="D8416" s="15">
        <f>IFERROR(__xludf.DUMMYFUNCTION("""COMPUTED_VALUE"""),1.019)</f>
        <v>1.019</v>
      </c>
      <c r="E8416" s="16">
        <f>IFERROR(__xludf.DUMMYFUNCTION("""COMPUTED_VALUE"""),64.0)</f>
        <v>64</v>
      </c>
      <c r="F8416" s="19" t="str">
        <f>IFERROR(__xludf.DUMMYFUNCTION("""COMPUTED_VALUE"""),"BLACK")</f>
        <v>BLACK</v>
      </c>
      <c r="G8416" s="20" t="str">
        <f>IFERROR(__xludf.DUMMYFUNCTION("""COMPUTED_VALUE"""),"Uncle Sams Cider (04/04/2023)")</f>
        <v>Uncle Sams Cider (04/04/2023)</v>
      </c>
      <c r="H8416" s="19"/>
    </row>
    <row r="8417">
      <c r="A8417" s="9"/>
      <c r="B8417" s="15"/>
      <c r="C8417" s="9">
        <f>IFERROR(__xludf.DUMMYFUNCTION("""COMPUTED_VALUE"""),45055.9528797453)</f>
        <v>45055.95288</v>
      </c>
      <c r="D8417" s="15">
        <f>IFERROR(__xludf.DUMMYFUNCTION("""COMPUTED_VALUE"""),1.019)</f>
        <v>1.019</v>
      </c>
      <c r="E8417" s="16">
        <f>IFERROR(__xludf.DUMMYFUNCTION("""COMPUTED_VALUE"""),64.0)</f>
        <v>64</v>
      </c>
      <c r="F8417" s="19" t="str">
        <f>IFERROR(__xludf.DUMMYFUNCTION("""COMPUTED_VALUE"""),"BLACK")</f>
        <v>BLACK</v>
      </c>
      <c r="G8417" s="20" t="str">
        <f>IFERROR(__xludf.DUMMYFUNCTION("""COMPUTED_VALUE"""),"Uncle Sams Cider (04/04/2023)")</f>
        <v>Uncle Sams Cider (04/04/2023)</v>
      </c>
      <c r="H8417" s="19"/>
    </row>
    <row r="8418">
      <c r="A8418" s="9"/>
      <c r="B8418" s="15"/>
      <c r="C8418" s="9">
        <f>IFERROR(__xludf.DUMMYFUNCTION("""COMPUTED_VALUE"""),45055.9424598263)</f>
        <v>45055.94246</v>
      </c>
      <c r="D8418" s="15">
        <f>IFERROR(__xludf.DUMMYFUNCTION("""COMPUTED_VALUE"""),1.019)</f>
        <v>1.019</v>
      </c>
      <c r="E8418" s="16">
        <f>IFERROR(__xludf.DUMMYFUNCTION("""COMPUTED_VALUE"""),64.0)</f>
        <v>64</v>
      </c>
      <c r="F8418" s="19" t="str">
        <f>IFERROR(__xludf.DUMMYFUNCTION("""COMPUTED_VALUE"""),"BLACK")</f>
        <v>BLACK</v>
      </c>
      <c r="G8418" s="20" t="str">
        <f>IFERROR(__xludf.DUMMYFUNCTION("""COMPUTED_VALUE"""),"Uncle Sams Cider (04/04/2023)")</f>
        <v>Uncle Sams Cider (04/04/2023)</v>
      </c>
      <c r="H8418" s="19"/>
    </row>
    <row r="8419">
      <c r="A8419" s="9"/>
      <c r="B8419" s="15"/>
      <c r="C8419" s="9">
        <f>IFERROR(__xludf.DUMMYFUNCTION("""COMPUTED_VALUE"""),45055.9320267476)</f>
        <v>45055.93203</v>
      </c>
      <c r="D8419" s="15">
        <f>IFERROR(__xludf.DUMMYFUNCTION("""COMPUTED_VALUE"""),1.019)</f>
        <v>1.019</v>
      </c>
      <c r="E8419" s="16">
        <f>IFERROR(__xludf.DUMMYFUNCTION("""COMPUTED_VALUE"""),64.0)</f>
        <v>64</v>
      </c>
      <c r="F8419" s="19" t="str">
        <f>IFERROR(__xludf.DUMMYFUNCTION("""COMPUTED_VALUE"""),"BLACK")</f>
        <v>BLACK</v>
      </c>
      <c r="G8419" s="20" t="str">
        <f>IFERROR(__xludf.DUMMYFUNCTION("""COMPUTED_VALUE"""),"Uncle Sams Cider (04/04/2023)")</f>
        <v>Uncle Sams Cider (04/04/2023)</v>
      </c>
      <c r="H8419" s="19"/>
    </row>
    <row r="8420">
      <c r="A8420" s="9"/>
      <c r="B8420" s="15"/>
      <c r="C8420" s="9">
        <f>IFERROR(__xludf.DUMMYFUNCTION("""COMPUTED_VALUE"""),45055.9216055208)</f>
        <v>45055.92161</v>
      </c>
      <c r="D8420" s="15">
        <f>IFERROR(__xludf.DUMMYFUNCTION("""COMPUTED_VALUE"""),1.019)</f>
        <v>1.019</v>
      </c>
      <c r="E8420" s="16">
        <f>IFERROR(__xludf.DUMMYFUNCTION("""COMPUTED_VALUE"""),64.0)</f>
        <v>64</v>
      </c>
      <c r="F8420" s="19" t="str">
        <f>IFERROR(__xludf.DUMMYFUNCTION("""COMPUTED_VALUE"""),"BLACK")</f>
        <v>BLACK</v>
      </c>
      <c r="G8420" s="20" t="str">
        <f>IFERROR(__xludf.DUMMYFUNCTION("""COMPUTED_VALUE"""),"Uncle Sams Cider (04/04/2023)")</f>
        <v>Uncle Sams Cider (04/04/2023)</v>
      </c>
      <c r="H8420" s="19"/>
    </row>
    <row r="8421">
      <c r="A8421" s="9"/>
      <c r="B8421" s="15"/>
      <c r="C8421" s="9">
        <f>IFERROR(__xludf.DUMMYFUNCTION("""COMPUTED_VALUE"""),45055.9111733564)</f>
        <v>45055.91117</v>
      </c>
      <c r="D8421" s="15">
        <f>IFERROR(__xludf.DUMMYFUNCTION("""COMPUTED_VALUE"""),1.019)</f>
        <v>1.019</v>
      </c>
      <c r="E8421" s="16">
        <f>IFERROR(__xludf.DUMMYFUNCTION("""COMPUTED_VALUE"""),64.0)</f>
        <v>64</v>
      </c>
      <c r="F8421" s="19" t="str">
        <f>IFERROR(__xludf.DUMMYFUNCTION("""COMPUTED_VALUE"""),"BLACK")</f>
        <v>BLACK</v>
      </c>
      <c r="G8421" s="20" t="str">
        <f>IFERROR(__xludf.DUMMYFUNCTION("""COMPUTED_VALUE"""),"Uncle Sams Cider (04/04/2023)")</f>
        <v>Uncle Sams Cider (04/04/2023)</v>
      </c>
      <c r="H8421" s="19"/>
    </row>
    <row r="8422">
      <c r="A8422" s="9"/>
      <c r="B8422" s="15"/>
      <c r="C8422" s="9">
        <f>IFERROR(__xludf.DUMMYFUNCTION("""COMPUTED_VALUE"""),45055.9007542939)</f>
        <v>45055.90075</v>
      </c>
      <c r="D8422" s="15">
        <f>IFERROR(__xludf.DUMMYFUNCTION("""COMPUTED_VALUE"""),1.019)</f>
        <v>1.019</v>
      </c>
      <c r="E8422" s="16">
        <f>IFERROR(__xludf.DUMMYFUNCTION("""COMPUTED_VALUE"""),64.0)</f>
        <v>64</v>
      </c>
      <c r="F8422" s="19" t="str">
        <f>IFERROR(__xludf.DUMMYFUNCTION("""COMPUTED_VALUE"""),"BLACK")</f>
        <v>BLACK</v>
      </c>
      <c r="G8422" s="20" t="str">
        <f>IFERROR(__xludf.DUMMYFUNCTION("""COMPUTED_VALUE"""),"Uncle Sams Cider (04/04/2023)")</f>
        <v>Uncle Sams Cider (04/04/2023)</v>
      </c>
      <c r="H8422" s="19"/>
    </row>
    <row r="8423">
      <c r="A8423" s="9"/>
      <c r="B8423" s="15"/>
      <c r="C8423" s="9">
        <f>IFERROR(__xludf.DUMMYFUNCTION("""COMPUTED_VALUE"""),45055.8903208796)</f>
        <v>45055.89032</v>
      </c>
      <c r="D8423" s="15">
        <f>IFERROR(__xludf.DUMMYFUNCTION("""COMPUTED_VALUE"""),1.019)</f>
        <v>1.019</v>
      </c>
      <c r="E8423" s="16">
        <f>IFERROR(__xludf.DUMMYFUNCTION("""COMPUTED_VALUE"""),64.0)</f>
        <v>64</v>
      </c>
      <c r="F8423" s="19" t="str">
        <f>IFERROR(__xludf.DUMMYFUNCTION("""COMPUTED_VALUE"""),"BLACK")</f>
        <v>BLACK</v>
      </c>
      <c r="G8423" s="20" t="str">
        <f>IFERROR(__xludf.DUMMYFUNCTION("""COMPUTED_VALUE"""),"Uncle Sams Cider (04/04/2023)")</f>
        <v>Uncle Sams Cider (04/04/2023)</v>
      </c>
      <c r="H8423" s="19"/>
    </row>
    <row r="8424">
      <c r="A8424" s="9"/>
      <c r="B8424" s="15"/>
      <c r="C8424" s="9">
        <f>IFERROR(__xludf.DUMMYFUNCTION("""COMPUTED_VALUE"""),45055.8798893981)</f>
        <v>45055.87989</v>
      </c>
      <c r="D8424" s="15">
        <f>IFERROR(__xludf.DUMMYFUNCTION("""COMPUTED_VALUE"""),1.019)</f>
        <v>1.019</v>
      </c>
      <c r="E8424" s="16">
        <f>IFERROR(__xludf.DUMMYFUNCTION("""COMPUTED_VALUE"""),64.0)</f>
        <v>64</v>
      </c>
      <c r="F8424" s="19" t="str">
        <f>IFERROR(__xludf.DUMMYFUNCTION("""COMPUTED_VALUE"""),"BLACK")</f>
        <v>BLACK</v>
      </c>
      <c r="G8424" s="20" t="str">
        <f>IFERROR(__xludf.DUMMYFUNCTION("""COMPUTED_VALUE"""),"Uncle Sams Cider (04/04/2023)")</f>
        <v>Uncle Sams Cider (04/04/2023)</v>
      </c>
      <c r="H8424" s="19"/>
    </row>
    <row r="8425">
      <c r="A8425" s="9"/>
      <c r="B8425" s="15"/>
      <c r="C8425" s="9">
        <f>IFERROR(__xludf.DUMMYFUNCTION("""COMPUTED_VALUE"""),45055.8694691898)</f>
        <v>45055.86947</v>
      </c>
      <c r="D8425" s="15">
        <f>IFERROR(__xludf.DUMMYFUNCTION("""COMPUTED_VALUE"""),1.019)</f>
        <v>1.019</v>
      </c>
      <c r="E8425" s="16">
        <f>IFERROR(__xludf.DUMMYFUNCTION("""COMPUTED_VALUE"""),64.0)</f>
        <v>64</v>
      </c>
      <c r="F8425" s="19" t="str">
        <f>IFERROR(__xludf.DUMMYFUNCTION("""COMPUTED_VALUE"""),"BLACK")</f>
        <v>BLACK</v>
      </c>
      <c r="G8425" s="20" t="str">
        <f>IFERROR(__xludf.DUMMYFUNCTION("""COMPUTED_VALUE"""),"Uncle Sams Cider (04/04/2023)")</f>
        <v>Uncle Sams Cider (04/04/2023)</v>
      </c>
      <c r="H8425" s="19"/>
    </row>
    <row r="8426">
      <c r="A8426" s="9"/>
      <c r="B8426" s="15"/>
      <c r="C8426" s="9">
        <f>IFERROR(__xludf.DUMMYFUNCTION("""COMPUTED_VALUE"""),45055.8590486689)</f>
        <v>45055.85905</v>
      </c>
      <c r="D8426" s="15">
        <f>IFERROR(__xludf.DUMMYFUNCTION("""COMPUTED_VALUE"""),1.019)</f>
        <v>1.019</v>
      </c>
      <c r="E8426" s="16">
        <f>IFERROR(__xludf.DUMMYFUNCTION("""COMPUTED_VALUE"""),64.0)</f>
        <v>64</v>
      </c>
      <c r="F8426" s="19" t="str">
        <f>IFERROR(__xludf.DUMMYFUNCTION("""COMPUTED_VALUE"""),"BLACK")</f>
        <v>BLACK</v>
      </c>
      <c r="G8426" s="20" t="str">
        <f>IFERROR(__xludf.DUMMYFUNCTION("""COMPUTED_VALUE"""),"Uncle Sams Cider (04/04/2023)")</f>
        <v>Uncle Sams Cider (04/04/2023)</v>
      </c>
      <c r="H8426" s="19"/>
    </row>
    <row r="8427">
      <c r="A8427" s="9"/>
      <c r="B8427" s="15"/>
      <c r="C8427" s="9">
        <f>IFERROR(__xludf.DUMMYFUNCTION("""COMPUTED_VALUE"""),45055.848615787)</f>
        <v>45055.84862</v>
      </c>
      <c r="D8427" s="15">
        <f>IFERROR(__xludf.DUMMYFUNCTION("""COMPUTED_VALUE"""),1.019)</f>
        <v>1.019</v>
      </c>
      <c r="E8427" s="16">
        <f>IFERROR(__xludf.DUMMYFUNCTION("""COMPUTED_VALUE"""),64.0)</f>
        <v>64</v>
      </c>
      <c r="F8427" s="19" t="str">
        <f>IFERROR(__xludf.DUMMYFUNCTION("""COMPUTED_VALUE"""),"BLACK")</f>
        <v>BLACK</v>
      </c>
      <c r="G8427" s="20" t="str">
        <f>IFERROR(__xludf.DUMMYFUNCTION("""COMPUTED_VALUE"""),"Uncle Sams Cider (04/04/2023)")</f>
        <v>Uncle Sams Cider (04/04/2023)</v>
      </c>
      <c r="H8427" s="19"/>
    </row>
    <row r="8428">
      <c r="A8428" s="9"/>
      <c r="B8428" s="15"/>
      <c r="C8428" s="9">
        <f>IFERROR(__xludf.DUMMYFUNCTION("""COMPUTED_VALUE"""),45055.8381946759)</f>
        <v>45055.83819</v>
      </c>
      <c r="D8428" s="15">
        <f>IFERROR(__xludf.DUMMYFUNCTION("""COMPUTED_VALUE"""),1.019)</f>
        <v>1.019</v>
      </c>
      <c r="E8428" s="16">
        <f>IFERROR(__xludf.DUMMYFUNCTION("""COMPUTED_VALUE"""),64.0)</f>
        <v>64</v>
      </c>
      <c r="F8428" s="19" t="str">
        <f>IFERROR(__xludf.DUMMYFUNCTION("""COMPUTED_VALUE"""),"BLACK")</f>
        <v>BLACK</v>
      </c>
      <c r="G8428" s="20" t="str">
        <f>IFERROR(__xludf.DUMMYFUNCTION("""COMPUTED_VALUE"""),"Uncle Sams Cider (04/04/2023)")</f>
        <v>Uncle Sams Cider (04/04/2023)</v>
      </c>
      <c r="H8428" s="19"/>
    </row>
    <row r="8429">
      <c r="A8429" s="9"/>
      <c r="B8429" s="15"/>
      <c r="C8429" s="9">
        <f>IFERROR(__xludf.DUMMYFUNCTION("""COMPUTED_VALUE"""),45055.8277728125)</f>
        <v>45055.82777</v>
      </c>
      <c r="D8429" s="15">
        <f>IFERROR(__xludf.DUMMYFUNCTION("""COMPUTED_VALUE"""),1.019)</f>
        <v>1.019</v>
      </c>
      <c r="E8429" s="16">
        <f>IFERROR(__xludf.DUMMYFUNCTION("""COMPUTED_VALUE"""),64.0)</f>
        <v>64</v>
      </c>
      <c r="F8429" s="19" t="str">
        <f>IFERROR(__xludf.DUMMYFUNCTION("""COMPUTED_VALUE"""),"BLACK")</f>
        <v>BLACK</v>
      </c>
      <c r="G8429" s="20" t="str">
        <f>IFERROR(__xludf.DUMMYFUNCTION("""COMPUTED_VALUE"""),"Uncle Sams Cider (04/04/2023)")</f>
        <v>Uncle Sams Cider (04/04/2023)</v>
      </c>
      <c r="H8429" s="19"/>
    </row>
    <row r="8430">
      <c r="A8430" s="9"/>
      <c r="B8430" s="15"/>
      <c r="C8430" s="9">
        <f>IFERROR(__xludf.DUMMYFUNCTION("""COMPUTED_VALUE"""),45055.8173497453)</f>
        <v>45055.81735</v>
      </c>
      <c r="D8430" s="15">
        <f>IFERROR(__xludf.DUMMYFUNCTION("""COMPUTED_VALUE"""),1.019)</f>
        <v>1.019</v>
      </c>
      <c r="E8430" s="16">
        <f>IFERROR(__xludf.DUMMYFUNCTION("""COMPUTED_VALUE"""),64.0)</f>
        <v>64</v>
      </c>
      <c r="F8430" s="19" t="str">
        <f>IFERROR(__xludf.DUMMYFUNCTION("""COMPUTED_VALUE"""),"BLACK")</f>
        <v>BLACK</v>
      </c>
      <c r="G8430" s="20" t="str">
        <f>IFERROR(__xludf.DUMMYFUNCTION("""COMPUTED_VALUE"""),"Uncle Sams Cider (04/04/2023)")</f>
        <v>Uncle Sams Cider (04/04/2023)</v>
      </c>
      <c r="H8430" s="19"/>
    </row>
    <row r="8431">
      <c r="A8431" s="9"/>
      <c r="B8431" s="15"/>
      <c r="C8431" s="9">
        <f>IFERROR(__xludf.DUMMYFUNCTION("""COMPUTED_VALUE"""),45055.8069278588)</f>
        <v>45055.80693</v>
      </c>
      <c r="D8431" s="15">
        <f>IFERROR(__xludf.DUMMYFUNCTION("""COMPUTED_VALUE"""),1.019)</f>
        <v>1.019</v>
      </c>
      <c r="E8431" s="16">
        <f>IFERROR(__xludf.DUMMYFUNCTION("""COMPUTED_VALUE"""),64.0)</f>
        <v>64</v>
      </c>
      <c r="F8431" s="19" t="str">
        <f>IFERROR(__xludf.DUMMYFUNCTION("""COMPUTED_VALUE"""),"BLACK")</f>
        <v>BLACK</v>
      </c>
      <c r="G8431" s="20" t="str">
        <f>IFERROR(__xludf.DUMMYFUNCTION("""COMPUTED_VALUE"""),"Uncle Sams Cider (04/04/2023)")</f>
        <v>Uncle Sams Cider (04/04/2023)</v>
      </c>
      <c r="H8431" s="19"/>
    </row>
    <row r="8432">
      <c r="A8432" s="9"/>
      <c r="B8432" s="15"/>
      <c r="C8432" s="9">
        <f>IFERROR(__xludf.DUMMYFUNCTION("""COMPUTED_VALUE"""),45055.7965068287)</f>
        <v>45055.79651</v>
      </c>
      <c r="D8432" s="15">
        <f>IFERROR(__xludf.DUMMYFUNCTION("""COMPUTED_VALUE"""),1.019)</f>
        <v>1.019</v>
      </c>
      <c r="E8432" s="16">
        <f>IFERROR(__xludf.DUMMYFUNCTION("""COMPUTED_VALUE"""),64.0)</f>
        <v>64</v>
      </c>
      <c r="F8432" s="19" t="str">
        <f>IFERROR(__xludf.DUMMYFUNCTION("""COMPUTED_VALUE"""),"BLACK")</f>
        <v>BLACK</v>
      </c>
      <c r="G8432" s="20" t="str">
        <f>IFERROR(__xludf.DUMMYFUNCTION("""COMPUTED_VALUE"""),"Uncle Sams Cider (04/04/2023)")</f>
        <v>Uncle Sams Cider (04/04/2023)</v>
      </c>
      <c r="H8432" s="19"/>
    </row>
    <row r="8433">
      <c r="A8433" s="9"/>
      <c r="B8433" s="15"/>
      <c r="C8433" s="9">
        <f>IFERROR(__xludf.DUMMYFUNCTION("""COMPUTED_VALUE"""),45055.7860285648)</f>
        <v>45055.78603</v>
      </c>
      <c r="D8433" s="15">
        <f>IFERROR(__xludf.DUMMYFUNCTION("""COMPUTED_VALUE"""),1.019)</f>
        <v>1.019</v>
      </c>
      <c r="E8433" s="16">
        <f>IFERROR(__xludf.DUMMYFUNCTION("""COMPUTED_VALUE"""),64.0)</f>
        <v>64</v>
      </c>
      <c r="F8433" s="19" t="str">
        <f>IFERROR(__xludf.DUMMYFUNCTION("""COMPUTED_VALUE"""),"BLACK")</f>
        <v>BLACK</v>
      </c>
      <c r="G8433" s="20" t="str">
        <f>IFERROR(__xludf.DUMMYFUNCTION("""COMPUTED_VALUE"""),"Uncle Sams Cider (04/04/2023)")</f>
        <v>Uncle Sams Cider (04/04/2023)</v>
      </c>
      <c r="H8433" s="19"/>
    </row>
    <row r="8434">
      <c r="A8434" s="9"/>
      <c r="B8434" s="15"/>
      <c r="C8434" s="9">
        <f>IFERROR(__xludf.DUMMYFUNCTION("""COMPUTED_VALUE"""),45055.7756080787)</f>
        <v>45055.77561</v>
      </c>
      <c r="D8434" s="15">
        <f>IFERROR(__xludf.DUMMYFUNCTION("""COMPUTED_VALUE"""),1.019)</f>
        <v>1.019</v>
      </c>
      <c r="E8434" s="16">
        <f>IFERROR(__xludf.DUMMYFUNCTION("""COMPUTED_VALUE"""),64.0)</f>
        <v>64</v>
      </c>
      <c r="F8434" s="19" t="str">
        <f>IFERROR(__xludf.DUMMYFUNCTION("""COMPUTED_VALUE"""),"BLACK")</f>
        <v>BLACK</v>
      </c>
      <c r="G8434" s="20" t="str">
        <f>IFERROR(__xludf.DUMMYFUNCTION("""COMPUTED_VALUE"""),"Uncle Sams Cider (04/04/2023)")</f>
        <v>Uncle Sams Cider (04/04/2023)</v>
      </c>
      <c r="H8434" s="19"/>
    </row>
    <row r="8435">
      <c r="A8435" s="9"/>
      <c r="B8435" s="15"/>
      <c r="C8435" s="9">
        <f>IFERROR(__xludf.DUMMYFUNCTION("""COMPUTED_VALUE"""),45055.7651749189)</f>
        <v>45055.76517</v>
      </c>
      <c r="D8435" s="15">
        <f>IFERROR(__xludf.DUMMYFUNCTION("""COMPUTED_VALUE"""),1.019)</f>
        <v>1.019</v>
      </c>
      <c r="E8435" s="16">
        <f>IFERROR(__xludf.DUMMYFUNCTION("""COMPUTED_VALUE"""),64.0)</f>
        <v>64</v>
      </c>
      <c r="F8435" s="19" t="str">
        <f>IFERROR(__xludf.DUMMYFUNCTION("""COMPUTED_VALUE"""),"BLACK")</f>
        <v>BLACK</v>
      </c>
      <c r="G8435" s="20" t="str">
        <f>IFERROR(__xludf.DUMMYFUNCTION("""COMPUTED_VALUE"""),"Uncle Sams Cider (04/04/2023)")</f>
        <v>Uncle Sams Cider (04/04/2023)</v>
      </c>
      <c r="H8435" s="19"/>
    </row>
    <row r="8436">
      <c r="A8436" s="9"/>
      <c r="B8436" s="15"/>
      <c r="C8436" s="9">
        <f>IFERROR(__xludf.DUMMYFUNCTION("""COMPUTED_VALUE"""),45055.7547087268)</f>
        <v>45055.75471</v>
      </c>
      <c r="D8436" s="15">
        <f>IFERROR(__xludf.DUMMYFUNCTION("""COMPUTED_VALUE"""),1.019)</f>
        <v>1.019</v>
      </c>
      <c r="E8436" s="16">
        <f>IFERROR(__xludf.DUMMYFUNCTION("""COMPUTED_VALUE"""),64.0)</f>
        <v>64</v>
      </c>
      <c r="F8436" s="19" t="str">
        <f>IFERROR(__xludf.DUMMYFUNCTION("""COMPUTED_VALUE"""),"BLACK")</f>
        <v>BLACK</v>
      </c>
      <c r="G8436" s="20" t="str">
        <f>IFERROR(__xludf.DUMMYFUNCTION("""COMPUTED_VALUE"""),"Uncle Sams Cider (04/04/2023)")</f>
        <v>Uncle Sams Cider (04/04/2023)</v>
      </c>
      <c r="H8436" s="19"/>
    </row>
    <row r="8437">
      <c r="A8437" s="9"/>
      <c r="B8437" s="15"/>
      <c r="C8437" s="9">
        <f>IFERROR(__xludf.DUMMYFUNCTION("""COMPUTED_VALUE"""),45055.7442743287)</f>
        <v>45055.74427</v>
      </c>
      <c r="D8437" s="15">
        <f>IFERROR(__xludf.DUMMYFUNCTION("""COMPUTED_VALUE"""),1.019)</f>
        <v>1.019</v>
      </c>
      <c r="E8437" s="16">
        <f>IFERROR(__xludf.DUMMYFUNCTION("""COMPUTED_VALUE"""),64.0)</f>
        <v>64</v>
      </c>
      <c r="F8437" s="19" t="str">
        <f>IFERROR(__xludf.DUMMYFUNCTION("""COMPUTED_VALUE"""),"BLACK")</f>
        <v>BLACK</v>
      </c>
      <c r="G8437" s="20" t="str">
        <f>IFERROR(__xludf.DUMMYFUNCTION("""COMPUTED_VALUE"""),"Uncle Sams Cider (04/04/2023)")</f>
        <v>Uncle Sams Cider (04/04/2023)</v>
      </c>
      <c r="H8437" s="19"/>
    </row>
    <row r="8438">
      <c r="A8438" s="9"/>
      <c r="B8438" s="15"/>
      <c r="C8438" s="9">
        <f>IFERROR(__xludf.DUMMYFUNCTION("""COMPUTED_VALUE"""),45055.7338428009)</f>
        <v>45055.73384</v>
      </c>
      <c r="D8438" s="15">
        <f>IFERROR(__xludf.DUMMYFUNCTION("""COMPUTED_VALUE"""),1.019)</f>
        <v>1.019</v>
      </c>
      <c r="E8438" s="16">
        <f>IFERROR(__xludf.DUMMYFUNCTION("""COMPUTED_VALUE"""),64.0)</f>
        <v>64</v>
      </c>
      <c r="F8438" s="19" t="str">
        <f>IFERROR(__xludf.DUMMYFUNCTION("""COMPUTED_VALUE"""),"BLACK")</f>
        <v>BLACK</v>
      </c>
      <c r="G8438" s="20" t="str">
        <f>IFERROR(__xludf.DUMMYFUNCTION("""COMPUTED_VALUE"""),"Uncle Sams Cider (04/04/2023)")</f>
        <v>Uncle Sams Cider (04/04/2023)</v>
      </c>
      <c r="H8438" s="19"/>
    </row>
    <row r="8439">
      <c r="A8439" s="9"/>
      <c r="B8439" s="15"/>
      <c r="C8439" s="9">
        <f>IFERROR(__xludf.DUMMYFUNCTION("""COMPUTED_VALUE"""),45055.7234229166)</f>
        <v>45055.72342</v>
      </c>
      <c r="D8439" s="15">
        <f>IFERROR(__xludf.DUMMYFUNCTION("""COMPUTED_VALUE"""),1.019)</f>
        <v>1.019</v>
      </c>
      <c r="E8439" s="16">
        <f>IFERROR(__xludf.DUMMYFUNCTION("""COMPUTED_VALUE"""),64.0)</f>
        <v>64</v>
      </c>
      <c r="F8439" s="19" t="str">
        <f>IFERROR(__xludf.DUMMYFUNCTION("""COMPUTED_VALUE"""),"BLACK")</f>
        <v>BLACK</v>
      </c>
      <c r="G8439" s="20" t="str">
        <f>IFERROR(__xludf.DUMMYFUNCTION("""COMPUTED_VALUE"""),"Uncle Sams Cider (04/04/2023)")</f>
        <v>Uncle Sams Cider (04/04/2023)</v>
      </c>
      <c r="H8439" s="19"/>
    </row>
    <row r="8440">
      <c r="A8440" s="9"/>
      <c r="B8440" s="15"/>
      <c r="C8440" s="9">
        <f>IFERROR(__xludf.DUMMYFUNCTION("""COMPUTED_VALUE"""),45055.7130004861)</f>
        <v>45055.713</v>
      </c>
      <c r="D8440" s="15">
        <f>IFERROR(__xludf.DUMMYFUNCTION("""COMPUTED_VALUE"""),1.019)</f>
        <v>1.019</v>
      </c>
      <c r="E8440" s="16">
        <f>IFERROR(__xludf.DUMMYFUNCTION("""COMPUTED_VALUE"""),64.0)</f>
        <v>64</v>
      </c>
      <c r="F8440" s="19" t="str">
        <f>IFERROR(__xludf.DUMMYFUNCTION("""COMPUTED_VALUE"""),"BLACK")</f>
        <v>BLACK</v>
      </c>
      <c r="G8440" s="20" t="str">
        <f>IFERROR(__xludf.DUMMYFUNCTION("""COMPUTED_VALUE"""),"Uncle Sams Cider (04/04/2023)")</f>
        <v>Uncle Sams Cider (04/04/2023)</v>
      </c>
      <c r="H8440" s="19"/>
    </row>
    <row r="8441">
      <c r="A8441" s="9"/>
      <c r="B8441" s="15"/>
      <c r="C8441" s="9">
        <f>IFERROR(__xludf.DUMMYFUNCTION("""COMPUTED_VALUE"""),45055.7025786574)</f>
        <v>45055.70258</v>
      </c>
      <c r="D8441" s="15">
        <f>IFERROR(__xludf.DUMMYFUNCTION("""COMPUTED_VALUE"""),1.019)</f>
        <v>1.019</v>
      </c>
      <c r="E8441" s="16">
        <f>IFERROR(__xludf.DUMMYFUNCTION("""COMPUTED_VALUE"""),64.0)</f>
        <v>64</v>
      </c>
      <c r="F8441" s="19" t="str">
        <f>IFERROR(__xludf.DUMMYFUNCTION("""COMPUTED_VALUE"""),"BLACK")</f>
        <v>BLACK</v>
      </c>
      <c r="G8441" s="20" t="str">
        <f>IFERROR(__xludf.DUMMYFUNCTION("""COMPUTED_VALUE"""),"Uncle Sams Cider (04/04/2023)")</f>
        <v>Uncle Sams Cider (04/04/2023)</v>
      </c>
      <c r="H8441" s="19"/>
    </row>
    <row r="8442">
      <c r="A8442" s="9"/>
      <c r="B8442" s="15"/>
      <c r="C8442" s="9">
        <f>IFERROR(__xludf.DUMMYFUNCTION("""COMPUTED_VALUE"""),45055.6921459375)</f>
        <v>45055.69215</v>
      </c>
      <c r="D8442" s="15">
        <f>IFERROR(__xludf.DUMMYFUNCTION("""COMPUTED_VALUE"""),1.019)</f>
        <v>1.019</v>
      </c>
      <c r="E8442" s="16">
        <f>IFERROR(__xludf.DUMMYFUNCTION("""COMPUTED_VALUE"""),64.0)</f>
        <v>64</v>
      </c>
      <c r="F8442" s="19" t="str">
        <f>IFERROR(__xludf.DUMMYFUNCTION("""COMPUTED_VALUE"""),"BLACK")</f>
        <v>BLACK</v>
      </c>
      <c r="G8442" s="20" t="str">
        <f>IFERROR(__xludf.DUMMYFUNCTION("""COMPUTED_VALUE"""),"Uncle Sams Cider (04/04/2023)")</f>
        <v>Uncle Sams Cider (04/04/2023)</v>
      </c>
      <c r="H8442" s="19"/>
    </row>
    <row r="8443">
      <c r="A8443" s="9"/>
      <c r="B8443" s="15"/>
      <c r="C8443" s="9">
        <f>IFERROR(__xludf.DUMMYFUNCTION("""COMPUTED_VALUE"""),45055.6817128009)</f>
        <v>45055.68171</v>
      </c>
      <c r="D8443" s="15">
        <f>IFERROR(__xludf.DUMMYFUNCTION("""COMPUTED_VALUE"""),1.019)</f>
        <v>1.019</v>
      </c>
      <c r="E8443" s="16">
        <f>IFERROR(__xludf.DUMMYFUNCTION("""COMPUTED_VALUE"""),64.0)</f>
        <v>64</v>
      </c>
      <c r="F8443" s="19" t="str">
        <f>IFERROR(__xludf.DUMMYFUNCTION("""COMPUTED_VALUE"""),"BLACK")</f>
        <v>BLACK</v>
      </c>
      <c r="G8443" s="20" t="str">
        <f>IFERROR(__xludf.DUMMYFUNCTION("""COMPUTED_VALUE"""),"Uncle Sams Cider (04/04/2023)")</f>
        <v>Uncle Sams Cider (04/04/2023)</v>
      </c>
      <c r="H8443" s="19"/>
    </row>
    <row r="8444">
      <c r="A8444" s="9"/>
      <c r="B8444" s="15"/>
      <c r="C8444" s="9">
        <f>IFERROR(__xludf.DUMMYFUNCTION("""COMPUTED_VALUE"""),45055.6712789699)</f>
        <v>45055.67128</v>
      </c>
      <c r="D8444" s="15">
        <f>IFERROR(__xludf.DUMMYFUNCTION("""COMPUTED_VALUE"""),1.019)</f>
        <v>1.019</v>
      </c>
      <c r="E8444" s="16">
        <f>IFERROR(__xludf.DUMMYFUNCTION("""COMPUTED_VALUE"""),64.0)</f>
        <v>64</v>
      </c>
      <c r="F8444" s="19" t="str">
        <f>IFERROR(__xludf.DUMMYFUNCTION("""COMPUTED_VALUE"""),"BLACK")</f>
        <v>BLACK</v>
      </c>
      <c r="G8444" s="20" t="str">
        <f>IFERROR(__xludf.DUMMYFUNCTION("""COMPUTED_VALUE"""),"Uncle Sams Cider (04/04/2023)")</f>
        <v>Uncle Sams Cider (04/04/2023)</v>
      </c>
      <c r="H8444" s="19"/>
    </row>
    <row r="8445">
      <c r="A8445" s="9"/>
      <c r="B8445" s="15"/>
      <c r="C8445" s="9">
        <f>IFERROR(__xludf.DUMMYFUNCTION("""COMPUTED_VALUE"""),45055.6608579629)</f>
        <v>45055.66086</v>
      </c>
      <c r="D8445" s="15">
        <f>IFERROR(__xludf.DUMMYFUNCTION("""COMPUTED_VALUE"""),1.019)</f>
        <v>1.019</v>
      </c>
      <c r="E8445" s="16">
        <f>IFERROR(__xludf.DUMMYFUNCTION("""COMPUTED_VALUE"""),64.0)</f>
        <v>64</v>
      </c>
      <c r="F8445" s="19" t="str">
        <f>IFERROR(__xludf.DUMMYFUNCTION("""COMPUTED_VALUE"""),"BLACK")</f>
        <v>BLACK</v>
      </c>
      <c r="G8445" s="20" t="str">
        <f>IFERROR(__xludf.DUMMYFUNCTION("""COMPUTED_VALUE"""),"Uncle Sams Cider (04/04/2023)")</f>
        <v>Uncle Sams Cider (04/04/2023)</v>
      </c>
      <c r="H8445" s="19"/>
    </row>
    <row r="8446">
      <c r="A8446" s="9"/>
      <c r="B8446" s="15"/>
      <c r="C8446" s="9">
        <f>IFERROR(__xludf.DUMMYFUNCTION("""COMPUTED_VALUE"""),45055.6504377662)</f>
        <v>45055.65044</v>
      </c>
      <c r="D8446" s="15">
        <f>IFERROR(__xludf.DUMMYFUNCTION("""COMPUTED_VALUE"""),1.019)</f>
        <v>1.019</v>
      </c>
      <c r="E8446" s="16">
        <f>IFERROR(__xludf.DUMMYFUNCTION("""COMPUTED_VALUE"""),64.0)</f>
        <v>64</v>
      </c>
      <c r="F8446" s="19" t="str">
        <f>IFERROR(__xludf.DUMMYFUNCTION("""COMPUTED_VALUE"""),"BLACK")</f>
        <v>BLACK</v>
      </c>
      <c r="G8446" s="20" t="str">
        <f>IFERROR(__xludf.DUMMYFUNCTION("""COMPUTED_VALUE"""),"Uncle Sams Cider (04/04/2023)")</f>
        <v>Uncle Sams Cider (04/04/2023)</v>
      </c>
      <c r="H8446" s="19"/>
    </row>
    <row r="8447">
      <c r="A8447" s="9"/>
      <c r="B8447" s="15"/>
      <c r="C8447" s="9">
        <f>IFERROR(__xludf.DUMMYFUNCTION("""COMPUTED_VALUE"""),45055.6400070486)</f>
        <v>45055.64001</v>
      </c>
      <c r="D8447" s="15">
        <f>IFERROR(__xludf.DUMMYFUNCTION("""COMPUTED_VALUE"""),1.019)</f>
        <v>1.019</v>
      </c>
      <c r="E8447" s="16">
        <f>IFERROR(__xludf.DUMMYFUNCTION("""COMPUTED_VALUE"""),64.0)</f>
        <v>64</v>
      </c>
      <c r="F8447" s="19" t="str">
        <f>IFERROR(__xludf.DUMMYFUNCTION("""COMPUTED_VALUE"""),"BLACK")</f>
        <v>BLACK</v>
      </c>
      <c r="G8447" s="20" t="str">
        <f>IFERROR(__xludf.DUMMYFUNCTION("""COMPUTED_VALUE"""),"Uncle Sams Cider (04/04/2023)")</f>
        <v>Uncle Sams Cider (04/04/2023)</v>
      </c>
      <c r="H8447" s="19"/>
    </row>
    <row r="8448">
      <c r="A8448" s="9"/>
      <c r="B8448" s="15"/>
      <c r="C8448" s="9">
        <f>IFERROR(__xludf.DUMMYFUNCTION("""COMPUTED_VALUE"""),45055.6191509259)</f>
        <v>45055.61915</v>
      </c>
      <c r="D8448" s="15">
        <f>IFERROR(__xludf.DUMMYFUNCTION("""COMPUTED_VALUE"""),1.019)</f>
        <v>1.019</v>
      </c>
      <c r="E8448" s="16">
        <f>IFERROR(__xludf.DUMMYFUNCTION("""COMPUTED_VALUE"""),64.0)</f>
        <v>64</v>
      </c>
      <c r="F8448" s="19" t="str">
        <f>IFERROR(__xludf.DUMMYFUNCTION("""COMPUTED_VALUE"""),"BLACK")</f>
        <v>BLACK</v>
      </c>
      <c r="G8448" s="20" t="str">
        <f>IFERROR(__xludf.DUMMYFUNCTION("""COMPUTED_VALUE"""),"Uncle Sams Cider (04/04/2023)")</f>
        <v>Uncle Sams Cider (04/04/2023)</v>
      </c>
      <c r="H8448" s="19"/>
    </row>
    <row r="8449">
      <c r="A8449" s="9"/>
      <c r="B8449" s="15"/>
      <c r="C8449" s="9">
        <f>IFERROR(__xludf.DUMMYFUNCTION("""COMPUTED_VALUE"""),45055.6087297222)</f>
        <v>45055.60873</v>
      </c>
      <c r="D8449" s="15">
        <f>IFERROR(__xludf.DUMMYFUNCTION("""COMPUTED_VALUE"""),1.019)</f>
        <v>1.019</v>
      </c>
      <c r="E8449" s="16">
        <f>IFERROR(__xludf.DUMMYFUNCTION("""COMPUTED_VALUE"""),64.0)</f>
        <v>64</v>
      </c>
      <c r="F8449" s="19" t="str">
        <f>IFERROR(__xludf.DUMMYFUNCTION("""COMPUTED_VALUE"""),"BLACK")</f>
        <v>BLACK</v>
      </c>
      <c r="G8449" s="20" t="str">
        <f>IFERROR(__xludf.DUMMYFUNCTION("""COMPUTED_VALUE"""),"Uncle Sams Cider (04/04/2023)")</f>
        <v>Uncle Sams Cider (04/04/2023)</v>
      </c>
      <c r="H8449" s="19"/>
    </row>
    <row r="8450">
      <c r="A8450" s="9"/>
      <c r="B8450" s="15"/>
      <c r="C8450" s="9">
        <f>IFERROR(__xludf.DUMMYFUNCTION("""COMPUTED_VALUE"""),45055.5983092476)</f>
        <v>45055.59831</v>
      </c>
      <c r="D8450" s="15">
        <f>IFERROR(__xludf.DUMMYFUNCTION("""COMPUTED_VALUE"""),1.019)</f>
        <v>1.019</v>
      </c>
      <c r="E8450" s="16">
        <f>IFERROR(__xludf.DUMMYFUNCTION("""COMPUTED_VALUE"""),64.0)</f>
        <v>64</v>
      </c>
      <c r="F8450" s="19" t="str">
        <f>IFERROR(__xludf.DUMMYFUNCTION("""COMPUTED_VALUE"""),"BLACK")</f>
        <v>BLACK</v>
      </c>
      <c r="G8450" s="20" t="str">
        <f>IFERROR(__xludf.DUMMYFUNCTION("""COMPUTED_VALUE"""),"Uncle Sams Cider (04/04/2023)")</f>
        <v>Uncle Sams Cider (04/04/2023)</v>
      </c>
      <c r="H8450" s="19"/>
    </row>
    <row r="8451">
      <c r="A8451" s="9"/>
      <c r="B8451" s="15"/>
      <c r="C8451" s="9">
        <f>IFERROR(__xludf.DUMMYFUNCTION("""COMPUTED_VALUE"""),45055.5878874652)</f>
        <v>45055.58789</v>
      </c>
      <c r="D8451" s="15">
        <f>IFERROR(__xludf.DUMMYFUNCTION("""COMPUTED_VALUE"""),1.019)</f>
        <v>1.019</v>
      </c>
      <c r="E8451" s="16">
        <f>IFERROR(__xludf.DUMMYFUNCTION("""COMPUTED_VALUE"""),64.0)</f>
        <v>64</v>
      </c>
      <c r="F8451" s="19" t="str">
        <f>IFERROR(__xludf.DUMMYFUNCTION("""COMPUTED_VALUE"""),"BLACK")</f>
        <v>BLACK</v>
      </c>
      <c r="G8451" s="20" t="str">
        <f>IFERROR(__xludf.DUMMYFUNCTION("""COMPUTED_VALUE"""),"Uncle Sams Cider (04/04/2023)")</f>
        <v>Uncle Sams Cider (04/04/2023)</v>
      </c>
      <c r="H8451" s="19"/>
    </row>
    <row r="8452">
      <c r="A8452" s="9"/>
      <c r="B8452" s="15"/>
      <c r="C8452" s="9">
        <f>IFERROR(__xludf.DUMMYFUNCTION("""COMPUTED_VALUE"""),45055.5774655092)</f>
        <v>45055.57747</v>
      </c>
      <c r="D8452" s="15">
        <f>IFERROR(__xludf.DUMMYFUNCTION("""COMPUTED_VALUE"""),1.019)</f>
        <v>1.019</v>
      </c>
      <c r="E8452" s="16">
        <f>IFERROR(__xludf.DUMMYFUNCTION("""COMPUTED_VALUE"""),64.0)</f>
        <v>64</v>
      </c>
      <c r="F8452" s="19" t="str">
        <f>IFERROR(__xludf.DUMMYFUNCTION("""COMPUTED_VALUE"""),"BLACK")</f>
        <v>BLACK</v>
      </c>
      <c r="G8452" s="20" t="str">
        <f>IFERROR(__xludf.DUMMYFUNCTION("""COMPUTED_VALUE"""),"Uncle Sams Cider (04/04/2023)")</f>
        <v>Uncle Sams Cider (04/04/2023)</v>
      </c>
      <c r="H8452" s="19"/>
    </row>
    <row r="8453">
      <c r="A8453" s="9"/>
      <c r="B8453" s="15"/>
      <c r="C8453" s="9">
        <f>IFERROR(__xludf.DUMMYFUNCTION("""COMPUTED_VALUE"""),45055.5670205555)</f>
        <v>45055.56702</v>
      </c>
      <c r="D8453" s="15">
        <f>IFERROR(__xludf.DUMMYFUNCTION("""COMPUTED_VALUE"""),1.019)</f>
        <v>1.019</v>
      </c>
      <c r="E8453" s="16">
        <f>IFERROR(__xludf.DUMMYFUNCTION("""COMPUTED_VALUE"""),64.0)</f>
        <v>64</v>
      </c>
      <c r="F8453" s="19" t="str">
        <f>IFERROR(__xludf.DUMMYFUNCTION("""COMPUTED_VALUE"""),"BLACK")</f>
        <v>BLACK</v>
      </c>
      <c r="G8453" s="20" t="str">
        <f>IFERROR(__xludf.DUMMYFUNCTION("""COMPUTED_VALUE"""),"Uncle Sams Cider (04/04/2023)")</f>
        <v>Uncle Sams Cider (04/04/2023)</v>
      </c>
      <c r="H8453" s="19"/>
    </row>
    <row r="8454">
      <c r="A8454" s="9"/>
      <c r="B8454" s="15"/>
      <c r="C8454" s="9">
        <f>IFERROR(__xludf.DUMMYFUNCTION("""COMPUTED_VALUE"""),45055.5565993865)</f>
        <v>45055.5566</v>
      </c>
      <c r="D8454" s="15">
        <f>IFERROR(__xludf.DUMMYFUNCTION("""COMPUTED_VALUE"""),1.019)</f>
        <v>1.019</v>
      </c>
      <c r="E8454" s="16">
        <f>IFERROR(__xludf.DUMMYFUNCTION("""COMPUTED_VALUE"""),64.0)</f>
        <v>64</v>
      </c>
      <c r="F8454" s="19" t="str">
        <f>IFERROR(__xludf.DUMMYFUNCTION("""COMPUTED_VALUE"""),"BLACK")</f>
        <v>BLACK</v>
      </c>
      <c r="G8454" s="20" t="str">
        <f>IFERROR(__xludf.DUMMYFUNCTION("""COMPUTED_VALUE"""),"Uncle Sams Cider (04/04/2023)")</f>
        <v>Uncle Sams Cider (04/04/2023)</v>
      </c>
      <c r="H8454" s="19"/>
    </row>
    <row r="8455">
      <c r="A8455" s="9"/>
      <c r="B8455" s="15"/>
      <c r="C8455" s="9">
        <f>IFERROR(__xludf.DUMMYFUNCTION("""COMPUTED_VALUE"""),45055.5461771643)</f>
        <v>45055.54618</v>
      </c>
      <c r="D8455" s="15">
        <f>IFERROR(__xludf.DUMMYFUNCTION("""COMPUTED_VALUE"""),1.019)</f>
        <v>1.019</v>
      </c>
      <c r="E8455" s="16">
        <f>IFERROR(__xludf.DUMMYFUNCTION("""COMPUTED_VALUE"""),64.0)</f>
        <v>64</v>
      </c>
      <c r="F8455" s="19" t="str">
        <f>IFERROR(__xludf.DUMMYFUNCTION("""COMPUTED_VALUE"""),"BLACK")</f>
        <v>BLACK</v>
      </c>
      <c r="G8455" s="20" t="str">
        <f>IFERROR(__xludf.DUMMYFUNCTION("""COMPUTED_VALUE"""),"Uncle Sams Cider (04/04/2023)")</f>
        <v>Uncle Sams Cider (04/04/2023)</v>
      </c>
      <c r="H8455" s="19"/>
    </row>
    <row r="8456">
      <c r="A8456" s="9"/>
      <c r="B8456" s="15"/>
      <c r="C8456" s="9">
        <f>IFERROR(__xludf.DUMMYFUNCTION("""COMPUTED_VALUE"""),45055.5357572106)</f>
        <v>45055.53576</v>
      </c>
      <c r="D8456" s="15">
        <f>IFERROR(__xludf.DUMMYFUNCTION("""COMPUTED_VALUE"""),1.019)</f>
        <v>1.019</v>
      </c>
      <c r="E8456" s="16">
        <f>IFERROR(__xludf.DUMMYFUNCTION("""COMPUTED_VALUE"""),64.0)</f>
        <v>64</v>
      </c>
      <c r="F8456" s="19" t="str">
        <f>IFERROR(__xludf.DUMMYFUNCTION("""COMPUTED_VALUE"""),"BLACK")</f>
        <v>BLACK</v>
      </c>
      <c r="G8456" s="20" t="str">
        <f>IFERROR(__xludf.DUMMYFUNCTION("""COMPUTED_VALUE"""),"Uncle Sams Cider (04/04/2023)")</f>
        <v>Uncle Sams Cider (04/04/2023)</v>
      </c>
      <c r="H8456" s="19"/>
    </row>
    <row r="8457">
      <c r="A8457" s="9"/>
      <c r="B8457" s="15"/>
      <c r="C8457" s="9">
        <f>IFERROR(__xludf.DUMMYFUNCTION("""COMPUTED_VALUE"""),45055.5253233449)</f>
        <v>45055.52532</v>
      </c>
      <c r="D8457" s="15">
        <f>IFERROR(__xludf.DUMMYFUNCTION("""COMPUTED_VALUE"""),1.019)</f>
        <v>1.019</v>
      </c>
      <c r="E8457" s="16">
        <f>IFERROR(__xludf.DUMMYFUNCTION("""COMPUTED_VALUE"""),64.0)</f>
        <v>64</v>
      </c>
      <c r="F8457" s="19" t="str">
        <f>IFERROR(__xludf.DUMMYFUNCTION("""COMPUTED_VALUE"""),"BLACK")</f>
        <v>BLACK</v>
      </c>
      <c r="G8457" s="20" t="str">
        <f>IFERROR(__xludf.DUMMYFUNCTION("""COMPUTED_VALUE"""),"Uncle Sams Cider (04/04/2023)")</f>
        <v>Uncle Sams Cider (04/04/2023)</v>
      </c>
      <c r="H8457" s="19"/>
    </row>
    <row r="8458">
      <c r="A8458" s="9"/>
      <c r="B8458" s="15"/>
      <c r="C8458" s="9">
        <f>IFERROR(__xludf.DUMMYFUNCTION("""COMPUTED_VALUE"""),45055.5149013773)</f>
        <v>45055.5149</v>
      </c>
      <c r="D8458" s="15">
        <f>IFERROR(__xludf.DUMMYFUNCTION("""COMPUTED_VALUE"""),1.019)</f>
        <v>1.019</v>
      </c>
      <c r="E8458" s="16">
        <f>IFERROR(__xludf.DUMMYFUNCTION("""COMPUTED_VALUE"""),64.0)</f>
        <v>64</v>
      </c>
      <c r="F8458" s="19" t="str">
        <f>IFERROR(__xludf.DUMMYFUNCTION("""COMPUTED_VALUE"""),"BLACK")</f>
        <v>BLACK</v>
      </c>
      <c r="G8458" s="20" t="str">
        <f>IFERROR(__xludf.DUMMYFUNCTION("""COMPUTED_VALUE"""),"Uncle Sams Cider (04/04/2023)")</f>
        <v>Uncle Sams Cider (04/04/2023)</v>
      </c>
      <c r="H8458" s="19"/>
    </row>
    <row r="8459">
      <c r="A8459" s="9"/>
      <c r="B8459" s="15"/>
      <c r="C8459" s="9">
        <f>IFERROR(__xludf.DUMMYFUNCTION("""COMPUTED_VALUE"""),45055.504468993)</f>
        <v>45055.50447</v>
      </c>
      <c r="D8459" s="15">
        <f>IFERROR(__xludf.DUMMYFUNCTION("""COMPUTED_VALUE"""),1.019)</f>
        <v>1.019</v>
      </c>
      <c r="E8459" s="16">
        <f>IFERROR(__xludf.DUMMYFUNCTION("""COMPUTED_VALUE"""),64.0)</f>
        <v>64</v>
      </c>
      <c r="F8459" s="19" t="str">
        <f>IFERROR(__xludf.DUMMYFUNCTION("""COMPUTED_VALUE"""),"BLACK")</f>
        <v>BLACK</v>
      </c>
      <c r="G8459" s="20" t="str">
        <f>IFERROR(__xludf.DUMMYFUNCTION("""COMPUTED_VALUE"""),"Uncle Sams Cider (04/04/2023)")</f>
        <v>Uncle Sams Cider (04/04/2023)</v>
      </c>
      <c r="H8459" s="19"/>
    </row>
    <row r="8460">
      <c r="A8460" s="9"/>
      <c r="B8460" s="15"/>
      <c r="C8460" s="9">
        <f>IFERROR(__xludf.DUMMYFUNCTION("""COMPUTED_VALUE"""),45055.494048368)</f>
        <v>45055.49405</v>
      </c>
      <c r="D8460" s="15">
        <f>IFERROR(__xludf.DUMMYFUNCTION("""COMPUTED_VALUE"""),1.019)</f>
        <v>1.019</v>
      </c>
      <c r="E8460" s="16">
        <f>IFERROR(__xludf.DUMMYFUNCTION("""COMPUTED_VALUE"""),64.0)</f>
        <v>64</v>
      </c>
      <c r="F8460" s="19" t="str">
        <f>IFERROR(__xludf.DUMMYFUNCTION("""COMPUTED_VALUE"""),"BLACK")</f>
        <v>BLACK</v>
      </c>
      <c r="G8460" s="20" t="str">
        <f>IFERROR(__xludf.DUMMYFUNCTION("""COMPUTED_VALUE"""),"Uncle Sams Cider (04/04/2023)")</f>
        <v>Uncle Sams Cider (04/04/2023)</v>
      </c>
      <c r="H8460" s="19"/>
    </row>
    <row r="8461">
      <c r="A8461" s="9"/>
      <c r="B8461" s="15"/>
      <c r="C8461" s="9">
        <f>IFERROR(__xludf.DUMMYFUNCTION("""COMPUTED_VALUE"""),45055.4836141666)</f>
        <v>45055.48361</v>
      </c>
      <c r="D8461" s="15">
        <f>IFERROR(__xludf.DUMMYFUNCTION("""COMPUTED_VALUE"""),1.019)</f>
        <v>1.019</v>
      </c>
      <c r="E8461" s="16">
        <f>IFERROR(__xludf.DUMMYFUNCTION("""COMPUTED_VALUE"""),64.0)</f>
        <v>64</v>
      </c>
      <c r="F8461" s="19" t="str">
        <f>IFERROR(__xludf.DUMMYFUNCTION("""COMPUTED_VALUE"""),"BLACK")</f>
        <v>BLACK</v>
      </c>
      <c r="G8461" s="20" t="str">
        <f>IFERROR(__xludf.DUMMYFUNCTION("""COMPUTED_VALUE"""),"Uncle Sams Cider (04/04/2023)")</f>
        <v>Uncle Sams Cider (04/04/2023)</v>
      </c>
      <c r="H8461" s="19"/>
    </row>
    <row r="8462">
      <c r="A8462" s="9"/>
      <c r="B8462" s="15"/>
      <c r="C8462" s="9">
        <f>IFERROR(__xludf.DUMMYFUNCTION("""COMPUTED_VALUE"""),45055.4731949537)</f>
        <v>45055.47319</v>
      </c>
      <c r="D8462" s="15">
        <f>IFERROR(__xludf.DUMMYFUNCTION("""COMPUTED_VALUE"""),1.019)</f>
        <v>1.019</v>
      </c>
      <c r="E8462" s="16">
        <f>IFERROR(__xludf.DUMMYFUNCTION("""COMPUTED_VALUE"""),64.0)</f>
        <v>64</v>
      </c>
      <c r="F8462" s="19" t="str">
        <f>IFERROR(__xludf.DUMMYFUNCTION("""COMPUTED_VALUE"""),"BLACK")</f>
        <v>BLACK</v>
      </c>
      <c r="G8462" s="20" t="str">
        <f>IFERROR(__xludf.DUMMYFUNCTION("""COMPUTED_VALUE"""),"Uncle Sams Cider (04/04/2023)")</f>
        <v>Uncle Sams Cider (04/04/2023)</v>
      </c>
      <c r="H8462" s="19"/>
    </row>
    <row r="8463">
      <c r="A8463" s="9"/>
      <c r="B8463" s="15"/>
      <c r="C8463" s="9">
        <f>IFERROR(__xludf.DUMMYFUNCTION("""COMPUTED_VALUE"""),45055.4627757176)</f>
        <v>45055.46278</v>
      </c>
      <c r="D8463" s="15">
        <f>IFERROR(__xludf.DUMMYFUNCTION("""COMPUTED_VALUE"""),1.019)</f>
        <v>1.019</v>
      </c>
      <c r="E8463" s="16">
        <f>IFERROR(__xludf.DUMMYFUNCTION("""COMPUTED_VALUE"""),64.0)</f>
        <v>64</v>
      </c>
      <c r="F8463" s="19" t="str">
        <f>IFERROR(__xludf.DUMMYFUNCTION("""COMPUTED_VALUE"""),"BLACK")</f>
        <v>BLACK</v>
      </c>
      <c r="G8463" s="20" t="str">
        <f>IFERROR(__xludf.DUMMYFUNCTION("""COMPUTED_VALUE"""),"Uncle Sams Cider (04/04/2023)")</f>
        <v>Uncle Sams Cider (04/04/2023)</v>
      </c>
      <c r="H8463" s="19"/>
    </row>
    <row r="8464">
      <c r="A8464" s="9"/>
      <c r="B8464" s="15"/>
      <c r="C8464" s="9">
        <f>IFERROR(__xludf.DUMMYFUNCTION("""COMPUTED_VALUE"""),45055.4523410185)</f>
        <v>45055.45234</v>
      </c>
      <c r="D8464" s="15">
        <f>IFERROR(__xludf.DUMMYFUNCTION("""COMPUTED_VALUE"""),1.019)</f>
        <v>1.019</v>
      </c>
      <c r="E8464" s="16">
        <f>IFERROR(__xludf.DUMMYFUNCTION("""COMPUTED_VALUE"""),64.0)</f>
        <v>64</v>
      </c>
      <c r="F8464" s="19" t="str">
        <f>IFERROR(__xludf.DUMMYFUNCTION("""COMPUTED_VALUE"""),"BLACK")</f>
        <v>BLACK</v>
      </c>
      <c r="G8464" s="20" t="str">
        <f>IFERROR(__xludf.DUMMYFUNCTION("""COMPUTED_VALUE"""),"Uncle Sams Cider (04/04/2023)")</f>
        <v>Uncle Sams Cider (04/04/2023)</v>
      </c>
      <c r="H8464" s="19"/>
    </row>
    <row r="8465">
      <c r="A8465" s="9"/>
      <c r="B8465" s="15"/>
      <c r="C8465" s="9">
        <f>IFERROR(__xludf.DUMMYFUNCTION("""COMPUTED_VALUE"""),45055.4419075347)</f>
        <v>45055.44191</v>
      </c>
      <c r="D8465" s="15">
        <f>IFERROR(__xludf.DUMMYFUNCTION("""COMPUTED_VALUE"""),1.019)</f>
        <v>1.019</v>
      </c>
      <c r="E8465" s="16">
        <f>IFERROR(__xludf.DUMMYFUNCTION("""COMPUTED_VALUE"""),64.0)</f>
        <v>64</v>
      </c>
      <c r="F8465" s="19" t="str">
        <f>IFERROR(__xludf.DUMMYFUNCTION("""COMPUTED_VALUE"""),"BLACK")</f>
        <v>BLACK</v>
      </c>
      <c r="G8465" s="20" t="str">
        <f>IFERROR(__xludf.DUMMYFUNCTION("""COMPUTED_VALUE"""),"Uncle Sams Cider (04/04/2023)")</f>
        <v>Uncle Sams Cider (04/04/2023)</v>
      </c>
      <c r="H8465" s="19"/>
    </row>
    <row r="8466">
      <c r="A8466" s="9"/>
      <c r="B8466" s="15"/>
      <c r="C8466" s="9">
        <f>IFERROR(__xludf.DUMMYFUNCTION("""COMPUTED_VALUE"""),45055.4314862384)</f>
        <v>45055.43149</v>
      </c>
      <c r="D8466" s="15">
        <f>IFERROR(__xludf.DUMMYFUNCTION("""COMPUTED_VALUE"""),1.019)</f>
        <v>1.019</v>
      </c>
      <c r="E8466" s="16">
        <f>IFERROR(__xludf.DUMMYFUNCTION("""COMPUTED_VALUE"""),64.0)</f>
        <v>64</v>
      </c>
      <c r="F8466" s="19" t="str">
        <f>IFERROR(__xludf.DUMMYFUNCTION("""COMPUTED_VALUE"""),"BLACK")</f>
        <v>BLACK</v>
      </c>
      <c r="G8466" s="20" t="str">
        <f>IFERROR(__xludf.DUMMYFUNCTION("""COMPUTED_VALUE"""),"Uncle Sams Cider (04/04/2023)")</f>
        <v>Uncle Sams Cider (04/04/2023)</v>
      </c>
      <c r="H8466" s="19"/>
    </row>
    <row r="8467">
      <c r="A8467" s="9"/>
      <c r="B8467" s="15"/>
      <c r="C8467" s="9">
        <f>IFERROR(__xludf.DUMMYFUNCTION("""COMPUTED_VALUE"""),45055.4210673032)</f>
        <v>45055.42107</v>
      </c>
      <c r="D8467" s="15">
        <f>IFERROR(__xludf.DUMMYFUNCTION("""COMPUTED_VALUE"""),1.02)</f>
        <v>1.02</v>
      </c>
      <c r="E8467" s="16">
        <f>IFERROR(__xludf.DUMMYFUNCTION("""COMPUTED_VALUE"""),64.0)</f>
        <v>64</v>
      </c>
      <c r="F8467" s="19" t="str">
        <f>IFERROR(__xludf.DUMMYFUNCTION("""COMPUTED_VALUE"""),"BLACK")</f>
        <v>BLACK</v>
      </c>
      <c r="G8467" s="20" t="str">
        <f>IFERROR(__xludf.DUMMYFUNCTION("""COMPUTED_VALUE"""),"Uncle Sams Cider (04/04/2023)")</f>
        <v>Uncle Sams Cider (04/04/2023)</v>
      </c>
      <c r="H8467" s="19"/>
    </row>
    <row r="8468">
      <c r="A8468" s="9"/>
      <c r="B8468" s="15"/>
      <c r="C8468" s="9">
        <f>IFERROR(__xludf.DUMMYFUNCTION("""COMPUTED_VALUE"""),45055.4106452893)</f>
        <v>45055.41065</v>
      </c>
      <c r="D8468" s="15">
        <f>IFERROR(__xludf.DUMMYFUNCTION("""COMPUTED_VALUE"""),1.019)</f>
        <v>1.019</v>
      </c>
      <c r="E8468" s="16">
        <f>IFERROR(__xludf.DUMMYFUNCTION("""COMPUTED_VALUE"""),64.0)</f>
        <v>64</v>
      </c>
      <c r="F8468" s="19" t="str">
        <f>IFERROR(__xludf.DUMMYFUNCTION("""COMPUTED_VALUE"""),"BLACK")</f>
        <v>BLACK</v>
      </c>
      <c r="G8468" s="20" t="str">
        <f>IFERROR(__xludf.DUMMYFUNCTION("""COMPUTED_VALUE"""),"Uncle Sams Cider (04/04/2023)")</f>
        <v>Uncle Sams Cider (04/04/2023)</v>
      </c>
      <c r="H8468" s="19"/>
    </row>
    <row r="8469">
      <c r="A8469" s="9"/>
      <c r="B8469" s="15"/>
      <c r="C8469" s="9">
        <f>IFERROR(__xludf.DUMMYFUNCTION("""COMPUTED_VALUE"""),45055.4002120601)</f>
        <v>45055.40021</v>
      </c>
      <c r="D8469" s="15">
        <f>IFERROR(__xludf.DUMMYFUNCTION("""COMPUTED_VALUE"""),1.019)</f>
        <v>1.019</v>
      </c>
      <c r="E8469" s="16">
        <f>IFERROR(__xludf.DUMMYFUNCTION("""COMPUTED_VALUE"""),64.0)</f>
        <v>64</v>
      </c>
      <c r="F8469" s="19" t="str">
        <f>IFERROR(__xludf.DUMMYFUNCTION("""COMPUTED_VALUE"""),"BLACK")</f>
        <v>BLACK</v>
      </c>
      <c r="G8469" s="20" t="str">
        <f>IFERROR(__xludf.DUMMYFUNCTION("""COMPUTED_VALUE"""),"Uncle Sams Cider (04/04/2023)")</f>
        <v>Uncle Sams Cider (04/04/2023)</v>
      </c>
      <c r="H8469" s="19"/>
    </row>
    <row r="8470">
      <c r="A8470" s="9"/>
      <c r="B8470" s="15"/>
      <c r="C8470" s="9">
        <f>IFERROR(__xludf.DUMMYFUNCTION("""COMPUTED_VALUE"""),45055.3897893518)</f>
        <v>45055.38979</v>
      </c>
      <c r="D8470" s="15">
        <f>IFERROR(__xludf.DUMMYFUNCTION("""COMPUTED_VALUE"""),1.019)</f>
        <v>1.019</v>
      </c>
      <c r="E8470" s="16">
        <f>IFERROR(__xludf.DUMMYFUNCTION("""COMPUTED_VALUE"""),64.0)</f>
        <v>64</v>
      </c>
      <c r="F8470" s="19" t="str">
        <f>IFERROR(__xludf.DUMMYFUNCTION("""COMPUTED_VALUE"""),"BLACK")</f>
        <v>BLACK</v>
      </c>
      <c r="G8470" s="20" t="str">
        <f>IFERROR(__xludf.DUMMYFUNCTION("""COMPUTED_VALUE"""),"Uncle Sams Cider (04/04/2023)")</f>
        <v>Uncle Sams Cider (04/04/2023)</v>
      </c>
      <c r="H8470" s="19"/>
    </row>
    <row r="8471">
      <c r="A8471" s="9"/>
      <c r="B8471" s="15"/>
      <c r="C8471" s="9">
        <f>IFERROR(__xludf.DUMMYFUNCTION("""COMPUTED_VALUE"""),45055.3793677546)</f>
        <v>45055.37937</v>
      </c>
      <c r="D8471" s="15">
        <f>IFERROR(__xludf.DUMMYFUNCTION("""COMPUTED_VALUE"""),1.019)</f>
        <v>1.019</v>
      </c>
      <c r="E8471" s="16">
        <f>IFERROR(__xludf.DUMMYFUNCTION("""COMPUTED_VALUE"""),64.0)</f>
        <v>64</v>
      </c>
      <c r="F8471" s="19" t="str">
        <f>IFERROR(__xludf.DUMMYFUNCTION("""COMPUTED_VALUE"""),"BLACK")</f>
        <v>BLACK</v>
      </c>
      <c r="G8471" s="20" t="str">
        <f>IFERROR(__xludf.DUMMYFUNCTION("""COMPUTED_VALUE"""),"Uncle Sams Cider (04/04/2023)")</f>
        <v>Uncle Sams Cider (04/04/2023)</v>
      </c>
      <c r="H8471" s="19"/>
    </row>
    <row r="8472">
      <c r="A8472" s="9"/>
      <c r="B8472" s="15"/>
      <c r="C8472" s="9">
        <f>IFERROR(__xludf.DUMMYFUNCTION("""COMPUTED_VALUE"""),45055.3689469097)</f>
        <v>45055.36895</v>
      </c>
      <c r="D8472" s="15">
        <f>IFERROR(__xludf.DUMMYFUNCTION("""COMPUTED_VALUE"""),1.019)</f>
        <v>1.019</v>
      </c>
      <c r="E8472" s="16">
        <f>IFERROR(__xludf.DUMMYFUNCTION("""COMPUTED_VALUE"""),64.0)</f>
        <v>64</v>
      </c>
      <c r="F8472" s="19" t="str">
        <f>IFERROR(__xludf.DUMMYFUNCTION("""COMPUTED_VALUE"""),"BLACK")</f>
        <v>BLACK</v>
      </c>
      <c r="G8472" s="20" t="str">
        <f>IFERROR(__xludf.DUMMYFUNCTION("""COMPUTED_VALUE"""),"Uncle Sams Cider (04/04/2023)")</f>
        <v>Uncle Sams Cider (04/04/2023)</v>
      </c>
      <c r="H8472" s="19"/>
    </row>
    <row r="8473">
      <c r="A8473" s="9"/>
      <c r="B8473" s="15"/>
      <c r="C8473" s="9">
        <f>IFERROR(__xludf.DUMMYFUNCTION("""COMPUTED_VALUE"""),45055.358525405)</f>
        <v>45055.35853</v>
      </c>
      <c r="D8473" s="15">
        <f>IFERROR(__xludf.DUMMYFUNCTION("""COMPUTED_VALUE"""),1.019)</f>
        <v>1.019</v>
      </c>
      <c r="E8473" s="16">
        <f>IFERROR(__xludf.DUMMYFUNCTION("""COMPUTED_VALUE"""),64.0)</f>
        <v>64</v>
      </c>
      <c r="F8473" s="19" t="str">
        <f>IFERROR(__xludf.DUMMYFUNCTION("""COMPUTED_VALUE"""),"BLACK")</f>
        <v>BLACK</v>
      </c>
      <c r="G8473" s="20" t="str">
        <f>IFERROR(__xludf.DUMMYFUNCTION("""COMPUTED_VALUE"""),"Uncle Sams Cider (04/04/2023)")</f>
        <v>Uncle Sams Cider (04/04/2023)</v>
      </c>
      <c r="H8473" s="19"/>
    </row>
    <row r="8474">
      <c r="A8474" s="9"/>
      <c r="B8474" s="15"/>
      <c r="C8474" s="9">
        <f>IFERROR(__xludf.DUMMYFUNCTION("""COMPUTED_VALUE"""),45055.3480806018)</f>
        <v>45055.34808</v>
      </c>
      <c r="D8474" s="15">
        <f>IFERROR(__xludf.DUMMYFUNCTION("""COMPUTED_VALUE"""),1.019)</f>
        <v>1.019</v>
      </c>
      <c r="E8474" s="16">
        <f>IFERROR(__xludf.DUMMYFUNCTION("""COMPUTED_VALUE"""),64.0)</f>
        <v>64</v>
      </c>
      <c r="F8474" s="19" t="str">
        <f>IFERROR(__xludf.DUMMYFUNCTION("""COMPUTED_VALUE"""),"BLACK")</f>
        <v>BLACK</v>
      </c>
      <c r="G8474" s="20" t="str">
        <f>IFERROR(__xludf.DUMMYFUNCTION("""COMPUTED_VALUE"""),"Uncle Sams Cider (04/04/2023)")</f>
        <v>Uncle Sams Cider (04/04/2023)</v>
      </c>
      <c r="H8474" s="19"/>
    </row>
    <row r="8475">
      <c r="A8475" s="9"/>
      <c r="B8475" s="15"/>
      <c r="C8475" s="9">
        <f>IFERROR(__xludf.DUMMYFUNCTION("""COMPUTED_VALUE"""),45055.3376586226)</f>
        <v>45055.33766</v>
      </c>
      <c r="D8475" s="15">
        <f>IFERROR(__xludf.DUMMYFUNCTION("""COMPUTED_VALUE"""),1.019)</f>
        <v>1.019</v>
      </c>
      <c r="E8475" s="16">
        <f>IFERROR(__xludf.DUMMYFUNCTION("""COMPUTED_VALUE"""),64.0)</f>
        <v>64</v>
      </c>
      <c r="F8475" s="19" t="str">
        <f>IFERROR(__xludf.DUMMYFUNCTION("""COMPUTED_VALUE"""),"BLACK")</f>
        <v>BLACK</v>
      </c>
      <c r="G8475" s="20" t="str">
        <f>IFERROR(__xludf.DUMMYFUNCTION("""COMPUTED_VALUE"""),"Uncle Sams Cider (04/04/2023)")</f>
        <v>Uncle Sams Cider (04/04/2023)</v>
      </c>
      <c r="H8475" s="19"/>
    </row>
    <row r="8476">
      <c r="A8476" s="9"/>
      <c r="B8476" s="15"/>
      <c r="C8476" s="9">
        <f>IFERROR(__xludf.DUMMYFUNCTION("""COMPUTED_VALUE"""),45055.3271562615)</f>
        <v>45055.32716</v>
      </c>
      <c r="D8476" s="15">
        <f>IFERROR(__xludf.DUMMYFUNCTION("""COMPUTED_VALUE"""),1.019)</f>
        <v>1.019</v>
      </c>
      <c r="E8476" s="16">
        <f>IFERROR(__xludf.DUMMYFUNCTION("""COMPUTED_VALUE"""),64.0)</f>
        <v>64</v>
      </c>
      <c r="F8476" s="19" t="str">
        <f>IFERROR(__xludf.DUMMYFUNCTION("""COMPUTED_VALUE"""),"BLACK")</f>
        <v>BLACK</v>
      </c>
      <c r="G8476" s="20" t="str">
        <f>IFERROR(__xludf.DUMMYFUNCTION("""COMPUTED_VALUE"""),"Uncle Sams Cider (04/04/2023)")</f>
        <v>Uncle Sams Cider (04/04/2023)</v>
      </c>
      <c r="H8476" s="19"/>
    </row>
    <row r="8477">
      <c r="A8477" s="9"/>
      <c r="B8477" s="15"/>
      <c r="C8477" s="9">
        <f>IFERROR(__xludf.DUMMYFUNCTION("""COMPUTED_VALUE"""),45055.3167123495)</f>
        <v>45055.31671</v>
      </c>
      <c r="D8477" s="15">
        <f>IFERROR(__xludf.DUMMYFUNCTION("""COMPUTED_VALUE"""),1.02)</f>
        <v>1.02</v>
      </c>
      <c r="E8477" s="16">
        <f>IFERROR(__xludf.DUMMYFUNCTION("""COMPUTED_VALUE"""),64.0)</f>
        <v>64</v>
      </c>
      <c r="F8477" s="19" t="str">
        <f>IFERROR(__xludf.DUMMYFUNCTION("""COMPUTED_VALUE"""),"BLACK")</f>
        <v>BLACK</v>
      </c>
      <c r="G8477" s="20" t="str">
        <f>IFERROR(__xludf.DUMMYFUNCTION("""COMPUTED_VALUE"""),"Uncle Sams Cider (04/04/2023)")</f>
        <v>Uncle Sams Cider (04/04/2023)</v>
      </c>
      <c r="H8477" s="19"/>
    </row>
    <row r="8478">
      <c r="A8478" s="9"/>
      <c r="B8478" s="15"/>
      <c r="C8478" s="9">
        <f>IFERROR(__xludf.DUMMYFUNCTION("""COMPUTED_VALUE"""),45055.306291875)</f>
        <v>45055.30629</v>
      </c>
      <c r="D8478" s="15">
        <f>IFERROR(__xludf.DUMMYFUNCTION("""COMPUTED_VALUE"""),1.019)</f>
        <v>1.019</v>
      </c>
      <c r="E8478" s="16">
        <f>IFERROR(__xludf.DUMMYFUNCTION("""COMPUTED_VALUE"""),64.0)</f>
        <v>64</v>
      </c>
      <c r="F8478" s="19" t="str">
        <f>IFERROR(__xludf.DUMMYFUNCTION("""COMPUTED_VALUE"""),"BLACK")</f>
        <v>BLACK</v>
      </c>
      <c r="G8478" s="20" t="str">
        <f>IFERROR(__xludf.DUMMYFUNCTION("""COMPUTED_VALUE"""),"Uncle Sams Cider (04/04/2023)")</f>
        <v>Uncle Sams Cider (04/04/2023)</v>
      </c>
      <c r="H8478" s="19"/>
    </row>
    <row r="8479">
      <c r="A8479" s="9"/>
      <c r="B8479" s="15"/>
      <c r="C8479" s="9">
        <f>IFERROR(__xludf.DUMMYFUNCTION("""COMPUTED_VALUE"""),45055.2958582523)</f>
        <v>45055.29586</v>
      </c>
      <c r="D8479" s="15">
        <f>IFERROR(__xludf.DUMMYFUNCTION("""COMPUTED_VALUE"""),1.019)</f>
        <v>1.019</v>
      </c>
      <c r="E8479" s="16">
        <f>IFERROR(__xludf.DUMMYFUNCTION("""COMPUTED_VALUE"""),64.0)</f>
        <v>64</v>
      </c>
      <c r="F8479" s="19" t="str">
        <f>IFERROR(__xludf.DUMMYFUNCTION("""COMPUTED_VALUE"""),"BLACK")</f>
        <v>BLACK</v>
      </c>
      <c r="G8479" s="20" t="str">
        <f>IFERROR(__xludf.DUMMYFUNCTION("""COMPUTED_VALUE"""),"Uncle Sams Cider (04/04/2023)")</f>
        <v>Uncle Sams Cider (04/04/2023)</v>
      </c>
      <c r="H8479" s="19"/>
    </row>
    <row r="8480">
      <c r="A8480" s="9"/>
      <c r="B8480" s="15"/>
      <c r="C8480" s="9">
        <f>IFERROR(__xludf.DUMMYFUNCTION("""COMPUTED_VALUE"""),45055.285437905)</f>
        <v>45055.28544</v>
      </c>
      <c r="D8480" s="15">
        <f>IFERROR(__xludf.DUMMYFUNCTION("""COMPUTED_VALUE"""),1.02)</f>
        <v>1.02</v>
      </c>
      <c r="E8480" s="16">
        <f>IFERROR(__xludf.DUMMYFUNCTION("""COMPUTED_VALUE"""),64.0)</f>
        <v>64</v>
      </c>
      <c r="F8480" s="19" t="str">
        <f>IFERROR(__xludf.DUMMYFUNCTION("""COMPUTED_VALUE"""),"BLACK")</f>
        <v>BLACK</v>
      </c>
      <c r="G8480" s="20" t="str">
        <f>IFERROR(__xludf.DUMMYFUNCTION("""COMPUTED_VALUE"""),"Uncle Sams Cider (04/04/2023)")</f>
        <v>Uncle Sams Cider (04/04/2023)</v>
      </c>
      <c r="H8480" s="19"/>
    </row>
    <row r="8481">
      <c r="A8481" s="9"/>
      <c r="B8481" s="15"/>
      <c r="C8481" s="9">
        <f>IFERROR(__xludf.DUMMYFUNCTION("""COMPUTED_VALUE"""),45055.2750169097)</f>
        <v>45055.27502</v>
      </c>
      <c r="D8481" s="15">
        <f>IFERROR(__xludf.DUMMYFUNCTION("""COMPUTED_VALUE"""),1.019)</f>
        <v>1.019</v>
      </c>
      <c r="E8481" s="16">
        <f>IFERROR(__xludf.DUMMYFUNCTION("""COMPUTED_VALUE"""),64.0)</f>
        <v>64</v>
      </c>
      <c r="F8481" s="19" t="str">
        <f>IFERROR(__xludf.DUMMYFUNCTION("""COMPUTED_VALUE"""),"BLACK")</f>
        <v>BLACK</v>
      </c>
      <c r="G8481" s="20" t="str">
        <f>IFERROR(__xludf.DUMMYFUNCTION("""COMPUTED_VALUE"""),"Uncle Sams Cider (04/04/2023)")</f>
        <v>Uncle Sams Cider (04/04/2023)</v>
      </c>
      <c r="H8481" s="19"/>
    </row>
    <row r="8482">
      <c r="A8482" s="9"/>
      <c r="B8482" s="15"/>
      <c r="C8482" s="9">
        <f>IFERROR(__xludf.DUMMYFUNCTION("""COMPUTED_VALUE"""),45055.2645835648)</f>
        <v>45055.26458</v>
      </c>
      <c r="D8482" s="15">
        <f>IFERROR(__xludf.DUMMYFUNCTION("""COMPUTED_VALUE"""),1.019)</f>
        <v>1.019</v>
      </c>
      <c r="E8482" s="16">
        <f>IFERROR(__xludf.DUMMYFUNCTION("""COMPUTED_VALUE"""),64.0)</f>
        <v>64</v>
      </c>
      <c r="F8482" s="19" t="str">
        <f>IFERROR(__xludf.DUMMYFUNCTION("""COMPUTED_VALUE"""),"BLACK")</f>
        <v>BLACK</v>
      </c>
      <c r="G8482" s="20" t="str">
        <f>IFERROR(__xludf.DUMMYFUNCTION("""COMPUTED_VALUE"""),"Uncle Sams Cider (04/04/2023)")</f>
        <v>Uncle Sams Cider (04/04/2023)</v>
      </c>
      <c r="H8482" s="19"/>
    </row>
    <row r="8483">
      <c r="A8483" s="9"/>
      <c r="B8483" s="15"/>
      <c r="C8483" s="9">
        <f>IFERROR(__xludf.DUMMYFUNCTION("""COMPUTED_VALUE"""),45055.2541376388)</f>
        <v>45055.25414</v>
      </c>
      <c r="D8483" s="15">
        <f>IFERROR(__xludf.DUMMYFUNCTION("""COMPUTED_VALUE"""),1.019)</f>
        <v>1.019</v>
      </c>
      <c r="E8483" s="16">
        <f>IFERROR(__xludf.DUMMYFUNCTION("""COMPUTED_VALUE"""),64.0)</f>
        <v>64</v>
      </c>
      <c r="F8483" s="19" t="str">
        <f>IFERROR(__xludf.DUMMYFUNCTION("""COMPUTED_VALUE"""),"BLACK")</f>
        <v>BLACK</v>
      </c>
      <c r="G8483" s="20" t="str">
        <f>IFERROR(__xludf.DUMMYFUNCTION("""COMPUTED_VALUE"""),"Uncle Sams Cider (04/04/2023)")</f>
        <v>Uncle Sams Cider (04/04/2023)</v>
      </c>
      <c r="H8483" s="19"/>
    </row>
    <row r="8484">
      <c r="A8484" s="9"/>
      <c r="B8484" s="15"/>
      <c r="C8484" s="9">
        <f>IFERROR(__xludf.DUMMYFUNCTION("""COMPUTED_VALUE"""),45055.2437062037)</f>
        <v>45055.24371</v>
      </c>
      <c r="D8484" s="15">
        <f>IFERROR(__xludf.DUMMYFUNCTION("""COMPUTED_VALUE"""),1.019)</f>
        <v>1.019</v>
      </c>
      <c r="E8484" s="16">
        <f>IFERROR(__xludf.DUMMYFUNCTION("""COMPUTED_VALUE"""),64.0)</f>
        <v>64</v>
      </c>
      <c r="F8484" s="19" t="str">
        <f>IFERROR(__xludf.DUMMYFUNCTION("""COMPUTED_VALUE"""),"BLACK")</f>
        <v>BLACK</v>
      </c>
      <c r="G8484" s="20" t="str">
        <f>IFERROR(__xludf.DUMMYFUNCTION("""COMPUTED_VALUE"""),"Uncle Sams Cider (04/04/2023)")</f>
        <v>Uncle Sams Cider (04/04/2023)</v>
      </c>
      <c r="H8484" s="19"/>
    </row>
    <row r="8485">
      <c r="A8485" s="9"/>
      <c r="B8485" s="15"/>
      <c r="C8485" s="9">
        <f>IFERROR(__xludf.DUMMYFUNCTION("""COMPUTED_VALUE"""),45055.2332850347)</f>
        <v>45055.23329</v>
      </c>
      <c r="D8485" s="15">
        <f>IFERROR(__xludf.DUMMYFUNCTION("""COMPUTED_VALUE"""),1.019)</f>
        <v>1.019</v>
      </c>
      <c r="E8485" s="16">
        <f>IFERROR(__xludf.DUMMYFUNCTION("""COMPUTED_VALUE"""),64.0)</f>
        <v>64</v>
      </c>
      <c r="F8485" s="19" t="str">
        <f>IFERROR(__xludf.DUMMYFUNCTION("""COMPUTED_VALUE"""),"BLACK")</f>
        <v>BLACK</v>
      </c>
      <c r="G8485" s="20" t="str">
        <f>IFERROR(__xludf.DUMMYFUNCTION("""COMPUTED_VALUE"""),"Uncle Sams Cider (04/04/2023)")</f>
        <v>Uncle Sams Cider (04/04/2023)</v>
      </c>
      <c r="H8485" s="19"/>
    </row>
    <row r="8486">
      <c r="A8486" s="9"/>
      <c r="B8486" s="15"/>
      <c r="C8486" s="9">
        <f>IFERROR(__xludf.DUMMYFUNCTION("""COMPUTED_VALUE"""),45055.2228652662)</f>
        <v>45055.22287</v>
      </c>
      <c r="D8486" s="15">
        <f>IFERROR(__xludf.DUMMYFUNCTION("""COMPUTED_VALUE"""),1.019)</f>
        <v>1.019</v>
      </c>
      <c r="E8486" s="16">
        <f>IFERROR(__xludf.DUMMYFUNCTION("""COMPUTED_VALUE"""),64.0)</f>
        <v>64</v>
      </c>
      <c r="F8486" s="19" t="str">
        <f>IFERROR(__xludf.DUMMYFUNCTION("""COMPUTED_VALUE"""),"BLACK")</f>
        <v>BLACK</v>
      </c>
      <c r="G8486" s="20" t="str">
        <f>IFERROR(__xludf.DUMMYFUNCTION("""COMPUTED_VALUE"""),"Uncle Sams Cider (04/04/2023)")</f>
        <v>Uncle Sams Cider (04/04/2023)</v>
      </c>
      <c r="H8486" s="19"/>
    </row>
    <row r="8487">
      <c r="A8487" s="9"/>
      <c r="B8487" s="15"/>
      <c r="C8487" s="9">
        <f>IFERROR(__xludf.DUMMYFUNCTION("""COMPUTED_VALUE"""),45055.2124434143)</f>
        <v>45055.21244</v>
      </c>
      <c r="D8487" s="15">
        <f>IFERROR(__xludf.DUMMYFUNCTION("""COMPUTED_VALUE"""),1.02)</f>
        <v>1.02</v>
      </c>
      <c r="E8487" s="16">
        <f>IFERROR(__xludf.DUMMYFUNCTION("""COMPUTED_VALUE"""),64.0)</f>
        <v>64</v>
      </c>
      <c r="F8487" s="19" t="str">
        <f>IFERROR(__xludf.DUMMYFUNCTION("""COMPUTED_VALUE"""),"BLACK")</f>
        <v>BLACK</v>
      </c>
      <c r="G8487" s="20" t="str">
        <f>IFERROR(__xludf.DUMMYFUNCTION("""COMPUTED_VALUE"""),"Uncle Sams Cider (04/04/2023)")</f>
        <v>Uncle Sams Cider (04/04/2023)</v>
      </c>
      <c r="H8487" s="19"/>
    </row>
    <row r="8488">
      <c r="A8488" s="9"/>
      <c r="B8488" s="15"/>
      <c r="C8488" s="9">
        <f>IFERROR(__xludf.DUMMYFUNCTION("""COMPUTED_VALUE"""),45055.2020216435)</f>
        <v>45055.20202</v>
      </c>
      <c r="D8488" s="15">
        <f>IFERROR(__xludf.DUMMYFUNCTION("""COMPUTED_VALUE"""),1.019)</f>
        <v>1.019</v>
      </c>
      <c r="E8488" s="16">
        <f>IFERROR(__xludf.DUMMYFUNCTION("""COMPUTED_VALUE"""),64.0)</f>
        <v>64</v>
      </c>
      <c r="F8488" s="19" t="str">
        <f>IFERROR(__xludf.DUMMYFUNCTION("""COMPUTED_VALUE"""),"BLACK")</f>
        <v>BLACK</v>
      </c>
      <c r="G8488" s="20" t="str">
        <f>IFERROR(__xludf.DUMMYFUNCTION("""COMPUTED_VALUE"""),"Uncle Sams Cider (04/04/2023)")</f>
        <v>Uncle Sams Cider (04/04/2023)</v>
      </c>
      <c r="H8488" s="19"/>
    </row>
    <row r="8489">
      <c r="A8489" s="9"/>
      <c r="B8489" s="15"/>
      <c r="C8489" s="9">
        <f>IFERROR(__xludf.DUMMYFUNCTION("""COMPUTED_VALUE"""),45055.1915900115)</f>
        <v>45055.19159</v>
      </c>
      <c r="D8489" s="15">
        <f>IFERROR(__xludf.DUMMYFUNCTION("""COMPUTED_VALUE"""),1.02)</f>
        <v>1.02</v>
      </c>
      <c r="E8489" s="16">
        <f>IFERROR(__xludf.DUMMYFUNCTION("""COMPUTED_VALUE"""),64.0)</f>
        <v>64</v>
      </c>
      <c r="F8489" s="19" t="str">
        <f>IFERROR(__xludf.DUMMYFUNCTION("""COMPUTED_VALUE"""),"BLACK")</f>
        <v>BLACK</v>
      </c>
      <c r="G8489" s="20" t="str">
        <f>IFERROR(__xludf.DUMMYFUNCTION("""COMPUTED_VALUE"""),"Uncle Sams Cider (04/04/2023)")</f>
        <v>Uncle Sams Cider (04/04/2023)</v>
      </c>
      <c r="H8489" s="19"/>
    </row>
    <row r="8490">
      <c r="A8490" s="9"/>
      <c r="B8490" s="15"/>
      <c r="C8490" s="9">
        <f>IFERROR(__xludf.DUMMYFUNCTION("""COMPUTED_VALUE"""),45055.1811683333)</f>
        <v>45055.18117</v>
      </c>
      <c r="D8490" s="15">
        <f>IFERROR(__xludf.DUMMYFUNCTION("""COMPUTED_VALUE"""),1.019)</f>
        <v>1.019</v>
      </c>
      <c r="E8490" s="16">
        <f>IFERROR(__xludf.DUMMYFUNCTION("""COMPUTED_VALUE"""),64.0)</f>
        <v>64</v>
      </c>
      <c r="F8490" s="19" t="str">
        <f>IFERROR(__xludf.DUMMYFUNCTION("""COMPUTED_VALUE"""),"BLACK")</f>
        <v>BLACK</v>
      </c>
      <c r="G8490" s="20" t="str">
        <f>IFERROR(__xludf.DUMMYFUNCTION("""COMPUTED_VALUE"""),"Uncle Sams Cider (04/04/2023)")</f>
        <v>Uncle Sams Cider (04/04/2023)</v>
      </c>
      <c r="H8490" s="19"/>
    </row>
    <row r="8491">
      <c r="A8491" s="9"/>
      <c r="B8491" s="15"/>
      <c r="C8491" s="9">
        <f>IFERROR(__xludf.DUMMYFUNCTION("""COMPUTED_VALUE"""),45055.1707464699)</f>
        <v>45055.17075</v>
      </c>
      <c r="D8491" s="15">
        <f>IFERROR(__xludf.DUMMYFUNCTION("""COMPUTED_VALUE"""),1.019)</f>
        <v>1.019</v>
      </c>
      <c r="E8491" s="16">
        <f>IFERROR(__xludf.DUMMYFUNCTION("""COMPUTED_VALUE"""),64.0)</f>
        <v>64</v>
      </c>
      <c r="F8491" s="19" t="str">
        <f>IFERROR(__xludf.DUMMYFUNCTION("""COMPUTED_VALUE"""),"BLACK")</f>
        <v>BLACK</v>
      </c>
      <c r="G8491" s="20" t="str">
        <f>IFERROR(__xludf.DUMMYFUNCTION("""COMPUTED_VALUE"""),"Uncle Sams Cider (04/04/2023)")</f>
        <v>Uncle Sams Cider (04/04/2023)</v>
      </c>
      <c r="H8491" s="19"/>
    </row>
    <row r="8492">
      <c r="A8492" s="9"/>
      <c r="B8492" s="15"/>
      <c r="C8492" s="9">
        <f>IFERROR(__xludf.DUMMYFUNCTION("""COMPUTED_VALUE"""),45055.1603154745)</f>
        <v>45055.16032</v>
      </c>
      <c r="D8492" s="15">
        <f>IFERROR(__xludf.DUMMYFUNCTION("""COMPUTED_VALUE"""),1.02)</f>
        <v>1.02</v>
      </c>
      <c r="E8492" s="16">
        <f>IFERROR(__xludf.DUMMYFUNCTION("""COMPUTED_VALUE"""),64.0)</f>
        <v>64</v>
      </c>
      <c r="F8492" s="19" t="str">
        <f>IFERROR(__xludf.DUMMYFUNCTION("""COMPUTED_VALUE"""),"BLACK")</f>
        <v>BLACK</v>
      </c>
      <c r="G8492" s="20" t="str">
        <f>IFERROR(__xludf.DUMMYFUNCTION("""COMPUTED_VALUE"""),"Uncle Sams Cider (04/04/2023)")</f>
        <v>Uncle Sams Cider (04/04/2023)</v>
      </c>
      <c r="H8492" s="19"/>
    </row>
    <row r="8493">
      <c r="A8493" s="9"/>
      <c r="B8493" s="15"/>
      <c r="C8493" s="9">
        <f>IFERROR(__xludf.DUMMYFUNCTION("""COMPUTED_VALUE"""),45055.149893449)</f>
        <v>45055.14989</v>
      </c>
      <c r="D8493" s="15">
        <f>IFERROR(__xludf.DUMMYFUNCTION("""COMPUTED_VALUE"""),1.019)</f>
        <v>1.019</v>
      </c>
      <c r="E8493" s="16">
        <f>IFERROR(__xludf.DUMMYFUNCTION("""COMPUTED_VALUE"""),64.0)</f>
        <v>64</v>
      </c>
      <c r="F8493" s="19" t="str">
        <f>IFERROR(__xludf.DUMMYFUNCTION("""COMPUTED_VALUE"""),"BLACK")</f>
        <v>BLACK</v>
      </c>
      <c r="G8493" s="20" t="str">
        <f>IFERROR(__xludf.DUMMYFUNCTION("""COMPUTED_VALUE"""),"Uncle Sams Cider (04/04/2023)")</f>
        <v>Uncle Sams Cider (04/04/2023)</v>
      </c>
      <c r="H8493" s="19"/>
    </row>
    <row r="8494">
      <c r="A8494" s="9"/>
      <c r="B8494" s="15"/>
      <c r="C8494" s="9">
        <f>IFERROR(__xludf.DUMMYFUNCTION("""COMPUTED_VALUE"""),45055.1394607523)</f>
        <v>45055.13946</v>
      </c>
      <c r="D8494" s="15">
        <f>IFERROR(__xludf.DUMMYFUNCTION("""COMPUTED_VALUE"""),1.02)</f>
        <v>1.02</v>
      </c>
      <c r="E8494" s="16">
        <f>IFERROR(__xludf.DUMMYFUNCTION("""COMPUTED_VALUE"""),64.0)</f>
        <v>64</v>
      </c>
      <c r="F8494" s="19" t="str">
        <f>IFERROR(__xludf.DUMMYFUNCTION("""COMPUTED_VALUE"""),"BLACK")</f>
        <v>BLACK</v>
      </c>
      <c r="G8494" s="20" t="str">
        <f>IFERROR(__xludf.DUMMYFUNCTION("""COMPUTED_VALUE"""),"Uncle Sams Cider (04/04/2023)")</f>
        <v>Uncle Sams Cider (04/04/2023)</v>
      </c>
      <c r="H8494" s="19"/>
    </row>
    <row r="8495">
      <c r="A8495" s="9"/>
      <c r="B8495" s="15"/>
      <c r="C8495" s="9">
        <f>IFERROR(__xludf.DUMMYFUNCTION("""COMPUTED_VALUE"""),45055.1289693981)</f>
        <v>45055.12897</v>
      </c>
      <c r="D8495" s="15">
        <f>IFERROR(__xludf.DUMMYFUNCTION("""COMPUTED_VALUE"""),1.02)</f>
        <v>1.02</v>
      </c>
      <c r="E8495" s="16">
        <f>IFERROR(__xludf.DUMMYFUNCTION("""COMPUTED_VALUE"""),64.0)</f>
        <v>64</v>
      </c>
      <c r="F8495" s="19" t="str">
        <f>IFERROR(__xludf.DUMMYFUNCTION("""COMPUTED_VALUE"""),"BLACK")</f>
        <v>BLACK</v>
      </c>
      <c r="G8495" s="20" t="str">
        <f>IFERROR(__xludf.DUMMYFUNCTION("""COMPUTED_VALUE"""),"Uncle Sams Cider (04/04/2023)")</f>
        <v>Uncle Sams Cider (04/04/2023)</v>
      </c>
      <c r="H8495" s="19"/>
    </row>
    <row r="8496">
      <c r="A8496" s="9"/>
      <c r="B8496" s="15"/>
      <c r="C8496" s="9">
        <f>IFERROR(__xludf.DUMMYFUNCTION("""COMPUTED_VALUE"""),45055.1185483449)</f>
        <v>45055.11855</v>
      </c>
      <c r="D8496" s="15">
        <f>IFERROR(__xludf.DUMMYFUNCTION("""COMPUTED_VALUE"""),1.02)</f>
        <v>1.02</v>
      </c>
      <c r="E8496" s="16">
        <f>IFERROR(__xludf.DUMMYFUNCTION("""COMPUTED_VALUE"""),64.0)</f>
        <v>64</v>
      </c>
      <c r="F8496" s="19" t="str">
        <f>IFERROR(__xludf.DUMMYFUNCTION("""COMPUTED_VALUE"""),"BLACK")</f>
        <v>BLACK</v>
      </c>
      <c r="G8496" s="20" t="str">
        <f>IFERROR(__xludf.DUMMYFUNCTION("""COMPUTED_VALUE"""),"Uncle Sams Cider (04/04/2023)")</f>
        <v>Uncle Sams Cider (04/04/2023)</v>
      </c>
      <c r="H8496" s="19"/>
    </row>
    <row r="8497">
      <c r="A8497" s="9"/>
      <c r="B8497" s="15"/>
      <c r="C8497" s="9">
        <f>IFERROR(__xludf.DUMMYFUNCTION("""COMPUTED_VALUE"""),45055.108115949)</f>
        <v>45055.10812</v>
      </c>
      <c r="D8497" s="15">
        <f>IFERROR(__xludf.DUMMYFUNCTION("""COMPUTED_VALUE"""),1.02)</f>
        <v>1.02</v>
      </c>
      <c r="E8497" s="16">
        <f>IFERROR(__xludf.DUMMYFUNCTION("""COMPUTED_VALUE"""),64.0)</f>
        <v>64</v>
      </c>
      <c r="F8497" s="19" t="str">
        <f>IFERROR(__xludf.DUMMYFUNCTION("""COMPUTED_VALUE"""),"BLACK")</f>
        <v>BLACK</v>
      </c>
      <c r="G8497" s="20" t="str">
        <f>IFERROR(__xludf.DUMMYFUNCTION("""COMPUTED_VALUE"""),"Uncle Sams Cider (04/04/2023)")</f>
        <v>Uncle Sams Cider (04/04/2023)</v>
      </c>
      <c r="H8497" s="19"/>
    </row>
    <row r="8498">
      <c r="A8498" s="9"/>
      <c r="B8498" s="15"/>
      <c r="C8498" s="9">
        <f>IFERROR(__xludf.DUMMYFUNCTION("""COMPUTED_VALUE"""),45055.0976720949)</f>
        <v>45055.09767</v>
      </c>
      <c r="D8498" s="15">
        <f>IFERROR(__xludf.DUMMYFUNCTION("""COMPUTED_VALUE"""),1.02)</f>
        <v>1.02</v>
      </c>
      <c r="E8498" s="16">
        <f>IFERROR(__xludf.DUMMYFUNCTION("""COMPUTED_VALUE"""),64.0)</f>
        <v>64</v>
      </c>
      <c r="F8498" s="19" t="str">
        <f>IFERROR(__xludf.DUMMYFUNCTION("""COMPUTED_VALUE"""),"BLACK")</f>
        <v>BLACK</v>
      </c>
      <c r="G8498" s="20" t="str">
        <f>IFERROR(__xludf.DUMMYFUNCTION("""COMPUTED_VALUE"""),"Uncle Sams Cider (04/04/2023)")</f>
        <v>Uncle Sams Cider (04/04/2023)</v>
      </c>
      <c r="H8498" s="19"/>
    </row>
    <row r="8499">
      <c r="A8499" s="9"/>
      <c r="B8499" s="15"/>
      <c r="C8499" s="9">
        <f>IFERROR(__xludf.DUMMYFUNCTION("""COMPUTED_VALUE"""),45055.0872508101)</f>
        <v>45055.08725</v>
      </c>
      <c r="D8499" s="15">
        <f>IFERROR(__xludf.DUMMYFUNCTION("""COMPUTED_VALUE"""),1.019)</f>
        <v>1.019</v>
      </c>
      <c r="E8499" s="16">
        <f>IFERROR(__xludf.DUMMYFUNCTION("""COMPUTED_VALUE"""),64.0)</f>
        <v>64</v>
      </c>
      <c r="F8499" s="19" t="str">
        <f>IFERROR(__xludf.DUMMYFUNCTION("""COMPUTED_VALUE"""),"BLACK")</f>
        <v>BLACK</v>
      </c>
      <c r="G8499" s="20" t="str">
        <f>IFERROR(__xludf.DUMMYFUNCTION("""COMPUTED_VALUE"""),"Uncle Sams Cider (04/04/2023)")</f>
        <v>Uncle Sams Cider (04/04/2023)</v>
      </c>
      <c r="H8499" s="19"/>
    </row>
    <row r="8500">
      <c r="A8500" s="9"/>
      <c r="B8500" s="15"/>
      <c r="C8500" s="9">
        <f>IFERROR(__xludf.DUMMYFUNCTION("""COMPUTED_VALUE"""),45055.0768062962)</f>
        <v>45055.07681</v>
      </c>
      <c r="D8500" s="15">
        <f>IFERROR(__xludf.DUMMYFUNCTION("""COMPUTED_VALUE"""),1.02)</f>
        <v>1.02</v>
      </c>
      <c r="E8500" s="16">
        <f>IFERROR(__xludf.DUMMYFUNCTION("""COMPUTED_VALUE"""),64.0)</f>
        <v>64</v>
      </c>
      <c r="F8500" s="19" t="str">
        <f>IFERROR(__xludf.DUMMYFUNCTION("""COMPUTED_VALUE"""),"BLACK")</f>
        <v>BLACK</v>
      </c>
      <c r="G8500" s="20" t="str">
        <f>IFERROR(__xludf.DUMMYFUNCTION("""COMPUTED_VALUE"""),"Uncle Sams Cider (04/04/2023)")</f>
        <v>Uncle Sams Cider (04/04/2023)</v>
      </c>
      <c r="H8500" s="19"/>
    </row>
    <row r="8501">
      <c r="A8501" s="9"/>
      <c r="B8501" s="15"/>
      <c r="C8501" s="9">
        <f>IFERROR(__xludf.DUMMYFUNCTION("""COMPUTED_VALUE"""),45055.0663860763)</f>
        <v>45055.06639</v>
      </c>
      <c r="D8501" s="15">
        <f>IFERROR(__xludf.DUMMYFUNCTION("""COMPUTED_VALUE"""),1.02)</f>
        <v>1.02</v>
      </c>
      <c r="E8501" s="16">
        <f>IFERROR(__xludf.DUMMYFUNCTION("""COMPUTED_VALUE"""),64.0)</f>
        <v>64</v>
      </c>
      <c r="F8501" s="19" t="str">
        <f>IFERROR(__xludf.DUMMYFUNCTION("""COMPUTED_VALUE"""),"BLACK")</f>
        <v>BLACK</v>
      </c>
      <c r="G8501" s="20" t="str">
        <f>IFERROR(__xludf.DUMMYFUNCTION("""COMPUTED_VALUE"""),"Uncle Sams Cider (04/04/2023)")</f>
        <v>Uncle Sams Cider (04/04/2023)</v>
      </c>
      <c r="H8501" s="19"/>
    </row>
    <row r="8502">
      <c r="A8502" s="9"/>
      <c r="B8502" s="15"/>
      <c r="C8502" s="9">
        <f>IFERROR(__xludf.DUMMYFUNCTION("""COMPUTED_VALUE"""),45055.0559645833)</f>
        <v>45055.05596</v>
      </c>
      <c r="D8502" s="15">
        <f>IFERROR(__xludf.DUMMYFUNCTION("""COMPUTED_VALUE"""),1.02)</f>
        <v>1.02</v>
      </c>
      <c r="E8502" s="16">
        <f>IFERROR(__xludf.DUMMYFUNCTION("""COMPUTED_VALUE"""),64.0)</f>
        <v>64</v>
      </c>
      <c r="F8502" s="19" t="str">
        <f>IFERROR(__xludf.DUMMYFUNCTION("""COMPUTED_VALUE"""),"BLACK")</f>
        <v>BLACK</v>
      </c>
      <c r="G8502" s="20" t="str">
        <f>IFERROR(__xludf.DUMMYFUNCTION("""COMPUTED_VALUE"""),"Uncle Sams Cider (04/04/2023)")</f>
        <v>Uncle Sams Cider (04/04/2023)</v>
      </c>
      <c r="H8502" s="19"/>
    </row>
    <row r="8503">
      <c r="A8503" s="9"/>
      <c r="B8503" s="15"/>
      <c r="C8503" s="9">
        <f>IFERROR(__xludf.DUMMYFUNCTION("""COMPUTED_VALUE"""),45055.0455416435)</f>
        <v>45055.04554</v>
      </c>
      <c r="D8503" s="15">
        <f>IFERROR(__xludf.DUMMYFUNCTION("""COMPUTED_VALUE"""),1.02)</f>
        <v>1.02</v>
      </c>
      <c r="E8503" s="16">
        <f>IFERROR(__xludf.DUMMYFUNCTION("""COMPUTED_VALUE"""),64.0)</f>
        <v>64</v>
      </c>
      <c r="F8503" s="19" t="str">
        <f>IFERROR(__xludf.DUMMYFUNCTION("""COMPUTED_VALUE"""),"BLACK")</f>
        <v>BLACK</v>
      </c>
      <c r="G8503" s="20" t="str">
        <f>IFERROR(__xludf.DUMMYFUNCTION("""COMPUTED_VALUE"""),"Uncle Sams Cider (04/04/2023)")</f>
        <v>Uncle Sams Cider (04/04/2023)</v>
      </c>
      <c r="H8503" s="19"/>
    </row>
    <row r="8504">
      <c r="A8504" s="9"/>
      <c r="B8504" s="15"/>
      <c r="C8504" s="9">
        <f>IFERROR(__xludf.DUMMYFUNCTION("""COMPUTED_VALUE"""),45055.0351216551)</f>
        <v>45055.03512</v>
      </c>
      <c r="D8504" s="15">
        <f>IFERROR(__xludf.DUMMYFUNCTION("""COMPUTED_VALUE"""),1.02)</f>
        <v>1.02</v>
      </c>
      <c r="E8504" s="16">
        <f>IFERROR(__xludf.DUMMYFUNCTION("""COMPUTED_VALUE"""),64.0)</f>
        <v>64</v>
      </c>
      <c r="F8504" s="19" t="str">
        <f>IFERROR(__xludf.DUMMYFUNCTION("""COMPUTED_VALUE"""),"BLACK")</f>
        <v>BLACK</v>
      </c>
      <c r="G8504" s="20" t="str">
        <f>IFERROR(__xludf.DUMMYFUNCTION("""COMPUTED_VALUE"""),"Uncle Sams Cider (04/04/2023)")</f>
        <v>Uncle Sams Cider (04/04/2023)</v>
      </c>
      <c r="H8504" s="19"/>
    </row>
    <row r="8505">
      <c r="A8505" s="9"/>
      <c r="B8505" s="15"/>
      <c r="C8505" s="9">
        <f>IFERROR(__xludf.DUMMYFUNCTION("""COMPUTED_VALUE"""),45055.0246661805)</f>
        <v>45055.02467</v>
      </c>
      <c r="D8505" s="15">
        <f>IFERROR(__xludf.DUMMYFUNCTION("""COMPUTED_VALUE"""),1.02)</f>
        <v>1.02</v>
      </c>
      <c r="E8505" s="16">
        <f>IFERROR(__xludf.DUMMYFUNCTION("""COMPUTED_VALUE"""),64.0)</f>
        <v>64</v>
      </c>
      <c r="F8505" s="19" t="str">
        <f>IFERROR(__xludf.DUMMYFUNCTION("""COMPUTED_VALUE"""),"BLACK")</f>
        <v>BLACK</v>
      </c>
      <c r="G8505" s="20" t="str">
        <f>IFERROR(__xludf.DUMMYFUNCTION("""COMPUTED_VALUE"""),"Uncle Sams Cider (04/04/2023)")</f>
        <v>Uncle Sams Cider (04/04/2023)</v>
      </c>
      <c r="H8505" s="19"/>
    </row>
    <row r="8506">
      <c r="A8506" s="9"/>
      <c r="B8506" s="15"/>
      <c r="C8506" s="9">
        <f>IFERROR(__xludf.DUMMYFUNCTION("""COMPUTED_VALUE"""),45055.0142322569)</f>
        <v>45055.01423</v>
      </c>
      <c r="D8506" s="15">
        <f>IFERROR(__xludf.DUMMYFUNCTION("""COMPUTED_VALUE"""),1.02)</f>
        <v>1.02</v>
      </c>
      <c r="E8506" s="16">
        <f>IFERROR(__xludf.DUMMYFUNCTION("""COMPUTED_VALUE"""),64.0)</f>
        <v>64</v>
      </c>
      <c r="F8506" s="19" t="str">
        <f>IFERROR(__xludf.DUMMYFUNCTION("""COMPUTED_VALUE"""),"BLACK")</f>
        <v>BLACK</v>
      </c>
      <c r="G8506" s="20" t="str">
        <f>IFERROR(__xludf.DUMMYFUNCTION("""COMPUTED_VALUE"""),"Uncle Sams Cider (04/04/2023)")</f>
        <v>Uncle Sams Cider (04/04/2023)</v>
      </c>
      <c r="H8506" s="19"/>
    </row>
    <row r="8507">
      <c r="A8507" s="9"/>
      <c r="B8507" s="15"/>
      <c r="C8507" s="9">
        <f>IFERROR(__xludf.DUMMYFUNCTION("""COMPUTED_VALUE"""),45055.0037990046)</f>
        <v>45055.0038</v>
      </c>
      <c r="D8507" s="15">
        <f>IFERROR(__xludf.DUMMYFUNCTION("""COMPUTED_VALUE"""),1.02)</f>
        <v>1.02</v>
      </c>
      <c r="E8507" s="16">
        <f>IFERROR(__xludf.DUMMYFUNCTION("""COMPUTED_VALUE"""),64.0)</f>
        <v>64</v>
      </c>
      <c r="F8507" s="19" t="str">
        <f>IFERROR(__xludf.DUMMYFUNCTION("""COMPUTED_VALUE"""),"BLACK")</f>
        <v>BLACK</v>
      </c>
      <c r="G8507" s="20" t="str">
        <f>IFERROR(__xludf.DUMMYFUNCTION("""COMPUTED_VALUE"""),"Uncle Sams Cider (04/04/2023)")</f>
        <v>Uncle Sams Cider (04/04/2023)</v>
      </c>
      <c r="H8507" s="19"/>
    </row>
    <row r="8508">
      <c r="A8508" s="9"/>
      <c r="B8508" s="15"/>
      <c r="C8508" s="9">
        <f>IFERROR(__xludf.DUMMYFUNCTION("""COMPUTED_VALUE"""),45054.9933798958)</f>
        <v>45054.99338</v>
      </c>
      <c r="D8508" s="15">
        <f>IFERROR(__xludf.DUMMYFUNCTION("""COMPUTED_VALUE"""),1.02)</f>
        <v>1.02</v>
      </c>
      <c r="E8508" s="16">
        <f>IFERROR(__xludf.DUMMYFUNCTION("""COMPUTED_VALUE"""),64.0)</f>
        <v>64</v>
      </c>
      <c r="F8508" s="19" t="str">
        <f>IFERROR(__xludf.DUMMYFUNCTION("""COMPUTED_VALUE"""),"BLACK")</f>
        <v>BLACK</v>
      </c>
      <c r="G8508" s="20" t="str">
        <f>IFERROR(__xludf.DUMMYFUNCTION("""COMPUTED_VALUE"""),"Uncle Sams Cider (04/04/2023)")</f>
        <v>Uncle Sams Cider (04/04/2023)</v>
      </c>
      <c r="H8508" s="19"/>
    </row>
    <row r="8509">
      <c r="A8509" s="9"/>
      <c r="B8509" s="15"/>
      <c r="C8509" s="9">
        <f>IFERROR(__xludf.DUMMYFUNCTION("""COMPUTED_VALUE"""),45054.9829580787)</f>
        <v>45054.98296</v>
      </c>
      <c r="D8509" s="15">
        <f>IFERROR(__xludf.DUMMYFUNCTION("""COMPUTED_VALUE"""),1.02)</f>
        <v>1.02</v>
      </c>
      <c r="E8509" s="16">
        <f>IFERROR(__xludf.DUMMYFUNCTION("""COMPUTED_VALUE"""),64.0)</f>
        <v>64</v>
      </c>
      <c r="F8509" s="19" t="str">
        <f>IFERROR(__xludf.DUMMYFUNCTION("""COMPUTED_VALUE"""),"BLACK")</f>
        <v>BLACK</v>
      </c>
      <c r="G8509" s="20" t="str">
        <f>IFERROR(__xludf.DUMMYFUNCTION("""COMPUTED_VALUE"""),"Uncle Sams Cider (04/04/2023)")</f>
        <v>Uncle Sams Cider (04/04/2023)</v>
      </c>
      <c r="H8509" s="19"/>
    </row>
    <row r="8510">
      <c r="A8510" s="9"/>
      <c r="B8510" s="15"/>
      <c r="C8510" s="9">
        <f>IFERROR(__xludf.DUMMYFUNCTION("""COMPUTED_VALUE"""),45054.9725371759)</f>
        <v>45054.97254</v>
      </c>
      <c r="D8510" s="15">
        <f>IFERROR(__xludf.DUMMYFUNCTION("""COMPUTED_VALUE"""),1.02)</f>
        <v>1.02</v>
      </c>
      <c r="E8510" s="16">
        <f>IFERROR(__xludf.DUMMYFUNCTION("""COMPUTED_VALUE"""),64.0)</f>
        <v>64</v>
      </c>
      <c r="F8510" s="19" t="str">
        <f>IFERROR(__xludf.DUMMYFUNCTION("""COMPUTED_VALUE"""),"BLACK")</f>
        <v>BLACK</v>
      </c>
      <c r="G8510" s="20" t="str">
        <f>IFERROR(__xludf.DUMMYFUNCTION("""COMPUTED_VALUE"""),"Uncle Sams Cider (04/04/2023)")</f>
        <v>Uncle Sams Cider (04/04/2023)</v>
      </c>
      <c r="H8510" s="19"/>
    </row>
    <row r="8511">
      <c r="A8511" s="9"/>
      <c r="B8511" s="15"/>
      <c r="C8511" s="9">
        <f>IFERROR(__xludf.DUMMYFUNCTION("""COMPUTED_VALUE"""),45054.96211603)</f>
        <v>45054.96212</v>
      </c>
      <c r="D8511" s="15">
        <f>IFERROR(__xludf.DUMMYFUNCTION("""COMPUTED_VALUE"""),1.02)</f>
        <v>1.02</v>
      </c>
      <c r="E8511" s="16">
        <f>IFERROR(__xludf.DUMMYFUNCTION("""COMPUTED_VALUE"""),64.0)</f>
        <v>64</v>
      </c>
      <c r="F8511" s="19" t="str">
        <f>IFERROR(__xludf.DUMMYFUNCTION("""COMPUTED_VALUE"""),"BLACK")</f>
        <v>BLACK</v>
      </c>
      <c r="G8511" s="20" t="str">
        <f>IFERROR(__xludf.DUMMYFUNCTION("""COMPUTED_VALUE"""),"Uncle Sams Cider (04/04/2023)")</f>
        <v>Uncle Sams Cider (04/04/2023)</v>
      </c>
      <c r="H8511" s="19"/>
    </row>
    <row r="8512">
      <c r="A8512" s="9"/>
      <c r="B8512" s="15"/>
      <c r="C8512" s="9">
        <f>IFERROR(__xludf.DUMMYFUNCTION("""COMPUTED_VALUE"""),45054.9516941203)</f>
        <v>45054.95169</v>
      </c>
      <c r="D8512" s="15">
        <f>IFERROR(__xludf.DUMMYFUNCTION("""COMPUTED_VALUE"""),1.02)</f>
        <v>1.02</v>
      </c>
      <c r="E8512" s="16">
        <f>IFERROR(__xludf.DUMMYFUNCTION("""COMPUTED_VALUE"""),64.0)</f>
        <v>64</v>
      </c>
      <c r="F8512" s="19" t="str">
        <f>IFERROR(__xludf.DUMMYFUNCTION("""COMPUTED_VALUE"""),"BLACK")</f>
        <v>BLACK</v>
      </c>
      <c r="G8512" s="20" t="str">
        <f>IFERROR(__xludf.DUMMYFUNCTION("""COMPUTED_VALUE"""),"Uncle Sams Cider (04/04/2023)")</f>
        <v>Uncle Sams Cider (04/04/2023)</v>
      </c>
      <c r="H8512" s="19"/>
    </row>
    <row r="8513">
      <c r="A8513" s="9"/>
      <c r="B8513" s="15"/>
      <c r="C8513" s="9">
        <f>IFERROR(__xludf.DUMMYFUNCTION("""COMPUTED_VALUE"""),45054.9412733796)</f>
        <v>45054.94127</v>
      </c>
      <c r="D8513" s="15">
        <f>IFERROR(__xludf.DUMMYFUNCTION("""COMPUTED_VALUE"""),1.02)</f>
        <v>1.02</v>
      </c>
      <c r="E8513" s="16">
        <f>IFERROR(__xludf.DUMMYFUNCTION("""COMPUTED_VALUE"""),64.0)</f>
        <v>64</v>
      </c>
      <c r="F8513" s="19" t="str">
        <f>IFERROR(__xludf.DUMMYFUNCTION("""COMPUTED_VALUE"""),"BLACK")</f>
        <v>BLACK</v>
      </c>
      <c r="G8513" s="20" t="str">
        <f>IFERROR(__xludf.DUMMYFUNCTION("""COMPUTED_VALUE"""),"Uncle Sams Cider (04/04/2023)")</f>
        <v>Uncle Sams Cider (04/04/2023)</v>
      </c>
      <c r="H8513" s="19"/>
    </row>
    <row r="8514">
      <c r="A8514" s="9"/>
      <c r="B8514" s="15"/>
      <c r="C8514" s="9">
        <f>IFERROR(__xludf.DUMMYFUNCTION("""COMPUTED_VALUE"""),45054.9308510763)</f>
        <v>45054.93085</v>
      </c>
      <c r="D8514" s="15">
        <f>IFERROR(__xludf.DUMMYFUNCTION("""COMPUTED_VALUE"""),1.02)</f>
        <v>1.02</v>
      </c>
      <c r="E8514" s="16">
        <f>IFERROR(__xludf.DUMMYFUNCTION("""COMPUTED_VALUE"""),64.0)</f>
        <v>64</v>
      </c>
      <c r="F8514" s="19" t="str">
        <f>IFERROR(__xludf.DUMMYFUNCTION("""COMPUTED_VALUE"""),"BLACK")</f>
        <v>BLACK</v>
      </c>
      <c r="G8514" s="20" t="str">
        <f>IFERROR(__xludf.DUMMYFUNCTION("""COMPUTED_VALUE"""),"Uncle Sams Cider (04/04/2023)")</f>
        <v>Uncle Sams Cider (04/04/2023)</v>
      </c>
      <c r="H8514" s="19"/>
    </row>
    <row r="8515">
      <c r="A8515" s="9"/>
      <c r="B8515" s="15"/>
      <c r="C8515" s="9">
        <f>IFERROR(__xludf.DUMMYFUNCTION("""COMPUTED_VALUE"""),45054.9204286574)</f>
        <v>45054.92043</v>
      </c>
      <c r="D8515" s="15">
        <f>IFERROR(__xludf.DUMMYFUNCTION("""COMPUTED_VALUE"""),1.02)</f>
        <v>1.02</v>
      </c>
      <c r="E8515" s="16">
        <f>IFERROR(__xludf.DUMMYFUNCTION("""COMPUTED_VALUE"""),64.0)</f>
        <v>64</v>
      </c>
      <c r="F8515" s="19" t="str">
        <f>IFERROR(__xludf.DUMMYFUNCTION("""COMPUTED_VALUE"""),"BLACK")</f>
        <v>BLACK</v>
      </c>
      <c r="G8515" s="20" t="str">
        <f>IFERROR(__xludf.DUMMYFUNCTION("""COMPUTED_VALUE"""),"Uncle Sams Cider (04/04/2023)")</f>
        <v>Uncle Sams Cider (04/04/2023)</v>
      </c>
      <c r="H8515" s="19"/>
    </row>
    <row r="8516">
      <c r="A8516" s="9"/>
      <c r="B8516" s="15"/>
      <c r="C8516" s="9">
        <f>IFERROR(__xludf.DUMMYFUNCTION("""COMPUTED_VALUE"""),45054.9100072916)</f>
        <v>45054.91001</v>
      </c>
      <c r="D8516" s="15">
        <f>IFERROR(__xludf.DUMMYFUNCTION("""COMPUTED_VALUE"""),1.02)</f>
        <v>1.02</v>
      </c>
      <c r="E8516" s="16">
        <f>IFERROR(__xludf.DUMMYFUNCTION("""COMPUTED_VALUE"""),64.0)</f>
        <v>64</v>
      </c>
      <c r="F8516" s="19" t="str">
        <f>IFERROR(__xludf.DUMMYFUNCTION("""COMPUTED_VALUE"""),"BLACK")</f>
        <v>BLACK</v>
      </c>
      <c r="G8516" s="20" t="str">
        <f>IFERROR(__xludf.DUMMYFUNCTION("""COMPUTED_VALUE"""),"Uncle Sams Cider (04/04/2023)")</f>
        <v>Uncle Sams Cider (04/04/2023)</v>
      </c>
      <c r="H8516" s="19"/>
    </row>
    <row r="8517">
      <c r="A8517" s="9"/>
      <c r="B8517" s="15"/>
      <c r="C8517" s="9">
        <f>IFERROR(__xludf.DUMMYFUNCTION("""COMPUTED_VALUE"""),45054.899575)</f>
        <v>45054.89958</v>
      </c>
      <c r="D8517" s="15">
        <f>IFERROR(__xludf.DUMMYFUNCTION("""COMPUTED_VALUE"""),1.02)</f>
        <v>1.02</v>
      </c>
      <c r="E8517" s="16">
        <f>IFERROR(__xludf.DUMMYFUNCTION("""COMPUTED_VALUE"""),64.0)</f>
        <v>64</v>
      </c>
      <c r="F8517" s="19" t="str">
        <f>IFERROR(__xludf.DUMMYFUNCTION("""COMPUTED_VALUE"""),"BLACK")</f>
        <v>BLACK</v>
      </c>
      <c r="G8517" s="20" t="str">
        <f>IFERROR(__xludf.DUMMYFUNCTION("""COMPUTED_VALUE"""),"Uncle Sams Cider (04/04/2023)")</f>
        <v>Uncle Sams Cider (04/04/2023)</v>
      </c>
      <c r="H8517" s="19"/>
    </row>
    <row r="8518">
      <c r="A8518" s="9"/>
      <c r="B8518" s="15"/>
      <c r="C8518" s="9">
        <f>IFERROR(__xludf.DUMMYFUNCTION("""COMPUTED_VALUE"""),45054.8891422916)</f>
        <v>45054.88914</v>
      </c>
      <c r="D8518" s="15">
        <f>IFERROR(__xludf.DUMMYFUNCTION("""COMPUTED_VALUE"""),1.02)</f>
        <v>1.02</v>
      </c>
      <c r="E8518" s="16">
        <f>IFERROR(__xludf.DUMMYFUNCTION("""COMPUTED_VALUE"""),64.0)</f>
        <v>64</v>
      </c>
      <c r="F8518" s="19" t="str">
        <f>IFERROR(__xludf.DUMMYFUNCTION("""COMPUTED_VALUE"""),"BLACK")</f>
        <v>BLACK</v>
      </c>
      <c r="G8518" s="20" t="str">
        <f>IFERROR(__xludf.DUMMYFUNCTION("""COMPUTED_VALUE"""),"Uncle Sams Cider (04/04/2023)")</f>
        <v>Uncle Sams Cider (04/04/2023)</v>
      </c>
      <c r="H8518" s="19"/>
    </row>
    <row r="8519">
      <c r="A8519" s="9"/>
      <c r="B8519" s="15"/>
      <c r="C8519" s="9">
        <f>IFERROR(__xludf.DUMMYFUNCTION("""COMPUTED_VALUE"""),45054.8787114814)</f>
        <v>45054.87871</v>
      </c>
      <c r="D8519" s="15">
        <f>IFERROR(__xludf.DUMMYFUNCTION("""COMPUTED_VALUE"""),1.02)</f>
        <v>1.02</v>
      </c>
      <c r="E8519" s="16">
        <f>IFERROR(__xludf.DUMMYFUNCTION("""COMPUTED_VALUE"""),64.0)</f>
        <v>64</v>
      </c>
      <c r="F8519" s="19" t="str">
        <f>IFERROR(__xludf.DUMMYFUNCTION("""COMPUTED_VALUE"""),"BLACK")</f>
        <v>BLACK</v>
      </c>
      <c r="G8519" s="20" t="str">
        <f>IFERROR(__xludf.DUMMYFUNCTION("""COMPUTED_VALUE"""),"Uncle Sams Cider (04/04/2023)")</f>
        <v>Uncle Sams Cider (04/04/2023)</v>
      </c>
      <c r="H8519" s="19"/>
    </row>
    <row r="8520">
      <c r="A8520" s="9"/>
      <c r="B8520" s="15"/>
      <c r="C8520" s="9">
        <f>IFERROR(__xludf.DUMMYFUNCTION("""COMPUTED_VALUE"""),45054.8682905902)</f>
        <v>45054.86829</v>
      </c>
      <c r="D8520" s="15">
        <f>IFERROR(__xludf.DUMMYFUNCTION("""COMPUTED_VALUE"""),1.02)</f>
        <v>1.02</v>
      </c>
      <c r="E8520" s="16">
        <f>IFERROR(__xludf.DUMMYFUNCTION("""COMPUTED_VALUE"""),64.0)</f>
        <v>64</v>
      </c>
      <c r="F8520" s="19" t="str">
        <f>IFERROR(__xludf.DUMMYFUNCTION("""COMPUTED_VALUE"""),"BLACK")</f>
        <v>BLACK</v>
      </c>
      <c r="G8520" s="20" t="str">
        <f>IFERROR(__xludf.DUMMYFUNCTION("""COMPUTED_VALUE"""),"Uncle Sams Cider (04/04/2023)")</f>
        <v>Uncle Sams Cider (04/04/2023)</v>
      </c>
      <c r="H8520" s="19"/>
    </row>
    <row r="8521">
      <c r="A8521" s="9"/>
      <c r="B8521" s="15"/>
      <c r="C8521" s="9">
        <f>IFERROR(__xludf.DUMMYFUNCTION("""COMPUTED_VALUE"""),45054.8578698263)</f>
        <v>45054.85787</v>
      </c>
      <c r="D8521" s="15">
        <f>IFERROR(__xludf.DUMMYFUNCTION("""COMPUTED_VALUE"""),1.02)</f>
        <v>1.02</v>
      </c>
      <c r="E8521" s="16">
        <f>IFERROR(__xludf.DUMMYFUNCTION("""COMPUTED_VALUE"""),64.0)</f>
        <v>64</v>
      </c>
      <c r="F8521" s="19" t="str">
        <f>IFERROR(__xludf.DUMMYFUNCTION("""COMPUTED_VALUE"""),"BLACK")</f>
        <v>BLACK</v>
      </c>
      <c r="G8521" s="20" t="str">
        <f>IFERROR(__xludf.DUMMYFUNCTION("""COMPUTED_VALUE"""),"Uncle Sams Cider (04/04/2023)")</f>
        <v>Uncle Sams Cider (04/04/2023)</v>
      </c>
      <c r="H8521" s="19"/>
    </row>
    <row r="8522">
      <c r="A8522" s="9"/>
      <c r="B8522" s="15"/>
      <c r="C8522" s="9">
        <f>IFERROR(__xludf.DUMMYFUNCTION("""COMPUTED_VALUE"""),45054.8474481944)</f>
        <v>45054.84745</v>
      </c>
      <c r="D8522" s="15">
        <f>IFERROR(__xludf.DUMMYFUNCTION("""COMPUTED_VALUE"""),1.02)</f>
        <v>1.02</v>
      </c>
      <c r="E8522" s="16">
        <f>IFERROR(__xludf.DUMMYFUNCTION("""COMPUTED_VALUE"""),64.0)</f>
        <v>64</v>
      </c>
      <c r="F8522" s="19" t="str">
        <f>IFERROR(__xludf.DUMMYFUNCTION("""COMPUTED_VALUE"""),"BLACK")</f>
        <v>BLACK</v>
      </c>
      <c r="G8522" s="20" t="str">
        <f>IFERROR(__xludf.DUMMYFUNCTION("""COMPUTED_VALUE"""),"Uncle Sams Cider (04/04/2023)")</f>
        <v>Uncle Sams Cider (04/04/2023)</v>
      </c>
      <c r="H8522" s="19"/>
    </row>
    <row r="8523">
      <c r="A8523" s="9"/>
      <c r="B8523" s="15"/>
      <c r="C8523" s="9">
        <f>IFERROR(__xludf.DUMMYFUNCTION("""COMPUTED_VALUE"""),45054.8370254976)</f>
        <v>45054.83703</v>
      </c>
      <c r="D8523" s="15">
        <f>IFERROR(__xludf.DUMMYFUNCTION("""COMPUTED_VALUE"""),1.02)</f>
        <v>1.02</v>
      </c>
      <c r="E8523" s="16">
        <f>IFERROR(__xludf.DUMMYFUNCTION("""COMPUTED_VALUE"""),64.0)</f>
        <v>64</v>
      </c>
      <c r="F8523" s="19" t="str">
        <f>IFERROR(__xludf.DUMMYFUNCTION("""COMPUTED_VALUE"""),"BLACK")</f>
        <v>BLACK</v>
      </c>
      <c r="G8523" s="20" t="str">
        <f>IFERROR(__xludf.DUMMYFUNCTION("""COMPUTED_VALUE"""),"Uncle Sams Cider (04/04/2023)")</f>
        <v>Uncle Sams Cider (04/04/2023)</v>
      </c>
      <c r="H8523" s="19"/>
    </row>
    <row r="8524">
      <c r="A8524" s="9"/>
      <c r="B8524" s="15"/>
      <c r="C8524" s="9">
        <f>IFERROR(__xludf.DUMMYFUNCTION("""COMPUTED_VALUE"""),45054.8266054513)</f>
        <v>45054.82661</v>
      </c>
      <c r="D8524" s="15">
        <f>IFERROR(__xludf.DUMMYFUNCTION("""COMPUTED_VALUE"""),1.02)</f>
        <v>1.02</v>
      </c>
      <c r="E8524" s="16">
        <f>IFERROR(__xludf.DUMMYFUNCTION("""COMPUTED_VALUE"""),64.0)</f>
        <v>64</v>
      </c>
      <c r="F8524" s="19" t="str">
        <f>IFERROR(__xludf.DUMMYFUNCTION("""COMPUTED_VALUE"""),"BLACK")</f>
        <v>BLACK</v>
      </c>
      <c r="G8524" s="20" t="str">
        <f>IFERROR(__xludf.DUMMYFUNCTION("""COMPUTED_VALUE"""),"Uncle Sams Cider (04/04/2023)")</f>
        <v>Uncle Sams Cider (04/04/2023)</v>
      </c>
      <c r="H8524" s="19"/>
    </row>
    <row r="8525">
      <c r="A8525" s="9"/>
      <c r="B8525" s="15"/>
      <c r="C8525" s="9">
        <f>IFERROR(__xludf.DUMMYFUNCTION("""COMPUTED_VALUE"""),45054.8161839467)</f>
        <v>45054.81618</v>
      </c>
      <c r="D8525" s="15">
        <f>IFERROR(__xludf.DUMMYFUNCTION("""COMPUTED_VALUE"""),1.02)</f>
        <v>1.02</v>
      </c>
      <c r="E8525" s="16">
        <f>IFERROR(__xludf.DUMMYFUNCTION("""COMPUTED_VALUE"""),64.0)</f>
        <v>64</v>
      </c>
      <c r="F8525" s="19" t="str">
        <f>IFERROR(__xludf.DUMMYFUNCTION("""COMPUTED_VALUE"""),"BLACK")</f>
        <v>BLACK</v>
      </c>
      <c r="G8525" s="20" t="str">
        <f>IFERROR(__xludf.DUMMYFUNCTION("""COMPUTED_VALUE"""),"Uncle Sams Cider (04/04/2023)")</f>
        <v>Uncle Sams Cider (04/04/2023)</v>
      </c>
      <c r="H8525" s="19"/>
    </row>
    <row r="8526">
      <c r="A8526" s="9"/>
      <c r="B8526" s="15"/>
      <c r="C8526" s="9">
        <f>IFERROR(__xludf.DUMMYFUNCTION("""COMPUTED_VALUE"""),45054.8057612384)</f>
        <v>45054.80576</v>
      </c>
      <c r="D8526" s="15">
        <f>IFERROR(__xludf.DUMMYFUNCTION("""COMPUTED_VALUE"""),1.02)</f>
        <v>1.02</v>
      </c>
      <c r="E8526" s="16">
        <f>IFERROR(__xludf.DUMMYFUNCTION("""COMPUTED_VALUE"""),64.0)</f>
        <v>64</v>
      </c>
      <c r="F8526" s="19" t="str">
        <f>IFERROR(__xludf.DUMMYFUNCTION("""COMPUTED_VALUE"""),"BLACK")</f>
        <v>BLACK</v>
      </c>
      <c r="G8526" s="20" t="str">
        <f>IFERROR(__xludf.DUMMYFUNCTION("""COMPUTED_VALUE"""),"Uncle Sams Cider (04/04/2023)")</f>
        <v>Uncle Sams Cider (04/04/2023)</v>
      </c>
      <c r="H8526" s="19"/>
    </row>
    <row r="8527">
      <c r="A8527" s="9"/>
      <c r="B8527" s="15"/>
      <c r="C8527" s="9">
        <f>IFERROR(__xludf.DUMMYFUNCTION("""COMPUTED_VALUE"""),45054.7953167708)</f>
        <v>45054.79532</v>
      </c>
      <c r="D8527" s="15">
        <f>IFERROR(__xludf.DUMMYFUNCTION("""COMPUTED_VALUE"""),1.02)</f>
        <v>1.02</v>
      </c>
      <c r="E8527" s="16">
        <f>IFERROR(__xludf.DUMMYFUNCTION("""COMPUTED_VALUE"""),64.0)</f>
        <v>64</v>
      </c>
      <c r="F8527" s="19" t="str">
        <f>IFERROR(__xludf.DUMMYFUNCTION("""COMPUTED_VALUE"""),"BLACK")</f>
        <v>BLACK</v>
      </c>
      <c r="G8527" s="20" t="str">
        <f>IFERROR(__xludf.DUMMYFUNCTION("""COMPUTED_VALUE"""),"Uncle Sams Cider (04/04/2023)")</f>
        <v>Uncle Sams Cider (04/04/2023)</v>
      </c>
      <c r="H8527" s="19"/>
    </row>
    <row r="8528">
      <c r="A8528" s="9"/>
      <c r="B8528" s="15"/>
      <c r="C8528" s="9">
        <f>IFERROR(__xludf.DUMMYFUNCTION("""COMPUTED_VALUE"""),45054.7848830787)</f>
        <v>45054.78488</v>
      </c>
      <c r="D8528" s="15">
        <f>IFERROR(__xludf.DUMMYFUNCTION("""COMPUTED_VALUE"""),1.02)</f>
        <v>1.02</v>
      </c>
      <c r="E8528" s="16">
        <f>IFERROR(__xludf.DUMMYFUNCTION("""COMPUTED_VALUE"""),64.0)</f>
        <v>64</v>
      </c>
      <c r="F8528" s="19" t="str">
        <f>IFERROR(__xludf.DUMMYFUNCTION("""COMPUTED_VALUE"""),"BLACK")</f>
        <v>BLACK</v>
      </c>
      <c r="G8528" s="20" t="str">
        <f>IFERROR(__xludf.DUMMYFUNCTION("""COMPUTED_VALUE"""),"Uncle Sams Cider (04/04/2023)")</f>
        <v>Uncle Sams Cider (04/04/2023)</v>
      </c>
      <c r="H8528" s="19"/>
    </row>
    <row r="8529">
      <c r="A8529" s="9"/>
      <c r="B8529" s="15"/>
      <c r="C8529" s="9">
        <f>IFERROR(__xludf.DUMMYFUNCTION("""COMPUTED_VALUE"""),45054.774450787)</f>
        <v>45054.77445</v>
      </c>
      <c r="D8529" s="15">
        <f>IFERROR(__xludf.DUMMYFUNCTION("""COMPUTED_VALUE"""),1.02)</f>
        <v>1.02</v>
      </c>
      <c r="E8529" s="16">
        <f>IFERROR(__xludf.DUMMYFUNCTION("""COMPUTED_VALUE"""),64.0)</f>
        <v>64</v>
      </c>
      <c r="F8529" s="19" t="str">
        <f>IFERROR(__xludf.DUMMYFUNCTION("""COMPUTED_VALUE"""),"BLACK")</f>
        <v>BLACK</v>
      </c>
      <c r="G8529" s="20" t="str">
        <f>IFERROR(__xludf.DUMMYFUNCTION("""COMPUTED_VALUE"""),"Uncle Sams Cider (04/04/2023)")</f>
        <v>Uncle Sams Cider (04/04/2023)</v>
      </c>
      <c r="H8529" s="19"/>
    </row>
    <row r="8530">
      <c r="A8530" s="9"/>
      <c r="B8530" s="15"/>
      <c r="C8530" s="9">
        <f>IFERROR(__xludf.DUMMYFUNCTION("""COMPUTED_VALUE"""),45054.7640298726)</f>
        <v>45054.76403</v>
      </c>
      <c r="D8530" s="15">
        <f>IFERROR(__xludf.DUMMYFUNCTION("""COMPUTED_VALUE"""),1.02)</f>
        <v>1.02</v>
      </c>
      <c r="E8530" s="16">
        <f>IFERROR(__xludf.DUMMYFUNCTION("""COMPUTED_VALUE"""),64.0)</f>
        <v>64</v>
      </c>
      <c r="F8530" s="19" t="str">
        <f>IFERROR(__xludf.DUMMYFUNCTION("""COMPUTED_VALUE"""),"BLACK")</f>
        <v>BLACK</v>
      </c>
      <c r="G8530" s="20" t="str">
        <f>IFERROR(__xludf.DUMMYFUNCTION("""COMPUTED_VALUE"""),"Uncle Sams Cider (04/04/2023)")</f>
        <v>Uncle Sams Cider (04/04/2023)</v>
      </c>
      <c r="H8530" s="19"/>
    </row>
    <row r="8531">
      <c r="A8531" s="9"/>
      <c r="B8531" s="15"/>
      <c r="C8531" s="9">
        <f>IFERROR(__xludf.DUMMYFUNCTION("""COMPUTED_VALUE"""),45054.7536089814)</f>
        <v>45054.75361</v>
      </c>
      <c r="D8531" s="15">
        <f>IFERROR(__xludf.DUMMYFUNCTION("""COMPUTED_VALUE"""),1.02)</f>
        <v>1.02</v>
      </c>
      <c r="E8531" s="16">
        <f>IFERROR(__xludf.DUMMYFUNCTION("""COMPUTED_VALUE"""),64.0)</f>
        <v>64</v>
      </c>
      <c r="F8531" s="19" t="str">
        <f>IFERROR(__xludf.DUMMYFUNCTION("""COMPUTED_VALUE"""),"BLACK")</f>
        <v>BLACK</v>
      </c>
      <c r="G8531" s="20" t="str">
        <f>IFERROR(__xludf.DUMMYFUNCTION("""COMPUTED_VALUE"""),"Uncle Sams Cider (04/04/2023)")</f>
        <v>Uncle Sams Cider (04/04/2023)</v>
      </c>
      <c r="H8531" s="19"/>
    </row>
    <row r="8532">
      <c r="A8532" s="9"/>
      <c r="B8532" s="15"/>
      <c r="C8532" s="9">
        <f>IFERROR(__xludf.DUMMYFUNCTION("""COMPUTED_VALUE"""),45054.7431876504)</f>
        <v>45054.74319</v>
      </c>
      <c r="D8532" s="15">
        <f>IFERROR(__xludf.DUMMYFUNCTION("""COMPUTED_VALUE"""),1.02)</f>
        <v>1.02</v>
      </c>
      <c r="E8532" s="16">
        <f>IFERROR(__xludf.DUMMYFUNCTION("""COMPUTED_VALUE"""),64.0)</f>
        <v>64</v>
      </c>
      <c r="F8532" s="19" t="str">
        <f>IFERROR(__xludf.DUMMYFUNCTION("""COMPUTED_VALUE"""),"BLACK")</f>
        <v>BLACK</v>
      </c>
      <c r="G8532" s="20" t="str">
        <f>IFERROR(__xludf.DUMMYFUNCTION("""COMPUTED_VALUE"""),"Uncle Sams Cider (04/04/2023)")</f>
        <v>Uncle Sams Cider (04/04/2023)</v>
      </c>
      <c r="H8532" s="19"/>
    </row>
    <row r="8533">
      <c r="A8533" s="9"/>
      <c r="B8533" s="15"/>
      <c r="C8533" s="9">
        <f>IFERROR(__xludf.DUMMYFUNCTION("""COMPUTED_VALUE"""),45054.7327672685)</f>
        <v>45054.73277</v>
      </c>
      <c r="D8533" s="15">
        <f>IFERROR(__xludf.DUMMYFUNCTION("""COMPUTED_VALUE"""),1.02)</f>
        <v>1.02</v>
      </c>
      <c r="E8533" s="16">
        <f>IFERROR(__xludf.DUMMYFUNCTION("""COMPUTED_VALUE"""),64.0)</f>
        <v>64</v>
      </c>
      <c r="F8533" s="19" t="str">
        <f>IFERROR(__xludf.DUMMYFUNCTION("""COMPUTED_VALUE"""),"BLACK")</f>
        <v>BLACK</v>
      </c>
      <c r="G8533" s="20" t="str">
        <f>IFERROR(__xludf.DUMMYFUNCTION("""COMPUTED_VALUE"""),"Uncle Sams Cider (04/04/2023)")</f>
        <v>Uncle Sams Cider (04/04/2023)</v>
      </c>
      <c r="H8533" s="19"/>
    </row>
    <row r="8534">
      <c r="A8534" s="9"/>
      <c r="B8534" s="15"/>
      <c r="C8534" s="9">
        <f>IFERROR(__xludf.DUMMYFUNCTION("""COMPUTED_VALUE"""),45054.7223468981)</f>
        <v>45054.72235</v>
      </c>
      <c r="D8534" s="15">
        <f>IFERROR(__xludf.DUMMYFUNCTION("""COMPUTED_VALUE"""),1.02)</f>
        <v>1.02</v>
      </c>
      <c r="E8534" s="16">
        <f>IFERROR(__xludf.DUMMYFUNCTION("""COMPUTED_VALUE"""),64.0)</f>
        <v>64</v>
      </c>
      <c r="F8534" s="19" t="str">
        <f>IFERROR(__xludf.DUMMYFUNCTION("""COMPUTED_VALUE"""),"BLACK")</f>
        <v>BLACK</v>
      </c>
      <c r="G8534" s="20" t="str">
        <f>IFERROR(__xludf.DUMMYFUNCTION("""COMPUTED_VALUE"""),"Uncle Sams Cider (04/04/2023)")</f>
        <v>Uncle Sams Cider (04/04/2023)</v>
      </c>
      <c r="H8534" s="19"/>
    </row>
    <row r="8535">
      <c r="A8535" s="9"/>
      <c r="B8535" s="15"/>
      <c r="C8535" s="9">
        <f>IFERROR(__xludf.DUMMYFUNCTION("""COMPUTED_VALUE"""),45054.7119267013)</f>
        <v>45054.71193</v>
      </c>
      <c r="D8535" s="15">
        <f>IFERROR(__xludf.DUMMYFUNCTION("""COMPUTED_VALUE"""),1.02)</f>
        <v>1.02</v>
      </c>
      <c r="E8535" s="16">
        <f>IFERROR(__xludf.DUMMYFUNCTION("""COMPUTED_VALUE"""),64.0)</f>
        <v>64</v>
      </c>
      <c r="F8535" s="19" t="str">
        <f>IFERROR(__xludf.DUMMYFUNCTION("""COMPUTED_VALUE"""),"BLACK")</f>
        <v>BLACK</v>
      </c>
      <c r="G8535" s="20" t="str">
        <f>IFERROR(__xludf.DUMMYFUNCTION("""COMPUTED_VALUE"""),"Uncle Sams Cider (04/04/2023)")</f>
        <v>Uncle Sams Cider (04/04/2023)</v>
      </c>
      <c r="H8535" s="19"/>
    </row>
    <row r="8536">
      <c r="A8536" s="9"/>
      <c r="B8536" s="15"/>
      <c r="C8536" s="9">
        <f>IFERROR(__xludf.DUMMYFUNCTION("""COMPUTED_VALUE"""),45054.7014935648)</f>
        <v>45054.70149</v>
      </c>
      <c r="D8536" s="15">
        <f>IFERROR(__xludf.DUMMYFUNCTION("""COMPUTED_VALUE"""),1.02)</f>
        <v>1.02</v>
      </c>
      <c r="E8536" s="16">
        <f>IFERROR(__xludf.DUMMYFUNCTION("""COMPUTED_VALUE"""),64.0)</f>
        <v>64</v>
      </c>
      <c r="F8536" s="19" t="str">
        <f>IFERROR(__xludf.DUMMYFUNCTION("""COMPUTED_VALUE"""),"BLACK")</f>
        <v>BLACK</v>
      </c>
      <c r="G8536" s="20" t="str">
        <f>IFERROR(__xludf.DUMMYFUNCTION("""COMPUTED_VALUE"""),"Uncle Sams Cider (04/04/2023)")</f>
        <v>Uncle Sams Cider (04/04/2023)</v>
      </c>
      <c r="H8536" s="19"/>
    </row>
    <row r="8537">
      <c r="A8537" s="9"/>
      <c r="B8537" s="15"/>
      <c r="C8537" s="9">
        <f>IFERROR(__xludf.DUMMYFUNCTION("""COMPUTED_VALUE"""),45054.6910722453)</f>
        <v>45054.69107</v>
      </c>
      <c r="D8537" s="15">
        <f>IFERROR(__xludf.DUMMYFUNCTION("""COMPUTED_VALUE"""),1.02)</f>
        <v>1.02</v>
      </c>
      <c r="E8537" s="16">
        <f>IFERROR(__xludf.DUMMYFUNCTION("""COMPUTED_VALUE"""),64.0)</f>
        <v>64</v>
      </c>
      <c r="F8537" s="19" t="str">
        <f>IFERROR(__xludf.DUMMYFUNCTION("""COMPUTED_VALUE"""),"BLACK")</f>
        <v>BLACK</v>
      </c>
      <c r="G8537" s="20" t="str">
        <f>IFERROR(__xludf.DUMMYFUNCTION("""COMPUTED_VALUE"""),"Uncle Sams Cider (04/04/2023)")</f>
        <v>Uncle Sams Cider (04/04/2023)</v>
      </c>
      <c r="H8537" s="19"/>
    </row>
    <row r="8538">
      <c r="A8538" s="9"/>
      <c r="B8538" s="15"/>
      <c r="C8538" s="9">
        <f>IFERROR(__xludf.DUMMYFUNCTION("""COMPUTED_VALUE"""),45054.6806501273)</f>
        <v>45054.68065</v>
      </c>
      <c r="D8538" s="15">
        <f>IFERROR(__xludf.DUMMYFUNCTION("""COMPUTED_VALUE"""),1.02)</f>
        <v>1.02</v>
      </c>
      <c r="E8538" s="16">
        <f>IFERROR(__xludf.DUMMYFUNCTION("""COMPUTED_VALUE"""),64.0)</f>
        <v>64</v>
      </c>
      <c r="F8538" s="19" t="str">
        <f>IFERROR(__xludf.DUMMYFUNCTION("""COMPUTED_VALUE"""),"BLACK")</f>
        <v>BLACK</v>
      </c>
      <c r="G8538" s="20" t="str">
        <f>IFERROR(__xludf.DUMMYFUNCTION("""COMPUTED_VALUE"""),"Uncle Sams Cider (04/04/2023)")</f>
        <v>Uncle Sams Cider (04/04/2023)</v>
      </c>
      <c r="H8538" s="19"/>
    </row>
    <row r="8539">
      <c r="A8539" s="9"/>
      <c r="B8539" s="15"/>
      <c r="C8539" s="9">
        <f>IFERROR(__xludf.DUMMYFUNCTION("""COMPUTED_VALUE"""),45054.6702047801)</f>
        <v>45054.6702</v>
      </c>
      <c r="D8539" s="15">
        <f>IFERROR(__xludf.DUMMYFUNCTION("""COMPUTED_VALUE"""),1.02)</f>
        <v>1.02</v>
      </c>
      <c r="E8539" s="16">
        <f>IFERROR(__xludf.DUMMYFUNCTION("""COMPUTED_VALUE"""),64.0)</f>
        <v>64</v>
      </c>
      <c r="F8539" s="19" t="str">
        <f>IFERROR(__xludf.DUMMYFUNCTION("""COMPUTED_VALUE"""),"BLACK")</f>
        <v>BLACK</v>
      </c>
      <c r="G8539" s="20" t="str">
        <f>IFERROR(__xludf.DUMMYFUNCTION("""COMPUTED_VALUE"""),"Uncle Sams Cider (04/04/2023)")</f>
        <v>Uncle Sams Cider (04/04/2023)</v>
      </c>
      <c r="H8539" s="19"/>
    </row>
    <row r="8540">
      <c r="A8540" s="9"/>
      <c r="B8540" s="15"/>
      <c r="C8540" s="9">
        <f>IFERROR(__xludf.DUMMYFUNCTION("""COMPUTED_VALUE"""),45054.6597827777)</f>
        <v>45054.65978</v>
      </c>
      <c r="D8540" s="15">
        <f>IFERROR(__xludf.DUMMYFUNCTION("""COMPUTED_VALUE"""),1.02)</f>
        <v>1.02</v>
      </c>
      <c r="E8540" s="16">
        <f>IFERROR(__xludf.DUMMYFUNCTION("""COMPUTED_VALUE"""),64.0)</f>
        <v>64</v>
      </c>
      <c r="F8540" s="19" t="str">
        <f>IFERROR(__xludf.DUMMYFUNCTION("""COMPUTED_VALUE"""),"BLACK")</f>
        <v>BLACK</v>
      </c>
      <c r="G8540" s="20" t="str">
        <f>IFERROR(__xludf.DUMMYFUNCTION("""COMPUTED_VALUE"""),"Uncle Sams Cider (04/04/2023)")</f>
        <v>Uncle Sams Cider (04/04/2023)</v>
      </c>
      <c r="H8540" s="19"/>
    </row>
    <row r="8541">
      <c r="A8541" s="9"/>
      <c r="B8541" s="15"/>
      <c r="C8541" s="9">
        <f>IFERROR(__xludf.DUMMYFUNCTION("""COMPUTED_VALUE"""),45054.6493606134)</f>
        <v>45054.64936</v>
      </c>
      <c r="D8541" s="15">
        <f>IFERROR(__xludf.DUMMYFUNCTION("""COMPUTED_VALUE"""),1.02)</f>
        <v>1.02</v>
      </c>
      <c r="E8541" s="16">
        <f>IFERROR(__xludf.DUMMYFUNCTION("""COMPUTED_VALUE"""),64.0)</f>
        <v>64</v>
      </c>
      <c r="F8541" s="19" t="str">
        <f>IFERROR(__xludf.DUMMYFUNCTION("""COMPUTED_VALUE"""),"BLACK")</f>
        <v>BLACK</v>
      </c>
      <c r="G8541" s="20" t="str">
        <f>IFERROR(__xludf.DUMMYFUNCTION("""COMPUTED_VALUE"""),"Uncle Sams Cider (04/04/2023)")</f>
        <v>Uncle Sams Cider (04/04/2023)</v>
      </c>
      <c r="H8541" s="19"/>
    </row>
    <row r="8542">
      <c r="A8542" s="9"/>
      <c r="B8542" s="15"/>
      <c r="C8542" s="9">
        <f>IFERROR(__xludf.DUMMYFUNCTION("""COMPUTED_VALUE"""),45054.6389385532)</f>
        <v>45054.63894</v>
      </c>
      <c r="D8542" s="15">
        <f>IFERROR(__xludf.DUMMYFUNCTION("""COMPUTED_VALUE"""),1.02)</f>
        <v>1.02</v>
      </c>
      <c r="E8542" s="16">
        <f>IFERROR(__xludf.DUMMYFUNCTION("""COMPUTED_VALUE"""),64.0)</f>
        <v>64</v>
      </c>
      <c r="F8542" s="19" t="str">
        <f>IFERROR(__xludf.DUMMYFUNCTION("""COMPUTED_VALUE"""),"BLACK")</f>
        <v>BLACK</v>
      </c>
      <c r="G8542" s="20" t="str">
        <f>IFERROR(__xludf.DUMMYFUNCTION("""COMPUTED_VALUE"""),"Uncle Sams Cider (04/04/2023)")</f>
        <v>Uncle Sams Cider (04/04/2023)</v>
      </c>
      <c r="H8542" s="19"/>
    </row>
    <row r="8543">
      <c r="A8543" s="9"/>
      <c r="B8543" s="15"/>
      <c r="C8543" s="9">
        <f>IFERROR(__xludf.DUMMYFUNCTION("""COMPUTED_VALUE"""),45054.6285182407)</f>
        <v>45054.62852</v>
      </c>
      <c r="D8543" s="15">
        <f>IFERROR(__xludf.DUMMYFUNCTION("""COMPUTED_VALUE"""),1.02)</f>
        <v>1.02</v>
      </c>
      <c r="E8543" s="16">
        <f>IFERROR(__xludf.DUMMYFUNCTION("""COMPUTED_VALUE"""),64.0)</f>
        <v>64</v>
      </c>
      <c r="F8543" s="19" t="str">
        <f>IFERROR(__xludf.DUMMYFUNCTION("""COMPUTED_VALUE"""),"BLACK")</f>
        <v>BLACK</v>
      </c>
      <c r="G8543" s="20" t="str">
        <f>IFERROR(__xludf.DUMMYFUNCTION("""COMPUTED_VALUE"""),"Uncle Sams Cider (04/04/2023)")</f>
        <v>Uncle Sams Cider (04/04/2023)</v>
      </c>
      <c r="H8543" s="19"/>
    </row>
    <row r="8544">
      <c r="A8544" s="9"/>
      <c r="B8544" s="15"/>
      <c r="C8544" s="9">
        <f>IFERROR(__xludf.DUMMYFUNCTION("""COMPUTED_VALUE"""),45054.6180854513)</f>
        <v>45054.61809</v>
      </c>
      <c r="D8544" s="15">
        <f>IFERROR(__xludf.DUMMYFUNCTION("""COMPUTED_VALUE"""),1.02)</f>
        <v>1.02</v>
      </c>
      <c r="E8544" s="16">
        <f>IFERROR(__xludf.DUMMYFUNCTION("""COMPUTED_VALUE"""),64.0)</f>
        <v>64</v>
      </c>
      <c r="F8544" s="19" t="str">
        <f>IFERROR(__xludf.DUMMYFUNCTION("""COMPUTED_VALUE"""),"BLACK")</f>
        <v>BLACK</v>
      </c>
      <c r="G8544" s="20" t="str">
        <f>IFERROR(__xludf.DUMMYFUNCTION("""COMPUTED_VALUE"""),"Uncle Sams Cider (04/04/2023)")</f>
        <v>Uncle Sams Cider (04/04/2023)</v>
      </c>
      <c r="H8544" s="19"/>
    </row>
    <row r="8545">
      <c r="A8545" s="9"/>
      <c r="B8545" s="15"/>
      <c r="C8545" s="9">
        <f>IFERROR(__xludf.DUMMYFUNCTION("""COMPUTED_VALUE"""),45054.6076528356)</f>
        <v>45054.60765</v>
      </c>
      <c r="D8545" s="15">
        <f>IFERROR(__xludf.DUMMYFUNCTION("""COMPUTED_VALUE"""),1.02)</f>
        <v>1.02</v>
      </c>
      <c r="E8545" s="16">
        <f>IFERROR(__xludf.DUMMYFUNCTION("""COMPUTED_VALUE"""),64.0)</f>
        <v>64</v>
      </c>
      <c r="F8545" s="19" t="str">
        <f>IFERROR(__xludf.DUMMYFUNCTION("""COMPUTED_VALUE"""),"BLACK")</f>
        <v>BLACK</v>
      </c>
      <c r="G8545" s="20" t="str">
        <f>IFERROR(__xludf.DUMMYFUNCTION("""COMPUTED_VALUE"""),"Uncle Sams Cider (04/04/2023)")</f>
        <v>Uncle Sams Cider (04/04/2023)</v>
      </c>
      <c r="H8545" s="19"/>
    </row>
    <row r="8546">
      <c r="A8546" s="9"/>
      <c r="B8546" s="15"/>
      <c r="C8546" s="9">
        <f>IFERROR(__xludf.DUMMYFUNCTION("""COMPUTED_VALUE"""),45054.5972327777)</f>
        <v>45054.59723</v>
      </c>
      <c r="D8546" s="15">
        <f>IFERROR(__xludf.DUMMYFUNCTION("""COMPUTED_VALUE"""),1.02)</f>
        <v>1.02</v>
      </c>
      <c r="E8546" s="16">
        <f>IFERROR(__xludf.DUMMYFUNCTION("""COMPUTED_VALUE"""),64.0)</f>
        <v>64</v>
      </c>
      <c r="F8546" s="19" t="str">
        <f>IFERROR(__xludf.DUMMYFUNCTION("""COMPUTED_VALUE"""),"BLACK")</f>
        <v>BLACK</v>
      </c>
      <c r="G8546" s="20" t="str">
        <f>IFERROR(__xludf.DUMMYFUNCTION("""COMPUTED_VALUE"""),"Uncle Sams Cider (04/04/2023)")</f>
        <v>Uncle Sams Cider (04/04/2023)</v>
      </c>
      <c r="H8546" s="19"/>
    </row>
    <row r="8547">
      <c r="A8547" s="9"/>
      <c r="B8547" s="15"/>
      <c r="C8547" s="9">
        <f>IFERROR(__xludf.DUMMYFUNCTION("""COMPUTED_VALUE"""),45054.5867990625)</f>
        <v>45054.5868</v>
      </c>
      <c r="D8547" s="15">
        <f>IFERROR(__xludf.DUMMYFUNCTION("""COMPUTED_VALUE"""),1.02)</f>
        <v>1.02</v>
      </c>
      <c r="E8547" s="16">
        <f>IFERROR(__xludf.DUMMYFUNCTION("""COMPUTED_VALUE"""),64.0)</f>
        <v>64</v>
      </c>
      <c r="F8547" s="19" t="str">
        <f>IFERROR(__xludf.DUMMYFUNCTION("""COMPUTED_VALUE"""),"BLACK")</f>
        <v>BLACK</v>
      </c>
      <c r="G8547" s="20" t="str">
        <f>IFERROR(__xludf.DUMMYFUNCTION("""COMPUTED_VALUE"""),"Uncle Sams Cider (04/04/2023)")</f>
        <v>Uncle Sams Cider (04/04/2023)</v>
      </c>
      <c r="H8547" s="19"/>
    </row>
    <row r="8548">
      <c r="A8548" s="9"/>
      <c r="B8548" s="15"/>
      <c r="C8548" s="9">
        <f>IFERROR(__xludf.DUMMYFUNCTION("""COMPUTED_VALUE"""),45054.5763651157)</f>
        <v>45054.57637</v>
      </c>
      <c r="D8548" s="15">
        <f>IFERROR(__xludf.DUMMYFUNCTION("""COMPUTED_VALUE"""),1.02)</f>
        <v>1.02</v>
      </c>
      <c r="E8548" s="16">
        <f>IFERROR(__xludf.DUMMYFUNCTION("""COMPUTED_VALUE"""),64.0)</f>
        <v>64</v>
      </c>
      <c r="F8548" s="19" t="str">
        <f>IFERROR(__xludf.DUMMYFUNCTION("""COMPUTED_VALUE"""),"BLACK")</f>
        <v>BLACK</v>
      </c>
      <c r="G8548" s="20" t="str">
        <f>IFERROR(__xludf.DUMMYFUNCTION("""COMPUTED_VALUE"""),"Uncle Sams Cider (04/04/2023)")</f>
        <v>Uncle Sams Cider (04/04/2023)</v>
      </c>
      <c r="H8548" s="19"/>
    </row>
    <row r="8549">
      <c r="A8549" s="9"/>
      <c r="B8549" s="15"/>
      <c r="C8549" s="9">
        <f>IFERROR(__xludf.DUMMYFUNCTION("""COMPUTED_VALUE"""),45054.5659332639)</f>
        <v>45054.56593</v>
      </c>
      <c r="D8549" s="15">
        <f>IFERROR(__xludf.DUMMYFUNCTION("""COMPUTED_VALUE"""),1.02)</f>
        <v>1.02</v>
      </c>
      <c r="E8549" s="16">
        <f>IFERROR(__xludf.DUMMYFUNCTION("""COMPUTED_VALUE"""),64.0)</f>
        <v>64</v>
      </c>
      <c r="F8549" s="19" t="str">
        <f>IFERROR(__xludf.DUMMYFUNCTION("""COMPUTED_VALUE"""),"BLACK")</f>
        <v>BLACK</v>
      </c>
      <c r="G8549" s="20" t="str">
        <f>IFERROR(__xludf.DUMMYFUNCTION("""COMPUTED_VALUE"""),"Uncle Sams Cider (04/04/2023)")</f>
        <v>Uncle Sams Cider (04/04/2023)</v>
      </c>
      <c r="H8549" s="19"/>
    </row>
    <row r="8550">
      <c r="A8550" s="9"/>
      <c r="B8550" s="15"/>
      <c r="C8550" s="9">
        <f>IFERROR(__xludf.DUMMYFUNCTION("""COMPUTED_VALUE"""),45054.5555102662)</f>
        <v>45054.55551</v>
      </c>
      <c r="D8550" s="15">
        <f>IFERROR(__xludf.DUMMYFUNCTION("""COMPUTED_VALUE"""),1.02)</f>
        <v>1.02</v>
      </c>
      <c r="E8550" s="16">
        <f>IFERROR(__xludf.DUMMYFUNCTION("""COMPUTED_VALUE"""),64.0)</f>
        <v>64</v>
      </c>
      <c r="F8550" s="19" t="str">
        <f>IFERROR(__xludf.DUMMYFUNCTION("""COMPUTED_VALUE"""),"BLACK")</f>
        <v>BLACK</v>
      </c>
      <c r="G8550" s="20" t="str">
        <f>IFERROR(__xludf.DUMMYFUNCTION("""COMPUTED_VALUE"""),"Uncle Sams Cider (04/04/2023)")</f>
        <v>Uncle Sams Cider (04/04/2023)</v>
      </c>
      <c r="H8550" s="19"/>
    </row>
    <row r="8551">
      <c r="A8551" s="9"/>
      <c r="B8551" s="15"/>
      <c r="C8551" s="9">
        <f>IFERROR(__xludf.DUMMYFUNCTION("""COMPUTED_VALUE"""),45054.5450891666)</f>
        <v>45054.54509</v>
      </c>
      <c r="D8551" s="15">
        <f>IFERROR(__xludf.DUMMYFUNCTION("""COMPUTED_VALUE"""),1.02)</f>
        <v>1.02</v>
      </c>
      <c r="E8551" s="16">
        <f>IFERROR(__xludf.DUMMYFUNCTION("""COMPUTED_VALUE"""),64.0)</f>
        <v>64</v>
      </c>
      <c r="F8551" s="19" t="str">
        <f>IFERROR(__xludf.DUMMYFUNCTION("""COMPUTED_VALUE"""),"BLACK")</f>
        <v>BLACK</v>
      </c>
      <c r="G8551" s="20" t="str">
        <f>IFERROR(__xludf.DUMMYFUNCTION("""COMPUTED_VALUE"""),"Uncle Sams Cider (04/04/2023)")</f>
        <v>Uncle Sams Cider (04/04/2023)</v>
      </c>
      <c r="H8551" s="19"/>
    </row>
    <row r="8552">
      <c r="A8552" s="9"/>
      <c r="B8552" s="15"/>
      <c r="C8552" s="9">
        <f>IFERROR(__xludf.DUMMYFUNCTION("""COMPUTED_VALUE"""),45054.5346561342)</f>
        <v>45054.53466</v>
      </c>
      <c r="D8552" s="15">
        <f>IFERROR(__xludf.DUMMYFUNCTION("""COMPUTED_VALUE"""),1.02)</f>
        <v>1.02</v>
      </c>
      <c r="E8552" s="16">
        <f>IFERROR(__xludf.DUMMYFUNCTION("""COMPUTED_VALUE"""),64.0)</f>
        <v>64</v>
      </c>
      <c r="F8552" s="19" t="str">
        <f>IFERROR(__xludf.DUMMYFUNCTION("""COMPUTED_VALUE"""),"BLACK")</f>
        <v>BLACK</v>
      </c>
      <c r="G8552" s="20" t="str">
        <f>IFERROR(__xludf.DUMMYFUNCTION("""COMPUTED_VALUE"""),"Uncle Sams Cider (04/04/2023)")</f>
        <v>Uncle Sams Cider (04/04/2023)</v>
      </c>
      <c r="H8552" s="19"/>
    </row>
    <row r="8553">
      <c r="A8553" s="9"/>
      <c r="B8553" s="15"/>
      <c r="C8553" s="9">
        <f>IFERROR(__xludf.DUMMYFUNCTION("""COMPUTED_VALUE"""),45054.5242221412)</f>
        <v>45054.52422</v>
      </c>
      <c r="D8553" s="15">
        <f>IFERROR(__xludf.DUMMYFUNCTION("""COMPUTED_VALUE"""),1.02)</f>
        <v>1.02</v>
      </c>
      <c r="E8553" s="16">
        <f>IFERROR(__xludf.DUMMYFUNCTION("""COMPUTED_VALUE"""),64.0)</f>
        <v>64</v>
      </c>
      <c r="F8553" s="19" t="str">
        <f>IFERROR(__xludf.DUMMYFUNCTION("""COMPUTED_VALUE"""),"BLACK")</f>
        <v>BLACK</v>
      </c>
      <c r="G8553" s="20" t="str">
        <f>IFERROR(__xludf.DUMMYFUNCTION("""COMPUTED_VALUE"""),"Uncle Sams Cider (04/04/2023)")</f>
        <v>Uncle Sams Cider (04/04/2023)</v>
      </c>
      <c r="H8553" s="19"/>
    </row>
    <row r="8554">
      <c r="A8554" s="9"/>
      <c r="B8554" s="15"/>
      <c r="C8554" s="9">
        <f>IFERROR(__xludf.DUMMYFUNCTION("""COMPUTED_VALUE"""),45054.5138000231)</f>
        <v>45054.5138</v>
      </c>
      <c r="D8554" s="15">
        <f>IFERROR(__xludf.DUMMYFUNCTION("""COMPUTED_VALUE"""),1.02)</f>
        <v>1.02</v>
      </c>
      <c r="E8554" s="16">
        <f>IFERROR(__xludf.DUMMYFUNCTION("""COMPUTED_VALUE"""),64.0)</f>
        <v>64</v>
      </c>
      <c r="F8554" s="19" t="str">
        <f>IFERROR(__xludf.DUMMYFUNCTION("""COMPUTED_VALUE"""),"BLACK")</f>
        <v>BLACK</v>
      </c>
      <c r="G8554" s="20" t="str">
        <f>IFERROR(__xludf.DUMMYFUNCTION("""COMPUTED_VALUE"""),"Uncle Sams Cider (04/04/2023)")</f>
        <v>Uncle Sams Cider (04/04/2023)</v>
      </c>
      <c r="H8554" s="19"/>
    </row>
    <row r="8555">
      <c r="A8555" s="9"/>
      <c r="B8555" s="15"/>
      <c r="C8555" s="9">
        <f>IFERROR(__xludf.DUMMYFUNCTION("""COMPUTED_VALUE"""),45054.5033794444)</f>
        <v>45054.50338</v>
      </c>
      <c r="D8555" s="15">
        <f>IFERROR(__xludf.DUMMYFUNCTION("""COMPUTED_VALUE"""),1.02)</f>
        <v>1.02</v>
      </c>
      <c r="E8555" s="16">
        <f>IFERROR(__xludf.DUMMYFUNCTION("""COMPUTED_VALUE"""),64.0)</f>
        <v>64</v>
      </c>
      <c r="F8555" s="19" t="str">
        <f>IFERROR(__xludf.DUMMYFUNCTION("""COMPUTED_VALUE"""),"BLACK")</f>
        <v>BLACK</v>
      </c>
      <c r="G8555" s="20" t="str">
        <f>IFERROR(__xludf.DUMMYFUNCTION("""COMPUTED_VALUE"""),"Uncle Sams Cider (04/04/2023)")</f>
        <v>Uncle Sams Cider (04/04/2023)</v>
      </c>
      <c r="H8555" s="19"/>
    </row>
    <row r="8556">
      <c r="A8556" s="9"/>
      <c r="B8556" s="15"/>
      <c r="C8556" s="9">
        <f>IFERROR(__xludf.DUMMYFUNCTION("""COMPUTED_VALUE"""),45054.4929601851)</f>
        <v>45054.49296</v>
      </c>
      <c r="D8556" s="15">
        <f>IFERROR(__xludf.DUMMYFUNCTION("""COMPUTED_VALUE"""),1.02)</f>
        <v>1.02</v>
      </c>
      <c r="E8556" s="16">
        <f>IFERROR(__xludf.DUMMYFUNCTION("""COMPUTED_VALUE"""),64.0)</f>
        <v>64</v>
      </c>
      <c r="F8556" s="19" t="str">
        <f>IFERROR(__xludf.DUMMYFUNCTION("""COMPUTED_VALUE"""),"BLACK")</f>
        <v>BLACK</v>
      </c>
      <c r="G8556" s="20" t="str">
        <f>IFERROR(__xludf.DUMMYFUNCTION("""COMPUTED_VALUE"""),"Uncle Sams Cider (04/04/2023)")</f>
        <v>Uncle Sams Cider (04/04/2023)</v>
      </c>
      <c r="H8556" s="19"/>
    </row>
    <row r="8557">
      <c r="A8557" s="9"/>
      <c r="B8557" s="15"/>
      <c r="C8557" s="9">
        <f>IFERROR(__xludf.DUMMYFUNCTION("""COMPUTED_VALUE"""),45054.4825378125)</f>
        <v>45054.48254</v>
      </c>
      <c r="D8557" s="15">
        <f>IFERROR(__xludf.DUMMYFUNCTION("""COMPUTED_VALUE"""),1.02)</f>
        <v>1.02</v>
      </c>
      <c r="E8557" s="16">
        <f>IFERROR(__xludf.DUMMYFUNCTION("""COMPUTED_VALUE"""),64.0)</f>
        <v>64</v>
      </c>
      <c r="F8557" s="19" t="str">
        <f>IFERROR(__xludf.DUMMYFUNCTION("""COMPUTED_VALUE"""),"BLACK")</f>
        <v>BLACK</v>
      </c>
      <c r="G8557" s="20" t="str">
        <f>IFERROR(__xludf.DUMMYFUNCTION("""COMPUTED_VALUE"""),"Uncle Sams Cider (04/04/2023)")</f>
        <v>Uncle Sams Cider (04/04/2023)</v>
      </c>
      <c r="H8557" s="19"/>
    </row>
    <row r="8558">
      <c r="A8558" s="9"/>
      <c r="B8558" s="15"/>
      <c r="C8558" s="9">
        <f>IFERROR(__xludf.DUMMYFUNCTION("""COMPUTED_VALUE"""),45054.4721173495)</f>
        <v>45054.47212</v>
      </c>
      <c r="D8558" s="15">
        <f>IFERROR(__xludf.DUMMYFUNCTION("""COMPUTED_VALUE"""),1.02)</f>
        <v>1.02</v>
      </c>
      <c r="E8558" s="16">
        <f>IFERROR(__xludf.DUMMYFUNCTION("""COMPUTED_VALUE"""),64.0)</f>
        <v>64</v>
      </c>
      <c r="F8558" s="19" t="str">
        <f>IFERROR(__xludf.DUMMYFUNCTION("""COMPUTED_VALUE"""),"BLACK")</f>
        <v>BLACK</v>
      </c>
      <c r="G8558" s="20" t="str">
        <f>IFERROR(__xludf.DUMMYFUNCTION("""COMPUTED_VALUE"""),"Uncle Sams Cider (04/04/2023)")</f>
        <v>Uncle Sams Cider (04/04/2023)</v>
      </c>
      <c r="H8558" s="19"/>
    </row>
    <row r="8559">
      <c r="A8559" s="9"/>
      <c r="B8559" s="15"/>
      <c r="C8559" s="9">
        <f>IFERROR(__xludf.DUMMYFUNCTION("""COMPUTED_VALUE"""),45054.4616834143)</f>
        <v>45054.46168</v>
      </c>
      <c r="D8559" s="15">
        <f>IFERROR(__xludf.DUMMYFUNCTION("""COMPUTED_VALUE"""),1.02)</f>
        <v>1.02</v>
      </c>
      <c r="E8559" s="16">
        <f>IFERROR(__xludf.DUMMYFUNCTION("""COMPUTED_VALUE"""),64.0)</f>
        <v>64</v>
      </c>
      <c r="F8559" s="19" t="str">
        <f>IFERROR(__xludf.DUMMYFUNCTION("""COMPUTED_VALUE"""),"BLACK")</f>
        <v>BLACK</v>
      </c>
      <c r="G8559" s="20" t="str">
        <f>IFERROR(__xludf.DUMMYFUNCTION("""COMPUTED_VALUE"""),"Uncle Sams Cider (04/04/2023)")</f>
        <v>Uncle Sams Cider (04/04/2023)</v>
      </c>
      <c r="H8559" s="19"/>
    </row>
    <row r="8560">
      <c r="A8560" s="9"/>
      <c r="B8560" s="15"/>
      <c r="C8560" s="9">
        <f>IFERROR(__xludf.DUMMYFUNCTION("""COMPUTED_VALUE"""),45054.4512635416)</f>
        <v>45054.45126</v>
      </c>
      <c r="D8560" s="15">
        <f>IFERROR(__xludf.DUMMYFUNCTION("""COMPUTED_VALUE"""),1.02)</f>
        <v>1.02</v>
      </c>
      <c r="E8560" s="16">
        <f>IFERROR(__xludf.DUMMYFUNCTION("""COMPUTED_VALUE"""),64.0)</f>
        <v>64</v>
      </c>
      <c r="F8560" s="19" t="str">
        <f>IFERROR(__xludf.DUMMYFUNCTION("""COMPUTED_VALUE"""),"BLACK")</f>
        <v>BLACK</v>
      </c>
      <c r="G8560" s="20" t="str">
        <f>IFERROR(__xludf.DUMMYFUNCTION("""COMPUTED_VALUE"""),"Uncle Sams Cider (04/04/2023)")</f>
        <v>Uncle Sams Cider (04/04/2023)</v>
      </c>
      <c r="H8560" s="19"/>
    </row>
    <row r="8561">
      <c r="A8561" s="9"/>
      <c r="B8561" s="15"/>
      <c r="C8561" s="9">
        <f>IFERROR(__xludf.DUMMYFUNCTION("""COMPUTED_VALUE"""),45054.4408448032)</f>
        <v>45054.44084</v>
      </c>
      <c r="D8561" s="15">
        <f>IFERROR(__xludf.DUMMYFUNCTION("""COMPUTED_VALUE"""),1.02)</f>
        <v>1.02</v>
      </c>
      <c r="E8561" s="16">
        <f>IFERROR(__xludf.DUMMYFUNCTION("""COMPUTED_VALUE"""),64.0)</f>
        <v>64</v>
      </c>
      <c r="F8561" s="19" t="str">
        <f>IFERROR(__xludf.DUMMYFUNCTION("""COMPUTED_VALUE"""),"BLACK")</f>
        <v>BLACK</v>
      </c>
      <c r="G8561" s="20" t="str">
        <f>IFERROR(__xludf.DUMMYFUNCTION("""COMPUTED_VALUE"""),"Uncle Sams Cider (04/04/2023)")</f>
        <v>Uncle Sams Cider (04/04/2023)</v>
      </c>
      <c r="H8561" s="19"/>
    </row>
    <row r="8562">
      <c r="A8562" s="9"/>
      <c r="B8562" s="15"/>
      <c r="C8562" s="9">
        <f>IFERROR(__xludf.DUMMYFUNCTION("""COMPUTED_VALUE"""),45054.4304255208)</f>
        <v>45054.43043</v>
      </c>
      <c r="D8562" s="15">
        <f>IFERROR(__xludf.DUMMYFUNCTION("""COMPUTED_VALUE"""),1.02)</f>
        <v>1.02</v>
      </c>
      <c r="E8562" s="16">
        <f>IFERROR(__xludf.DUMMYFUNCTION("""COMPUTED_VALUE"""),64.0)</f>
        <v>64</v>
      </c>
      <c r="F8562" s="19" t="str">
        <f>IFERROR(__xludf.DUMMYFUNCTION("""COMPUTED_VALUE"""),"BLACK")</f>
        <v>BLACK</v>
      </c>
      <c r="G8562" s="20" t="str">
        <f>IFERROR(__xludf.DUMMYFUNCTION("""COMPUTED_VALUE"""),"Uncle Sams Cider (04/04/2023)")</f>
        <v>Uncle Sams Cider (04/04/2023)</v>
      </c>
      <c r="H8562" s="19"/>
    </row>
    <row r="8563">
      <c r="A8563" s="9"/>
      <c r="B8563" s="15"/>
      <c r="C8563" s="9">
        <f>IFERROR(__xludf.DUMMYFUNCTION("""COMPUTED_VALUE"""),45054.4200060416)</f>
        <v>45054.42001</v>
      </c>
      <c r="D8563" s="15">
        <f>IFERROR(__xludf.DUMMYFUNCTION("""COMPUTED_VALUE"""),1.02)</f>
        <v>1.02</v>
      </c>
      <c r="E8563" s="16">
        <f>IFERROR(__xludf.DUMMYFUNCTION("""COMPUTED_VALUE"""),64.0)</f>
        <v>64</v>
      </c>
      <c r="F8563" s="19" t="str">
        <f>IFERROR(__xludf.DUMMYFUNCTION("""COMPUTED_VALUE"""),"BLACK")</f>
        <v>BLACK</v>
      </c>
      <c r="G8563" s="20" t="str">
        <f>IFERROR(__xludf.DUMMYFUNCTION("""COMPUTED_VALUE"""),"Uncle Sams Cider (04/04/2023)")</f>
        <v>Uncle Sams Cider (04/04/2023)</v>
      </c>
      <c r="H8563" s="19"/>
    </row>
    <row r="8564">
      <c r="A8564" s="9"/>
      <c r="B8564" s="15"/>
      <c r="C8564" s="9">
        <f>IFERROR(__xludf.DUMMYFUNCTION("""COMPUTED_VALUE"""),45054.4095850925)</f>
        <v>45054.40959</v>
      </c>
      <c r="D8564" s="15">
        <f>IFERROR(__xludf.DUMMYFUNCTION("""COMPUTED_VALUE"""),1.02)</f>
        <v>1.02</v>
      </c>
      <c r="E8564" s="16">
        <f>IFERROR(__xludf.DUMMYFUNCTION("""COMPUTED_VALUE"""),64.0)</f>
        <v>64</v>
      </c>
      <c r="F8564" s="19" t="str">
        <f>IFERROR(__xludf.DUMMYFUNCTION("""COMPUTED_VALUE"""),"BLACK")</f>
        <v>BLACK</v>
      </c>
      <c r="G8564" s="20" t="str">
        <f>IFERROR(__xludf.DUMMYFUNCTION("""COMPUTED_VALUE"""),"Uncle Sams Cider (04/04/2023)")</f>
        <v>Uncle Sams Cider (04/04/2023)</v>
      </c>
      <c r="H8564" s="19"/>
    </row>
    <row r="8565">
      <c r="A8565" s="9"/>
      <c r="B8565" s="15"/>
      <c r="C8565" s="9">
        <f>IFERROR(__xludf.DUMMYFUNCTION("""COMPUTED_VALUE"""),45054.3991525578)</f>
        <v>45054.39915</v>
      </c>
      <c r="D8565" s="15">
        <f>IFERROR(__xludf.DUMMYFUNCTION("""COMPUTED_VALUE"""),1.02)</f>
        <v>1.02</v>
      </c>
      <c r="E8565" s="16">
        <f>IFERROR(__xludf.DUMMYFUNCTION("""COMPUTED_VALUE"""),64.0)</f>
        <v>64</v>
      </c>
      <c r="F8565" s="19" t="str">
        <f>IFERROR(__xludf.DUMMYFUNCTION("""COMPUTED_VALUE"""),"BLACK")</f>
        <v>BLACK</v>
      </c>
      <c r="G8565" s="20" t="str">
        <f>IFERROR(__xludf.DUMMYFUNCTION("""COMPUTED_VALUE"""),"Uncle Sams Cider (04/04/2023)")</f>
        <v>Uncle Sams Cider (04/04/2023)</v>
      </c>
      <c r="H8565" s="19"/>
    </row>
    <row r="8566">
      <c r="A8566" s="9"/>
      <c r="B8566" s="15"/>
      <c r="C8566" s="9">
        <f>IFERROR(__xludf.DUMMYFUNCTION("""COMPUTED_VALUE"""),45054.38871875)</f>
        <v>45054.38872</v>
      </c>
      <c r="D8566" s="15">
        <f>IFERROR(__xludf.DUMMYFUNCTION("""COMPUTED_VALUE"""),1.02)</f>
        <v>1.02</v>
      </c>
      <c r="E8566" s="16">
        <f>IFERROR(__xludf.DUMMYFUNCTION("""COMPUTED_VALUE"""),64.0)</f>
        <v>64</v>
      </c>
      <c r="F8566" s="19" t="str">
        <f>IFERROR(__xludf.DUMMYFUNCTION("""COMPUTED_VALUE"""),"BLACK")</f>
        <v>BLACK</v>
      </c>
      <c r="G8566" s="20" t="str">
        <f>IFERROR(__xludf.DUMMYFUNCTION("""COMPUTED_VALUE"""),"Uncle Sams Cider (04/04/2023)")</f>
        <v>Uncle Sams Cider (04/04/2023)</v>
      </c>
      <c r="H8566" s="19"/>
    </row>
    <row r="8567">
      <c r="A8567" s="9"/>
      <c r="B8567" s="15"/>
      <c r="C8567" s="9">
        <f>IFERROR(__xludf.DUMMYFUNCTION("""COMPUTED_VALUE"""),45054.3782987268)</f>
        <v>45054.3783</v>
      </c>
      <c r="D8567" s="15">
        <f>IFERROR(__xludf.DUMMYFUNCTION("""COMPUTED_VALUE"""),1.02)</f>
        <v>1.02</v>
      </c>
      <c r="E8567" s="16">
        <f>IFERROR(__xludf.DUMMYFUNCTION("""COMPUTED_VALUE"""),64.0)</f>
        <v>64</v>
      </c>
      <c r="F8567" s="19" t="str">
        <f>IFERROR(__xludf.DUMMYFUNCTION("""COMPUTED_VALUE"""),"BLACK")</f>
        <v>BLACK</v>
      </c>
      <c r="G8567" s="20" t="str">
        <f>IFERROR(__xludf.DUMMYFUNCTION("""COMPUTED_VALUE"""),"Uncle Sams Cider (04/04/2023)")</f>
        <v>Uncle Sams Cider (04/04/2023)</v>
      </c>
      <c r="H8567" s="19"/>
    </row>
    <row r="8568">
      <c r="A8568" s="9"/>
      <c r="B8568" s="15"/>
      <c r="C8568" s="9">
        <f>IFERROR(__xludf.DUMMYFUNCTION("""COMPUTED_VALUE"""),45054.3678780092)</f>
        <v>45054.36788</v>
      </c>
      <c r="D8568" s="15">
        <f>IFERROR(__xludf.DUMMYFUNCTION("""COMPUTED_VALUE"""),1.02)</f>
        <v>1.02</v>
      </c>
      <c r="E8568" s="16">
        <f>IFERROR(__xludf.DUMMYFUNCTION("""COMPUTED_VALUE"""),64.0)</f>
        <v>64</v>
      </c>
      <c r="F8568" s="19" t="str">
        <f>IFERROR(__xludf.DUMMYFUNCTION("""COMPUTED_VALUE"""),"BLACK")</f>
        <v>BLACK</v>
      </c>
      <c r="G8568" s="20" t="str">
        <f>IFERROR(__xludf.DUMMYFUNCTION("""COMPUTED_VALUE"""),"Uncle Sams Cider (04/04/2023)")</f>
        <v>Uncle Sams Cider (04/04/2023)</v>
      </c>
      <c r="H8568" s="19"/>
    </row>
    <row r="8569">
      <c r="A8569" s="9"/>
      <c r="B8569" s="15"/>
      <c r="C8569" s="9">
        <f>IFERROR(__xludf.DUMMYFUNCTION("""COMPUTED_VALUE"""),45054.3574561921)</f>
        <v>45054.35746</v>
      </c>
      <c r="D8569" s="15">
        <f>IFERROR(__xludf.DUMMYFUNCTION("""COMPUTED_VALUE"""),1.02)</f>
        <v>1.02</v>
      </c>
      <c r="E8569" s="16">
        <f>IFERROR(__xludf.DUMMYFUNCTION("""COMPUTED_VALUE"""),64.0)</f>
        <v>64</v>
      </c>
      <c r="F8569" s="19" t="str">
        <f>IFERROR(__xludf.DUMMYFUNCTION("""COMPUTED_VALUE"""),"BLACK")</f>
        <v>BLACK</v>
      </c>
      <c r="G8569" s="20" t="str">
        <f>IFERROR(__xludf.DUMMYFUNCTION("""COMPUTED_VALUE"""),"Uncle Sams Cider (04/04/2023)")</f>
        <v>Uncle Sams Cider (04/04/2023)</v>
      </c>
      <c r="H8569" s="19"/>
    </row>
    <row r="8570">
      <c r="A8570" s="9"/>
      <c r="B8570" s="15"/>
      <c r="C8570" s="9">
        <f>IFERROR(__xludf.DUMMYFUNCTION("""COMPUTED_VALUE"""),45054.3470216898)</f>
        <v>45054.34702</v>
      </c>
      <c r="D8570" s="15">
        <f>IFERROR(__xludf.DUMMYFUNCTION("""COMPUTED_VALUE"""),1.021)</f>
        <v>1.021</v>
      </c>
      <c r="E8570" s="16">
        <f>IFERROR(__xludf.DUMMYFUNCTION("""COMPUTED_VALUE"""),64.0)</f>
        <v>64</v>
      </c>
      <c r="F8570" s="19" t="str">
        <f>IFERROR(__xludf.DUMMYFUNCTION("""COMPUTED_VALUE"""),"BLACK")</f>
        <v>BLACK</v>
      </c>
      <c r="G8570" s="20" t="str">
        <f>IFERROR(__xludf.DUMMYFUNCTION("""COMPUTED_VALUE"""),"Uncle Sams Cider (04/04/2023)")</f>
        <v>Uncle Sams Cider (04/04/2023)</v>
      </c>
      <c r="H8570" s="19"/>
    </row>
    <row r="8571">
      <c r="A8571" s="9"/>
      <c r="B8571" s="15"/>
      <c r="C8571" s="9">
        <f>IFERROR(__xludf.DUMMYFUNCTION("""COMPUTED_VALUE"""),45054.3366010532)</f>
        <v>45054.3366</v>
      </c>
      <c r="D8571" s="15">
        <f>IFERROR(__xludf.DUMMYFUNCTION("""COMPUTED_VALUE"""),1.02)</f>
        <v>1.02</v>
      </c>
      <c r="E8571" s="16">
        <f>IFERROR(__xludf.DUMMYFUNCTION("""COMPUTED_VALUE"""),64.0)</f>
        <v>64</v>
      </c>
      <c r="F8571" s="19" t="str">
        <f>IFERROR(__xludf.DUMMYFUNCTION("""COMPUTED_VALUE"""),"BLACK")</f>
        <v>BLACK</v>
      </c>
      <c r="G8571" s="20" t="str">
        <f>IFERROR(__xludf.DUMMYFUNCTION("""COMPUTED_VALUE"""),"Uncle Sams Cider (04/04/2023)")</f>
        <v>Uncle Sams Cider (04/04/2023)</v>
      </c>
      <c r="H8571" s="19"/>
    </row>
    <row r="8572">
      <c r="A8572" s="9"/>
      <c r="B8572" s="15"/>
      <c r="C8572" s="9">
        <f>IFERROR(__xludf.DUMMYFUNCTION("""COMPUTED_VALUE"""),45054.3261790277)</f>
        <v>45054.32618</v>
      </c>
      <c r="D8572" s="15">
        <f>IFERROR(__xludf.DUMMYFUNCTION("""COMPUTED_VALUE"""),1.02)</f>
        <v>1.02</v>
      </c>
      <c r="E8572" s="16">
        <f>IFERROR(__xludf.DUMMYFUNCTION("""COMPUTED_VALUE"""),64.0)</f>
        <v>64</v>
      </c>
      <c r="F8572" s="19" t="str">
        <f>IFERROR(__xludf.DUMMYFUNCTION("""COMPUTED_VALUE"""),"BLACK")</f>
        <v>BLACK</v>
      </c>
      <c r="G8572" s="20" t="str">
        <f>IFERROR(__xludf.DUMMYFUNCTION("""COMPUTED_VALUE"""),"Uncle Sams Cider (04/04/2023)")</f>
        <v>Uncle Sams Cider (04/04/2023)</v>
      </c>
      <c r="H8572" s="19"/>
    </row>
    <row r="8573">
      <c r="A8573" s="9"/>
      <c r="B8573" s="15"/>
      <c r="C8573" s="9">
        <f>IFERROR(__xludf.DUMMYFUNCTION("""COMPUTED_VALUE"""),45054.3157572569)</f>
        <v>45054.31576</v>
      </c>
      <c r="D8573" s="15">
        <f>IFERROR(__xludf.DUMMYFUNCTION("""COMPUTED_VALUE"""),1.02)</f>
        <v>1.02</v>
      </c>
      <c r="E8573" s="16">
        <f>IFERROR(__xludf.DUMMYFUNCTION("""COMPUTED_VALUE"""),64.0)</f>
        <v>64</v>
      </c>
      <c r="F8573" s="19" t="str">
        <f>IFERROR(__xludf.DUMMYFUNCTION("""COMPUTED_VALUE"""),"BLACK")</f>
        <v>BLACK</v>
      </c>
      <c r="G8573" s="20" t="str">
        <f>IFERROR(__xludf.DUMMYFUNCTION("""COMPUTED_VALUE"""),"Uncle Sams Cider (04/04/2023)")</f>
        <v>Uncle Sams Cider (04/04/2023)</v>
      </c>
      <c r="H8573" s="19"/>
    </row>
    <row r="8574">
      <c r="A8574" s="9"/>
      <c r="B8574" s="15"/>
      <c r="C8574" s="9">
        <f>IFERROR(__xludf.DUMMYFUNCTION("""COMPUTED_VALUE"""),45054.3053364236)</f>
        <v>45054.30534</v>
      </c>
      <c r="D8574" s="15">
        <f>IFERROR(__xludf.DUMMYFUNCTION("""COMPUTED_VALUE"""),1.02)</f>
        <v>1.02</v>
      </c>
      <c r="E8574" s="16">
        <f>IFERROR(__xludf.DUMMYFUNCTION("""COMPUTED_VALUE"""),64.0)</f>
        <v>64</v>
      </c>
      <c r="F8574" s="19" t="str">
        <f>IFERROR(__xludf.DUMMYFUNCTION("""COMPUTED_VALUE"""),"BLACK")</f>
        <v>BLACK</v>
      </c>
      <c r="G8574" s="20" t="str">
        <f>IFERROR(__xludf.DUMMYFUNCTION("""COMPUTED_VALUE"""),"Uncle Sams Cider (04/04/2023)")</f>
        <v>Uncle Sams Cider (04/04/2023)</v>
      </c>
      <c r="H8574" s="19"/>
    </row>
    <row r="8575">
      <c r="A8575" s="9"/>
      <c r="B8575" s="15"/>
      <c r="C8575" s="9">
        <f>IFERROR(__xludf.DUMMYFUNCTION("""COMPUTED_VALUE"""),45054.2949160995)</f>
        <v>45054.29492</v>
      </c>
      <c r="D8575" s="15">
        <f>IFERROR(__xludf.DUMMYFUNCTION("""COMPUTED_VALUE"""),1.02)</f>
        <v>1.02</v>
      </c>
      <c r="E8575" s="16">
        <f>IFERROR(__xludf.DUMMYFUNCTION("""COMPUTED_VALUE"""),64.0)</f>
        <v>64</v>
      </c>
      <c r="F8575" s="19" t="str">
        <f>IFERROR(__xludf.DUMMYFUNCTION("""COMPUTED_VALUE"""),"BLACK")</f>
        <v>BLACK</v>
      </c>
      <c r="G8575" s="20" t="str">
        <f>IFERROR(__xludf.DUMMYFUNCTION("""COMPUTED_VALUE"""),"Uncle Sams Cider (04/04/2023)")</f>
        <v>Uncle Sams Cider (04/04/2023)</v>
      </c>
      <c r="H8575" s="19"/>
    </row>
    <row r="8576">
      <c r="A8576" s="9"/>
      <c r="B8576" s="15"/>
      <c r="C8576" s="9">
        <f>IFERROR(__xludf.DUMMYFUNCTION("""COMPUTED_VALUE"""),45054.2844947453)</f>
        <v>45054.28449</v>
      </c>
      <c r="D8576" s="15">
        <f>IFERROR(__xludf.DUMMYFUNCTION("""COMPUTED_VALUE"""),1.02)</f>
        <v>1.02</v>
      </c>
      <c r="E8576" s="16">
        <f>IFERROR(__xludf.DUMMYFUNCTION("""COMPUTED_VALUE"""),64.0)</f>
        <v>64</v>
      </c>
      <c r="F8576" s="19" t="str">
        <f>IFERROR(__xludf.DUMMYFUNCTION("""COMPUTED_VALUE"""),"BLACK")</f>
        <v>BLACK</v>
      </c>
      <c r="G8576" s="20" t="str">
        <f>IFERROR(__xludf.DUMMYFUNCTION("""COMPUTED_VALUE"""),"Uncle Sams Cider (04/04/2023)")</f>
        <v>Uncle Sams Cider (04/04/2023)</v>
      </c>
      <c r="H8576" s="19"/>
    </row>
    <row r="8577">
      <c r="A8577" s="9"/>
      <c r="B8577" s="15"/>
      <c r="C8577" s="9">
        <f>IFERROR(__xludf.DUMMYFUNCTION("""COMPUTED_VALUE"""),45054.274074618)</f>
        <v>45054.27407</v>
      </c>
      <c r="D8577" s="15">
        <f>IFERROR(__xludf.DUMMYFUNCTION("""COMPUTED_VALUE"""),1.02)</f>
        <v>1.02</v>
      </c>
      <c r="E8577" s="16">
        <f>IFERROR(__xludf.DUMMYFUNCTION("""COMPUTED_VALUE"""),64.0)</f>
        <v>64</v>
      </c>
      <c r="F8577" s="19" t="str">
        <f>IFERROR(__xludf.DUMMYFUNCTION("""COMPUTED_VALUE"""),"BLACK")</f>
        <v>BLACK</v>
      </c>
      <c r="G8577" s="20" t="str">
        <f>IFERROR(__xludf.DUMMYFUNCTION("""COMPUTED_VALUE"""),"Uncle Sams Cider (04/04/2023)")</f>
        <v>Uncle Sams Cider (04/04/2023)</v>
      </c>
      <c r="H8577" s="19"/>
    </row>
    <row r="8578">
      <c r="A8578" s="9"/>
      <c r="B8578" s="15"/>
      <c r="C8578" s="9">
        <f>IFERROR(__xludf.DUMMYFUNCTION("""COMPUTED_VALUE"""),45054.2636531481)</f>
        <v>45054.26365</v>
      </c>
      <c r="D8578" s="15">
        <f>IFERROR(__xludf.DUMMYFUNCTION("""COMPUTED_VALUE"""),1.02)</f>
        <v>1.02</v>
      </c>
      <c r="E8578" s="16">
        <f>IFERROR(__xludf.DUMMYFUNCTION("""COMPUTED_VALUE"""),64.0)</f>
        <v>64</v>
      </c>
      <c r="F8578" s="19" t="str">
        <f>IFERROR(__xludf.DUMMYFUNCTION("""COMPUTED_VALUE"""),"BLACK")</f>
        <v>BLACK</v>
      </c>
      <c r="G8578" s="20" t="str">
        <f>IFERROR(__xludf.DUMMYFUNCTION("""COMPUTED_VALUE"""),"Uncle Sams Cider (04/04/2023)")</f>
        <v>Uncle Sams Cider (04/04/2023)</v>
      </c>
      <c r="H8578" s="19"/>
    </row>
    <row r="8579">
      <c r="A8579" s="9"/>
      <c r="B8579" s="15"/>
      <c r="C8579" s="9">
        <f>IFERROR(__xludf.DUMMYFUNCTION("""COMPUTED_VALUE"""),45054.2532195023)</f>
        <v>45054.25322</v>
      </c>
      <c r="D8579" s="15">
        <f>IFERROR(__xludf.DUMMYFUNCTION("""COMPUTED_VALUE"""),1.02)</f>
        <v>1.02</v>
      </c>
      <c r="E8579" s="16">
        <f>IFERROR(__xludf.DUMMYFUNCTION("""COMPUTED_VALUE"""),64.0)</f>
        <v>64</v>
      </c>
      <c r="F8579" s="19" t="str">
        <f>IFERROR(__xludf.DUMMYFUNCTION("""COMPUTED_VALUE"""),"BLACK")</f>
        <v>BLACK</v>
      </c>
      <c r="G8579" s="20" t="str">
        <f>IFERROR(__xludf.DUMMYFUNCTION("""COMPUTED_VALUE"""),"Uncle Sams Cider (04/04/2023)")</f>
        <v>Uncle Sams Cider (04/04/2023)</v>
      </c>
      <c r="H8579" s="19"/>
    </row>
    <row r="8580">
      <c r="A8580" s="9"/>
      <c r="B8580" s="15"/>
      <c r="C8580" s="9">
        <f>IFERROR(__xludf.DUMMYFUNCTION("""COMPUTED_VALUE"""),45054.242798831)</f>
        <v>45054.2428</v>
      </c>
      <c r="D8580" s="15">
        <f>IFERROR(__xludf.DUMMYFUNCTION("""COMPUTED_VALUE"""),1.02)</f>
        <v>1.02</v>
      </c>
      <c r="E8580" s="16">
        <f>IFERROR(__xludf.DUMMYFUNCTION("""COMPUTED_VALUE"""),64.0)</f>
        <v>64</v>
      </c>
      <c r="F8580" s="19" t="str">
        <f>IFERROR(__xludf.DUMMYFUNCTION("""COMPUTED_VALUE"""),"BLACK")</f>
        <v>BLACK</v>
      </c>
      <c r="G8580" s="20" t="str">
        <f>IFERROR(__xludf.DUMMYFUNCTION("""COMPUTED_VALUE"""),"Uncle Sams Cider (04/04/2023)")</f>
        <v>Uncle Sams Cider (04/04/2023)</v>
      </c>
      <c r="H8580" s="19"/>
    </row>
    <row r="8581">
      <c r="A8581" s="9"/>
      <c r="B8581" s="15"/>
      <c r="C8581" s="9">
        <f>IFERROR(__xludf.DUMMYFUNCTION("""COMPUTED_VALUE"""),45054.2323669675)</f>
        <v>45054.23237</v>
      </c>
      <c r="D8581" s="15">
        <f>IFERROR(__xludf.DUMMYFUNCTION("""COMPUTED_VALUE"""),1.02)</f>
        <v>1.02</v>
      </c>
      <c r="E8581" s="16">
        <f>IFERROR(__xludf.DUMMYFUNCTION("""COMPUTED_VALUE"""),64.0)</f>
        <v>64</v>
      </c>
      <c r="F8581" s="19" t="str">
        <f>IFERROR(__xludf.DUMMYFUNCTION("""COMPUTED_VALUE"""),"BLACK")</f>
        <v>BLACK</v>
      </c>
      <c r="G8581" s="20" t="str">
        <f>IFERROR(__xludf.DUMMYFUNCTION("""COMPUTED_VALUE"""),"Uncle Sams Cider (04/04/2023)")</f>
        <v>Uncle Sams Cider (04/04/2023)</v>
      </c>
      <c r="H8581" s="19"/>
    </row>
    <row r="8582">
      <c r="A8582" s="9"/>
      <c r="B8582" s="15"/>
      <c r="C8582" s="9">
        <f>IFERROR(__xludf.DUMMYFUNCTION("""COMPUTED_VALUE"""),45054.2219436921)</f>
        <v>45054.22194</v>
      </c>
      <c r="D8582" s="15">
        <f>IFERROR(__xludf.DUMMYFUNCTION("""COMPUTED_VALUE"""),1.021)</f>
        <v>1.021</v>
      </c>
      <c r="E8582" s="16">
        <f>IFERROR(__xludf.DUMMYFUNCTION("""COMPUTED_VALUE"""),64.0)</f>
        <v>64</v>
      </c>
      <c r="F8582" s="19" t="str">
        <f>IFERROR(__xludf.DUMMYFUNCTION("""COMPUTED_VALUE"""),"BLACK")</f>
        <v>BLACK</v>
      </c>
      <c r="G8582" s="20" t="str">
        <f>IFERROR(__xludf.DUMMYFUNCTION("""COMPUTED_VALUE"""),"Uncle Sams Cider (04/04/2023)")</f>
        <v>Uncle Sams Cider (04/04/2023)</v>
      </c>
      <c r="H8582" s="19"/>
    </row>
    <row r="8583">
      <c r="A8583" s="9"/>
      <c r="B8583" s="15"/>
      <c r="C8583" s="9">
        <f>IFERROR(__xludf.DUMMYFUNCTION("""COMPUTED_VALUE"""),45054.21152103)</f>
        <v>45054.21152</v>
      </c>
      <c r="D8583" s="15">
        <f>IFERROR(__xludf.DUMMYFUNCTION("""COMPUTED_VALUE"""),1.021)</f>
        <v>1.021</v>
      </c>
      <c r="E8583" s="16">
        <f>IFERROR(__xludf.DUMMYFUNCTION("""COMPUTED_VALUE"""),64.0)</f>
        <v>64</v>
      </c>
      <c r="F8583" s="19" t="str">
        <f>IFERROR(__xludf.DUMMYFUNCTION("""COMPUTED_VALUE"""),"BLACK")</f>
        <v>BLACK</v>
      </c>
      <c r="G8583" s="20" t="str">
        <f>IFERROR(__xludf.DUMMYFUNCTION("""COMPUTED_VALUE"""),"Uncle Sams Cider (04/04/2023)")</f>
        <v>Uncle Sams Cider (04/04/2023)</v>
      </c>
      <c r="H8583" s="19"/>
    </row>
    <row r="8584">
      <c r="A8584" s="9"/>
      <c r="B8584" s="15"/>
      <c r="C8584" s="9">
        <f>IFERROR(__xludf.DUMMYFUNCTION("""COMPUTED_VALUE"""),45054.2010780787)</f>
        <v>45054.20108</v>
      </c>
      <c r="D8584" s="15">
        <f>IFERROR(__xludf.DUMMYFUNCTION("""COMPUTED_VALUE"""),1.02)</f>
        <v>1.02</v>
      </c>
      <c r="E8584" s="16">
        <f>IFERROR(__xludf.DUMMYFUNCTION("""COMPUTED_VALUE"""),64.0)</f>
        <v>64</v>
      </c>
      <c r="F8584" s="19" t="str">
        <f>IFERROR(__xludf.DUMMYFUNCTION("""COMPUTED_VALUE"""),"BLACK")</f>
        <v>BLACK</v>
      </c>
      <c r="G8584" s="20" t="str">
        <f>IFERROR(__xludf.DUMMYFUNCTION("""COMPUTED_VALUE"""),"Uncle Sams Cider (04/04/2023)")</f>
        <v>Uncle Sams Cider (04/04/2023)</v>
      </c>
      <c r="H8584" s="19"/>
    </row>
    <row r="8585">
      <c r="A8585" s="9"/>
      <c r="B8585" s="15"/>
      <c r="C8585" s="9">
        <f>IFERROR(__xludf.DUMMYFUNCTION("""COMPUTED_VALUE"""),45054.1906565972)</f>
        <v>45054.19066</v>
      </c>
      <c r="D8585" s="15">
        <f>IFERROR(__xludf.DUMMYFUNCTION("""COMPUTED_VALUE"""),1.021)</f>
        <v>1.021</v>
      </c>
      <c r="E8585" s="16">
        <f>IFERROR(__xludf.DUMMYFUNCTION("""COMPUTED_VALUE"""),64.0)</f>
        <v>64</v>
      </c>
      <c r="F8585" s="19" t="str">
        <f>IFERROR(__xludf.DUMMYFUNCTION("""COMPUTED_VALUE"""),"BLACK")</f>
        <v>BLACK</v>
      </c>
      <c r="G8585" s="20" t="str">
        <f>IFERROR(__xludf.DUMMYFUNCTION("""COMPUTED_VALUE"""),"Uncle Sams Cider (04/04/2023)")</f>
        <v>Uncle Sams Cider (04/04/2023)</v>
      </c>
      <c r="H8585" s="19"/>
    </row>
    <row r="8586">
      <c r="A8586" s="9"/>
      <c r="B8586" s="15"/>
      <c r="C8586" s="9">
        <f>IFERROR(__xludf.DUMMYFUNCTION("""COMPUTED_VALUE"""),45054.1802253935)</f>
        <v>45054.18023</v>
      </c>
      <c r="D8586" s="15">
        <f>IFERROR(__xludf.DUMMYFUNCTION("""COMPUTED_VALUE"""),1.021)</f>
        <v>1.021</v>
      </c>
      <c r="E8586" s="16">
        <f>IFERROR(__xludf.DUMMYFUNCTION("""COMPUTED_VALUE"""),64.0)</f>
        <v>64</v>
      </c>
      <c r="F8586" s="19" t="str">
        <f>IFERROR(__xludf.DUMMYFUNCTION("""COMPUTED_VALUE"""),"BLACK")</f>
        <v>BLACK</v>
      </c>
      <c r="G8586" s="20" t="str">
        <f>IFERROR(__xludf.DUMMYFUNCTION("""COMPUTED_VALUE"""),"Uncle Sams Cider (04/04/2023)")</f>
        <v>Uncle Sams Cider (04/04/2023)</v>
      </c>
      <c r="H8586" s="19"/>
    </row>
    <row r="8587">
      <c r="A8587" s="9"/>
      <c r="B8587" s="15"/>
      <c r="C8587" s="9">
        <f>IFERROR(__xludf.DUMMYFUNCTION("""COMPUTED_VALUE"""),45054.1697923611)</f>
        <v>45054.16979</v>
      </c>
      <c r="D8587" s="15">
        <f>IFERROR(__xludf.DUMMYFUNCTION("""COMPUTED_VALUE"""),1.02)</f>
        <v>1.02</v>
      </c>
      <c r="E8587" s="16">
        <f>IFERROR(__xludf.DUMMYFUNCTION("""COMPUTED_VALUE"""),64.0)</f>
        <v>64</v>
      </c>
      <c r="F8587" s="19" t="str">
        <f>IFERROR(__xludf.DUMMYFUNCTION("""COMPUTED_VALUE"""),"BLACK")</f>
        <v>BLACK</v>
      </c>
      <c r="G8587" s="20" t="str">
        <f>IFERROR(__xludf.DUMMYFUNCTION("""COMPUTED_VALUE"""),"Uncle Sams Cider (04/04/2023)")</f>
        <v>Uncle Sams Cider (04/04/2023)</v>
      </c>
      <c r="H8587" s="19"/>
    </row>
    <row r="8588">
      <c r="A8588" s="9"/>
      <c r="B8588" s="15"/>
      <c r="C8588" s="9">
        <f>IFERROR(__xludf.DUMMYFUNCTION("""COMPUTED_VALUE"""),45054.1593721412)</f>
        <v>45054.15937</v>
      </c>
      <c r="D8588" s="15">
        <f>IFERROR(__xludf.DUMMYFUNCTION("""COMPUTED_VALUE"""),1.02)</f>
        <v>1.02</v>
      </c>
      <c r="E8588" s="16">
        <f>IFERROR(__xludf.DUMMYFUNCTION("""COMPUTED_VALUE"""),64.0)</f>
        <v>64</v>
      </c>
      <c r="F8588" s="19" t="str">
        <f>IFERROR(__xludf.DUMMYFUNCTION("""COMPUTED_VALUE"""),"BLACK")</f>
        <v>BLACK</v>
      </c>
      <c r="G8588" s="20" t="str">
        <f>IFERROR(__xludf.DUMMYFUNCTION("""COMPUTED_VALUE"""),"Uncle Sams Cider (04/04/2023)")</f>
        <v>Uncle Sams Cider (04/04/2023)</v>
      </c>
      <c r="H8588" s="19"/>
    </row>
    <row r="8589">
      <c r="A8589" s="9"/>
      <c r="B8589" s="15"/>
      <c r="C8589" s="9">
        <f>IFERROR(__xludf.DUMMYFUNCTION("""COMPUTED_VALUE"""),45054.1489389583)</f>
        <v>45054.14894</v>
      </c>
      <c r="D8589" s="15">
        <f>IFERROR(__xludf.DUMMYFUNCTION("""COMPUTED_VALUE"""),1.02)</f>
        <v>1.02</v>
      </c>
      <c r="E8589" s="16">
        <f>IFERROR(__xludf.DUMMYFUNCTION("""COMPUTED_VALUE"""),64.0)</f>
        <v>64</v>
      </c>
      <c r="F8589" s="19" t="str">
        <f>IFERROR(__xludf.DUMMYFUNCTION("""COMPUTED_VALUE"""),"BLACK")</f>
        <v>BLACK</v>
      </c>
      <c r="G8589" s="20" t="str">
        <f>IFERROR(__xludf.DUMMYFUNCTION("""COMPUTED_VALUE"""),"Uncle Sams Cider (04/04/2023)")</f>
        <v>Uncle Sams Cider (04/04/2023)</v>
      </c>
      <c r="H8589" s="19"/>
    </row>
    <row r="8590">
      <c r="A8590" s="9"/>
      <c r="B8590" s="15"/>
      <c r="C8590" s="9">
        <f>IFERROR(__xludf.DUMMYFUNCTION("""COMPUTED_VALUE"""),45054.1385181134)</f>
        <v>45054.13852</v>
      </c>
      <c r="D8590" s="15">
        <f>IFERROR(__xludf.DUMMYFUNCTION("""COMPUTED_VALUE"""),1.02)</f>
        <v>1.02</v>
      </c>
      <c r="E8590" s="16">
        <f>IFERROR(__xludf.DUMMYFUNCTION("""COMPUTED_VALUE"""),64.0)</f>
        <v>64</v>
      </c>
      <c r="F8590" s="19" t="str">
        <f>IFERROR(__xludf.DUMMYFUNCTION("""COMPUTED_VALUE"""),"BLACK")</f>
        <v>BLACK</v>
      </c>
      <c r="G8590" s="20" t="str">
        <f>IFERROR(__xludf.DUMMYFUNCTION("""COMPUTED_VALUE"""),"Uncle Sams Cider (04/04/2023)")</f>
        <v>Uncle Sams Cider (04/04/2023)</v>
      </c>
      <c r="H8590" s="19"/>
    </row>
    <row r="8591">
      <c r="A8591" s="9"/>
      <c r="B8591" s="15"/>
      <c r="C8591" s="9">
        <f>IFERROR(__xludf.DUMMYFUNCTION("""COMPUTED_VALUE"""),45054.1280974652)</f>
        <v>45054.1281</v>
      </c>
      <c r="D8591" s="15">
        <f>IFERROR(__xludf.DUMMYFUNCTION("""COMPUTED_VALUE"""),1.021)</f>
        <v>1.021</v>
      </c>
      <c r="E8591" s="16">
        <f>IFERROR(__xludf.DUMMYFUNCTION("""COMPUTED_VALUE"""),64.0)</f>
        <v>64</v>
      </c>
      <c r="F8591" s="19" t="str">
        <f>IFERROR(__xludf.DUMMYFUNCTION("""COMPUTED_VALUE"""),"BLACK")</f>
        <v>BLACK</v>
      </c>
      <c r="G8591" s="20" t="str">
        <f>IFERROR(__xludf.DUMMYFUNCTION("""COMPUTED_VALUE"""),"Uncle Sams Cider (04/04/2023)")</f>
        <v>Uncle Sams Cider (04/04/2023)</v>
      </c>
      <c r="H8591" s="19"/>
    </row>
    <row r="8592">
      <c r="A8592" s="9"/>
      <c r="B8592" s="15"/>
      <c r="C8592" s="9">
        <f>IFERROR(__xludf.DUMMYFUNCTION("""COMPUTED_VALUE"""),45054.1176766551)</f>
        <v>45054.11768</v>
      </c>
      <c r="D8592" s="15">
        <f>IFERROR(__xludf.DUMMYFUNCTION("""COMPUTED_VALUE"""),1.021)</f>
        <v>1.021</v>
      </c>
      <c r="E8592" s="16">
        <f>IFERROR(__xludf.DUMMYFUNCTION("""COMPUTED_VALUE"""),64.0)</f>
        <v>64</v>
      </c>
      <c r="F8592" s="19" t="str">
        <f>IFERROR(__xludf.DUMMYFUNCTION("""COMPUTED_VALUE"""),"BLACK")</f>
        <v>BLACK</v>
      </c>
      <c r="G8592" s="20" t="str">
        <f>IFERROR(__xludf.DUMMYFUNCTION("""COMPUTED_VALUE"""),"Uncle Sams Cider (04/04/2023)")</f>
        <v>Uncle Sams Cider (04/04/2023)</v>
      </c>
      <c r="H8592" s="19"/>
    </row>
    <row r="8593">
      <c r="A8593" s="9"/>
      <c r="B8593" s="15"/>
      <c r="C8593" s="9">
        <f>IFERROR(__xludf.DUMMYFUNCTION("""COMPUTED_VALUE"""),45054.107245625)</f>
        <v>45054.10725</v>
      </c>
      <c r="D8593" s="15">
        <f>IFERROR(__xludf.DUMMYFUNCTION("""COMPUTED_VALUE"""),1.021)</f>
        <v>1.021</v>
      </c>
      <c r="E8593" s="16">
        <f>IFERROR(__xludf.DUMMYFUNCTION("""COMPUTED_VALUE"""),64.0)</f>
        <v>64</v>
      </c>
      <c r="F8593" s="19" t="str">
        <f>IFERROR(__xludf.DUMMYFUNCTION("""COMPUTED_VALUE"""),"BLACK")</f>
        <v>BLACK</v>
      </c>
      <c r="G8593" s="20" t="str">
        <f>IFERROR(__xludf.DUMMYFUNCTION("""COMPUTED_VALUE"""),"Uncle Sams Cider (04/04/2023)")</f>
        <v>Uncle Sams Cider (04/04/2023)</v>
      </c>
      <c r="H8593" s="19"/>
    </row>
    <row r="8594">
      <c r="A8594" s="9"/>
      <c r="B8594" s="15"/>
      <c r="C8594" s="9">
        <f>IFERROR(__xludf.DUMMYFUNCTION("""COMPUTED_VALUE"""),45054.0863917939)</f>
        <v>45054.08639</v>
      </c>
      <c r="D8594" s="15">
        <f>IFERROR(__xludf.DUMMYFUNCTION("""COMPUTED_VALUE"""),1.021)</f>
        <v>1.021</v>
      </c>
      <c r="E8594" s="16">
        <f>IFERROR(__xludf.DUMMYFUNCTION("""COMPUTED_VALUE"""),64.0)</f>
        <v>64</v>
      </c>
      <c r="F8594" s="19" t="str">
        <f>IFERROR(__xludf.DUMMYFUNCTION("""COMPUTED_VALUE"""),"BLACK")</f>
        <v>BLACK</v>
      </c>
      <c r="G8594" s="20" t="str">
        <f>IFERROR(__xludf.DUMMYFUNCTION("""COMPUTED_VALUE"""),"Uncle Sams Cider (04/04/2023)")</f>
        <v>Uncle Sams Cider (04/04/2023)</v>
      </c>
      <c r="H8594" s="19"/>
    </row>
    <row r="8595">
      <c r="A8595" s="9"/>
      <c r="B8595" s="15"/>
      <c r="C8595" s="9">
        <f>IFERROR(__xludf.DUMMYFUNCTION("""COMPUTED_VALUE"""),45054.0759707407)</f>
        <v>45054.07597</v>
      </c>
      <c r="D8595" s="15">
        <f>IFERROR(__xludf.DUMMYFUNCTION("""COMPUTED_VALUE"""),1.02)</f>
        <v>1.02</v>
      </c>
      <c r="E8595" s="16">
        <f>IFERROR(__xludf.DUMMYFUNCTION("""COMPUTED_VALUE"""),64.0)</f>
        <v>64</v>
      </c>
      <c r="F8595" s="19" t="str">
        <f>IFERROR(__xludf.DUMMYFUNCTION("""COMPUTED_VALUE"""),"BLACK")</f>
        <v>BLACK</v>
      </c>
      <c r="G8595" s="20" t="str">
        <f>IFERROR(__xludf.DUMMYFUNCTION("""COMPUTED_VALUE"""),"Uncle Sams Cider (04/04/2023)")</f>
        <v>Uncle Sams Cider (04/04/2023)</v>
      </c>
      <c r="H8595" s="19"/>
    </row>
    <row r="8596">
      <c r="A8596" s="9"/>
      <c r="B8596" s="15"/>
      <c r="C8596" s="9">
        <f>IFERROR(__xludf.DUMMYFUNCTION("""COMPUTED_VALUE"""),45054.0655395949)</f>
        <v>45054.06554</v>
      </c>
      <c r="D8596" s="15">
        <f>IFERROR(__xludf.DUMMYFUNCTION("""COMPUTED_VALUE"""),1.021)</f>
        <v>1.021</v>
      </c>
      <c r="E8596" s="16">
        <f>IFERROR(__xludf.DUMMYFUNCTION("""COMPUTED_VALUE"""),64.0)</f>
        <v>64</v>
      </c>
      <c r="F8596" s="19" t="str">
        <f>IFERROR(__xludf.DUMMYFUNCTION("""COMPUTED_VALUE"""),"BLACK")</f>
        <v>BLACK</v>
      </c>
      <c r="G8596" s="20" t="str">
        <f>IFERROR(__xludf.DUMMYFUNCTION("""COMPUTED_VALUE"""),"Uncle Sams Cider (04/04/2023)")</f>
        <v>Uncle Sams Cider (04/04/2023)</v>
      </c>
      <c r="H8596" s="19"/>
    </row>
    <row r="8597">
      <c r="A8597" s="9"/>
      <c r="B8597" s="15"/>
      <c r="C8597" s="9">
        <f>IFERROR(__xludf.DUMMYFUNCTION("""COMPUTED_VALUE"""),45054.055119456)</f>
        <v>45054.05512</v>
      </c>
      <c r="D8597" s="15">
        <f>IFERROR(__xludf.DUMMYFUNCTION("""COMPUTED_VALUE"""),1.021)</f>
        <v>1.021</v>
      </c>
      <c r="E8597" s="16">
        <f>IFERROR(__xludf.DUMMYFUNCTION("""COMPUTED_VALUE"""),64.0)</f>
        <v>64</v>
      </c>
      <c r="F8597" s="19" t="str">
        <f>IFERROR(__xludf.DUMMYFUNCTION("""COMPUTED_VALUE"""),"BLACK")</f>
        <v>BLACK</v>
      </c>
      <c r="G8597" s="20" t="str">
        <f>IFERROR(__xludf.DUMMYFUNCTION("""COMPUTED_VALUE"""),"Uncle Sams Cider (04/04/2023)")</f>
        <v>Uncle Sams Cider (04/04/2023)</v>
      </c>
      <c r="H8597" s="19"/>
    </row>
    <row r="8598">
      <c r="A8598" s="9"/>
      <c r="B8598" s="15"/>
      <c r="C8598" s="9">
        <f>IFERROR(__xludf.DUMMYFUNCTION("""COMPUTED_VALUE"""),45054.0446979051)</f>
        <v>45054.0447</v>
      </c>
      <c r="D8598" s="15">
        <f>IFERROR(__xludf.DUMMYFUNCTION("""COMPUTED_VALUE"""),1.021)</f>
        <v>1.021</v>
      </c>
      <c r="E8598" s="16">
        <f>IFERROR(__xludf.DUMMYFUNCTION("""COMPUTED_VALUE"""),64.0)</f>
        <v>64</v>
      </c>
      <c r="F8598" s="19" t="str">
        <f>IFERROR(__xludf.DUMMYFUNCTION("""COMPUTED_VALUE"""),"BLACK")</f>
        <v>BLACK</v>
      </c>
      <c r="G8598" s="20" t="str">
        <f>IFERROR(__xludf.DUMMYFUNCTION("""COMPUTED_VALUE"""),"Uncle Sams Cider (04/04/2023)")</f>
        <v>Uncle Sams Cider (04/04/2023)</v>
      </c>
      <c r="H8598" s="19"/>
    </row>
    <row r="8599">
      <c r="A8599" s="9"/>
      <c r="B8599" s="15"/>
      <c r="C8599" s="9">
        <f>IFERROR(__xludf.DUMMYFUNCTION("""COMPUTED_VALUE"""),45054.034265625)</f>
        <v>45054.03427</v>
      </c>
      <c r="D8599" s="15">
        <f>IFERROR(__xludf.DUMMYFUNCTION("""COMPUTED_VALUE"""),1.021)</f>
        <v>1.021</v>
      </c>
      <c r="E8599" s="16">
        <f>IFERROR(__xludf.DUMMYFUNCTION("""COMPUTED_VALUE"""),64.0)</f>
        <v>64</v>
      </c>
      <c r="F8599" s="19" t="str">
        <f>IFERROR(__xludf.DUMMYFUNCTION("""COMPUTED_VALUE"""),"BLACK")</f>
        <v>BLACK</v>
      </c>
      <c r="G8599" s="20" t="str">
        <f>IFERROR(__xludf.DUMMYFUNCTION("""COMPUTED_VALUE"""),"Uncle Sams Cider (04/04/2023)")</f>
        <v>Uncle Sams Cider (04/04/2023)</v>
      </c>
      <c r="H8599" s="19"/>
    </row>
    <row r="8600">
      <c r="A8600" s="9"/>
      <c r="B8600" s="15"/>
      <c r="C8600" s="9">
        <f>IFERROR(__xludf.DUMMYFUNCTION("""COMPUTED_VALUE"""),45054.0238453935)</f>
        <v>45054.02385</v>
      </c>
      <c r="D8600" s="15">
        <f>IFERROR(__xludf.DUMMYFUNCTION("""COMPUTED_VALUE"""),1.021)</f>
        <v>1.021</v>
      </c>
      <c r="E8600" s="16">
        <f>IFERROR(__xludf.DUMMYFUNCTION("""COMPUTED_VALUE"""),64.0)</f>
        <v>64</v>
      </c>
      <c r="F8600" s="19" t="str">
        <f>IFERROR(__xludf.DUMMYFUNCTION("""COMPUTED_VALUE"""),"BLACK")</f>
        <v>BLACK</v>
      </c>
      <c r="G8600" s="20" t="str">
        <f>IFERROR(__xludf.DUMMYFUNCTION("""COMPUTED_VALUE"""),"Uncle Sams Cider (04/04/2023)")</f>
        <v>Uncle Sams Cider (04/04/2023)</v>
      </c>
      <c r="H8600" s="19"/>
    </row>
    <row r="8601">
      <c r="A8601" s="9"/>
      <c r="B8601" s="15"/>
      <c r="C8601" s="9">
        <f>IFERROR(__xludf.DUMMYFUNCTION("""COMPUTED_VALUE"""),45054.0134121527)</f>
        <v>45054.01341</v>
      </c>
      <c r="D8601" s="15">
        <f>IFERROR(__xludf.DUMMYFUNCTION("""COMPUTED_VALUE"""),1.021)</f>
        <v>1.021</v>
      </c>
      <c r="E8601" s="16">
        <f>IFERROR(__xludf.DUMMYFUNCTION("""COMPUTED_VALUE"""),64.0)</f>
        <v>64</v>
      </c>
      <c r="F8601" s="19" t="str">
        <f>IFERROR(__xludf.DUMMYFUNCTION("""COMPUTED_VALUE"""),"BLACK")</f>
        <v>BLACK</v>
      </c>
      <c r="G8601" s="20" t="str">
        <f>IFERROR(__xludf.DUMMYFUNCTION("""COMPUTED_VALUE"""),"Uncle Sams Cider (04/04/2023)")</f>
        <v>Uncle Sams Cider (04/04/2023)</v>
      </c>
      <c r="H8601" s="19"/>
    </row>
    <row r="8602">
      <c r="A8602" s="9"/>
      <c r="B8602" s="15"/>
      <c r="C8602" s="9">
        <f>IFERROR(__xludf.DUMMYFUNCTION("""COMPUTED_VALUE"""),45054.002990162)</f>
        <v>45054.00299</v>
      </c>
      <c r="D8602" s="15">
        <f>IFERROR(__xludf.DUMMYFUNCTION("""COMPUTED_VALUE"""),1.021)</f>
        <v>1.021</v>
      </c>
      <c r="E8602" s="16">
        <f>IFERROR(__xludf.DUMMYFUNCTION("""COMPUTED_VALUE"""),64.0)</f>
        <v>64</v>
      </c>
      <c r="F8602" s="19" t="str">
        <f>IFERROR(__xludf.DUMMYFUNCTION("""COMPUTED_VALUE"""),"BLACK")</f>
        <v>BLACK</v>
      </c>
      <c r="G8602" s="20" t="str">
        <f>IFERROR(__xludf.DUMMYFUNCTION("""COMPUTED_VALUE"""),"Uncle Sams Cider (04/04/2023)")</f>
        <v>Uncle Sams Cider (04/04/2023)</v>
      </c>
      <c r="H8602" s="19"/>
    </row>
    <row r="8603">
      <c r="A8603" s="9"/>
      <c r="B8603" s="15"/>
      <c r="C8603" s="9">
        <f>IFERROR(__xludf.DUMMYFUNCTION("""COMPUTED_VALUE"""),45053.992568993)</f>
        <v>45053.99257</v>
      </c>
      <c r="D8603" s="15">
        <f>IFERROR(__xludf.DUMMYFUNCTION("""COMPUTED_VALUE"""),1.021)</f>
        <v>1.021</v>
      </c>
      <c r="E8603" s="16">
        <f>IFERROR(__xludf.DUMMYFUNCTION("""COMPUTED_VALUE"""),64.0)</f>
        <v>64</v>
      </c>
      <c r="F8603" s="19" t="str">
        <f>IFERROR(__xludf.DUMMYFUNCTION("""COMPUTED_VALUE"""),"BLACK")</f>
        <v>BLACK</v>
      </c>
      <c r="G8603" s="20" t="str">
        <f>IFERROR(__xludf.DUMMYFUNCTION("""COMPUTED_VALUE"""),"Uncle Sams Cider (04/04/2023)")</f>
        <v>Uncle Sams Cider (04/04/2023)</v>
      </c>
      <c r="H8603" s="19"/>
    </row>
    <row r="8604">
      <c r="A8604" s="9"/>
      <c r="B8604" s="15"/>
      <c r="C8604" s="9">
        <f>IFERROR(__xludf.DUMMYFUNCTION("""COMPUTED_VALUE"""),45053.9821460995)</f>
        <v>45053.98215</v>
      </c>
      <c r="D8604" s="15">
        <f>IFERROR(__xludf.DUMMYFUNCTION("""COMPUTED_VALUE"""),1.021)</f>
        <v>1.021</v>
      </c>
      <c r="E8604" s="16">
        <f>IFERROR(__xludf.DUMMYFUNCTION("""COMPUTED_VALUE"""),64.0)</f>
        <v>64</v>
      </c>
      <c r="F8604" s="19" t="str">
        <f>IFERROR(__xludf.DUMMYFUNCTION("""COMPUTED_VALUE"""),"BLACK")</f>
        <v>BLACK</v>
      </c>
      <c r="G8604" s="20" t="str">
        <f>IFERROR(__xludf.DUMMYFUNCTION("""COMPUTED_VALUE"""),"Uncle Sams Cider (04/04/2023)")</f>
        <v>Uncle Sams Cider (04/04/2023)</v>
      </c>
      <c r="H8604" s="19"/>
    </row>
    <row r="8605">
      <c r="A8605" s="9"/>
      <c r="B8605" s="15"/>
      <c r="C8605" s="9">
        <f>IFERROR(__xludf.DUMMYFUNCTION("""COMPUTED_VALUE"""),45053.9717018634)</f>
        <v>45053.9717</v>
      </c>
      <c r="D8605" s="15">
        <f>IFERROR(__xludf.DUMMYFUNCTION("""COMPUTED_VALUE"""),1.021)</f>
        <v>1.021</v>
      </c>
      <c r="E8605" s="16">
        <f>IFERROR(__xludf.DUMMYFUNCTION("""COMPUTED_VALUE"""),64.0)</f>
        <v>64</v>
      </c>
      <c r="F8605" s="19" t="str">
        <f>IFERROR(__xludf.DUMMYFUNCTION("""COMPUTED_VALUE"""),"BLACK")</f>
        <v>BLACK</v>
      </c>
      <c r="G8605" s="20" t="str">
        <f>IFERROR(__xludf.DUMMYFUNCTION("""COMPUTED_VALUE"""),"Uncle Sams Cider (04/04/2023)")</f>
        <v>Uncle Sams Cider (04/04/2023)</v>
      </c>
      <c r="H8605" s="19"/>
    </row>
    <row r="8606">
      <c r="A8606" s="9"/>
      <c r="B8606" s="15"/>
      <c r="C8606" s="9">
        <f>IFERROR(__xludf.DUMMYFUNCTION("""COMPUTED_VALUE"""),45053.9612810416)</f>
        <v>45053.96128</v>
      </c>
      <c r="D8606" s="15">
        <f>IFERROR(__xludf.DUMMYFUNCTION("""COMPUTED_VALUE"""),1.021)</f>
        <v>1.021</v>
      </c>
      <c r="E8606" s="16">
        <f>IFERROR(__xludf.DUMMYFUNCTION("""COMPUTED_VALUE"""),64.0)</f>
        <v>64</v>
      </c>
      <c r="F8606" s="19" t="str">
        <f>IFERROR(__xludf.DUMMYFUNCTION("""COMPUTED_VALUE"""),"BLACK")</f>
        <v>BLACK</v>
      </c>
      <c r="G8606" s="20" t="str">
        <f>IFERROR(__xludf.DUMMYFUNCTION("""COMPUTED_VALUE"""),"Uncle Sams Cider (04/04/2023)")</f>
        <v>Uncle Sams Cider (04/04/2023)</v>
      </c>
      <c r="H8606" s="19"/>
    </row>
    <row r="8607">
      <c r="A8607" s="9"/>
      <c r="B8607" s="15"/>
      <c r="C8607" s="9">
        <f>IFERROR(__xludf.DUMMYFUNCTION("""COMPUTED_VALUE"""),45053.9508596064)</f>
        <v>45053.95086</v>
      </c>
      <c r="D8607" s="15">
        <f>IFERROR(__xludf.DUMMYFUNCTION("""COMPUTED_VALUE"""),1.021)</f>
        <v>1.021</v>
      </c>
      <c r="E8607" s="16">
        <f>IFERROR(__xludf.DUMMYFUNCTION("""COMPUTED_VALUE"""),64.0)</f>
        <v>64</v>
      </c>
      <c r="F8607" s="19" t="str">
        <f>IFERROR(__xludf.DUMMYFUNCTION("""COMPUTED_VALUE"""),"BLACK")</f>
        <v>BLACK</v>
      </c>
      <c r="G8607" s="20" t="str">
        <f>IFERROR(__xludf.DUMMYFUNCTION("""COMPUTED_VALUE"""),"Uncle Sams Cider (04/04/2023)")</f>
        <v>Uncle Sams Cider (04/04/2023)</v>
      </c>
      <c r="H8607" s="19"/>
    </row>
    <row r="8608">
      <c r="A8608" s="9"/>
      <c r="B8608" s="15"/>
      <c r="C8608" s="9">
        <f>IFERROR(__xludf.DUMMYFUNCTION("""COMPUTED_VALUE"""),45053.9404265393)</f>
        <v>45053.94043</v>
      </c>
      <c r="D8608" s="15">
        <f>IFERROR(__xludf.DUMMYFUNCTION("""COMPUTED_VALUE"""),1.021)</f>
        <v>1.021</v>
      </c>
      <c r="E8608" s="16">
        <f>IFERROR(__xludf.DUMMYFUNCTION("""COMPUTED_VALUE"""),64.0)</f>
        <v>64</v>
      </c>
      <c r="F8608" s="19" t="str">
        <f>IFERROR(__xludf.DUMMYFUNCTION("""COMPUTED_VALUE"""),"BLACK")</f>
        <v>BLACK</v>
      </c>
      <c r="G8608" s="20" t="str">
        <f>IFERROR(__xludf.DUMMYFUNCTION("""COMPUTED_VALUE"""),"Uncle Sams Cider (04/04/2023)")</f>
        <v>Uncle Sams Cider (04/04/2023)</v>
      </c>
      <c r="H8608" s="19"/>
    </row>
    <row r="8609">
      <c r="A8609" s="9"/>
      <c r="B8609" s="15"/>
      <c r="C8609" s="9">
        <f>IFERROR(__xludf.DUMMYFUNCTION("""COMPUTED_VALUE"""),45053.9299952777)</f>
        <v>45053.93</v>
      </c>
      <c r="D8609" s="15">
        <f>IFERROR(__xludf.DUMMYFUNCTION("""COMPUTED_VALUE"""),1.021)</f>
        <v>1.021</v>
      </c>
      <c r="E8609" s="16">
        <f>IFERROR(__xludf.DUMMYFUNCTION("""COMPUTED_VALUE"""),64.0)</f>
        <v>64</v>
      </c>
      <c r="F8609" s="19" t="str">
        <f>IFERROR(__xludf.DUMMYFUNCTION("""COMPUTED_VALUE"""),"BLACK")</f>
        <v>BLACK</v>
      </c>
      <c r="G8609" s="20" t="str">
        <f>IFERROR(__xludf.DUMMYFUNCTION("""COMPUTED_VALUE"""),"Uncle Sams Cider (04/04/2023)")</f>
        <v>Uncle Sams Cider (04/04/2023)</v>
      </c>
      <c r="H8609" s="19"/>
    </row>
    <row r="8610">
      <c r="A8610" s="9"/>
      <c r="B8610" s="15"/>
      <c r="C8610" s="9">
        <f>IFERROR(__xludf.DUMMYFUNCTION("""COMPUTED_VALUE"""),45053.9195647569)</f>
        <v>45053.91956</v>
      </c>
      <c r="D8610" s="15">
        <f>IFERROR(__xludf.DUMMYFUNCTION("""COMPUTED_VALUE"""),1.021)</f>
        <v>1.021</v>
      </c>
      <c r="E8610" s="16">
        <f>IFERROR(__xludf.DUMMYFUNCTION("""COMPUTED_VALUE"""),64.0)</f>
        <v>64</v>
      </c>
      <c r="F8610" s="19" t="str">
        <f>IFERROR(__xludf.DUMMYFUNCTION("""COMPUTED_VALUE"""),"BLACK")</f>
        <v>BLACK</v>
      </c>
      <c r="G8610" s="20" t="str">
        <f>IFERROR(__xludf.DUMMYFUNCTION("""COMPUTED_VALUE"""),"Uncle Sams Cider (04/04/2023)")</f>
        <v>Uncle Sams Cider (04/04/2023)</v>
      </c>
      <c r="H8610" s="19"/>
    </row>
    <row r="8611">
      <c r="A8611" s="9"/>
      <c r="B8611" s="15"/>
      <c r="C8611" s="9">
        <f>IFERROR(__xludf.DUMMYFUNCTION("""COMPUTED_VALUE"""),45053.9091453588)</f>
        <v>45053.90915</v>
      </c>
      <c r="D8611" s="15">
        <f>IFERROR(__xludf.DUMMYFUNCTION("""COMPUTED_VALUE"""),1.021)</f>
        <v>1.021</v>
      </c>
      <c r="E8611" s="16">
        <f>IFERROR(__xludf.DUMMYFUNCTION("""COMPUTED_VALUE"""),64.0)</f>
        <v>64</v>
      </c>
      <c r="F8611" s="19" t="str">
        <f>IFERROR(__xludf.DUMMYFUNCTION("""COMPUTED_VALUE"""),"BLACK")</f>
        <v>BLACK</v>
      </c>
      <c r="G8611" s="20" t="str">
        <f>IFERROR(__xludf.DUMMYFUNCTION("""COMPUTED_VALUE"""),"Uncle Sams Cider (04/04/2023)")</f>
        <v>Uncle Sams Cider (04/04/2023)</v>
      </c>
      <c r="H8611" s="19"/>
    </row>
    <row r="8612">
      <c r="A8612" s="9"/>
      <c r="B8612" s="15"/>
      <c r="C8612" s="9">
        <f>IFERROR(__xludf.DUMMYFUNCTION("""COMPUTED_VALUE"""),45053.8778462268)</f>
        <v>45053.87785</v>
      </c>
      <c r="D8612" s="15">
        <f>IFERROR(__xludf.DUMMYFUNCTION("""COMPUTED_VALUE"""),1.021)</f>
        <v>1.021</v>
      </c>
      <c r="E8612" s="16">
        <f>IFERROR(__xludf.DUMMYFUNCTION("""COMPUTED_VALUE"""),64.0)</f>
        <v>64</v>
      </c>
      <c r="F8612" s="19" t="str">
        <f>IFERROR(__xludf.DUMMYFUNCTION("""COMPUTED_VALUE"""),"BLACK")</f>
        <v>BLACK</v>
      </c>
      <c r="G8612" s="20" t="str">
        <f>IFERROR(__xludf.DUMMYFUNCTION("""COMPUTED_VALUE"""),"Uncle Sams Cider (04/04/2023)")</f>
        <v>Uncle Sams Cider (04/04/2023)</v>
      </c>
      <c r="H8612" s="19"/>
    </row>
    <row r="8613">
      <c r="A8613" s="9"/>
      <c r="B8613" s="15"/>
      <c r="C8613" s="9">
        <f>IFERROR(__xludf.DUMMYFUNCTION("""COMPUTED_VALUE"""),45053.8674233333)</f>
        <v>45053.86742</v>
      </c>
      <c r="D8613" s="15">
        <f>IFERROR(__xludf.DUMMYFUNCTION("""COMPUTED_VALUE"""),1.021)</f>
        <v>1.021</v>
      </c>
      <c r="E8613" s="16">
        <f>IFERROR(__xludf.DUMMYFUNCTION("""COMPUTED_VALUE"""),64.0)</f>
        <v>64</v>
      </c>
      <c r="F8613" s="19" t="str">
        <f>IFERROR(__xludf.DUMMYFUNCTION("""COMPUTED_VALUE"""),"BLACK")</f>
        <v>BLACK</v>
      </c>
      <c r="G8613" s="20" t="str">
        <f>IFERROR(__xludf.DUMMYFUNCTION("""COMPUTED_VALUE"""),"Uncle Sams Cider (04/04/2023)")</f>
        <v>Uncle Sams Cider (04/04/2023)</v>
      </c>
      <c r="H8613" s="19"/>
    </row>
    <row r="8614">
      <c r="A8614" s="9"/>
      <c r="B8614" s="15"/>
      <c r="C8614" s="9">
        <f>IFERROR(__xludf.DUMMYFUNCTION("""COMPUTED_VALUE"""),45053.8569905324)</f>
        <v>45053.85699</v>
      </c>
      <c r="D8614" s="15">
        <f>IFERROR(__xludf.DUMMYFUNCTION("""COMPUTED_VALUE"""),1.021)</f>
        <v>1.021</v>
      </c>
      <c r="E8614" s="16">
        <f>IFERROR(__xludf.DUMMYFUNCTION("""COMPUTED_VALUE"""),64.0)</f>
        <v>64</v>
      </c>
      <c r="F8614" s="19" t="str">
        <f>IFERROR(__xludf.DUMMYFUNCTION("""COMPUTED_VALUE"""),"BLACK")</f>
        <v>BLACK</v>
      </c>
      <c r="G8614" s="20" t="str">
        <f>IFERROR(__xludf.DUMMYFUNCTION("""COMPUTED_VALUE"""),"Uncle Sams Cider (04/04/2023)")</f>
        <v>Uncle Sams Cider (04/04/2023)</v>
      </c>
      <c r="H8614" s="19"/>
    </row>
    <row r="8615">
      <c r="A8615" s="9"/>
      <c r="B8615" s="15"/>
      <c r="C8615" s="9">
        <f>IFERROR(__xludf.DUMMYFUNCTION("""COMPUTED_VALUE"""),45053.8465678125)</f>
        <v>45053.84657</v>
      </c>
      <c r="D8615" s="15">
        <f>IFERROR(__xludf.DUMMYFUNCTION("""COMPUTED_VALUE"""),1.021)</f>
        <v>1.021</v>
      </c>
      <c r="E8615" s="16">
        <f>IFERROR(__xludf.DUMMYFUNCTION("""COMPUTED_VALUE"""),64.0)</f>
        <v>64</v>
      </c>
      <c r="F8615" s="19" t="str">
        <f>IFERROR(__xludf.DUMMYFUNCTION("""COMPUTED_VALUE"""),"BLACK")</f>
        <v>BLACK</v>
      </c>
      <c r="G8615" s="20" t="str">
        <f>IFERROR(__xludf.DUMMYFUNCTION("""COMPUTED_VALUE"""),"Uncle Sams Cider (04/04/2023)")</f>
        <v>Uncle Sams Cider (04/04/2023)</v>
      </c>
      <c r="H8615" s="19"/>
    </row>
    <row r="8616">
      <c r="A8616" s="9"/>
      <c r="B8616" s="15"/>
      <c r="C8616" s="9">
        <f>IFERROR(__xludf.DUMMYFUNCTION("""COMPUTED_VALUE"""),45053.8361464004)</f>
        <v>45053.83615</v>
      </c>
      <c r="D8616" s="15">
        <f>IFERROR(__xludf.DUMMYFUNCTION("""COMPUTED_VALUE"""),1.021)</f>
        <v>1.021</v>
      </c>
      <c r="E8616" s="16">
        <f>IFERROR(__xludf.DUMMYFUNCTION("""COMPUTED_VALUE"""),64.0)</f>
        <v>64</v>
      </c>
      <c r="F8616" s="19" t="str">
        <f>IFERROR(__xludf.DUMMYFUNCTION("""COMPUTED_VALUE"""),"BLACK")</f>
        <v>BLACK</v>
      </c>
      <c r="G8616" s="20" t="str">
        <f>IFERROR(__xludf.DUMMYFUNCTION("""COMPUTED_VALUE"""),"Uncle Sams Cider (04/04/2023)")</f>
        <v>Uncle Sams Cider (04/04/2023)</v>
      </c>
      <c r="H8616" s="19"/>
    </row>
    <row r="8617">
      <c r="A8617" s="9"/>
      <c r="B8617" s="15"/>
      <c r="C8617" s="9">
        <f>IFERROR(__xludf.DUMMYFUNCTION("""COMPUTED_VALUE"""),45053.8257262037)</f>
        <v>45053.82573</v>
      </c>
      <c r="D8617" s="15">
        <f>IFERROR(__xludf.DUMMYFUNCTION("""COMPUTED_VALUE"""),1.021)</f>
        <v>1.021</v>
      </c>
      <c r="E8617" s="16">
        <f>IFERROR(__xludf.DUMMYFUNCTION("""COMPUTED_VALUE"""),64.0)</f>
        <v>64</v>
      </c>
      <c r="F8617" s="19" t="str">
        <f>IFERROR(__xludf.DUMMYFUNCTION("""COMPUTED_VALUE"""),"BLACK")</f>
        <v>BLACK</v>
      </c>
      <c r="G8617" s="20" t="str">
        <f>IFERROR(__xludf.DUMMYFUNCTION("""COMPUTED_VALUE"""),"Uncle Sams Cider (04/04/2023)")</f>
        <v>Uncle Sams Cider (04/04/2023)</v>
      </c>
      <c r="H8617" s="19"/>
    </row>
    <row r="8618">
      <c r="A8618" s="9"/>
      <c r="B8618" s="15"/>
      <c r="C8618" s="9">
        <f>IFERROR(__xludf.DUMMYFUNCTION("""COMPUTED_VALUE"""),45053.8152824421)</f>
        <v>45053.81528</v>
      </c>
      <c r="D8618" s="15">
        <f>IFERROR(__xludf.DUMMYFUNCTION("""COMPUTED_VALUE"""),1.021)</f>
        <v>1.021</v>
      </c>
      <c r="E8618" s="16">
        <f>IFERROR(__xludf.DUMMYFUNCTION("""COMPUTED_VALUE"""),64.0)</f>
        <v>64</v>
      </c>
      <c r="F8618" s="19" t="str">
        <f>IFERROR(__xludf.DUMMYFUNCTION("""COMPUTED_VALUE"""),"BLACK")</f>
        <v>BLACK</v>
      </c>
      <c r="G8618" s="20" t="str">
        <f>IFERROR(__xludf.DUMMYFUNCTION("""COMPUTED_VALUE"""),"Uncle Sams Cider (04/04/2023)")</f>
        <v>Uncle Sams Cider (04/04/2023)</v>
      </c>
      <c r="H8618" s="19"/>
    </row>
    <row r="8619">
      <c r="A8619" s="9"/>
      <c r="B8619" s="15"/>
      <c r="C8619" s="9">
        <f>IFERROR(__xludf.DUMMYFUNCTION("""COMPUTED_VALUE"""),45053.8048628356)</f>
        <v>45053.80486</v>
      </c>
      <c r="D8619" s="15">
        <f>IFERROR(__xludf.DUMMYFUNCTION("""COMPUTED_VALUE"""),1.021)</f>
        <v>1.021</v>
      </c>
      <c r="E8619" s="16">
        <f>IFERROR(__xludf.DUMMYFUNCTION("""COMPUTED_VALUE"""),64.0)</f>
        <v>64</v>
      </c>
      <c r="F8619" s="19" t="str">
        <f>IFERROR(__xludf.DUMMYFUNCTION("""COMPUTED_VALUE"""),"BLACK")</f>
        <v>BLACK</v>
      </c>
      <c r="G8619" s="20" t="str">
        <f>IFERROR(__xludf.DUMMYFUNCTION("""COMPUTED_VALUE"""),"Uncle Sams Cider (04/04/2023)")</f>
        <v>Uncle Sams Cider (04/04/2023)</v>
      </c>
      <c r="H8619" s="19"/>
    </row>
    <row r="8620">
      <c r="A8620" s="9"/>
      <c r="B8620" s="15"/>
      <c r="C8620" s="9">
        <f>IFERROR(__xludf.DUMMYFUNCTION("""COMPUTED_VALUE"""),45053.7840097685)</f>
        <v>45053.78401</v>
      </c>
      <c r="D8620" s="15">
        <f>IFERROR(__xludf.DUMMYFUNCTION("""COMPUTED_VALUE"""),1.021)</f>
        <v>1.021</v>
      </c>
      <c r="E8620" s="16">
        <f>IFERROR(__xludf.DUMMYFUNCTION("""COMPUTED_VALUE"""),64.0)</f>
        <v>64</v>
      </c>
      <c r="F8620" s="19" t="str">
        <f>IFERROR(__xludf.DUMMYFUNCTION("""COMPUTED_VALUE"""),"BLACK")</f>
        <v>BLACK</v>
      </c>
      <c r="G8620" s="20" t="str">
        <f>IFERROR(__xludf.DUMMYFUNCTION("""COMPUTED_VALUE"""),"Uncle Sams Cider (04/04/2023)")</f>
        <v>Uncle Sams Cider (04/04/2023)</v>
      </c>
      <c r="H8620" s="19"/>
    </row>
    <row r="8621">
      <c r="A8621" s="9"/>
      <c r="B8621" s="15"/>
      <c r="C8621" s="9">
        <f>IFERROR(__xludf.DUMMYFUNCTION("""COMPUTED_VALUE"""),45053.7735890856)</f>
        <v>45053.77359</v>
      </c>
      <c r="D8621" s="15">
        <f>IFERROR(__xludf.DUMMYFUNCTION("""COMPUTED_VALUE"""),1.021)</f>
        <v>1.021</v>
      </c>
      <c r="E8621" s="16">
        <f>IFERROR(__xludf.DUMMYFUNCTION("""COMPUTED_VALUE"""),64.0)</f>
        <v>64</v>
      </c>
      <c r="F8621" s="19" t="str">
        <f>IFERROR(__xludf.DUMMYFUNCTION("""COMPUTED_VALUE"""),"BLACK")</f>
        <v>BLACK</v>
      </c>
      <c r="G8621" s="20" t="str">
        <f>IFERROR(__xludf.DUMMYFUNCTION("""COMPUTED_VALUE"""),"Uncle Sams Cider (04/04/2023)")</f>
        <v>Uncle Sams Cider (04/04/2023)</v>
      </c>
      <c r="H8621" s="19"/>
    </row>
    <row r="8622">
      <c r="A8622" s="9"/>
      <c r="B8622" s="15"/>
      <c r="C8622" s="9">
        <f>IFERROR(__xludf.DUMMYFUNCTION("""COMPUTED_VALUE"""),45053.7631448611)</f>
        <v>45053.76314</v>
      </c>
      <c r="D8622" s="15">
        <f>IFERROR(__xludf.DUMMYFUNCTION("""COMPUTED_VALUE"""),1.021)</f>
        <v>1.021</v>
      </c>
      <c r="E8622" s="16">
        <f>IFERROR(__xludf.DUMMYFUNCTION("""COMPUTED_VALUE"""),64.0)</f>
        <v>64</v>
      </c>
      <c r="F8622" s="19" t="str">
        <f>IFERROR(__xludf.DUMMYFUNCTION("""COMPUTED_VALUE"""),"BLACK")</f>
        <v>BLACK</v>
      </c>
      <c r="G8622" s="20" t="str">
        <f>IFERROR(__xludf.DUMMYFUNCTION("""COMPUTED_VALUE"""),"Uncle Sams Cider (04/04/2023)")</f>
        <v>Uncle Sams Cider (04/04/2023)</v>
      </c>
      <c r="H8622" s="19"/>
    </row>
    <row r="8623">
      <c r="A8623" s="9"/>
      <c r="B8623" s="15"/>
      <c r="C8623" s="9">
        <f>IFERROR(__xludf.DUMMYFUNCTION("""COMPUTED_VALUE"""),45053.7527237615)</f>
        <v>45053.75272</v>
      </c>
      <c r="D8623" s="15">
        <f>IFERROR(__xludf.DUMMYFUNCTION("""COMPUTED_VALUE"""),1.021)</f>
        <v>1.021</v>
      </c>
      <c r="E8623" s="16">
        <f>IFERROR(__xludf.DUMMYFUNCTION("""COMPUTED_VALUE"""),64.0)</f>
        <v>64</v>
      </c>
      <c r="F8623" s="19" t="str">
        <f>IFERROR(__xludf.DUMMYFUNCTION("""COMPUTED_VALUE"""),"BLACK")</f>
        <v>BLACK</v>
      </c>
      <c r="G8623" s="20" t="str">
        <f>IFERROR(__xludf.DUMMYFUNCTION("""COMPUTED_VALUE"""),"Uncle Sams Cider (04/04/2023)")</f>
        <v>Uncle Sams Cider (04/04/2023)</v>
      </c>
      <c r="H8623" s="19"/>
    </row>
    <row r="8624">
      <c r="A8624" s="9"/>
      <c r="B8624" s="15"/>
      <c r="C8624" s="9">
        <f>IFERROR(__xludf.DUMMYFUNCTION("""COMPUTED_VALUE"""),45053.7422676388)</f>
        <v>45053.74227</v>
      </c>
      <c r="D8624" s="15">
        <f>IFERROR(__xludf.DUMMYFUNCTION("""COMPUTED_VALUE"""),1.021)</f>
        <v>1.021</v>
      </c>
      <c r="E8624" s="16">
        <f>IFERROR(__xludf.DUMMYFUNCTION("""COMPUTED_VALUE"""),64.0)</f>
        <v>64</v>
      </c>
      <c r="F8624" s="19" t="str">
        <f>IFERROR(__xludf.DUMMYFUNCTION("""COMPUTED_VALUE"""),"BLACK")</f>
        <v>BLACK</v>
      </c>
      <c r="G8624" s="20" t="str">
        <f>IFERROR(__xludf.DUMMYFUNCTION("""COMPUTED_VALUE"""),"Uncle Sams Cider (04/04/2023)")</f>
        <v>Uncle Sams Cider (04/04/2023)</v>
      </c>
      <c r="H8624" s="19"/>
    </row>
    <row r="8625">
      <c r="A8625" s="9"/>
      <c r="B8625" s="15"/>
      <c r="C8625" s="9">
        <f>IFERROR(__xludf.DUMMYFUNCTION("""COMPUTED_VALUE"""),45053.731834074)</f>
        <v>45053.73183</v>
      </c>
      <c r="D8625" s="15">
        <f>IFERROR(__xludf.DUMMYFUNCTION("""COMPUTED_VALUE"""),1.021)</f>
        <v>1.021</v>
      </c>
      <c r="E8625" s="16">
        <f>IFERROR(__xludf.DUMMYFUNCTION("""COMPUTED_VALUE"""),64.0)</f>
        <v>64</v>
      </c>
      <c r="F8625" s="19" t="str">
        <f>IFERROR(__xludf.DUMMYFUNCTION("""COMPUTED_VALUE"""),"BLACK")</f>
        <v>BLACK</v>
      </c>
      <c r="G8625" s="20" t="str">
        <f>IFERROR(__xludf.DUMMYFUNCTION("""COMPUTED_VALUE"""),"Uncle Sams Cider (04/04/2023)")</f>
        <v>Uncle Sams Cider (04/04/2023)</v>
      </c>
      <c r="H8625" s="19"/>
    </row>
    <row r="8626">
      <c r="A8626" s="9"/>
      <c r="B8626" s="15"/>
      <c r="C8626" s="9">
        <f>IFERROR(__xludf.DUMMYFUNCTION("""COMPUTED_VALUE"""),45053.7214138426)</f>
        <v>45053.72141</v>
      </c>
      <c r="D8626" s="15">
        <f>IFERROR(__xludf.DUMMYFUNCTION("""COMPUTED_VALUE"""),1.021)</f>
        <v>1.021</v>
      </c>
      <c r="E8626" s="16">
        <f>IFERROR(__xludf.DUMMYFUNCTION("""COMPUTED_VALUE"""),64.0)</f>
        <v>64</v>
      </c>
      <c r="F8626" s="19" t="str">
        <f>IFERROR(__xludf.DUMMYFUNCTION("""COMPUTED_VALUE"""),"BLACK")</f>
        <v>BLACK</v>
      </c>
      <c r="G8626" s="20" t="str">
        <f>IFERROR(__xludf.DUMMYFUNCTION("""COMPUTED_VALUE"""),"Uncle Sams Cider (04/04/2023)")</f>
        <v>Uncle Sams Cider (04/04/2023)</v>
      </c>
      <c r="H8626" s="19"/>
    </row>
    <row r="8627">
      <c r="A8627" s="9"/>
      <c r="B8627" s="15"/>
      <c r="C8627" s="9">
        <f>IFERROR(__xludf.DUMMYFUNCTION("""COMPUTED_VALUE"""),45053.7109930092)</f>
        <v>45053.71099</v>
      </c>
      <c r="D8627" s="15">
        <f>IFERROR(__xludf.DUMMYFUNCTION("""COMPUTED_VALUE"""),1.021)</f>
        <v>1.021</v>
      </c>
      <c r="E8627" s="16">
        <f>IFERROR(__xludf.DUMMYFUNCTION("""COMPUTED_VALUE"""),64.0)</f>
        <v>64</v>
      </c>
      <c r="F8627" s="19" t="str">
        <f>IFERROR(__xludf.DUMMYFUNCTION("""COMPUTED_VALUE"""),"BLACK")</f>
        <v>BLACK</v>
      </c>
      <c r="G8627" s="20" t="str">
        <f>IFERROR(__xludf.DUMMYFUNCTION("""COMPUTED_VALUE"""),"Uncle Sams Cider (04/04/2023)")</f>
        <v>Uncle Sams Cider (04/04/2023)</v>
      </c>
      <c r="H8627" s="19"/>
    </row>
    <row r="8628">
      <c r="A8628" s="9"/>
      <c r="B8628" s="15"/>
      <c r="C8628" s="9">
        <f>IFERROR(__xludf.DUMMYFUNCTION("""COMPUTED_VALUE"""),45053.7005711226)</f>
        <v>45053.70057</v>
      </c>
      <c r="D8628" s="15">
        <f>IFERROR(__xludf.DUMMYFUNCTION("""COMPUTED_VALUE"""),1.021)</f>
        <v>1.021</v>
      </c>
      <c r="E8628" s="16">
        <f>IFERROR(__xludf.DUMMYFUNCTION("""COMPUTED_VALUE"""),64.0)</f>
        <v>64</v>
      </c>
      <c r="F8628" s="19" t="str">
        <f>IFERROR(__xludf.DUMMYFUNCTION("""COMPUTED_VALUE"""),"BLACK")</f>
        <v>BLACK</v>
      </c>
      <c r="G8628" s="20" t="str">
        <f>IFERROR(__xludf.DUMMYFUNCTION("""COMPUTED_VALUE"""),"Uncle Sams Cider (04/04/2023)")</f>
        <v>Uncle Sams Cider (04/04/2023)</v>
      </c>
      <c r="H8628" s="19"/>
    </row>
    <row r="8629">
      <c r="A8629" s="9"/>
      <c r="B8629" s="15"/>
      <c r="C8629" s="9">
        <f>IFERROR(__xludf.DUMMYFUNCTION("""COMPUTED_VALUE"""),45053.6901497685)</f>
        <v>45053.69015</v>
      </c>
      <c r="D8629" s="15">
        <f>IFERROR(__xludf.DUMMYFUNCTION("""COMPUTED_VALUE"""),1.021)</f>
        <v>1.021</v>
      </c>
      <c r="E8629" s="16">
        <f>IFERROR(__xludf.DUMMYFUNCTION("""COMPUTED_VALUE"""),64.0)</f>
        <v>64</v>
      </c>
      <c r="F8629" s="19" t="str">
        <f>IFERROR(__xludf.DUMMYFUNCTION("""COMPUTED_VALUE"""),"BLACK")</f>
        <v>BLACK</v>
      </c>
      <c r="G8629" s="20" t="str">
        <f>IFERROR(__xludf.DUMMYFUNCTION("""COMPUTED_VALUE"""),"Uncle Sams Cider (04/04/2023)")</f>
        <v>Uncle Sams Cider (04/04/2023)</v>
      </c>
      <c r="H8629" s="19"/>
    </row>
    <row r="8630">
      <c r="A8630" s="9"/>
      <c r="B8630" s="15"/>
      <c r="C8630" s="9">
        <f>IFERROR(__xludf.DUMMYFUNCTION("""COMPUTED_VALUE"""),45053.6797279166)</f>
        <v>45053.67973</v>
      </c>
      <c r="D8630" s="15">
        <f>IFERROR(__xludf.DUMMYFUNCTION("""COMPUTED_VALUE"""),1.021)</f>
        <v>1.021</v>
      </c>
      <c r="E8630" s="16">
        <f>IFERROR(__xludf.DUMMYFUNCTION("""COMPUTED_VALUE"""),64.0)</f>
        <v>64</v>
      </c>
      <c r="F8630" s="19" t="str">
        <f>IFERROR(__xludf.DUMMYFUNCTION("""COMPUTED_VALUE"""),"BLACK")</f>
        <v>BLACK</v>
      </c>
      <c r="G8630" s="20" t="str">
        <f>IFERROR(__xludf.DUMMYFUNCTION("""COMPUTED_VALUE"""),"Uncle Sams Cider (04/04/2023)")</f>
        <v>Uncle Sams Cider (04/04/2023)</v>
      </c>
      <c r="H8630" s="19"/>
    </row>
    <row r="8631">
      <c r="A8631" s="9"/>
      <c r="B8631" s="15"/>
      <c r="C8631" s="9">
        <f>IFERROR(__xludf.DUMMYFUNCTION("""COMPUTED_VALUE"""),45053.6693086689)</f>
        <v>45053.66931</v>
      </c>
      <c r="D8631" s="15">
        <f>IFERROR(__xludf.DUMMYFUNCTION("""COMPUTED_VALUE"""),1.021)</f>
        <v>1.021</v>
      </c>
      <c r="E8631" s="16">
        <f>IFERROR(__xludf.DUMMYFUNCTION("""COMPUTED_VALUE"""),64.0)</f>
        <v>64</v>
      </c>
      <c r="F8631" s="19" t="str">
        <f>IFERROR(__xludf.DUMMYFUNCTION("""COMPUTED_VALUE"""),"BLACK")</f>
        <v>BLACK</v>
      </c>
      <c r="G8631" s="20" t="str">
        <f>IFERROR(__xludf.DUMMYFUNCTION("""COMPUTED_VALUE"""),"Uncle Sams Cider (04/04/2023)")</f>
        <v>Uncle Sams Cider (04/04/2023)</v>
      </c>
      <c r="H8631" s="19"/>
    </row>
    <row r="8632">
      <c r="A8632" s="9"/>
      <c r="B8632" s="15"/>
      <c r="C8632" s="9">
        <f>IFERROR(__xludf.DUMMYFUNCTION("""COMPUTED_VALUE"""),45053.6588760648)</f>
        <v>45053.65888</v>
      </c>
      <c r="D8632" s="15">
        <f>IFERROR(__xludf.DUMMYFUNCTION("""COMPUTED_VALUE"""),1.021)</f>
        <v>1.021</v>
      </c>
      <c r="E8632" s="16">
        <f>IFERROR(__xludf.DUMMYFUNCTION("""COMPUTED_VALUE"""),64.0)</f>
        <v>64</v>
      </c>
      <c r="F8632" s="19" t="str">
        <f>IFERROR(__xludf.DUMMYFUNCTION("""COMPUTED_VALUE"""),"BLACK")</f>
        <v>BLACK</v>
      </c>
      <c r="G8632" s="20" t="str">
        <f>IFERROR(__xludf.DUMMYFUNCTION("""COMPUTED_VALUE"""),"Uncle Sams Cider (04/04/2023)")</f>
        <v>Uncle Sams Cider (04/04/2023)</v>
      </c>
      <c r="H8632" s="19"/>
    </row>
    <row r="8633">
      <c r="A8633" s="9"/>
      <c r="B8633" s="15"/>
      <c r="C8633" s="9">
        <f>IFERROR(__xludf.DUMMYFUNCTION("""COMPUTED_VALUE"""),45053.6484559027)</f>
        <v>45053.64846</v>
      </c>
      <c r="D8633" s="15">
        <f>IFERROR(__xludf.DUMMYFUNCTION("""COMPUTED_VALUE"""),1.021)</f>
        <v>1.021</v>
      </c>
      <c r="E8633" s="16">
        <f>IFERROR(__xludf.DUMMYFUNCTION("""COMPUTED_VALUE"""),64.0)</f>
        <v>64</v>
      </c>
      <c r="F8633" s="19" t="str">
        <f>IFERROR(__xludf.DUMMYFUNCTION("""COMPUTED_VALUE"""),"BLACK")</f>
        <v>BLACK</v>
      </c>
      <c r="G8633" s="20" t="str">
        <f>IFERROR(__xludf.DUMMYFUNCTION("""COMPUTED_VALUE"""),"Uncle Sams Cider (04/04/2023)")</f>
        <v>Uncle Sams Cider (04/04/2023)</v>
      </c>
      <c r="H8633" s="19"/>
    </row>
    <row r="8634">
      <c r="A8634" s="9"/>
      <c r="B8634" s="15"/>
      <c r="C8634" s="9">
        <f>IFERROR(__xludf.DUMMYFUNCTION("""COMPUTED_VALUE"""),45053.63803603)</f>
        <v>45053.63804</v>
      </c>
      <c r="D8634" s="15">
        <f>IFERROR(__xludf.DUMMYFUNCTION("""COMPUTED_VALUE"""),1.021)</f>
        <v>1.021</v>
      </c>
      <c r="E8634" s="16">
        <f>IFERROR(__xludf.DUMMYFUNCTION("""COMPUTED_VALUE"""),64.0)</f>
        <v>64</v>
      </c>
      <c r="F8634" s="19" t="str">
        <f>IFERROR(__xludf.DUMMYFUNCTION("""COMPUTED_VALUE"""),"BLACK")</f>
        <v>BLACK</v>
      </c>
      <c r="G8634" s="20" t="str">
        <f>IFERROR(__xludf.DUMMYFUNCTION("""COMPUTED_VALUE"""),"Uncle Sams Cider (04/04/2023)")</f>
        <v>Uncle Sams Cider (04/04/2023)</v>
      </c>
      <c r="H8634" s="19"/>
    </row>
    <row r="8635">
      <c r="A8635" s="9"/>
      <c r="B8635" s="15"/>
      <c r="C8635" s="9">
        <f>IFERROR(__xludf.DUMMYFUNCTION("""COMPUTED_VALUE"""),45053.6276136111)</f>
        <v>45053.62761</v>
      </c>
      <c r="D8635" s="15">
        <f>IFERROR(__xludf.DUMMYFUNCTION("""COMPUTED_VALUE"""),1.021)</f>
        <v>1.021</v>
      </c>
      <c r="E8635" s="16">
        <f>IFERROR(__xludf.DUMMYFUNCTION("""COMPUTED_VALUE"""),64.0)</f>
        <v>64</v>
      </c>
      <c r="F8635" s="19" t="str">
        <f>IFERROR(__xludf.DUMMYFUNCTION("""COMPUTED_VALUE"""),"BLACK")</f>
        <v>BLACK</v>
      </c>
      <c r="G8635" s="20" t="str">
        <f>IFERROR(__xludf.DUMMYFUNCTION("""COMPUTED_VALUE"""),"Uncle Sams Cider (04/04/2023)")</f>
        <v>Uncle Sams Cider (04/04/2023)</v>
      </c>
      <c r="H8635" s="19"/>
    </row>
    <row r="8636">
      <c r="A8636" s="9"/>
      <c r="B8636" s="15"/>
      <c r="C8636" s="9">
        <f>IFERROR(__xludf.DUMMYFUNCTION("""COMPUTED_VALUE"""),45053.617180868)</f>
        <v>45053.61718</v>
      </c>
      <c r="D8636" s="15">
        <f>IFERROR(__xludf.DUMMYFUNCTION("""COMPUTED_VALUE"""),1.021)</f>
        <v>1.021</v>
      </c>
      <c r="E8636" s="16">
        <f>IFERROR(__xludf.DUMMYFUNCTION("""COMPUTED_VALUE"""),64.0)</f>
        <v>64</v>
      </c>
      <c r="F8636" s="19" t="str">
        <f>IFERROR(__xludf.DUMMYFUNCTION("""COMPUTED_VALUE"""),"BLACK")</f>
        <v>BLACK</v>
      </c>
      <c r="G8636" s="20" t="str">
        <f>IFERROR(__xludf.DUMMYFUNCTION("""COMPUTED_VALUE"""),"Uncle Sams Cider (04/04/2023)")</f>
        <v>Uncle Sams Cider (04/04/2023)</v>
      </c>
      <c r="H8636" s="19"/>
    </row>
    <row r="8637">
      <c r="A8637" s="9"/>
      <c r="B8637" s="15"/>
      <c r="C8637" s="9">
        <f>IFERROR(__xludf.DUMMYFUNCTION("""COMPUTED_VALUE"""),45053.6067498958)</f>
        <v>45053.60675</v>
      </c>
      <c r="D8637" s="15">
        <f>IFERROR(__xludf.DUMMYFUNCTION("""COMPUTED_VALUE"""),1.021)</f>
        <v>1.021</v>
      </c>
      <c r="E8637" s="16">
        <f>IFERROR(__xludf.DUMMYFUNCTION("""COMPUTED_VALUE"""),64.0)</f>
        <v>64</v>
      </c>
      <c r="F8637" s="19" t="str">
        <f>IFERROR(__xludf.DUMMYFUNCTION("""COMPUTED_VALUE"""),"BLACK")</f>
        <v>BLACK</v>
      </c>
      <c r="G8637" s="20" t="str">
        <f>IFERROR(__xludf.DUMMYFUNCTION("""COMPUTED_VALUE"""),"Uncle Sams Cider (04/04/2023)")</f>
        <v>Uncle Sams Cider (04/04/2023)</v>
      </c>
      <c r="H8637" s="19"/>
    </row>
    <row r="8638">
      <c r="A8638" s="9"/>
      <c r="B8638" s="15"/>
      <c r="C8638" s="9">
        <f>IFERROR(__xludf.DUMMYFUNCTION("""COMPUTED_VALUE"""),45053.5963294328)</f>
        <v>45053.59633</v>
      </c>
      <c r="D8638" s="15">
        <f>IFERROR(__xludf.DUMMYFUNCTION("""COMPUTED_VALUE"""),1.021)</f>
        <v>1.021</v>
      </c>
      <c r="E8638" s="16">
        <f>IFERROR(__xludf.DUMMYFUNCTION("""COMPUTED_VALUE"""),64.0)</f>
        <v>64</v>
      </c>
      <c r="F8638" s="19" t="str">
        <f>IFERROR(__xludf.DUMMYFUNCTION("""COMPUTED_VALUE"""),"BLACK")</f>
        <v>BLACK</v>
      </c>
      <c r="G8638" s="20" t="str">
        <f>IFERROR(__xludf.DUMMYFUNCTION("""COMPUTED_VALUE"""),"Uncle Sams Cider (04/04/2023)")</f>
        <v>Uncle Sams Cider (04/04/2023)</v>
      </c>
      <c r="H8638" s="19"/>
    </row>
    <row r="8639">
      <c r="A8639" s="9"/>
      <c r="B8639" s="15"/>
      <c r="C8639" s="9">
        <f>IFERROR(__xludf.DUMMYFUNCTION("""COMPUTED_VALUE"""),45053.5858970254)</f>
        <v>45053.5859</v>
      </c>
      <c r="D8639" s="15">
        <f>IFERROR(__xludf.DUMMYFUNCTION("""COMPUTED_VALUE"""),1.021)</f>
        <v>1.021</v>
      </c>
      <c r="E8639" s="16">
        <f>IFERROR(__xludf.DUMMYFUNCTION("""COMPUTED_VALUE"""),64.0)</f>
        <v>64</v>
      </c>
      <c r="F8639" s="19" t="str">
        <f>IFERROR(__xludf.DUMMYFUNCTION("""COMPUTED_VALUE"""),"BLACK")</f>
        <v>BLACK</v>
      </c>
      <c r="G8639" s="20" t="str">
        <f>IFERROR(__xludf.DUMMYFUNCTION("""COMPUTED_VALUE"""),"Uncle Sams Cider (04/04/2023)")</f>
        <v>Uncle Sams Cider (04/04/2023)</v>
      </c>
      <c r="H8639" s="19"/>
    </row>
    <row r="8640">
      <c r="A8640" s="9"/>
      <c r="B8640" s="15"/>
      <c r="C8640" s="9">
        <f>IFERROR(__xludf.DUMMYFUNCTION("""COMPUTED_VALUE"""),45053.5754660185)</f>
        <v>45053.57547</v>
      </c>
      <c r="D8640" s="15">
        <f>IFERROR(__xludf.DUMMYFUNCTION("""COMPUTED_VALUE"""),1.021)</f>
        <v>1.021</v>
      </c>
      <c r="E8640" s="16">
        <f>IFERROR(__xludf.DUMMYFUNCTION("""COMPUTED_VALUE"""),64.0)</f>
        <v>64</v>
      </c>
      <c r="F8640" s="19" t="str">
        <f>IFERROR(__xludf.DUMMYFUNCTION("""COMPUTED_VALUE"""),"BLACK")</f>
        <v>BLACK</v>
      </c>
      <c r="G8640" s="20" t="str">
        <f>IFERROR(__xludf.DUMMYFUNCTION("""COMPUTED_VALUE"""),"Uncle Sams Cider (04/04/2023)")</f>
        <v>Uncle Sams Cider (04/04/2023)</v>
      </c>
      <c r="H8640" s="19"/>
    </row>
    <row r="8641">
      <c r="A8641" s="9"/>
      <c r="B8641" s="15"/>
      <c r="C8641" s="9">
        <f>IFERROR(__xludf.DUMMYFUNCTION("""COMPUTED_VALUE"""),45053.5650443518)</f>
        <v>45053.56504</v>
      </c>
      <c r="D8641" s="15">
        <f>IFERROR(__xludf.DUMMYFUNCTION("""COMPUTED_VALUE"""),1.021)</f>
        <v>1.021</v>
      </c>
      <c r="E8641" s="16">
        <f>IFERROR(__xludf.DUMMYFUNCTION("""COMPUTED_VALUE"""),64.0)</f>
        <v>64</v>
      </c>
      <c r="F8641" s="19" t="str">
        <f>IFERROR(__xludf.DUMMYFUNCTION("""COMPUTED_VALUE"""),"BLACK")</f>
        <v>BLACK</v>
      </c>
      <c r="G8641" s="20" t="str">
        <f>IFERROR(__xludf.DUMMYFUNCTION("""COMPUTED_VALUE"""),"Uncle Sams Cider (04/04/2023)")</f>
        <v>Uncle Sams Cider (04/04/2023)</v>
      </c>
      <c r="H8641" s="19"/>
    </row>
    <row r="8642">
      <c r="A8642" s="9"/>
      <c r="B8642" s="15"/>
      <c r="C8642" s="9">
        <f>IFERROR(__xludf.DUMMYFUNCTION("""COMPUTED_VALUE"""),45053.5546228472)</f>
        <v>45053.55462</v>
      </c>
      <c r="D8642" s="15">
        <f>IFERROR(__xludf.DUMMYFUNCTION("""COMPUTED_VALUE"""),1.021)</f>
        <v>1.021</v>
      </c>
      <c r="E8642" s="16">
        <f>IFERROR(__xludf.DUMMYFUNCTION("""COMPUTED_VALUE"""),64.0)</f>
        <v>64</v>
      </c>
      <c r="F8642" s="19" t="str">
        <f>IFERROR(__xludf.DUMMYFUNCTION("""COMPUTED_VALUE"""),"BLACK")</f>
        <v>BLACK</v>
      </c>
      <c r="G8642" s="20" t="str">
        <f>IFERROR(__xludf.DUMMYFUNCTION("""COMPUTED_VALUE"""),"Uncle Sams Cider (04/04/2023)")</f>
        <v>Uncle Sams Cider (04/04/2023)</v>
      </c>
      <c r="H8642" s="19"/>
    </row>
    <row r="8643">
      <c r="A8643" s="9"/>
      <c r="B8643" s="15"/>
      <c r="C8643" s="9">
        <f>IFERROR(__xludf.DUMMYFUNCTION("""COMPUTED_VALUE"""),45053.5442016319)</f>
        <v>45053.5442</v>
      </c>
      <c r="D8643" s="15">
        <f>IFERROR(__xludf.DUMMYFUNCTION("""COMPUTED_VALUE"""),1.021)</f>
        <v>1.021</v>
      </c>
      <c r="E8643" s="16">
        <f>IFERROR(__xludf.DUMMYFUNCTION("""COMPUTED_VALUE"""),64.0)</f>
        <v>64</v>
      </c>
      <c r="F8643" s="19" t="str">
        <f>IFERROR(__xludf.DUMMYFUNCTION("""COMPUTED_VALUE"""),"BLACK")</f>
        <v>BLACK</v>
      </c>
      <c r="G8643" s="20" t="str">
        <f>IFERROR(__xludf.DUMMYFUNCTION("""COMPUTED_VALUE"""),"Uncle Sams Cider (04/04/2023)")</f>
        <v>Uncle Sams Cider (04/04/2023)</v>
      </c>
      <c r="H8643" s="19"/>
    </row>
    <row r="8644">
      <c r="A8644" s="9"/>
      <c r="B8644" s="15"/>
      <c r="C8644" s="9">
        <f>IFERROR(__xludf.DUMMYFUNCTION("""COMPUTED_VALUE"""),45053.5337798032)</f>
        <v>45053.53378</v>
      </c>
      <c r="D8644" s="15">
        <f>IFERROR(__xludf.DUMMYFUNCTION("""COMPUTED_VALUE"""),1.021)</f>
        <v>1.021</v>
      </c>
      <c r="E8644" s="16">
        <f>IFERROR(__xludf.DUMMYFUNCTION("""COMPUTED_VALUE"""),64.0)</f>
        <v>64</v>
      </c>
      <c r="F8644" s="19" t="str">
        <f>IFERROR(__xludf.DUMMYFUNCTION("""COMPUTED_VALUE"""),"BLACK")</f>
        <v>BLACK</v>
      </c>
      <c r="G8644" s="20" t="str">
        <f>IFERROR(__xludf.DUMMYFUNCTION("""COMPUTED_VALUE"""),"Uncle Sams Cider (04/04/2023)")</f>
        <v>Uncle Sams Cider (04/04/2023)</v>
      </c>
      <c r="H8644" s="19"/>
    </row>
    <row r="8645">
      <c r="A8645" s="9"/>
      <c r="B8645" s="15"/>
      <c r="C8645" s="9">
        <f>IFERROR(__xludf.DUMMYFUNCTION("""COMPUTED_VALUE"""),45053.523357905)</f>
        <v>45053.52336</v>
      </c>
      <c r="D8645" s="15">
        <f>IFERROR(__xludf.DUMMYFUNCTION("""COMPUTED_VALUE"""),1.021)</f>
        <v>1.021</v>
      </c>
      <c r="E8645" s="16">
        <f>IFERROR(__xludf.DUMMYFUNCTION("""COMPUTED_VALUE"""),64.0)</f>
        <v>64</v>
      </c>
      <c r="F8645" s="19" t="str">
        <f>IFERROR(__xludf.DUMMYFUNCTION("""COMPUTED_VALUE"""),"BLACK")</f>
        <v>BLACK</v>
      </c>
      <c r="G8645" s="20" t="str">
        <f>IFERROR(__xludf.DUMMYFUNCTION("""COMPUTED_VALUE"""),"Uncle Sams Cider (04/04/2023)")</f>
        <v>Uncle Sams Cider (04/04/2023)</v>
      </c>
      <c r="H8645" s="19"/>
    </row>
    <row r="8646">
      <c r="A8646" s="9"/>
      <c r="B8646" s="15"/>
      <c r="C8646" s="9">
        <f>IFERROR(__xludf.DUMMYFUNCTION("""COMPUTED_VALUE"""),45053.5129377314)</f>
        <v>45053.51294</v>
      </c>
      <c r="D8646" s="15">
        <f>IFERROR(__xludf.DUMMYFUNCTION("""COMPUTED_VALUE"""),1.021)</f>
        <v>1.021</v>
      </c>
      <c r="E8646" s="16">
        <f>IFERROR(__xludf.DUMMYFUNCTION("""COMPUTED_VALUE"""),64.0)</f>
        <v>64</v>
      </c>
      <c r="F8646" s="19" t="str">
        <f>IFERROR(__xludf.DUMMYFUNCTION("""COMPUTED_VALUE"""),"BLACK")</f>
        <v>BLACK</v>
      </c>
      <c r="G8646" s="20" t="str">
        <f>IFERROR(__xludf.DUMMYFUNCTION("""COMPUTED_VALUE"""),"Uncle Sams Cider (04/04/2023)")</f>
        <v>Uncle Sams Cider (04/04/2023)</v>
      </c>
      <c r="H8646" s="19"/>
    </row>
    <row r="8647">
      <c r="A8647" s="9"/>
      <c r="B8647" s="15"/>
      <c r="C8647" s="9">
        <f>IFERROR(__xludf.DUMMYFUNCTION("""COMPUTED_VALUE"""),45053.5025159027)</f>
        <v>45053.50252</v>
      </c>
      <c r="D8647" s="15">
        <f>IFERROR(__xludf.DUMMYFUNCTION("""COMPUTED_VALUE"""),1.021)</f>
        <v>1.021</v>
      </c>
      <c r="E8647" s="16">
        <f>IFERROR(__xludf.DUMMYFUNCTION("""COMPUTED_VALUE"""),64.0)</f>
        <v>64</v>
      </c>
      <c r="F8647" s="19" t="str">
        <f>IFERROR(__xludf.DUMMYFUNCTION("""COMPUTED_VALUE"""),"BLACK")</f>
        <v>BLACK</v>
      </c>
      <c r="G8647" s="20" t="str">
        <f>IFERROR(__xludf.DUMMYFUNCTION("""COMPUTED_VALUE"""),"Uncle Sams Cider (04/04/2023)")</f>
        <v>Uncle Sams Cider (04/04/2023)</v>
      </c>
      <c r="H8647" s="19"/>
    </row>
    <row r="8648">
      <c r="A8648" s="9"/>
      <c r="B8648" s="15"/>
      <c r="C8648" s="9">
        <f>IFERROR(__xludf.DUMMYFUNCTION("""COMPUTED_VALUE"""),45053.4920945254)</f>
        <v>45053.49209</v>
      </c>
      <c r="D8648" s="15">
        <f>IFERROR(__xludf.DUMMYFUNCTION("""COMPUTED_VALUE"""),1.021)</f>
        <v>1.021</v>
      </c>
      <c r="E8648" s="16">
        <f>IFERROR(__xludf.DUMMYFUNCTION("""COMPUTED_VALUE"""),64.0)</f>
        <v>64</v>
      </c>
      <c r="F8648" s="19" t="str">
        <f>IFERROR(__xludf.DUMMYFUNCTION("""COMPUTED_VALUE"""),"BLACK")</f>
        <v>BLACK</v>
      </c>
      <c r="G8648" s="20" t="str">
        <f>IFERROR(__xludf.DUMMYFUNCTION("""COMPUTED_VALUE"""),"Uncle Sams Cider (04/04/2023)")</f>
        <v>Uncle Sams Cider (04/04/2023)</v>
      </c>
      <c r="H8648" s="19"/>
    </row>
    <row r="8649">
      <c r="A8649" s="9"/>
      <c r="B8649" s="15"/>
      <c r="C8649" s="9">
        <f>IFERROR(__xludf.DUMMYFUNCTION("""COMPUTED_VALUE"""),45053.4816733217)</f>
        <v>45053.48167</v>
      </c>
      <c r="D8649" s="15">
        <f>IFERROR(__xludf.DUMMYFUNCTION("""COMPUTED_VALUE"""),1.021)</f>
        <v>1.021</v>
      </c>
      <c r="E8649" s="16">
        <f>IFERROR(__xludf.DUMMYFUNCTION("""COMPUTED_VALUE"""),64.0)</f>
        <v>64</v>
      </c>
      <c r="F8649" s="19" t="str">
        <f>IFERROR(__xludf.DUMMYFUNCTION("""COMPUTED_VALUE"""),"BLACK")</f>
        <v>BLACK</v>
      </c>
      <c r="G8649" s="20" t="str">
        <f>IFERROR(__xludf.DUMMYFUNCTION("""COMPUTED_VALUE"""),"Uncle Sams Cider (04/04/2023)")</f>
        <v>Uncle Sams Cider (04/04/2023)</v>
      </c>
      <c r="H8649" s="19"/>
    </row>
    <row r="8650">
      <c r="A8650" s="9"/>
      <c r="B8650" s="15"/>
      <c r="C8650" s="9">
        <f>IFERROR(__xludf.DUMMYFUNCTION("""COMPUTED_VALUE"""),45053.4712506134)</f>
        <v>45053.47125</v>
      </c>
      <c r="D8650" s="15">
        <f>IFERROR(__xludf.DUMMYFUNCTION("""COMPUTED_VALUE"""),1.021)</f>
        <v>1.021</v>
      </c>
      <c r="E8650" s="16">
        <f>IFERROR(__xludf.DUMMYFUNCTION("""COMPUTED_VALUE"""),64.0)</f>
        <v>64</v>
      </c>
      <c r="F8650" s="19" t="str">
        <f>IFERROR(__xludf.DUMMYFUNCTION("""COMPUTED_VALUE"""),"BLACK")</f>
        <v>BLACK</v>
      </c>
      <c r="G8650" s="20" t="str">
        <f>IFERROR(__xludf.DUMMYFUNCTION("""COMPUTED_VALUE"""),"Uncle Sams Cider (04/04/2023)")</f>
        <v>Uncle Sams Cider (04/04/2023)</v>
      </c>
      <c r="H8650" s="19"/>
    </row>
    <row r="8651">
      <c r="A8651" s="9"/>
      <c r="B8651" s="15"/>
      <c r="C8651" s="9">
        <f>IFERROR(__xludf.DUMMYFUNCTION("""COMPUTED_VALUE"""),45053.4608301736)</f>
        <v>45053.46083</v>
      </c>
      <c r="D8651" s="15">
        <f>IFERROR(__xludf.DUMMYFUNCTION("""COMPUTED_VALUE"""),1.021)</f>
        <v>1.021</v>
      </c>
      <c r="E8651" s="16">
        <f>IFERROR(__xludf.DUMMYFUNCTION("""COMPUTED_VALUE"""),64.0)</f>
        <v>64</v>
      </c>
      <c r="F8651" s="19" t="str">
        <f>IFERROR(__xludf.DUMMYFUNCTION("""COMPUTED_VALUE"""),"BLACK")</f>
        <v>BLACK</v>
      </c>
      <c r="G8651" s="20" t="str">
        <f>IFERROR(__xludf.DUMMYFUNCTION("""COMPUTED_VALUE"""),"Uncle Sams Cider (04/04/2023)")</f>
        <v>Uncle Sams Cider (04/04/2023)</v>
      </c>
      <c r="H8651" s="19"/>
    </row>
    <row r="8652">
      <c r="A8652" s="9"/>
      <c r="B8652" s="15"/>
      <c r="C8652" s="9">
        <f>IFERROR(__xludf.DUMMYFUNCTION("""COMPUTED_VALUE"""),45053.4504080208)</f>
        <v>45053.45041</v>
      </c>
      <c r="D8652" s="15">
        <f>IFERROR(__xludf.DUMMYFUNCTION("""COMPUTED_VALUE"""),1.021)</f>
        <v>1.021</v>
      </c>
      <c r="E8652" s="16">
        <f>IFERROR(__xludf.DUMMYFUNCTION("""COMPUTED_VALUE"""),64.0)</f>
        <v>64</v>
      </c>
      <c r="F8652" s="19" t="str">
        <f>IFERROR(__xludf.DUMMYFUNCTION("""COMPUTED_VALUE"""),"BLACK")</f>
        <v>BLACK</v>
      </c>
      <c r="G8652" s="20" t="str">
        <f>IFERROR(__xludf.DUMMYFUNCTION("""COMPUTED_VALUE"""),"Uncle Sams Cider (04/04/2023)")</f>
        <v>Uncle Sams Cider (04/04/2023)</v>
      </c>
      <c r="H8652" s="19"/>
    </row>
    <row r="8653">
      <c r="A8653" s="9"/>
      <c r="B8653" s="15"/>
      <c r="C8653" s="9">
        <f>IFERROR(__xludf.DUMMYFUNCTION("""COMPUTED_VALUE"""),45053.4399760648)</f>
        <v>45053.43998</v>
      </c>
      <c r="D8653" s="15">
        <f>IFERROR(__xludf.DUMMYFUNCTION("""COMPUTED_VALUE"""),1.021)</f>
        <v>1.021</v>
      </c>
      <c r="E8653" s="16">
        <f>IFERROR(__xludf.DUMMYFUNCTION("""COMPUTED_VALUE"""),64.0)</f>
        <v>64</v>
      </c>
      <c r="F8653" s="19" t="str">
        <f>IFERROR(__xludf.DUMMYFUNCTION("""COMPUTED_VALUE"""),"BLACK")</f>
        <v>BLACK</v>
      </c>
      <c r="G8653" s="20" t="str">
        <f>IFERROR(__xludf.DUMMYFUNCTION("""COMPUTED_VALUE"""),"Uncle Sams Cider (04/04/2023)")</f>
        <v>Uncle Sams Cider (04/04/2023)</v>
      </c>
      <c r="H8653" s="19"/>
    </row>
    <row r="8654">
      <c r="A8654" s="9"/>
      <c r="B8654" s="15"/>
      <c r="C8654" s="9">
        <f>IFERROR(__xludf.DUMMYFUNCTION("""COMPUTED_VALUE"""),45053.4295539004)</f>
        <v>45053.42955</v>
      </c>
      <c r="D8654" s="15">
        <f>IFERROR(__xludf.DUMMYFUNCTION("""COMPUTED_VALUE"""),1.021)</f>
        <v>1.021</v>
      </c>
      <c r="E8654" s="16">
        <f>IFERROR(__xludf.DUMMYFUNCTION("""COMPUTED_VALUE"""),64.0)</f>
        <v>64</v>
      </c>
      <c r="F8654" s="19" t="str">
        <f>IFERROR(__xludf.DUMMYFUNCTION("""COMPUTED_VALUE"""),"BLACK")</f>
        <v>BLACK</v>
      </c>
      <c r="G8654" s="20" t="str">
        <f>IFERROR(__xludf.DUMMYFUNCTION("""COMPUTED_VALUE"""),"Uncle Sams Cider (04/04/2023)")</f>
        <v>Uncle Sams Cider (04/04/2023)</v>
      </c>
      <c r="H8654" s="19"/>
    </row>
    <row r="8655">
      <c r="A8655" s="9"/>
      <c r="B8655" s="15"/>
      <c r="C8655" s="9">
        <f>IFERROR(__xludf.DUMMYFUNCTION("""COMPUTED_VALUE"""),45053.4191331481)</f>
        <v>45053.41913</v>
      </c>
      <c r="D8655" s="15">
        <f>IFERROR(__xludf.DUMMYFUNCTION("""COMPUTED_VALUE"""),1.021)</f>
        <v>1.021</v>
      </c>
      <c r="E8655" s="16">
        <f>IFERROR(__xludf.DUMMYFUNCTION("""COMPUTED_VALUE"""),64.0)</f>
        <v>64</v>
      </c>
      <c r="F8655" s="19" t="str">
        <f>IFERROR(__xludf.DUMMYFUNCTION("""COMPUTED_VALUE"""),"BLACK")</f>
        <v>BLACK</v>
      </c>
      <c r="G8655" s="20" t="str">
        <f>IFERROR(__xludf.DUMMYFUNCTION("""COMPUTED_VALUE"""),"Uncle Sams Cider (04/04/2023)")</f>
        <v>Uncle Sams Cider (04/04/2023)</v>
      </c>
      <c r="H8655" s="19"/>
    </row>
    <row r="8656">
      <c r="A8656" s="9"/>
      <c r="B8656" s="15"/>
      <c r="C8656" s="9">
        <f>IFERROR(__xludf.DUMMYFUNCTION("""COMPUTED_VALUE"""),45053.4086998263)</f>
        <v>45053.4087</v>
      </c>
      <c r="D8656" s="15">
        <f>IFERROR(__xludf.DUMMYFUNCTION("""COMPUTED_VALUE"""),1.021)</f>
        <v>1.021</v>
      </c>
      <c r="E8656" s="16">
        <f>IFERROR(__xludf.DUMMYFUNCTION("""COMPUTED_VALUE"""),64.0)</f>
        <v>64</v>
      </c>
      <c r="F8656" s="19" t="str">
        <f>IFERROR(__xludf.DUMMYFUNCTION("""COMPUTED_VALUE"""),"BLACK")</f>
        <v>BLACK</v>
      </c>
      <c r="G8656" s="20" t="str">
        <f>IFERROR(__xludf.DUMMYFUNCTION("""COMPUTED_VALUE"""),"Uncle Sams Cider (04/04/2023)")</f>
        <v>Uncle Sams Cider (04/04/2023)</v>
      </c>
      <c r="H8656" s="19"/>
    </row>
    <row r="8657">
      <c r="A8657" s="9"/>
      <c r="B8657" s="15"/>
      <c r="C8657" s="9">
        <f>IFERROR(__xludf.DUMMYFUNCTION("""COMPUTED_VALUE"""),45053.3982786921)</f>
        <v>45053.39828</v>
      </c>
      <c r="D8657" s="15">
        <f>IFERROR(__xludf.DUMMYFUNCTION("""COMPUTED_VALUE"""),1.021)</f>
        <v>1.021</v>
      </c>
      <c r="E8657" s="16">
        <f>IFERROR(__xludf.DUMMYFUNCTION("""COMPUTED_VALUE"""),64.0)</f>
        <v>64</v>
      </c>
      <c r="F8657" s="19" t="str">
        <f>IFERROR(__xludf.DUMMYFUNCTION("""COMPUTED_VALUE"""),"BLACK")</f>
        <v>BLACK</v>
      </c>
      <c r="G8657" s="20" t="str">
        <f>IFERROR(__xludf.DUMMYFUNCTION("""COMPUTED_VALUE"""),"Uncle Sams Cider (04/04/2023)")</f>
        <v>Uncle Sams Cider (04/04/2023)</v>
      </c>
      <c r="H8657" s="19"/>
    </row>
    <row r="8658">
      <c r="A8658" s="9"/>
      <c r="B8658" s="15"/>
      <c r="C8658" s="9">
        <f>IFERROR(__xludf.DUMMYFUNCTION("""COMPUTED_VALUE"""),45053.387859699)</f>
        <v>45053.38786</v>
      </c>
      <c r="D8658" s="15">
        <f>IFERROR(__xludf.DUMMYFUNCTION("""COMPUTED_VALUE"""),1.021)</f>
        <v>1.021</v>
      </c>
      <c r="E8658" s="16">
        <f>IFERROR(__xludf.DUMMYFUNCTION("""COMPUTED_VALUE"""),64.0)</f>
        <v>64</v>
      </c>
      <c r="F8658" s="19" t="str">
        <f>IFERROR(__xludf.DUMMYFUNCTION("""COMPUTED_VALUE"""),"BLACK")</f>
        <v>BLACK</v>
      </c>
      <c r="G8658" s="20" t="str">
        <f>IFERROR(__xludf.DUMMYFUNCTION("""COMPUTED_VALUE"""),"Uncle Sams Cider (04/04/2023)")</f>
        <v>Uncle Sams Cider (04/04/2023)</v>
      </c>
      <c r="H8658" s="19"/>
    </row>
    <row r="8659">
      <c r="A8659" s="9"/>
      <c r="B8659" s="15"/>
      <c r="C8659" s="9">
        <f>IFERROR(__xludf.DUMMYFUNCTION("""COMPUTED_VALUE"""),45053.3774278125)</f>
        <v>45053.37743</v>
      </c>
      <c r="D8659" s="15">
        <f>IFERROR(__xludf.DUMMYFUNCTION("""COMPUTED_VALUE"""),1.021)</f>
        <v>1.021</v>
      </c>
      <c r="E8659" s="16">
        <f>IFERROR(__xludf.DUMMYFUNCTION("""COMPUTED_VALUE"""),64.0)</f>
        <v>64</v>
      </c>
      <c r="F8659" s="19" t="str">
        <f>IFERROR(__xludf.DUMMYFUNCTION("""COMPUTED_VALUE"""),"BLACK")</f>
        <v>BLACK</v>
      </c>
      <c r="G8659" s="20" t="str">
        <f>IFERROR(__xludf.DUMMYFUNCTION("""COMPUTED_VALUE"""),"Uncle Sams Cider (04/04/2023)")</f>
        <v>Uncle Sams Cider (04/04/2023)</v>
      </c>
      <c r="H8659" s="19"/>
    </row>
    <row r="8660">
      <c r="A8660" s="9"/>
      <c r="B8660" s="15"/>
      <c r="C8660" s="9">
        <f>IFERROR(__xludf.DUMMYFUNCTION("""COMPUTED_VALUE"""),45053.3670078588)</f>
        <v>45053.36701</v>
      </c>
      <c r="D8660" s="15">
        <f>IFERROR(__xludf.DUMMYFUNCTION("""COMPUTED_VALUE"""),1.021)</f>
        <v>1.021</v>
      </c>
      <c r="E8660" s="16">
        <f>IFERROR(__xludf.DUMMYFUNCTION("""COMPUTED_VALUE"""),64.0)</f>
        <v>64</v>
      </c>
      <c r="F8660" s="19" t="str">
        <f>IFERROR(__xludf.DUMMYFUNCTION("""COMPUTED_VALUE"""),"BLACK")</f>
        <v>BLACK</v>
      </c>
      <c r="G8660" s="20" t="str">
        <f>IFERROR(__xludf.DUMMYFUNCTION("""COMPUTED_VALUE"""),"Uncle Sams Cider (04/04/2023)")</f>
        <v>Uncle Sams Cider (04/04/2023)</v>
      </c>
      <c r="H8660" s="19"/>
    </row>
    <row r="8661">
      <c r="A8661" s="9"/>
      <c r="B8661" s="15"/>
      <c r="C8661" s="9">
        <f>IFERROR(__xludf.DUMMYFUNCTION("""COMPUTED_VALUE"""),45053.3565868171)</f>
        <v>45053.35659</v>
      </c>
      <c r="D8661" s="15">
        <f>IFERROR(__xludf.DUMMYFUNCTION("""COMPUTED_VALUE"""),1.021)</f>
        <v>1.021</v>
      </c>
      <c r="E8661" s="16">
        <f>IFERROR(__xludf.DUMMYFUNCTION("""COMPUTED_VALUE"""),64.0)</f>
        <v>64</v>
      </c>
      <c r="F8661" s="19" t="str">
        <f>IFERROR(__xludf.DUMMYFUNCTION("""COMPUTED_VALUE"""),"BLACK")</f>
        <v>BLACK</v>
      </c>
      <c r="G8661" s="20" t="str">
        <f>IFERROR(__xludf.DUMMYFUNCTION("""COMPUTED_VALUE"""),"Uncle Sams Cider (04/04/2023)")</f>
        <v>Uncle Sams Cider (04/04/2023)</v>
      </c>
      <c r="H8661" s="19"/>
    </row>
    <row r="8662">
      <c r="A8662" s="9"/>
      <c r="B8662" s="15"/>
      <c r="C8662" s="9">
        <f>IFERROR(__xludf.DUMMYFUNCTION("""COMPUTED_VALUE"""),45053.3461541087)</f>
        <v>45053.34615</v>
      </c>
      <c r="D8662" s="15">
        <f>IFERROR(__xludf.DUMMYFUNCTION("""COMPUTED_VALUE"""),1.021)</f>
        <v>1.021</v>
      </c>
      <c r="E8662" s="16">
        <f>IFERROR(__xludf.DUMMYFUNCTION("""COMPUTED_VALUE"""),64.0)</f>
        <v>64</v>
      </c>
      <c r="F8662" s="19" t="str">
        <f>IFERROR(__xludf.DUMMYFUNCTION("""COMPUTED_VALUE"""),"BLACK")</f>
        <v>BLACK</v>
      </c>
      <c r="G8662" s="20" t="str">
        <f>IFERROR(__xludf.DUMMYFUNCTION("""COMPUTED_VALUE"""),"Uncle Sams Cider (04/04/2023)")</f>
        <v>Uncle Sams Cider (04/04/2023)</v>
      </c>
      <c r="H8662" s="19"/>
    </row>
    <row r="8663">
      <c r="A8663" s="9"/>
      <c r="B8663" s="15"/>
      <c r="C8663" s="9">
        <f>IFERROR(__xludf.DUMMYFUNCTION("""COMPUTED_VALUE"""),45053.3357334027)</f>
        <v>45053.33573</v>
      </c>
      <c r="D8663" s="15">
        <f>IFERROR(__xludf.DUMMYFUNCTION("""COMPUTED_VALUE"""),1.021)</f>
        <v>1.021</v>
      </c>
      <c r="E8663" s="16">
        <f>IFERROR(__xludf.DUMMYFUNCTION("""COMPUTED_VALUE"""),64.0)</f>
        <v>64</v>
      </c>
      <c r="F8663" s="19" t="str">
        <f>IFERROR(__xludf.DUMMYFUNCTION("""COMPUTED_VALUE"""),"BLACK")</f>
        <v>BLACK</v>
      </c>
      <c r="G8663" s="20" t="str">
        <f>IFERROR(__xludf.DUMMYFUNCTION("""COMPUTED_VALUE"""),"Uncle Sams Cider (04/04/2023)")</f>
        <v>Uncle Sams Cider (04/04/2023)</v>
      </c>
      <c r="H8663" s="19"/>
    </row>
    <row r="8664">
      <c r="A8664" s="9"/>
      <c r="B8664" s="15"/>
      <c r="C8664" s="9">
        <f>IFERROR(__xludf.DUMMYFUNCTION("""COMPUTED_VALUE"""),45053.3252887268)</f>
        <v>45053.32529</v>
      </c>
      <c r="D8664" s="15">
        <f>IFERROR(__xludf.DUMMYFUNCTION("""COMPUTED_VALUE"""),1.021)</f>
        <v>1.021</v>
      </c>
      <c r="E8664" s="16">
        <f>IFERROR(__xludf.DUMMYFUNCTION("""COMPUTED_VALUE"""),64.0)</f>
        <v>64</v>
      </c>
      <c r="F8664" s="19" t="str">
        <f>IFERROR(__xludf.DUMMYFUNCTION("""COMPUTED_VALUE"""),"BLACK")</f>
        <v>BLACK</v>
      </c>
      <c r="G8664" s="20" t="str">
        <f>IFERROR(__xludf.DUMMYFUNCTION("""COMPUTED_VALUE"""),"Uncle Sams Cider (04/04/2023)")</f>
        <v>Uncle Sams Cider (04/04/2023)</v>
      </c>
      <c r="H8664" s="19"/>
    </row>
    <row r="8665">
      <c r="A8665" s="9"/>
      <c r="B8665" s="15"/>
      <c r="C8665" s="9">
        <f>IFERROR(__xludf.DUMMYFUNCTION("""COMPUTED_VALUE"""),45053.3148541782)</f>
        <v>45053.31485</v>
      </c>
      <c r="D8665" s="15">
        <f>IFERROR(__xludf.DUMMYFUNCTION("""COMPUTED_VALUE"""),1.021)</f>
        <v>1.021</v>
      </c>
      <c r="E8665" s="16">
        <f>IFERROR(__xludf.DUMMYFUNCTION("""COMPUTED_VALUE"""),65.0)</f>
        <v>65</v>
      </c>
      <c r="F8665" s="19" t="str">
        <f>IFERROR(__xludf.DUMMYFUNCTION("""COMPUTED_VALUE"""),"BLACK")</f>
        <v>BLACK</v>
      </c>
      <c r="G8665" s="20" t="str">
        <f>IFERROR(__xludf.DUMMYFUNCTION("""COMPUTED_VALUE"""),"Uncle Sams Cider (04/04/2023)")</f>
        <v>Uncle Sams Cider (04/04/2023)</v>
      </c>
      <c r="H8665" s="19"/>
    </row>
    <row r="8666">
      <c r="A8666" s="9"/>
      <c r="B8666" s="15"/>
      <c r="C8666" s="9">
        <f>IFERROR(__xludf.DUMMYFUNCTION("""COMPUTED_VALUE"""),45053.3044206713)</f>
        <v>45053.30442</v>
      </c>
      <c r="D8666" s="15">
        <f>IFERROR(__xludf.DUMMYFUNCTION("""COMPUTED_VALUE"""),1.021)</f>
        <v>1.021</v>
      </c>
      <c r="E8666" s="16">
        <f>IFERROR(__xludf.DUMMYFUNCTION("""COMPUTED_VALUE"""),64.0)</f>
        <v>64</v>
      </c>
      <c r="F8666" s="19" t="str">
        <f>IFERROR(__xludf.DUMMYFUNCTION("""COMPUTED_VALUE"""),"BLACK")</f>
        <v>BLACK</v>
      </c>
      <c r="G8666" s="20" t="str">
        <f>IFERROR(__xludf.DUMMYFUNCTION("""COMPUTED_VALUE"""),"Uncle Sams Cider (04/04/2023)")</f>
        <v>Uncle Sams Cider (04/04/2023)</v>
      </c>
      <c r="H8666" s="19"/>
    </row>
    <row r="8667">
      <c r="A8667" s="9"/>
      <c r="B8667" s="15"/>
      <c r="C8667" s="9">
        <f>IFERROR(__xludf.DUMMYFUNCTION("""COMPUTED_VALUE"""),45053.2939977662)</f>
        <v>45053.294</v>
      </c>
      <c r="D8667" s="15">
        <f>IFERROR(__xludf.DUMMYFUNCTION("""COMPUTED_VALUE"""),1.021)</f>
        <v>1.021</v>
      </c>
      <c r="E8667" s="16">
        <f>IFERROR(__xludf.DUMMYFUNCTION("""COMPUTED_VALUE"""),65.0)</f>
        <v>65</v>
      </c>
      <c r="F8667" s="19" t="str">
        <f>IFERROR(__xludf.DUMMYFUNCTION("""COMPUTED_VALUE"""),"BLACK")</f>
        <v>BLACK</v>
      </c>
      <c r="G8667" s="20" t="str">
        <f>IFERROR(__xludf.DUMMYFUNCTION("""COMPUTED_VALUE"""),"Uncle Sams Cider (04/04/2023)")</f>
        <v>Uncle Sams Cider (04/04/2023)</v>
      </c>
      <c r="H8667" s="19"/>
    </row>
    <row r="8668">
      <c r="A8668" s="9"/>
      <c r="B8668" s="15"/>
      <c r="C8668" s="9">
        <f>IFERROR(__xludf.DUMMYFUNCTION("""COMPUTED_VALUE"""),45053.2835654513)</f>
        <v>45053.28357</v>
      </c>
      <c r="D8668" s="15">
        <f>IFERROR(__xludf.DUMMYFUNCTION("""COMPUTED_VALUE"""),1.021)</f>
        <v>1.021</v>
      </c>
      <c r="E8668" s="16">
        <f>IFERROR(__xludf.DUMMYFUNCTION("""COMPUTED_VALUE"""),64.0)</f>
        <v>64</v>
      </c>
      <c r="F8668" s="19" t="str">
        <f>IFERROR(__xludf.DUMMYFUNCTION("""COMPUTED_VALUE"""),"BLACK")</f>
        <v>BLACK</v>
      </c>
      <c r="G8668" s="20" t="str">
        <f>IFERROR(__xludf.DUMMYFUNCTION("""COMPUTED_VALUE"""),"Uncle Sams Cider (04/04/2023)")</f>
        <v>Uncle Sams Cider (04/04/2023)</v>
      </c>
      <c r="H8668" s="19"/>
    </row>
    <row r="8669">
      <c r="A8669" s="9"/>
      <c r="B8669" s="15"/>
      <c r="C8669" s="9">
        <f>IFERROR(__xludf.DUMMYFUNCTION("""COMPUTED_VALUE"""),45053.2731460995)</f>
        <v>45053.27315</v>
      </c>
      <c r="D8669" s="15">
        <f>IFERROR(__xludf.DUMMYFUNCTION("""COMPUTED_VALUE"""),1.021)</f>
        <v>1.021</v>
      </c>
      <c r="E8669" s="16">
        <f>IFERROR(__xludf.DUMMYFUNCTION("""COMPUTED_VALUE"""),64.0)</f>
        <v>64</v>
      </c>
      <c r="F8669" s="19" t="str">
        <f>IFERROR(__xludf.DUMMYFUNCTION("""COMPUTED_VALUE"""),"BLACK")</f>
        <v>BLACK</v>
      </c>
      <c r="G8669" s="20" t="str">
        <f>IFERROR(__xludf.DUMMYFUNCTION("""COMPUTED_VALUE"""),"Uncle Sams Cider (04/04/2023)")</f>
        <v>Uncle Sams Cider (04/04/2023)</v>
      </c>
      <c r="H8669" s="19"/>
    </row>
    <row r="8670">
      <c r="A8670" s="9"/>
      <c r="B8670" s="15"/>
      <c r="C8670" s="9">
        <f>IFERROR(__xludf.DUMMYFUNCTION("""COMPUTED_VALUE"""),45053.2627262268)</f>
        <v>45053.26273</v>
      </c>
      <c r="D8670" s="15">
        <f>IFERROR(__xludf.DUMMYFUNCTION("""COMPUTED_VALUE"""),1.021)</f>
        <v>1.021</v>
      </c>
      <c r="E8670" s="16">
        <f>IFERROR(__xludf.DUMMYFUNCTION("""COMPUTED_VALUE"""),65.0)</f>
        <v>65</v>
      </c>
      <c r="F8670" s="19" t="str">
        <f>IFERROR(__xludf.DUMMYFUNCTION("""COMPUTED_VALUE"""),"BLACK")</f>
        <v>BLACK</v>
      </c>
      <c r="G8670" s="20" t="str">
        <f>IFERROR(__xludf.DUMMYFUNCTION("""COMPUTED_VALUE"""),"Uncle Sams Cider (04/04/2023)")</f>
        <v>Uncle Sams Cider (04/04/2023)</v>
      </c>
      <c r="H8670" s="19"/>
    </row>
    <row r="8671">
      <c r="A8671" s="9"/>
      <c r="B8671" s="15"/>
      <c r="C8671" s="9">
        <f>IFERROR(__xludf.DUMMYFUNCTION("""COMPUTED_VALUE"""),45053.2523042476)</f>
        <v>45053.2523</v>
      </c>
      <c r="D8671" s="15">
        <f>IFERROR(__xludf.DUMMYFUNCTION("""COMPUTED_VALUE"""),1.021)</f>
        <v>1.021</v>
      </c>
      <c r="E8671" s="16">
        <f>IFERROR(__xludf.DUMMYFUNCTION("""COMPUTED_VALUE"""),65.0)</f>
        <v>65</v>
      </c>
      <c r="F8671" s="19" t="str">
        <f>IFERROR(__xludf.DUMMYFUNCTION("""COMPUTED_VALUE"""),"BLACK")</f>
        <v>BLACK</v>
      </c>
      <c r="G8671" s="20" t="str">
        <f>IFERROR(__xludf.DUMMYFUNCTION("""COMPUTED_VALUE"""),"Uncle Sams Cider (04/04/2023)")</f>
        <v>Uncle Sams Cider (04/04/2023)</v>
      </c>
      <c r="H8671" s="19"/>
    </row>
    <row r="8672">
      <c r="A8672" s="9"/>
      <c r="B8672" s="15"/>
      <c r="C8672" s="9">
        <f>IFERROR(__xludf.DUMMYFUNCTION("""COMPUTED_VALUE"""),45053.2418834143)</f>
        <v>45053.24188</v>
      </c>
      <c r="D8672" s="15">
        <f>IFERROR(__xludf.DUMMYFUNCTION("""COMPUTED_VALUE"""),1.021)</f>
        <v>1.021</v>
      </c>
      <c r="E8672" s="16">
        <f>IFERROR(__xludf.DUMMYFUNCTION("""COMPUTED_VALUE"""),65.0)</f>
        <v>65</v>
      </c>
      <c r="F8672" s="19" t="str">
        <f>IFERROR(__xludf.DUMMYFUNCTION("""COMPUTED_VALUE"""),"BLACK")</f>
        <v>BLACK</v>
      </c>
      <c r="G8672" s="20" t="str">
        <f>IFERROR(__xludf.DUMMYFUNCTION("""COMPUTED_VALUE"""),"Uncle Sams Cider (04/04/2023)")</f>
        <v>Uncle Sams Cider (04/04/2023)</v>
      </c>
      <c r="H8672" s="19"/>
    </row>
    <row r="8673">
      <c r="A8673" s="9"/>
      <c r="B8673" s="15"/>
      <c r="C8673" s="9">
        <f>IFERROR(__xludf.DUMMYFUNCTION("""COMPUTED_VALUE"""),45053.2314523379)</f>
        <v>45053.23145</v>
      </c>
      <c r="D8673" s="15">
        <f>IFERROR(__xludf.DUMMYFUNCTION("""COMPUTED_VALUE"""),1.021)</f>
        <v>1.021</v>
      </c>
      <c r="E8673" s="16">
        <f>IFERROR(__xludf.DUMMYFUNCTION("""COMPUTED_VALUE"""),65.0)</f>
        <v>65</v>
      </c>
      <c r="F8673" s="19" t="str">
        <f>IFERROR(__xludf.DUMMYFUNCTION("""COMPUTED_VALUE"""),"BLACK")</f>
        <v>BLACK</v>
      </c>
      <c r="G8673" s="20" t="str">
        <f>IFERROR(__xludf.DUMMYFUNCTION("""COMPUTED_VALUE"""),"Uncle Sams Cider (04/04/2023)")</f>
        <v>Uncle Sams Cider (04/04/2023)</v>
      </c>
      <c r="H8673" s="19"/>
    </row>
    <row r="8674">
      <c r="A8674" s="9"/>
      <c r="B8674" s="15"/>
      <c r="C8674" s="9">
        <f>IFERROR(__xludf.DUMMYFUNCTION("""COMPUTED_VALUE"""),45053.2210198148)</f>
        <v>45053.22102</v>
      </c>
      <c r="D8674" s="15">
        <f>IFERROR(__xludf.DUMMYFUNCTION("""COMPUTED_VALUE"""),1.021)</f>
        <v>1.021</v>
      </c>
      <c r="E8674" s="16">
        <f>IFERROR(__xludf.DUMMYFUNCTION("""COMPUTED_VALUE"""),65.0)</f>
        <v>65</v>
      </c>
      <c r="F8674" s="19" t="str">
        <f>IFERROR(__xludf.DUMMYFUNCTION("""COMPUTED_VALUE"""),"BLACK")</f>
        <v>BLACK</v>
      </c>
      <c r="G8674" s="20" t="str">
        <f>IFERROR(__xludf.DUMMYFUNCTION("""COMPUTED_VALUE"""),"Uncle Sams Cider (04/04/2023)")</f>
        <v>Uncle Sams Cider (04/04/2023)</v>
      </c>
      <c r="H8674" s="19"/>
    </row>
    <row r="8675">
      <c r="A8675" s="9"/>
      <c r="B8675" s="15"/>
      <c r="C8675" s="9">
        <f>IFERROR(__xludf.DUMMYFUNCTION("""COMPUTED_VALUE"""),45053.2105978703)</f>
        <v>45053.2106</v>
      </c>
      <c r="D8675" s="15">
        <f>IFERROR(__xludf.DUMMYFUNCTION("""COMPUTED_VALUE"""),1.021)</f>
        <v>1.021</v>
      </c>
      <c r="E8675" s="16">
        <f>IFERROR(__xludf.DUMMYFUNCTION("""COMPUTED_VALUE"""),65.0)</f>
        <v>65</v>
      </c>
      <c r="F8675" s="19" t="str">
        <f>IFERROR(__xludf.DUMMYFUNCTION("""COMPUTED_VALUE"""),"BLACK")</f>
        <v>BLACK</v>
      </c>
      <c r="G8675" s="20" t="str">
        <f>IFERROR(__xludf.DUMMYFUNCTION("""COMPUTED_VALUE"""),"Uncle Sams Cider (04/04/2023)")</f>
        <v>Uncle Sams Cider (04/04/2023)</v>
      </c>
      <c r="H8675" s="19"/>
    </row>
    <row r="8676">
      <c r="A8676" s="9"/>
      <c r="B8676" s="15"/>
      <c r="C8676" s="9">
        <f>IFERROR(__xludf.DUMMYFUNCTION("""COMPUTED_VALUE"""),45053.2001752199)</f>
        <v>45053.20018</v>
      </c>
      <c r="D8676" s="15">
        <f>IFERROR(__xludf.DUMMYFUNCTION("""COMPUTED_VALUE"""),1.021)</f>
        <v>1.021</v>
      </c>
      <c r="E8676" s="16">
        <f>IFERROR(__xludf.DUMMYFUNCTION("""COMPUTED_VALUE"""),65.0)</f>
        <v>65</v>
      </c>
      <c r="F8676" s="19" t="str">
        <f>IFERROR(__xludf.DUMMYFUNCTION("""COMPUTED_VALUE"""),"BLACK")</f>
        <v>BLACK</v>
      </c>
      <c r="G8676" s="20" t="str">
        <f>IFERROR(__xludf.DUMMYFUNCTION("""COMPUTED_VALUE"""),"Uncle Sams Cider (04/04/2023)")</f>
        <v>Uncle Sams Cider (04/04/2023)</v>
      </c>
      <c r="H8676" s="19"/>
    </row>
    <row r="8677">
      <c r="A8677" s="9"/>
      <c r="B8677" s="15"/>
      <c r="C8677" s="9">
        <f>IFERROR(__xludf.DUMMYFUNCTION("""COMPUTED_VALUE"""),45053.1793205439)</f>
        <v>45053.17932</v>
      </c>
      <c r="D8677" s="15">
        <f>IFERROR(__xludf.DUMMYFUNCTION("""COMPUTED_VALUE"""),1.021)</f>
        <v>1.021</v>
      </c>
      <c r="E8677" s="16">
        <f>IFERROR(__xludf.DUMMYFUNCTION("""COMPUTED_VALUE"""),65.0)</f>
        <v>65</v>
      </c>
      <c r="F8677" s="19" t="str">
        <f>IFERROR(__xludf.DUMMYFUNCTION("""COMPUTED_VALUE"""),"BLACK")</f>
        <v>BLACK</v>
      </c>
      <c r="G8677" s="20" t="str">
        <f>IFERROR(__xludf.DUMMYFUNCTION("""COMPUTED_VALUE"""),"Uncle Sams Cider (04/04/2023)")</f>
        <v>Uncle Sams Cider (04/04/2023)</v>
      </c>
      <c r="H8677" s="19"/>
    </row>
    <row r="8678">
      <c r="A8678" s="9"/>
      <c r="B8678" s="15"/>
      <c r="C8678" s="9">
        <f>IFERROR(__xludf.DUMMYFUNCTION("""COMPUTED_VALUE"""),45053.1689010532)</f>
        <v>45053.1689</v>
      </c>
      <c r="D8678" s="15">
        <f>IFERROR(__xludf.DUMMYFUNCTION("""COMPUTED_VALUE"""),1.021)</f>
        <v>1.021</v>
      </c>
      <c r="E8678" s="16">
        <f>IFERROR(__xludf.DUMMYFUNCTION("""COMPUTED_VALUE"""),65.0)</f>
        <v>65</v>
      </c>
      <c r="F8678" s="19" t="str">
        <f>IFERROR(__xludf.DUMMYFUNCTION("""COMPUTED_VALUE"""),"BLACK")</f>
        <v>BLACK</v>
      </c>
      <c r="G8678" s="20" t="str">
        <f>IFERROR(__xludf.DUMMYFUNCTION("""COMPUTED_VALUE"""),"Uncle Sams Cider (04/04/2023)")</f>
        <v>Uncle Sams Cider (04/04/2023)</v>
      </c>
      <c r="H8678" s="19"/>
    </row>
    <row r="8679">
      <c r="A8679" s="9"/>
      <c r="B8679" s="15"/>
      <c r="C8679" s="9">
        <f>IFERROR(__xludf.DUMMYFUNCTION("""COMPUTED_VALUE"""),45053.1584787384)</f>
        <v>45053.15848</v>
      </c>
      <c r="D8679" s="15">
        <f>IFERROR(__xludf.DUMMYFUNCTION("""COMPUTED_VALUE"""),1.021)</f>
        <v>1.021</v>
      </c>
      <c r="E8679" s="16">
        <f>IFERROR(__xludf.DUMMYFUNCTION("""COMPUTED_VALUE"""),65.0)</f>
        <v>65</v>
      </c>
      <c r="F8679" s="19" t="str">
        <f>IFERROR(__xludf.DUMMYFUNCTION("""COMPUTED_VALUE"""),"BLACK")</f>
        <v>BLACK</v>
      </c>
      <c r="G8679" s="20" t="str">
        <f>IFERROR(__xludf.DUMMYFUNCTION("""COMPUTED_VALUE"""),"Uncle Sams Cider (04/04/2023)")</f>
        <v>Uncle Sams Cider (04/04/2023)</v>
      </c>
      <c r="H8679" s="19"/>
    </row>
    <row r="8680">
      <c r="A8680" s="9"/>
      <c r="B8680" s="15"/>
      <c r="C8680" s="9">
        <f>IFERROR(__xludf.DUMMYFUNCTION("""COMPUTED_VALUE"""),45053.1480457291)</f>
        <v>45053.14805</v>
      </c>
      <c r="D8680" s="15">
        <f>IFERROR(__xludf.DUMMYFUNCTION("""COMPUTED_VALUE"""),1.022)</f>
        <v>1.022</v>
      </c>
      <c r="E8680" s="16">
        <f>IFERROR(__xludf.DUMMYFUNCTION("""COMPUTED_VALUE"""),65.0)</f>
        <v>65</v>
      </c>
      <c r="F8680" s="19" t="str">
        <f>IFERROR(__xludf.DUMMYFUNCTION("""COMPUTED_VALUE"""),"BLACK")</f>
        <v>BLACK</v>
      </c>
      <c r="G8680" s="20" t="str">
        <f>IFERROR(__xludf.DUMMYFUNCTION("""COMPUTED_VALUE"""),"Uncle Sams Cider (04/04/2023)")</f>
        <v>Uncle Sams Cider (04/04/2023)</v>
      </c>
      <c r="H8680" s="19"/>
    </row>
    <row r="8681">
      <c r="A8681" s="9"/>
      <c r="B8681" s="15"/>
      <c r="C8681" s="9">
        <f>IFERROR(__xludf.DUMMYFUNCTION("""COMPUTED_VALUE"""),45053.1376261226)</f>
        <v>45053.13763</v>
      </c>
      <c r="D8681" s="15">
        <f>IFERROR(__xludf.DUMMYFUNCTION("""COMPUTED_VALUE"""),1.021)</f>
        <v>1.021</v>
      </c>
      <c r="E8681" s="16">
        <f>IFERROR(__xludf.DUMMYFUNCTION("""COMPUTED_VALUE"""),65.0)</f>
        <v>65</v>
      </c>
      <c r="F8681" s="19" t="str">
        <f>IFERROR(__xludf.DUMMYFUNCTION("""COMPUTED_VALUE"""),"BLACK")</f>
        <v>BLACK</v>
      </c>
      <c r="G8681" s="20" t="str">
        <f>IFERROR(__xludf.DUMMYFUNCTION("""COMPUTED_VALUE"""),"Uncle Sams Cider (04/04/2023)")</f>
        <v>Uncle Sams Cider (04/04/2023)</v>
      </c>
      <c r="H8681" s="19"/>
    </row>
    <row r="8682">
      <c r="A8682" s="9"/>
      <c r="B8682" s="15"/>
      <c r="C8682" s="9">
        <f>IFERROR(__xludf.DUMMYFUNCTION("""COMPUTED_VALUE"""),45053.1272041898)</f>
        <v>45053.1272</v>
      </c>
      <c r="D8682" s="15">
        <f>IFERROR(__xludf.DUMMYFUNCTION("""COMPUTED_VALUE"""),1.021)</f>
        <v>1.021</v>
      </c>
      <c r="E8682" s="16">
        <f>IFERROR(__xludf.DUMMYFUNCTION("""COMPUTED_VALUE"""),65.0)</f>
        <v>65</v>
      </c>
      <c r="F8682" s="19" t="str">
        <f>IFERROR(__xludf.DUMMYFUNCTION("""COMPUTED_VALUE"""),"BLACK")</f>
        <v>BLACK</v>
      </c>
      <c r="G8682" s="20" t="str">
        <f>IFERROR(__xludf.DUMMYFUNCTION("""COMPUTED_VALUE"""),"Uncle Sams Cider (04/04/2023)")</f>
        <v>Uncle Sams Cider (04/04/2023)</v>
      </c>
      <c r="H8682" s="19"/>
    </row>
    <row r="8683">
      <c r="A8683" s="9"/>
      <c r="B8683" s="15"/>
      <c r="C8683" s="9">
        <f>IFERROR(__xludf.DUMMYFUNCTION("""COMPUTED_VALUE"""),45053.1167832175)</f>
        <v>45053.11678</v>
      </c>
      <c r="D8683" s="15">
        <f>IFERROR(__xludf.DUMMYFUNCTION("""COMPUTED_VALUE"""),1.021)</f>
        <v>1.021</v>
      </c>
      <c r="E8683" s="16">
        <f>IFERROR(__xludf.DUMMYFUNCTION("""COMPUTED_VALUE"""),65.0)</f>
        <v>65</v>
      </c>
      <c r="F8683" s="19" t="str">
        <f>IFERROR(__xludf.DUMMYFUNCTION("""COMPUTED_VALUE"""),"BLACK")</f>
        <v>BLACK</v>
      </c>
      <c r="G8683" s="20" t="str">
        <f>IFERROR(__xludf.DUMMYFUNCTION("""COMPUTED_VALUE"""),"Uncle Sams Cider (04/04/2023)")</f>
        <v>Uncle Sams Cider (04/04/2023)</v>
      </c>
      <c r="H8683" s="19"/>
    </row>
    <row r="8684">
      <c r="A8684" s="9"/>
      <c r="B8684" s="15"/>
      <c r="C8684" s="9">
        <f>IFERROR(__xludf.DUMMYFUNCTION("""COMPUTED_VALUE"""),45053.1063624421)</f>
        <v>45053.10636</v>
      </c>
      <c r="D8684" s="15">
        <f>IFERROR(__xludf.DUMMYFUNCTION("""COMPUTED_VALUE"""),1.021)</f>
        <v>1.021</v>
      </c>
      <c r="E8684" s="16">
        <f>IFERROR(__xludf.DUMMYFUNCTION("""COMPUTED_VALUE"""),65.0)</f>
        <v>65</v>
      </c>
      <c r="F8684" s="19" t="str">
        <f>IFERROR(__xludf.DUMMYFUNCTION("""COMPUTED_VALUE"""),"BLACK")</f>
        <v>BLACK</v>
      </c>
      <c r="G8684" s="20" t="str">
        <f>IFERROR(__xludf.DUMMYFUNCTION("""COMPUTED_VALUE"""),"Uncle Sams Cider (04/04/2023)")</f>
        <v>Uncle Sams Cider (04/04/2023)</v>
      </c>
      <c r="H8684" s="19"/>
    </row>
    <row r="8685">
      <c r="A8685" s="9"/>
      <c r="B8685" s="15"/>
      <c r="C8685" s="9">
        <f>IFERROR(__xludf.DUMMYFUNCTION("""COMPUTED_VALUE"""),45053.095906574)</f>
        <v>45053.09591</v>
      </c>
      <c r="D8685" s="15">
        <f>IFERROR(__xludf.DUMMYFUNCTION("""COMPUTED_VALUE"""),1.021)</f>
        <v>1.021</v>
      </c>
      <c r="E8685" s="16">
        <f>IFERROR(__xludf.DUMMYFUNCTION("""COMPUTED_VALUE"""),65.0)</f>
        <v>65</v>
      </c>
      <c r="F8685" s="19" t="str">
        <f>IFERROR(__xludf.DUMMYFUNCTION("""COMPUTED_VALUE"""),"BLACK")</f>
        <v>BLACK</v>
      </c>
      <c r="G8685" s="20" t="str">
        <f>IFERROR(__xludf.DUMMYFUNCTION("""COMPUTED_VALUE"""),"Uncle Sams Cider (04/04/2023)")</f>
        <v>Uncle Sams Cider (04/04/2023)</v>
      </c>
      <c r="H8685" s="19"/>
    </row>
    <row r="8686">
      <c r="A8686" s="9"/>
      <c r="B8686" s="15"/>
      <c r="C8686" s="9">
        <f>IFERROR(__xludf.DUMMYFUNCTION("""COMPUTED_VALUE"""),45053.0854753935)</f>
        <v>45053.08548</v>
      </c>
      <c r="D8686" s="15">
        <f>IFERROR(__xludf.DUMMYFUNCTION("""COMPUTED_VALUE"""),1.021)</f>
        <v>1.021</v>
      </c>
      <c r="E8686" s="16">
        <f>IFERROR(__xludf.DUMMYFUNCTION("""COMPUTED_VALUE"""),65.0)</f>
        <v>65</v>
      </c>
      <c r="F8686" s="19" t="str">
        <f>IFERROR(__xludf.DUMMYFUNCTION("""COMPUTED_VALUE"""),"BLACK")</f>
        <v>BLACK</v>
      </c>
      <c r="G8686" s="20" t="str">
        <f>IFERROR(__xludf.DUMMYFUNCTION("""COMPUTED_VALUE"""),"Uncle Sams Cider (04/04/2023)")</f>
        <v>Uncle Sams Cider (04/04/2023)</v>
      </c>
      <c r="H8686" s="19"/>
    </row>
    <row r="8687">
      <c r="A8687" s="9"/>
      <c r="B8687" s="15"/>
      <c r="C8687" s="9">
        <f>IFERROR(__xludf.DUMMYFUNCTION("""COMPUTED_VALUE"""),45053.0750525463)</f>
        <v>45053.07505</v>
      </c>
      <c r="D8687" s="15">
        <f>IFERROR(__xludf.DUMMYFUNCTION("""COMPUTED_VALUE"""),1.021)</f>
        <v>1.021</v>
      </c>
      <c r="E8687" s="16">
        <f>IFERROR(__xludf.DUMMYFUNCTION("""COMPUTED_VALUE"""),65.0)</f>
        <v>65</v>
      </c>
      <c r="F8687" s="19" t="str">
        <f>IFERROR(__xludf.DUMMYFUNCTION("""COMPUTED_VALUE"""),"BLACK")</f>
        <v>BLACK</v>
      </c>
      <c r="G8687" s="20" t="str">
        <f>IFERROR(__xludf.DUMMYFUNCTION("""COMPUTED_VALUE"""),"Uncle Sams Cider (04/04/2023)")</f>
        <v>Uncle Sams Cider (04/04/2023)</v>
      </c>
      <c r="H8687" s="19"/>
    </row>
    <row r="8688">
      <c r="A8688" s="9"/>
      <c r="B8688" s="15"/>
      <c r="C8688" s="9">
        <f>IFERROR(__xludf.DUMMYFUNCTION("""COMPUTED_VALUE"""),45053.0646063541)</f>
        <v>45053.06461</v>
      </c>
      <c r="D8688" s="15">
        <f>IFERROR(__xludf.DUMMYFUNCTION("""COMPUTED_VALUE"""),1.021)</f>
        <v>1.021</v>
      </c>
      <c r="E8688" s="16">
        <f>IFERROR(__xludf.DUMMYFUNCTION("""COMPUTED_VALUE"""),65.0)</f>
        <v>65</v>
      </c>
      <c r="F8688" s="19" t="str">
        <f>IFERROR(__xludf.DUMMYFUNCTION("""COMPUTED_VALUE"""),"BLACK")</f>
        <v>BLACK</v>
      </c>
      <c r="G8688" s="20" t="str">
        <f>IFERROR(__xludf.DUMMYFUNCTION("""COMPUTED_VALUE"""),"Uncle Sams Cider (04/04/2023)")</f>
        <v>Uncle Sams Cider (04/04/2023)</v>
      </c>
      <c r="H8688" s="19"/>
    </row>
    <row r="8689">
      <c r="A8689" s="9"/>
      <c r="B8689" s="15"/>
      <c r="C8689" s="9">
        <f>IFERROR(__xludf.DUMMYFUNCTION("""COMPUTED_VALUE"""),45053.0541854398)</f>
        <v>45053.05419</v>
      </c>
      <c r="D8689" s="15">
        <f>IFERROR(__xludf.DUMMYFUNCTION("""COMPUTED_VALUE"""),1.021)</f>
        <v>1.021</v>
      </c>
      <c r="E8689" s="16">
        <f>IFERROR(__xludf.DUMMYFUNCTION("""COMPUTED_VALUE"""),65.0)</f>
        <v>65</v>
      </c>
      <c r="F8689" s="19" t="str">
        <f>IFERROR(__xludf.DUMMYFUNCTION("""COMPUTED_VALUE"""),"BLACK")</f>
        <v>BLACK</v>
      </c>
      <c r="G8689" s="20" t="str">
        <f>IFERROR(__xludf.DUMMYFUNCTION("""COMPUTED_VALUE"""),"Uncle Sams Cider (04/04/2023)")</f>
        <v>Uncle Sams Cider (04/04/2023)</v>
      </c>
      <c r="H8689" s="19"/>
    </row>
    <row r="8690">
      <c r="A8690" s="9"/>
      <c r="B8690" s="15"/>
      <c r="C8690" s="9">
        <f>IFERROR(__xludf.DUMMYFUNCTION("""COMPUTED_VALUE"""),45053.0437536226)</f>
        <v>45053.04375</v>
      </c>
      <c r="D8690" s="15">
        <f>IFERROR(__xludf.DUMMYFUNCTION("""COMPUTED_VALUE"""),1.021)</f>
        <v>1.021</v>
      </c>
      <c r="E8690" s="16">
        <f>IFERROR(__xludf.DUMMYFUNCTION("""COMPUTED_VALUE"""),65.0)</f>
        <v>65</v>
      </c>
      <c r="F8690" s="19" t="str">
        <f>IFERROR(__xludf.DUMMYFUNCTION("""COMPUTED_VALUE"""),"BLACK")</f>
        <v>BLACK</v>
      </c>
      <c r="G8690" s="20" t="str">
        <f>IFERROR(__xludf.DUMMYFUNCTION("""COMPUTED_VALUE"""),"Uncle Sams Cider (04/04/2023)")</f>
        <v>Uncle Sams Cider (04/04/2023)</v>
      </c>
      <c r="H8690" s="19"/>
    </row>
    <row r="8691">
      <c r="A8691" s="9"/>
      <c r="B8691" s="15"/>
      <c r="C8691" s="9">
        <f>IFERROR(__xludf.DUMMYFUNCTION("""COMPUTED_VALUE"""),45053.0229090856)</f>
        <v>45053.02291</v>
      </c>
      <c r="D8691" s="15">
        <f>IFERROR(__xludf.DUMMYFUNCTION("""COMPUTED_VALUE"""),1.021)</f>
        <v>1.021</v>
      </c>
      <c r="E8691" s="16">
        <f>IFERROR(__xludf.DUMMYFUNCTION("""COMPUTED_VALUE"""),65.0)</f>
        <v>65</v>
      </c>
      <c r="F8691" s="19" t="str">
        <f>IFERROR(__xludf.DUMMYFUNCTION("""COMPUTED_VALUE"""),"BLACK")</f>
        <v>BLACK</v>
      </c>
      <c r="G8691" s="20" t="str">
        <f>IFERROR(__xludf.DUMMYFUNCTION("""COMPUTED_VALUE"""),"Uncle Sams Cider (04/04/2023)")</f>
        <v>Uncle Sams Cider (04/04/2023)</v>
      </c>
      <c r="H8691" s="19"/>
    </row>
    <row r="8692">
      <c r="A8692" s="9"/>
      <c r="B8692" s="15"/>
      <c r="C8692" s="9">
        <f>IFERROR(__xludf.DUMMYFUNCTION("""COMPUTED_VALUE"""),45053.0124887962)</f>
        <v>45053.01249</v>
      </c>
      <c r="D8692" s="15">
        <f>IFERROR(__xludf.DUMMYFUNCTION("""COMPUTED_VALUE"""),1.022)</f>
        <v>1.022</v>
      </c>
      <c r="E8692" s="16">
        <f>IFERROR(__xludf.DUMMYFUNCTION("""COMPUTED_VALUE"""),65.0)</f>
        <v>65</v>
      </c>
      <c r="F8692" s="19" t="str">
        <f>IFERROR(__xludf.DUMMYFUNCTION("""COMPUTED_VALUE"""),"BLACK")</f>
        <v>BLACK</v>
      </c>
      <c r="G8692" s="20" t="str">
        <f>IFERROR(__xludf.DUMMYFUNCTION("""COMPUTED_VALUE"""),"Uncle Sams Cider (04/04/2023)")</f>
        <v>Uncle Sams Cider (04/04/2023)</v>
      </c>
      <c r="H8692" s="19"/>
    </row>
    <row r="8693">
      <c r="A8693" s="9"/>
      <c r="B8693" s="15"/>
      <c r="C8693" s="9">
        <f>IFERROR(__xludf.DUMMYFUNCTION("""COMPUTED_VALUE"""),45053.0020546527)</f>
        <v>45053.00205</v>
      </c>
      <c r="D8693" s="15">
        <f>IFERROR(__xludf.DUMMYFUNCTION("""COMPUTED_VALUE"""),1.022)</f>
        <v>1.022</v>
      </c>
      <c r="E8693" s="16">
        <f>IFERROR(__xludf.DUMMYFUNCTION("""COMPUTED_VALUE"""),65.0)</f>
        <v>65</v>
      </c>
      <c r="F8693" s="19" t="str">
        <f>IFERROR(__xludf.DUMMYFUNCTION("""COMPUTED_VALUE"""),"BLACK")</f>
        <v>BLACK</v>
      </c>
      <c r="G8693" s="20" t="str">
        <f>IFERROR(__xludf.DUMMYFUNCTION("""COMPUTED_VALUE"""),"Uncle Sams Cider (04/04/2023)")</f>
        <v>Uncle Sams Cider (04/04/2023)</v>
      </c>
      <c r="H8693" s="19"/>
    </row>
    <row r="8694">
      <c r="A8694" s="9"/>
      <c r="B8694" s="15"/>
      <c r="C8694" s="9">
        <f>IFERROR(__xludf.DUMMYFUNCTION("""COMPUTED_VALUE"""),45052.9916320833)</f>
        <v>45052.99163</v>
      </c>
      <c r="D8694" s="15">
        <f>IFERROR(__xludf.DUMMYFUNCTION("""COMPUTED_VALUE"""),1.022)</f>
        <v>1.022</v>
      </c>
      <c r="E8694" s="16">
        <f>IFERROR(__xludf.DUMMYFUNCTION("""COMPUTED_VALUE"""),65.0)</f>
        <v>65</v>
      </c>
      <c r="F8694" s="19" t="str">
        <f>IFERROR(__xludf.DUMMYFUNCTION("""COMPUTED_VALUE"""),"BLACK")</f>
        <v>BLACK</v>
      </c>
      <c r="G8694" s="20" t="str">
        <f>IFERROR(__xludf.DUMMYFUNCTION("""COMPUTED_VALUE"""),"Uncle Sams Cider (04/04/2023)")</f>
        <v>Uncle Sams Cider (04/04/2023)</v>
      </c>
      <c r="H8694" s="19"/>
    </row>
    <row r="8695">
      <c r="A8695" s="9"/>
      <c r="B8695" s="15"/>
      <c r="C8695" s="9">
        <f>IFERROR(__xludf.DUMMYFUNCTION("""COMPUTED_VALUE"""),45052.9812124884)</f>
        <v>45052.98121</v>
      </c>
      <c r="D8695" s="15">
        <f>IFERROR(__xludf.DUMMYFUNCTION("""COMPUTED_VALUE"""),1.022)</f>
        <v>1.022</v>
      </c>
      <c r="E8695" s="16">
        <f>IFERROR(__xludf.DUMMYFUNCTION("""COMPUTED_VALUE"""),65.0)</f>
        <v>65</v>
      </c>
      <c r="F8695" s="19" t="str">
        <f>IFERROR(__xludf.DUMMYFUNCTION("""COMPUTED_VALUE"""),"BLACK")</f>
        <v>BLACK</v>
      </c>
      <c r="G8695" s="20" t="str">
        <f>IFERROR(__xludf.DUMMYFUNCTION("""COMPUTED_VALUE"""),"Uncle Sams Cider (04/04/2023)")</f>
        <v>Uncle Sams Cider (04/04/2023)</v>
      </c>
      <c r="H8695" s="19"/>
    </row>
    <row r="8696">
      <c r="A8696" s="9"/>
      <c r="B8696" s="15"/>
      <c r="C8696" s="9">
        <f>IFERROR(__xludf.DUMMYFUNCTION("""COMPUTED_VALUE"""),45052.9707793518)</f>
        <v>45052.97078</v>
      </c>
      <c r="D8696" s="15">
        <f>IFERROR(__xludf.DUMMYFUNCTION("""COMPUTED_VALUE"""),1.022)</f>
        <v>1.022</v>
      </c>
      <c r="E8696" s="16">
        <f>IFERROR(__xludf.DUMMYFUNCTION("""COMPUTED_VALUE"""),65.0)</f>
        <v>65</v>
      </c>
      <c r="F8696" s="19" t="str">
        <f>IFERROR(__xludf.DUMMYFUNCTION("""COMPUTED_VALUE"""),"BLACK")</f>
        <v>BLACK</v>
      </c>
      <c r="G8696" s="20" t="str">
        <f>IFERROR(__xludf.DUMMYFUNCTION("""COMPUTED_VALUE"""),"Uncle Sams Cider (04/04/2023)")</f>
        <v>Uncle Sams Cider (04/04/2023)</v>
      </c>
      <c r="H8696" s="19"/>
    </row>
    <row r="8697">
      <c r="A8697" s="9"/>
      <c r="B8697" s="15"/>
      <c r="C8697" s="9">
        <f>IFERROR(__xludf.DUMMYFUNCTION("""COMPUTED_VALUE"""),45052.9603580092)</f>
        <v>45052.96036</v>
      </c>
      <c r="D8697" s="15">
        <f>IFERROR(__xludf.DUMMYFUNCTION("""COMPUTED_VALUE"""),1.022)</f>
        <v>1.022</v>
      </c>
      <c r="E8697" s="16">
        <f>IFERROR(__xludf.DUMMYFUNCTION("""COMPUTED_VALUE"""),65.0)</f>
        <v>65</v>
      </c>
      <c r="F8697" s="19" t="str">
        <f>IFERROR(__xludf.DUMMYFUNCTION("""COMPUTED_VALUE"""),"BLACK")</f>
        <v>BLACK</v>
      </c>
      <c r="G8697" s="20" t="str">
        <f>IFERROR(__xludf.DUMMYFUNCTION("""COMPUTED_VALUE"""),"Uncle Sams Cider (04/04/2023)")</f>
        <v>Uncle Sams Cider (04/04/2023)</v>
      </c>
      <c r="H8697" s="19"/>
    </row>
    <row r="8698">
      <c r="A8698" s="9"/>
      <c r="B8698" s="15"/>
      <c r="C8698" s="9">
        <f>IFERROR(__xludf.DUMMYFUNCTION("""COMPUTED_VALUE"""),45052.9499235301)</f>
        <v>45052.94992</v>
      </c>
      <c r="D8698" s="15">
        <f>IFERROR(__xludf.DUMMYFUNCTION("""COMPUTED_VALUE"""),1.021)</f>
        <v>1.021</v>
      </c>
      <c r="E8698" s="16">
        <f>IFERROR(__xludf.DUMMYFUNCTION("""COMPUTED_VALUE"""),65.0)</f>
        <v>65</v>
      </c>
      <c r="F8698" s="19" t="str">
        <f>IFERROR(__xludf.DUMMYFUNCTION("""COMPUTED_VALUE"""),"BLACK")</f>
        <v>BLACK</v>
      </c>
      <c r="G8698" s="20" t="str">
        <f>IFERROR(__xludf.DUMMYFUNCTION("""COMPUTED_VALUE"""),"Uncle Sams Cider (04/04/2023)")</f>
        <v>Uncle Sams Cider (04/04/2023)</v>
      </c>
      <c r="H8698" s="19"/>
    </row>
    <row r="8699">
      <c r="A8699" s="9"/>
      <c r="B8699" s="15"/>
      <c r="C8699" s="9">
        <f>IFERROR(__xludf.DUMMYFUNCTION("""COMPUTED_VALUE"""),45052.9395017824)</f>
        <v>45052.9395</v>
      </c>
      <c r="D8699" s="15">
        <f>IFERROR(__xludf.DUMMYFUNCTION("""COMPUTED_VALUE"""),1.022)</f>
        <v>1.022</v>
      </c>
      <c r="E8699" s="16">
        <f>IFERROR(__xludf.DUMMYFUNCTION("""COMPUTED_VALUE"""),65.0)</f>
        <v>65</v>
      </c>
      <c r="F8699" s="19" t="str">
        <f>IFERROR(__xludf.DUMMYFUNCTION("""COMPUTED_VALUE"""),"BLACK")</f>
        <v>BLACK</v>
      </c>
      <c r="G8699" s="20" t="str">
        <f>IFERROR(__xludf.DUMMYFUNCTION("""COMPUTED_VALUE"""),"Uncle Sams Cider (04/04/2023)")</f>
        <v>Uncle Sams Cider (04/04/2023)</v>
      </c>
      <c r="H8699" s="19"/>
    </row>
    <row r="8700">
      <c r="A8700" s="9"/>
      <c r="B8700" s="15"/>
      <c r="C8700" s="9">
        <f>IFERROR(__xludf.DUMMYFUNCTION("""COMPUTED_VALUE"""),45052.928974537)</f>
        <v>45052.92897</v>
      </c>
      <c r="D8700" s="15">
        <f>IFERROR(__xludf.DUMMYFUNCTION("""COMPUTED_VALUE"""),1.021)</f>
        <v>1.021</v>
      </c>
      <c r="E8700" s="16">
        <f>IFERROR(__xludf.DUMMYFUNCTION("""COMPUTED_VALUE"""),65.0)</f>
        <v>65</v>
      </c>
      <c r="F8700" s="19" t="str">
        <f>IFERROR(__xludf.DUMMYFUNCTION("""COMPUTED_VALUE"""),"BLACK")</f>
        <v>BLACK</v>
      </c>
      <c r="G8700" s="20" t="str">
        <f>IFERROR(__xludf.DUMMYFUNCTION("""COMPUTED_VALUE"""),"Uncle Sams Cider (04/04/2023)")</f>
        <v>Uncle Sams Cider (04/04/2023)</v>
      </c>
      <c r="H8700" s="19"/>
    </row>
    <row r="8701">
      <c r="A8701" s="9"/>
      <c r="B8701" s="15"/>
      <c r="C8701" s="9">
        <f>IFERROR(__xludf.DUMMYFUNCTION("""COMPUTED_VALUE"""),45052.9185524652)</f>
        <v>45052.91855</v>
      </c>
      <c r="D8701" s="15">
        <f>IFERROR(__xludf.DUMMYFUNCTION("""COMPUTED_VALUE"""),1.021)</f>
        <v>1.021</v>
      </c>
      <c r="E8701" s="16">
        <f>IFERROR(__xludf.DUMMYFUNCTION("""COMPUTED_VALUE"""),65.0)</f>
        <v>65</v>
      </c>
      <c r="F8701" s="19" t="str">
        <f>IFERROR(__xludf.DUMMYFUNCTION("""COMPUTED_VALUE"""),"BLACK")</f>
        <v>BLACK</v>
      </c>
      <c r="G8701" s="20" t="str">
        <f>IFERROR(__xludf.DUMMYFUNCTION("""COMPUTED_VALUE"""),"Uncle Sams Cider (04/04/2023)")</f>
        <v>Uncle Sams Cider (04/04/2023)</v>
      </c>
      <c r="H8701" s="19"/>
    </row>
    <row r="8702">
      <c r="A8702" s="9"/>
      <c r="B8702" s="15"/>
      <c r="C8702" s="9">
        <f>IFERROR(__xludf.DUMMYFUNCTION("""COMPUTED_VALUE"""),45052.9081302083)</f>
        <v>45052.90813</v>
      </c>
      <c r="D8702" s="15">
        <f>IFERROR(__xludf.DUMMYFUNCTION("""COMPUTED_VALUE"""),1.021)</f>
        <v>1.021</v>
      </c>
      <c r="E8702" s="16">
        <f>IFERROR(__xludf.DUMMYFUNCTION("""COMPUTED_VALUE"""),65.0)</f>
        <v>65</v>
      </c>
      <c r="F8702" s="19" t="str">
        <f>IFERROR(__xludf.DUMMYFUNCTION("""COMPUTED_VALUE"""),"BLACK")</f>
        <v>BLACK</v>
      </c>
      <c r="G8702" s="20" t="str">
        <f>IFERROR(__xludf.DUMMYFUNCTION("""COMPUTED_VALUE"""),"Uncle Sams Cider (04/04/2023)")</f>
        <v>Uncle Sams Cider (04/04/2023)</v>
      </c>
      <c r="H8702" s="19"/>
    </row>
    <row r="8703">
      <c r="A8703" s="9"/>
      <c r="B8703" s="15"/>
      <c r="C8703" s="9">
        <f>IFERROR(__xludf.DUMMYFUNCTION("""COMPUTED_VALUE"""),45052.8977086111)</f>
        <v>45052.89771</v>
      </c>
      <c r="D8703" s="15">
        <f>IFERROR(__xludf.DUMMYFUNCTION("""COMPUTED_VALUE"""),1.021)</f>
        <v>1.021</v>
      </c>
      <c r="E8703" s="16">
        <f>IFERROR(__xludf.DUMMYFUNCTION("""COMPUTED_VALUE"""),65.0)</f>
        <v>65</v>
      </c>
      <c r="F8703" s="19" t="str">
        <f>IFERROR(__xludf.DUMMYFUNCTION("""COMPUTED_VALUE"""),"BLACK")</f>
        <v>BLACK</v>
      </c>
      <c r="G8703" s="20" t="str">
        <f>IFERROR(__xludf.DUMMYFUNCTION("""COMPUTED_VALUE"""),"Uncle Sams Cider (04/04/2023)")</f>
        <v>Uncle Sams Cider (04/04/2023)</v>
      </c>
      <c r="H8703" s="19"/>
    </row>
    <row r="8704">
      <c r="A8704" s="9"/>
      <c r="B8704" s="15"/>
      <c r="C8704" s="9">
        <f>IFERROR(__xludf.DUMMYFUNCTION("""COMPUTED_VALUE"""),45052.8872877314)</f>
        <v>45052.88729</v>
      </c>
      <c r="D8704" s="15">
        <f>IFERROR(__xludf.DUMMYFUNCTION("""COMPUTED_VALUE"""),1.022)</f>
        <v>1.022</v>
      </c>
      <c r="E8704" s="16">
        <f>IFERROR(__xludf.DUMMYFUNCTION("""COMPUTED_VALUE"""),65.0)</f>
        <v>65</v>
      </c>
      <c r="F8704" s="19" t="str">
        <f>IFERROR(__xludf.DUMMYFUNCTION("""COMPUTED_VALUE"""),"BLACK")</f>
        <v>BLACK</v>
      </c>
      <c r="G8704" s="20" t="str">
        <f>IFERROR(__xludf.DUMMYFUNCTION("""COMPUTED_VALUE"""),"Uncle Sams Cider (04/04/2023)")</f>
        <v>Uncle Sams Cider (04/04/2023)</v>
      </c>
      <c r="H8704" s="19"/>
    </row>
    <row r="8705">
      <c r="A8705" s="9"/>
      <c r="B8705" s="15"/>
      <c r="C8705" s="9">
        <f>IFERROR(__xludf.DUMMYFUNCTION("""COMPUTED_VALUE"""),45052.8768678819)</f>
        <v>45052.87687</v>
      </c>
      <c r="D8705" s="15">
        <f>IFERROR(__xludf.DUMMYFUNCTION("""COMPUTED_VALUE"""),1.022)</f>
        <v>1.022</v>
      </c>
      <c r="E8705" s="16">
        <f>IFERROR(__xludf.DUMMYFUNCTION("""COMPUTED_VALUE"""),65.0)</f>
        <v>65</v>
      </c>
      <c r="F8705" s="19" t="str">
        <f>IFERROR(__xludf.DUMMYFUNCTION("""COMPUTED_VALUE"""),"BLACK")</f>
        <v>BLACK</v>
      </c>
      <c r="G8705" s="20" t="str">
        <f>IFERROR(__xludf.DUMMYFUNCTION("""COMPUTED_VALUE"""),"Uncle Sams Cider (04/04/2023)")</f>
        <v>Uncle Sams Cider (04/04/2023)</v>
      </c>
      <c r="H8705" s="19"/>
    </row>
    <row r="8706">
      <c r="A8706" s="9"/>
      <c r="B8706" s="15"/>
      <c r="C8706" s="9">
        <f>IFERROR(__xludf.DUMMYFUNCTION("""COMPUTED_VALUE"""),45052.8664338194)</f>
        <v>45052.86643</v>
      </c>
      <c r="D8706" s="15">
        <f>IFERROR(__xludf.DUMMYFUNCTION("""COMPUTED_VALUE"""),1.022)</f>
        <v>1.022</v>
      </c>
      <c r="E8706" s="16">
        <f>IFERROR(__xludf.DUMMYFUNCTION("""COMPUTED_VALUE"""),65.0)</f>
        <v>65</v>
      </c>
      <c r="F8706" s="19" t="str">
        <f>IFERROR(__xludf.DUMMYFUNCTION("""COMPUTED_VALUE"""),"BLACK")</f>
        <v>BLACK</v>
      </c>
      <c r="G8706" s="20" t="str">
        <f>IFERROR(__xludf.DUMMYFUNCTION("""COMPUTED_VALUE"""),"Uncle Sams Cider (04/04/2023)")</f>
        <v>Uncle Sams Cider (04/04/2023)</v>
      </c>
      <c r="H8706" s="19"/>
    </row>
    <row r="8707">
      <c r="A8707" s="9"/>
      <c r="B8707" s="15"/>
      <c r="C8707" s="9">
        <f>IFERROR(__xludf.DUMMYFUNCTION("""COMPUTED_VALUE"""),45052.8560123958)</f>
        <v>45052.85601</v>
      </c>
      <c r="D8707" s="15">
        <f>IFERROR(__xludf.DUMMYFUNCTION("""COMPUTED_VALUE"""),1.022)</f>
        <v>1.022</v>
      </c>
      <c r="E8707" s="16">
        <f>IFERROR(__xludf.DUMMYFUNCTION("""COMPUTED_VALUE"""),65.0)</f>
        <v>65</v>
      </c>
      <c r="F8707" s="19" t="str">
        <f>IFERROR(__xludf.DUMMYFUNCTION("""COMPUTED_VALUE"""),"BLACK")</f>
        <v>BLACK</v>
      </c>
      <c r="G8707" s="20" t="str">
        <f>IFERROR(__xludf.DUMMYFUNCTION("""COMPUTED_VALUE"""),"Uncle Sams Cider (04/04/2023)")</f>
        <v>Uncle Sams Cider (04/04/2023)</v>
      </c>
      <c r="H8707" s="19"/>
    </row>
    <row r="8708">
      <c r="A8708" s="9"/>
      <c r="B8708" s="15"/>
      <c r="C8708" s="9">
        <f>IFERROR(__xludf.DUMMYFUNCTION("""COMPUTED_VALUE"""),45052.8455895023)</f>
        <v>45052.84559</v>
      </c>
      <c r="D8708" s="15">
        <f>IFERROR(__xludf.DUMMYFUNCTION("""COMPUTED_VALUE"""),1.021)</f>
        <v>1.021</v>
      </c>
      <c r="E8708" s="16">
        <f>IFERROR(__xludf.DUMMYFUNCTION("""COMPUTED_VALUE"""),65.0)</f>
        <v>65</v>
      </c>
      <c r="F8708" s="19" t="str">
        <f>IFERROR(__xludf.DUMMYFUNCTION("""COMPUTED_VALUE"""),"BLACK")</f>
        <v>BLACK</v>
      </c>
      <c r="G8708" s="20" t="str">
        <f>IFERROR(__xludf.DUMMYFUNCTION("""COMPUTED_VALUE"""),"Uncle Sams Cider (04/04/2023)")</f>
        <v>Uncle Sams Cider (04/04/2023)</v>
      </c>
      <c r="H8708" s="19"/>
    </row>
    <row r="8709">
      <c r="A8709" s="9"/>
      <c r="B8709" s="15"/>
      <c r="C8709" s="9">
        <f>IFERROR(__xludf.DUMMYFUNCTION("""COMPUTED_VALUE"""),45052.8351556944)</f>
        <v>45052.83516</v>
      </c>
      <c r="D8709" s="15">
        <f>IFERROR(__xludf.DUMMYFUNCTION("""COMPUTED_VALUE"""),1.021)</f>
        <v>1.021</v>
      </c>
      <c r="E8709" s="16">
        <f>IFERROR(__xludf.DUMMYFUNCTION("""COMPUTED_VALUE"""),65.0)</f>
        <v>65</v>
      </c>
      <c r="F8709" s="19" t="str">
        <f>IFERROR(__xludf.DUMMYFUNCTION("""COMPUTED_VALUE"""),"BLACK")</f>
        <v>BLACK</v>
      </c>
      <c r="G8709" s="20" t="str">
        <f>IFERROR(__xludf.DUMMYFUNCTION("""COMPUTED_VALUE"""),"Uncle Sams Cider (04/04/2023)")</f>
        <v>Uncle Sams Cider (04/04/2023)</v>
      </c>
      <c r="H8709" s="19"/>
    </row>
    <row r="8710">
      <c r="A8710" s="9"/>
      <c r="B8710" s="15"/>
      <c r="C8710" s="9">
        <f>IFERROR(__xludf.DUMMYFUNCTION("""COMPUTED_VALUE"""),45052.8247355555)</f>
        <v>45052.82474</v>
      </c>
      <c r="D8710" s="15">
        <f>IFERROR(__xludf.DUMMYFUNCTION("""COMPUTED_VALUE"""),1.022)</f>
        <v>1.022</v>
      </c>
      <c r="E8710" s="16">
        <f>IFERROR(__xludf.DUMMYFUNCTION("""COMPUTED_VALUE"""),65.0)</f>
        <v>65</v>
      </c>
      <c r="F8710" s="19" t="str">
        <f>IFERROR(__xludf.DUMMYFUNCTION("""COMPUTED_VALUE"""),"BLACK")</f>
        <v>BLACK</v>
      </c>
      <c r="G8710" s="20" t="str">
        <f>IFERROR(__xludf.DUMMYFUNCTION("""COMPUTED_VALUE"""),"Uncle Sams Cider (04/04/2023)")</f>
        <v>Uncle Sams Cider (04/04/2023)</v>
      </c>
      <c r="H8710" s="19"/>
    </row>
    <row r="8711">
      <c r="A8711" s="9"/>
      <c r="B8711" s="15"/>
      <c r="C8711" s="9">
        <f>IFERROR(__xludf.DUMMYFUNCTION("""COMPUTED_VALUE"""),45052.8143152777)</f>
        <v>45052.81432</v>
      </c>
      <c r="D8711" s="15">
        <f>IFERROR(__xludf.DUMMYFUNCTION("""COMPUTED_VALUE"""),1.022)</f>
        <v>1.022</v>
      </c>
      <c r="E8711" s="16">
        <f>IFERROR(__xludf.DUMMYFUNCTION("""COMPUTED_VALUE"""),65.0)</f>
        <v>65</v>
      </c>
      <c r="F8711" s="19" t="str">
        <f>IFERROR(__xludf.DUMMYFUNCTION("""COMPUTED_VALUE"""),"BLACK")</f>
        <v>BLACK</v>
      </c>
      <c r="G8711" s="20" t="str">
        <f>IFERROR(__xludf.DUMMYFUNCTION("""COMPUTED_VALUE"""),"Uncle Sams Cider (04/04/2023)")</f>
        <v>Uncle Sams Cider (04/04/2023)</v>
      </c>
      <c r="H8711" s="19"/>
    </row>
    <row r="8712">
      <c r="A8712" s="9"/>
      <c r="B8712" s="15"/>
      <c r="C8712" s="9">
        <f>IFERROR(__xludf.DUMMYFUNCTION("""COMPUTED_VALUE"""),45052.8038949421)</f>
        <v>45052.80389</v>
      </c>
      <c r="D8712" s="15">
        <f>IFERROR(__xludf.DUMMYFUNCTION("""COMPUTED_VALUE"""),1.022)</f>
        <v>1.022</v>
      </c>
      <c r="E8712" s="16">
        <f>IFERROR(__xludf.DUMMYFUNCTION("""COMPUTED_VALUE"""),65.0)</f>
        <v>65</v>
      </c>
      <c r="F8712" s="19" t="str">
        <f>IFERROR(__xludf.DUMMYFUNCTION("""COMPUTED_VALUE"""),"BLACK")</f>
        <v>BLACK</v>
      </c>
      <c r="G8712" s="20" t="str">
        <f>IFERROR(__xludf.DUMMYFUNCTION("""COMPUTED_VALUE"""),"Uncle Sams Cider (04/04/2023)")</f>
        <v>Uncle Sams Cider (04/04/2023)</v>
      </c>
      <c r="H8712" s="19"/>
    </row>
    <row r="8713">
      <c r="A8713" s="9"/>
      <c r="B8713" s="15"/>
      <c r="C8713" s="9">
        <f>IFERROR(__xludf.DUMMYFUNCTION("""COMPUTED_VALUE"""),45052.7934620138)</f>
        <v>45052.79346</v>
      </c>
      <c r="D8713" s="15">
        <f>IFERROR(__xludf.DUMMYFUNCTION("""COMPUTED_VALUE"""),1.022)</f>
        <v>1.022</v>
      </c>
      <c r="E8713" s="16">
        <f>IFERROR(__xludf.DUMMYFUNCTION("""COMPUTED_VALUE"""),65.0)</f>
        <v>65</v>
      </c>
      <c r="F8713" s="19" t="str">
        <f>IFERROR(__xludf.DUMMYFUNCTION("""COMPUTED_VALUE"""),"BLACK")</f>
        <v>BLACK</v>
      </c>
      <c r="G8713" s="20" t="str">
        <f>IFERROR(__xludf.DUMMYFUNCTION("""COMPUTED_VALUE"""),"Uncle Sams Cider (04/04/2023)")</f>
        <v>Uncle Sams Cider (04/04/2023)</v>
      </c>
      <c r="H8713" s="19"/>
    </row>
    <row r="8714">
      <c r="A8714" s="9"/>
      <c r="B8714" s="15"/>
      <c r="C8714" s="9">
        <f>IFERROR(__xludf.DUMMYFUNCTION("""COMPUTED_VALUE"""),45052.7830310532)</f>
        <v>45052.78303</v>
      </c>
      <c r="D8714" s="15">
        <f>IFERROR(__xludf.DUMMYFUNCTION("""COMPUTED_VALUE"""),1.022)</f>
        <v>1.022</v>
      </c>
      <c r="E8714" s="16">
        <f>IFERROR(__xludf.DUMMYFUNCTION("""COMPUTED_VALUE"""),65.0)</f>
        <v>65</v>
      </c>
      <c r="F8714" s="19" t="str">
        <f>IFERROR(__xludf.DUMMYFUNCTION("""COMPUTED_VALUE"""),"BLACK")</f>
        <v>BLACK</v>
      </c>
      <c r="G8714" s="20" t="str">
        <f>IFERROR(__xludf.DUMMYFUNCTION("""COMPUTED_VALUE"""),"Uncle Sams Cider (04/04/2023)")</f>
        <v>Uncle Sams Cider (04/04/2023)</v>
      </c>
      <c r="H8714" s="19"/>
    </row>
    <row r="8715">
      <c r="A8715" s="9"/>
      <c r="B8715" s="15"/>
      <c r="C8715" s="9">
        <f>IFERROR(__xludf.DUMMYFUNCTION("""COMPUTED_VALUE"""),45052.7726090277)</f>
        <v>45052.77261</v>
      </c>
      <c r="D8715" s="15">
        <f>IFERROR(__xludf.DUMMYFUNCTION("""COMPUTED_VALUE"""),1.022)</f>
        <v>1.022</v>
      </c>
      <c r="E8715" s="16">
        <f>IFERROR(__xludf.DUMMYFUNCTION("""COMPUTED_VALUE"""),65.0)</f>
        <v>65</v>
      </c>
      <c r="F8715" s="19" t="str">
        <f>IFERROR(__xludf.DUMMYFUNCTION("""COMPUTED_VALUE"""),"BLACK")</f>
        <v>BLACK</v>
      </c>
      <c r="G8715" s="20" t="str">
        <f>IFERROR(__xludf.DUMMYFUNCTION("""COMPUTED_VALUE"""),"Uncle Sams Cider (04/04/2023)")</f>
        <v>Uncle Sams Cider (04/04/2023)</v>
      </c>
      <c r="H8715" s="19"/>
    </row>
    <row r="8716">
      <c r="A8716" s="9"/>
      <c r="B8716" s="15"/>
      <c r="C8716" s="9">
        <f>IFERROR(__xludf.DUMMYFUNCTION("""COMPUTED_VALUE"""),45052.7621764004)</f>
        <v>45052.76218</v>
      </c>
      <c r="D8716" s="15">
        <f>IFERROR(__xludf.DUMMYFUNCTION("""COMPUTED_VALUE"""),1.022)</f>
        <v>1.022</v>
      </c>
      <c r="E8716" s="16">
        <f>IFERROR(__xludf.DUMMYFUNCTION("""COMPUTED_VALUE"""),65.0)</f>
        <v>65</v>
      </c>
      <c r="F8716" s="19" t="str">
        <f>IFERROR(__xludf.DUMMYFUNCTION("""COMPUTED_VALUE"""),"BLACK")</f>
        <v>BLACK</v>
      </c>
      <c r="G8716" s="20" t="str">
        <f>IFERROR(__xludf.DUMMYFUNCTION("""COMPUTED_VALUE"""),"Uncle Sams Cider (04/04/2023)")</f>
        <v>Uncle Sams Cider (04/04/2023)</v>
      </c>
      <c r="H8716" s="19"/>
    </row>
    <row r="8717">
      <c r="A8717" s="9"/>
      <c r="B8717" s="15"/>
      <c r="C8717" s="9">
        <f>IFERROR(__xludf.DUMMYFUNCTION("""COMPUTED_VALUE"""),45052.7517561689)</f>
        <v>45052.75176</v>
      </c>
      <c r="D8717" s="15">
        <f>IFERROR(__xludf.DUMMYFUNCTION("""COMPUTED_VALUE"""),1.022)</f>
        <v>1.022</v>
      </c>
      <c r="E8717" s="16">
        <f>IFERROR(__xludf.DUMMYFUNCTION("""COMPUTED_VALUE"""),65.0)</f>
        <v>65</v>
      </c>
      <c r="F8717" s="19" t="str">
        <f>IFERROR(__xludf.DUMMYFUNCTION("""COMPUTED_VALUE"""),"BLACK")</f>
        <v>BLACK</v>
      </c>
      <c r="G8717" s="20" t="str">
        <f>IFERROR(__xludf.DUMMYFUNCTION("""COMPUTED_VALUE"""),"Uncle Sams Cider (04/04/2023)")</f>
        <v>Uncle Sams Cider (04/04/2023)</v>
      </c>
      <c r="H8717" s="19"/>
    </row>
    <row r="8718">
      <c r="A8718" s="9"/>
      <c r="B8718" s="15"/>
      <c r="C8718" s="9">
        <f>IFERROR(__xludf.DUMMYFUNCTION("""COMPUTED_VALUE"""),45052.7413342708)</f>
        <v>45052.74133</v>
      </c>
      <c r="D8718" s="15">
        <f>IFERROR(__xludf.DUMMYFUNCTION("""COMPUTED_VALUE"""),1.022)</f>
        <v>1.022</v>
      </c>
      <c r="E8718" s="16">
        <f>IFERROR(__xludf.DUMMYFUNCTION("""COMPUTED_VALUE"""),65.0)</f>
        <v>65</v>
      </c>
      <c r="F8718" s="19" t="str">
        <f>IFERROR(__xludf.DUMMYFUNCTION("""COMPUTED_VALUE"""),"BLACK")</f>
        <v>BLACK</v>
      </c>
      <c r="G8718" s="20" t="str">
        <f>IFERROR(__xludf.DUMMYFUNCTION("""COMPUTED_VALUE"""),"Uncle Sams Cider (04/04/2023)")</f>
        <v>Uncle Sams Cider (04/04/2023)</v>
      </c>
      <c r="H8718" s="19"/>
    </row>
    <row r="8719">
      <c r="A8719" s="9"/>
      <c r="B8719" s="15"/>
      <c r="C8719" s="9">
        <f>IFERROR(__xludf.DUMMYFUNCTION("""COMPUTED_VALUE"""),45052.7309023958)</f>
        <v>45052.7309</v>
      </c>
      <c r="D8719" s="15">
        <f>IFERROR(__xludf.DUMMYFUNCTION("""COMPUTED_VALUE"""),1.022)</f>
        <v>1.022</v>
      </c>
      <c r="E8719" s="16">
        <f>IFERROR(__xludf.DUMMYFUNCTION("""COMPUTED_VALUE"""),65.0)</f>
        <v>65</v>
      </c>
      <c r="F8719" s="19" t="str">
        <f>IFERROR(__xludf.DUMMYFUNCTION("""COMPUTED_VALUE"""),"BLACK")</f>
        <v>BLACK</v>
      </c>
      <c r="G8719" s="20" t="str">
        <f>IFERROR(__xludf.DUMMYFUNCTION("""COMPUTED_VALUE"""),"Uncle Sams Cider (04/04/2023)")</f>
        <v>Uncle Sams Cider (04/04/2023)</v>
      </c>
      <c r="H8719" s="19"/>
    </row>
    <row r="8720">
      <c r="A8720" s="9"/>
      <c r="B8720" s="15"/>
      <c r="C8720" s="9">
        <f>IFERROR(__xludf.DUMMYFUNCTION("""COMPUTED_VALUE"""),45052.720469155)</f>
        <v>45052.72047</v>
      </c>
      <c r="D8720" s="15">
        <f>IFERROR(__xludf.DUMMYFUNCTION("""COMPUTED_VALUE"""),1.022)</f>
        <v>1.022</v>
      </c>
      <c r="E8720" s="16">
        <f>IFERROR(__xludf.DUMMYFUNCTION("""COMPUTED_VALUE"""),65.0)</f>
        <v>65</v>
      </c>
      <c r="F8720" s="19" t="str">
        <f>IFERROR(__xludf.DUMMYFUNCTION("""COMPUTED_VALUE"""),"BLACK")</f>
        <v>BLACK</v>
      </c>
      <c r="G8720" s="20" t="str">
        <f>IFERROR(__xludf.DUMMYFUNCTION("""COMPUTED_VALUE"""),"Uncle Sams Cider (04/04/2023)")</f>
        <v>Uncle Sams Cider (04/04/2023)</v>
      </c>
      <c r="H8720" s="19"/>
    </row>
    <row r="8721">
      <c r="A8721" s="9"/>
      <c r="B8721" s="15"/>
      <c r="C8721" s="9">
        <f>IFERROR(__xludf.DUMMYFUNCTION("""COMPUTED_VALUE"""),45052.7100479861)</f>
        <v>45052.71005</v>
      </c>
      <c r="D8721" s="15">
        <f>IFERROR(__xludf.DUMMYFUNCTION("""COMPUTED_VALUE"""),1.022)</f>
        <v>1.022</v>
      </c>
      <c r="E8721" s="16">
        <f>IFERROR(__xludf.DUMMYFUNCTION("""COMPUTED_VALUE"""),65.0)</f>
        <v>65</v>
      </c>
      <c r="F8721" s="19" t="str">
        <f>IFERROR(__xludf.DUMMYFUNCTION("""COMPUTED_VALUE"""),"BLACK")</f>
        <v>BLACK</v>
      </c>
      <c r="G8721" s="20" t="str">
        <f>IFERROR(__xludf.DUMMYFUNCTION("""COMPUTED_VALUE"""),"Uncle Sams Cider (04/04/2023)")</f>
        <v>Uncle Sams Cider (04/04/2023)</v>
      </c>
      <c r="H8721" s="19"/>
    </row>
    <row r="8722">
      <c r="A8722" s="9"/>
      <c r="B8722" s="15"/>
      <c r="C8722" s="9">
        <f>IFERROR(__xludf.DUMMYFUNCTION("""COMPUTED_VALUE"""),45052.6996270949)</f>
        <v>45052.69963</v>
      </c>
      <c r="D8722" s="15">
        <f>IFERROR(__xludf.DUMMYFUNCTION("""COMPUTED_VALUE"""),1.022)</f>
        <v>1.022</v>
      </c>
      <c r="E8722" s="16">
        <f>IFERROR(__xludf.DUMMYFUNCTION("""COMPUTED_VALUE"""),65.0)</f>
        <v>65</v>
      </c>
      <c r="F8722" s="19" t="str">
        <f>IFERROR(__xludf.DUMMYFUNCTION("""COMPUTED_VALUE"""),"BLACK")</f>
        <v>BLACK</v>
      </c>
      <c r="G8722" s="20" t="str">
        <f>IFERROR(__xludf.DUMMYFUNCTION("""COMPUTED_VALUE"""),"Uncle Sams Cider (04/04/2023)")</f>
        <v>Uncle Sams Cider (04/04/2023)</v>
      </c>
      <c r="H8722" s="19"/>
    </row>
    <row r="8723">
      <c r="A8723" s="9"/>
      <c r="B8723" s="15"/>
      <c r="C8723" s="9">
        <f>IFERROR(__xludf.DUMMYFUNCTION("""COMPUTED_VALUE"""),45052.6892054976)</f>
        <v>45052.68921</v>
      </c>
      <c r="D8723" s="15">
        <f>IFERROR(__xludf.DUMMYFUNCTION("""COMPUTED_VALUE"""),1.022)</f>
        <v>1.022</v>
      </c>
      <c r="E8723" s="16">
        <f>IFERROR(__xludf.DUMMYFUNCTION("""COMPUTED_VALUE"""),65.0)</f>
        <v>65</v>
      </c>
      <c r="F8723" s="19" t="str">
        <f>IFERROR(__xludf.DUMMYFUNCTION("""COMPUTED_VALUE"""),"BLACK")</f>
        <v>BLACK</v>
      </c>
      <c r="G8723" s="20" t="str">
        <f>IFERROR(__xludf.DUMMYFUNCTION("""COMPUTED_VALUE"""),"Uncle Sams Cider (04/04/2023)")</f>
        <v>Uncle Sams Cider (04/04/2023)</v>
      </c>
      <c r="H8723" s="19"/>
    </row>
    <row r="8724">
      <c r="A8724" s="9"/>
      <c r="B8724" s="15"/>
      <c r="C8724" s="9">
        <f>IFERROR(__xludf.DUMMYFUNCTION("""COMPUTED_VALUE"""),45052.6787849768)</f>
        <v>45052.67878</v>
      </c>
      <c r="D8724" s="15">
        <f>IFERROR(__xludf.DUMMYFUNCTION("""COMPUTED_VALUE"""),1.022)</f>
        <v>1.022</v>
      </c>
      <c r="E8724" s="16">
        <f>IFERROR(__xludf.DUMMYFUNCTION("""COMPUTED_VALUE"""),65.0)</f>
        <v>65</v>
      </c>
      <c r="F8724" s="19" t="str">
        <f>IFERROR(__xludf.DUMMYFUNCTION("""COMPUTED_VALUE"""),"BLACK")</f>
        <v>BLACK</v>
      </c>
      <c r="G8724" s="20" t="str">
        <f>IFERROR(__xludf.DUMMYFUNCTION("""COMPUTED_VALUE"""),"Uncle Sams Cider (04/04/2023)")</f>
        <v>Uncle Sams Cider (04/04/2023)</v>
      </c>
      <c r="H8724" s="19"/>
    </row>
    <row r="8725">
      <c r="A8725" s="9"/>
      <c r="B8725" s="15"/>
      <c r="C8725" s="9">
        <f>IFERROR(__xludf.DUMMYFUNCTION("""COMPUTED_VALUE"""),45052.66836375)</f>
        <v>45052.66836</v>
      </c>
      <c r="D8725" s="15">
        <f>IFERROR(__xludf.DUMMYFUNCTION("""COMPUTED_VALUE"""),1.022)</f>
        <v>1.022</v>
      </c>
      <c r="E8725" s="16">
        <f>IFERROR(__xludf.DUMMYFUNCTION("""COMPUTED_VALUE"""),65.0)</f>
        <v>65</v>
      </c>
      <c r="F8725" s="19" t="str">
        <f>IFERROR(__xludf.DUMMYFUNCTION("""COMPUTED_VALUE"""),"BLACK")</f>
        <v>BLACK</v>
      </c>
      <c r="G8725" s="20" t="str">
        <f>IFERROR(__xludf.DUMMYFUNCTION("""COMPUTED_VALUE"""),"Uncle Sams Cider (04/04/2023)")</f>
        <v>Uncle Sams Cider (04/04/2023)</v>
      </c>
      <c r="H8725" s="19"/>
    </row>
    <row r="8726">
      <c r="A8726" s="9"/>
      <c r="B8726" s="15"/>
      <c r="C8726" s="9">
        <f>IFERROR(__xludf.DUMMYFUNCTION("""COMPUTED_VALUE"""),45052.6579423148)</f>
        <v>45052.65794</v>
      </c>
      <c r="D8726" s="15">
        <f>IFERROR(__xludf.DUMMYFUNCTION("""COMPUTED_VALUE"""),1.022)</f>
        <v>1.022</v>
      </c>
      <c r="E8726" s="16">
        <f>IFERROR(__xludf.DUMMYFUNCTION("""COMPUTED_VALUE"""),65.0)</f>
        <v>65</v>
      </c>
      <c r="F8726" s="19" t="str">
        <f>IFERROR(__xludf.DUMMYFUNCTION("""COMPUTED_VALUE"""),"BLACK")</f>
        <v>BLACK</v>
      </c>
      <c r="G8726" s="20" t="str">
        <f>IFERROR(__xludf.DUMMYFUNCTION("""COMPUTED_VALUE"""),"Uncle Sams Cider (04/04/2023)")</f>
        <v>Uncle Sams Cider (04/04/2023)</v>
      </c>
      <c r="H8726" s="19"/>
    </row>
    <row r="8727">
      <c r="A8727" s="9"/>
      <c r="B8727" s="15"/>
      <c r="C8727" s="9">
        <f>IFERROR(__xludf.DUMMYFUNCTION("""COMPUTED_VALUE"""),45052.6475198958)</f>
        <v>45052.64752</v>
      </c>
      <c r="D8727" s="15">
        <f>IFERROR(__xludf.DUMMYFUNCTION("""COMPUTED_VALUE"""),1.022)</f>
        <v>1.022</v>
      </c>
      <c r="E8727" s="16">
        <f>IFERROR(__xludf.DUMMYFUNCTION("""COMPUTED_VALUE"""),65.0)</f>
        <v>65</v>
      </c>
      <c r="F8727" s="19" t="str">
        <f>IFERROR(__xludf.DUMMYFUNCTION("""COMPUTED_VALUE"""),"BLACK")</f>
        <v>BLACK</v>
      </c>
      <c r="G8727" s="20" t="str">
        <f>IFERROR(__xludf.DUMMYFUNCTION("""COMPUTED_VALUE"""),"Uncle Sams Cider (04/04/2023)")</f>
        <v>Uncle Sams Cider (04/04/2023)</v>
      </c>
      <c r="H8727" s="19"/>
    </row>
    <row r="8728">
      <c r="A8728" s="9"/>
      <c r="B8728" s="15"/>
      <c r="C8728" s="9">
        <f>IFERROR(__xludf.DUMMYFUNCTION("""COMPUTED_VALUE"""),45052.6370991203)</f>
        <v>45052.6371</v>
      </c>
      <c r="D8728" s="15">
        <f>IFERROR(__xludf.DUMMYFUNCTION("""COMPUTED_VALUE"""),1.022)</f>
        <v>1.022</v>
      </c>
      <c r="E8728" s="16">
        <f>IFERROR(__xludf.DUMMYFUNCTION("""COMPUTED_VALUE"""),65.0)</f>
        <v>65</v>
      </c>
      <c r="F8728" s="19" t="str">
        <f>IFERROR(__xludf.DUMMYFUNCTION("""COMPUTED_VALUE"""),"BLACK")</f>
        <v>BLACK</v>
      </c>
      <c r="G8728" s="20" t="str">
        <f>IFERROR(__xludf.DUMMYFUNCTION("""COMPUTED_VALUE"""),"Uncle Sams Cider (04/04/2023)")</f>
        <v>Uncle Sams Cider (04/04/2023)</v>
      </c>
      <c r="H8728" s="19"/>
    </row>
    <row r="8729">
      <c r="A8729" s="9"/>
      <c r="B8729" s="15"/>
      <c r="C8729" s="9">
        <f>IFERROR(__xludf.DUMMYFUNCTION("""COMPUTED_VALUE"""),45052.6266667708)</f>
        <v>45052.62667</v>
      </c>
      <c r="D8729" s="15">
        <f>IFERROR(__xludf.DUMMYFUNCTION("""COMPUTED_VALUE"""),1.022)</f>
        <v>1.022</v>
      </c>
      <c r="E8729" s="16">
        <f>IFERROR(__xludf.DUMMYFUNCTION("""COMPUTED_VALUE"""),65.0)</f>
        <v>65</v>
      </c>
      <c r="F8729" s="19" t="str">
        <f>IFERROR(__xludf.DUMMYFUNCTION("""COMPUTED_VALUE"""),"BLACK")</f>
        <v>BLACK</v>
      </c>
      <c r="G8729" s="20" t="str">
        <f>IFERROR(__xludf.DUMMYFUNCTION("""COMPUTED_VALUE"""),"Uncle Sams Cider (04/04/2023)")</f>
        <v>Uncle Sams Cider (04/04/2023)</v>
      </c>
      <c r="H8729" s="19"/>
    </row>
    <row r="8730">
      <c r="A8730" s="9"/>
      <c r="B8730" s="15"/>
      <c r="C8730" s="9">
        <f>IFERROR(__xludf.DUMMYFUNCTION("""COMPUTED_VALUE"""),45052.6162451504)</f>
        <v>45052.61625</v>
      </c>
      <c r="D8730" s="15">
        <f>IFERROR(__xludf.DUMMYFUNCTION("""COMPUTED_VALUE"""),1.022)</f>
        <v>1.022</v>
      </c>
      <c r="E8730" s="16">
        <f>IFERROR(__xludf.DUMMYFUNCTION("""COMPUTED_VALUE"""),65.0)</f>
        <v>65</v>
      </c>
      <c r="F8730" s="19" t="str">
        <f>IFERROR(__xludf.DUMMYFUNCTION("""COMPUTED_VALUE"""),"BLACK")</f>
        <v>BLACK</v>
      </c>
      <c r="G8730" s="20" t="str">
        <f>IFERROR(__xludf.DUMMYFUNCTION("""COMPUTED_VALUE"""),"Uncle Sams Cider (04/04/2023)")</f>
        <v>Uncle Sams Cider (04/04/2023)</v>
      </c>
      <c r="H8730" s="19"/>
    </row>
    <row r="8731">
      <c r="A8731" s="9"/>
      <c r="B8731" s="15"/>
      <c r="C8731" s="9">
        <f>IFERROR(__xludf.DUMMYFUNCTION("""COMPUTED_VALUE"""),45052.6058250347)</f>
        <v>45052.60583</v>
      </c>
      <c r="D8731" s="15">
        <f>IFERROR(__xludf.DUMMYFUNCTION("""COMPUTED_VALUE"""),1.022)</f>
        <v>1.022</v>
      </c>
      <c r="E8731" s="16">
        <f>IFERROR(__xludf.DUMMYFUNCTION("""COMPUTED_VALUE"""),65.0)</f>
        <v>65</v>
      </c>
      <c r="F8731" s="19" t="str">
        <f>IFERROR(__xludf.DUMMYFUNCTION("""COMPUTED_VALUE"""),"BLACK")</f>
        <v>BLACK</v>
      </c>
      <c r="G8731" s="20" t="str">
        <f>IFERROR(__xludf.DUMMYFUNCTION("""COMPUTED_VALUE"""),"Uncle Sams Cider (04/04/2023)")</f>
        <v>Uncle Sams Cider (04/04/2023)</v>
      </c>
      <c r="H8731" s="19"/>
    </row>
    <row r="8732">
      <c r="A8732" s="9"/>
      <c r="B8732" s="15"/>
      <c r="C8732" s="9">
        <f>IFERROR(__xludf.DUMMYFUNCTION("""COMPUTED_VALUE"""),45052.5954023726)</f>
        <v>45052.5954</v>
      </c>
      <c r="D8732" s="15">
        <f>IFERROR(__xludf.DUMMYFUNCTION("""COMPUTED_VALUE"""),1.022)</f>
        <v>1.022</v>
      </c>
      <c r="E8732" s="16">
        <f>IFERROR(__xludf.DUMMYFUNCTION("""COMPUTED_VALUE"""),65.0)</f>
        <v>65</v>
      </c>
      <c r="F8732" s="19" t="str">
        <f>IFERROR(__xludf.DUMMYFUNCTION("""COMPUTED_VALUE"""),"BLACK")</f>
        <v>BLACK</v>
      </c>
      <c r="G8732" s="20" t="str">
        <f>IFERROR(__xludf.DUMMYFUNCTION("""COMPUTED_VALUE"""),"Uncle Sams Cider (04/04/2023)")</f>
        <v>Uncle Sams Cider (04/04/2023)</v>
      </c>
      <c r="H8732" s="19"/>
    </row>
    <row r="8733">
      <c r="A8733" s="9"/>
      <c r="B8733" s="15"/>
      <c r="C8733" s="9">
        <f>IFERROR(__xludf.DUMMYFUNCTION("""COMPUTED_VALUE"""),45052.591578831)</f>
        <v>45052.59158</v>
      </c>
      <c r="D8733" s="15">
        <f>IFERROR(__xludf.DUMMYFUNCTION("""COMPUTED_VALUE"""),1.022)</f>
        <v>1.022</v>
      </c>
      <c r="E8733" s="16">
        <f>IFERROR(__xludf.DUMMYFUNCTION("""COMPUTED_VALUE"""),65.0)</f>
        <v>65</v>
      </c>
      <c r="F8733" s="19" t="str">
        <f>IFERROR(__xludf.DUMMYFUNCTION("""COMPUTED_VALUE"""),"BLACK")</f>
        <v>BLACK</v>
      </c>
      <c r="G8733" s="20" t="str">
        <f>IFERROR(__xludf.DUMMYFUNCTION("""COMPUTED_VALUE"""),"Uncle Sams Cider (04/04/2023)")</f>
        <v>Uncle Sams Cider (04/04/2023)</v>
      </c>
      <c r="H8733" s="19"/>
    </row>
    <row r="8734">
      <c r="A8734" s="9"/>
      <c r="B8734" s="15"/>
      <c r="C8734" s="9">
        <f>IFERROR(__xludf.DUMMYFUNCTION("""COMPUTED_VALUE"""),45052.5811449652)</f>
        <v>45052.58114</v>
      </c>
      <c r="D8734" s="15">
        <f>IFERROR(__xludf.DUMMYFUNCTION("""COMPUTED_VALUE"""),1.022)</f>
        <v>1.022</v>
      </c>
      <c r="E8734" s="16">
        <f>IFERROR(__xludf.DUMMYFUNCTION("""COMPUTED_VALUE"""),65.0)</f>
        <v>65</v>
      </c>
      <c r="F8734" s="19" t="str">
        <f>IFERROR(__xludf.DUMMYFUNCTION("""COMPUTED_VALUE"""),"BLACK")</f>
        <v>BLACK</v>
      </c>
      <c r="G8734" s="20" t="str">
        <f>IFERROR(__xludf.DUMMYFUNCTION("""COMPUTED_VALUE"""),"Uncle Sams Cider (04/04/2023)")</f>
        <v>Uncle Sams Cider (04/04/2023)</v>
      </c>
      <c r="H8734" s="19"/>
    </row>
    <row r="8735">
      <c r="A8735" s="9"/>
      <c r="B8735" s="15"/>
      <c r="C8735" s="9">
        <f>IFERROR(__xludf.DUMMYFUNCTION("""COMPUTED_VALUE"""),45052.570723993)</f>
        <v>45052.57072</v>
      </c>
      <c r="D8735" s="15">
        <f>IFERROR(__xludf.DUMMYFUNCTION("""COMPUTED_VALUE"""),1.022)</f>
        <v>1.022</v>
      </c>
      <c r="E8735" s="16">
        <f>IFERROR(__xludf.DUMMYFUNCTION("""COMPUTED_VALUE"""),65.0)</f>
        <v>65</v>
      </c>
      <c r="F8735" s="19" t="str">
        <f>IFERROR(__xludf.DUMMYFUNCTION("""COMPUTED_VALUE"""),"BLACK")</f>
        <v>BLACK</v>
      </c>
      <c r="G8735" s="20" t="str">
        <f>IFERROR(__xludf.DUMMYFUNCTION("""COMPUTED_VALUE"""),"Uncle Sams Cider (04/04/2023)")</f>
        <v>Uncle Sams Cider (04/04/2023)</v>
      </c>
      <c r="H8735" s="19"/>
    </row>
    <row r="8736">
      <c r="A8736" s="9"/>
      <c r="B8736" s="15"/>
      <c r="C8736" s="9">
        <f>IFERROR(__xludf.DUMMYFUNCTION("""COMPUTED_VALUE"""),45052.5602894675)</f>
        <v>45052.56029</v>
      </c>
      <c r="D8736" s="15">
        <f>IFERROR(__xludf.DUMMYFUNCTION("""COMPUTED_VALUE"""),1.022)</f>
        <v>1.022</v>
      </c>
      <c r="E8736" s="16">
        <f>IFERROR(__xludf.DUMMYFUNCTION("""COMPUTED_VALUE"""),65.0)</f>
        <v>65</v>
      </c>
      <c r="F8736" s="19" t="str">
        <f>IFERROR(__xludf.DUMMYFUNCTION("""COMPUTED_VALUE"""),"BLACK")</f>
        <v>BLACK</v>
      </c>
      <c r="G8736" s="20" t="str">
        <f>IFERROR(__xludf.DUMMYFUNCTION("""COMPUTED_VALUE"""),"Uncle Sams Cider (04/04/2023)")</f>
        <v>Uncle Sams Cider (04/04/2023)</v>
      </c>
      <c r="H8736" s="19"/>
    </row>
    <row r="8737">
      <c r="A8737" s="9"/>
      <c r="B8737" s="15"/>
      <c r="C8737" s="9">
        <f>IFERROR(__xludf.DUMMYFUNCTION("""COMPUTED_VALUE"""),45052.5498575347)</f>
        <v>45052.54986</v>
      </c>
      <c r="D8737" s="15">
        <f>IFERROR(__xludf.DUMMYFUNCTION("""COMPUTED_VALUE"""),1.022)</f>
        <v>1.022</v>
      </c>
      <c r="E8737" s="16">
        <f>IFERROR(__xludf.DUMMYFUNCTION("""COMPUTED_VALUE"""),65.0)</f>
        <v>65</v>
      </c>
      <c r="F8737" s="19" t="str">
        <f>IFERROR(__xludf.DUMMYFUNCTION("""COMPUTED_VALUE"""),"BLACK")</f>
        <v>BLACK</v>
      </c>
      <c r="G8737" s="20" t="str">
        <f>IFERROR(__xludf.DUMMYFUNCTION("""COMPUTED_VALUE"""),"Uncle Sams Cider (04/04/2023)")</f>
        <v>Uncle Sams Cider (04/04/2023)</v>
      </c>
      <c r="H8737" s="19"/>
    </row>
    <row r="8738">
      <c r="A8738" s="9"/>
      <c r="B8738" s="15"/>
      <c r="C8738" s="9">
        <f>IFERROR(__xludf.DUMMYFUNCTION("""COMPUTED_VALUE"""),45052.5394240972)</f>
        <v>45052.53942</v>
      </c>
      <c r="D8738" s="15">
        <f>IFERROR(__xludf.DUMMYFUNCTION("""COMPUTED_VALUE"""),1.022)</f>
        <v>1.022</v>
      </c>
      <c r="E8738" s="16">
        <f>IFERROR(__xludf.DUMMYFUNCTION("""COMPUTED_VALUE"""),65.0)</f>
        <v>65</v>
      </c>
      <c r="F8738" s="19" t="str">
        <f>IFERROR(__xludf.DUMMYFUNCTION("""COMPUTED_VALUE"""),"BLACK")</f>
        <v>BLACK</v>
      </c>
      <c r="G8738" s="20" t="str">
        <f>IFERROR(__xludf.DUMMYFUNCTION("""COMPUTED_VALUE"""),"Uncle Sams Cider (04/04/2023)")</f>
        <v>Uncle Sams Cider (04/04/2023)</v>
      </c>
      <c r="H8738" s="19"/>
    </row>
    <row r="8739">
      <c r="A8739" s="9"/>
      <c r="B8739" s="15"/>
      <c r="C8739" s="9">
        <f>IFERROR(__xludf.DUMMYFUNCTION("""COMPUTED_VALUE"""),45052.5290027314)</f>
        <v>45052.529</v>
      </c>
      <c r="D8739" s="15">
        <f>IFERROR(__xludf.DUMMYFUNCTION("""COMPUTED_VALUE"""),1.022)</f>
        <v>1.022</v>
      </c>
      <c r="E8739" s="16">
        <f>IFERROR(__xludf.DUMMYFUNCTION("""COMPUTED_VALUE"""),66.0)</f>
        <v>66</v>
      </c>
      <c r="F8739" s="19" t="str">
        <f>IFERROR(__xludf.DUMMYFUNCTION("""COMPUTED_VALUE"""),"BLACK")</f>
        <v>BLACK</v>
      </c>
      <c r="G8739" s="20" t="str">
        <f>IFERROR(__xludf.DUMMYFUNCTION("""COMPUTED_VALUE"""),"Uncle Sams Cider (04/04/2023)")</f>
        <v>Uncle Sams Cider (04/04/2023)</v>
      </c>
      <c r="H8739" s="19"/>
    </row>
    <row r="8740">
      <c r="A8740" s="9"/>
      <c r="B8740" s="15"/>
      <c r="C8740" s="9">
        <f>IFERROR(__xludf.DUMMYFUNCTION("""COMPUTED_VALUE"""),45052.5185698263)</f>
        <v>45052.51857</v>
      </c>
      <c r="D8740" s="15">
        <f>IFERROR(__xludf.DUMMYFUNCTION("""COMPUTED_VALUE"""),1.022)</f>
        <v>1.022</v>
      </c>
      <c r="E8740" s="16">
        <f>IFERROR(__xludf.DUMMYFUNCTION("""COMPUTED_VALUE"""),66.0)</f>
        <v>66</v>
      </c>
      <c r="F8740" s="19" t="str">
        <f>IFERROR(__xludf.DUMMYFUNCTION("""COMPUTED_VALUE"""),"BLACK")</f>
        <v>BLACK</v>
      </c>
      <c r="G8740" s="20" t="str">
        <f>IFERROR(__xludf.DUMMYFUNCTION("""COMPUTED_VALUE"""),"Uncle Sams Cider (04/04/2023)")</f>
        <v>Uncle Sams Cider (04/04/2023)</v>
      </c>
      <c r="H8740" s="19"/>
    </row>
    <row r="8741">
      <c r="A8741" s="9"/>
      <c r="B8741" s="15"/>
      <c r="C8741" s="9">
        <f>IFERROR(__xludf.DUMMYFUNCTION("""COMPUTED_VALUE"""),45052.5081484838)</f>
        <v>45052.50815</v>
      </c>
      <c r="D8741" s="15">
        <f>IFERROR(__xludf.DUMMYFUNCTION("""COMPUTED_VALUE"""),1.022)</f>
        <v>1.022</v>
      </c>
      <c r="E8741" s="16">
        <f>IFERROR(__xludf.DUMMYFUNCTION("""COMPUTED_VALUE"""),66.0)</f>
        <v>66</v>
      </c>
      <c r="F8741" s="19" t="str">
        <f>IFERROR(__xludf.DUMMYFUNCTION("""COMPUTED_VALUE"""),"BLACK")</f>
        <v>BLACK</v>
      </c>
      <c r="G8741" s="20" t="str">
        <f>IFERROR(__xludf.DUMMYFUNCTION("""COMPUTED_VALUE"""),"Uncle Sams Cider (04/04/2023)")</f>
        <v>Uncle Sams Cider (04/04/2023)</v>
      </c>
      <c r="H8741" s="19"/>
    </row>
    <row r="8742">
      <c r="A8742" s="9"/>
      <c r="B8742" s="15"/>
      <c r="C8742" s="9">
        <f>IFERROR(__xludf.DUMMYFUNCTION("""COMPUTED_VALUE"""),45052.4977296875)</f>
        <v>45052.49773</v>
      </c>
      <c r="D8742" s="15">
        <f>IFERROR(__xludf.DUMMYFUNCTION("""COMPUTED_VALUE"""),1.022)</f>
        <v>1.022</v>
      </c>
      <c r="E8742" s="16">
        <f>IFERROR(__xludf.DUMMYFUNCTION("""COMPUTED_VALUE"""),66.0)</f>
        <v>66</v>
      </c>
      <c r="F8742" s="19" t="str">
        <f>IFERROR(__xludf.DUMMYFUNCTION("""COMPUTED_VALUE"""),"BLACK")</f>
        <v>BLACK</v>
      </c>
      <c r="G8742" s="20" t="str">
        <f>IFERROR(__xludf.DUMMYFUNCTION("""COMPUTED_VALUE"""),"Uncle Sams Cider (04/04/2023)")</f>
        <v>Uncle Sams Cider (04/04/2023)</v>
      </c>
      <c r="H8742" s="19"/>
    </row>
    <row r="8743">
      <c r="A8743" s="9"/>
      <c r="B8743" s="15"/>
      <c r="C8743" s="9">
        <f>IFERROR(__xludf.DUMMYFUNCTION("""COMPUTED_VALUE"""),45052.4872975926)</f>
        <v>45052.4873</v>
      </c>
      <c r="D8743" s="15">
        <f>IFERROR(__xludf.DUMMYFUNCTION("""COMPUTED_VALUE"""),1.022)</f>
        <v>1.022</v>
      </c>
      <c r="E8743" s="16">
        <f>IFERROR(__xludf.DUMMYFUNCTION("""COMPUTED_VALUE"""),66.0)</f>
        <v>66</v>
      </c>
      <c r="F8743" s="19" t="str">
        <f>IFERROR(__xludf.DUMMYFUNCTION("""COMPUTED_VALUE"""),"BLACK")</f>
        <v>BLACK</v>
      </c>
      <c r="G8743" s="20" t="str">
        <f>IFERROR(__xludf.DUMMYFUNCTION("""COMPUTED_VALUE"""),"Uncle Sams Cider (04/04/2023)")</f>
        <v>Uncle Sams Cider (04/04/2023)</v>
      </c>
      <c r="H8743" s="19"/>
    </row>
    <row r="8744">
      <c r="A8744" s="9"/>
      <c r="B8744" s="15"/>
      <c r="C8744" s="9">
        <f>IFERROR(__xludf.DUMMYFUNCTION("""COMPUTED_VALUE"""),45052.476878912)</f>
        <v>45052.47688</v>
      </c>
      <c r="D8744" s="15">
        <f>IFERROR(__xludf.DUMMYFUNCTION("""COMPUTED_VALUE"""),1.022)</f>
        <v>1.022</v>
      </c>
      <c r="E8744" s="16">
        <f>IFERROR(__xludf.DUMMYFUNCTION("""COMPUTED_VALUE"""),66.0)</f>
        <v>66</v>
      </c>
      <c r="F8744" s="19" t="str">
        <f>IFERROR(__xludf.DUMMYFUNCTION("""COMPUTED_VALUE"""),"BLACK")</f>
        <v>BLACK</v>
      </c>
      <c r="G8744" s="20" t="str">
        <f>IFERROR(__xludf.DUMMYFUNCTION("""COMPUTED_VALUE"""),"Uncle Sams Cider (04/04/2023)")</f>
        <v>Uncle Sams Cider (04/04/2023)</v>
      </c>
      <c r="H8744" s="19"/>
    </row>
    <row r="8745">
      <c r="A8745" s="9"/>
      <c r="B8745" s="15"/>
      <c r="C8745" s="9">
        <f>IFERROR(__xludf.DUMMYFUNCTION("""COMPUTED_VALUE"""),45052.4664576273)</f>
        <v>45052.46646</v>
      </c>
      <c r="D8745" s="15">
        <f>IFERROR(__xludf.DUMMYFUNCTION("""COMPUTED_VALUE"""),1.022)</f>
        <v>1.022</v>
      </c>
      <c r="E8745" s="16">
        <f>IFERROR(__xludf.DUMMYFUNCTION("""COMPUTED_VALUE"""),66.0)</f>
        <v>66</v>
      </c>
      <c r="F8745" s="19" t="str">
        <f>IFERROR(__xludf.DUMMYFUNCTION("""COMPUTED_VALUE"""),"BLACK")</f>
        <v>BLACK</v>
      </c>
      <c r="G8745" s="20" t="str">
        <f>IFERROR(__xludf.DUMMYFUNCTION("""COMPUTED_VALUE"""),"Uncle Sams Cider (04/04/2023)")</f>
        <v>Uncle Sams Cider (04/04/2023)</v>
      </c>
      <c r="H8745" s="19"/>
    </row>
    <row r="8746">
      <c r="A8746" s="9"/>
      <c r="B8746" s="15"/>
      <c r="C8746" s="9">
        <f>IFERROR(__xludf.DUMMYFUNCTION("""COMPUTED_VALUE"""),45052.4560349421)</f>
        <v>45052.45603</v>
      </c>
      <c r="D8746" s="15">
        <f>IFERROR(__xludf.DUMMYFUNCTION("""COMPUTED_VALUE"""),1.022)</f>
        <v>1.022</v>
      </c>
      <c r="E8746" s="16">
        <f>IFERROR(__xludf.DUMMYFUNCTION("""COMPUTED_VALUE"""),66.0)</f>
        <v>66</v>
      </c>
      <c r="F8746" s="19" t="str">
        <f>IFERROR(__xludf.DUMMYFUNCTION("""COMPUTED_VALUE"""),"BLACK")</f>
        <v>BLACK</v>
      </c>
      <c r="G8746" s="20" t="str">
        <f>IFERROR(__xludf.DUMMYFUNCTION("""COMPUTED_VALUE"""),"Uncle Sams Cider (04/04/2023)")</f>
        <v>Uncle Sams Cider (04/04/2023)</v>
      </c>
      <c r="H8746" s="19"/>
    </row>
    <row r="8747">
      <c r="A8747" s="9"/>
      <c r="B8747" s="15"/>
      <c r="C8747" s="9">
        <f>IFERROR(__xludf.DUMMYFUNCTION("""COMPUTED_VALUE"""),45052.4456132175)</f>
        <v>45052.44561</v>
      </c>
      <c r="D8747" s="15">
        <f>IFERROR(__xludf.DUMMYFUNCTION("""COMPUTED_VALUE"""),1.022)</f>
        <v>1.022</v>
      </c>
      <c r="E8747" s="16">
        <f>IFERROR(__xludf.DUMMYFUNCTION("""COMPUTED_VALUE"""),66.0)</f>
        <v>66</v>
      </c>
      <c r="F8747" s="19" t="str">
        <f>IFERROR(__xludf.DUMMYFUNCTION("""COMPUTED_VALUE"""),"BLACK")</f>
        <v>BLACK</v>
      </c>
      <c r="G8747" s="20" t="str">
        <f>IFERROR(__xludf.DUMMYFUNCTION("""COMPUTED_VALUE"""),"Uncle Sams Cider (04/04/2023)")</f>
        <v>Uncle Sams Cider (04/04/2023)</v>
      </c>
      <c r="H8747" s="19"/>
    </row>
    <row r="8748">
      <c r="A8748" s="9"/>
      <c r="B8748" s="15"/>
      <c r="C8748" s="9">
        <f>IFERROR(__xludf.DUMMYFUNCTION("""COMPUTED_VALUE"""),45052.4351915972)</f>
        <v>45052.43519</v>
      </c>
      <c r="D8748" s="15">
        <f>IFERROR(__xludf.DUMMYFUNCTION("""COMPUTED_VALUE"""),1.022)</f>
        <v>1.022</v>
      </c>
      <c r="E8748" s="16">
        <f>IFERROR(__xludf.DUMMYFUNCTION("""COMPUTED_VALUE"""),66.0)</f>
        <v>66</v>
      </c>
      <c r="F8748" s="19" t="str">
        <f>IFERROR(__xludf.DUMMYFUNCTION("""COMPUTED_VALUE"""),"BLACK")</f>
        <v>BLACK</v>
      </c>
      <c r="G8748" s="20" t="str">
        <f>IFERROR(__xludf.DUMMYFUNCTION("""COMPUTED_VALUE"""),"Uncle Sams Cider (04/04/2023)")</f>
        <v>Uncle Sams Cider (04/04/2023)</v>
      </c>
      <c r="H8748" s="19"/>
    </row>
    <row r="8749">
      <c r="A8749" s="9"/>
      <c r="B8749" s="15"/>
      <c r="C8749" s="9">
        <f>IFERROR(__xludf.DUMMYFUNCTION("""COMPUTED_VALUE"""),45052.4247591435)</f>
        <v>45052.42476</v>
      </c>
      <c r="D8749" s="15">
        <f>IFERROR(__xludf.DUMMYFUNCTION("""COMPUTED_VALUE"""),1.022)</f>
        <v>1.022</v>
      </c>
      <c r="E8749" s="16">
        <f>IFERROR(__xludf.DUMMYFUNCTION("""COMPUTED_VALUE"""),66.0)</f>
        <v>66</v>
      </c>
      <c r="F8749" s="19" t="str">
        <f>IFERROR(__xludf.DUMMYFUNCTION("""COMPUTED_VALUE"""),"BLACK")</f>
        <v>BLACK</v>
      </c>
      <c r="G8749" s="20" t="str">
        <f>IFERROR(__xludf.DUMMYFUNCTION("""COMPUTED_VALUE"""),"Uncle Sams Cider (04/04/2023)")</f>
        <v>Uncle Sams Cider (04/04/2023)</v>
      </c>
      <c r="H8749" s="19"/>
    </row>
    <row r="8750">
      <c r="A8750" s="9"/>
      <c r="B8750" s="15"/>
      <c r="C8750" s="9">
        <f>IFERROR(__xludf.DUMMYFUNCTION("""COMPUTED_VALUE"""),45052.4143371643)</f>
        <v>45052.41434</v>
      </c>
      <c r="D8750" s="15">
        <f>IFERROR(__xludf.DUMMYFUNCTION("""COMPUTED_VALUE"""),1.022)</f>
        <v>1.022</v>
      </c>
      <c r="E8750" s="16">
        <f>IFERROR(__xludf.DUMMYFUNCTION("""COMPUTED_VALUE"""),66.0)</f>
        <v>66</v>
      </c>
      <c r="F8750" s="19" t="str">
        <f>IFERROR(__xludf.DUMMYFUNCTION("""COMPUTED_VALUE"""),"BLACK")</f>
        <v>BLACK</v>
      </c>
      <c r="G8750" s="20" t="str">
        <f>IFERROR(__xludf.DUMMYFUNCTION("""COMPUTED_VALUE"""),"Uncle Sams Cider (04/04/2023)")</f>
        <v>Uncle Sams Cider (04/04/2023)</v>
      </c>
      <c r="H8750" s="19"/>
    </row>
    <row r="8751">
      <c r="A8751" s="9"/>
      <c r="B8751" s="15"/>
      <c r="C8751" s="9">
        <f>IFERROR(__xludf.DUMMYFUNCTION("""COMPUTED_VALUE"""),45052.4039167708)</f>
        <v>45052.40392</v>
      </c>
      <c r="D8751" s="15">
        <f>IFERROR(__xludf.DUMMYFUNCTION("""COMPUTED_VALUE"""),1.022)</f>
        <v>1.022</v>
      </c>
      <c r="E8751" s="16">
        <f>IFERROR(__xludf.DUMMYFUNCTION("""COMPUTED_VALUE"""),66.0)</f>
        <v>66</v>
      </c>
      <c r="F8751" s="19" t="str">
        <f>IFERROR(__xludf.DUMMYFUNCTION("""COMPUTED_VALUE"""),"BLACK")</f>
        <v>BLACK</v>
      </c>
      <c r="G8751" s="20" t="str">
        <f>IFERROR(__xludf.DUMMYFUNCTION("""COMPUTED_VALUE"""),"Uncle Sams Cider (04/04/2023)")</f>
        <v>Uncle Sams Cider (04/04/2023)</v>
      </c>
      <c r="H8751" s="19"/>
    </row>
    <row r="8752">
      <c r="A8752" s="9"/>
      <c r="B8752" s="15"/>
      <c r="C8752" s="9">
        <f>IFERROR(__xludf.DUMMYFUNCTION("""COMPUTED_VALUE"""),45052.3934955671)</f>
        <v>45052.3935</v>
      </c>
      <c r="D8752" s="15">
        <f>IFERROR(__xludf.DUMMYFUNCTION("""COMPUTED_VALUE"""),1.022)</f>
        <v>1.022</v>
      </c>
      <c r="E8752" s="16">
        <f>IFERROR(__xludf.DUMMYFUNCTION("""COMPUTED_VALUE"""),66.0)</f>
        <v>66</v>
      </c>
      <c r="F8752" s="19" t="str">
        <f>IFERROR(__xludf.DUMMYFUNCTION("""COMPUTED_VALUE"""),"BLACK")</f>
        <v>BLACK</v>
      </c>
      <c r="G8752" s="20" t="str">
        <f>IFERROR(__xludf.DUMMYFUNCTION("""COMPUTED_VALUE"""),"Uncle Sams Cider (04/04/2023)")</f>
        <v>Uncle Sams Cider (04/04/2023)</v>
      </c>
      <c r="H8752" s="19"/>
    </row>
    <row r="8753">
      <c r="A8753" s="9"/>
      <c r="B8753" s="15"/>
      <c r="C8753" s="9">
        <f>IFERROR(__xludf.DUMMYFUNCTION("""COMPUTED_VALUE"""),45052.3830650925)</f>
        <v>45052.38307</v>
      </c>
      <c r="D8753" s="15">
        <f>IFERROR(__xludf.DUMMYFUNCTION("""COMPUTED_VALUE"""),1.022)</f>
        <v>1.022</v>
      </c>
      <c r="E8753" s="16">
        <f>IFERROR(__xludf.DUMMYFUNCTION("""COMPUTED_VALUE"""),66.0)</f>
        <v>66</v>
      </c>
      <c r="F8753" s="19" t="str">
        <f>IFERROR(__xludf.DUMMYFUNCTION("""COMPUTED_VALUE"""),"BLACK")</f>
        <v>BLACK</v>
      </c>
      <c r="G8753" s="20" t="str">
        <f>IFERROR(__xludf.DUMMYFUNCTION("""COMPUTED_VALUE"""),"Uncle Sams Cider (04/04/2023)")</f>
        <v>Uncle Sams Cider (04/04/2023)</v>
      </c>
      <c r="H8753" s="19"/>
    </row>
    <row r="8754">
      <c r="A8754" s="9"/>
      <c r="B8754" s="15"/>
      <c r="C8754" s="9">
        <f>IFERROR(__xludf.DUMMYFUNCTION("""COMPUTED_VALUE"""),45052.3726435185)</f>
        <v>45052.37264</v>
      </c>
      <c r="D8754" s="15">
        <f>IFERROR(__xludf.DUMMYFUNCTION("""COMPUTED_VALUE"""),1.022)</f>
        <v>1.022</v>
      </c>
      <c r="E8754" s="16">
        <f>IFERROR(__xludf.DUMMYFUNCTION("""COMPUTED_VALUE"""),66.0)</f>
        <v>66</v>
      </c>
      <c r="F8754" s="19" t="str">
        <f>IFERROR(__xludf.DUMMYFUNCTION("""COMPUTED_VALUE"""),"BLACK")</f>
        <v>BLACK</v>
      </c>
      <c r="G8754" s="20" t="str">
        <f>IFERROR(__xludf.DUMMYFUNCTION("""COMPUTED_VALUE"""),"Uncle Sams Cider (04/04/2023)")</f>
        <v>Uncle Sams Cider (04/04/2023)</v>
      </c>
      <c r="H8754" s="19"/>
    </row>
    <row r="8755">
      <c r="A8755" s="9"/>
      <c r="B8755" s="15"/>
      <c r="C8755" s="9">
        <f>IFERROR(__xludf.DUMMYFUNCTION("""COMPUTED_VALUE"""),45052.362222199)</f>
        <v>45052.36222</v>
      </c>
      <c r="D8755" s="15">
        <f>IFERROR(__xludf.DUMMYFUNCTION("""COMPUTED_VALUE"""),1.022)</f>
        <v>1.022</v>
      </c>
      <c r="E8755" s="16">
        <f>IFERROR(__xludf.DUMMYFUNCTION("""COMPUTED_VALUE"""),66.0)</f>
        <v>66</v>
      </c>
      <c r="F8755" s="19" t="str">
        <f>IFERROR(__xludf.DUMMYFUNCTION("""COMPUTED_VALUE"""),"BLACK")</f>
        <v>BLACK</v>
      </c>
      <c r="G8755" s="20" t="str">
        <f>IFERROR(__xludf.DUMMYFUNCTION("""COMPUTED_VALUE"""),"Uncle Sams Cider (04/04/2023)")</f>
        <v>Uncle Sams Cider (04/04/2023)</v>
      </c>
      <c r="H8755" s="19"/>
    </row>
    <row r="8756">
      <c r="A8756" s="9"/>
      <c r="B8756" s="15"/>
      <c r="C8756" s="9">
        <f>IFERROR(__xludf.DUMMYFUNCTION("""COMPUTED_VALUE"""),45052.3518021759)</f>
        <v>45052.3518</v>
      </c>
      <c r="D8756" s="15">
        <f>IFERROR(__xludf.DUMMYFUNCTION("""COMPUTED_VALUE"""),1.022)</f>
        <v>1.022</v>
      </c>
      <c r="E8756" s="16">
        <f>IFERROR(__xludf.DUMMYFUNCTION("""COMPUTED_VALUE"""),66.0)</f>
        <v>66</v>
      </c>
      <c r="F8756" s="19" t="str">
        <f>IFERROR(__xludf.DUMMYFUNCTION("""COMPUTED_VALUE"""),"BLACK")</f>
        <v>BLACK</v>
      </c>
      <c r="G8756" s="20" t="str">
        <f>IFERROR(__xludf.DUMMYFUNCTION("""COMPUTED_VALUE"""),"Uncle Sams Cider (04/04/2023)")</f>
        <v>Uncle Sams Cider (04/04/2023)</v>
      </c>
      <c r="H8756" s="19"/>
    </row>
    <row r="8757">
      <c r="A8757" s="9"/>
      <c r="B8757" s="15"/>
      <c r="C8757" s="9">
        <f>IFERROR(__xludf.DUMMYFUNCTION("""COMPUTED_VALUE"""),45052.3413796412)</f>
        <v>45052.34138</v>
      </c>
      <c r="D8757" s="15">
        <f>IFERROR(__xludf.DUMMYFUNCTION("""COMPUTED_VALUE"""),1.022)</f>
        <v>1.022</v>
      </c>
      <c r="E8757" s="16">
        <f>IFERROR(__xludf.DUMMYFUNCTION("""COMPUTED_VALUE"""),66.0)</f>
        <v>66</v>
      </c>
      <c r="F8757" s="19" t="str">
        <f>IFERROR(__xludf.DUMMYFUNCTION("""COMPUTED_VALUE"""),"BLACK")</f>
        <v>BLACK</v>
      </c>
      <c r="G8757" s="20" t="str">
        <f>IFERROR(__xludf.DUMMYFUNCTION("""COMPUTED_VALUE"""),"Uncle Sams Cider (04/04/2023)")</f>
        <v>Uncle Sams Cider (04/04/2023)</v>
      </c>
      <c r="H8757" s="19"/>
    </row>
    <row r="8758">
      <c r="A8758" s="9"/>
      <c r="B8758" s="15"/>
      <c r="C8758" s="9">
        <f>IFERROR(__xludf.DUMMYFUNCTION("""COMPUTED_VALUE"""),45052.33095853)</f>
        <v>45052.33096</v>
      </c>
      <c r="D8758" s="15">
        <f>IFERROR(__xludf.DUMMYFUNCTION("""COMPUTED_VALUE"""),1.022)</f>
        <v>1.022</v>
      </c>
      <c r="E8758" s="16">
        <f>IFERROR(__xludf.DUMMYFUNCTION("""COMPUTED_VALUE"""),66.0)</f>
        <v>66</v>
      </c>
      <c r="F8758" s="19" t="str">
        <f>IFERROR(__xludf.DUMMYFUNCTION("""COMPUTED_VALUE"""),"BLACK")</f>
        <v>BLACK</v>
      </c>
      <c r="G8758" s="20" t="str">
        <f>IFERROR(__xludf.DUMMYFUNCTION("""COMPUTED_VALUE"""),"Uncle Sams Cider (04/04/2023)")</f>
        <v>Uncle Sams Cider (04/04/2023)</v>
      </c>
      <c r="H8758" s="19"/>
    </row>
    <row r="8759">
      <c r="A8759" s="9"/>
      <c r="B8759" s="15"/>
      <c r="C8759" s="9">
        <f>IFERROR(__xludf.DUMMYFUNCTION("""COMPUTED_VALUE"""),45052.3205358449)</f>
        <v>45052.32054</v>
      </c>
      <c r="D8759" s="15">
        <f>IFERROR(__xludf.DUMMYFUNCTION("""COMPUTED_VALUE"""),1.022)</f>
        <v>1.022</v>
      </c>
      <c r="E8759" s="16">
        <f>IFERROR(__xludf.DUMMYFUNCTION("""COMPUTED_VALUE"""),66.0)</f>
        <v>66</v>
      </c>
      <c r="F8759" s="19" t="str">
        <f>IFERROR(__xludf.DUMMYFUNCTION("""COMPUTED_VALUE"""),"BLACK")</f>
        <v>BLACK</v>
      </c>
      <c r="G8759" s="20" t="str">
        <f>IFERROR(__xludf.DUMMYFUNCTION("""COMPUTED_VALUE"""),"Uncle Sams Cider (04/04/2023)")</f>
        <v>Uncle Sams Cider (04/04/2023)</v>
      </c>
      <c r="H8759" s="19"/>
    </row>
    <row r="8760">
      <c r="A8760" s="9"/>
      <c r="B8760" s="15"/>
      <c r="C8760" s="9">
        <f>IFERROR(__xludf.DUMMYFUNCTION("""COMPUTED_VALUE"""),45052.3101140972)</f>
        <v>45052.31011</v>
      </c>
      <c r="D8760" s="15">
        <f>IFERROR(__xludf.DUMMYFUNCTION("""COMPUTED_VALUE"""),1.022)</f>
        <v>1.022</v>
      </c>
      <c r="E8760" s="16">
        <f>IFERROR(__xludf.DUMMYFUNCTION("""COMPUTED_VALUE"""),66.0)</f>
        <v>66</v>
      </c>
      <c r="F8760" s="19" t="str">
        <f>IFERROR(__xludf.DUMMYFUNCTION("""COMPUTED_VALUE"""),"BLACK")</f>
        <v>BLACK</v>
      </c>
      <c r="G8760" s="20" t="str">
        <f>IFERROR(__xludf.DUMMYFUNCTION("""COMPUTED_VALUE"""),"Uncle Sams Cider (04/04/2023)")</f>
        <v>Uncle Sams Cider (04/04/2023)</v>
      </c>
      <c r="H8760" s="19"/>
    </row>
    <row r="8761">
      <c r="A8761" s="9"/>
      <c r="B8761" s="15"/>
      <c r="C8761" s="9">
        <f>IFERROR(__xludf.DUMMYFUNCTION("""COMPUTED_VALUE"""),45052.2996928703)</f>
        <v>45052.29969</v>
      </c>
      <c r="D8761" s="15">
        <f>IFERROR(__xludf.DUMMYFUNCTION("""COMPUTED_VALUE"""),1.022)</f>
        <v>1.022</v>
      </c>
      <c r="E8761" s="16">
        <f>IFERROR(__xludf.DUMMYFUNCTION("""COMPUTED_VALUE"""),66.0)</f>
        <v>66</v>
      </c>
      <c r="F8761" s="19" t="str">
        <f>IFERROR(__xludf.DUMMYFUNCTION("""COMPUTED_VALUE"""),"BLACK")</f>
        <v>BLACK</v>
      </c>
      <c r="G8761" s="20" t="str">
        <f>IFERROR(__xludf.DUMMYFUNCTION("""COMPUTED_VALUE"""),"Uncle Sams Cider (04/04/2023)")</f>
        <v>Uncle Sams Cider (04/04/2023)</v>
      </c>
      <c r="H8761" s="19"/>
    </row>
    <row r="8762">
      <c r="A8762" s="9"/>
      <c r="B8762" s="15"/>
      <c r="C8762" s="9">
        <f>IFERROR(__xludf.DUMMYFUNCTION("""COMPUTED_VALUE"""),45052.2892716088)</f>
        <v>45052.28927</v>
      </c>
      <c r="D8762" s="15">
        <f>IFERROR(__xludf.DUMMYFUNCTION("""COMPUTED_VALUE"""),1.022)</f>
        <v>1.022</v>
      </c>
      <c r="E8762" s="16">
        <f>IFERROR(__xludf.DUMMYFUNCTION("""COMPUTED_VALUE"""),66.0)</f>
        <v>66</v>
      </c>
      <c r="F8762" s="19" t="str">
        <f>IFERROR(__xludf.DUMMYFUNCTION("""COMPUTED_VALUE"""),"BLACK")</f>
        <v>BLACK</v>
      </c>
      <c r="G8762" s="20" t="str">
        <f>IFERROR(__xludf.DUMMYFUNCTION("""COMPUTED_VALUE"""),"Uncle Sams Cider (04/04/2023)")</f>
        <v>Uncle Sams Cider (04/04/2023)</v>
      </c>
      <c r="H8762" s="19"/>
    </row>
    <row r="8763">
      <c r="A8763" s="9"/>
      <c r="B8763" s="15"/>
      <c r="C8763" s="9">
        <f>IFERROR(__xludf.DUMMYFUNCTION("""COMPUTED_VALUE"""),45052.2788401157)</f>
        <v>45052.27884</v>
      </c>
      <c r="D8763" s="15">
        <f>IFERROR(__xludf.DUMMYFUNCTION("""COMPUTED_VALUE"""),1.022)</f>
        <v>1.022</v>
      </c>
      <c r="E8763" s="16">
        <f>IFERROR(__xludf.DUMMYFUNCTION("""COMPUTED_VALUE"""),66.0)</f>
        <v>66</v>
      </c>
      <c r="F8763" s="19" t="str">
        <f>IFERROR(__xludf.DUMMYFUNCTION("""COMPUTED_VALUE"""),"BLACK")</f>
        <v>BLACK</v>
      </c>
      <c r="G8763" s="20" t="str">
        <f>IFERROR(__xludf.DUMMYFUNCTION("""COMPUTED_VALUE"""),"Uncle Sams Cider (04/04/2023)")</f>
        <v>Uncle Sams Cider (04/04/2023)</v>
      </c>
      <c r="H8763" s="19"/>
    </row>
    <row r="8764">
      <c r="A8764" s="9"/>
      <c r="B8764" s="15"/>
      <c r="C8764" s="9">
        <f>IFERROR(__xludf.DUMMYFUNCTION("""COMPUTED_VALUE"""),45052.2684095254)</f>
        <v>45052.26841</v>
      </c>
      <c r="D8764" s="15">
        <f>IFERROR(__xludf.DUMMYFUNCTION("""COMPUTED_VALUE"""),1.022)</f>
        <v>1.022</v>
      </c>
      <c r="E8764" s="16">
        <f>IFERROR(__xludf.DUMMYFUNCTION("""COMPUTED_VALUE"""),66.0)</f>
        <v>66</v>
      </c>
      <c r="F8764" s="19" t="str">
        <f>IFERROR(__xludf.DUMMYFUNCTION("""COMPUTED_VALUE"""),"BLACK")</f>
        <v>BLACK</v>
      </c>
      <c r="G8764" s="20" t="str">
        <f>IFERROR(__xludf.DUMMYFUNCTION("""COMPUTED_VALUE"""),"Uncle Sams Cider (04/04/2023)")</f>
        <v>Uncle Sams Cider (04/04/2023)</v>
      </c>
      <c r="H8764" s="19"/>
    </row>
    <row r="8765">
      <c r="A8765" s="9"/>
      <c r="B8765" s="15"/>
      <c r="C8765" s="9">
        <f>IFERROR(__xludf.DUMMYFUNCTION("""COMPUTED_VALUE"""),45052.2579878703)</f>
        <v>45052.25799</v>
      </c>
      <c r="D8765" s="15">
        <f>IFERROR(__xludf.DUMMYFUNCTION("""COMPUTED_VALUE"""),1.022)</f>
        <v>1.022</v>
      </c>
      <c r="E8765" s="16">
        <f>IFERROR(__xludf.DUMMYFUNCTION("""COMPUTED_VALUE"""),66.0)</f>
        <v>66</v>
      </c>
      <c r="F8765" s="19" t="str">
        <f>IFERROR(__xludf.DUMMYFUNCTION("""COMPUTED_VALUE"""),"BLACK")</f>
        <v>BLACK</v>
      </c>
      <c r="G8765" s="20" t="str">
        <f>IFERROR(__xludf.DUMMYFUNCTION("""COMPUTED_VALUE"""),"Uncle Sams Cider (04/04/2023)")</f>
        <v>Uncle Sams Cider (04/04/2023)</v>
      </c>
      <c r="H8765" s="19"/>
    </row>
    <row r="8766">
      <c r="A8766" s="9"/>
      <c r="B8766" s="15"/>
      <c r="C8766" s="9">
        <f>IFERROR(__xludf.DUMMYFUNCTION("""COMPUTED_VALUE"""),45052.2475545486)</f>
        <v>45052.24755</v>
      </c>
      <c r="D8766" s="15">
        <f>IFERROR(__xludf.DUMMYFUNCTION("""COMPUTED_VALUE"""),1.022)</f>
        <v>1.022</v>
      </c>
      <c r="E8766" s="16">
        <f>IFERROR(__xludf.DUMMYFUNCTION("""COMPUTED_VALUE"""),66.0)</f>
        <v>66</v>
      </c>
      <c r="F8766" s="19" t="str">
        <f>IFERROR(__xludf.DUMMYFUNCTION("""COMPUTED_VALUE"""),"BLACK")</f>
        <v>BLACK</v>
      </c>
      <c r="G8766" s="20" t="str">
        <f>IFERROR(__xludf.DUMMYFUNCTION("""COMPUTED_VALUE"""),"Uncle Sams Cider (04/04/2023)")</f>
        <v>Uncle Sams Cider (04/04/2023)</v>
      </c>
      <c r="H8766" s="19"/>
    </row>
    <row r="8767">
      <c r="A8767" s="9"/>
      <c r="B8767" s="15"/>
      <c r="C8767" s="9">
        <f>IFERROR(__xludf.DUMMYFUNCTION("""COMPUTED_VALUE"""),45052.2371317361)</f>
        <v>45052.23713</v>
      </c>
      <c r="D8767" s="15">
        <f>IFERROR(__xludf.DUMMYFUNCTION("""COMPUTED_VALUE"""),1.022)</f>
        <v>1.022</v>
      </c>
      <c r="E8767" s="16">
        <f>IFERROR(__xludf.DUMMYFUNCTION("""COMPUTED_VALUE"""),66.0)</f>
        <v>66</v>
      </c>
      <c r="F8767" s="19" t="str">
        <f>IFERROR(__xludf.DUMMYFUNCTION("""COMPUTED_VALUE"""),"BLACK")</f>
        <v>BLACK</v>
      </c>
      <c r="G8767" s="20" t="str">
        <f>IFERROR(__xludf.DUMMYFUNCTION("""COMPUTED_VALUE"""),"Uncle Sams Cider (04/04/2023)")</f>
        <v>Uncle Sams Cider (04/04/2023)</v>
      </c>
      <c r="H8767" s="19"/>
    </row>
    <row r="8768">
      <c r="A8768" s="9"/>
      <c r="B8768" s="15"/>
      <c r="C8768" s="9">
        <f>IFERROR(__xludf.DUMMYFUNCTION("""COMPUTED_VALUE"""),45052.2267107638)</f>
        <v>45052.22671</v>
      </c>
      <c r="D8768" s="15">
        <f>IFERROR(__xludf.DUMMYFUNCTION("""COMPUTED_VALUE"""),1.022)</f>
        <v>1.022</v>
      </c>
      <c r="E8768" s="16">
        <f>IFERROR(__xludf.DUMMYFUNCTION("""COMPUTED_VALUE"""),66.0)</f>
        <v>66</v>
      </c>
      <c r="F8768" s="19" t="str">
        <f>IFERROR(__xludf.DUMMYFUNCTION("""COMPUTED_VALUE"""),"BLACK")</f>
        <v>BLACK</v>
      </c>
      <c r="G8768" s="20" t="str">
        <f>IFERROR(__xludf.DUMMYFUNCTION("""COMPUTED_VALUE"""),"Uncle Sams Cider (04/04/2023)")</f>
        <v>Uncle Sams Cider (04/04/2023)</v>
      </c>
      <c r="H8768" s="19"/>
    </row>
    <row r="8769">
      <c r="A8769" s="9"/>
      <c r="B8769" s="15"/>
      <c r="C8769" s="9">
        <f>IFERROR(__xludf.DUMMYFUNCTION("""COMPUTED_VALUE"""),45052.2162892361)</f>
        <v>45052.21629</v>
      </c>
      <c r="D8769" s="15">
        <f>IFERROR(__xludf.DUMMYFUNCTION("""COMPUTED_VALUE"""),1.022)</f>
        <v>1.022</v>
      </c>
      <c r="E8769" s="16">
        <f>IFERROR(__xludf.DUMMYFUNCTION("""COMPUTED_VALUE"""),66.0)</f>
        <v>66</v>
      </c>
      <c r="F8769" s="19" t="str">
        <f>IFERROR(__xludf.DUMMYFUNCTION("""COMPUTED_VALUE"""),"BLACK")</f>
        <v>BLACK</v>
      </c>
      <c r="G8769" s="20" t="str">
        <f>IFERROR(__xludf.DUMMYFUNCTION("""COMPUTED_VALUE"""),"Uncle Sams Cider (04/04/2023)")</f>
        <v>Uncle Sams Cider (04/04/2023)</v>
      </c>
      <c r="H8769" s="19"/>
    </row>
    <row r="8770">
      <c r="A8770" s="9"/>
      <c r="B8770" s="15"/>
      <c r="C8770" s="9">
        <f>IFERROR(__xludf.DUMMYFUNCTION("""COMPUTED_VALUE"""),45052.205830706)</f>
        <v>45052.20583</v>
      </c>
      <c r="D8770" s="15">
        <f>IFERROR(__xludf.DUMMYFUNCTION("""COMPUTED_VALUE"""),1.022)</f>
        <v>1.022</v>
      </c>
      <c r="E8770" s="16">
        <f>IFERROR(__xludf.DUMMYFUNCTION("""COMPUTED_VALUE"""),66.0)</f>
        <v>66</v>
      </c>
      <c r="F8770" s="19" t="str">
        <f>IFERROR(__xludf.DUMMYFUNCTION("""COMPUTED_VALUE"""),"BLACK")</f>
        <v>BLACK</v>
      </c>
      <c r="G8770" s="20" t="str">
        <f>IFERROR(__xludf.DUMMYFUNCTION("""COMPUTED_VALUE"""),"Uncle Sams Cider (04/04/2023)")</f>
        <v>Uncle Sams Cider (04/04/2023)</v>
      </c>
      <c r="H8770" s="19"/>
    </row>
    <row r="8771">
      <c r="A8771" s="9"/>
      <c r="B8771" s="15"/>
      <c r="C8771" s="9">
        <f>IFERROR(__xludf.DUMMYFUNCTION("""COMPUTED_VALUE"""),45052.1953858564)</f>
        <v>45052.19539</v>
      </c>
      <c r="D8771" s="15">
        <f>IFERROR(__xludf.DUMMYFUNCTION("""COMPUTED_VALUE"""),1.022)</f>
        <v>1.022</v>
      </c>
      <c r="E8771" s="16">
        <f>IFERROR(__xludf.DUMMYFUNCTION("""COMPUTED_VALUE"""),66.0)</f>
        <v>66</v>
      </c>
      <c r="F8771" s="19" t="str">
        <f>IFERROR(__xludf.DUMMYFUNCTION("""COMPUTED_VALUE"""),"BLACK")</f>
        <v>BLACK</v>
      </c>
      <c r="G8771" s="20" t="str">
        <f>IFERROR(__xludf.DUMMYFUNCTION("""COMPUTED_VALUE"""),"Uncle Sams Cider (04/04/2023)")</f>
        <v>Uncle Sams Cider (04/04/2023)</v>
      </c>
      <c r="H8771" s="19"/>
    </row>
    <row r="8772">
      <c r="A8772" s="9"/>
      <c r="B8772" s="15"/>
      <c r="C8772" s="9">
        <f>IFERROR(__xludf.DUMMYFUNCTION("""COMPUTED_VALUE"""),45052.1849662268)</f>
        <v>45052.18497</v>
      </c>
      <c r="D8772" s="15">
        <f>IFERROR(__xludf.DUMMYFUNCTION("""COMPUTED_VALUE"""),1.022)</f>
        <v>1.022</v>
      </c>
      <c r="E8772" s="16">
        <f>IFERROR(__xludf.DUMMYFUNCTION("""COMPUTED_VALUE"""),66.0)</f>
        <v>66</v>
      </c>
      <c r="F8772" s="19" t="str">
        <f>IFERROR(__xludf.DUMMYFUNCTION("""COMPUTED_VALUE"""),"BLACK")</f>
        <v>BLACK</v>
      </c>
      <c r="G8772" s="20" t="str">
        <f>IFERROR(__xludf.DUMMYFUNCTION("""COMPUTED_VALUE"""),"Uncle Sams Cider (04/04/2023)")</f>
        <v>Uncle Sams Cider (04/04/2023)</v>
      </c>
      <c r="H8772" s="19"/>
    </row>
    <row r="8773">
      <c r="A8773" s="9"/>
      <c r="B8773" s="15"/>
      <c r="C8773" s="9">
        <f>IFERROR(__xludf.DUMMYFUNCTION("""COMPUTED_VALUE"""),45052.1745452314)</f>
        <v>45052.17455</v>
      </c>
      <c r="D8773" s="15">
        <f>IFERROR(__xludf.DUMMYFUNCTION("""COMPUTED_VALUE"""),1.022)</f>
        <v>1.022</v>
      </c>
      <c r="E8773" s="16">
        <f>IFERROR(__xludf.DUMMYFUNCTION("""COMPUTED_VALUE"""),66.0)</f>
        <v>66</v>
      </c>
      <c r="F8773" s="19" t="str">
        <f>IFERROR(__xludf.DUMMYFUNCTION("""COMPUTED_VALUE"""),"BLACK")</f>
        <v>BLACK</v>
      </c>
      <c r="G8773" s="20" t="str">
        <f>IFERROR(__xludf.DUMMYFUNCTION("""COMPUTED_VALUE"""),"Uncle Sams Cider (04/04/2023)")</f>
        <v>Uncle Sams Cider (04/04/2023)</v>
      </c>
      <c r="H8773" s="19"/>
    </row>
    <row r="8774">
      <c r="A8774" s="9"/>
      <c r="B8774" s="15"/>
      <c r="C8774" s="9">
        <f>IFERROR(__xludf.DUMMYFUNCTION("""COMPUTED_VALUE"""),45052.1640895138)</f>
        <v>45052.16409</v>
      </c>
      <c r="D8774" s="15">
        <f>IFERROR(__xludf.DUMMYFUNCTION("""COMPUTED_VALUE"""),1.022)</f>
        <v>1.022</v>
      </c>
      <c r="E8774" s="16">
        <f>IFERROR(__xludf.DUMMYFUNCTION("""COMPUTED_VALUE"""),66.0)</f>
        <v>66</v>
      </c>
      <c r="F8774" s="19" t="str">
        <f>IFERROR(__xludf.DUMMYFUNCTION("""COMPUTED_VALUE"""),"BLACK")</f>
        <v>BLACK</v>
      </c>
      <c r="G8774" s="20" t="str">
        <f>IFERROR(__xludf.DUMMYFUNCTION("""COMPUTED_VALUE"""),"Uncle Sams Cider (04/04/2023)")</f>
        <v>Uncle Sams Cider (04/04/2023)</v>
      </c>
      <c r="H8774" s="19"/>
    </row>
    <row r="8775">
      <c r="A8775" s="9"/>
      <c r="B8775" s="15"/>
      <c r="C8775" s="9">
        <f>IFERROR(__xludf.DUMMYFUNCTION("""COMPUTED_VALUE"""),45052.1536565162)</f>
        <v>45052.15366</v>
      </c>
      <c r="D8775" s="15">
        <f>IFERROR(__xludf.DUMMYFUNCTION("""COMPUTED_VALUE"""),1.022)</f>
        <v>1.022</v>
      </c>
      <c r="E8775" s="16">
        <f>IFERROR(__xludf.DUMMYFUNCTION("""COMPUTED_VALUE"""),66.0)</f>
        <v>66</v>
      </c>
      <c r="F8775" s="19" t="str">
        <f>IFERROR(__xludf.DUMMYFUNCTION("""COMPUTED_VALUE"""),"BLACK")</f>
        <v>BLACK</v>
      </c>
      <c r="G8775" s="20" t="str">
        <f>IFERROR(__xludf.DUMMYFUNCTION("""COMPUTED_VALUE"""),"Uncle Sams Cider (04/04/2023)")</f>
        <v>Uncle Sams Cider (04/04/2023)</v>
      </c>
      <c r="H8775" s="19"/>
    </row>
    <row r="8776">
      <c r="A8776" s="9"/>
      <c r="B8776" s="15"/>
      <c r="C8776" s="9">
        <f>IFERROR(__xludf.DUMMYFUNCTION("""COMPUTED_VALUE"""),45052.1432347106)</f>
        <v>45052.14323</v>
      </c>
      <c r="D8776" s="15">
        <f>IFERROR(__xludf.DUMMYFUNCTION("""COMPUTED_VALUE"""),1.022)</f>
        <v>1.022</v>
      </c>
      <c r="E8776" s="16">
        <f>IFERROR(__xludf.DUMMYFUNCTION("""COMPUTED_VALUE"""),66.0)</f>
        <v>66</v>
      </c>
      <c r="F8776" s="19" t="str">
        <f>IFERROR(__xludf.DUMMYFUNCTION("""COMPUTED_VALUE"""),"BLACK")</f>
        <v>BLACK</v>
      </c>
      <c r="G8776" s="20" t="str">
        <f>IFERROR(__xludf.DUMMYFUNCTION("""COMPUTED_VALUE"""),"Uncle Sams Cider (04/04/2023)")</f>
        <v>Uncle Sams Cider (04/04/2023)</v>
      </c>
      <c r="H8776" s="19"/>
    </row>
    <row r="8777">
      <c r="A8777" s="9"/>
      <c r="B8777" s="15"/>
      <c r="C8777" s="9">
        <f>IFERROR(__xludf.DUMMYFUNCTION("""COMPUTED_VALUE"""),45052.1328129629)</f>
        <v>45052.13281</v>
      </c>
      <c r="D8777" s="15">
        <f>IFERROR(__xludf.DUMMYFUNCTION("""COMPUTED_VALUE"""),1.022)</f>
        <v>1.022</v>
      </c>
      <c r="E8777" s="16">
        <f>IFERROR(__xludf.DUMMYFUNCTION("""COMPUTED_VALUE"""),66.0)</f>
        <v>66</v>
      </c>
      <c r="F8777" s="19" t="str">
        <f>IFERROR(__xludf.DUMMYFUNCTION("""COMPUTED_VALUE"""),"BLACK")</f>
        <v>BLACK</v>
      </c>
      <c r="G8777" s="20" t="str">
        <f>IFERROR(__xludf.DUMMYFUNCTION("""COMPUTED_VALUE"""),"Uncle Sams Cider (04/04/2023)")</f>
        <v>Uncle Sams Cider (04/04/2023)</v>
      </c>
      <c r="H8777" s="19"/>
    </row>
    <row r="8778">
      <c r="A8778" s="9"/>
      <c r="B8778" s="15"/>
      <c r="C8778" s="9">
        <f>IFERROR(__xludf.DUMMYFUNCTION("""COMPUTED_VALUE"""),45052.1223807638)</f>
        <v>45052.12238</v>
      </c>
      <c r="D8778" s="15">
        <f>IFERROR(__xludf.DUMMYFUNCTION("""COMPUTED_VALUE"""),1.022)</f>
        <v>1.022</v>
      </c>
      <c r="E8778" s="16">
        <f>IFERROR(__xludf.DUMMYFUNCTION("""COMPUTED_VALUE"""),66.0)</f>
        <v>66</v>
      </c>
      <c r="F8778" s="19" t="str">
        <f>IFERROR(__xludf.DUMMYFUNCTION("""COMPUTED_VALUE"""),"BLACK")</f>
        <v>BLACK</v>
      </c>
      <c r="G8778" s="20" t="str">
        <f>IFERROR(__xludf.DUMMYFUNCTION("""COMPUTED_VALUE"""),"Uncle Sams Cider (04/04/2023)")</f>
        <v>Uncle Sams Cider (04/04/2023)</v>
      </c>
      <c r="H8778" s="19"/>
    </row>
    <row r="8779">
      <c r="A8779" s="9"/>
      <c r="B8779" s="15"/>
      <c r="C8779" s="9">
        <f>IFERROR(__xludf.DUMMYFUNCTION("""COMPUTED_VALUE"""),45052.1119597453)</f>
        <v>45052.11196</v>
      </c>
      <c r="D8779" s="15">
        <f>IFERROR(__xludf.DUMMYFUNCTION("""COMPUTED_VALUE"""),1.022)</f>
        <v>1.022</v>
      </c>
      <c r="E8779" s="16">
        <f>IFERROR(__xludf.DUMMYFUNCTION("""COMPUTED_VALUE"""),66.0)</f>
        <v>66</v>
      </c>
      <c r="F8779" s="19" t="str">
        <f>IFERROR(__xludf.DUMMYFUNCTION("""COMPUTED_VALUE"""),"BLACK")</f>
        <v>BLACK</v>
      </c>
      <c r="G8779" s="20" t="str">
        <f>IFERROR(__xludf.DUMMYFUNCTION("""COMPUTED_VALUE"""),"Uncle Sams Cider (04/04/2023)")</f>
        <v>Uncle Sams Cider (04/04/2023)</v>
      </c>
      <c r="H8779" s="19"/>
    </row>
    <row r="8780">
      <c r="A8780" s="9"/>
      <c r="B8780" s="15"/>
      <c r="C8780" s="9">
        <f>IFERROR(__xludf.DUMMYFUNCTION("""COMPUTED_VALUE"""),45052.101526956)</f>
        <v>45052.10153</v>
      </c>
      <c r="D8780" s="15">
        <f>IFERROR(__xludf.DUMMYFUNCTION("""COMPUTED_VALUE"""),1.022)</f>
        <v>1.022</v>
      </c>
      <c r="E8780" s="16">
        <f>IFERROR(__xludf.DUMMYFUNCTION("""COMPUTED_VALUE"""),66.0)</f>
        <v>66</v>
      </c>
      <c r="F8780" s="19" t="str">
        <f>IFERROR(__xludf.DUMMYFUNCTION("""COMPUTED_VALUE"""),"BLACK")</f>
        <v>BLACK</v>
      </c>
      <c r="G8780" s="20" t="str">
        <f>IFERROR(__xludf.DUMMYFUNCTION("""COMPUTED_VALUE"""),"Uncle Sams Cider (04/04/2023)")</f>
        <v>Uncle Sams Cider (04/04/2023)</v>
      </c>
      <c r="H8780" s="19"/>
    </row>
    <row r="8781">
      <c r="A8781" s="9"/>
      <c r="B8781" s="15"/>
      <c r="C8781" s="9">
        <f>IFERROR(__xludf.DUMMYFUNCTION("""COMPUTED_VALUE"""),45052.0911077893)</f>
        <v>45052.09111</v>
      </c>
      <c r="D8781" s="15">
        <f>IFERROR(__xludf.DUMMYFUNCTION("""COMPUTED_VALUE"""),1.022)</f>
        <v>1.022</v>
      </c>
      <c r="E8781" s="16">
        <f>IFERROR(__xludf.DUMMYFUNCTION("""COMPUTED_VALUE"""),66.0)</f>
        <v>66</v>
      </c>
      <c r="F8781" s="19" t="str">
        <f>IFERROR(__xludf.DUMMYFUNCTION("""COMPUTED_VALUE"""),"BLACK")</f>
        <v>BLACK</v>
      </c>
      <c r="G8781" s="20" t="str">
        <f>IFERROR(__xludf.DUMMYFUNCTION("""COMPUTED_VALUE"""),"Uncle Sams Cider (04/04/2023)")</f>
        <v>Uncle Sams Cider (04/04/2023)</v>
      </c>
      <c r="H8781" s="19"/>
    </row>
    <row r="8782">
      <c r="A8782" s="9"/>
      <c r="B8782" s="15"/>
      <c r="C8782" s="9">
        <f>IFERROR(__xludf.DUMMYFUNCTION("""COMPUTED_VALUE"""),45052.0806862384)</f>
        <v>45052.08069</v>
      </c>
      <c r="D8782" s="15">
        <f>IFERROR(__xludf.DUMMYFUNCTION("""COMPUTED_VALUE"""),1.022)</f>
        <v>1.022</v>
      </c>
      <c r="E8782" s="16">
        <f>IFERROR(__xludf.DUMMYFUNCTION("""COMPUTED_VALUE"""),66.0)</f>
        <v>66</v>
      </c>
      <c r="F8782" s="19" t="str">
        <f>IFERROR(__xludf.DUMMYFUNCTION("""COMPUTED_VALUE"""),"BLACK")</f>
        <v>BLACK</v>
      </c>
      <c r="G8782" s="20" t="str">
        <f>IFERROR(__xludf.DUMMYFUNCTION("""COMPUTED_VALUE"""),"Uncle Sams Cider (04/04/2023)")</f>
        <v>Uncle Sams Cider (04/04/2023)</v>
      </c>
      <c r="H8782" s="19"/>
    </row>
    <row r="8783">
      <c r="A8783" s="9"/>
      <c r="B8783" s="15"/>
      <c r="C8783" s="9">
        <f>IFERROR(__xludf.DUMMYFUNCTION("""COMPUTED_VALUE"""),45052.070253993)</f>
        <v>45052.07025</v>
      </c>
      <c r="D8783" s="15">
        <f>IFERROR(__xludf.DUMMYFUNCTION("""COMPUTED_VALUE"""),1.022)</f>
        <v>1.022</v>
      </c>
      <c r="E8783" s="16">
        <f>IFERROR(__xludf.DUMMYFUNCTION("""COMPUTED_VALUE"""),66.0)</f>
        <v>66</v>
      </c>
      <c r="F8783" s="19" t="str">
        <f>IFERROR(__xludf.DUMMYFUNCTION("""COMPUTED_VALUE"""),"BLACK")</f>
        <v>BLACK</v>
      </c>
      <c r="G8783" s="20" t="str">
        <f>IFERROR(__xludf.DUMMYFUNCTION("""COMPUTED_VALUE"""),"Uncle Sams Cider (04/04/2023)")</f>
        <v>Uncle Sams Cider (04/04/2023)</v>
      </c>
      <c r="H8783" s="19"/>
    </row>
    <row r="8784">
      <c r="A8784" s="9"/>
      <c r="B8784" s="15"/>
      <c r="C8784" s="9">
        <f>IFERROR(__xludf.DUMMYFUNCTION("""COMPUTED_VALUE"""),45052.0598211921)</f>
        <v>45052.05982</v>
      </c>
      <c r="D8784" s="15">
        <f>IFERROR(__xludf.DUMMYFUNCTION("""COMPUTED_VALUE"""),1.022)</f>
        <v>1.022</v>
      </c>
      <c r="E8784" s="16">
        <f>IFERROR(__xludf.DUMMYFUNCTION("""COMPUTED_VALUE"""),66.0)</f>
        <v>66</v>
      </c>
      <c r="F8784" s="19" t="str">
        <f>IFERROR(__xludf.DUMMYFUNCTION("""COMPUTED_VALUE"""),"BLACK")</f>
        <v>BLACK</v>
      </c>
      <c r="G8784" s="20" t="str">
        <f>IFERROR(__xludf.DUMMYFUNCTION("""COMPUTED_VALUE"""),"Uncle Sams Cider (04/04/2023)")</f>
        <v>Uncle Sams Cider (04/04/2023)</v>
      </c>
      <c r="H8784" s="19"/>
    </row>
    <row r="8785">
      <c r="A8785" s="9"/>
      <c r="B8785" s="15"/>
      <c r="C8785" s="9">
        <f>IFERROR(__xludf.DUMMYFUNCTION("""COMPUTED_VALUE"""),45052.0494008333)</f>
        <v>45052.0494</v>
      </c>
      <c r="D8785" s="15">
        <f>IFERROR(__xludf.DUMMYFUNCTION("""COMPUTED_VALUE"""),1.023)</f>
        <v>1.023</v>
      </c>
      <c r="E8785" s="16">
        <f>IFERROR(__xludf.DUMMYFUNCTION("""COMPUTED_VALUE"""),67.0)</f>
        <v>67</v>
      </c>
      <c r="F8785" s="19" t="str">
        <f>IFERROR(__xludf.DUMMYFUNCTION("""COMPUTED_VALUE"""),"BLACK")</f>
        <v>BLACK</v>
      </c>
      <c r="G8785" s="20" t="str">
        <f>IFERROR(__xludf.DUMMYFUNCTION("""COMPUTED_VALUE"""),"Uncle Sams Cider (04/04/2023)")</f>
        <v>Uncle Sams Cider (04/04/2023)</v>
      </c>
      <c r="H8785" s="19"/>
    </row>
    <row r="8786">
      <c r="A8786" s="9"/>
      <c r="B8786" s="15"/>
      <c r="C8786" s="9">
        <f>IFERROR(__xludf.DUMMYFUNCTION("""COMPUTED_VALUE"""),45052.038978993)</f>
        <v>45052.03898</v>
      </c>
      <c r="D8786" s="15">
        <f>IFERROR(__xludf.DUMMYFUNCTION("""COMPUTED_VALUE"""),1.022)</f>
        <v>1.022</v>
      </c>
      <c r="E8786" s="16">
        <f>IFERROR(__xludf.DUMMYFUNCTION("""COMPUTED_VALUE"""),67.0)</f>
        <v>67</v>
      </c>
      <c r="F8786" s="19" t="str">
        <f>IFERROR(__xludf.DUMMYFUNCTION("""COMPUTED_VALUE"""),"BLACK")</f>
        <v>BLACK</v>
      </c>
      <c r="G8786" s="20" t="str">
        <f>IFERROR(__xludf.DUMMYFUNCTION("""COMPUTED_VALUE"""),"Uncle Sams Cider (04/04/2023)")</f>
        <v>Uncle Sams Cider (04/04/2023)</v>
      </c>
      <c r="H8786" s="19"/>
    </row>
    <row r="8787">
      <c r="A8787" s="9"/>
      <c r="B8787" s="15"/>
      <c r="C8787" s="9">
        <f>IFERROR(__xludf.DUMMYFUNCTION("""COMPUTED_VALUE"""),45052.0285584606)</f>
        <v>45052.02856</v>
      </c>
      <c r="D8787" s="15">
        <f>IFERROR(__xludf.DUMMYFUNCTION("""COMPUTED_VALUE"""),1.022)</f>
        <v>1.022</v>
      </c>
      <c r="E8787" s="16">
        <f>IFERROR(__xludf.DUMMYFUNCTION("""COMPUTED_VALUE"""),67.0)</f>
        <v>67</v>
      </c>
      <c r="F8787" s="19" t="str">
        <f>IFERROR(__xludf.DUMMYFUNCTION("""COMPUTED_VALUE"""),"BLACK")</f>
        <v>BLACK</v>
      </c>
      <c r="G8787" s="20" t="str">
        <f>IFERROR(__xludf.DUMMYFUNCTION("""COMPUTED_VALUE"""),"Uncle Sams Cider (04/04/2023)")</f>
        <v>Uncle Sams Cider (04/04/2023)</v>
      </c>
      <c r="H8787" s="19"/>
    </row>
    <row r="8788">
      <c r="A8788" s="9"/>
      <c r="B8788" s="15"/>
      <c r="C8788" s="9">
        <f>IFERROR(__xludf.DUMMYFUNCTION("""COMPUTED_VALUE"""),45052.018125324)</f>
        <v>45052.01813</v>
      </c>
      <c r="D8788" s="15">
        <f>IFERROR(__xludf.DUMMYFUNCTION("""COMPUTED_VALUE"""),1.022)</f>
        <v>1.022</v>
      </c>
      <c r="E8788" s="16">
        <f>IFERROR(__xludf.DUMMYFUNCTION("""COMPUTED_VALUE"""),67.0)</f>
        <v>67</v>
      </c>
      <c r="F8788" s="19" t="str">
        <f>IFERROR(__xludf.DUMMYFUNCTION("""COMPUTED_VALUE"""),"BLACK")</f>
        <v>BLACK</v>
      </c>
      <c r="G8788" s="20" t="str">
        <f>IFERROR(__xludf.DUMMYFUNCTION("""COMPUTED_VALUE"""),"Uncle Sams Cider (04/04/2023)")</f>
        <v>Uncle Sams Cider (04/04/2023)</v>
      </c>
      <c r="H8788" s="19"/>
    </row>
    <row r="8789">
      <c r="A8789" s="9"/>
      <c r="B8789" s="15"/>
      <c r="C8789" s="9">
        <f>IFERROR(__xludf.DUMMYFUNCTION("""COMPUTED_VALUE"""),45052.007703831)</f>
        <v>45052.0077</v>
      </c>
      <c r="D8789" s="15">
        <f>IFERROR(__xludf.DUMMYFUNCTION("""COMPUTED_VALUE"""),1.022)</f>
        <v>1.022</v>
      </c>
      <c r="E8789" s="16">
        <f>IFERROR(__xludf.DUMMYFUNCTION("""COMPUTED_VALUE"""),67.0)</f>
        <v>67</v>
      </c>
      <c r="F8789" s="19" t="str">
        <f>IFERROR(__xludf.DUMMYFUNCTION("""COMPUTED_VALUE"""),"BLACK")</f>
        <v>BLACK</v>
      </c>
      <c r="G8789" s="20" t="str">
        <f>IFERROR(__xludf.DUMMYFUNCTION("""COMPUTED_VALUE"""),"Uncle Sams Cider (04/04/2023)")</f>
        <v>Uncle Sams Cider (04/04/2023)</v>
      </c>
      <c r="H8789" s="19"/>
    </row>
    <row r="8790">
      <c r="A8790" s="9"/>
      <c r="B8790" s="15"/>
      <c r="C8790" s="9">
        <f>IFERROR(__xludf.DUMMYFUNCTION("""COMPUTED_VALUE"""),45051.9972835069)</f>
        <v>45051.99728</v>
      </c>
      <c r="D8790" s="15">
        <f>IFERROR(__xludf.DUMMYFUNCTION("""COMPUTED_VALUE"""),1.022)</f>
        <v>1.022</v>
      </c>
      <c r="E8790" s="16">
        <f>IFERROR(__xludf.DUMMYFUNCTION("""COMPUTED_VALUE"""),67.0)</f>
        <v>67</v>
      </c>
      <c r="F8790" s="19" t="str">
        <f>IFERROR(__xludf.DUMMYFUNCTION("""COMPUTED_VALUE"""),"BLACK")</f>
        <v>BLACK</v>
      </c>
      <c r="G8790" s="20" t="str">
        <f>IFERROR(__xludf.DUMMYFUNCTION("""COMPUTED_VALUE"""),"Uncle Sams Cider (04/04/2023)")</f>
        <v>Uncle Sams Cider (04/04/2023)</v>
      </c>
      <c r="H8790" s="19"/>
    </row>
    <row r="8791">
      <c r="A8791" s="9"/>
      <c r="B8791" s="15"/>
      <c r="C8791" s="9">
        <f>IFERROR(__xludf.DUMMYFUNCTION("""COMPUTED_VALUE"""),45051.9868631828)</f>
        <v>45051.98686</v>
      </c>
      <c r="D8791" s="15">
        <f>IFERROR(__xludf.DUMMYFUNCTION("""COMPUTED_VALUE"""),1.023)</f>
        <v>1.023</v>
      </c>
      <c r="E8791" s="16">
        <f>IFERROR(__xludf.DUMMYFUNCTION("""COMPUTED_VALUE"""),67.0)</f>
        <v>67</v>
      </c>
      <c r="F8791" s="19" t="str">
        <f>IFERROR(__xludf.DUMMYFUNCTION("""COMPUTED_VALUE"""),"BLACK")</f>
        <v>BLACK</v>
      </c>
      <c r="G8791" s="20" t="str">
        <f>IFERROR(__xludf.DUMMYFUNCTION("""COMPUTED_VALUE"""),"Uncle Sams Cider (04/04/2023)")</f>
        <v>Uncle Sams Cider (04/04/2023)</v>
      </c>
      <c r="H8791" s="19"/>
    </row>
    <row r="8792">
      <c r="A8792" s="9"/>
      <c r="B8792" s="15"/>
      <c r="C8792" s="9">
        <f>IFERROR(__xludf.DUMMYFUNCTION("""COMPUTED_VALUE"""),45051.9764081597)</f>
        <v>45051.97641</v>
      </c>
      <c r="D8792" s="15">
        <f>IFERROR(__xludf.DUMMYFUNCTION("""COMPUTED_VALUE"""),1.023)</f>
        <v>1.023</v>
      </c>
      <c r="E8792" s="16">
        <f>IFERROR(__xludf.DUMMYFUNCTION("""COMPUTED_VALUE"""),67.0)</f>
        <v>67</v>
      </c>
      <c r="F8792" s="19" t="str">
        <f>IFERROR(__xludf.DUMMYFUNCTION("""COMPUTED_VALUE"""),"BLACK")</f>
        <v>BLACK</v>
      </c>
      <c r="G8792" s="20" t="str">
        <f>IFERROR(__xludf.DUMMYFUNCTION("""COMPUTED_VALUE"""),"Uncle Sams Cider (04/04/2023)")</f>
        <v>Uncle Sams Cider (04/04/2023)</v>
      </c>
      <c r="H8792" s="19"/>
    </row>
    <row r="8793">
      <c r="A8793" s="9"/>
      <c r="B8793" s="15"/>
      <c r="C8793" s="9">
        <f>IFERROR(__xludf.DUMMYFUNCTION("""COMPUTED_VALUE"""),45051.9659649421)</f>
        <v>45051.96596</v>
      </c>
      <c r="D8793" s="15">
        <f>IFERROR(__xludf.DUMMYFUNCTION("""COMPUTED_VALUE"""),1.023)</f>
        <v>1.023</v>
      </c>
      <c r="E8793" s="16">
        <f>IFERROR(__xludf.DUMMYFUNCTION("""COMPUTED_VALUE"""),67.0)</f>
        <v>67</v>
      </c>
      <c r="F8793" s="19" t="str">
        <f>IFERROR(__xludf.DUMMYFUNCTION("""COMPUTED_VALUE"""),"BLACK")</f>
        <v>BLACK</v>
      </c>
      <c r="G8793" s="20" t="str">
        <f>IFERROR(__xludf.DUMMYFUNCTION("""COMPUTED_VALUE"""),"Uncle Sams Cider (04/04/2023)")</f>
        <v>Uncle Sams Cider (04/04/2023)</v>
      </c>
      <c r="H8793" s="19"/>
    </row>
    <row r="8794">
      <c r="A8794" s="9"/>
      <c r="B8794" s="15"/>
      <c r="C8794" s="9">
        <f>IFERROR(__xludf.DUMMYFUNCTION("""COMPUTED_VALUE"""),45051.9555440162)</f>
        <v>45051.95554</v>
      </c>
      <c r="D8794" s="15">
        <f>IFERROR(__xludf.DUMMYFUNCTION("""COMPUTED_VALUE"""),1.023)</f>
        <v>1.023</v>
      </c>
      <c r="E8794" s="16">
        <f>IFERROR(__xludf.DUMMYFUNCTION("""COMPUTED_VALUE"""),67.0)</f>
        <v>67</v>
      </c>
      <c r="F8794" s="19" t="str">
        <f>IFERROR(__xludf.DUMMYFUNCTION("""COMPUTED_VALUE"""),"BLACK")</f>
        <v>BLACK</v>
      </c>
      <c r="G8794" s="20" t="str">
        <f>IFERROR(__xludf.DUMMYFUNCTION("""COMPUTED_VALUE"""),"Uncle Sams Cider (04/04/2023)")</f>
        <v>Uncle Sams Cider (04/04/2023)</v>
      </c>
      <c r="H8794" s="19"/>
    </row>
    <row r="8795">
      <c r="A8795" s="9"/>
      <c r="B8795" s="15"/>
      <c r="C8795" s="9">
        <f>IFERROR(__xludf.DUMMYFUNCTION("""COMPUTED_VALUE"""),45051.9451222569)</f>
        <v>45051.94512</v>
      </c>
      <c r="D8795" s="15">
        <f>IFERROR(__xludf.DUMMYFUNCTION("""COMPUTED_VALUE"""),1.023)</f>
        <v>1.023</v>
      </c>
      <c r="E8795" s="16">
        <f>IFERROR(__xludf.DUMMYFUNCTION("""COMPUTED_VALUE"""),67.0)</f>
        <v>67</v>
      </c>
      <c r="F8795" s="19" t="str">
        <f>IFERROR(__xludf.DUMMYFUNCTION("""COMPUTED_VALUE"""),"BLACK")</f>
        <v>BLACK</v>
      </c>
      <c r="G8795" s="20" t="str">
        <f>IFERROR(__xludf.DUMMYFUNCTION("""COMPUTED_VALUE"""),"Uncle Sams Cider (04/04/2023)")</f>
        <v>Uncle Sams Cider (04/04/2023)</v>
      </c>
      <c r="H8795" s="19"/>
    </row>
    <row r="8796">
      <c r="A8796" s="9"/>
      <c r="B8796" s="15"/>
      <c r="C8796" s="9">
        <f>IFERROR(__xludf.DUMMYFUNCTION("""COMPUTED_VALUE"""),45051.9347019328)</f>
        <v>45051.9347</v>
      </c>
      <c r="D8796" s="15">
        <f>IFERROR(__xludf.DUMMYFUNCTION("""COMPUTED_VALUE"""),1.023)</f>
        <v>1.023</v>
      </c>
      <c r="E8796" s="16">
        <f>IFERROR(__xludf.DUMMYFUNCTION("""COMPUTED_VALUE"""),67.0)</f>
        <v>67</v>
      </c>
      <c r="F8796" s="19" t="str">
        <f>IFERROR(__xludf.DUMMYFUNCTION("""COMPUTED_VALUE"""),"BLACK")</f>
        <v>BLACK</v>
      </c>
      <c r="G8796" s="20" t="str">
        <f>IFERROR(__xludf.DUMMYFUNCTION("""COMPUTED_VALUE"""),"Uncle Sams Cider (04/04/2023)")</f>
        <v>Uncle Sams Cider (04/04/2023)</v>
      </c>
      <c r="H8796" s="19"/>
    </row>
    <row r="8797">
      <c r="A8797" s="9"/>
      <c r="B8797" s="15"/>
      <c r="C8797" s="9">
        <f>IFERROR(__xludf.DUMMYFUNCTION("""COMPUTED_VALUE"""),45051.9242807638)</f>
        <v>45051.92428</v>
      </c>
      <c r="D8797" s="15">
        <f>IFERROR(__xludf.DUMMYFUNCTION("""COMPUTED_VALUE"""),1.023)</f>
        <v>1.023</v>
      </c>
      <c r="E8797" s="16">
        <f>IFERROR(__xludf.DUMMYFUNCTION("""COMPUTED_VALUE"""),67.0)</f>
        <v>67</v>
      </c>
      <c r="F8797" s="19" t="str">
        <f>IFERROR(__xludf.DUMMYFUNCTION("""COMPUTED_VALUE"""),"BLACK")</f>
        <v>BLACK</v>
      </c>
      <c r="G8797" s="20" t="str">
        <f>IFERROR(__xludf.DUMMYFUNCTION("""COMPUTED_VALUE"""),"Uncle Sams Cider (04/04/2023)")</f>
        <v>Uncle Sams Cider (04/04/2023)</v>
      </c>
      <c r="H8797" s="19"/>
    </row>
    <row r="8798">
      <c r="A8798" s="9"/>
      <c r="B8798" s="15"/>
      <c r="C8798" s="9">
        <f>IFERROR(__xludf.DUMMYFUNCTION("""COMPUTED_VALUE"""),45051.9138597801)</f>
        <v>45051.91386</v>
      </c>
      <c r="D8798" s="15">
        <f>IFERROR(__xludf.DUMMYFUNCTION("""COMPUTED_VALUE"""),1.023)</f>
        <v>1.023</v>
      </c>
      <c r="E8798" s="16">
        <f>IFERROR(__xludf.DUMMYFUNCTION("""COMPUTED_VALUE"""),67.0)</f>
        <v>67</v>
      </c>
      <c r="F8798" s="19" t="str">
        <f>IFERROR(__xludf.DUMMYFUNCTION("""COMPUTED_VALUE"""),"BLACK")</f>
        <v>BLACK</v>
      </c>
      <c r="G8798" s="20" t="str">
        <f>IFERROR(__xludf.DUMMYFUNCTION("""COMPUTED_VALUE"""),"Uncle Sams Cider (04/04/2023)")</f>
        <v>Uncle Sams Cider (04/04/2023)</v>
      </c>
      <c r="H8798" s="19"/>
    </row>
    <row r="8799">
      <c r="A8799" s="9"/>
      <c r="B8799" s="15"/>
      <c r="C8799" s="9">
        <f>IFERROR(__xludf.DUMMYFUNCTION("""COMPUTED_VALUE"""),45051.9034387847)</f>
        <v>45051.90344</v>
      </c>
      <c r="D8799" s="15">
        <f>IFERROR(__xludf.DUMMYFUNCTION("""COMPUTED_VALUE"""),1.023)</f>
        <v>1.023</v>
      </c>
      <c r="E8799" s="16">
        <f>IFERROR(__xludf.DUMMYFUNCTION("""COMPUTED_VALUE"""),67.0)</f>
        <v>67</v>
      </c>
      <c r="F8799" s="19" t="str">
        <f>IFERROR(__xludf.DUMMYFUNCTION("""COMPUTED_VALUE"""),"BLACK")</f>
        <v>BLACK</v>
      </c>
      <c r="G8799" s="20" t="str">
        <f>IFERROR(__xludf.DUMMYFUNCTION("""COMPUTED_VALUE"""),"Uncle Sams Cider (04/04/2023)")</f>
        <v>Uncle Sams Cider (04/04/2023)</v>
      </c>
      <c r="H8799" s="19"/>
    </row>
    <row r="8800">
      <c r="A8800" s="9"/>
      <c r="B8800" s="15"/>
      <c r="C8800" s="9">
        <f>IFERROR(__xludf.DUMMYFUNCTION("""COMPUTED_VALUE"""),45051.8930057176)</f>
        <v>45051.89301</v>
      </c>
      <c r="D8800" s="15">
        <f>IFERROR(__xludf.DUMMYFUNCTION("""COMPUTED_VALUE"""),1.023)</f>
        <v>1.023</v>
      </c>
      <c r="E8800" s="16">
        <f>IFERROR(__xludf.DUMMYFUNCTION("""COMPUTED_VALUE"""),67.0)</f>
        <v>67</v>
      </c>
      <c r="F8800" s="19" t="str">
        <f>IFERROR(__xludf.DUMMYFUNCTION("""COMPUTED_VALUE"""),"BLACK")</f>
        <v>BLACK</v>
      </c>
      <c r="G8800" s="20" t="str">
        <f>IFERROR(__xludf.DUMMYFUNCTION("""COMPUTED_VALUE"""),"Uncle Sams Cider (04/04/2023)")</f>
        <v>Uncle Sams Cider (04/04/2023)</v>
      </c>
      <c r="H8800" s="19"/>
    </row>
    <row r="8801">
      <c r="A8801" s="9"/>
      <c r="B8801" s="15"/>
      <c r="C8801" s="9">
        <f>IFERROR(__xludf.DUMMYFUNCTION("""COMPUTED_VALUE"""),45051.8825854398)</f>
        <v>45051.88259</v>
      </c>
      <c r="D8801" s="15">
        <f>IFERROR(__xludf.DUMMYFUNCTION("""COMPUTED_VALUE"""),1.023)</f>
        <v>1.023</v>
      </c>
      <c r="E8801" s="16">
        <f>IFERROR(__xludf.DUMMYFUNCTION("""COMPUTED_VALUE"""),67.0)</f>
        <v>67</v>
      </c>
      <c r="F8801" s="19" t="str">
        <f>IFERROR(__xludf.DUMMYFUNCTION("""COMPUTED_VALUE"""),"BLACK")</f>
        <v>BLACK</v>
      </c>
      <c r="G8801" s="20" t="str">
        <f>IFERROR(__xludf.DUMMYFUNCTION("""COMPUTED_VALUE"""),"Uncle Sams Cider (04/04/2023)")</f>
        <v>Uncle Sams Cider (04/04/2023)</v>
      </c>
      <c r="H8801" s="19"/>
    </row>
    <row r="8802">
      <c r="A8802" s="9"/>
      <c r="B8802" s="15"/>
      <c r="C8802" s="9">
        <f>IFERROR(__xludf.DUMMYFUNCTION("""COMPUTED_VALUE"""),45051.8721629398)</f>
        <v>45051.87216</v>
      </c>
      <c r="D8802" s="15">
        <f>IFERROR(__xludf.DUMMYFUNCTION("""COMPUTED_VALUE"""),1.023)</f>
        <v>1.023</v>
      </c>
      <c r="E8802" s="16">
        <f>IFERROR(__xludf.DUMMYFUNCTION("""COMPUTED_VALUE"""),67.0)</f>
        <v>67</v>
      </c>
      <c r="F8802" s="19" t="str">
        <f>IFERROR(__xludf.DUMMYFUNCTION("""COMPUTED_VALUE"""),"BLACK")</f>
        <v>BLACK</v>
      </c>
      <c r="G8802" s="20" t="str">
        <f>IFERROR(__xludf.DUMMYFUNCTION("""COMPUTED_VALUE"""),"Uncle Sams Cider (04/04/2023)")</f>
        <v>Uncle Sams Cider (04/04/2023)</v>
      </c>
      <c r="H8802" s="19"/>
    </row>
    <row r="8803">
      <c r="A8803" s="9"/>
      <c r="B8803" s="15"/>
      <c r="C8803" s="9">
        <f>IFERROR(__xludf.DUMMYFUNCTION("""COMPUTED_VALUE"""),45051.8617422222)</f>
        <v>45051.86174</v>
      </c>
      <c r="D8803" s="15">
        <f>IFERROR(__xludf.DUMMYFUNCTION("""COMPUTED_VALUE"""),1.023)</f>
        <v>1.023</v>
      </c>
      <c r="E8803" s="16">
        <f>IFERROR(__xludf.DUMMYFUNCTION("""COMPUTED_VALUE"""),67.0)</f>
        <v>67</v>
      </c>
      <c r="F8803" s="19" t="str">
        <f>IFERROR(__xludf.DUMMYFUNCTION("""COMPUTED_VALUE"""),"BLACK")</f>
        <v>BLACK</v>
      </c>
      <c r="G8803" s="20" t="str">
        <f>IFERROR(__xludf.DUMMYFUNCTION("""COMPUTED_VALUE"""),"Uncle Sams Cider (04/04/2023)")</f>
        <v>Uncle Sams Cider (04/04/2023)</v>
      </c>
      <c r="H8803" s="19"/>
    </row>
    <row r="8804">
      <c r="A8804" s="9"/>
      <c r="B8804" s="15"/>
      <c r="C8804" s="9">
        <f>IFERROR(__xludf.DUMMYFUNCTION("""COMPUTED_VALUE"""),45051.8513196296)</f>
        <v>45051.85132</v>
      </c>
      <c r="D8804" s="15">
        <f>IFERROR(__xludf.DUMMYFUNCTION("""COMPUTED_VALUE"""),1.023)</f>
        <v>1.023</v>
      </c>
      <c r="E8804" s="16">
        <f>IFERROR(__xludf.DUMMYFUNCTION("""COMPUTED_VALUE"""),67.0)</f>
        <v>67</v>
      </c>
      <c r="F8804" s="19" t="str">
        <f>IFERROR(__xludf.DUMMYFUNCTION("""COMPUTED_VALUE"""),"BLACK")</f>
        <v>BLACK</v>
      </c>
      <c r="G8804" s="20" t="str">
        <f>IFERROR(__xludf.DUMMYFUNCTION("""COMPUTED_VALUE"""),"Uncle Sams Cider (04/04/2023)")</f>
        <v>Uncle Sams Cider (04/04/2023)</v>
      </c>
      <c r="H8804" s="19"/>
    </row>
    <row r="8805">
      <c r="A8805" s="9"/>
      <c r="B8805" s="15"/>
      <c r="C8805" s="9">
        <f>IFERROR(__xludf.DUMMYFUNCTION("""COMPUTED_VALUE"""),45051.8408976736)</f>
        <v>45051.8409</v>
      </c>
      <c r="D8805" s="15">
        <f>IFERROR(__xludf.DUMMYFUNCTION("""COMPUTED_VALUE"""),1.023)</f>
        <v>1.023</v>
      </c>
      <c r="E8805" s="16">
        <f>IFERROR(__xludf.DUMMYFUNCTION("""COMPUTED_VALUE"""),67.0)</f>
        <v>67</v>
      </c>
      <c r="F8805" s="19" t="str">
        <f>IFERROR(__xludf.DUMMYFUNCTION("""COMPUTED_VALUE"""),"BLACK")</f>
        <v>BLACK</v>
      </c>
      <c r="G8805" s="20" t="str">
        <f>IFERROR(__xludf.DUMMYFUNCTION("""COMPUTED_VALUE"""),"Uncle Sams Cider (04/04/2023)")</f>
        <v>Uncle Sams Cider (04/04/2023)</v>
      </c>
      <c r="H8805" s="19"/>
    </row>
    <row r="8806">
      <c r="A8806" s="9"/>
      <c r="B8806" s="15"/>
      <c r="C8806" s="9">
        <f>IFERROR(__xludf.DUMMYFUNCTION("""COMPUTED_VALUE"""),45051.8304657523)</f>
        <v>45051.83047</v>
      </c>
      <c r="D8806" s="15">
        <f>IFERROR(__xludf.DUMMYFUNCTION("""COMPUTED_VALUE"""),1.023)</f>
        <v>1.023</v>
      </c>
      <c r="E8806" s="16">
        <f>IFERROR(__xludf.DUMMYFUNCTION("""COMPUTED_VALUE"""),67.0)</f>
        <v>67</v>
      </c>
      <c r="F8806" s="19" t="str">
        <f>IFERROR(__xludf.DUMMYFUNCTION("""COMPUTED_VALUE"""),"BLACK")</f>
        <v>BLACK</v>
      </c>
      <c r="G8806" s="20" t="str">
        <f>IFERROR(__xludf.DUMMYFUNCTION("""COMPUTED_VALUE"""),"Uncle Sams Cider (04/04/2023)")</f>
        <v>Uncle Sams Cider (04/04/2023)</v>
      </c>
      <c r="H8806" s="19"/>
    </row>
    <row r="8807">
      <c r="A8807" s="9"/>
      <c r="B8807" s="15"/>
      <c r="C8807" s="9">
        <f>IFERROR(__xludf.DUMMYFUNCTION("""COMPUTED_VALUE"""),45051.8200446875)</f>
        <v>45051.82004</v>
      </c>
      <c r="D8807" s="15">
        <f>IFERROR(__xludf.DUMMYFUNCTION("""COMPUTED_VALUE"""),1.023)</f>
        <v>1.023</v>
      </c>
      <c r="E8807" s="16">
        <f>IFERROR(__xludf.DUMMYFUNCTION("""COMPUTED_VALUE"""),67.0)</f>
        <v>67</v>
      </c>
      <c r="F8807" s="19" t="str">
        <f>IFERROR(__xludf.DUMMYFUNCTION("""COMPUTED_VALUE"""),"BLACK")</f>
        <v>BLACK</v>
      </c>
      <c r="G8807" s="20" t="str">
        <f>IFERROR(__xludf.DUMMYFUNCTION("""COMPUTED_VALUE"""),"Uncle Sams Cider (04/04/2023)")</f>
        <v>Uncle Sams Cider (04/04/2023)</v>
      </c>
      <c r="H8807" s="19"/>
    </row>
    <row r="8808">
      <c r="A8808" s="9"/>
      <c r="B8808" s="15"/>
      <c r="C8808" s="9">
        <f>IFERROR(__xludf.DUMMYFUNCTION("""COMPUTED_VALUE"""),45051.8096224537)</f>
        <v>45051.80962</v>
      </c>
      <c r="D8808" s="15">
        <f>IFERROR(__xludf.DUMMYFUNCTION("""COMPUTED_VALUE"""),1.023)</f>
        <v>1.023</v>
      </c>
      <c r="E8808" s="16">
        <f>IFERROR(__xludf.DUMMYFUNCTION("""COMPUTED_VALUE"""),67.0)</f>
        <v>67</v>
      </c>
      <c r="F8808" s="19" t="str">
        <f>IFERROR(__xludf.DUMMYFUNCTION("""COMPUTED_VALUE"""),"BLACK")</f>
        <v>BLACK</v>
      </c>
      <c r="G8808" s="20" t="str">
        <f>IFERROR(__xludf.DUMMYFUNCTION("""COMPUTED_VALUE"""),"Uncle Sams Cider (04/04/2023)")</f>
        <v>Uncle Sams Cider (04/04/2023)</v>
      </c>
      <c r="H8808" s="19"/>
    </row>
    <row r="8809">
      <c r="A8809" s="9"/>
      <c r="B8809" s="15"/>
      <c r="C8809" s="9">
        <f>IFERROR(__xludf.DUMMYFUNCTION("""COMPUTED_VALUE"""),45051.7991999421)</f>
        <v>45051.7992</v>
      </c>
      <c r="D8809" s="15">
        <f>IFERROR(__xludf.DUMMYFUNCTION("""COMPUTED_VALUE"""),1.023)</f>
        <v>1.023</v>
      </c>
      <c r="E8809" s="16">
        <f>IFERROR(__xludf.DUMMYFUNCTION("""COMPUTED_VALUE"""),67.0)</f>
        <v>67</v>
      </c>
      <c r="F8809" s="19" t="str">
        <f>IFERROR(__xludf.DUMMYFUNCTION("""COMPUTED_VALUE"""),"BLACK")</f>
        <v>BLACK</v>
      </c>
      <c r="G8809" s="20" t="str">
        <f>IFERROR(__xludf.DUMMYFUNCTION("""COMPUTED_VALUE"""),"Uncle Sams Cider (04/04/2023)")</f>
        <v>Uncle Sams Cider (04/04/2023)</v>
      </c>
      <c r="H8809" s="19"/>
    </row>
    <row r="8810">
      <c r="A8810" s="9"/>
      <c r="B8810" s="15"/>
      <c r="C8810" s="9">
        <f>IFERROR(__xludf.DUMMYFUNCTION("""COMPUTED_VALUE"""),45051.7887796759)</f>
        <v>45051.78878</v>
      </c>
      <c r="D8810" s="15">
        <f>IFERROR(__xludf.DUMMYFUNCTION("""COMPUTED_VALUE"""),1.023)</f>
        <v>1.023</v>
      </c>
      <c r="E8810" s="16">
        <f>IFERROR(__xludf.DUMMYFUNCTION("""COMPUTED_VALUE"""),67.0)</f>
        <v>67</v>
      </c>
      <c r="F8810" s="19" t="str">
        <f>IFERROR(__xludf.DUMMYFUNCTION("""COMPUTED_VALUE"""),"BLACK")</f>
        <v>BLACK</v>
      </c>
      <c r="G8810" s="20" t="str">
        <f>IFERROR(__xludf.DUMMYFUNCTION("""COMPUTED_VALUE"""),"Uncle Sams Cider (04/04/2023)")</f>
        <v>Uncle Sams Cider (04/04/2023)</v>
      </c>
      <c r="H8810" s="19"/>
    </row>
    <row r="8811">
      <c r="A8811" s="9"/>
      <c r="B8811" s="15"/>
      <c r="C8811" s="9">
        <f>IFERROR(__xludf.DUMMYFUNCTION("""COMPUTED_VALUE"""),45051.7783580092)</f>
        <v>45051.77836</v>
      </c>
      <c r="D8811" s="15">
        <f>IFERROR(__xludf.DUMMYFUNCTION("""COMPUTED_VALUE"""),1.023)</f>
        <v>1.023</v>
      </c>
      <c r="E8811" s="16">
        <f>IFERROR(__xludf.DUMMYFUNCTION("""COMPUTED_VALUE"""),67.0)</f>
        <v>67</v>
      </c>
      <c r="F8811" s="19" t="str">
        <f>IFERROR(__xludf.DUMMYFUNCTION("""COMPUTED_VALUE"""),"BLACK")</f>
        <v>BLACK</v>
      </c>
      <c r="G8811" s="20" t="str">
        <f>IFERROR(__xludf.DUMMYFUNCTION("""COMPUTED_VALUE"""),"Uncle Sams Cider (04/04/2023)")</f>
        <v>Uncle Sams Cider (04/04/2023)</v>
      </c>
      <c r="H8811" s="19"/>
    </row>
    <row r="8812">
      <c r="A8812" s="9"/>
      <c r="B8812" s="15"/>
      <c r="C8812" s="9">
        <f>IFERROR(__xludf.DUMMYFUNCTION("""COMPUTED_VALUE"""),45051.7679368055)</f>
        <v>45051.76794</v>
      </c>
      <c r="D8812" s="15">
        <f>IFERROR(__xludf.DUMMYFUNCTION("""COMPUTED_VALUE"""),1.023)</f>
        <v>1.023</v>
      </c>
      <c r="E8812" s="16">
        <f>IFERROR(__xludf.DUMMYFUNCTION("""COMPUTED_VALUE"""),67.0)</f>
        <v>67</v>
      </c>
      <c r="F8812" s="19" t="str">
        <f>IFERROR(__xludf.DUMMYFUNCTION("""COMPUTED_VALUE"""),"BLACK")</f>
        <v>BLACK</v>
      </c>
      <c r="G8812" s="20" t="str">
        <f>IFERROR(__xludf.DUMMYFUNCTION("""COMPUTED_VALUE"""),"Uncle Sams Cider (04/04/2023)")</f>
        <v>Uncle Sams Cider (04/04/2023)</v>
      </c>
      <c r="H8812" s="19"/>
    </row>
    <row r="8813">
      <c r="A8813" s="9"/>
      <c r="B8813" s="15"/>
      <c r="C8813" s="9">
        <f>IFERROR(__xludf.DUMMYFUNCTION("""COMPUTED_VALUE"""),45051.7575039351)</f>
        <v>45051.7575</v>
      </c>
      <c r="D8813" s="15">
        <f>IFERROR(__xludf.DUMMYFUNCTION("""COMPUTED_VALUE"""),1.023)</f>
        <v>1.023</v>
      </c>
      <c r="E8813" s="16">
        <f>IFERROR(__xludf.DUMMYFUNCTION("""COMPUTED_VALUE"""),67.0)</f>
        <v>67</v>
      </c>
      <c r="F8813" s="19" t="str">
        <f>IFERROR(__xludf.DUMMYFUNCTION("""COMPUTED_VALUE"""),"BLACK")</f>
        <v>BLACK</v>
      </c>
      <c r="G8813" s="20" t="str">
        <f>IFERROR(__xludf.DUMMYFUNCTION("""COMPUTED_VALUE"""),"Uncle Sams Cider (04/04/2023)")</f>
        <v>Uncle Sams Cider (04/04/2023)</v>
      </c>
      <c r="H8813" s="19"/>
    </row>
    <row r="8814">
      <c r="A8814" s="9"/>
      <c r="B8814" s="15"/>
      <c r="C8814" s="9">
        <f>IFERROR(__xludf.DUMMYFUNCTION("""COMPUTED_VALUE"""),45051.7470717592)</f>
        <v>45051.74707</v>
      </c>
      <c r="D8814" s="15">
        <f>IFERROR(__xludf.DUMMYFUNCTION("""COMPUTED_VALUE"""),1.023)</f>
        <v>1.023</v>
      </c>
      <c r="E8814" s="16">
        <f>IFERROR(__xludf.DUMMYFUNCTION("""COMPUTED_VALUE"""),67.0)</f>
        <v>67</v>
      </c>
      <c r="F8814" s="19" t="str">
        <f>IFERROR(__xludf.DUMMYFUNCTION("""COMPUTED_VALUE"""),"BLACK")</f>
        <v>BLACK</v>
      </c>
      <c r="G8814" s="20" t="str">
        <f>IFERROR(__xludf.DUMMYFUNCTION("""COMPUTED_VALUE"""),"Uncle Sams Cider (04/04/2023)")</f>
        <v>Uncle Sams Cider (04/04/2023)</v>
      </c>
      <c r="H8814" s="19"/>
    </row>
    <row r="8815">
      <c r="A8815" s="9"/>
      <c r="B8815" s="15"/>
      <c r="C8815" s="9">
        <f>IFERROR(__xludf.DUMMYFUNCTION("""COMPUTED_VALUE"""),45051.7366524652)</f>
        <v>45051.73665</v>
      </c>
      <c r="D8815" s="15">
        <f>IFERROR(__xludf.DUMMYFUNCTION("""COMPUTED_VALUE"""),1.023)</f>
        <v>1.023</v>
      </c>
      <c r="E8815" s="16">
        <f>IFERROR(__xludf.DUMMYFUNCTION("""COMPUTED_VALUE"""),67.0)</f>
        <v>67</v>
      </c>
      <c r="F8815" s="19" t="str">
        <f>IFERROR(__xludf.DUMMYFUNCTION("""COMPUTED_VALUE"""),"BLACK")</f>
        <v>BLACK</v>
      </c>
      <c r="G8815" s="20" t="str">
        <f>IFERROR(__xludf.DUMMYFUNCTION("""COMPUTED_VALUE"""),"Uncle Sams Cider (04/04/2023)")</f>
        <v>Uncle Sams Cider (04/04/2023)</v>
      </c>
      <c r="H8815" s="19"/>
    </row>
    <row r="8816">
      <c r="A8816" s="9"/>
      <c r="B8816" s="15"/>
      <c r="C8816" s="9">
        <f>IFERROR(__xludf.DUMMYFUNCTION("""COMPUTED_VALUE"""),45051.7262190856)</f>
        <v>45051.72622</v>
      </c>
      <c r="D8816" s="15">
        <f>IFERROR(__xludf.DUMMYFUNCTION("""COMPUTED_VALUE"""),1.023)</f>
        <v>1.023</v>
      </c>
      <c r="E8816" s="16">
        <f>IFERROR(__xludf.DUMMYFUNCTION("""COMPUTED_VALUE"""),67.0)</f>
        <v>67</v>
      </c>
      <c r="F8816" s="19" t="str">
        <f>IFERROR(__xludf.DUMMYFUNCTION("""COMPUTED_VALUE"""),"BLACK")</f>
        <v>BLACK</v>
      </c>
      <c r="G8816" s="20" t="str">
        <f>IFERROR(__xludf.DUMMYFUNCTION("""COMPUTED_VALUE"""),"Uncle Sams Cider (04/04/2023)")</f>
        <v>Uncle Sams Cider (04/04/2023)</v>
      </c>
      <c r="H8816" s="19"/>
    </row>
    <row r="8817">
      <c r="A8817" s="9"/>
      <c r="B8817" s="15"/>
      <c r="C8817" s="9">
        <f>IFERROR(__xludf.DUMMYFUNCTION("""COMPUTED_VALUE"""),45051.7157988426)</f>
        <v>45051.7158</v>
      </c>
      <c r="D8817" s="15">
        <f>IFERROR(__xludf.DUMMYFUNCTION("""COMPUTED_VALUE"""),1.023)</f>
        <v>1.023</v>
      </c>
      <c r="E8817" s="16">
        <f>IFERROR(__xludf.DUMMYFUNCTION("""COMPUTED_VALUE"""),67.0)</f>
        <v>67</v>
      </c>
      <c r="F8817" s="19" t="str">
        <f>IFERROR(__xludf.DUMMYFUNCTION("""COMPUTED_VALUE"""),"BLACK")</f>
        <v>BLACK</v>
      </c>
      <c r="G8817" s="20" t="str">
        <f>IFERROR(__xludf.DUMMYFUNCTION("""COMPUTED_VALUE"""),"Uncle Sams Cider (04/04/2023)")</f>
        <v>Uncle Sams Cider (04/04/2023)</v>
      </c>
      <c r="H8817" s="19"/>
    </row>
    <row r="8818">
      <c r="A8818" s="9"/>
      <c r="B8818" s="15"/>
      <c r="C8818" s="9">
        <f>IFERROR(__xludf.DUMMYFUNCTION("""COMPUTED_VALUE"""),45051.7053560648)</f>
        <v>45051.70536</v>
      </c>
      <c r="D8818" s="15">
        <f>IFERROR(__xludf.DUMMYFUNCTION("""COMPUTED_VALUE"""),1.023)</f>
        <v>1.023</v>
      </c>
      <c r="E8818" s="16">
        <f>IFERROR(__xludf.DUMMYFUNCTION("""COMPUTED_VALUE"""),67.0)</f>
        <v>67</v>
      </c>
      <c r="F8818" s="19" t="str">
        <f>IFERROR(__xludf.DUMMYFUNCTION("""COMPUTED_VALUE"""),"BLACK")</f>
        <v>BLACK</v>
      </c>
      <c r="G8818" s="20" t="str">
        <f>IFERROR(__xludf.DUMMYFUNCTION("""COMPUTED_VALUE"""),"Uncle Sams Cider (04/04/2023)")</f>
        <v>Uncle Sams Cider (04/04/2023)</v>
      </c>
      <c r="H8818" s="19"/>
    </row>
    <row r="8819">
      <c r="A8819" s="9"/>
      <c r="B8819" s="15"/>
      <c r="C8819" s="9">
        <f>IFERROR(__xludf.DUMMYFUNCTION("""COMPUTED_VALUE"""),45051.6949347685)</f>
        <v>45051.69493</v>
      </c>
      <c r="D8819" s="15">
        <f>IFERROR(__xludf.DUMMYFUNCTION("""COMPUTED_VALUE"""),1.023)</f>
        <v>1.023</v>
      </c>
      <c r="E8819" s="16">
        <f>IFERROR(__xludf.DUMMYFUNCTION("""COMPUTED_VALUE"""),67.0)</f>
        <v>67</v>
      </c>
      <c r="F8819" s="19" t="str">
        <f>IFERROR(__xludf.DUMMYFUNCTION("""COMPUTED_VALUE"""),"BLACK")</f>
        <v>BLACK</v>
      </c>
      <c r="G8819" s="20" t="str">
        <f>IFERROR(__xludf.DUMMYFUNCTION("""COMPUTED_VALUE"""),"Uncle Sams Cider (04/04/2023)")</f>
        <v>Uncle Sams Cider (04/04/2023)</v>
      </c>
      <c r="H8819" s="19"/>
    </row>
    <row r="8820">
      <c r="A8820" s="9"/>
      <c r="B8820" s="15"/>
      <c r="C8820" s="9">
        <f>IFERROR(__xludf.DUMMYFUNCTION("""COMPUTED_VALUE"""),45051.684500162)</f>
        <v>45051.6845</v>
      </c>
      <c r="D8820" s="15">
        <f>IFERROR(__xludf.DUMMYFUNCTION("""COMPUTED_VALUE"""),1.023)</f>
        <v>1.023</v>
      </c>
      <c r="E8820" s="16">
        <f>IFERROR(__xludf.DUMMYFUNCTION("""COMPUTED_VALUE"""),67.0)</f>
        <v>67</v>
      </c>
      <c r="F8820" s="19" t="str">
        <f>IFERROR(__xludf.DUMMYFUNCTION("""COMPUTED_VALUE"""),"BLACK")</f>
        <v>BLACK</v>
      </c>
      <c r="G8820" s="20" t="str">
        <f>IFERROR(__xludf.DUMMYFUNCTION("""COMPUTED_VALUE"""),"Uncle Sams Cider (04/04/2023)")</f>
        <v>Uncle Sams Cider (04/04/2023)</v>
      </c>
      <c r="H8820" s="19"/>
    </row>
    <row r="8821">
      <c r="A8821" s="9"/>
      <c r="B8821" s="15"/>
      <c r="C8821" s="9">
        <f>IFERROR(__xludf.DUMMYFUNCTION("""COMPUTED_VALUE"""),45051.6740669328)</f>
        <v>45051.67407</v>
      </c>
      <c r="D8821" s="15">
        <f>IFERROR(__xludf.DUMMYFUNCTION("""COMPUTED_VALUE"""),1.023)</f>
        <v>1.023</v>
      </c>
      <c r="E8821" s="16">
        <f>IFERROR(__xludf.DUMMYFUNCTION("""COMPUTED_VALUE"""),67.0)</f>
        <v>67</v>
      </c>
      <c r="F8821" s="19" t="str">
        <f>IFERROR(__xludf.DUMMYFUNCTION("""COMPUTED_VALUE"""),"BLACK")</f>
        <v>BLACK</v>
      </c>
      <c r="G8821" s="20" t="str">
        <f>IFERROR(__xludf.DUMMYFUNCTION("""COMPUTED_VALUE"""),"Uncle Sams Cider (04/04/2023)")</f>
        <v>Uncle Sams Cider (04/04/2023)</v>
      </c>
      <c r="H8821" s="19"/>
    </row>
    <row r="8822">
      <c r="A8822" s="9"/>
      <c r="B8822" s="15"/>
      <c r="C8822" s="9">
        <f>IFERROR(__xludf.DUMMYFUNCTION("""COMPUTED_VALUE"""),45051.6636472222)</f>
        <v>45051.66365</v>
      </c>
      <c r="D8822" s="15">
        <f>IFERROR(__xludf.DUMMYFUNCTION("""COMPUTED_VALUE"""),1.023)</f>
        <v>1.023</v>
      </c>
      <c r="E8822" s="16">
        <f>IFERROR(__xludf.DUMMYFUNCTION("""COMPUTED_VALUE"""),67.0)</f>
        <v>67</v>
      </c>
      <c r="F8822" s="19" t="str">
        <f>IFERROR(__xludf.DUMMYFUNCTION("""COMPUTED_VALUE"""),"BLACK")</f>
        <v>BLACK</v>
      </c>
      <c r="G8822" s="20" t="str">
        <f>IFERROR(__xludf.DUMMYFUNCTION("""COMPUTED_VALUE"""),"Uncle Sams Cider (04/04/2023)")</f>
        <v>Uncle Sams Cider (04/04/2023)</v>
      </c>
      <c r="H8822" s="19"/>
    </row>
    <row r="8823">
      <c r="A8823" s="9"/>
      <c r="B8823" s="15"/>
      <c r="C8823" s="9">
        <f>IFERROR(__xludf.DUMMYFUNCTION("""COMPUTED_VALUE"""),45051.6532262847)</f>
        <v>45051.65323</v>
      </c>
      <c r="D8823" s="15">
        <f>IFERROR(__xludf.DUMMYFUNCTION("""COMPUTED_VALUE"""),1.023)</f>
        <v>1.023</v>
      </c>
      <c r="E8823" s="16">
        <f>IFERROR(__xludf.DUMMYFUNCTION("""COMPUTED_VALUE"""),67.0)</f>
        <v>67</v>
      </c>
      <c r="F8823" s="19" t="str">
        <f>IFERROR(__xludf.DUMMYFUNCTION("""COMPUTED_VALUE"""),"BLACK")</f>
        <v>BLACK</v>
      </c>
      <c r="G8823" s="20" t="str">
        <f>IFERROR(__xludf.DUMMYFUNCTION("""COMPUTED_VALUE"""),"Uncle Sams Cider (04/04/2023)")</f>
        <v>Uncle Sams Cider (04/04/2023)</v>
      </c>
      <c r="H8823" s="19"/>
    </row>
    <row r="8824">
      <c r="A8824" s="9"/>
      <c r="B8824" s="15"/>
      <c r="C8824" s="9">
        <f>IFERROR(__xludf.DUMMYFUNCTION("""COMPUTED_VALUE"""),45051.6428055671)</f>
        <v>45051.64281</v>
      </c>
      <c r="D8824" s="15">
        <f>IFERROR(__xludf.DUMMYFUNCTION("""COMPUTED_VALUE"""),1.023)</f>
        <v>1.023</v>
      </c>
      <c r="E8824" s="16">
        <f>IFERROR(__xludf.DUMMYFUNCTION("""COMPUTED_VALUE"""),68.0)</f>
        <v>68</v>
      </c>
      <c r="F8824" s="19" t="str">
        <f>IFERROR(__xludf.DUMMYFUNCTION("""COMPUTED_VALUE"""),"BLACK")</f>
        <v>BLACK</v>
      </c>
      <c r="G8824" s="20" t="str">
        <f>IFERROR(__xludf.DUMMYFUNCTION("""COMPUTED_VALUE"""),"Uncle Sams Cider (04/04/2023)")</f>
        <v>Uncle Sams Cider (04/04/2023)</v>
      </c>
      <c r="H8824" s="19"/>
    </row>
    <row r="8825">
      <c r="A8825" s="9"/>
      <c r="B8825" s="15"/>
      <c r="C8825" s="9">
        <f>IFERROR(__xludf.DUMMYFUNCTION("""COMPUTED_VALUE"""),45051.63238375)</f>
        <v>45051.63238</v>
      </c>
      <c r="D8825" s="15">
        <f>IFERROR(__xludf.DUMMYFUNCTION("""COMPUTED_VALUE"""),1.023)</f>
        <v>1.023</v>
      </c>
      <c r="E8825" s="16">
        <f>IFERROR(__xludf.DUMMYFUNCTION("""COMPUTED_VALUE"""),68.0)</f>
        <v>68</v>
      </c>
      <c r="F8825" s="19" t="str">
        <f>IFERROR(__xludf.DUMMYFUNCTION("""COMPUTED_VALUE"""),"BLACK")</f>
        <v>BLACK</v>
      </c>
      <c r="G8825" s="20" t="str">
        <f>IFERROR(__xludf.DUMMYFUNCTION("""COMPUTED_VALUE"""),"Uncle Sams Cider (04/04/2023)")</f>
        <v>Uncle Sams Cider (04/04/2023)</v>
      </c>
      <c r="H8825" s="19"/>
    </row>
    <row r="8826">
      <c r="A8826" s="9"/>
      <c r="B8826" s="15"/>
      <c r="C8826" s="9">
        <f>IFERROR(__xludf.DUMMYFUNCTION("""COMPUTED_VALUE"""),45051.621963206)</f>
        <v>45051.62196</v>
      </c>
      <c r="D8826" s="15">
        <f>IFERROR(__xludf.DUMMYFUNCTION("""COMPUTED_VALUE"""),1.023)</f>
        <v>1.023</v>
      </c>
      <c r="E8826" s="16">
        <f>IFERROR(__xludf.DUMMYFUNCTION("""COMPUTED_VALUE"""),68.0)</f>
        <v>68</v>
      </c>
      <c r="F8826" s="19" t="str">
        <f>IFERROR(__xludf.DUMMYFUNCTION("""COMPUTED_VALUE"""),"BLACK")</f>
        <v>BLACK</v>
      </c>
      <c r="G8826" s="20" t="str">
        <f>IFERROR(__xludf.DUMMYFUNCTION("""COMPUTED_VALUE"""),"Uncle Sams Cider (04/04/2023)")</f>
        <v>Uncle Sams Cider (04/04/2023)</v>
      </c>
      <c r="H8826" s="19"/>
    </row>
    <row r="8827">
      <c r="A8827" s="9"/>
      <c r="B8827" s="15"/>
      <c r="C8827" s="9">
        <f>IFERROR(__xludf.DUMMYFUNCTION("""COMPUTED_VALUE"""),45051.6115408449)</f>
        <v>45051.61154</v>
      </c>
      <c r="D8827" s="15">
        <f>IFERROR(__xludf.DUMMYFUNCTION("""COMPUTED_VALUE"""),1.023)</f>
        <v>1.023</v>
      </c>
      <c r="E8827" s="16">
        <f>IFERROR(__xludf.DUMMYFUNCTION("""COMPUTED_VALUE"""),68.0)</f>
        <v>68</v>
      </c>
      <c r="F8827" s="19" t="str">
        <f>IFERROR(__xludf.DUMMYFUNCTION("""COMPUTED_VALUE"""),"BLACK")</f>
        <v>BLACK</v>
      </c>
      <c r="G8827" s="20" t="str">
        <f>IFERROR(__xludf.DUMMYFUNCTION("""COMPUTED_VALUE"""),"Uncle Sams Cider (04/04/2023)")</f>
        <v>Uncle Sams Cider (04/04/2023)</v>
      </c>
      <c r="H8827" s="19"/>
    </row>
    <row r="8828">
      <c r="A8828" s="9"/>
      <c r="B8828" s="15"/>
      <c r="C8828" s="9">
        <f>IFERROR(__xludf.DUMMYFUNCTION("""COMPUTED_VALUE"""),45051.6011083564)</f>
        <v>45051.60111</v>
      </c>
      <c r="D8828" s="15">
        <f>IFERROR(__xludf.DUMMYFUNCTION("""COMPUTED_VALUE"""),1.023)</f>
        <v>1.023</v>
      </c>
      <c r="E8828" s="16">
        <f>IFERROR(__xludf.DUMMYFUNCTION("""COMPUTED_VALUE"""),68.0)</f>
        <v>68</v>
      </c>
      <c r="F8828" s="19" t="str">
        <f>IFERROR(__xludf.DUMMYFUNCTION("""COMPUTED_VALUE"""),"BLACK")</f>
        <v>BLACK</v>
      </c>
      <c r="G8828" s="20" t="str">
        <f>IFERROR(__xludf.DUMMYFUNCTION("""COMPUTED_VALUE"""),"Uncle Sams Cider (04/04/2023)")</f>
        <v>Uncle Sams Cider (04/04/2023)</v>
      </c>
      <c r="H8828" s="19"/>
    </row>
    <row r="8829">
      <c r="A8829" s="9"/>
      <c r="B8829" s="15"/>
      <c r="C8829" s="9">
        <f>IFERROR(__xludf.DUMMYFUNCTION("""COMPUTED_VALUE"""),45051.5906884027)</f>
        <v>45051.59069</v>
      </c>
      <c r="D8829" s="15">
        <f>IFERROR(__xludf.DUMMYFUNCTION("""COMPUTED_VALUE"""),1.023)</f>
        <v>1.023</v>
      </c>
      <c r="E8829" s="16">
        <f>IFERROR(__xludf.DUMMYFUNCTION("""COMPUTED_VALUE"""),68.0)</f>
        <v>68</v>
      </c>
      <c r="F8829" s="19" t="str">
        <f>IFERROR(__xludf.DUMMYFUNCTION("""COMPUTED_VALUE"""),"BLACK")</f>
        <v>BLACK</v>
      </c>
      <c r="G8829" s="20" t="str">
        <f>IFERROR(__xludf.DUMMYFUNCTION("""COMPUTED_VALUE"""),"Uncle Sams Cider (04/04/2023)")</f>
        <v>Uncle Sams Cider (04/04/2023)</v>
      </c>
      <c r="H8829" s="19"/>
    </row>
    <row r="8830">
      <c r="A8830" s="9"/>
      <c r="B8830" s="15"/>
      <c r="C8830" s="9">
        <f>IFERROR(__xludf.DUMMYFUNCTION("""COMPUTED_VALUE"""),45051.580245949)</f>
        <v>45051.58025</v>
      </c>
      <c r="D8830" s="15">
        <f>IFERROR(__xludf.DUMMYFUNCTION("""COMPUTED_VALUE"""),1.023)</f>
        <v>1.023</v>
      </c>
      <c r="E8830" s="16">
        <f>IFERROR(__xludf.DUMMYFUNCTION("""COMPUTED_VALUE"""),68.0)</f>
        <v>68</v>
      </c>
      <c r="F8830" s="19" t="str">
        <f>IFERROR(__xludf.DUMMYFUNCTION("""COMPUTED_VALUE"""),"BLACK")</f>
        <v>BLACK</v>
      </c>
      <c r="G8830" s="20" t="str">
        <f>IFERROR(__xludf.DUMMYFUNCTION("""COMPUTED_VALUE"""),"Uncle Sams Cider (04/04/2023)")</f>
        <v>Uncle Sams Cider (04/04/2023)</v>
      </c>
      <c r="H8830" s="19"/>
    </row>
    <row r="8831">
      <c r="A8831" s="9"/>
      <c r="B8831" s="15"/>
      <c r="C8831" s="9">
        <f>IFERROR(__xludf.DUMMYFUNCTION("""COMPUTED_VALUE"""),45051.5698245949)</f>
        <v>45051.56982</v>
      </c>
      <c r="D8831" s="15">
        <f>IFERROR(__xludf.DUMMYFUNCTION("""COMPUTED_VALUE"""),1.023)</f>
        <v>1.023</v>
      </c>
      <c r="E8831" s="16">
        <f>IFERROR(__xludf.DUMMYFUNCTION("""COMPUTED_VALUE"""),68.0)</f>
        <v>68</v>
      </c>
      <c r="F8831" s="19" t="str">
        <f>IFERROR(__xludf.DUMMYFUNCTION("""COMPUTED_VALUE"""),"BLACK")</f>
        <v>BLACK</v>
      </c>
      <c r="G8831" s="20" t="str">
        <f>IFERROR(__xludf.DUMMYFUNCTION("""COMPUTED_VALUE"""),"Uncle Sams Cider (04/04/2023)")</f>
        <v>Uncle Sams Cider (04/04/2023)</v>
      </c>
      <c r="H8831" s="19"/>
    </row>
    <row r="8832">
      <c r="A8832" s="9"/>
      <c r="B8832" s="15"/>
      <c r="C8832" s="9">
        <f>IFERROR(__xludf.DUMMYFUNCTION("""COMPUTED_VALUE"""),45051.5594028703)</f>
        <v>45051.5594</v>
      </c>
      <c r="D8832" s="15">
        <f>IFERROR(__xludf.DUMMYFUNCTION("""COMPUTED_VALUE"""),1.023)</f>
        <v>1.023</v>
      </c>
      <c r="E8832" s="16">
        <f>IFERROR(__xludf.DUMMYFUNCTION("""COMPUTED_VALUE"""),68.0)</f>
        <v>68</v>
      </c>
      <c r="F8832" s="19" t="str">
        <f>IFERROR(__xludf.DUMMYFUNCTION("""COMPUTED_VALUE"""),"BLACK")</f>
        <v>BLACK</v>
      </c>
      <c r="G8832" s="20" t="str">
        <f>IFERROR(__xludf.DUMMYFUNCTION("""COMPUTED_VALUE"""),"Uncle Sams Cider (04/04/2023)")</f>
        <v>Uncle Sams Cider (04/04/2023)</v>
      </c>
      <c r="H8832" s="19"/>
    </row>
    <row r="8833">
      <c r="A8833" s="9"/>
      <c r="B8833" s="15"/>
      <c r="C8833" s="9">
        <f>IFERROR(__xludf.DUMMYFUNCTION("""COMPUTED_VALUE"""),45051.5489812731)</f>
        <v>45051.54898</v>
      </c>
      <c r="D8833" s="15">
        <f>IFERROR(__xludf.DUMMYFUNCTION("""COMPUTED_VALUE"""),1.023)</f>
        <v>1.023</v>
      </c>
      <c r="E8833" s="16">
        <f>IFERROR(__xludf.DUMMYFUNCTION("""COMPUTED_VALUE"""),68.0)</f>
        <v>68</v>
      </c>
      <c r="F8833" s="19" t="str">
        <f>IFERROR(__xludf.DUMMYFUNCTION("""COMPUTED_VALUE"""),"BLACK")</f>
        <v>BLACK</v>
      </c>
      <c r="G8833" s="20" t="str">
        <f>IFERROR(__xludf.DUMMYFUNCTION("""COMPUTED_VALUE"""),"Uncle Sams Cider (04/04/2023)")</f>
        <v>Uncle Sams Cider (04/04/2023)</v>
      </c>
      <c r="H8833" s="19"/>
    </row>
    <row r="8834">
      <c r="A8834" s="9"/>
      <c r="B8834" s="15"/>
      <c r="C8834" s="9">
        <f>IFERROR(__xludf.DUMMYFUNCTION("""COMPUTED_VALUE"""),45051.5385362731)</f>
        <v>45051.53854</v>
      </c>
      <c r="D8834" s="15">
        <f>IFERROR(__xludf.DUMMYFUNCTION("""COMPUTED_VALUE"""),1.023)</f>
        <v>1.023</v>
      </c>
      <c r="E8834" s="16">
        <f>IFERROR(__xludf.DUMMYFUNCTION("""COMPUTED_VALUE"""),68.0)</f>
        <v>68</v>
      </c>
      <c r="F8834" s="19" t="str">
        <f>IFERROR(__xludf.DUMMYFUNCTION("""COMPUTED_VALUE"""),"BLACK")</f>
        <v>BLACK</v>
      </c>
      <c r="G8834" s="20" t="str">
        <f>IFERROR(__xludf.DUMMYFUNCTION("""COMPUTED_VALUE"""),"Uncle Sams Cider (04/04/2023)")</f>
        <v>Uncle Sams Cider (04/04/2023)</v>
      </c>
      <c r="H8834" s="19"/>
    </row>
    <row r="8835">
      <c r="A8835" s="9"/>
      <c r="B8835" s="15"/>
      <c r="C8835" s="9">
        <f>IFERROR(__xludf.DUMMYFUNCTION("""COMPUTED_VALUE"""),45051.5281128472)</f>
        <v>45051.52811</v>
      </c>
      <c r="D8835" s="15">
        <f>IFERROR(__xludf.DUMMYFUNCTION("""COMPUTED_VALUE"""),1.023)</f>
        <v>1.023</v>
      </c>
      <c r="E8835" s="16">
        <f>IFERROR(__xludf.DUMMYFUNCTION("""COMPUTED_VALUE"""),68.0)</f>
        <v>68</v>
      </c>
      <c r="F8835" s="19" t="str">
        <f>IFERROR(__xludf.DUMMYFUNCTION("""COMPUTED_VALUE"""),"BLACK")</f>
        <v>BLACK</v>
      </c>
      <c r="G8835" s="20" t="str">
        <f>IFERROR(__xludf.DUMMYFUNCTION("""COMPUTED_VALUE"""),"Uncle Sams Cider (04/04/2023)")</f>
        <v>Uncle Sams Cider (04/04/2023)</v>
      </c>
      <c r="H8835" s="19"/>
    </row>
    <row r="8836">
      <c r="A8836" s="9"/>
      <c r="B8836" s="15"/>
      <c r="C8836" s="9">
        <f>IFERROR(__xludf.DUMMYFUNCTION("""COMPUTED_VALUE"""),45051.5176905092)</f>
        <v>45051.51769</v>
      </c>
      <c r="D8836" s="15">
        <f>IFERROR(__xludf.DUMMYFUNCTION("""COMPUTED_VALUE"""),1.023)</f>
        <v>1.023</v>
      </c>
      <c r="E8836" s="16">
        <f>IFERROR(__xludf.DUMMYFUNCTION("""COMPUTED_VALUE"""),68.0)</f>
        <v>68</v>
      </c>
      <c r="F8836" s="19" t="str">
        <f>IFERROR(__xludf.DUMMYFUNCTION("""COMPUTED_VALUE"""),"BLACK")</f>
        <v>BLACK</v>
      </c>
      <c r="G8836" s="20" t="str">
        <f>IFERROR(__xludf.DUMMYFUNCTION("""COMPUTED_VALUE"""),"Uncle Sams Cider (04/04/2023)")</f>
        <v>Uncle Sams Cider (04/04/2023)</v>
      </c>
      <c r="H8836" s="19"/>
    </row>
    <row r="8837">
      <c r="A8837" s="9"/>
      <c r="B8837" s="15"/>
      <c r="C8837" s="9">
        <f>IFERROR(__xludf.DUMMYFUNCTION("""COMPUTED_VALUE"""),45051.5072691319)</f>
        <v>45051.50727</v>
      </c>
      <c r="D8837" s="15">
        <f>IFERROR(__xludf.DUMMYFUNCTION("""COMPUTED_VALUE"""),1.023)</f>
        <v>1.023</v>
      </c>
      <c r="E8837" s="16">
        <f>IFERROR(__xludf.DUMMYFUNCTION("""COMPUTED_VALUE"""),68.0)</f>
        <v>68</v>
      </c>
      <c r="F8837" s="19" t="str">
        <f>IFERROR(__xludf.DUMMYFUNCTION("""COMPUTED_VALUE"""),"BLACK")</f>
        <v>BLACK</v>
      </c>
      <c r="G8837" s="20" t="str">
        <f>IFERROR(__xludf.DUMMYFUNCTION("""COMPUTED_VALUE"""),"Uncle Sams Cider (04/04/2023)")</f>
        <v>Uncle Sams Cider (04/04/2023)</v>
      </c>
      <c r="H8837" s="19"/>
    </row>
    <row r="8838">
      <c r="A8838" s="9"/>
      <c r="B8838" s="15"/>
      <c r="C8838" s="9">
        <f>IFERROR(__xludf.DUMMYFUNCTION("""COMPUTED_VALUE"""),45051.4968481018)</f>
        <v>45051.49685</v>
      </c>
      <c r="D8838" s="15">
        <f>IFERROR(__xludf.DUMMYFUNCTION("""COMPUTED_VALUE"""),1.023)</f>
        <v>1.023</v>
      </c>
      <c r="E8838" s="16">
        <f>IFERROR(__xludf.DUMMYFUNCTION("""COMPUTED_VALUE"""),68.0)</f>
        <v>68</v>
      </c>
      <c r="F8838" s="19" t="str">
        <f>IFERROR(__xludf.DUMMYFUNCTION("""COMPUTED_VALUE"""),"BLACK")</f>
        <v>BLACK</v>
      </c>
      <c r="G8838" s="20" t="str">
        <f>IFERROR(__xludf.DUMMYFUNCTION("""COMPUTED_VALUE"""),"Uncle Sams Cider (04/04/2023)")</f>
        <v>Uncle Sams Cider (04/04/2023)</v>
      </c>
      <c r="H8838" s="19"/>
    </row>
    <row r="8839">
      <c r="A8839" s="9"/>
      <c r="B8839" s="15"/>
      <c r="C8839" s="9">
        <f>IFERROR(__xludf.DUMMYFUNCTION("""COMPUTED_VALUE"""),45051.4864150231)</f>
        <v>45051.48642</v>
      </c>
      <c r="D8839" s="15">
        <f>IFERROR(__xludf.DUMMYFUNCTION("""COMPUTED_VALUE"""),1.023)</f>
        <v>1.023</v>
      </c>
      <c r="E8839" s="16">
        <f>IFERROR(__xludf.DUMMYFUNCTION("""COMPUTED_VALUE"""),67.0)</f>
        <v>67</v>
      </c>
      <c r="F8839" s="19" t="str">
        <f>IFERROR(__xludf.DUMMYFUNCTION("""COMPUTED_VALUE"""),"BLACK")</f>
        <v>BLACK</v>
      </c>
      <c r="G8839" s="20" t="str">
        <f>IFERROR(__xludf.DUMMYFUNCTION("""COMPUTED_VALUE"""),"Uncle Sams Cider (04/04/2023)")</f>
        <v>Uncle Sams Cider (04/04/2023)</v>
      </c>
      <c r="H8839" s="19"/>
    </row>
    <row r="8840">
      <c r="A8840" s="9"/>
      <c r="B8840" s="15"/>
      <c r="C8840" s="9">
        <f>IFERROR(__xludf.DUMMYFUNCTION("""COMPUTED_VALUE"""),45051.4759935185)</f>
        <v>45051.47599</v>
      </c>
      <c r="D8840" s="15">
        <f>IFERROR(__xludf.DUMMYFUNCTION("""COMPUTED_VALUE"""),1.023)</f>
        <v>1.023</v>
      </c>
      <c r="E8840" s="16">
        <f>IFERROR(__xludf.DUMMYFUNCTION("""COMPUTED_VALUE"""),67.0)</f>
        <v>67</v>
      </c>
      <c r="F8840" s="19" t="str">
        <f>IFERROR(__xludf.DUMMYFUNCTION("""COMPUTED_VALUE"""),"BLACK")</f>
        <v>BLACK</v>
      </c>
      <c r="G8840" s="20" t="str">
        <f>IFERROR(__xludf.DUMMYFUNCTION("""COMPUTED_VALUE"""),"Uncle Sams Cider (04/04/2023)")</f>
        <v>Uncle Sams Cider (04/04/2023)</v>
      </c>
      <c r="H8840" s="19"/>
    </row>
    <row r="8841">
      <c r="A8841" s="9"/>
      <c r="B8841" s="15"/>
      <c r="C8841" s="9">
        <f>IFERROR(__xludf.DUMMYFUNCTION("""COMPUTED_VALUE"""),45051.4655487037)</f>
        <v>45051.46555</v>
      </c>
      <c r="D8841" s="15">
        <f>IFERROR(__xludf.DUMMYFUNCTION("""COMPUTED_VALUE"""),1.023)</f>
        <v>1.023</v>
      </c>
      <c r="E8841" s="16">
        <f>IFERROR(__xludf.DUMMYFUNCTION("""COMPUTED_VALUE"""),67.0)</f>
        <v>67</v>
      </c>
      <c r="F8841" s="19" t="str">
        <f>IFERROR(__xludf.DUMMYFUNCTION("""COMPUTED_VALUE"""),"BLACK")</f>
        <v>BLACK</v>
      </c>
      <c r="G8841" s="20" t="str">
        <f>IFERROR(__xludf.DUMMYFUNCTION("""COMPUTED_VALUE"""),"Uncle Sams Cider (04/04/2023)")</f>
        <v>Uncle Sams Cider (04/04/2023)</v>
      </c>
      <c r="H8841" s="19"/>
    </row>
    <row r="8842">
      <c r="A8842" s="9"/>
      <c r="B8842" s="15"/>
      <c r="C8842" s="9">
        <f>IFERROR(__xludf.DUMMYFUNCTION("""COMPUTED_VALUE"""),45051.4551278588)</f>
        <v>45051.45513</v>
      </c>
      <c r="D8842" s="15">
        <f>IFERROR(__xludf.DUMMYFUNCTION("""COMPUTED_VALUE"""),1.023)</f>
        <v>1.023</v>
      </c>
      <c r="E8842" s="16">
        <f>IFERROR(__xludf.DUMMYFUNCTION("""COMPUTED_VALUE"""),66.0)</f>
        <v>66</v>
      </c>
      <c r="F8842" s="19" t="str">
        <f>IFERROR(__xludf.DUMMYFUNCTION("""COMPUTED_VALUE"""),"BLACK")</f>
        <v>BLACK</v>
      </c>
      <c r="G8842" s="20" t="str">
        <f>IFERROR(__xludf.DUMMYFUNCTION("""COMPUTED_VALUE"""),"Uncle Sams Cider (04/04/2023)")</f>
        <v>Uncle Sams Cider (04/04/2023)</v>
      </c>
      <c r="H8842" s="19"/>
    </row>
    <row r="8843">
      <c r="A8843" s="9"/>
      <c r="B8843" s="15"/>
      <c r="C8843" s="9">
        <f>IFERROR(__xludf.DUMMYFUNCTION("""COMPUTED_VALUE"""),45051.4447080787)</f>
        <v>45051.44471</v>
      </c>
      <c r="D8843" s="15">
        <f>IFERROR(__xludf.DUMMYFUNCTION("""COMPUTED_VALUE"""),1.023)</f>
        <v>1.023</v>
      </c>
      <c r="E8843" s="16">
        <f>IFERROR(__xludf.DUMMYFUNCTION("""COMPUTED_VALUE"""),66.0)</f>
        <v>66</v>
      </c>
      <c r="F8843" s="19" t="str">
        <f>IFERROR(__xludf.DUMMYFUNCTION("""COMPUTED_VALUE"""),"BLACK")</f>
        <v>BLACK</v>
      </c>
      <c r="G8843" s="20" t="str">
        <f>IFERROR(__xludf.DUMMYFUNCTION("""COMPUTED_VALUE"""),"Uncle Sams Cider (04/04/2023)")</f>
        <v>Uncle Sams Cider (04/04/2023)</v>
      </c>
      <c r="H8843" s="19"/>
    </row>
    <row r="8844">
      <c r="A8844" s="9"/>
      <c r="B8844" s="15"/>
      <c r="C8844" s="9">
        <f>IFERROR(__xludf.DUMMYFUNCTION("""COMPUTED_VALUE"""),45051.4342873032)</f>
        <v>45051.43429</v>
      </c>
      <c r="D8844" s="15">
        <f>IFERROR(__xludf.DUMMYFUNCTION("""COMPUTED_VALUE"""),1.024)</f>
        <v>1.024</v>
      </c>
      <c r="E8844" s="16">
        <f>IFERROR(__xludf.DUMMYFUNCTION("""COMPUTED_VALUE"""),65.0)</f>
        <v>65</v>
      </c>
      <c r="F8844" s="19" t="str">
        <f>IFERROR(__xludf.DUMMYFUNCTION("""COMPUTED_VALUE"""),"BLACK")</f>
        <v>BLACK</v>
      </c>
      <c r="G8844" s="20" t="str">
        <f>IFERROR(__xludf.DUMMYFUNCTION("""COMPUTED_VALUE"""),"Uncle Sams Cider (04/04/2023)")</f>
        <v>Uncle Sams Cider (04/04/2023)</v>
      </c>
      <c r="H8844" s="19"/>
    </row>
    <row r="8845">
      <c r="A8845" s="9"/>
      <c r="B8845" s="15"/>
      <c r="C8845" s="9">
        <f>IFERROR(__xludf.DUMMYFUNCTION("""COMPUTED_VALUE"""),45051.4238665856)</f>
        <v>45051.42387</v>
      </c>
      <c r="D8845" s="15">
        <f>IFERROR(__xludf.DUMMYFUNCTION("""COMPUTED_VALUE"""),1.023)</f>
        <v>1.023</v>
      </c>
      <c r="E8845" s="16">
        <f>IFERROR(__xludf.DUMMYFUNCTION("""COMPUTED_VALUE"""),65.0)</f>
        <v>65</v>
      </c>
      <c r="F8845" s="19" t="str">
        <f>IFERROR(__xludf.DUMMYFUNCTION("""COMPUTED_VALUE"""),"BLACK")</f>
        <v>BLACK</v>
      </c>
      <c r="G8845" s="20" t="str">
        <f>IFERROR(__xludf.DUMMYFUNCTION("""COMPUTED_VALUE"""),"Uncle Sams Cider (04/04/2023)")</f>
        <v>Uncle Sams Cider (04/04/2023)</v>
      </c>
      <c r="H8845" s="19"/>
    </row>
    <row r="8846">
      <c r="A8846" s="9"/>
      <c r="B8846" s="15"/>
      <c r="C8846" s="9">
        <f>IFERROR(__xludf.DUMMYFUNCTION("""COMPUTED_VALUE"""),45051.4134126388)</f>
        <v>45051.41341</v>
      </c>
      <c r="D8846" s="15">
        <f>IFERROR(__xludf.DUMMYFUNCTION("""COMPUTED_VALUE"""),1.023)</f>
        <v>1.023</v>
      </c>
      <c r="E8846" s="16">
        <f>IFERROR(__xludf.DUMMYFUNCTION("""COMPUTED_VALUE"""),65.0)</f>
        <v>65</v>
      </c>
      <c r="F8846" s="19" t="str">
        <f>IFERROR(__xludf.DUMMYFUNCTION("""COMPUTED_VALUE"""),"BLACK")</f>
        <v>BLACK</v>
      </c>
      <c r="G8846" s="20" t="str">
        <f>IFERROR(__xludf.DUMMYFUNCTION("""COMPUTED_VALUE"""),"Uncle Sams Cider (04/04/2023)")</f>
        <v>Uncle Sams Cider (04/04/2023)</v>
      </c>
      <c r="H8846" s="19"/>
    </row>
    <row r="8847">
      <c r="A8847" s="9"/>
      <c r="B8847" s="15"/>
      <c r="C8847" s="9">
        <f>IFERROR(__xludf.DUMMYFUNCTION("""COMPUTED_VALUE"""),45051.4029776851)</f>
        <v>45051.40298</v>
      </c>
      <c r="D8847" s="15">
        <f>IFERROR(__xludf.DUMMYFUNCTION("""COMPUTED_VALUE"""),1.023)</f>
        <v>1.023</v>
      </c>
      <c r="E8847" s="16">
        <f>IFERROR(__xludf.DUMMYFUNCTION("""COMPUTED_VALUE"""),64.0)</f>
        <v>64</v>
      </c>
      <c r="F8847" s="19" t="str">
        <f>IFERROR(__xludf.DUMMYFUNCTION("""COMPUTED_VALUE"""),"BLACK")</f>
        <v>BLACK</v>
      </c>
      <c r="G8847" s="20" t="str">
        <f>IFERROR(__xludf.DUMMYFUNCTION("""COMPUTED_VALUE"""),"Uncle Sams Cider (04/04/2023)")</f>
        <v>Uncle Sams Cider (04/04/2023)</v>
      </c>
      <c r="H8847" s="19"/>
    </row>
    <row r="8848">
      <c r="A8848" s="9"/>
      <c r="B8848" s="15"/>
      <c r="C8848" s="9">
        <f>IFERROR(__xludf.DUMMYFUNCTION("""COMPUTED_VALUE"""),45051.3925448263)</f>
        <v>45051.39254</v>
      </c>
      <c r="D8848" s="15">
        <f>IFERROR(__xludf.DUMMYFUNCTION("""COMPUTED_VALUE"""),1.023)</f>
        <v>1.023</v>
      </c>
      <c r="E8848" s="16">
        <f>IFERROR(__xludf.DUMMYFUNCTION("""COMPUTED_VALUE"""),64.0)</f>
        <v>64</v>
      </c>
      <c r="F8848" s="19" t="str">
        <f>IFERROR(__xludf.DUMMYFUNCTION("""COMPUTED_VALUE"""),"BLACK")</f>
        <v>BLACK</v>
      </c>
      <c r="G8848" s="20" t="str">
        <f>IFERROR(__xludf.DUMMYFUNCTION("""COMPUTED_VALUE"""),"Uncle Sams Cider (04/04/2023)")</f>
        <v>Uncle Sams Cider (04/04/2023)</v>
      </c>
      <c r="H8848" s="19"/>
    </row>
    <row r="8849">
      <c r="A8849" s="9"/>
      <c r="B8849" s="15"/>
      <c r="C8849" s="9">
        <f>IFERROR(__xludf.DUMMYFUNCTION("""COMPUTED_VALUE"""),45051.3821229861)</f>
        <v>45051.38212</v>
      </c>
      <c r="D8849" s="15">
        <f>IFERROR(__xludf.DUMMYFUNCTION("""COMPUTED_VALUE"""),1.024)</f>
        <v>1.024</v>
      </c>
      <c r="E8849" s="16">
        <f>IFERROR(__xludf.DUMMYFUNCTION("""COMPUTED_VALUE"""),63.0)</f>
        <v>63</v>
      </c>
      <c r="F8849" s="19" t="str">
        <f>IFERROR(__xludf.DUMMYFUNCTION("""COMPUTED_VALUE"""),"BLACK")</f>
        <v>BLACK</v>
      </c>
      <c r="G8849" s="20" t="str">
        <f>IFERROR(__xludf.DUMMYFUNCTION("""COMPUTED_VALUE"""),"Uncle Sams Cider (04/04/2023)")</f>
        <v>Uncle Sams Cider (04/04/2023)</v>
      </c>
      <c r="H8849" s="19"/>
    </row>
    <row r="8850">
      <c r="A8850" s="9"/>
      <c r="B8850" s="15"/>
      <c r="C8850" s="9">
        <f>IFERROR(__xludf.DUMMYFUNCTION("""COMPUTED_VALUE"""),45051.3717029861)</f>
        <v>45051.3717</v>
      </c>
      <c r="D8850" s="15">
        <f>IFERROR(__xludf.DUMMYFUNCTION("""COMPUTED_VALUE"""),1.023)</f>
        <v>1.023</v>
      </c>
      <c r="E8850" s="16">
        <f>IFERROR(__xludf.DUMMYFUNCTION("""COMPUTED_VALUE"""),63.0)</f>
        <v>63</v>
      </c>
      <c r="F8850" s="19" t="str">
        <f>IFERROR(__xludf.DUMMYFUNCTION("""COMPUTED_VALUE"""),"BLACK")</f>
        <v>BLACK</v>
      </c>
      <c r="G8850" s="20" t="str">
        <f>IFERROR(__xludf.DUMMYFUNCTION("""COMPUTED_VALUE"""),"Uncle Sams Cider (04/04/2023)")</f>
        <v>Uncle Sams Cider (04/04/2023)</v>
      </c>
      <c r="H8850" s="19"/>
    </row>
    <row r="8851">
      <c r="A8851" s="9"/>
      <c r="B8851" s="15"/>
      <c r="C8851" s="9">
        <f>IFERROR(__xludf.DUMMYFUNCTION("""COMPUTED_VALUE"""),45051.3612701388)</f>
        <v>45051.36127</v>
      </c>
      <c r="D8851" s="15">
        <f>IFERROR(__xludf.DUMMYFUNCTION("""COMPUTED_VALUE"""),1.023)</f>
        <v>1.023</v>
      </c>
      <c r="E8851" s="16">
        <f>IFERROR(__xludf.DUMMYFUNCTION("""COMPUTED_VALUE"""),63.0)</f>
        <v>63</v>
      </c>
      <c r="F8851" s="19" t="str">
        <f>IFERROR(__xludf.DUMMYFUNCTION("""COMPUTED_VALUE"""),"BLACK")</f>
        <v>BLACK</v>
      </c>
      <c r="G8851" s="20" t="str">
        <f>IFERROR(__xludf.DUMMYFUNCTION("""COMPUTED_VALUE"""),"Uncle Sams Cider (04/04/2023)")</f>
        <v>Uncle Sams Cider (04/04/2023)</v>
      </c>
      <c r="H8851" s="19"/>
    </row>
    <row r="8852">
      <c r="A8852" s="9"/>
      <c r="B8852" s="15"/>
      <c r="C8852" s="9">
        <f>IFERROR(__xludf.DUMMYFUNCTION("""COMPUTED_VALUE"""),45051.3508507638)</f>
        <v>45051.35085</v>
      </c>
      <c r="D8852" s="15">
        <f>IFERROR(__xludf.DUMMYFUNCTION("""COMPUTED_VALUE"""),1.023)</f>
        <v>1.023</v>
      </c>
      <c r="E8852" s="16">
        <f>IFERROR(__xludf.DUMMYFUNCTION("""COMPUTED_VALUE"""),62.0)</f>
        <v>62</v>
      </c>
      <c r="F8852" s="19" t="str">
        <f>IFERROR(__xludf.DUMMYFUNCTION("""COMPUTED_VALUE"""),"BLACK")</f>
        <v>BLACK</v>
      </c>
      <c r="G8852" s="20" t="str">
        <f>IFERROR(__xludf.DUMMYFUNCTION("""COMPUTED_VALUE"""),"Uncle Sams Cider (04/04/2023)")</f>
        <v>Uncle Sams Cider (04/04/2023)</v>
      </c>
      <c r="H8852" s="19"/>
    </row>
    <row r="8853">
      <c r="A8853" s="9"/>
      <c r="B8853" s="15"/>
      <c r="C8853" s="9">
        <f>IFERROR(__xludf.DUMMYFUNCTION("""COMPUTED_VALUE"""),45051.3404176851)</f>
        <v>45051.34042</v>
      </c>
      <c r="D8853" s="15">
        <f>IFERROR(__xludf.DUMMYFUNCTION("""COMPUTED_VALUE"""),1.023)</f>
        <v>1.023</v>
      </c>
      <c r="E8853" s="16">
        <f>IFERROR(__xludf.DUMMYFUNCTION("""COMPUTED_VALUE"""),62.0)</f>
        <v>62</v>
      </c>
      <c r="F8853" s="19" t="str">
        <f>IFERROR(__xludf.DUMMYFUNCTION("""COMPUTED_VALUE"""),"BLACK")</f>
        <v>BLACK</v>
      </c>
      <c r="G8853" s="20" t="str">
        <f>IFERROR(__xludf.DUMMYFUNCTION("""COMPUTED_VALUE"""),"Uncle Sams Cider (04/04/2023)")</f>
        <v>Uncle Sams Cider (04/04/2023)</v>
      </c>
      <c r="H8853" s="19"/>
    </row>
    <row r="8854">
      <c r="A8854" s="9"/>
      <c r="B8854" s="15"/>
      <c r="C8854" s="9">
        <f>IFERROR(__xludf.DUMMYFUNCTION("""COMPUTED_VALUE"""),45051.3299729513)</f>
        <v>45051.32997</v>
      </c>
      <c r="D8854" s="15">
        <f>IFERROR(__xludf.DUMMYFUNCTION("""COMPUTED_VALUE"""),1.023)</f>
        <v>1.023</v>
      </c>
      <c r="E8854" s="16">
        <f>IFERROR(__xludf.DUMMYFUNCTION("""COMPUTED_VALUE"""),62.0)</f>
        <v>62</v>
      </c>
      <c r="F8854" s="19" t="str">
        <f>IFERROR(__xludf.DUMMYFUNCTION("""COMPUTED_VALUE"""),"BLACK")</f>
        <v>BLACK</v>
      </c>
      <c r="G8854" s="20" t="str">
        <f>IFERROR(__xludf.DUMMYFUNCTION("""COMPUTED_VALUE"""),"Uncle Sams Cider (04/04/2023)")</f>
        <v>Uncle Sams Cider (04/04/2023)</v>
      </c>
      <c r="H8854" s="19"/>
    </row>
    <row r="8855">
      <c r="A8855" s="9"/>
      <c r="B8855" s="15"/>
      <c r="C8855" s="9">
        <f>IFERROR(__xludf.DUMMYFUNCTION("""COMPUTED_VALUE"""),45051.3195182754)</f>
        <v>45051.31952</v>
      </c>
      <c r="D8855" s="15">
        <f>IFERROR(__xludf.DUMMYFUNCTION("""COMPUTED_VALUE"""),1.024)</f>
        <v>1.024</v>
      </c>
      <c r="E8855" s="16">
        <f>IFERROR(__xludf.DUMMYFUNCTION("""COMPUTED_VALUE"""),62.0)</f>
        <v>62</v>
      </c>
      <c r="F8855" s="19" t="str">
        <f>IFERROR(__xludf.DUMMYFUNCTION("""COMPUTED_VALUE"""),"BLACK")</f>
        <v>BLACK</v>
      </c>
      <c r="G8855" s="20" t="str">
        <f>IFERROR(__xludf.DUMMYFUNCTION("""COMPUTED_VALUE"""),"Uncle Sams Cider (04/04/2023)")</f>
        <v>Uncle Sams Cider (04/04/2023)</v>
      </c>
      <c r="H8855" s="19"/>
    </row>
    <row r="8856">
      <c r="A8856" s="9"/>
      <c r="B8856" s="15"/>
      <c r="C8856" s="9">
        <f>IFERROR(__xludf.DUMMYFUNCTION("""COMPUTED_VALUE"""),45051.3090967013)</f>
        <v>45051.3091</v>
      </c>
      <c r="D8856" s="15">
        <f>IFERROR(__xludf.DUMMYFUNCTION("""COMPUTED_VALUE"""),1.023)</f>
        <v>1.023</v>
      </c>
      <c r="E8856" s="16">
        <f>IFERROR(__xludf.DUMMYFUNCTION("""COMPUTED_VALUE"""),62.0)</f>
        <v>62</v>
      </c>
      <c r="F8856" s="19" t="str">
        <f>IFERROR(__xludf.DUMMYFUNCTION("""COMPUTED_VALUE"""),"BLACK")</f>
        <v>BLACK</v>
      </c>
      <c r="G8856" s="20" t="str">
        <f>IFERROR(__xludf.DUMMYFUNCTION("""COMPUTED_VALUE"""),"Uncle Sams Cider (04/04/2023)")</f>
        <v>Uncle Sams Cider (04/04/2023)</v>
      </c>
      <c r="H8856" s="19"/>
    </row>
    <row r="8857">
      <c r="A8857" s="9"/>
      <c r="B8857" s="15"/>
      <c r="C8857" s="9">
        <f>IFERROR(__xludf.DUMMYFUNCTION("""COMPUTED_VALUE"""),45051.2986767013)</f>
        <v>45051.29868</v>
      </c>
      <c r="D8857" s="15">
        <f>IFERROR(__xludf.DUMMYFUNCTION("""COMPUTED_VALUE"""),1.023)</f>
        <v>1.023</v>
      </c>
      <c r="E8857" s="16">
        <f>IFERROR(__xludf.DUMMYFUNCTION("""COMPUTED_VALUE"""),62.0)</f>
        <v>62</v>
      </c>
      <c r="F8857" s="19" t="str">
        <f>IFERROR(__xludf.DUMMYFUNCTION("""COMPUTED_VALUE"""),"BLACK")</f>
        <v>BLACK</v>
      </c>
      <c r="G8857" s="20" t="str">
        <f>IFERROR(__xludf.DUMMYFUNCTION("""COMPUTED_VALUE"""),"Uncle Sams Cider (04/04/2023)")</f>
        <v>Uncle Sams Cider (04/04/2023)</v>
      </c>
      <c r="H8857" s="19"/>
    </row>
    <row r="8858">
      <c r="A8858" s="9"/>
      <c r="B8858" s="15"/>
      <c r="C8858" s="9">
        <f>IFERROR(__xludf.DUMMYFUNCTION("""COMPUTED_VALUE"""),45051.2882436689)</f>
        <v>45051.28824</v>
      </c>
      <c r="D8858" s="15">
        <f>IFERROR(__xludf.DUMMYFUNCTION("""COMPUTED_VALUE"""),1.023)</f>
        <v>1.023</v>
      </c>
      <c r="E8858" s="16">
        <f>IFERROR(__xludf.DUMMYFUNCTION("""COMPUTED_VALUE"""),62.0)</f>
        <v>62</v>
      </c>
      <c r="F8858" s="19" t="str">
        <f>IFERROR(__xludf.DUMMYFUNCTION("""COMPUTED_VALUE"""),"BLACK")</f>
        <v>BLACK</v>
      </c>
      <c r="G8858" s="20" t="str">
        <f>IFERROR(__xludf.DUMMYFUNCTION("""COMPUTED_VALUE"""),"Uncle Sams Cider (04/04/2023)")</f>
        <v>Uncle Sams Cider (04/04/2023)</v>
      </c>
      <c r="H8858" s="19"/>
    </row>
    <row r="8859">
      <c r="A8859" s="9"/>
      <c r="B8859" s="15"/>
      <c r="C8859" s="9">
        <f>IFERROR(__xludf.DUMMYFUNCTION("""COMPUTED_VALUE"""),45051.2778211921)</f>
        <v>45051.27782</v>
      </c>
      <c r="D8859" s="15">
        <f>IFERROR(__xludf.DUMMYFUNCTION("""COMPUTED_VALUE"""),1.024)</f>
        <v>1.024</v>
      </c>
      <c r="E8859" s="16">
        <f>IFERROR(__xludf.DUMMYFUNCTION("""COMPUTED_VALUE"""),62.0)</f>
        <v>62</v>
      </c>
      <c r="F8859" s="19" t="str">
        <f>IFERROR(__xludf.DUMMYFUNCTION("""COMPUTED_VALUE"""),"BLACK")</f>
        <v>BLACK</v>
      </c>
      <c r="G8859" s="20" t="str">
        <f>IFERROR(__xludf.DUMMYFUNCTION("""COMPUTED_VALUE"""),"Uncle Sams Cider (04/04/2023)")</f>
        <v>Uncle Sams Cider (04/04/2023)</v>
      </c>
      <c r="H8859" s="19"/>
    </row>
    <row r="8860">
      <c r="A8860" s="9"/>
      <c r="B8860" s="15"/>
      <c r="C8860" s="9">
        <f>IFERROR(__xludf.DUMMYFUNCTION("""COMPUTED_VALUE"""),45051.2674007638)</f>
        <v>45051.2674</v>
      </c>
      <c r="D8860" s="15">
        <f>IFERROR(__xludf.DUMMYFUNCTION("""COMPUTED_VALUE"""),1.024)</f>
        <v>1.024</v>
      </c>
      <c r="E8860" s="16">
        <f>IFERROR(__xludf.DUMMYFUNCTION("""COMPUTED_VALUE"""),62.0)</f>
        <v>62</v>
      </c>
      <c r="F8860" s="19" t="str">
        <f>IFERROR(__xludf.DUMMYFUNCTION("""COMPUTED_VALUE"""),"BLACK")</f>
        <v>BLACK</v>
      </c>
      <c r="G8860" s="20" t="str">
        <f>IFERROR(__xludf.DUMMYFUNCTION("""COMPUTED_VALUE"""),"Uncle Sams Cider (04/04/2023)")</f>
        <v>Uncle Sams Cider (04/04/2023)</v>
      </c>
      <c r="H8860" s="19"/>
    </row>
    <row r="8861">
      <c r="A8861" s="9"/>
      <c r="B8861" s="15"/>
      <c r="C8861" s="9">
        <f>IFERROR(__xludf.DUMMYFUNCTION("""COMPUTED_VALUE"""),45051.2569781481)</f>
        <v>45051.25698</v>
      </c>
      <c r="D8861" s="15">
        <f>IFERROR(__xludf.DUMMYFUNCTION("""COMPUTED_VALUE"""),1.023)</f>
        <v>1.023</v>
      </c>
      <c r="E8861" s="16">
        <f>IFERROR(__xludf.DUMMYFUNCTION("""COMPUTED_VALUE"""),62.0)</f>
        <v>62</v>
      </c>
      <c r="F8861" s="19" t="str">
        <f>IFERROR(__xludf.DUMMYFUNCTION("""COMPUTED_VALUE"""),"BLACK")</f>
        <v>BLACK</v>
      </c>
      <c r="G8861" s="20" t="str">
        <f>IFERROR(__xludf.DUMMYFUNCTION("""COMPUTED_VALUE"""),"Uncle Sams Cider (04/04/2023)")</f>
        <v>Uncle Sams Cider (04/04/2023)</v>
      </c>
      <c r="H8861" s="19"/>
    </row>
    <row r="8862">
      <c r="A8862" s="9"/>
      <c r="B8862" s="15"/>
      <c r="C8862" s="9">
        <f>IFERROR(__xludf.DUMMYFUNCTION("""COMPUTED_VALUE"""),45051.2465464467)</f>
        <v>45051.24655</v>
      </c>
      <c r="D8862" s="15">
        <f>IFERROR(__xludf.DUMMYFUNCTION("""COMPUTED_VALUE"""),1.023)</f>
        <v>1.023</v>
      </c>
      <c r="E8862" s="16">
        <f>IFERROR(__xludf.DUMMYFUNCTION("""COMPUTED_VALUE"""),62.0)</f>
        <v>62</v>
      </c>
      <c r="F8862" s="19" t="str">
        <f>IFERROR(__xludf.DUMMYFUNCTION("""COMPUTED_VALUE"""),"BLACK")</f>
        <v>BLACK</v>
      </c>
      <c r="G8862" s="20" t="str">
        <f>IFERROR(__xludf.DUMMYFUNCTION("""COMPUTED_VALUE"""),"Uncle Sams Cider (04/04/2023)")</f>
        <v>Uncle Sams Cider (04/04/2023)</v>
      </c>
      <c r="H8862" s="19"/>
    </row>
    <row r="8863">
      <c r="A8863" s="9"/>
      <c r="B8863" s="15"/>
      <c r="C8863" s="9">
        <f>IFERROR(__xludf.DUMMYFUNCTION("""COMPUTED_VALUE"""),45051.236114537)</f>
        <v>45051.23611</v>
      </c>
      <c r="D8863" s="15">
        <f>IFERROR(__xludf.DUMMYFUNCTION("""COMPUTED_VALUE"""),1.023)</f>
        <v>1.023</v>
      </c>
      <c r="E8863" s="16">
        <f>IFERROR(__xludf.DUMMYFUNCTION("""COMPUTED_VALUE"""),62.0)</f>
        <v>62</v>
      </c>
      <c r="F8863" s="19" t="str">
        <f>IFERROR(__xludf.DUMMYFUNCTION("""COMPUTED_VALUE"""),"BLACK")</f>
        <v>BLACK</v>
      </c>
      <c r="G8863" s="20" t="str">
        <f>IFERROR(__xludf.DUMMYFUNCTION("""COMPUTED_VALUE"""),"Uncle Sams Cider (04/04/2023)")</f>
        <v>Uncle Sams Cider (04/04/2023)</v>
      </c>
      <c r="H8863" s="19"/>
    </row>
    <row r="8864">
      <c r="A8864" s="9"/>
      <c r="B8864" s="15"/>
      <c r="C8864" s="9">
        <f>IFERROR(__xludf.DUMMYFUNCTION("""COMPUTED_VALUE"""),45051.2256929513)</f>
        <v>45051.22569</v>
      </c>
      <c r="D8864" s="15">
        <f>IFERROR(__xludf.DUMMYFUNCTION("""COMPUTED_VALUE"""),1.023)</f>
        <v>1.023</v>
      </c>
      <c r="E8864" s="16">
        <f>IFERROR(__xludf.DUMMYFUNCTION("""COMPUTED_VALUE"""),62.0)</f>
        <v>62</v>
      </c>
      <c r="F8864" s="19" t="str">
        <f>IFERROR(__xludf.DUMMYFUNCTION("""COMPUTED_VALUE"""),"BLACK")</f>
        <v>BLACK</v>
      </c>
      <c r="G8864" s="20" t="str">
        <f>IFERROR(__xludf.DUMMYFUNCTION("""COMPUTED_VALUE"""),"Uncle Sams Cider (04/04/2023)")</f>
        <v>Uncle Sams Cider (04/04/2023)</v>
      </c>
      <c r="H8864" s="19"/>
    </row>
    <row r="8865">
      <c r="A8865" s="9"/>
      <c r="B8865" s="15"/>
      <c r="C8865" s="9">
        <f>IFERROR(__xludf.DUMMYFUNCTION("""COMPUTED_VALUE"""),45051.2152617708)</f>
        <v>45051.21526</v>
      </c>
      <c r="D8865" s="15">
        <f>IFERROR(__xludf.DUMMYFUNCTION("""COMPUTED_VALUE"""),1.023)</f>
        <v>1.023</v>
      </c>
      <c r="E8865" s="16">
        <f>IFERROR(__xludf.DUMMYFUNCTION("""COMPUTED_VALUE"""),62.0)</f>
        <v>62</v>
      </c>
      <c r="F8865" s="19" t="str">
        <f>IFERROR(__xludf.DUMMYFUNCTION("""COMPUTED_VALUE"""),"BLACK")</f>
        <v>BLACK</v>
      </c>
      <c r="G8865" s="20" t="str">
        <f>IFERROR(__xludf.DUMMYFUNCTION("""COMPUTED_VALUE"""),"Uncle Sams Cider (04/04/2023)")</f>
        <v>Uncle Sams Cider (04/04/2023)</v>
      </c>
      <c r="H8865" s="19"/>
    </row>
    <row r="8866">
      <c r="A8866" s="9"/>
      <c r="B8866" s="15"/>
      <c r="C8866" s="9">
        <f>IFERROR(__xludf.DUMMYFUNCTION("""COMPUTED_VALUE"""),45051.2048401504)</f>
        <v>45051.20484</v>
      </c>
      <c r="D8866" s="15">
        <f>IFERROR(__xludf.DUMMYFUNCTION("""COMPUTED_VALUE"""),1.023)</f>
        <v>1.023</v>
      </c>
      <c r="E8866" s="16">
        <f>IFERROR(__xludf.DUMMYFUNCTION("""COMPUTED_VALUE"""),62.0)</f>
        <v>62</v>
      </c>
      <c r="F8866" s="19" t="str">
        <f>IFERROR(__xludf.DUMMYFUNCTION("""COMPUTED_VALUE"""),"BLACK")</f>
        <v>BLACK</v>
      </c>
      <c r="G8866" s="20" t="str">
        <f>IFERROR(__xludf.DUMMYFUNCTION("""COMPUTED_VALUE"""),"Uncle Sams Cider (04/04/2023)")</f>
        <v>Uncle Sams Cider (04/04/2023)</v>
      </c>
      <c r="H8866" s="19"/>
    </row>
    <row r="8867">
      <c r="A8867" s="9"/>
      <c r="B8867" s="15"/>
      <c r="C8867" s="9">
        <f>IFERROR(__xludf.DUMMYFUNCTION("""COMPUTED_VALUE"""),45051.1944197916)</f>
        <v>45051.19442</v>
      </c>
      <c r="D8867" s="15">
        <f>IFERROR(__xludf.DUMMYFUNCTION("""COMPUTED_VALUE"""),1.024)</f>
        <v>1.024</v>
      </c>
      <c r="E8867" s="16">
        <f>IFERROR(__xludf.DUMMYFUNCTION("""COMPUTED_VALUE"""),62.0)</f>
        <v>62</v>
      </c>
      <c r="F8867" s="19" t="str">
        <f>IFERROR(__xludf.DUMMYFUNCTION("""COMPUTED_VALUE"""),"BLACK")</f>
        <v>BLACK</v>
      </c>
      <c r="G8867" s="20" t="str">
        <f>IFERROR(__xludf.DUMMYFUNCTION("""COMPUTED_VALUE"""),"Uncle Sams Cider (04/04/2023)")</f>
        <v>Uncle Sams Cider (04/04/2023)</v>
      </c>
      <c r="H8867" s="19"/>
    </row>
    <row r="8868">
      <c r="A8868" s="9"/>
      <c r="B8868" s="15"/>
      <c r="C8868" s="9">
        <f>IFERROR(__xludf.DUMMYFUNCTION("""COMPUTED_VALUE"""),45051.1839999537)</f>
        <v>45051.184</v>
      </c>
      <c r="D8868" s="15">
        <f>IFERROR(__xludf.DUMMYFUNCTION("""COMPUTED_VALUE"""),1.024)</f>
        <v>1.024</v>
      </c>
      <c r="E8868" s="16">
        <f>IFERROR(__xludf.DUMMYFUNCTION("""COMPUTED_VALUE"""),62.0)</f>
        <v>62</v>
      </c>
      <c r="F8868" s="19" t="str">
        <f>IFERROR(__xludf.DUMMYFUNCTION("""COMPUTED_VALUE"""),"BLACK")</f>
        <v>BLACK</v>
      </c>
      <c r="G8868" s="20" t="str">
        <f>IFERROR(__xludf.DUMMYFUNCTION("""COMPUTED_VALUE"""),"Uncle Sams Cider (04/04/2023)")</f>
        <v>Uncle Sams Cider (04/04/2023)</v>
      </c>
      <c r="H8868" s="19"/>
    </row>
    <row r="8869">
      <c r="A8869" s="9"/>
      <c r="B8869" s="15"/>
      <c r="C8869" s="9">
        <f>IFERROR(__xludf.DUMMYFUNCTION("""COMPUTED_VALUE"""),45051.1735661226)</f>
        <v>45051.17357</v>
      </c>
      <c r="D8869" s="15">
        <f>IFERROR(__xludf.DUMMYFUNCTION("""COMPUTED_VALUE"""),1.024)</f>
        <v>1.024</v>
      </c>
      <c r="E8869" s="16">
        <f>IFERROR(__xludf.DUMMYFUNCTION("""COMPUTED_VALUE"""),62.0)</f>
        <v>62</v>
      </c>
      <c r="F8869" s="19" t="str">
        <f>IFERROR(__xludf.DUMMYFUNCTION("""COMPUTED_VALUE"""),"BLACK")</f>
        <v>BLACK</v>
      </c>
      <c r="G8869" s="20" t="str">
        <f>IFERROR(__xludf.DUMMYFUNCTION("""COMPUTED_VALUE"""),"Uncle Sams Cider (04/04/2023)")</f>
        <v>Uncle Sams Cider (04/04/2023)</v>
      </c>
      <c r="H8869" s="19"/>
    </row>
    <row r="8870">
      <c r="A8870" s="9"/>
      <c r="B8870" s="15"/>
      <c r="C8870" s="9">
        <f>IFERROR(__xludf.DUMMYFUNCTION("""COMPUTED_VALUE"""),45051.1631446875)</f>
        <v>45051.16314</v>
      </c>
      <c r="D8870" s="15">
        <f>IFERROR(__xludf.DUMMYFUNCTION("""COMPUTED_VALUE"""),1.024)</f>
        <v>1.024</v>
      </c>
      <c r="E8870" s="16">
        <f>IFERROR(__xludf.DUMMYFUNCTION("""COMPUTED_VALUE"""),62.0)</f>
        <v>62</v>
      </c>
      <c r="F8870" s="19" t="str">
        <f>IFERROR(__xludf.DUMMYFUNCTION("""COMPUTED_VALUE"""),"BLACK")</f>
        <v>BLACK</v>
      </c>
      <c r="G8870" s="20" t="str">
        <f>IFERROR(__xludf.DUMMYFUNCTION("""COMPUTED_VALUE"""),"Uncle Sams Cider (04/04/2023)")</f>
        <v>Uncle Sams Cider (04/04/2023)</v>
      </c>
      <c r="H8870" s="19"/>
    </row>
    <row r="8871">
      <c r="A8871" s="9"/>
      <c r="B8871" s="15"/>
      <c r="C8871" s="9">
        <f>IFERROR(__xludf.DUMMYFUNCTION("""COMPUTED_VALUE"""),45051.1527241319)</f>
        <v>45051.15272</v>
      </c>
      <c r="D8871" s="15">
        <f>IFERROR(__xludf.DUMMYFUNCTION("""COMPUTED_VALUE"""),1.024)</f>
        <v>1.024</v>
      </c>
      <c r="E8871" s="16">
        <f>IFERROR(__xludf.DUMMYFUNCTION("""COMPUTED_VALUE"""),62.0)</f>
        <v>62</v>
      </c>
      <c r="F8871" s="19" t="str">
        <f>IFERROR(__xludf.DUMMYFUNCTION("""COMPUTED_VALUE"""),"BLACK")</f>
        <v>BLACK</v>
      </c>
      <c r="G8871" s="20" t="str">
        <f>IFERROR(__xludf.DUMMYFUNCTION("""COMPUTED_VALUE"""),"Uncle Sams Cider (04/04/2023)")</f>
        <v>Uncle Sams Cider (04/04/2023)</v>
      </c>
      <c r="H8871" s="19"/>
    </row>
    <row r="8872">
      <c r="A8872" s="9"/>
      <c r="B8872" s="15"/>
      <c r="C8872" s="9">
        <f>IFERROR(__xludf.DUMMYFUNCTION("""COMPUTED_VALUE"""),45051.1422895486)</f>
        <v>45051.14229</v>
      </c>
      <c r="D8872" s="15">
        <f>IFERROR(__xludf.DUMMYFUNCTION("""COMPUTED_VALUE"""),1.024)</f>
        <v>1.024</v>
      </c>
      <c r="E8872" s="16">
        <f>IFERROR(__xludf.DUMMYFUNCTION("""COMPUTED_VALUE"""),62.0)</f>
        <v>62</v>
      </c>
      <c r="F8872" s="19" t="str">
        <f>IFERROR(__xludf.DUMMYFUNCTION("""COMPUTED_VALUE"""),"BLACK")</f>
        <v>BLACK</v>
      </c>
      <c r="G8872" s="20" t="str">
        <f>IFERROR(__xludf.DUMMYFUNCTION("""COMPUTED_VALUE"""),"Uncle Sams Cider (04/04/2023)")</f>
        <v>Uncle Sams Cider (04/04/2023)</v>
      </c>
      <c r="H8872" s="19"/>
    </row>
    <row r="8873">
      <c r="A8873" s="9"/>
      <c r="B8873" s="15"/>
      <c r="C8873" s="9">
        <f>IFERROR(__xludf.DUMMYFUNCTION("""COMPUTED_VALUE"""),45051.1318694213)</f>
        <v>45051.13187</v>
      </c>
      <c r="D8873" s="15">
        <f>IFERROR(__xludf.DUMMYFUNCTION("""COMPUTED_VALUE"""),1.024)</f>
        <v>1.024</v>
      </c>
      <c r="E8873" s="16">
        <f>IFERROR(__xludf.DUMMYFUNCTION("""COMPUTED_VALUE"""),62.0)</f>
        <v>62</v>
      </c>
      <c r="F8873" s="19" t="str">
        <f>IFERROR(__xludf.DUMMYFUNCTION("""COMPUTED_VALUE"""),"BLACK")</f>
        <v>BLACK</v>
      </c>
      <c r="G8873" s="20" t="str">
        <f>IFERROR(__xludf.DUMMYFUNCTION("""COMPUTED_VALUE"""),"Uncle Sams Cider (04/04/2023)")</f>
        <v>Uncle Sams Cider (04/04/2023)</v>
      </c>
      <c r="H8873" s="19"/>
    </row>
    <row r="8874">
      <c r="A8874" s="9"/>
      <c r="B8874" s="15"/>
      <c r="C8874" s="9">
        <f>IFERROR(__xludf.DUMMYFUNCTION("""COMPUTED_VALUE"""),45051.1214486458)</f>
        <v>45051.12145</v>
      </c>
      <c r="D8874" s="15">
        <f>IFERROR(__xludf.DUMMYFUNCTION("""COMPUTED_VALUE"""),1.024)</f>
        <v>1.024</v>
      </c>
      <c r="E8874" s="16">
        <f>IFERROR(__xludf.DUMMYFUNCTION("""COMPUTED_VALUE"""),62.0)</f>
        <v>62</v>
      </c>
      <c r="F8874" s="19" t="str">
        <f>IFERROR(__xludf.DUMMYFUNCTION("""COMPUTED_VALUE"""),"BLACK")</f>
        <v>BLACK</v>
      </c>
      <c r="G8874" s="20" t="str">
        <f>IFERROR(__xludf.DUMMYFUNCTION("""COMPUTED_VALUE"""),"Uncle Sams Cider (04/04/2023)")</f>
        <v>Uncle Sams Cider (04/04/2023)</v>
      </c>
      <c r="H8874" s="19"/>
    </row>
    <row r="8875">
      <c r="A8875" s="9"/>
      <c r="B8875" s="15"/>
      <c r="C8875" s="9">
        <f>IFERROR(__xludf.DUMMYFUNCTION("""COMPUTED_VALUE"""),45051.1110158449)</f>
        <v>45051.11102</v>
      </c>
      <c r="D8875" s="15">
        <f>IFERROR(__xludf.DUMMYFUNCTION("""COMPUTED_VALUE"""),1.024)</f>
        <v>1.024</v>
      </c>
      <c r="E8875" s="16">
        <f>IFERROR(__xludf.DUMMYFUNCTION("""COMPUTED_VALUE"""),62.0)</f>
        <v>62</v>
      </c>
      <c r="F8875" s="19" t="str">
        <f>IFERROR(__xludf.DUMMYFUNCTION("""COMPUTED_VALUE"""),"BLACK")</f>
        <v>BLACK</v>
      </c>
      <c r="G8875" s="20" t="str">
        <f>IFERROR(__xludf.DUMMYFUNCTION("""COMPUTED_VALUE"""),"Uncle Sams Cider (04/04/2023)")</f>
        <v>Uncle Sams Cider (04/04/2023)</v>
      </c>
      <c r="H8875" s="19"/>
    </row>
    <row r="8876">
      <c r="A8876" s="9"/>
      <c r="B8876" s="15"/>
      <c r="C8876" s="9">
        <f>IFERROR(__xludf.DUMMYFUNCTION("""COMPUTED_VALUE"""),45051.1005936689)</f>
        <v>45051.10059</v>
      </c>
      <c r="D8876" s="15">
        <f>IFERROR(__xludf.DUMMYFUNCTION("""COMPUTED_VALUE"""),1.024)</f>
        <v>1.024</v>
      </c>
      <c r="E8876" s="16">
        <f>IFERROR(__xludf.DUMMYFUNCTION("""COMPUTED_VALUE"""),62.0)</f>
        <v>62</v>
      </c>
      <c r="F8876" s="19" t="str">
        <f>IFERROR(__xludf.DUMMYFUNCTION("""COMPUTED_VALUE"""),"BLACK")</f>
        <v>BLACK</v>
      </c>
      <c r="G8876" s="20" t="str">
        <f>IFERROR(__xludf.DUMMYFUNCTION("""COMPUTED_VALUE"""),"Uncle Sams Cider (04/04/2023)")</f>
        <v>Uncle Sams Cider (04/04/2023)</v>
      </c>
      <c r="H8876" s="19"/>
    </row>
    <row r="8877">
      <c r="A8877" s="9"/>
      <c r="B8877" s="15"/>
      <c r="C8877" s="9">
        <f>IFERROR(__xludf.DUMMYFUNCTION("""COMPUTED_VALUE"""),45051.0901719097)</f>
        <v>45051.09017</v>
      </c>
      <c r="D8877" s="15">
        <f>IFERROR(__xludf.DUMMYFUNCTION("""COMPUTED_VALUE"""),1.023)</f>
        <v>1.023</v>
      </c>
      <c r="E8877" s="16">
        <f>IFERROR(__xludf.DUMMYFUNCTION("""COMPUTED_VALUE"""),62.0)</f>
        <v>62</v>
      </c>
      <c r="F8877" s="19" t="str">
        <f>IFERROR(__xludf.DUMMYFUNCTION("""COMPUTED_VALUE"""),"BLACK")</f>
        <v>BLACK</v>
      </c>
      <c r="G8877" s="20" t="str">
        <f>IFERROR(__xludf.DUMMYFUNCTION("""COMPUTED_VALUE"""),"Uncle Sams Cider (04/04/2023)")</f>
        <v>Uncle Sams Cider (04/04/2023)</v>
      </c>
      <c r="H8877" s="19"/>
    </row>
    <row r="8878">
      <c r="A8878" s="9"/>
      <c r="B8878" s="15"/>
      <c r="C8878" s="9">
        <f>IFERROR(__xludf.DUMMYFUNCTION("""COMPUTED_VALUE"""),45051.0797153356)</f>
        <v>45051.07972</v>
      </c>
      <c r="D8878" s="15">
        <f>IFERROR(__xludf.DUMMYFUNCTION("""COMPUTED_VALUE"""),1.024)</f>
        <v>1.024</v>
      </c>
      <c r="E8878" s="16">
        <f>IFERROR(__xludf.DUMMYFUNCTION("""COMPUTED_VALUE"""),62.0)</f>
        <v>62</v>
      </c>
      <c r="F8878" s="19" t="str">
        <f>IFERROR(__xludf.DUMMYFUNCTION("""COMPUTED_VALUE"""),"BLACK")</f>
        <v>BLACK</v>
      </c>
      <c r="G8878" s="20" t="str">
        <f>IFERROR(__xludf.DUMMYFUNCTION("""COMPUTED_VALUE"""),"Uncle Sams Cider (04/04/2023)")</f>
        <v>Uncle Sams Cider (04/04/2023)</v>
      </c>
      <c r="H8878" s="19"/>
    </row>
    <row r="8879">
      <c r="A8879" s="9"/>
      <c r="B8879" s="15"/>
      <c r="C8879" s="9">
        <f>IFERROR(__xludf.DUMMYFUNCTION("""COMPUTED_VALUE"""),45051.0692934027)</f>
        <v>45051.06929</v>
      </c>
      <c r="D8879" s="15">
        <f>IFERROR(__xludf.DUMMYFUNCTION("""COMPUTED_VALUE"""),1.024)</f>
        <v>1.024</v>
      </c>
      <c r="E8879" s="16">
        <f>IFERROR(__xludf.DUMMYFUNCTION("""COMPUTED_VALUE"""),62.0)</f>
        <v>62</v>
      </c>
      <c r="F8879" s="19" t="str">
        <f>IFERROR(__xludf.DUMMYFUNCTION("""COMPUTED_VALUE"""),"BLACK")</f>
        <v>BLACK</v>
      </c>
      <c r="G8879" s="20" t="str">
        <f>IFERROR(__xludf.DUMMYFUNCTION("""COMPUTED_VALUE"""),"Uncle Sams Cider (04/04/2023)")</f>
        <v>Uncle Sams Cider (04/04/2023)</v>
      </c>
      <c r="H8879" s="19"/>
    </row>
    <row r="8880">
      <c r="A8880" s="9"/>
      <c r="B8880" s="15"/>
      <c r="C8880" s="9">
        <f>IFERROR(__xludf.DUMMYFUNCTION("""COMPUTED_VALUE"""),45051.058861412)</f>
        <v>45051.05886</v>
      </c>
      <c r="D8880" s="15">
        <f>IFERROR(__xludf.DUMMYFUNCTION("""COMPUTED_VALUE"""),1.024)</f>
        <v>1.024</v>
      </c>
      <c r="E8880" s="16">
        <f>IFERROR(__xludf.DUMMYFUNCTION("""COMPUTED_VALUE"""),62.0)</f>
        <v>62</v>
      </c>
      <c r="F8880" s="19" t="str">
        <f>IFERROR(__xludf.DUMMYFUNCTION("""COMPUTED_VALUE"""),"BLACK")</f>
        <v>BLACK</v>
      </c>
      <c r="G8880" s="20" t="str">
        <f>IFERROR(__xludf.DUMMYFUNCTION("""COMPUTED_VALUE"""),"Uncle Sams Cider (04/04/2023)")</f>
        <v>Uncle Sams Cider (04/04/2023)</v>
      </c>
      <c r="H8880" s="19"/>
    </row>
    <row r="8881">
      <c r="A8881" s="9"/>
      <c r="B8881" s="15"/>
      <c r="C8881" s="9">
        <f>IFERROR(__xludf.DUMMYFUNCTION("""COMPUTED_VALUE"""),45051.0484287384)</f>
        <v>45051.04843</v>
      </c>
      <c r="D8881" s="15">
        <f>IFERROR(__xludf.DUMMYFUNCTION("""COMPUTED_VALUE"""),1.024)</f>
        <v>1.024</v>
      </c>
      <c r="E8881" s="16">
        <f>IFERROR(__xludf.DUMMYFUNCTION("""COMPUTED_VALUE"""),62.0)</f>
        <v>62</v>
      </c>
      <c r="F8881" s="19" t="str">
        <f>IFERROR(__xludf.DUMMYFUNCTION("""COMPUTED_VALUE"""),"BLACK")</f>
        <v>BLACK</v>
      </c>
      <c r="G8881" s="20" t="str">
        <f>IFERROR(__xludf.DUMMYFUNCTION("""COMPUTED_VALUE"""),"Uncle Sams Cider (04/04/2023)")</f>
        <v>Uncle Sams Cider (04/04/2023)</v>
      </c>
      <c r="H8881" s="19"/>
    </row>
    <row r="8882">
      <c r="A8882" s="9"/>
      <c r="B8882" s="15"/>
      <c r="C8882" s="9">
        <f>IFERROR(__xludf.DUMMYFUNCTION("""COMPUTED_VALUE"""),45051.0380085879)</f>
        <v>45051.03801</v>
      </c>
      <c r="D8882" s="15">
        <f>IFERROR(__xludf.DUMMYFUNCTION("""COMPUTED_VALUE"""),1.024)</f>
        <v>1.024</v>
      </c>
      <c r="E8882" s="16">
        <f>IFERROR(__xludf.DUMMYFUNCTION("""COMPUTED_VALUE"""),62.0)</f>
        <v>62</v>
      </c>
      <c r="F8882" s="19" t="str">
        <f>IFERROR(__xludf.DUMMYFUNCTION("""COMPUTED_VALUE"""),"BLACK")</f>
        <v>BLACK</v>
      </c>
      <c r="G8882" s="20" t="str">
        <f>IFERROR(__xludf.DUMMYFUNCTION("""COMPUTED_VALUE"""),"Uncle Sams Cider (04/04/2023)")</f>
        <v>Uncle Sams Cider (04/04/2023)</v>
      </c>
      <c r="H8882" s="19"/>
    </row>
    <row r="8883">
      <c r="A8883" s="9"/>
      <c r="B8883" s="15"/>
      <c r="C8883" s="9">
        <f>IFERROR(__xludf.DUMMYFUNCTION("""COMPUTED_VALUE"""),45051.0275882986)</f>
        <v>45051.02759</v>
      </c>
      <c r="D8883" s="15">
        <f>IFERROR(__xludf.DUMMYFUNCTION("""COMPUTED_VALUE"""),1.024)</f>
        <v>1.024</v>
      </c>
      <c r="E8883" s="16">
        <f>IFERROR(__xludf.DUMMYFUNCTION("""COMPUTED_VALUE"""),62.0)</f>
        <v>62</v>
      </c>
      <c r="F8883" s="19" t="str">
        <f>IFERROR(__xludf.DUMMYFUNCTION("""COMPUTED_VALUE"""),"BLACK")</f>
        <v>BLACK</v>
      </c>
      <c r="G8883" s="20" t="str">
        <f>IFERROR(__xludf.DUMMYFUNCTION("""COMPUTED_VALUE"""),"Uncle Sams Cider (04/04/2023)")</f>
        <v>Uncle Sams Cider (04/04/2023)</v>
      </c>
      <c r="H8883" s="19"/>
    </row>
    <row r="8884">
      <c r="A8884" s="9"/>
      <c r="B8884" s="15"/>
      <c r="C8884" s="9">
        <f>IFERROR(__xludf.DUMMYFUNCTION("""COMPUTED_VALUE"""),45051.0171671412)</f>
        <v>45051.01717</v>
      </c>
      <c r="D8884" s="15">
        <f>IFERROR(__xludf.DUMMYFUNCTION("""COMPUTED_VALUE"""),1.024)</f>
        <v>1.024</v>
      </c>
      <c r="E8884" s="16">
        <f>IFERROR(__xludf.DUMMYFUNCTION("""COMPUTED_VALUE"""),62.0)</f>
        <v>62</v>
      </c>
      <c r="F8884" s="19" t="str">
        <f>IFERROR(__xludf.DUMMYFUNCTION("""COMPUTED_VALUE"""),"BLACK")</f>
        <v>BLACK</v>
      </c>
      <c r="G8884" s="20" t="str">
        <f>IFERROR(__xludf.DUMMYFUNCTION("""COMPUTED_VALUE"""),"Uncle Sams Cider (04/04/2023)")</f>
        <v>Uncle Sams Cider (04/04/2023)</v>
      </c>
      <c r="H8884" s="19"/>
    </row>
    <row r="8885">
      <c r="A8885" s="9"/>
      <c r="B8885" s="15"/>
      <c r="C8885" s="9">
        <f>IFERROR(__xludf.DUMMYFUNCTION("""COMPUTED_VALUE"""),45051.0067346296)</f>
        <v>45051.00673</v>
      </c>
      <c r="D8885" s="15">
        <f>IFERROR(__xludf.DUMMYFUNCTION("""COMPUTED_VALUE"""),1.024)</f>
        <v>1.024</v>
      </c>
      <c r="E8885" s="16">
        <f>IFERROR(__xludf.DUMMYFUNCTION("""COMPUTED_VALUE"""),62.0)</f>
        <v>62</v>
      </c>
      <c r="F8885" s="19" t="str">
        <f>IFERROR(__xludf.DUMMYFUNCTION("""COMPUTED_VALUE"""),"BLACK")</f>
        <v>BLACK</v>
      </c>
      <c r="G8885" s="20" t="str">
        <f>IFERROR(__xludf.DUMMYFUNCTION("""COMPUTED_VALUE"""),"Uncle Sams Cider (04/04/2023)")</f>
        <v>Uncle Sams Cider (04/04/2023)</v>
      </c>
      <c r="H8885" s="19"/>
    </row>
    <row r="8886">
      <c r="A8886" s="9"/>
      <c r="B8886" s="15"/>
      <c r="C8886" s="9">
        <f>IFERROR(__xludf.DUMMYFUNCTION("""COMPUTED_VALUE"""),45050.9963112268)</f>
        <v>45050.99631</v>
      </c>
      <c r="D8886" s="15">
        <f>IFERROR(__xludf.DUMMYFUNCTION("""COMPUTED_VALUE"""),1.024)</f>
        <v>1.024</v>
      </c>
      <c r="E8886" s="16">
        <f>IFERROR(__xludf.DUMMYFUNCTION("""COMPUTED_VALUE"""),62.0)</f>
        <v>62</v>
      </c>
      <c r="F8886" s="19" t="str">
        <f>IFERROR(__xludf.DUMMYFUNCTION("""COMPUTED_VALUE"""),"BLACK")</f>
        <v>BLACK</v>
      </c>
      <c r="G8886" s="20" t="str">
        <f>IFERROR(__xludf.DUMMYFUNCTION("""COMPUTED_VALUE"""),"Uncle Sams Cider (04/04/2023)")</f>
        <v>Uncle Sams Cider (04/04/2023)</v>
      </c>
      <c r="H8886" s="19"/>
    </row>
    <row r="8887">
      <c r="A8887" s="9"/>
      <c r="B8887" s="15"/>
      <c r="C8887" s="9">
        <f>IFERROR(__xludf.DUMMYFUNCTION("""COMPUTED_VALUE"""),45050.9858893865)</f>
        <v>45050.98589</v>
      </c>
      <c r="D8887" s="15">
        <f>IFERROR(__xludf.DUMMYFUNCTION("""COMPUTED_VALUE"""),1.024)</f>
        <v>1.024</v>
      </c>
      <c r="E8887" s="16">
        <f>IFERROR(__xludf.DUMMYFUNCTION("""COMPUTED_VALUE"""),62.0)</f>
        <v>62</v>
      </c>
      <c r="F8887" s="19" t="str">
        <f>IFERROR(__xludf.DUMMYFUNCTION("""COMPUTED_VALUE"""),"BLACK")</f>
        <v>BLACK</v>
      </c>
      <c r="G8887" s="20" t="str">
        <f>IFERROR(__xludf.DUMMYFUNCTION("""COMPUTED_VALUE"""),"Uncle Sams Cider (04/04/2023)")</f>
        <v>Uncle Sams Cider (04/04/2023)</v>
      </c>
      <c r="H8887" s="19"/>
    </row>
    <row r="8888">
      <c r="A8888" s="9"/>
      <c r="B8888" s="15"/>
      <c r="C8888" s="9">
        <f>IFERROR(__xludf.DUMMYFUNCTION("""COMPUTED_VALUE"""),45050.9754675)</f>
        <v>45050.97547</v>
      </c>
      <c r="D8888" s="15">
        <f>IFERROR(__xludf.DUMMYFUNCTION("""COMPUTED_VALUE"""),1.024)</f>
        <v>1.024</v>
      </c>
      <c r="E8888" s="16">
        <f>IFERROR(__xludf.DUMMYFUNCTION("""COMPUTED_VALUE"""),62.0)</f>
        <v>62</v>
      </c>
      <c r="F8888" s="19" t="str">
        <f>IFERROR(__xludf.DUMMYFUNCTION("""COMPUTED_VALUE"""),"BLACK")</f>
        <v>BLACK</v>
      </c>
      <c r="G8888" s="20" t="str">
        <f>IFERROR(__xludf.DUMMYFUNCTION("""COMPUTED_VALUE"""),"Uncle Sams Cider (04/04/2023)")</f>
        <v>Uncle Sams Cider (04/04/2023)</v>
      </c>
      <c r="H8888" s="19"/>
    </row>
    <row r="8889">
      <c r="A8889" s="9"/>
      <c r="B8889" s="15"/>
      <c r="C8889" s="9">
        <f>IFERROR(__xludf.DUMMYFUNCTION("""COMPUTED_VALUE"""),45050.9650352546)</f>
        <v>45050.96504</v>
      </c>
      <c r="D8889" s="15">
        <f>IFERROR(__xludf.DUMMYFUNCTION("""COMPUTED_VALUE"""),1.024)</f>
        <v>1.024</v>
      </c>
      <c r="E8889" s="16">
        <f>IFERROR(__xludf.DUMMYFUNCTION("""COMPUTED_VALUE"""),62.0)</f>
        <v>62</v>
      </c>
      <c r="F8889" s="19" t="str">
        <f>IFERROR(__xludf.DUMMYFUNCTION("""COMPUTED_VALUE"""),"BLACK")</f>
        <v>BLACK</v>
      </c>
      <c r="G8889" s="20" t="str">
        <f>IFERROR(__xludf.DUMMYFUNCTION("""COMPUTED_VALUE"""),"Uncle Sams Cider (04/04/2023)")</f>
        <v>Uncle Sams Cider (04/04/2023)</v>
      </c>
      <c r="H8889" s="19"/>
    </row>
    <row r="8890">
      <c r="A8890" s="9"/>
      <c r="B8890" s="15"/>
      <c r="C8890" s="9">
        <f>IFERROR(__xludf.DUMMYFUNCTION("""COMPUTED_VALUE"""),45050.9546018518)</f>
        <v>45050.9546</v>
      </c>
      <c r="D8890" s="15">
        <f>IFERROR(__xludf.DUMMYFUNCTION("""COMPUTED_VALUE"""),1.024)</f>
        <v>1.024</v>
      </c>
      <c r="E8890" s="16">
        <f>IFERROR(__xludf.DUMMYFUNCTION("""COMPUTED_VALUE"""),62.0)</f>
        <v>62</v>
      </c>
      <c r="F8890" s="19" t="str">
        <f>IFERROR(__xludf.DUMMYFUNCTION("""COMPUTED_VALUE"""),"BLACK")</f>
        <v>BLACK</v>
      </c>
      <c r="G8890" s="20" t="str">
        <f>IFERROR(__xludf.DUMMYFUNCTION("""COMPUTED_VALUE"""),"Uncle Sams Cider (04/04/2023)")</f>
        <v>Uncle Sams Cider (04/04/2023)</v>
      </c>
      <c r="H8890" s="19"/>
    </row>
    <row r="8891">
      <c r="A8891" s="9"/>
      <c r="B8891" s="15"/>
      <c r="C8891" s="9">
        <f>IFERROR(__xludf.DUMMYFUNCTION("""COMPUTED_VALUE"""),45050.9441801273)</f>
        <v>45050.94418</v>
      </c>
      <c r="D8891" s="15">
        <f>IFERROR(__xludf.DUMMYFUNCTION("""COMPUTED_VALUE"""),1.024)</f>
        <v>1.024</v>
      </c>
      <c r="E8891" s="16">
        <f>IFERROR(__xludf.DUMMYFUNCTION("""COMPUTED_VALUE"""),62.0)</f>
        <v>62</v>
      </c>
      <c r="F8891" s="19" t="str">
        <f>IFERROR(__xludf.DUMMYFUNCTION("""COMPUTED_VALUE"""),"BLACK")</f>
        <v>BLACK</v>
      </c>
      <c r="G8891" s="20" t="str">
        <f>IFERROR(__xludf.DUMMYFUNCTION("""COMPUTED_VALUE"""),"Uncle Sams Cider (04/04/2023)")</f>
        <v>Uncle Sams Cider (04/04/2023)</v>
      </c>
      <c r="H8891" s="19"/>
    </row>
    <row r="8892">
      <c r="A8892" s="9"/>
      <c r="B8892" s="15"/>
      <c r="C8892" s="9">
        <f>IFERROR(__xludf.DUMMYFUNCTION("""COMPUTED_VALUE"""),45050.9337581134)</f>
        <v>45050.93376</v>
      </c>
      <c r="D8892" s="15">
        <f>IFERROR(__xludf.DUMMYFUNCTION("""COMPUTED_VALUE"""),1.024)</f>
        <v>1.024</v>
      </c>
      <c r="E8892" s="16">
        <f>IFERROR(__xludf.DUMMYFUNCTION("""COMPUTED_VALUE"""),62.0)</f>
        <v>62</v>
      </c>
      <c r="F8892" s="19" t="str">
        <f>IFERROR(__xludf.DUMMYFUNCTION("""COMPUTED_VALUE"""),"BLACK")</f>
        <v>BLACK</v>
      </c>
      <c r="G8892" s="20" t="str">
        <f>IFERROR(__xludf.DUMMYFUNCTION("""COMPUTED_VALUE"""),"Uncle Sams Cider (04/04/2023)")</f>
        <v>Uncle Sams Cider (04/04/2023)</v>
      </c>
      <c r="H8892" s="19"/>
    </row>
    <row r="8893">
      <c r="A8893" s="9"/>
      <c r="B8893" s="15"/>
      <c r="C8893" s="9">
        <f>IFERROR(__xludf.DUMMYFUNCTION("""COMPUTED_VALUE"""),45050.923325)</f>
        <v>45050.92333</v>
      </c>
      <c r="D8893" s="15">
        <f>IFERROR(__xludf.DUMMYFUNCTION("""COMPUTED_VALUE"""),1.024)</f>
        <v>1.024</v>
      </c>
      <c r="E8893" s="16">
        <f>IFERROR(__xludf.DUMMYFUNCTION("""COMPUTED_VALUE"""),62.0)</f>
        <v>62</v>
      </c>
      <c r="F8893" s="19" t="str">
        <f>IFERROR(__xludf.DUMMYFUNCTION("""COMPUTED_VALUE"""),"BLACK")</f>
        <v>BLACK</v>
      </c>
      <c r="G8893" s="20" t="str">
        <f>IFERROR(__xludf.DUMMYFUNCTION("""COMPUTED_VALUE"""),"Uncle Sams Cider (04/04/2023)")</f>
        <v>Uncle Sams Cider (04/04/2023)</v>
      </c>
      <c r="H8893" s="19"/>
    </row>
    <row r="8894">
      <c r="A8894" s="9"/>
      <c r="B8894" s="15"/>
      <c r="C8894" s="9">
        <f>IFERROR(__xludf.DUMMYFUNCTION("""COMPUTED_VALUE"""),45050.9129050463)</f>
        <v>45050.91291</v>
      </c>
      <c r="D8894" s="15">
        <f>IFERROR(__xludf.DUMMYFUNCTION("""COMPUTED_VALUE"""),1.024)</f>
        <v>1.024</v>
      </c>
      <c r="E8894" s="16">
        <f>IFERROR(__xludf.DUMMYFUNCTION("""COMPUTED_VALUE"""),62.0)</f>
        <v>62</v>
      </c>
      <c r="F8894" s="19" t="str">
        <f>IFERROR(__xludf.DUMMYFUNCTION("""COMPUTED_VALUE"""),"BLACK")</f>
        <v>BLACK</v>
      </c>
      <c r="G8894" s="20" t="str">
        <f>IFERROR(__xludf.DUMMYFUNCTION("""COMPUTED_VALUE"""),"Uncle Sams Cider (04/04/2023)")</f>
        <v>Uncle Sams Cider (04/04/2023)</v>
      </c>
      <c r="H8894" s="19"/>
    </row>
    <row r="8895">
      <c r="A8895" s="9"/>
      <c r="B8895" s="15"/>
      <c r="C8895" s="9">
        <f>IFERROR(__xludf.DUMMYFUNCTION("""COMPUTED_VALUE"""),45050.9024837268)</f>
        <v>45050.90248</v>
      </c>
      <c r="D8895" s="15">
        <f>IFERROR(__xludf.DUMMYFUNCTION("""COMPUTED_VALUE"""),1.024)</f>
        <v>1.024</v>
      </c>
      <c r="E8895" s="16">
        <f>IFERROR(__xludf.DUMMYFUNCTION("""COMPUTED_VALUE"""),62.0)</f>
        <v>62</v>
      </c>
      <c r="F8895" s="19" t="str">
        <f>IFERROR(__xludf.DUMMYFUNCTION("""COMPUTED_VALUE"""),"BLACK")</f>
        <v>BLACK</v>
      </c>
      <c r="G8895" s="20" t="str">
        <f>IFERROR(__xludf.DUMMYFUNCTION("""COMPUTED_VALUE"""),"Uncle Sams Cider (04/04/2023)")</f>
        <v>Uncle Sams Cider (04/04/2023)</v>
      </c>
      <c r="H8895" s="19"/>
    </row>
    <row r="8896">
      <c r="A8896" s="9"/>
      <c r="B8896" s="15"/>
      <c r="C8896" s="9">
        <f>IFERROR(__xludf.DUMMYFUNCTION("""COMPUTED_VALUE"""),45050.8920499074)</f>
        <v>45050.89205</v>
      </c>
      <c r="D8896" s="15">
        <f>IFERROR(__xludf.DUMMYFUNCTION("""COMPUTED_VALUE"""),1.024)</f>
        <v>1.024</v>
      </c>
      <c r="E8896" s="16">
        <f>IFERROR(__xludf.DUMMYFUNCTION("""COMPUTED_VALUE"""),62.0)</f>
        <v>62</v>
      </c>
      <c r="F8896" s="19" t="str">
        <f>IFERROR(__xludf.DUMMYFUNCTION("""COMPUTED_VALUE"""),"BLACK")</f>
        <v>BLACK</v>
      </c>
      <c r="G8896" s="20" t="str">
        <f>IFERROR(__xludf.DUMMYFUNCTION("""COMPUTED_VALUE"""),"Uncle Sams Cider (04/04/2023)")</f>
        <v>Uncle Sams Cider (04/04/2023)</v>
      </c>
      <c r="H8896" s="19"/>
    </row>
    <row r="8897">
      <c r="A8897" s="9"/>
      <c r="B8897" s="15"/>
      <c r="C8897" s="9">
        <f>IFERROR(__xludf.DUMMYFUNCTION("""COMPUTED_VALUE"""),45050.8815929051)</f>
        <v>45050.88159</v>
      </c>
      <c r="D8897" s="15">
        <f>IFERROR(__xludf.DUMMYFUNCTION("""COMPUTED_VALUE"""),1.024)</f>
        <v>1.024</v>
      </c>
      <c r="E8897" s="16">
        <f>IFERROR(__xludf.DUMMYFUNCTION("""COMPUTED_VALUE"""),62.0)</f>
        <v>62</v>
      </c>
      <c r="F8897" s="19" t="str">
        <f>IFERROR(__xludf.DUMMYFUNCTION("""COMPUTED_VALUE"""),"BLACK")</f>
        <v>BLACK</v>
      </c>
      <c r="G8897" s="20" t="str">
        <f>IFERROR(__xludf.DUMMYFUNCTION("""COMPUTED_VALUE"""),"Uncle Sams Cider (04/04/2023)")</f>
        <v>Uncle Sams Cider (04/04/2023)</v>
      </c>
      <c r="H8897" s="19"/>
    </row>
    <row r="8898">
      <c r="A8898" s="9"/>
      <c r="B8898" s="15"/>
      <c r="C8898" s="9">
        <f>IFERROR(__xludf.DUMMYFUNCTION("""COMPUTED_VALUE"""),45050.8711732754)</f>
        <v>45050.87117</v>
      </c>
      <c r="D8898" s="15">
        <f>IFERROR(__xludf.DUMMYFUNCTION("""COMPUTED_VALUE"""),1.024)</f>
        <v>1.024</v>
      </c>
      <c r="E8898" s="16">
        <f>IFERROR(__xludf.DUMMYFUNCTION("""COMPUTED_VALUE"""),62.0)</f>
        <v>62</v>
      </c>
      <c r="F8898" s="19" t="str">
        <f>IFERROR(__xludf.DUMMYFUNCTION("""COMPUTED_VALUE"""),"BLACK")</f>
        <v>BLACK</v>
      </c>
      <c r="G8898" s="20" t="str">
        <f>IFERROR(__xludf.DUMMYFUNCTION("""COMPUTED_VALUE"""),"Uncle Sams Cider (04/04/2023)")</f>
        <v>Uncle Sams Cider (04/04/2023)</v>
      </c>
      <c r="H8898" s="19"/>
    </row>
    <row r="8899">
      <c r="A8899" s="9"/>
      <c r="B8899" s="15"/>
      <c r="C8899" s="9">
        <f>IFERROR(__xludf.DUMMYFUNCTION("""COMPUTED_VALUE"""),45050.86072875)</f>
        <v>45050.86073</v>
      </c>
      <c r="D8899" s="15">
        <f>IFERROR(__xludf.DUMMYFUNCTION("""COMPUTED_VALUE"""),1.024)</f>
        <v>1.024</v>
      </c>
      <c r="E8899" s="16">
        <f>IFERROR(__xludf.DUMMYFUNCTION("""COMPUTED_VALUE"""),62.0)</f>
        <v>62</v>
      </c>
      <c r="F8899" s="19" t="str">
        <f>IFERROR(__xludf.DUMMYFUNCTION("""COMPUTED_VALUE"""),"BLACK")</f>
        <v>BLACK</v>
      </c>
      <c r="G8899" s="20" t="str">
        <f>IFERROR(__xludf.DUMMYFUNCTION("""COMPUTED_VALUE"""),"Uncle Sams Cider (04/04/2023)")</f>
        <v>Uncle Sams Cider (04/04/2023)</v>
      </c>
      <c r="H8899" s="19"/>
    </row>
    <row r="8900">
      <c r="A8900" s="9"/>
      <c r="B8900" s="15"/>
      <c r="C8900" s="9">
        <f>IFERROR(__xludf.DUMMYFUNCTION("""COMPUTED_VALUE"""),45050.8503093981)</f>
        <v>45050.85031</v>
      </c>
      <c r="D8900" s="15">
        <f>IFERROR(__xludf.DUMMYFUNCTION("""COMPUTED_VALUE"""),1.024)</f>
        <v>1.024</v>
      </c>
      <c r="E8900" s="16">
        <f>IFERROR(__xludf.DUMMYFUNCTION("""COMPUTED_VALUE"""),62.0)</f>
        <v>62</v>
      </c>
      <c r="F8900" s="19" t="str">
        <f>IFERROR(__xludf.DUMMYFUNCTION("""COMPUTED_VALUE"""),"BLACK")</f>
        <v>BLACK</v>
      </c>
      <c r="G8900" s="20" t="str">
        <f>IFERROR(__xludf.DUMMYFUNCTION("""COMPUTED_VALUE"""),"Uncle Sams Cider (04/04/2023)")</f>
        <v>Uncle Sams Cider (04/04/2023)</v>
      </c>
      <c r="H8900" s="19"/>
    </row>
    <row r="8901">
      <c r="A8901" s="9"/>
      <c r="B8901" s="15"/>
      <c r="C8901" s="9">
        <f>IFERROR(__xludf.DUMMYFUNCTION("""COMPUTED_VALUE"""),45050.8398748495)</f>
        <v>45050.83987</v>
      </c>
      <c r="D8901" s="15">
        <f>IFERROR(__xludf.DUMMYFUNCTION("""COMPUTED_VALUE"""),1.024)</f>
        <v>1.024</v>
      </c>
      <c r="E8901" s="16">
        <f>IFERROR(__xludf.DUMMYFUNCTION("""COMPUTED_VALUE"""),62.0)</f>
        <v>62</v>
      </c>
      <c r="F8901" s="19" t="str">
        <f>IFERROR(__xludf.DUMMYFUNCTION("""COMPUTED_VALUE"""),"BLACK")</f>
        <v>BLACK</v>
      </c>
      <c r="G8901" s="20" t="str">
        <f>IFERROR(__xludf.DUMMYFUNCTION("""COMPUTED_VALUE"""),"Uncle Sams Cider (04/04/2023)")</f>
        <v>Uncle Sams Cider (04/04/2023)</v>
      </c>
      <c r="H8901" s="19"/>
    </row>
    <row r="8902">
      <c r="A8902" s="9"/>
      <c r="B8902" s="15"/>
      <c r="C8902" s="9">
        <f>IFERROR(__xludf.DUMMYFUNCTION("""COMPUTED_VALUE"""),45050.8294538425)</f>
        <v>45050.82945</v>
      </c>
      <c r="D8902" s="15">
        <f>IFERROR(__xludf.DUMMYFUNCTION("""COMPUTED_VALUE"""),1.024)</f>
        <v>1.024</v>
      </c>
      <c r="E8902" s="16">
        <f>IFERROR(__xludf.DUMMYFUNCTION("""COMPUTED_VALUE"""),62.0)</f>
        <v>62</v>
      </c>
      <c r="F8902" s="19" t="str">
        <f>IFERROR(__xludf.DUMMYFUNCTION("""COMPUTED_VALUE"""),"BLACK")</f>
        <v>BLACK</v>
      </c>
      <c r="G8902" s="20" t="str">
        <f>IFERROR(__xludf.DUMMYFUNCTION("""COMPUTED_VALUE"""),"Uncle Sams Cider (04/04/2023)")</f>
        <v>Uncle Sams Cider (04/04/2023)</v>
      </c>
      <c r="H8902" s="19"/>
    </row>
    <row r="8903">
      <c r="A8903" s="9"/>
      <c r="B8903" s="15"/>
      <c r="C8903" s="9">
        <f>IFERROR(__xludf.DUMMYFUNCTION("""COMPUTED_VALUE"""),45050.8190334722)</f>
        <v>45050.81903</v>
      </c>
      <c r="D8903" s="15">
        <f>IFERROR(__xludf.DUMMYFUNCTION("""COMPUTED_VALUE"""),1.024)</f>
        <v>1.024</v>
      </c>
      <c r="E8903" s="16">
        <f>IFERROR(__xludf.DUMMYFUNCTION("""COMPUTED_VALUE"""),62.0)</f>
        <v>62</v>
      </c>
      <c r="F8903" s="19" t="str">
        <f>IFERROR(__xludf.DUMMYFUNCTION("""COMPUTED_VALUE"""),"BLACK")</f>
        <v>BLACK</v>
      </c>
      <c r="G8903" s="20" t="str">
        <f>IFERROR(__xludf.DUMMYFUNCTION("""COMPUTED_VALUE"""),"Uncle Sams Cider (04/04/2023)")</f>
        <v>Uncle Sams Cider (04/04/2023)</v>
      </c>
      <c r="H8903" s="19"/>
    </row>
    <row r="8904">
      <c r="A8904" s="9"/>
      <c r="B8904" s="15"/>
      <c r="C8904" s="9">
        <f>IFERROR(__xludf.DUMMYFUNCTION("""COMPUTED_VALUE"""),45050.8085987268)</f>
        <v>45050.8086</v>
      </c>
      <c r="D8904" s="15">
        <f>IFERROR(__xludf.DUMMYFUNCTION("""COMPUTED_VALUE"""),1.024)</f>
        <v>1.024</v>
      </c>
      <c r="E8904" s="16">
        <f>IFERROR(__xludf.DUMMYFUNCTION("""COMPUTED_VALUE"""),62.0)</f>
        <v>62</v>
      </c>
      <c r="F8904" s="19" t="str">
        <f>IFERROR(__xludf.DUMMYFUNCTION("""COMPUTED_VALUE"""),"BLACK")</f>
        <v>BLACK</v>
      </c>
      <c r="G8904" s="20" t="str">
        <f>IFERROR(__xludf.DUMMYFUNCTION("""COMPUTED_VALUE"""),"Uncle Sams Cider (04/04/2023)")</f>
        <v>Uncle Sams Cider (04/04/2023)</v>
      </c>
      <c r="H8904" s="19"/>
    </row>
    <row r="8905">
      <c r="A8905" s="9"/>
      <c r="B8905" s="15"/>
      <c r="C8905" s="9">
        <f>IFERROR(__xludf.DUMMYFUNCTION("""COMPUTED_VALUE"""),45050.7981421412)</f>
        <v>45050.79814</v>
      </c>
      <c r="D8905" s="15">
        <f>IFERROR(__xludf.DUMMYFUNCTION("""COMPUTED_VALUE"""),1.024)</f>
        <v>1.024</v>
      </c>
      <c r="E8905" s="16">
        <f>IFERROR(__xludf.DUMMYFUNCTION("""COMPUTED_VALUE"""),62.0)</f>
        <v>62</v>
      </c>
      <c r="F8905" s="19" t="str">
        <f>IFERROR(__xludf.DUMMYFUNCTION("""COMPUTED_VALUE"""),"BLACK")</f>
        <v>BLACK</v>
      </c>
      <c r="G8905" s="20" t="str">
        <f>IFERROR(__xludf.DUMMYFUNCTION("""COMPUTED_VALUE"""),"Uncle Sams Cider (04/04/2023)")</f>
        <v>Uncle Sams Cider (04/04/2023)</v>
      </c>
      <c r="H8905" s="19"/>
    </row>
    <row r="8906">
      <c r="A8906" s="9"/>
      <c r="B8906" s="15"/>
      <c r="C8906" s="9">
        <f>IFERROR(__xludf.DUMMYFUNCTION("""COMPUTED_VALUE"""),45050.7877083217)</f>
        <v>45050.78771</v>
      </c>
      <c r="D8906" s="15">
        <f>IFERROR(__xludf.DUMMYFUNCTION("""COMPUTED_VALUE"""),1.024)</f>
        <v>1.024</v>
      </c>
      <c r="E8906" s="16">
        <f>IFERROR(__xludf.DUMMYFUNCTION("""COMPUTED_VALUE"""),62.0)</f>
        <v>62</v>
      </c>
      <c r="F8906" s="19" t="str">
        <f>IFERROR(__xludf.DUMMYFUNCTION("""COMPUTED_VALUE"""),"BLACK")</f>
        <v>BLACK</v>
      </c>
      <c r="G8906" s="20" t="str">
        <f>IFERROR(__xludf.DUMMYFUNCTION("""COMPUTED_VALUE"""),"Uncle Sams Cider (04/04/2023)")</f>
        <v>Uncle Sams Cider (04/04/2023)</v>
      </c>
      <c r="H8906" s="19"/>
    </row>
    <row r="8907">
      <c r="A8907" s="9"/>
      <c r="B8907" s="15"/>
      <c r="C8907" s="9">
        <f>IFERROR(__xludf.DUMMYFUNCTION("""COMPUTED_VALUE"""),45050.7772852777)</f>
        <v>45050.77729</v>
      </c>
      <c r="D8907" s="15">
        <f>IFERROR(__xludf.DUMMYFUNCTION("""COMPUTED_VALUE"""),1.024)</f>
        <v>1.024</v>
      </c>
      <c r="E8907" s="16">
        <f>IFERROR(__xludf.DUMMYFUNCTION("""COMPUTED_VALUE"""),62.0)</f>
        <v>62</v>
      </c>
      <c r="F8907" s="19" t="str">
        <f>IFERROR(__xludf.DUMMYFUNCTION("""COMPUTED_VALUE"""),"BLACK")</f>
        <v>BLACK</v>
      </c>
      <c r="G8907" s="20" t="str">
        <f>IFERROR(__xludf.DUMMYFUNCTION("""COMPUTED_VALUE"""),"Uncle Sams Cider (04/04/2023)")</f>
        <v>Uncle Sams Cider (04/04/2023)</v>
      </c>
      <c r="H8907" s="19"/>
    </row>
    <row r="8908">
      <c r="A8908" s="9"/>
      <c r="B8908" s="15"/>
      <c r="C8908" s="9">
        <f>IFERROR(__xludf.DUMMYFUNCTION("""COMPUTED_VALUE"""),45050.7668632176)</f>
        <v>45050.76686</v>
      </c>
      <c r="D8908" s="15">
        <f>IFERROR(__xludf.DUMMYFUNCTION("""COMPUTED_VALUE"""),1.024)</f>
        <v>1.024</v>
      </c>
      <c r="E8908" s="16">
        <f>IFERROR(__xludf.DUMMYFUNCTION("""COMPUTED_VALUE"""),62.0)</f>
        <v>62</v>
      </c>
      <c r="F8908" s="19" t="str">
        <f>IFERROR(__xludf.DUMMYFUNCTION("""COMPUTED_VALUE"""),"BLACK")</f>
        <v>BLACK</v>
      </c>
      <c r="G8908" s="20" t="str">
        <f>IFERROR(__xludf.DUMMYFUNCTION("""COMPUTED_VALUE"""),"Uncle Sams Cider (04/04/2023)")</f>
        <v>Uncle Sams Cider (04/04/2023)</v>
      </c>
      <c r="H8908" s="19"/>
    </row>
    <row r="8909">
      <c r="A8909" s="9"/>
      <c r="B8909" s="15"/>
      <c r="C8909" s="9">
        <f>IFERROR(__xludf.DUMMYFUNCTION("""COMPUTED_VALUE"""),45050.7564069213)</f>
        <v>45050.75641</v>
      </c>
      <c r="D8909" s="15">
        <f>IFERROR(__xludf.DUMMYFUNCTION("""COMPUTED_VALUE"""),1.024)</f>
        <v>1.024</v>
      </c>
      <c r="E8909" s="16">
        <f>IFERROR(__xludf.DUMMYFUNCTION("""COMPUTED_VALUE"""),62.0)</f>
        <v>62</v>
      </c>
      <c r="F8909" s="19" t="str">
        <f>IFERROR(__xludf.DUMMYFUNCTION("""COMPUTED_VALUE"""),"BLACK")</f>
        <v>BLACK</v>
      </c>
      <c r="G8909" s="20" t="str">
        <f>IFERROR(__xludf.DUMMYFUNCTION("""COMPUTED_VALUE"""),"Uncle Sams Cider (04/04/2023)")</f>
        <v>Uncle Sams Cider (04/04/2023)</v>
      </c>
      <c r="H8909" s="19"/>
    </row>
    <row r="8910">
      <c r="A8910" s="9"/>
      <c r="B8910" s="15"/>
      <c r="C8910" s="9">
        <f>IFERROR(__xludf.DUMMYFUNCTION("""COMPUTED_VALUE"""),45050.7459868287)</f>
        <v>45050.74599</v>
      </c>
      <c r="D8910" s="15">
        <f>IFERROR(__xludf.DUMMYFUNCTION("""COMPUTED_VALUE"""),1.024)</f>
        <v>1.024</v>
      </c>
      <c r="E8910" s="16">
        <f>IFERROR(__xludf.DUMMYFUNCTION("""COMPUTED_VALUE"""),62.0)</f>
        <v>62</v>
      </c>
      <c r="F8910" s="19" t="str">
        <f>IFERROR(__xludf.DUMMYFUNCTION("""COMPUTED_VALUE"""),"BLACK")</f>
        <v>BLACK</v>
      </c>
      <c r="G8910" s="20" t="str">
        <f>IFERROR(__xludf.DUMMYFUNCTION("""COMPUTED_VALUE"""),"Uncle Sams Cider (04/04/2023)")</f>
        <v>Uncle Sams Cider (04/04/2023)</v>
      </c>
      <c r="H8910" s="19"/>
    </row>
    <row r="8911">
      <c r="A8911" s="9"/>
      <c r="B8911" s="15"/>
      <c r="C8911" s="9">
        <f>IFERROR(__xludf.DUMMYFUNCTION("""COMPUTED_VALUE"""),45050.7355529976)</f>
        <v>45050.73555</v>
      </c>
      <c r="D8911" s="15">
        <f>IFERROR(__xludf.DUMMYFUNCTION("""COMPUTED_VALUE"""),1.024)</f>
        <v>1.024</v>
      </c>
      <c r="E8911" s="16">
        <f>IFERROR(__xludf.DUMMYFUNCTION("""COMPUTED_VALUE"""),62.0)</f>
        <v>62</v>
      </c>
      <c r="F8911" s="19" t="str">
        <f>IFERROR(__xludf.DUMMYFUNCTION("""COMPUTED_VALUE"""),"BLACK")</f>
        <v>BLACK</v>
      </c>
      <c r="G8911" s="20" t="str">
        <f>IFERROR(__xludf.DUMMYFUNCTION("""COMPUTED_VALUE"""),"Uncle Sams Cider (04/04/2023)")</f>
        <v>Uncle Sams Cider (04/04/2023)</v>
      </c>
      <c r="H8911" s="19"/>
    </row>
    <row r="8912">
      <c r="A8912" s="9"/>
      <c r="B8912" s="15"/>
      <c r="C8912" s="9">
        <f>IFERROR(__xludf.DUMMYFUNCTION("""COMPUTED_VALUE"""),45050.7251320486)</f>
        <v>45050.72513</v>
      </c>
      <c r="D8912" s="15">
        <f>IFERROR(__xludf.DUMMYFUNCTION("""COMPUTED_VALUE"""),1.024)</f>
        <v>1.024</v>
      </c>
      <c r="E8912" s="16">
        <f>IFERROR(__xludf.DUMMYFUNCTION("""COMPUTED_VALUE"""),62.0)</f>
        <v>62</v>
      </c>
      <c r="F8912" s="19" t="str">
        <f>IFERROR(__xludf.DUMMYFUNCTION("""COMPUTED_VALUE"""),"BLACK")</f>
        <v>BLACK</v>
      </c>
      <c r="G8912" s="20" t="str">
        <f>IFERROR(__xludf.DUMMYFUNCTION("""COMPUTED_VALUE"""),"Uncle Sams Cider (04/04/2023)")</f>
        <v>Uncle Sams Cider (04/04/2023)</v>
      </c>
      <c r="H8912" s="19"/>
    </row>
    <row r="8913">
      <c r="A8913" s="9"/>
      <c r="B8913" s="15"/>
      <c r="C8913" s="9">
        <f>IFERROR(__xludf.DUMMYFUNCTION("""COMPUTED_VALUE"""),45050.7147113078)</f>
        <v>45050.71471</v>
      </c>
      <c r="D8913" s="15">
        <f>IFERROR(__xludf.DUMMYFUNCTION("""COMPUTED_VALUE"""),1.024)</f>
        <v>1.024</v>
      </c>
      <c r="E8913" s="16">
        <f>IFERROR(__xludf.DUMMYFUNCTION("""COMPUTED_VALUE"""),62.0)</f>
        <v>62</v>
      </c>
      <c r="F8913" s="19" t="str">
        <f>IFERROR(__xludf.DUMMYFUNCTION("""COMPUTED_VALUE"""),"BLACK")</f>
        <v>BLACK</v>
      </c>
      <c r="G8913" s="20" t="str">
        <f>IFERROR(__xludf.DUMMYFUNCTION("""COMPUTED_VALUE"""),"Uncle Sams Cider (04/04/2023)")</f>
        <v>Uncle Sams Cider (04/04/2023)</v>
      </c>
      <c r="H8913" s="19"/>
    </row>
    <row r="8914">
      <c r="A8914" s="9"/>
      <c r="B8914" s="15"/>
      <c r="C8914" s="9">
        <f>IFERROR(__xludf.DUMMYFUNCTION("""COMPUTED_VALUE"""),45050.7042780092)</f>
        <v>45050.70428</v>
      </c>
      <c r="D8914" s="15">
        <f>IFERROR(__xludf.DUMMYFUNCTION("""COMPUTED_VALUE"""),1.024)</f>
        <v>1.024</v>
      </c>
      <c r="E8914" s="16">
        <f>IFERROR(__xludf.DUMMYFUNCTION("""COMPUTED_VALUE"""),62.0)</f>
        <v>62</v>
      </c>
      <c r="F8914" s="19" t="str">
        <f>IFERROR(__xludf.DUMMYFUNCTION("""COMPUTED_VALUE"""),"BLACK")</f>
        <v>BLACK</v>
      </c>
      <c r="G8914" s="20" t="str">
        <f>IFERROR(__xludf.DUMMYFUNCTION("""COMPUTED_VALUE"""),"Uncle Sams Cider (04/04/2023)")</f>
        <v>Uncle Sams Cider (04/04/2023)</v>
      </c>
      <c r="H8914" s="19"/>
    </row>
    <row r="8915">
      <c r="A8915" s="9"/>
      <c r="B8915" s="15"/>
      <c r="C8915" s="9">
        <f>IFERROR(__xludf.DUMMYFUNCTION("""COMPUTED_VALUE"""),45050.6938557407)</f>
        <v>45050.69386</v>
      </c>
      <c r="D8915" s="15">
        <f>IFERROR(__xludf.DUMMYFUNCTION("""COMPUTED_VALUE"""),1.024)</f>
        <v>1.024</v>
      </c>
      <c r="E8915" s="16">
        <f>IFERROR(__xludf.DUMMYFUNCTION("""COMPUTED_VALUE"""),62.0)</f>
        <v>62</v>
      </c>
      <c r="F8915" s="19" t="str">
        <f>IFERROR(__xludf.DUMMYFUNCTION("""COMPUTED_VALUE"""),"BLACK")</f>
        <v>BLACK</v>
      </c>
      <c r="G8915" s="20" t="str">
        <f>IFERROR(__xludf.DUMMYFUNCTION("""COMPUTED_VALUE"""),"Uncle Sams Cider (04/04/2023)")</f>
        <v>Uncle Sams Cider (04/04/2023)</v>
      </c>
      <c r="H8915" s="19"/>
    </row>
    <row r="8916">
      <c r="A8916" s="9"/>
      <c r="B8916" s="15"/>
      <c r="C8916" s="9">
        <f>IFERROR(__xludf.DUMMYFUNCTION("""COMPUTED_VALUE"""),45050.6834341666)</f>
        <v>45050.68343</v>
      </c>
      <c r="D8916" s="15">
        <f>IFERROR(__xludf.DUMMYFUNCTION("""COMPUTED_VALUE"""),1.024)</f>
        <v>1.024</v>
      </c>
      <c r="E8916" s="16">
        <f>IFERROR(__xludf.DUMMYFUNCTION("""COMPUTED_VALUE"""),62.0)</f>
        <v>62</v>
      </c>
      <c r="F8916" s="19" t="str">
        <f>IFERROR(__xludf.DUMMYFUNCTION("""COMPUTED_VALUE"""),"BLACK")</f>
        <v>BLACK</v>
      </c>
      <c r="G8916" s="20" t="str">
        <f>IFERROR(__xludf.DUMMYFUNCTION("""COMPUTED_VALUE"""),"Uncle Sams Cider (04/04/2023)")</f>
        <v>Uncle Sams Cider (04/04/2023)</v>
      </c>
      <c r="H8916" s="19"/>
    </row>
    <row r="8917">
      <c r="A8917" s="9"/>
      <c r="B8917" s="15"/>
      <c r="C8917" s="9">
        <f>IFERROR(__xludf.DUMMYFUNCTION("""COMPUTED_VALUE"""),45050.6730140625)</f>
        <v>45050.67301</v>
      </c>
      <c r="D8917" s="15">
        <f>IFERROR(__xludf.DUMMYFUNCTION("""COMPUTED_VALUE"""),1.024)</f>
        <v>1.024</v>
      </c>
      <c r="E8917" s="16">
        <f>IFERROR(__xludf.DUMMYFUNCTION("""COMPUTED_VALUE"""),62.0)</f>
        <v>62</v>
      </c>
      <c r="F8917" s="19" t="str">
        <f>IFERROR(__xludf.DUMMYFUNCTION("""COMPUTED_VALUE"""),"BLACK")</f>
        <v>BLACK</v>
      </c>
      <c r="G8917" s="20" t="str">
        <f>IFERROR(__xludf.DUMMYFUNCTION("""COMPUTED_VALUE"""),"Uncle Sams Cider (04/04/2023)")</f>
        <v>Uncle Sams Cider (04/04/2023)</v>
      </c>
      <c r="H8917" s="19"/>
    </row>
    <row r="8918">
      <c r="A8918" s="9"/>
      <c r="B8918" s="15"/>
      <c r="C8918" s="9">
        <f>IFERROR(__xludf.DUMMYFUNCTION("""COMPUTED_VALUE"""),45050.6625927314)</f>
        <v>45050.66259</v>
      </c>
      <c r="D8918" s="15">
        <f>IFERROR(__xludf.DUMMYFUNCTION("""COMPUTED_VALUE"""),1.024)</f>
        <v>1.024</v>
      </c>
      <c r="E8918" s="16">
        <f>IFERROR(__xludf.DUMMYFUNCTION("""COMPUTED_VALUE"""),62.0)</f>
        <v>62</v>
      </c>
      <c r="F8918" s="19" t="str">
        <f>IFERROR(__xludf.DUMMYFUNCTION("""COMPUTED_VALUE"""),"BLACK")</f>
        <v>BLACK</v>
      </c>
      <c r="G8918" s="20" t="str">
        <f>IFERROR(__xludf.DUMMYFUNCTION("""COMPUTED_VALUE"""),"Uncle Sams Cider (04/04/2023)")</f>
        <v>Uncle Sams Cider (04/04/2023)</v>
      </c>
      <c r="H8918" s="19"/>
    </row>
    <row r="8919">
      <c r="A8919" s="9"/>
      <c r="B8919" s="15"/>
      <c r="C8919" s="9">
        <f>IFERROR(__xludf.DUMMYFUNCTION("""COMPUTED_VALUE"""),45050.6521725)</f>
        <v>45050.65217</v>
      </c>
      <c r="D8919" s="15">
        <f>IFERROR(__xludf.DUMMYFUNCTION("""COMPUTED_VALUE"""),1.024)</f>
        <v>1.024</v>
      </c>
      <c r="E8919" s="16">
        <f>IFERROR(__xludf.DUMMYFUNCTION("""COMPUTED_VALUE"""),62.0)</f>
        <v>62</v>
      </c>
      <c r="F8919" s="19" t="str">
        <f>IFERROR(__xludf.DUMMYFUNCTION("""COMPUTED_VALUE"""),"BLACK")</f>
        <v>BLACK</v>
      </c>
      <c r="G8919" s="20" t="str">
        <f>IFERROR(__xludf.DUMMYFUNCTION("""COMPUTED_VALUE"""),"Uncle Sams Cider (04/04/2023)")</f>
        <v>Uncle Sams Cider (04/04/2023)</v>
      </c>
      <c r="H8919" s="19"/>
    </row>
    <row r="8920">
      <c r="A8920" s="9"/>
      <c r="B8920" s="15"/>
      <c r="C8920" s="9">
        <f>IFERROR(__xludf.DUMMYFUNCTION("""COMPUTED_VALUE"""),45050.6417526736)</f>
        <v>45050.64175</v>
      </c>
      <c r="D8920" s="15">
        <f>IFERROR(__xludf.DUMMYFUNCTION("""COMPUTED_VALUE"""),1.024)</f>
        <v>1.024</v>
      </c>
      <c r="E8920" s="16">
        <f>IFERROR(__xludf.DUMMYFUNCTION("""COMPUTED_VALUE"""),62.0)</f>
        <v>62</v>
      </c>
      <c r="F8920" s="19" t="str">
        <f>IFERROR(__xludf.DUMMYFUNCTION("""COMPUTED_VALUE"""),"BLACK")</f>
        <v>BLACK</v>
      </c>
      <c r="G8920" s="20" t="str">
        <f>IFERROR(__xludf.DUMMYFUNCTION("""COMPUTED_VALUE"""),"Uncle Sams Cider (04/04/2023)")</f>
        <v>Uncle Sams Cider (04/04/2023)</v>
      </c>
      <c r="H8920" s="19"/>
    </row>
    <row r="8921">
      <c r="A8921" s="9"/>
      <c r="B8921" s="15"/>
      <c r="C8921" s="9">
        <f>IFERROR(__xludf.DUMMYFUNCTION("""COMPUTED_VALUE"""),45050.6313312384)</f>
        <v>45050.63133</v>
      </c>
      <c r="D8921" s="15">
        <f>IFERROR(__xludf.DUMMYFUNCTION("""COMPUTED_VALUE"""),1.024)</f>
        <v>1.024</v>
      </c>
      <c r="E8921" s="16">
        <f>IFERROR(__xludf.DUMMYFUNCTION("""COMPUTED_VALUE"""),62.0)</f>
        <v>62</v>
      </c>
      <c r="F8921" s="19" t="str">
        <f>IFERROR(__xludf.DUMMYFUNCTION("""COMPUTED_VALUE"""),"BLACK")</f>
        <v>BLACK</v>
      </c>
      <c r="G8921" s="20" t="str">
        <f>IFERROR(__xludf.DUMMYFUNCTION("""COMPUTED_VALUE"""),"Uncle Sams Cider (04/04/2023)")</f>
        <v>Uncle Sams Cider (04/04/2023)</v>
      </c>
      <c r="H8921" s="19"/>
    </row>
    <row r="8922">
      <c r="A8922" s="9"/>
      <c r="B8922" s="15"/>
      <c r="C8922" s="9">
        <f>IFERROR(__xludf.DUMMYFUNCTION("""COMPUTED_VALUE"""),45050.6208636458)</f>
        <v>45050.62086</v>
      </c>
      <c r="D8922" s="15">
        <f>IFERROR(__xludf.DUMMYFUNCTION("""COMPUTED_VALUE"""),1.024)</f>
        <v>1.024</v>
      </c>
      <c r="E8922" s="16">
        <f>IFERROR(__xludf.DUMMYFUNCTION("""COMPUTED_VALUE"""),62.0)</f>
        <v>62</v>
      </c>
      <c r="F8922" s="19" t="str">
        <f>IFERROR(__xludf.DUMMYFUNCTION("""COMPUTED_VALUE"""),"BLACK")</f>
        <v>BLACK</v>
      </c>
      <c r="G8922" s="20" t="str">
        <f>IFERROR(__xludf.DUMMYFUNCTION("""COMPUTED_VALUE"""),"Uncle Sams Cider (04/04/2023)")</f>
        <v>Uncle Sams Cider (04/04/2023)</v>
      </c>
      <c r="H8922" s="19"/>
    </row>
    <row r="8923">
      <c r="A8923" s="9"/>
      <c r="B8923" s="15"/>
      <c r="C8923" s="9">
        <f>IFERROR(__xludf.DUMMYFUNCTION("""COMPUTED_VALUE"""),45050.6104298495)</f>
        <v>45050.61043</v>
      </c>
      <c r="D8923" s="15">
        <f>IFERROR(__xludf.DUMMYFUNCTION("""COMPUTED_VALUE"""),1.024)</f>
        <v>1.024</v>
      </c>
      <c r="E8923" s="16">
        <f>IFERROR(__xludf.DUMMYFUNCTION("""COMPUTED_VALUE"""),62.0)</f>
        <v>62</v>
      </c>
      <c r="F8923" s="19" t="str">
        <f>IFERROR(__xludf.DUMMYFUNCTION("""COMPUTED_VALUE"""),"BLACK")</f>
        <v>BLACK</v>
      </c>
      <c r="G8923" s="20" t="str">
        <f>IFERROR(__xludf.DUMMYFUNCTION("""COMPUTED_VALUE"""),"Uncle Sams Cider (04/04/2023)")</f>
        <v>Uncle Sams Cider (04/04/2023)</v>
      </c>
      <c r="H8923" s="19"/>
    </row>
    <row r="8924">
      <c r="A8924" s="9"/>
      <c r="B8924" s="15"/>
      <c r="C8924" s="9">
        <f>IFERROR(__xludf.DUMMYFUNCTION("""COMPUTED_VALUE"""),45050.600008287)</f>
        <v>45050.60001</v>
      </c>
      <c r="D8924" s="15">
        <f>IFERROR(__xludf.DUMMYFUNCTION("""COMPUTED_VALUE"""),1.024)</f>
        <v>1.024</v>
      </c>
      <c r="E8924" s="16">
        <f>IFERROR(__xludf.DUMMYFUNCTION("""COMPUTED_VALUE"""),62.0)</f>
        <v>62</v>
      </c>
      <c r="F8924" s="19" t="str">
        <f>IFERROR(__xludf.DUMMYFUNCTION("""COMPUTED_VALUE"""),"BLACK")</f>
        <v>BLACK</v>
      </c>
      <c r="G8924" s="20" t="str">
        <f>IFERROR(__xludf.DUMMYFUNCTION("""COMPUTED_VALUE"""),"Uncle Sams Cider (04/04/2023)")</f>
        <v>Uncle Sams Cider (04/04/2023)</v>
      </c>
      <c r="H8924" s="19"/>
    </row>
    <row r="8925">
      <c r="A8925" s="9"/>
      <c r="B8925" s="15"/>
      <c r="C8925" s="9">
        <f>IFERROR(__xludf.DUMMYFUNCTION("""COMPUTED_VALUE"""),45050.5895745601)</f>
        <v>45050.58957</v>
      </c>
      <c r="D8925" s="15">
        <f>IFERROR(__xludf.DUMMYFUNCTION("""COMPUTED_VALUE"""),1.024)</f>
        <v>1.024</v>
      </c>
      <c r="E8925" s="16">
        <f>IFERROR(__xludf.DUMMYFUNCTION("""COMPUTED_VALUE"""),62.0)</f>
        <v>62</v>
      </c>
      <c r="F8925" s="19" t="str">
        <f>IFERROR(__xludf.DUMMYFUNCTION("""COMPUTED_VALUE"""),"BLACK")</f>
        <v>BLACK</v>
      </c>
      <c r="G8925" s="20" t="str">
        <f>IFERROR(__xludf.DUMMYFUNCTION("""COMPUTED_VALUE"""),"Uncle Sams Cider (04/04/2023)")</f>
        <v>Uncle Sams Cider (04/04/2023)</v>
      </c>
      <c r="H8925" s="19"/>
    </row>
    <row r="8926">
      <c r="A8926" s="9"/>
      <c r="B8926" s="15"/>
      <c r="C8926" s="9">
        <f>IFERROR(__xludf.DUMMYFUNCTION("""COMPUTED_VALUE"""),45050.5791393171)</f>
        <v>45050.57914</v>
      </c>
      <c r="D8926" s="15">
        <f>IFERROR(__xludf.DUMMYFUNCTION("""COMPUTED_VALUE"""),1.024)</f>
        <v>1.024</v>
      </c>
      <c r="E8926" s="16">
        <f>IFERROR(__xludf.DUMMYFUNCTION("""COMPUTED_VALUE"""),62.0)</f>
        <v>62</v>
      </c>
      <c r="F8926" s="19" t="str">
        <f>IFERROR(__xludf.DUMMYFUNCTION("""COMPUTED_VALUE"""),"BLACK")</f>
        <v>BLACK</v>
      </c>
      <c r="G8926" s="20" t="str">
        <f>IFERROR(__xludf.DUMMYFUNCTION("""COMPUTED_VALUE"""),"Uncle Sams Cider (04/04/2023)")</f>
        <v>Uncle Sams Cider (04/04/2023)</v>
      </c>
      <c r="H8926" s="19"/>
    </row>
    <row r="8927">
      <c r="A8927" s="9"/>
      <c r="B8927" s="15"/>
      <c r="C8927" s="9">
        <f>IFERROR(__xludf.DUMMYFUNCTION("""COMPUTED_VALUE"""),45050.5686931712)</f>
        <v>45050.56869</v>
      </c>
      <c r="D8927" s="15">
        <f>IFERROR(__xludf.DUMMYFUNCTION("""COMPUTED_VALUE"""),1.024)</f>
        <v>1.024</v>
      </c>
      <c r="E8927" s="16">
        <f>IFERROR(__xludf.DUMMYFUNCTION("""COMPUTED_VALUE"""),62.0)</f>
        <v>62</v>
      </c>
      <c r="F8927" s="19" t="str">
        <f>IFERROR(__xludf.DUMMYFUNCTION("""COMPUTED_VALUE"""),"BLACK")</f>
        <v>BLACK</v>
      </c>
      <c r="G8927" s="20" t="str">
        <f>IFERROR(__xludf.DUMMYFUNCTION("""COMPUTED_VALUE"""),"Uncle Sams Cider (04/04/2023)")</f>
        <v>Uncle Sams Cider (04/04/2023)</v>
      </c>
      <c r="H8927" s="19"/>
    </row>
    <row r="8928">
      <c r="A8928" s="9"/>
      <c r="B8928" s="15"/>
      <c r="C8928" s="9">
        <f>IFERROR(__xludf.DUMMYFUNCTION("""COMPUTED_VALUE"""),45050.5582725)</f>
        <v>45050.55827</v>
      </c>
      <c r="D8928" s="15">
        <f>IFERROR(__xludf.DUMMYFUNCTION("""COMPUTED_VALUE"""),1.024)</f>
        <v>1.024</v>
      </c>
      <c r="E8928" s="16">
        <f>IFERROR(__xludf.DUMMYFUNCTION("""COMPUTED_VALUE"""),62.0)</f>
        <v>62</v>
      </c>
      <c r="F8928" s="19" t="str">
        <f>IFERROR(__xludf.DUMMYFUNCTION("""COMPUTED_VALUE"""),"BLACK")</f>
        <v>BLACK</v>
      </c>
      <c r="G8928" s="20" t="str">
        <f>IFERROR(__xludf.DUMMYFUNCTION("""COMPUTED_VALUE"""),"Uncle Sams Cider (04/04/2023)")</f>
        <v>Uncle Sams Cider (04/04/2023)</v>
      </c>
      <c r="H8928" s="19"/>
    </row>
    <row r="8929">
      <c r="A8929" s="9"/>
      <c r="B8929" s="15"/>
      <c r="C8929" s="9">
        <f>IFERROR(__xludf.DUMMYFUNCTION("""COMPUTED_VALUE"""),45050.547840324)</f>
        <v>45050.54784</v>
      </c>
      <c r="D8929" s="15">
        <f>IFERROR(__xludf.DUMMYFUNCTION("""COMPUTED_VALUE"""),1.024)</f>
        <v>1.024</v>
      </c>
      <c r="E8929" s="16">
        <f>IFERROR(__xludf.DUMMYFUNCTION("""COMPUTED_VALUE"""),62.0)</f>
        <v>62</v>
      </c>
      <c r="F8929" s="19" t="str">
        <f>IFERROR(__xludf.DUMMYFUNCTION("""COMPUTED_VALUE"""),"BLACK")</f>
        <v>BLACK</v>
      </c>
      <c r="G8929" s="20" t="str">
        <f>IFERROR(__xludf.DUMMYFUNCTION("""COMPUTED_VALUE"""),"Uncle Sams Cider (04/04/2023)")</f>
        <v>Uncle Sams Cider (04/04/2023)</v>
      </c>
      <c r="H8929" s="19"/>
    </row>
    <row r="8930">
      <c r="A8930" s="9"/>
      <c r="B8930" s="15"/>
      <c r="C8930" s="9">
        <f>IFERROR(__xludf.DUMMYFUNCTION("""COMPUTED_VALUE"""),45050.5373951273)</f>
        <v>45050.5374</v>
      </c>
      <c r="D8930" s="15">
        <f>IFERROR(__xludf.DUMMYFUNCTION("""COMPUTED_VALUE"""),1.024)</f>
        <v>1.024</v>
      </c>
      <c r="E8930" s="16">
        <f>IFERROR(__xludf.DUMMYFUNCTION("""COMPUTED_VALUE"""),62.0)</f>
        <v>62</v>
      </c>
      <c r="F8930" s="19" t="str">
        <f>IFERROR(__xludf.DUMMYFUNCTION("""COMPUTED_VALUE"""),"BLACK")</f>
        <v>BLACK</v>
      </c>
      <c r="G8930" s="20" t="str">
        <f>IFERROR(__xludf.DUMMYFUNCTION("""COMPUTED_VALUE"""),"Uncle Sams Cider (04/04/2023)")</f>
        <v>Uncle Sams Cider (04/04/2023)</v>
      </c>
      <c r="H8930" s="19"/>
    </row>
    <row r="8931">
      <c r="A8931" s="9"/>
      <c r="B8931" s="15"/>
      <c r="C8931" s="9">
        <f>IFERROR(__xludf.DUMMYFUNCTION("""COMPUTED_VALUE"""),45050.526950081)</f>
        <v>45050.52695</v>
      </c>
      <c r="D8931" s="15">
        <f>IFERROR(__xludf.DUMMYFUNCTION("""COMPUTED_VALUE"""),1.024)</f>
        <v>1.024</v>
      </c>
      <c r="E8931" s="16">
        <f>IFERROR(__xludf.DUMMYFUNCTION("""COMPUTED_VALUE"""),62.0)</f>
        <v>62</v>
      </c>
      <c r="F8931" s="19" t="str">
        <f>IFERROR(__xludf.DUMMYFUNCTION("""COMPUTED_VALUE"""),"BLACK")</f>
        <v>BLACK</v>
      </c>
      <c r="G8931" s="20" t="str">
        <f>IFERROR(__xludf.DUMMYFUNCTION("""COMPUTED_VALUE"""),"Uncle Sams Cider (04/04/2023)")</f>
        <v>Uncle Sams Cider (04/04/2023)</v>
      </c>
      <c r="H8931" s="19"/>
    </row>
    <row r="8932">
      <c r="A8932" s="9"/>
      <c r="B8932" s="15"/>
      <c r="C8932" s="9">
        <f>IFERROR(__xludf.DUMMYFUNCTION("""COMPUTED_VALUE"""),45050.5165300463)</f>
        <v>45050.51653</v>
      </c>
      <c r="D8932" s="15">
        <f>IFERROR(__xludf.DUMMYFUNCTION("""COMPUTED_VALUE"""),1.024)</f>
        <v>1.024</v>
      </c>
      <c r="E8932" s="16">
        <f>IFERROR(__xludf.DUMMYFUNCTION("""COMPUTED_VALUE"""),62.0)</f>
        <v>62</v>
      </c>
      <c r="F8932" s="19" t="str">
        <f>IFERROR(__xludf.DUMMYFUNCTION("""COMPUTED_VALUE"""),"BLACK")</f>
        <v>BLACK</v>
      </c>
      <c r="G8932" s="20" t="str">
        <f>IFERROR(__xludf.DUMMYFUNCTION("""COMPUTED_VALUE"""),"Uncle Sams Cider (04/04/2023)")</f>
        <v>Uncle Sams Cider (04/04/2023)</v>
      </c>
      <c r="H8932" s="19"/>
    </row>
    <row r="8933">
      <c r="A8933" s="9"/>
      <c r="B8933" s="15"/>
      <c r="C8933" s="9">
        <f>IFERROR(__xludf.DUMMYFUNCTION("""COMPUTED_VALUE"""),45050.5060849189)</f>
        <v>45050.50608</v>
      </c>
      <c r="D8933" s="15">
        <f>IFERROR(__xludf.DUMMYFUNCTION("""COMPUTED_VALUE"""),1.024)</f>
        <v>1.024</v>
      </c>
      <c r="E8933" s="16">
        <f>IFERROR(__xludf.DUMMYFUNCTION("""COMPUTED_VALUE"""),62.0)</f>
        <v>62</v>
      </c>
      <c r="F8933" s="19" t="str">
        <f>IFERROR(__xludf.DUMMYFUNCTION("""COMPUTED_VALUE"""),"BLACK")</f>
        <v>BLACK</v>
      </c>
      <c r="G8933" s="20" t="str">
        <f>IFERROR(__xludf.DUMMYFUNCTION("""COMPUTED_VALUE"""),"Uncle Sams Cider (04/04/2023)")</f>
        <v>Uncle Sams Cider (04/04/2023)</v>
      </c>
      <c r="H8933" s="19"/>
    </row>
    <row r="8934">
      <c r="A8934" s="9"/>
      <c r="B8934" s="15"/>
      <c r="C8934" s="9">
        <f>IFERROR(__xludf.DUMMYFUNCTION("""COMPUTED_VALUE"""),45050.4956645949)</f>
        <v>45050.49566</v>
      </c>
      <c r="D8934" s="15">
        <f>IFERROR(__xludf.DUMMYFUNCTION("""COMPUTED_VALUE"""),1.024)</f>
        <v>1.024</v>
      </c>
      <c r="E8934" s="16">
        <f>IFERROR(__xludf.DUMMYFUNCTION("""COMPUTED_VALUE"""),62.0)</f>
        <v>62</v>
      </c>
      <c r="F8934" s="19" t="str">
        <f>IFERROR(__xludf.DUMMYFUNCTION("""COMPUTED_VALUE"""),"BLACK")</f>
        <v>BLACK</v>
      </c>
      <c r="G8934" s="20" t="str">
        <f>IFERROR(__xludf.DUMMYFUNCTION("""COMPUTED_VALUE"""),"Uncle Sams Cider (04/04/2023)")</f>
        <v>Uncle Sams Cider (04/04/2023)</v>
      </c>
      <c r="H8934" s="19"/>
    </row>
    <row r="8935">
      <c r="A8935" s="9"/>
      <c r="B8935" s="15"/>
      <c r="C8935" s="9">
        <f>IFERROR(__xludf.DUMMYFUNCTION("""COMPUTED_VALUE"""),45050.4852422337)</f>
        <v>45050.48524</v>
      </c>
      <c r="D8935" s="15">
        <f>IFERROR(__xludf.DUMMYFUNCTION("""COMPUTED_VALUE"""),1.024)</f>
        <v>1.024</v>
      </c>
      <c r="E8935" s="16">
        <f>IFERROR(__xludf.DUMMYFUNCTION("""COMPUTED_VALUE"""),62.0)</f>
        <v>62</v>
      </c>
      <c r="F8935" s="19" t="str">
        <f>IFERROR(__xludf.DUMMYFUNCTION("""COMPUTED_VALUE"""),"BLACK")</f>
        <v>BLACK</v>
      </c>
      <c r="G8935" s="20" t="str">
        <f>IFERROR(__xludf.DUMMYFUNCTION("""COMPUTED_VALUE"""),"Uncle Sams Cider (04/04/2023)")</f>
        <v>Uncle Sams Cider (04/04/2023)</v>
      </c>
      <c r="H8935" s="19"/>
    </row>
    <row r="8936">
      <c r="A8936" s="9"/>
      <c r="B8936" s="15"/>
      <c r="C8936" s="9">
        <f>IFERROR(__xludf.DUMMYFUNCTION("""COMPUTED_VALUE"""),45050.4748187384)</f>
        <v>45050.47482</v>
      </c>
      <c r="D8936" s="15">
        <f>IFERROR(__xludf.DUMMYFUNCTION("""COMPUTED_VALUE"""),1.024)</f>
        <v>1.024</v>
      </c>
      <c r="E8936" s="16">
        <f>IFERROR(__xludf.DUMMYFUNCTION("""COMPUTED_VALUE"""),62.0)</f>
        <v>62</v>
      </c>
      <c r="F8936" s="19" t="str">
        <f>IFERROR(__xludf.DUMMYFUNCTION("""COMPUTED_VALUE"""),"BLACK")</f>
        <v>BLACK</v>
      </c>
      <c r="G8936" s="20" t="str">
        <f>IFERROR(__xludf.DUMMYFUNCTION("""COMPUTED_VALUE"""),"Uncle Sams Cider (04/04/2023)")</f>
        <v>Uncle Sams Cider (04/04/2023)</v>
      </c>
      <c r="H8936" s="19"/>
    </row>
    <row r="8937">
      <c r="A8937" s="9"/>
      <c r="B8937" s="15"/>
      <c r="C8937" s="9">
        <f>IFERROR(__xludf.DUMMYFUNCTION("""COMPUTED_VALUE"""),45050.4643858564)</f>
        <v>45050.46439</v>
      </c>
      <c r="D8937" s="15">
        <f>IFERROR(__xludf.DUMMYFUNCTION("""COMPUTED_VALUE"""),1.024)</f>
        <v>1.024</v>
      </c>
      <c r="E8937" s="16">
        <f>IFERROR(__xludf.DUMMYFUNCTION("""COMPUTED_VALUE"""),62.0)</f>
        <v>62</v>
      </c>
      <c r="F8937" s="19" t="str">
        <f>IFERROR(__xludf.DUMMYFUNCTION("""COMPUTED_VALUE"""),"BLACK")</f>
        <v>BLACK</v>
      </c>
      <c r="G8937" s="20" t="str">
        <f>IFERROR(__xludf.DUMMYFUNCTION("""COMPUTED_VALUE"""),"Uncle Sams Cider (04/04/2023)")</f>
        <v>Uncle Sams Cider (04/04/2023)</v>
      </c>
      <c r="H8937" s="19"/>
    </row>
    <row r="8938">
      <c r="A8938" s="9"/>
      <c r="B8938" s="15"/>
      <c r="C8938" s="9">
        <f>IFERROR(__xludf.DUMMYFUNCTION("""COMPUTED_VALUE"""),45050.453942743)</f>
        <v>45050.45394</v>
      </c>
      <c r="D8938" s="15">
        <f>IFERROR(__xludf.DUMMYFUNCTION("""COMPUTED_VALUE"""),1.024)</f>
        <v>1.024</v>
      </c>
      <c r="E8938" s="16">
        <f>IFERROR(__xludf.DUMMYFUNCTION("""COMPUTED_VALUE"""),62.0)</f>
        <v>62</v>
      </c>
      <c r="F8938" s="19" t="str">
        <f>IFERROR(__xludf.DUMMYFUNCTION("""COMPUTED_VALUE"""),"BLACK")</f>
        <v>BLACK</v>
      </c>
      <c r="G8938" s="20" t="str">
        <f>IFERROR(__xludf.DUMMYFUNCTION("""COMPUTED_VALUE"""),"Uncle Sams Cider (04/04/2023)")</f>
        <v>Uncle Sams Cider (04/04/2023)</v>
      </c>
      <c r="H8938" s="19"/>
    </row>
    <row r="8939">
      <c r="A8939" s="9"/>
      <c r="B8939" s="15"/>
      <c r="C8939" s="9">
        <f>IFERROR(__xludf.DUMMYFUNCTION("""COMPUTED_VALUE"""),45050.4435224305)</f>
        <v>45050.44352</v>
      </c>
      <c r="D8939" s="15">
        <f>IFERROR(__xludf.DUMMYFUNCTION("""COMPUTED_VALUE"""),1.024)</f>
        <v>1.024</v>
      </c>
      <c r="E8939" s="16">
        <f>IFERROR(__xludf.DUMMYFUNCTION("""COMPUTED_VALUE"""),62.0)</f>
        <v>62</v>
      </c>
      <c r="F8939" s="19" t="str">
        <f>IFERROR(__xludf.DUMMYFUNCTION("""COMPUTED_VALUE"""),"BLACK")</f>
        <v>BLACK</v>
      </c>
      <c r="G8939" s="20" t="str">
        <f>IFERROR(__xludf.DUMMYFUNCTION("""COMPUTED_VALUE"""),"Uncle Sams Cider (04/04/2023)")</f>
        <v>Uncle Sams Cider (04/04/2023)</v>
      </c>
      <c r="H8939" s="19"/>
    </row>
    <row r="8940">
      <c r="A8940" s="9"/>
      <c r="B8940" s="15"/>
      <c r="C8940" s="9">
        <f>IFERROR(__xludf.DUMMYFUNCTION("""COMPUTED_VALUE"""),45050.4331023842)</f>
        <v>45050.4331</v>
      </c>
      <c r="D8940" s="15">
        <f>IFERROR(__xludf.DUMMYFUNCTION("""COMPUTED_VALUE"""),1.024)</f>
        <v>1.024</v>
      </c>
      <c r="E8940" s="16">
        <f>IFERROR(__xludf.DUMMYFUNCTION("""COMPUTED_VALUE"""),62.0)</f>
        <v>62</v>
      </c>
      <c r="F8940" s="19" t="str">
        <f>IFERROR(__xludf.DUMMYFUNCTION("""COMPUTED_VALUE"""),"BLACK")</f>
        <v>BLACK</v>
      </c>
      <c r="G8940" s="20" t="str">
        <f>IFERROR(__xludf.DUMMYFUNCTION("""COMPUTED_VALUE"""),"Uncle Sams Cider (04/04/2023)")</f>
        <v>Uncle Sams Cider (04/04/2023)</v>
      </c>
      <c r="H8940" s="19"/>
    </row>
    <row r="8941">
      <c r="A8941" s="9"/>
      <c r="B8941" s="15"/>
      <c r="C8941" s="9">
        <f>IFERROR(__xludf.DUMMYFUNCTION("""COMPUTED_VALUE"""),45050.4226816898)</f>
        <v>45050.42268</v>
      </c>
      <c r="D8941" s="15">
        <f>IFERROR(__xludf.DUMMYFUNCTION("""COMPUTED_VALUE"""),1.024)</f>
        <v>1.024</v>
      </c>
      <c r="E8941" s="16">
        <f>IFERROR(__xludf.DUMMYFUNCTION("""COMPUTED_VALUE"""),62.0)</f>
        <v>62</v>
      </c>
      <c r="F8941" s="19" t="str">
        <f>IFERROR(__xludf.DUMMYFUNCTION("""COMPUTED_VALUE"""),"BLACK")</f>
        <v>BLACK</v>
      </c>
      <c r="G8941" s="20" t="str">
        <f>IFERROR(__xludf.DUMMYFUNCTION("""COMPUTED_VALUE"""),"Uncle Sams Cider (04/04/2023)")</f>
        <v>Uncle Sams Cider (04/04/2023)</v>
      </c>
      <c r="H8941" s="19"/>
    </row>
    <row r="8942">
      <c r="A8942" s="9"/>
      <c r="B8942" s="15"/>
      <c r="C8942" s="9">
        <f>IFERROR(__xludf.DUMMYFUNCTION("""COMPUTED_VALUE"""),45050.4122362615)</f>
        <v>45050.41224</v>
      </c>
      <c r="D8942" s="15">
        <f>IFERROR(__xludf.DUMMYFUNCTION("""COMPUTED_VALUE"""),1.024)</f>
        <v>1.024</v>
      </c>
      <c r="E8942" s="16">
        <f>IFERROR(__xludf.DUMMYFUNCTION("""COMPUTED_VALUE"""),62.0)</f>
        <v>62</v>
      </c>
      <c r="F8942" s="19" t="str">
        <f>IFERROR(__xludf.DUMMYFUNCTION("""COMPUTED_VALUE"""),"BLACK")</f>
        <v>BLACK</v>
      </c>
      <c r="G8942" s="20" t="str">
        <f>IFERROR(__xludf.DUMMYFUNCTION("""COMPUTED_VALUE"""),"Uncle Sams Cider (04/04/2023)")</f>
        <v>Uncle Sams Cider (04/04/2023)</v>
      </c>
      <c r="H8942" s="19"/>
    </row>
    <row r="8943">
      <c r="A8943" s="9"/>
      <c r="B8943" s="15"/>
      <c r="C8943" s="9">
        <f>IFERROR(__xludf.DUMMYFUNCTION("""COMPUTED_VALUE"""),45050.401801574)</f>
        <v>45050.4018</v>
      </c>
      <c r="D8943" s="15">
        <f>IFERROR(__xludf.DUMMYFUNCTION("""COMPUTED_VALUE"""),1.024)</f>
        <v>1.024</v>
      </c>
      <c r="E8943" s="16">
        <f>IFERROR(__xludf.DUMMYFUNCTION("""COMPUTED_VALUE"""),62.0)</f>
        <v>62</v>
      </c>
      <c r="F8943" s="19" t="str">
        <f>IFERROR(__xludf.DUMMYFUNCTION("""COMPUTED_VALUE"""),"BLACK")</f>
        <v>BLACK</v>
      </c>
      <c r="G8943" s="20" t="str">
        <f>IFERROR(__xludf.DUMMYFUNCTION("""COMPUTED_VALUE"""),"Uncle Sams Cider (04/04/2023)")</f>
        <v>Uncle Sams Cider (04/04/2023)</v>
      </c>
      <c r="H8943" s="19"/>
    </row>
    <row r="8944">
      <c r="A8944" s="9"/>
      <c r="B8944" s="15"/>
      <c r="C8944" s="9">
        <f>IFERROR(__xludf.DUMMYFUNCTION("""COMPUTED_VALUE"""),45050.3913698958)</f>
        <v>45050.39137</v>
      </c>
      <c r="D8944" s="15">
        <f>IFERROR(__xludf.DUMMYFUNCTION("""COMPUTED_VALUE"""),1.024)</f>
        <v>1.024</v>
      </c>
      <c r="E8944" s="16">
        <f>IFERROR(__xludf.DUMMYFUNCTION("""COMPUTED_VALUE"""),62.0)</f>
        <v>62</v>
      </c>
      <c r="F8944" s="19" t="str">
        <f>IFERROR(__xludf.DUMMYFUNCTION("""COMPUTED_VALUE"""),"BLACK")</f>
        <v>BLACK</v>
      </c>
      <c r="G8944" s="20" t="str">
        <f>IFERROR(__xludf.DUMMYFUNCTION("""COMPUTED_VALUE"""),"Uncle Sams Cider (04/04/2023)")</f>
        <v>Uncle Sams Cider (04/04/2023)</v>
      </c>
      <c r="H8944" s="19"/>
    </row>
    <row r="8945">
      <c r="A8945" s="9"/>
      <c r="B8945" s="15"/>
      <c r="C8945" s="9">
        <f>IFERROR(__xludf.DUMMYFUNCTION("""COMPUTED_VALUE"""),45050.380948125)</f>
        <v>45050.38095</v>
      </c>
      <c r="D8945" s="15">
        <f>IFERROR(__xludf.DUMMYFUNCTION("""COMPUTED_VALUE"""),1.024)</f>
        <v>1.024</v>
      </c>
      <c r="E8945" s="16">
        <f>IFERROR(__xludf.DUMMYFUNCTION("""COMPUTED_VALUE"""),62.0)</f>
        <v>62</v>
      </c>
      <c r="F8945" s="19" t="str">
        <f>IFERROR(__xludf.DUMMYFUNCTION("""COMPUTED_VALUE"""),"BLACK")</f>
        <v>BLACK</v>
      </c>
      <c r="G8945" s="20" t="str">
        <f>IFERROR(__xludf.DUMMYFUNCTION("""COMPUTED_VALUE"""),"Uncle Sams Cider (04/04/2023)")</f>
        <v>Uncle Sams Cider (04/04/2023)</v>
      </c>
      <c r="H8945" s="19"/>
    </row>
    <row r="8946">
      <c r="A8946" s="9"/>
      <c r="B8946" s="15"/>
      <c r="C8946" s="9">
        <f>IFERROR(__xludf.DUMMYFUNCTION("""COMPUTED_VALUE"""),45050.3705269328)</f>
        <v>45050.37053</v>
      </c>
      <c r="D8946" s="15">
        <f>IFERROR(__xludf.DUMMYFUNCTION("""COMPUTED_VALUE"""),1.024)</f>
        <v>1.024</v>
      </c>
      <c r="E8946" s="16">
        <f>IFERROR(__xludf.DUMMYFUNCTION("""COMPUTED_VALUE"""),62.0)</f>
        <v>62</v>
      </c>
      <c r="F8946" s="19" t="str">
        <f>IFERROR(__xludf.DUMMYFUNCTION("""COMPUTED_VALUE"""),"BLACK")</f>
        <v>BLACK</v>
      </c>
      <c r="G8946" s="20" t="str">
        <f>IFERROR(__xludf.DUMMYFUNCTION("""COMPUTED_VALUE"""),"Uncle Sams Cider (04/04/2023)")</f>
        <v>Uncle Sams Cider (04/04/2023)</v>
      </c>
      <c r="H8946" s="19"/>
    </row>
    <row r="8947">
      <c r="A8947" s="9"/>
      <c r="B8947" s="15"/>
      <c r="C8947" s="9">
        <f>IFERROR(__xludf.DUMMYFUNCTION("""COMPUTED_VALUE"""),45050.3601064699)</f>
        <v>45050.36011</v>
      </c>
      <c r="D8947" s="15">
        <f>IFERROR(__xludf.DUMMYFUNCTION("""COMPUTED_VALUE"""),1.024)</f>
        <v>1.024</v>
      </c>
      <c r="E8947" s="16">
        <f>IFERROR(__xludf.DUMMYFUNCTION("""COMPUTED_VALUE"""),62.0)</f>
        <v>62</v>
      </c>
      <c r="F8947" s="19" t="str">
        <f>IFERROR(__xludf.DUMMYFUNCTION("""COMPUTED_VALUE"""),"BLACK")</f>
        <v>BLACK</v>
      </c>
      <c r="G8947" s="20" t="str">
        <f>IFERROR(__xludf.DUMMYFUNCTION("""COMPUTED_VALUE"""),"Uncle Sams Cider (04/04/2023)")</f>
        <v>Uncle Sams Cider (04/04/2023)</v>
      </c>
      <c r="H8947" s="19"/>
    </row>
    <row r="8948">
      <c r="A8948" s="9"/>
      <c r="B8948" s="15"/>
      <c r="C8948" s="9">
        <f>IFERROR(__xludf.DUMMYFUNCTION("""COMPUTED_VALUE"""),45050.3496847685)</f>
        <v>45050.34968</v>
      </c>
      <c r="D8948" s="15">
        <f>IFERROR(__xludf.DUMMYFUNCTION("""COMPUTED_VALUE"""),1.024)</f>
        <v>1.024</v>
      </c>
      <c r="E8948" s="16">
        <f>IFERROR(__xludf.DUMMYFUNCTION("""COMPUTED_VALUE"""),62.0)</f>
        <v>62</v>
      </c>
      <c r="F8948" s="19" t="str">
        <f>IFERROR(__xludf.DUMMYFUNCTION("""COMPUTED_VALUE"""),"BLACK")</f>
        <v>BLACK</v>
      </c>
      <c r="G8948" s="20" t="str">
        <f>IFERROR(__xludf.DUMMYFUNCTION("""COMPUTED_VALUE"""),"Uncle Sams Cider (04/04/2023)")</f>
        <v>Uncle Sams Cider (04/04/2023)</v>
      </c>
      <c r="H8948" s="19"/>
    </row>
    <row r="8949">
      <c r="A8949" s="9"/>
      <c r="B8949" s="15"/>
      <c r="C8949" s="9">
        <f>IFERROR(__xludf.DUMMYFUNCTION("""COMPUTED_VALUE"""),45050.3392645138)</f>
        <v>45050.33926</v>
      </c>
      <c r="D8949" s="15">
        <f>IFERROR(__xludf.DUMMYFUNCTION("""COMPUTED_VALUE"""),1.024)</f>
        <v>1.024</v>
      </c>
      <c r="E8949" s="16">
        <f>IFERROR(__xludf.DUMMYFUNCTION("""COMPUTED_VALUE"""),62.0)</f>
        <v>62</v>
      </c>
      <c r="F8949" s="19" t="str">
        <f>IFERROR(__xludf.DUMMYFUNCTION("""COMPUTED_VALUE"""),"BLACK")</f>
        <v>BLACK</v>
      </c>
      <c r="G8949" s="20" t="str">
        <f>IFERROR(__xludf.DUMMYFUNCTION("""COMPUTED_VALUE"""),"Uncle Sams Cider (04/04/2023)")</f>
        <v>Uncle Sams Cider (04/04/2023)</v>
      </c>
      <c r="H8949" s="19"/>
    </row>
    <row r="8950">
      <c r="A8950" s="9"/>
      <c r="B8950" s="15"/>
      <c r="C8950" s="9">
        <f>IFERROR(__xludf.DUMMYFUNCTION("""COMPUTED_VALUE"""),45050.3288435185)</f>
        <v>45050.32884</v>
      </c>
      <c r="D8950" s="15">
        <f>IFERROR(__xludf.DUMMYFUNCTION("""COMPUTED_VALUE"""),1.024)</f>
        <v>1.024</v>
      </c>
      <c r="E8950" s="16">
        <f>IFERROR(__xludf.DUMMYFUNCTION("""COMPUTED_VALUE"""),62.0)</f>
        <v>62</v>
      </c>
      <c r="F8950" s="19" t="str">
        <f>IFERROR(__xludf.DUMMYFUNCTION("""COMPUTED_VALUE"""),"BLACK")</f>
        <v>BLACK</v>
      </c>
      <c r="G8950" s="20" t="str">
        <f>IFERROR(__xludf.DUMMYFUNCTION("""COMPUTED_VALUE"""),"Uncle Sams Cider (04/04/2023)")</f>
        <v>Uncle Sams Cider (04/04/2023)</v>
      </c>
      <c r="H8950" s="19"/>
    </row>
    <row r="8951">
      <c r="A8951" s="9"/>
      <c r="B8951" s="15"/>
      <c r="C8951" s="9">
        <f>IFERROR(__xludf.DUMMYFUNCTION("""COMPUTED_VALUE"""),45050.3184227893)</f>
        <v>45050.31842</v>
      </c>
      <c r="D8951" s="15">
        <f>IFERROR(__xludf.DUMMYFUNCTION("""COMPUTED_VALUE"""),1.024)</f>
        <v>1.024</v>
      </c>
      <c r="E8951" s="16">
        <f>IFERROR(__xludf.DUMMYFUNCTION("""COMPUTED_VALUE"""),62.0)</f>
        <v>62</v>
      </c>
      <c r="F8951" s="19" t="str">
        <f>IFERROR(__xludf.DUMMYFUNCTION("""COMPUTED_VALUE"""),"BLACK")</f>
        <v>BLACK</v>
      </c>
      <c r="G8951" s="20" t="str">
        <f>IFERROR(__xludf.DUMMYFUNCTION("""COMPUTED_VALUE"""),"Uncle Sams Cider (04/04/2023)")</f>
        <v>Uncle Sams Cider (04/04/2023)</v>
      </c>
      <c r="H8951" s="19"/>
    </row>
    <row r="8952">
      <c r="A8952" s="9"/>
      <c r="B8952" s="15"/>
      <c r="C8952" s="9">
        <f>IFERROR(__xludf.DUMMYFUNCTION("""COMPUTED_VALUE"""),45050.3080012384)</f>
        <v>45050.308</v>
      </c>
      <c r="D8952" s="15">
        <f>IFERROR(__xludf.DUMMYFUNCTION("""COMPUTED_VALUE"""),1.024)</f>
        <v>1.024</v>
      </c>
      <c r="E8952" s="16">
        <f>IFERROR(__xludf.DUMMYFUNCTION("""COMPUTED_VALUE"""),62.0)</f>
        <v>62</v>
      </c>
      <c r="F8952" s="19" t="str">
        <f>IFERROR(__xludf.DUMMYFUNCTION("""COMPUTED_VALUE"""),"BLACK")</f>
        <v>BLACK</v>
      </c>
      <c r="G8952" s="20" t="str">
        <f>IFERROR(__xludf.DUMMYFUNCTION("""COMPUTED_VALUE"""),"Uncle Sams Cider (04/04/2023)")</f>
        <v>Uncle Sams Cider (04/04/2023)</v>
      </c>
      <c r="H8952" s="19"/>
    </row>
    <row r="8953">
      <c r="A8953" s="9"/>
      <c r="B8953" s="15"/>
      <c r="C8953" s="9">
        <f>IFERROR(__xludf.DUMMYFUNCTION("""COMPUTED_VALUE"""),45050.2975778356)</f>
        <v>45050.29758</v>
      </c>
      <c r="D8953" s="15">
        <f>IFERROR(__xludf.DUMMYFUNCTION("""COMPUTED_VALUE"""),1.024)</f>
        <v>1.024</v>
      </c>
      <c r="E8953" s="16">
        <f>IFERROR(__xludf.DUMMYFUNCTION("""COMPUTED_VALUE"""),62.0)</f>
        <v>62</v>
      </c>
      <c r="F8953" s="19" t="str">
        <f>IFERROR(__xludf.DUMMYFUNCTION("""COMPUTED_VALUE"""),"BLACK")</f>
        <v>BLACK</v>
      </c>
      <c r="G8953" s="20" t="str">
        <f>IFERROR(__xludf.DUMMYFUNCTION("""COMPUTED_VALUE"""),"Uncle Sams Cider (04/04/2023)")</f>
        <v>Uncle Sams Cider (04/04/2023)</v>
      </c>
      <c r="H8953" s="19"/>
    </row>
    <row r="8954">
      <c r="A8954" s="9"/>
      <c r="B8954" s="15"/>
      <c r="C8954" s="9">
        <f>IFERROR(__xludf.DUMMYFUNCTION("""COMPUTED_VALUE"""),45050.287155243)</f>
        <v>45050.28716</v>
      </c>
      <c r="D8954" s="15">
        <f>IFERROR(__xludf.DUMMYFUNCTION("""COMPUTED_VALUE"""),1.024)</f>
        <v>1.024</v>
      </c>
      <c r="E8954" s="16">
        <f>IFERROR(__xludf.DUMMYFUNCTION("""COMPUTED_VALUE"""),62.0)</f>
        <v>62</v>
      </c>
      <c r="F8954" s="19" t="str">
        <f>IFERROR(__xludf.DUMMYFUNCTION("""COMPUTED_VALUE"""),"BLACK")</f>
        <v>BLACK</v>
      </c>
      <c r="G8954" s="20" t="str">
        <f>IFERROR(__xludf.DUMMYFUNCTION("""COMPUTED_VALUE"""),"Uncle Sams Cider (04/04/2023)")</f>
        <v>Uncle Sams Cider (04/04/2023)</v>
      </c>
      <c r="H8954" s="19"/>
    </row>
    <row r="8955">
      <c r="A8955" s="9"/>
      <c r="B8955" s="15"/>
      <c r="C8955" s="9">
        <f>IFERROR(__xludf.DUMMYFUNCTION("""COMPUTED_VALUE"""),45050.2767330092)</f>
        <v>45050.27673</v>
      </c>
      <c r="D8955" s="15">
        <f>IFERROR(__xludf.DUMMYFUNCTION("""COMPUTED_VALUE"""),1.024)</f>
        <v>1.024</v>
      </c>
      <c r="E8955" s="16">
        <f>IFERROR(__xludf.DUMMYFUNCTION("""COMPUTED_VALUE"""),62.0)</f>
        <v>62</v>
      </c>
      <c r="F8955" s="19" t="str">
        <f>IFERROR(__xludf.DUMMYFUNCTION("""COMPUTED_VALUE"""),"BLACK")</f>
        <v>BLACK</v>
      </c>
      <c r="G8955" s="20" t="str">
        <f>IFERROR(__xludf.DUMMYFUNCTION("""COMPUTED_VALUE"""),"Uncle Sams Cider (04/04/2023)")</f>
        <v>Uncle Sams Cider (04/04/2023)</v>
      </c>
      <c r="H8955" s="19"/>
    </row>
    <row r="8956">
      <c r="A8956" s="9"/>
      <c r="B8956" s="15"/>
      <c r="C8956" s="9">
        <f>IFERROR(__xludf.DUMMYFUNCTION("""COMPUTED_VALUE"""),45050.2663123032)</f>
        <v>45050.26631</v>
      </c>
      <c r="D8956" s="15">
        <f>IFERROR(__xludf.DUMMYFUNCTION("""COMPUTED_VALUE"""),1.024)</f>
        <v>1.024</v>
      </c>
      <c r="E8956" s="16">
        <f>IFERROR(__xludf.DUMMYFUNCTION("""COMPUTED_VALUE"""),62.0)</f>
        <v>62</v>
      </c>
      <c r="F8956" s="19" t="str">
        <f>IFERROR(__xludf.DUMMYFUNCTION("""COMPUTED_VALUE"""),"BLACK")</f>
        <v>BLACK</v>
      </c>
      <c r="G8956" s="20" t="str">
        <f>IFERROR(__xludf.DUMMYFUNCTION("""COMPUTED_VALUE"""),"Uncle Sams Cider (04/04/2023)")</f>
        <v>Uncle Sams Cider (04/04/2023)</v>
      </c>
      <c r="H8956" s="19"/>
    </row>
    <row r="8957">
      <c r="A8957" s="9"/>
      <c r="B8957" s="15"/>
      <c r="C8957" s="9">
        <f>IFERROR(__xludf.DUMMYFUNCTION("""COMPUTED_VALUE"""),45050.255892118)</f>
        <v>45050.25589</v>
      </c>
      <c r="D8957" s="15">
        <f>IFERROR(__xludf.DUMMYFUNCTION("""COMPUTED_VALUE"""),1.024)</f>
        <v>1.024</v>
      </c>
      <c r="E8957" s="16">
        <f>IFERROR(__xludf.DUMMYFUNCTION("""COMPUTED_VALUE"""),62.0)</f>
        <v>62</v>
      </c>
      <c r="F8957" s="19" t="str">
        <f>IFERROR(__xludf.DUMMYFUNCTION("""COMPUTED_VALUE"""),"BLACK")</f>
        <v>BLACK</v>
      </c>
      <c r="G8957" s="20" t="str">
        <f>IFERROR(__xludf.DUMMYFUNCTION("""COMPUTED_VALUE"""),"Uncle Sams Cider (04/04/2023)")</f>
        <v>Uncle Sams Cider (04/04/2023)</v>
      </c>
      <c r="H8957" s="19"/>
    </row>
    <row r="8958">
      <c r="A8958" s="9"/>
      <c r="B8958" s="15"/>
      <c r="C8958" s="9">
        <f>IFERROR(__xludf.DUMMYFUNCTION("""COMPUTED_VALUE"""),45050.2454235995)</f>
        <v>45050.24542</v>
      </c>
      <c r="D8958" s="15">
        <f>IFERROR(__xludf.DUMMYFUNCTION("""COMPUTED_VALUE"""),1.024)</f>
        <v>1.024</v>
      </c>
      <c r="E8958" s="16">
        <f>IFERROR(__xludf.DUMMYFUNCTION("""COMPUTED_VALUE"""),62.0)</f>
        <v>62</v>
      </c>
      <c r="F8958" s="19" t="str">
        <f>IFERROR(__xludf.DUMMYFUNCTION("""COMPUTED_VALUE"""),"BLACK")</f>
        <v>BLACK</v>
      </c>
      <c r="G8958" s="20" t="str">
        <f>IFERROR(__xludf.DUMMYFUNCTION("""COMPUTED_VALUE"""),"Uncle Sams Cider (04/04/2023)")</f>
        <v>Uncle Sams Cider (04/04/2023)</v>
      </c>
      <c r="H8958" s="19"/>
    </row>
    <row r="8959">
      <c r="A8959" s="9"/>
      <c r="B8959" s="15"/>
      <c r="C8959" s="9">
        <f>IFERROR(__xludf.DUMMYFUNCTION("""COMPUTED_VALUE"""),45050.2349910995)</f>
        <v>45050.23499</v>
      </c>
      <c r="D8959" s="15">
        <f>IFERROR(__xludf.DUMMYFUNCTION("""COMPUTED_VALUE"""),1.024)</f>
        <v>1.024</v>
      </c>
      <c r="E8959" s="16">
        <f>IFERROR(__xludf.DUMMYFUNCTION("""COMPUTED_VALUE"""),62.0)</f>
        <v>62</v>
      </c>
      <c r="F8959" s="19" t="str">
        <f>IFERROR(__xludf.DUMMYFUNCTION("""COMPUTED_VALUE"""),"BLACK")</f>
        <v>BLACK</v>
      </c>
      <c r="G8959" s="20" t="str">
        <f>IFERROR(__xludf.DUMMYFUNCTION("""COMPUTED_VALUE"""),"Uncle Sams Cider (04/04/2023)")</f>
        <v>Uncle Sams Cider (04/04/2023)</v>
      </c>
      <c r="H8959" s="19"/>
    </row>
    <row r="8960">
      <c r="A8960" s="9"/>
      <c r="B8960" s="15"/>
      <c r="C8960" s="9">
        <f>IFERROR(__xludf.DUMMYFUNCTION("""COMPUTED_VALUE"""),45050.2245728125)</f>
        <v>45050.22457</v>
      </c>
      <c r="D8960" s="15">
        <f>IFERROR(__xludf.DUMMYFUNCTION("""COMPUTED_VALUE"""),1.024)</f>
        <v>1.024</v>
      </c>
      <c r="E8960" s="16">
        <f>IFERROR(__xludf.DUMMYFUNCTION("""COMPUTED_VALUE"""),62.0)</f>
        <v>62</v>
      </c>
      <c r="F8960" s="19" t="str">
        <f>IFERROR(__xludf.DUMMYFUNCTION("""COMPUTED_VALUE"""),"BLACK")</f>
        <v>BLACK</v>
      </c>
      <c r="G8960" s="20" t="str">
        <f>IFERROR(__xludf.DUMMYFUNCTION("""COMPUTED_VALUE"""),"Uncle Sams Cider (04/04/2023)")</f>
        <v>Uncle Sams Cider (04/04/2023)</v>
      </c>
      <c r="H8960" s="19"/>
    </row>
    <row r="8961">
      <c r="A8961" s="9"/>
      <c r="B8961" s="15"/>
      <c r="C8961" s="9">
        <f>IFERROR(__xludf.DUMMYFUNCTION("""COMPUTED_VALUE"""),45050.2141517708)</f>
        <v>45050.21415</v>
      </c>
      <c r="D8961" s="15">
        <f>IFERROR(__xludf.DUMMYFUNCTION("""COMPUTED_VALUE"""),1.024)</f>
        <v>1.024</v>
      </c>
      <c r="E8961" s="16">
        <f>IFERROR(__xludf.DUMMYFUNCTION("""COMPUTED_VALUE"""),62.0)</f>
        <v>62</v>
      </c>
      <c r="F8961" s="19" t="str">
        <f>IFERROR(__xludf.DUMMYFUNCTION("""COMPUTED_VALUE"""),"BLACK")</f>
        <v>BLACK</v>
      </c>
      <c r="G8961" s="20" t="str">
        <f>IFERROR(__xludf.DUMMYFUNCTION("""COMPUTED_VALUE"""),"Uncle Sams Cider (04/04/2023)")</f>
        <v>Uncle Sams Cider (04/04/2023)</v>
      </c>
      <c r="H8961" s="19"/>
    </row>
    <row r="8962">
      <c r="A8962" s="9"/>
      <c r="B8962" s="15"/>
      <c r="C8962" s="9">
        <f>IFERROR(__xludf.DUMMYFUNCTION("""COMPUTED_VALUE"""),45050.2036952546)</f>
        <v>45050.2037</v>
      </c>
      <c r="D8962" s="15">
        <f>IFERROR(__xludf.DUMMYFUNCTION("""COMPUTED_VALUE"""),1.024)</f>
        <v>1.024</v>
      </c>
      <c r="E8962" s="16">
        <f>IFERROR(__xludf.DUMMYFUNCTION("""COMPUTED_VALUE"""),62.0)</f>
        <v>62</v>
      </c>
      <c r="F8962" s="19" t="str">
        <f>IFERROR(__xludf.DUMMYFUNCTION("""COMPUTED_VALUE"""),"BLACK")</f>
        <v>BLACK</v>
      </c>
      <c r="G8962" s="20" t="str">
        <f>IFERROR(__xludf.DUMMYFUNCTION("""COMPUTED_VALUE"""),"Uncle Sams Cider (04/04/2023)")</f>
        <v>Uncle Sams Cider (04/04/2023)</v>
      </c>
      <c r="H8962" s="19"/>
    </row>
    <row r="8963">
      <c r="A8963" s="9"/>
      <c r="B8963" s="15"/>
      <c r="C8963" s="9">
        <f>IFERROR(__xludf.DUMMYFUNCTION("""COMPUTED_VALUE"""),45050.1932722916)</f>
        <v>45050.19327</v>
      </c>
      <c r="D8963" s="15">
        <f>IFERROR(__xludf.DUMMYFUNCTION("""COMPUTED_VALUE"""),1.024)</f>
        <v>1.024</v>
      </c>
      <c r="E8963" s="16">
        <f>IFERROR(__xludf.DUMMYFUNCTION("""COMPUTED_VALUE"""),62.0)</f>
        <v>62</v>
      </c>
      <c r="F8963" s="19" t="str">
        <f>IFERROR(__xludf.DUMMYFUNCTION("""COMPUTED_VALUE"""),"BLACK")</f>
        <v>BLACK</v>
      </c>
      <c r="G8963" s="20" t="str">
        <f>IFERROR(__xludf.DUMMYFUNCTION("""COMPUTED_VALUE"""),"Uncle Sams Cider (04/04/2023)")</f>
        <v>Uncle Sams Cider (04/04/2023)</v>
      </c>
      <c r="H8963" s="19"/>
    </row>
    <row r="8964">
      <c r="A8964" s="9"/>
      <c r="B8964" s="15"/>
      <c r="C8964" s="9">
        <f>IFERROR(__xludf.DUMMYFUNCTION("""COMPUTED_VALUE"""),45050.1828528703)</f>
        <v>45050.18285</v>
      </c>
      <c r="D8964" s="15">
        <f>IFERROR(__xludf.DUMMYFUNCTION("""COMPUTED_VALUE"""),1.024)</f>
        <v>1.024</v>
      </c>
      <c r="E8964" s="16">
        <f>IFERROR(__xludf.DUMMYFUNCTION("""COMPUTED_VALUE"""),62.0)</f>
        <v>62</v>
      </c>
      <c r="F8964" s="19" t="str">
        <f>IFERROR(__xludf.DUMMYFUNCTION("""COMPUTED_VALUE"""),"BLACK")</f>
        <v>BLACK</v>
      </c>
      <c r="G8964" s="20" t="str">
        <f>IFERROR(__xludf.DUMMYFUNCTION("""COMPUTED_VALUE"""),"Uncle Sams Cider (04/04/2023)")</f>
        <v>Uncle Sams Cider (04/04/2023)</v>
      </c>
      <c r="H8964" s="19"/>
    </row>
    <row r="8965">
      <c r="A8965" s="9"/>
      <c r="B8965" s="15"/>
      <c r="C8965" s="9">
        <f>IFERROR(__xludf.DUMMYFUNCTION("""COMPUTED_VALUE"""),45050.1724306597)</f>
        <v>45050.17243</v>
      </c>
      <c r="D8965" s="15">
        <f>IFERROR(__xludf.DUMMYFUNCTION("""COMPUTED_VALUE"""),1.024)</f>
        <v>1.024</v>
      </c>
      <c r="E8965" s="16">
        <f>IFERROR(__xludf.DUMMYFUNCTION("""COMPUTED_VALUE"""),62.0)</f>
        <v>62</v>
      </c>
      <c r="F8965" s="19" t="str">
        <f>IFERROR(__xludf.DUMMYFUNCTION("""COMPUTED_VALUE"""),"BLACK")</f>
        <v>BLACK</v>
      </c>
      <c r="G8965" s="20" t="str">
        <f>IFERROR(__xludf.DUMMYFUNCTION("""COMPUTED_VALUE"""),"Uncle Sams Cider (04/04/2023)")</f>
        <v>Uncle Sams Cider (04/04/2023)</v>
      </c>
      <c r="H8965" s="19"/>
    </row>
    <row r="8966">
      <c r="A8966" s="9"/>
      <c r="B8966" s="15"/>
      <c r="C8966" s="9">
        <f>IFERROR(__xludf.DUMMYFUNCTION("""COMPUTED_VALUE"""),45050.1620108796)</f>
        <v>45050.16201</v>
      </c>
      <c r="D8966" s="15">
        <f>IFERROR(__xludf.DUMMYFUNCTION("""COMPUTED_VALUE"""),1.024)</f>
        <v>1.024</v>
      </c>
      <c r="E8966" s="16">
        <f>IFERROR(__xludf.DUMMYFUNCTION("""COMPUTED_VALUE"""),62.0)</f>
        <v>62</v>
      </c>
      <c r="F8966" s="19" t="str">
        <f>IFERROR(__xludf.DUMMYFUNCTION("""COMPUTED_VALUE"""),"BLACK")</f>
        <v>BLACK</v>
      </c>
      <c r="G8966" s="20" t="str">
        <f>IFERROR(__xludf.DUMMYFUNCTION("""COMPUTED_VALUE"""),"Uncle Sams Cider (04/04/2023)")</f>
        <v>Uncle Sams Cider (04/04/2023)</v>
      </c>
      <c r="H8966" s="19"/>
    </row>
    <row r="8967">
      <c r="A8967" s="9"/>
      <c r="B8967" s="15"/>
      <c r="C8967" s="9">
        <f>IFERROR(__xludf.DUMMYFUNCTION("""COMPUTED_VALUE"""),45050.1515654629)</f>
        <v>45050.15157</v>
      </c>
      <c r="D8967" s="15">
        <f>IFERROR(__xludf.DUMMYFUNCTION("""COMPUTED_VALUE"""),1.024)</f>
        <v>1.024</v>
      </c>
      <c r="E8967" s="16">
        <f>IFERROR(__xludf.DUMMYFUNCTION("""COMPUTED_VALUE"""),62.0)</f>
        <v>62</v>
      </c>
      <c r="F8967" s="19" t="str">
        <f>IFERROR(__xludf.DUMMYFUNCTION("""COMPUTED_VALUE"""),"BLACK")</f>
        <v>BLACK</v>
      </c>
      <c r="G8967" s="20" t="str">
        <f>IFERROR(__xludf.DUMMYFUNCTION("""COMPUTED_VALUE"""),"Uncle Sams Cider (04/04/2023)")</f>
        <v>Uncle Sams Cider (04/04/2023)</v>
      </c>
      <c r="H8967" s="19"/>
    </row>
    <row r="8968">
      <c r="A8968" s="9"/>
      <c r="B8968" s="15"/>
      <c r="C8968" s="9">
        <f>IFERROR(__xludf.DUMMYFUNCTION("""COMPUTED_VALUE"""),45050.1411316203)</f>
        <v>45050.14113</v>
      </c>
      <c r="D8968" s="15">
        <f>IFERROR(__xludf.DUMMYFUNCTION("""COMPUTED_VALUE"""),1.024)</f>
        <v>1.024</v>
      </c>
      <c r="E8968" s="16">
        <f>IFERROR(__xludf.DUMMYFUNCTION("""COMPUTED_VALUE"""),63.0)</f>
        <v>63</v>
      </c>
      <c r="F8968" s="19" t="str">
        <f>IFERROR(__xludf.DUMMYFUNCTION("""COMPUTED_VALUE"""),"BLACK")</f>
        <v>BLACK</v>
      </c>
      <c r="G8968" s="20" t="str">
        <f>IFERROR(__xludf.DUMMYFUNCTION("""COMPUTED_VALUE"""),"Uncle Sams Cider (04/04/2023)")</f>
        <v>Uncle Sams Cider (04/04/2023)</v>
      </c>
      <c r="H8968" s="19"/>
    </row>
    <row r="8969">
      <c r="A8969" s="9"/>
      <c r="B8969" s="15"/>
      <c r="C8969" s="9">
        <f>IFERROR(__xludf.DUMMYFUNCTION("""COMPUTED_VALUE"""),45050.1306990393)</f>
        <v>45050.1307</v>
      </c>
      <c r="D8969" s="15">
        <f>IFERROR(__xludf.DUMMYFUNCTION("""COMPUTED_VALUE"""),1.024)</f>
        <v>1.024</v>
      </c>
      <c r="E8969" s="16">
        <f>IFERROR(__xludf.DUMMYFUNCTION("""COMPUTED_VALUE"""),62.0)</f>
        <v>62</v>
      </c>
      <c r="F8969" s="19" t="str">
        <f>IFERROR(__xludf.DUMMYFUNCTION("""COMPUTED_VALUE"""),"BLACK")</f>
        <v>BLACK</v>
      </c>
      <c r="G8969" s="20" t="str">
        <f>IFERROR(__xludf.DUMMYFUNCTION("""COMPUTED_VALUE"""),"Uncle Sams Cider (04/04/2023)")</f>
        <v>Uncle Sams Cider (04/04/2023)</v>
      </c>
      <c r="H8969" s="19"/>
    </row>
    <row r="8970">
      <c r="A8970" s="9"/>
      <c r="B8970" s="15"/>
      <c r="C8970" s="9">
        <f>IFERROR(__xludf.DUMMYFUNCTION("""COMPUTED_VALUE"""),45050.120267662)</f>
        <v>45050.12027</v>
      </c>
      <c r="D8970" s="15">
        <f>IFERROR(__xludf.DUMMYFUNCTION("""COMPUTED_VALUE"""),1.024)</f>
        <v>1.024</v>
      </c>
      <c r="E8970" s="16">
        <f>IFERROR(__xludf.DUMMYFUNCTION("""COMPUTED_VALUE"""),62.0)</f>
        <v>62</v>
      </c>
      <c r="F8970" s="19" t="str">
        <f>IFERROR(__xludf.DUMMYFUNCTION("""COMPUTED_VALUE"""),"BLACK")</f>
        <v>BLACK</v>
      </c>
      <c r="G8970" s="20" t="str">
        <f>IFERROR(__xludf.DUMMYFUNCTION("""COMPUTED_VALUE"""),"Uncle Sams Cider (04/04/2023)")</f>
        <v>Uncle Sams Cider (04/04/2023)</v>
      </c>
      <c r="H8970" s="19"/>
    </row>
    <row r="8971">
      <c r="A8971" s="9"/>
      <c r="B8971" s="15"/>
      <c r="C8971" s="9">
        <f>IFERROR(__xludf.DUMMYFUNCTION("""COMPUTED_VALUE"""),45050.1098464814)</f>
        <v>45050.10985</v>
      </c>
      <c r="D8971" s="15">
        <f>IFERROR(__xludf.DUMMYFUNCTION("""COMPUTED_VALUE"""),1.024)</f>
        <v>1.024</v>
      </c>
      <c r="E8971" s="16">
        <f>IFERROR(__xludf.DUMMYFUNCTION("""COMPUTED_VALUE"""),62.0)</f>
        <v>62</v>
      </c>
      <c r="F8971" s="19" t="str">
        <f>IFERROR(__xludf.DUMMYFUNCTION("""COMPUTED_VALUE"""),"BLACK")</f>
        <v>BLACK</v>
      </c>
      <c r="G8971" s="20" t="str">
        <f>IFERROR(__xludf.DUMMYFUNCTION("""COMPUTED_VALUE"""),"Uncle Sams Cider (04/04/2023)")</f>
        <v>Uncle Sams Cider (04/04/2023)</v>
      </c>
      <c r="H8971" s="19"/>
    </row>
    <row r="8972">
      <c r="A8972" s="9"/>
      <c r="B8972" s="15"/>
      <c r="C8972" s="9">
        <f>IFERROR(__xludf.DUMMYFUNCTION("""COMPUTED_VALUE"""),45050.0994260763)</f>
        <v>45050.09943</v>
      </c>
      <c r="D8972" s="15">
        <f>IFERROR(__xludf.DUMMYFUNCTION("""COMPUTED_VALUE"""),1.024)</f>
        <v>1.024</v>
      </c>
      <c r="E8972" s="16">
        <f>IFERROR(__xludf.DUMMYFUNCTION("""COMPUTED_VALUE"""),62.0)</f>
        <v>62</v>
      </c>
      <c r="F8972" s="19" t="str">
        <f>IFERROR(__xludf.DUMMYFUNCTION("""COMPUTED_VALUE"""),"BLACK")</f>
        <v>BLACK</v>
      </c>
      <c r="G8972" s="20" t="str">
        <f>IFERROR(__xludf.DUMMYFUNCTION("""COMPUTED_VALUE"""),"Uncle Sams Cider (04/04/2023)")</f>
        <v>Uncle Sams Cider (04/04/2023)</v>
      </c>
      <c r="H8972" s="19"/>
    </row>
    <row r="8973">
      <c r="A8973" s="9"/>
      <c r="B8973" s="15"/>
      <c r="C8973" s="9">
        <f>IFERROR(__xludf.DUMMYFUNCTION("""COMPUTED_VALUE"""),45050.0890048032)</f>
        <v>45050.089</v>
      </c>
      <c r="D8973" s="15">
        <f>IFERROR(__xludf.DUMMYFUNCTION("""COMPUTED_VALUE"""),1.024)</f>
        <v>1.024</v>
      </c>
      <c r="E8973" s="16">
        <f>IFERROR(__xludf.DUMMYFUNCTION("""COMPUTED_VALUE"""),62.0)</f>
        <v>62</v>
      </c>
      <c r="F8973" s="19" t="str">
        <f>IFERROR(__xludf.DUMMYFUNCTION("""COMPUTED_VALUE"""),"BLACK")</f>
        <v>BLACK</v>
      </c>
      <c r="G8973" s="20" t="str">
        <f>IFERROR(__xludf.DUMMYFUNCTION("""COMPUTED_VALUE"""),"Uncle Sams Cider (04/04/2023)")</f>
        <v>Uncle Sams Cider (04/04/2023)</v>
      </c>
      <c r="H8973" s="19"/>
    </row>
    <row r="8974">
      <c r="A8974" s="9"/>
      <c r="B8974" s="15"/>
      <c r="C8974" s="9">
        <f>IFERROR(__xludf.DUMMYFUNCTION("""COMPUTED_VALUE"""),45050.0785616203)</f>
        <v>45050.07856</v>
      </c>
      <c r="D8974" s="15">
        <f>IFERROR(__xludf.DUMMYFUNCTION("""COMPUTED_VALUE"""),1.024)</f>
        <v>1.024</v>
      </c>
      <c r="E8974" s="16">
        <f>IFERROR(__xludf.DUMMYFUNCTION("""COMPUTED_VALUE"""),62.0)</f>
        <v>62</v>
      </c>
      <c r="F8974" s="19" t="str">
        <f>IFERROR(__xludf.DUMMYFUNCTION("""COMPUTED_VALUE"""),"BLACK")</f>
        <v>BLACK</v>
      </c>
      <c r="G8974" s="20" t="str">
        <f>IFERROR(__xludf.DUMMYFUNCTION("""COMPUTED_VALUE"""),"Uncle Sams Cider (04/04/2023)")</f>
        <v>Uncle Sams Cider (04/04/2023)</v>
      </c>
      <c r="H8974" s="19"/>
    </row>
    <row r="8975">
      <c r="A8975" s="9"/>
      <c r="B8975" s="15"/>
      <c r="C8975" s="9">
        <f>IFERROR(__xludf.DUMMYFUNCTION("""COMPUTED_VALUE"""),45050.0681424074)</f>
        <v>45050.06814</v>
      </c>
      <c r="D8975" s="15">
        <f>IFERROR(__xludf.DUMMYFUNCTION("""COMPUTED_VALUE"""),1.024)</f>
        <v>1.024</v>
      </c>
      <c r="E8975" s="16">
        <f>IFERROR(__xludf.DUMMYFUNCTION("""COMPUTED_VALUE"""),62.0)</f>
        <v>62</v>
      </c>
      <c r="F8975" s="19" t="str">
        <f>IFERROR(__xludf.DUMMYFUNCTION("""COMPUTED_VALUE"""),"BLACK")</f>
        <v>BLACK</v>
      </c>
      <c r="G8975" s="20" t="str">
        <f>IFERROR(__xludf.DUMMYFUNCTION("""COMPUTED_VALUE"""),"Uncle Sams Cider (04/04/2023)")</f>
        <v>Uncle Sams Cider (04/04/2023)</v>
      </c>
      <c r="H8975" s="19"/>
    </row>
    <row r="8976">
      <c r="A8976" s="9"/>
      <c r="B8976" s="15"/>
      <c r="C8976" s="9">
        <f>IFERROR(__xludf.DUMMYFUNCTION("""COMPUTED_VALUE"""),45050.0576959027)</f>
        <v>45050.0577</v>
      </c>
      <c r="D8976" s="15">
        <f>IFERROR(__xludf.DUMMYFUNCTION("""COMPUTED_VALUE"""),1.024)</f>
        <v>1.024</v>
      </c>
      <c r="E8976" s="16">
        <f>IFERROR(__xludf.DUMMYFUNCTION("""COMPUTED_VALUE"""),63.0)</f>
        <v>63</v>
      </c>
      <c r="F8976" s="19" t="str">
        <f>IFERROR(__xludf.DUMMYFUNCTION("""COMPUTED_VALUE"""),"BLACK")</f>
        <v>BLACK</v>
      </c>
      <c r="G8976" s="20" t="str">
        <f>IFERROR(__xludf.DUMMYFUNCTION("""COMPUTED_VALUE"""),"Uncle Sams Cider (04/04/2023)")</f>
        <v>Uncle Sams Cider (04/04/2023)</v>
      </c>
      <c r="H8976" s="19"/>
    </row>
    <row r="8977">
      <c r="A8977" s="9"/>
      <c r="B8977" s="15"/>
      <c r="C8977" s="9">
        <f>IFERROR(__xludf.DUMMYFUNCTION("""COMPUTED_VALUE"""),45050.047250868)</f>
        <v>45050.04725</v>
      </c>
      <c r="D8977" s="15">
        <f>IFERROR(__xludf.DUMMYFUNCTION("""COMPUTED_VALUE"""),1.024)</f>
        <v>1.024</v>
      </c>
      <c r="E8977" s="16">
        <f>IFERROR(__xludf.DUMMYFUNCTION("""COMPUTED_VALUE"""),63.0)</f>
        <v>63</v>
      </c>
      <c r="F8977" s="19" t="str">
        <f>IFERROR(__xludf.DUMMYFUNCTION("""COMPUTED_VALUE"""),"BLACK")</f>
        <v>BLACK</v>
      </c>
      <c r="G8977" s="20" t="str">
        <f>IFERROR(__xludf.DUMMYFUNCTION("""COMPUTED_VALUE"""),"Uncle Sams Cider (04/04/2023)")</f>
        <v>Uncle Sams Cider (04/04/2023)</v>
      </c>
      <c r="H8977" s="19"/>
    </row>
    <row r="8978">
      <c r="A8978" s="9"/>
      <c r="B8978" s="15"/>
      <c r="C8978" s="9">
        <f>IFERROR(__xludf.DUMMYFUNCTION("""COMPUTED_VALUE"""),45050.0368280555)</f>
        <v>45050.03683</v>
      </c>
      <c r="D8978" s="15">
        <f>IFERROR(__xludf.DUMMYFUNCTION("""COMPUTED_VALUE"""),1.024)</f>
        <v>1.024</v>
      </c>
      <c r="E8978" s="16">
        <f>IFERROR(__xludf.DUMMYFUNCTION("""COMPUTED_VALUE"""),63.0)</f>
        <v>63</v>
      </c>
      <c r="F8978" s="19" t="str">
        <f>IFERROR(__xludf.DUMMYFUNCTION("""COMPUTED_VALUE"""),"BLACK")</f>
        <v>BLACK</v>
      </c>
      <c r="G8978" s="20" t="str">
        <f>IFERROR(__xludf.DUMMYFUNCTION("""COMPUTED_VALUE"""),"Uncle Sams Cider (04/04/2023)")</f>
        <v>Uncle Sams Cider (04/04/2023)</v>
      </c>
      <c r="H8978" s="19"/>
    </row>
    <row r="8979">
      <c r="A8979" s="9"/>
      <c r="B8979" s="15"/>
      <c r="C8979" s="9">
        <f>IFERROR(__xludf.DUMMYFUNCTION("""COMPUTED_VALUE"""),45050.0264064351)</f>
        <v>45050.02641</v>
      </c>
      <c r="D8979" s="15">
        <f>IFERROR(__xludf.DUMMYFUNCTION("""COMPUTED_VALUE"""),1.024)</f>
        <v>1.024</v>
      </c>
      <c r="E8979" s="16">
        <f>IFERROR(__xludf.DUMMYFUNCTION("""COMPUTED_VALUE"""),63.0)</f>
        <v>63</v>
      </c>
      <c r="F8979" s="19" t="str">
        <f>IFERROR(__xludf.DUMMYFUNCTION("""COMPUTED_VALUE"""),"BLACK")</f>
        <v>BLACK</v>
      </c>
      <c r="G8979" s="20" t="str">
        <f>IFERROR(__xludf.DUMMYFUNCTION("""COMPUTED_VALUE"""),"Uncle Sams Cider (04/04/2023)")</f>
        <v>Uncle Sams Cider (04/04/2023)</v>
      </c>
      <c r="H8979" s="19"/>
    </row>
    <row r="8980">
      <c r="A8980" s="9"/>
      <c r="B8980" s="15"/>
      <c r="C8980" s="9">
        <f>IFERROR(__xludf.DUMMYFUNCTION("""COMPUTED_VALUE"""),45050.0159847569)</f>
        <v>45050.01598</v>
      </c>
      <c r="D8980" s="15">
        <f>IFERROR(__xludf.DUMMYFUNCTION("""COMPUTED_VALUE"""),1.024)</f>
        <v>1.024</v>
      </c>
      <c r="E8980" s="16">
        <f>IFERROR(__xludf.DUMMYFUNCTION("""COMPUTED_VALUE"""),63.0)</f>
        <v>63</v>
      </c>
      <c r="F8980" s="19" t="str">
        <f>IFERROR(__xludf.DUMMYFUNCTION("""COMPUTED_VALUE"""),"BLACK")</f>
        <v>BLACK</v>
      </c>
      <c r="G8980" s="20" t="str">
        <f>IFERROR(__xludf.DUMMYFUNCTION("""COMPUTED_VALUE"""),"Uncle Sams Cider (04/04/2023)")</f>
        <v>Uncle Sams Cider (04/04/2023)</v>
      </c>
      <c r="H8980" s="19"/>
    </row>
    <row r="8981">
      <c r="A8981" s="9"/>
      <c r="B8981" s="15"/>
      <c r="C8981" s="9">
        <f>IFERROR(__xludf.DUMMYFUNCTION("""COMPUTED_VALUE"""),45050.0055620138)</f>
        <v>45050.00556</v>
      </c>
      <c r="D8981" s="15">
        <f>IFERROR(__xludf.DUMMYFUNCTION("""COMPUTED_VALUE"""),1.024)</f>
        <v>1.024</v>
      </c>
      <c r="E8981" s="16">
        <f>IFERROR(__xludf.DUMMYFUNCTION("""COMPUTED_VALUE"""),63.0)</f>
        <v>63</v>
      </c>
      <c r="F8981" s="19" t="str">
        <f>IFERROR(__xludf.DUMMYFUNCTION("""COMPUTED_VALUE"""),"BLACK")</f>
        <v>BLACK</v>
      </c>
      <c r="G8981" s="20" t="str">
        <f>IFERROR(__xludf.DUMMYFUNCTION("""COMPUTED_VALUE"""),"Uncle Sams Cider (04/04/2023)")</f>
        <v>Uncle Sams Cider (04/04/2023)</v>
      </c>
      <c r="H8981" s="19"/>
    </row>
    <row r="8982">
      <c r="A8982" s="9"/>
      <c r="B8982" s="15"/>
      <c r="C8982" s="9">
        <f>IFERROR(__xludf.DUMMYFUNCTION("""COMPUTED_VALUE"""),45049.9951409259)</f>
        <v>45049.99514</v>
      </c>
      <c r="D8982" s="15">
        <f>IFERROR(__xludf.DUMMYFUNCTION("""COMPUTED_VALUE"""),1.024)</f>
        <v>1.024</v>
      </c>
      <c r="E8982" s="16">
        <f>IFERROR(__xludf.DUMMYFUNCTION("""COMPUTED_VALUE"""),63.0)</f>
        <v>63</v>
      </c>
      <c r="F8982" s="19" t="str">
        <f>IFERROR(__xludf.DUMMYFUNCTION("""COMPUTED_VALUE"""),"BLACK")</f>
        <v>BLACK</v>
      </c>
      <c r="G8982" s="20" t="str">
        <f>IFERROR(__xludf.DUMMYFUNCTION("""COMPUTED_VALUE"""),"Uncle Sams Cider (04/04/2023)")</f>
        <v>Uncle Sams Cider (04/04/2023)</v>
      </c>
      <c r="H8982" s="19"/>
    </row>
    <row r="8983">
      <c r="A8983" s="9"/>
      <c r="B8983" s="15"/>
      <c r="C8983" s="9">
        <f>IFERROR(__xludf.DUMMYFUNCTION("""COMPUTED_VALUE"""),45049.9847075463)</f>
        <v>45049.98471</v>
      </c>
      <c r="D8983" s="15">
        <f>IFERROR(__xludf.DUMMYFUNCTION("""COMPUTED_VALUE"""),1.024)</f>
        <v>1.024</v>
      </c>
      <c r="E8983" s="16">
        <f>IFERROR(__xludf.DUMMYFUNCTION("""COMPUTED_VALUE"""),63.0)</f>
        <v>63</v>
      </c>
      <c r="F8983" s="19" t="str">
        <f>IFERROR(__xludf.DUMMYFUNCTION("""COMPUTED_VALUE"""),"BLACK")</f>
        <v>BLACK</v>
      </c>
      <c r="G8983" s="20" t="str">
        <f>IFERROR(__xludf.DUMMYFUNCTION("""COMPUTED_VALUE"""),"Uncle Sams Cider (04/04/2023)")</f>
        <v>Uncle Sams Cider (04/04/2023)</v>
      </c>
      <c r="H8983" s="19"/>
    </row>
    <row r="8984">
      <c r="A8984" s="9"/>
      <c r="B8984" s="15"/>
      <c r="C8984" s="9">
        <f>IFERROR(__xludf.DUMMYFUNCTION("""COMPUTED_VALUE"""),45049.9742881944)</f>
        <v>45049.97429</v>
      </c>
      <c r="D8984" s="15">
        <f>IFERROR(__xludf.DUMMYFUNCTION("""COMPUTED_VALUE"""),1.024)</f>
        <v>1.024</v>
      </c>
      <c r="E8984" s="16">
        <f>IFERROR(__xludf.DUMMYFUNCTION("""COMPUTED_VALUE"""),63.0)</f>
        <v>63</v>
      </c>
      <c r="F8984" s="19" t="str">
        <f>IFERROR(__xludf.DUMMYFUNCTION("""COMPUTED_VALUE"""),"BLACK")</f>
        <v>BLACK</v>
      </c>
      <c r="G8984" s="20" t="str">
        <f>IFERROR(__xludf.DUMMYFUNCTION("""COMPUTED_VALUE"""),"Uncle Sams Cider (04/04/2023)")</f>
        <v>Uncle Sams Cider (04/04/2023)</v>
      </c>
      <c r="H8984" s="19"/>
    </row>
    <row r="8985">
      <c r="A8985" s="9"/>
      <c r="B8985" s="15"/>
      <c r="C8985" s="9">
        <f>IFERROR(__xludf.DUMMYFUNCTION("""COMPUTED_VALUE"""),45049.9638673379)</f>
        <v>45049.96387</v>
      </c>
      <c r="D8985" s="15">
        <f>IFERROR(__xludf.DUMMYFUNCTION("""COMPUTED_VALUE"""),1.024)</f>
        <v>1.024</v>
      </c>
      <c r="E8985" s="16">
        <f>IFERROR(__xludf.DUMMYFUNCTION("""COMPUTED_VALUE"""),63.0)</f>
        <v>63</v>
      </c>
      <c r="F8985" s="19" t="str">
        <f>IFERROR(__xludf.DUMMYFUNCTION("""COMPUTED_VALUE"""),"BLACK")</f>
        <v>BLACK</v>
      </c>
      <c r="G8985" s="20" t="str">
        <f>IFERROR(__xludf.DUMMYFUNCTION("""COMPUTED_VALUE"""),"Uncle Sams Cider (04/04/2023)")</f>
        <v>Uncle Sams Cider (04/04/2023)</v>
      </c>
      <c r="H8985" s="19"/>
    </row>
    <row r="8986">
      <c r="A8986" s="9"/>
      <c r="B8986" s="15"/>
      <c r="C8986" s="9">
        <f>IFERROR(__xludf.DUMMYFUNCTION("""COMPUTED_VALUE"""),45049.9534328356)</f>
        <v>45049.95343</v>
      </c>
      <c r="D8986" s="15">
        <f>IFERROR(__xludf.DUMMYFUNCTION("""COMPUTED_VALUE"""),1.024)</f>
        <v>1.024</v>
      </c>
      <c r="E8986" s="16">
        <f>IFERROR(__xludf.DUMMYFUNCTION("""COMPUTED_VALUE"""),63.0)</f>
        <v>63</v>
      </c>
      <c r="F8986" s="19" t="str">
        <f>IFERROR(__xludf.DUMMYFUNCTION("""COMPUTED_VALUE"""),"BLACK")</f>
        <v>BLACK</v>
      </c>
      <c r="G8986" s="20" t="str">
        <f>IFERROR(__xludf.DUMMYFUNCTION("""COMPUTED_VALUE"""),"Uncle Sams Cider (04/04/2023)")</f>
        <v>Uncle Sams Cider (04/04/2023)</v>
      </c>
      <c r="H8986" s="19"/>
    </row>
    <row r="8987">
      <c r="A8987" s="9"/>
      <c r="B8987" s="15"/>
      <c r="C8987" s="9">
        <f>IFERROR(__xludf.DUMMYFUNCTION("""COMPUTED_VALUE"""),45049.9429895833)</f>
        <v>45049.94299</v>
      </c>
      <c r="D8987" s="15">
        <f>IFERROR(__xludf.DUMMYFUNCTION("""COMPUTED_VALUE"""),1.024)</f>
        <v>1.024</v>
      </c>
      <c r="E8987" s="16">
        <f>IFERROR(__xludf.DUMMYFUNCTION("""COMPUTED_VALUE"""),63.0)</f>
        <v>63</v>
      </c>
      <c r="F8987" s="19" t="str">
        <f>IFERROR(__xludf.DUMMYFUNCTION("""COMPUTED_VALUE"""),"BLACK")</f>
        <v>BLACK</v>
      </c>
      <c r="G8987" s="20" t="str">
        <f>IFERROR(__xludf.DUMMYFUNCTION("""COMPUTED_VALUE"""),"Uncle Sams Cider (04/04/2023)")</f>
        <v>Uncle Sams Cider (04/04/2023)</v>
      </c>
      <c r="H8987" s="19"/>
    </row>
    <row r="8988">
      <c r="A8988" s="9"/>
      <c r="B8988" s="15"/>
      <c r="C8988" s="9">
        <f>IFERROR(__xludf.DUMMYFUNCTION("""COMPUTED_VALUE"""),45049.9325688194)</f>
        <v>45049.93257</v>
      </c>
      <c r="D8988" s="15">
        <f>IFERROR(__xludf.DUMMYFUNCTION("""COMPUTED_VALUE"""),1.024)</f>
        <v>1.024</v>
      </c>
      <c r="E8988" s="16">
        <f>IFERROR(__xludf.DUMMYFUNCTION("""COMPUTED_VALUE"""),63.0)</f>
        <v>63</v>
      </c>
      <c r="F8988" s="19" t="str">
        <f>IFERROR(__xludf.DUMMYFUNCTION("""COMPUTED_VALUE"""),"BLACK")</f>
        <v>BLACK</v>
      </c>
      <c r="G8988" s="20" t="str">
        <f>IFERROR(__xludf.DUMMYFUNCTION("""COMPUTED_VALUE"""),"Uncle Sams Cider (04/04/2023)")</f>
        <v>Uncle Sams Cider (04/04/2023)</v>
      </c>
      <c r="H8988" s="19"/>
    </row>
    <row r="8989">
      <c r="A8989" s="9"/>
      <c r="B8989" s="15"/>
      <c r="C8989" s="9">
        <f>IFERROR(__xludf.DUMMYFUNCTION("""COMPUTED_VALUE"""),45049.9221003703)</f>
        <v>45049.9221</v>
      </c>
      <c r="D8989" s="15">
        <f>IFERROR(__xludf.DUMMYFUNCTION("""COMPUTED_VALUE"""),1.024)</f>
        <v>1.024</v>
      </c>
      <c r="E8989" s="16">
        <f>IFERROR(__xludf.DUMMYFUNCTION("""COMPUTED_VALUE"""),63.0)</f>
        <v>63</v>
      </c>
      <c r="F8989" s="19" t="str">
        <f>IFERROR(__xludf.DUMMYFUNCTION("""COMPUTED_VALUE"""),"BLACK")</f>
        <v>BLACK</v>
      </c>
      <c r="G8989" s="20" t="str">
        <f>IFERROR(__xludf.DUMMYFUNCTION("""COMPUTED_VALUE"""),"Uncle Sams Cider (04/04/2023)")</f>
        <v>Uncle Sams Cider (04/04/2023)</v>
      </c>
      <c r="H8989" s="19"/>
    </row>
    <row r="8990">
      <c r="A8990" s="9"/>
      <c r="B8990" s="15"/>
      <c r="C8990" s="9">
        <f>IFERROR(__xludf.DUMMYFUNCTION("""COMPUTED_VALUE"""),45049.9116803935)</f>
        <v>45049.91168</v>
      </c>
      <c r="D8990" s="15">
        <f>IFERROR(__xludf.DUMMYFUNCTION("""COMPUTED_VALUE"""),1.024)</f>
        <v>1.024</v>
      </c>
      <c r="E8990" s="16">
        <f>IFERROR(__xludf.DUMMYFUNCTION("""COMPUTED_VALUE"""),63.0)</f>
        <v>63</v>
      </c>
      <c r="F8990" s="19" t="str">
        <f>IFERROR(__xludf.DUMMYFUNCTION("""COMPUTED_VALUE"""),"BLACK")</f>
        <v>BLACK</v>
      </c>
      <c r="G8990" s="20" t="str">
        <f>IFERROR(__xludf.DUMMYFUNCTION("""COMPUTED_VALUE"""),"Uncle Sams Cider (04/04/2023)")</f>
        <v>Uncle Sams Cider (04/04/2023)</v>
      </c>
      <c r="H8990" s="19"/>
    </row>
    <row r="8991">
      <c r="A8991" s="9"/>
      <c r="B8991" s="15"/>
      <c r="C8991" s="9">
        <f>IFERROR(__xludf.DUMMYFUNCTION("""COMPUTED_VALUE"""),45049.90125853)</f>
        <v>45049.90126</v>
      </c>
      <c r="D8991" s="15">
        <f>IFERROR(__xludf.DUMMYFUNCTION("""COMPUTED_VALUE"""),1.024)</f>
        <v>1.024</v>
      </c>
      <c r="E8991" s="16">
        <f>IFERROR(__xludf.DUMMYFUNCTION("""COMPUTED_VALUE"""),63.0)</f>
        <v>63</v>
      </c>
      <c r="F8991" s="19" t="str">
        <f>IFERROR(__xludf.DUMMYFUNCTION("""COMPUTED_VALUE"""),"BLACK")</f>
        <v>BLACK</v>
      </c>
      <c r="G8991" s="20" t="str">
        <f>IFERROR(__xludf.DUMMYFUNCTION("""COMPUTED_VALUE"""),"Uncle Sams Cider (04/04/2023)")</f>
        <v>Uncle Sams Cider (04/04/2023)</v>
      </c>
      <c r="H8991" s="19"/>
    </row>
    <row r="8992">
      <c r="A8992" s="9"/>
      <c r="B8992" s="15"/>
      <c r="C8992" s="9">
        <f>IFERROR(__xludf.DUMMYFUNCTION("""COMPUTED_VALUE"""),45049.8908238657)</f>
        <v>45049.89082</v>
      </c>
      <c r="D8992" s="15">
        <f>IFERROR(__xludf.DUMMYFUNCTION("""COMPUTED_VALUE"""),1.024)</f>
        <v>1.024</v>
      </c>
      <c r="E8992" s="16">
        <f>IFERROR(__xludf.DUMMYFUNCTION("""COMPUTED_VALUE"""),63.0)</f>
        <v>63</v>
      </c>
      <c r="F8992" s="19" t="str">
        <f>IFERROR(__xludf.DUMMYFUNCTION("""COMPUTED_VALUE"""),"BLACK")</f>
        <v>BLACK</v>
      </c>
      <c r="G8992" s="20" t="str">
        <f>IFERROR(__xludf.DUMMYFUNCTION("""COMPUTED_VALUE"""),"Uncle Sams Cider (04/04/2023)")</f>
        <v>Uncle Sams Cider (04/04/2023)</v>
      </c>
      <c r="H8992" s="19"/>
    </row>
    <row r="8993">
      <c r="A8993" s="9"/>
      <c r="B8993" s="15"/>
      <c r="C8993" s="9">
        <f>IFERROR(__xludf.DUMMYFUNCTION("""COMPUTED_VALUE"""),45049.8804035185)</f>
        <v>45049.8804</v>
      </c>
      <c r="D8993" s="15">
        <f>IFERROR(__xludf.DUMMYFUNCTION("""COMPUTED_VALUE"""),1.025)</f>
        <v>1.025</v>
      </c>
      <c r="E8993" s="16">
        <f>IFERROR(__xludf.DUMMYFUNCTION("""COMPUTED_VALUE"""),63.0)</f>
        <v>63</v>
      </c>
      <c r="F8993" s="19" t="str">
        <f>IFERROR(__xludf.DUMMYFUNCTION("""COMPUTED_VALUE"""),"BLACK")</f>
        <v>BLACK</v>
      </c>
      <c r="G8993" s="20" t="str">
        <f>IFERROR(__xludf.DUMMYFUNCTION("""COMPUTED_VALUE"""),"Uncle Sams Cider (04/04/2023)")</f>
        <v>Uncle Sams Cider (04/04/2023)</v>
      </c>
      <c r="H8993" s="19"/>
    </row>
    <row r="8994">
      <c r="A8994" s="9"/>
      <c r="B8994" s="15"/>
      <c r="C8994" s="9">
        <f>IFERROR(__xludf.DUMMYFUNCTION("""COMPUTED_VALUE"""),45049.8699827314)</f>
        <v>45049.86998</v>
      </c>
      <c r="D8994" s="15">
        <f>IFERROR(__xludf.DUMMYFUNCTION("""COMPUTED_VALUE"""),1.024)</f>
        <v>1.024</v>
      </c>
      <c r="E8994" s="16">
        <f>IFERROR(__xludf.DUMMYFUNCTION("""COMPUTED_VALUE"""),63.0)</f>
        <v>63</v>
      </c>
      <c r="F8994" s="19" t="str">
        <f>IFERROR(__xludf.DUMMYFUNCTION("""COMPUTED_VALUE"""),"BLACK")</f>
        <v>BLACK</v>
      </c>
      <c r="G8994" s="20" t="str">
        <f>IFERROR(__xludf.DUMMYFUNCTION("""COMPUTED_VALUE"""),"Uncle Sams Cider (04/04/2023)")</f>
        <v>Uncle Sams Cider (04/04/2023)</v>
      </c>
      <c r="H8994" s="19"/>
    </row>
    <row r="8995">
      <c r="A8995" s="9"/>
      <c r="B8995" s="15"/>
      <c r="C8995" s="9">
        <f>IFERROR(__xludf.DUMMYFUNCTION("""COMPUTED_VALUE"""),45049.8595629513)</f>
        <v>45049.85956</v>
      </c>
      <c r="D8995" s="15">
        <f>IFERROR(__xludf.DUMMYFUNCTION("""COMPUTED_VALUE"""),1.024)</f>
        <v>1.024</v>
      </c>
      <c r="E8995" s="16">
        <f>IFERROR(__xludf.DUMMYFUNCTION("""COMPUTED_VALUE"""),63.0)</f>
        <v>63</v>
      </c>
      <c r="F8995" s="19" t="str">
        <f>IFERROR(__xludf.DUMMYFUNCTION("""COMPUTED_VALUE"""),"BLACK")</f>
        <v>BLACK</v>
      </c>
      <c r="G8995" s="20" t="str">
        <f>IFERROR(__xludf.DUMMYFUNCTION("""COMPUTED_VALUE"""),"Uncle Sams Cider (04/04/2023)")</f>
        <v>Uncle Sams Cider (04/04/2023)</v>
      </c>
      <c r="H8995" s="19"/>
    </row>
    <row r="8996">
      <c r="A8996" s="9"/>
      <c r="B8996" s="15"/>
      <c r="C8996" s="9">
        <f>IFERROR(__xludf.DUMMYFUNCTION("""COMPUTED_VALUE"""),45049.849130625)</f>
        <v>45049.84913</v>
      </c>
      <c r="D8996" s="15">
        <f>IFERROR(__xludf.DUMMYFUNCTION("""COMPUTED_VALUE"""),1.024)</f>
        <v>1.024</v>
      </c>
      <c r="E8996" s="16">
        <f>IFERROR(__xludf.DUMMYFUNCTION("""COMPUTED_VALUE"""),63.0)</f>
        <v>63</v>
      </c>
      <c r="F8996" s="19" t="str">
        <f>IFERROR(__xludf.DUMMYFUNCTION("""COMPUTED_VALUE"""),"BLACK")</f>
        <v>BLACK</v>
      </c>
      <c r="G8996" s="20" t="str">
        <f>IFERROR(__xludf.DUMMYFUNCTION("""COMPUTED_VALUE"""),"Uncle Sams Cider (04/04/2023)")</f>
        <v>Uncle Sams Cider (04/04/2023)</v>
      </c>
      <c r="H8996" s="19"/>
    </row>
    <row r="8997">
      <c r="A8997" s="9"/>
      <c r="B8997" s="15"/>
      <c r="C8997" s="9">
        <f>IFERROR(__xludf.DUMMYFUNCTION("""COMPUTED_VALUE"""),45049.8387113425)</f>
        <v>45049.83871</v>
      </c>
      <c r="D8997" s="15">
        <f>IFERROR(__xludf.DUMMYFUNCTION("""COMPUTED_VALUE"""),1.024)</f>
        <v>1.024</v>
      </c>
      <c r="E8997" s="16">
        <f>IFERROR(__xludf.DUMMYFUNCTION("""COMPUTED_VALUE"""),63.0)</f>
        <v>63</v>
      </c>
      <c r="F8997" s="19" t="str">
        <f>IFERROR(__xludf.DUMMYFUNCTION("""COMPUTED_VALUE"""),"BLACK")</f>
        <v>BLACK</v>
      </c>
      <c r="G8997" s="20" t="str">
        <f>IFERROR(__xludf.DUMMYFUNCTION("""COMPUTED_VALUE"""),"Uncle Sams Cider (04/04/2023)")</f>
        <v>Uncle Sams Cider (04/04/2023)</v>
      </c>
      <c r="H8997" s="19"/>
    </row>
    <row r="8998">
      <c r="A8998" s="9"/>
      <c r="B8998" s="15"/>
      <c r="C8998" s="9">
        <f>IFERROR(__xludf.DUMMYFUNCTION("""COMPUTED_VALUE"""),45049.8282906828)</f>
        <v>45049.82829</v>
      </c>
      <c r="D8998" s="15">
        <f>IFERROR(__xludf.DUMMYFUNCTION("""COMPUTED_VALUE"""),1.024)</f>
        <v>1.024</v>
      </c>
      <c r="E8998" s="16">
        <f>IFERROR(__xludf.DUMMYFUNCTION("""COMPUTED_VALUE"""),63.0)</f>
        <v>63</v>
      </c>
      <c r="F8998" s="19" t="str">
        <f>IFERROR(__xludf.DUMMYFUNCTION("""COMPUTED_VALUE"""),"BLACK")</f>
        <v>BLACK</v>
      </c>
      <c r="G8998" s="20" t="str">
        <f>IFERROR(__xludf.DUMMYFUNCTION("""COMPUTED_VALUE"""),"Uncle Sams Cider (04/04/2023)")</f>
        <v>Uncle Sams Cider (04/04/2023)</v>
      </c>
      <c r="H8998" s="19"/>
    </row>
    <row r="8999">
      <c r="A8999" s="9"/>
      <c r="B8999" s="15"/>
      <c r="C8999" s="9">
        <f>IFERROR(__xludf.DUMMYFUNCTION("""COMPUTED_VALUE"""),45049.8178688194)</f>
        <v>45049.81787</v>
      </c>
      <c r="D8999" s="15">
        <f>IFERROR(__xludf.DUMMYFUNCTION("""COMPUTED_VALUE"""),1.025)</f>
        <v>1.025</v>
      </c>
      <c r="E8999" s="16">
        <f>IFERROR(__xludf.DUMMYFUNCTION("""COMPUTED_VALUE"""),63.0)</f>
        <v>63</v>
      </c>
      <c r="F8999" s="19" t="str">
        <f>IFERROR(__xludf.DUMMYFUNCTION("""COMPUTED_VALUE"""),"BLACK")</f>
        <v>BLACK</v>
      </c>
      <c r="G8999" s="20" t="str">
        <f>IFERROR(__xludf.DUMMYFUNCTION("""COMPUTED_VALUE"""),"Uncle Sams Cider (04/04/2023)")</f>
        <v>Uncle Sams Cider (04/04/2023)</v>
      </c>
      <c r="H8999" s="19"/>
    </row>
    <row r="9000">
      <c r="A9000" s="9"/>
      <c r="B9000" s="15"/>
      <c r="C9000" s="9">
        <f>IFERROR(__xludf.DUMMYFUNCTION("""COMPUTED_VALUE"""),45049.8073877314)</f>
        <v>45049.80739</v>
      </c>
      <c r="D9000" s="15">
        <f>IFERROR(__xludf.DUMMYFUNCTION("""COMPUTED_VALUE"""),1.024)</f>
        <v>1.024</v>
      </c>
      <c r="E9000" s="16">
        <f>IFERROR(__xludf.DUMMYFUNCTION("""COMPUTED_VALUE"""),63.0)</f>
        <v>63</v>
      </c>
      <c r="F9000" s="19" t="str">
        <f>IFERROR(__xludf.DUMMYFUNCTION("""COMPUTED_VALUE"""),"BLACK")</f>
        <v>BLACK</v>
      </c>
      <c r="G9000" s="20" t="str">
        <f>IFERROR(__xludf.DUMMYFUNCTION("""COMPUTED_VALUE"""),"Uncle Sams Cider (04/04/2023)")</f>
        <v>Uncle Sams Cider (04/04/2023)</v>
      </c>
      <c r="H9000" s="19"/>
    </row>
    <row r="9001">
      <c r="A9001" s="9"/>
      <c r="B9001" s="15"/>
      <c r="C9001" s="9">
        <f>IFERROR(__xludf.DUMMYFUNCTION("""COMPUTED_VALUE"""),45049.79696603)</f>
        <v>45049.79697</v>
      </c>
      <c r="D9001" s="15">
        <f>IFERROR(__xludf.DUMMYFUNCTION("""COMPUTED_VALUE"""),1.024)</f>
        <v>1.024</v>
      </c>
      <c r="E9001" s="16">
        <f>IFERROR(__xludf.DUMMYFUNCTION("""COMPUTED_VALUE"""),63.0)</f>
        <v>63</v>
      </c>
      <c r="F9001" s="19" t="str">
        <f>IFERROR(__xludf.DUMMYFUNCTION("""COMPUTED_VALUE"""),"BLACK")</f>
        <v>BLACK</v>
      </c>
      <c r="G9001" s="20" t="str">
        <f>IFERROR(__xludf.DUMMYFUNCTION("""COMPUTED_VALUE"""),"Uncle Sams Cider (04/04/2023)")</f>
        <v>Uncle Sams Cider (04/04/2023)</v>
      </c>
      <c r="H9001" s="19"/>
    </row>
    <row r="9002">
      <c r="A9002" s="9"/>
      <c r="B9002" s="15"/>
      <c r="C9002" s="9">
        <f>IFERROR(__xludf.DUMMYFUNCTION("""COMPUTED_VALUE"""),45049.7865458333)</f>
        <v>45049.78655</v>
      </c>
      <c r="D9002" s="15">
        <f>IFERROR(__xludf.DUMMYFUNCTION("""COMPUTED_VALUE"""),1.024)</f>
        <v>1.024</v>
      </c>
      <c r="E9002" s="16">
        <f>IFERROR(__xludf.DUMMYFUNCTION("""COMPUTED_VALUE"""),63.0)</f>
        <v>63</v>
      </c>
      <c r="F9002" s="19" t="str">
        <f>IFERROR(__xludf.DUMMYFUNCTION("""COMPUTED_VALUE"""),"BLACK")</f>
        <v>BLACK</v>
      </c>
      <c r="G9002" s="20" t="str">
        <f>IFERROR(__xludf.DUMMYFUNCTION("""COMPUTED_VALUE"""),"Uncle Sams Cider (04/04/2023)")</f>
        <v>Uncle Sams Cider (04/04/2023)</v>
      </c>
      <c r="H9002" s="19"/>
    </row>
    <row r="9003">
      <c r="A9003" s="9"/>
      <c r="B9003" s="15"/>
      <c r="C9003" s="9">
        <f>IFERROR(__xludf.DUMMYFUNCTION("""COMPUTED_VALUE"""),45049.7760882986)</f>
        <v>45049.77609</v>
      </c>
      <c r="D9003" s="15">
        <f>IFERROR(__xludf.DUMMYFUNCTION("""COMPUTED_VALUE"""),1.024)</f>
        <v>1.024</v>
      </c>
      <c r="E9003" s="16">
        <f>IFERROR(__xludf.DUMMYFUNCTION("""COMPUTED_VALUE"""),63.0)</f>
        <v>63</v>
      </c>
      <c r="F9003" s="19" t="str">
        <f>IFERROR(__xludf.DUMMYFUNCTION("""COMPUTED_VALUE"""),"BLACK")</f>
        <v>BLACK</v>
      </c>
      <c r="G9003" s="20" t="str">
        <f>IFERROR(__xludf.DUMMYFUNCTION("""COMPUTED_VALUE"""),"Uncle Sams Cider (04/04/2023)")</f>
        <v>Uncle Sams Cider (04/04/2023)</v>
      </c>
      <c r="H9003" s="19"/>
    </row>
    <row r="9004">
      <c r="A9004" s="9"/>
      <c r="B9004" s="15"/>
      <c r="C9004" s="9">
        <f>IFERROR(__xludf.DUMMYFUNCTION("""COMPUTED_VALUE"""),45049.7656293055)</f>
        <v>45049.76563</v>
      </c>
      <c r="D9004" s="15">
        <f>IFERROR(__xludf.DUMMYFUNCTION("""COMPUTED_VALUE"""),1.024)</f>
        <v>1.024</v>
      </c>
      <c r="E9004" s="16">
        <f>IFERROR(__xludf.DUMMYFUNCTION("""COMPUTED_VALUE"""),63.0)</f>
        <v>63</v>
      </c>
      <c r="F9004" s="19" t="str">
        <f>IFERROR(__xludf.DUMMYFUNCTION("""COMPUTED_VALUE"""),"BLACK")</f>
        <v>BLACK</v>
      </c>
      <c r="G9004" s="20" t="str">
        <f>IFERROR(__xludf.DUMMYFUNCTION("""COMPUTED_VALUE"""),"Uncle Sams Cider (04/04/2023)")</f>
        <v>Uncle Sams Cider (04/04/2023)</v>
      </c>
      <c r="H9004" s="19"/>
    </row>
    <row r="9005">
      <c r="A9005" s="9"/>
      <c r="B9005" s="15"/>
      <c r="C9005" s="9">
        <f>IFERROR(__xludf.DUMMYFUNCTION("""COMPUTED_VALUE"""),45049.7551955902)</f>
        <v>45049.7552</v>
      </c>
      <c r="D9005" s="15">
        <f>IFERROR(__xludf.DUMMYFUNCTION("""COMPUTED_VALUE"""),1.025)</f>
        <v>1.025</v>
      </c>
      <c r="E9005" s="16">
        <f>IFERROR(__xludf.DUMMYFUNCTION("""COMPUTED_VALUE"""),63.0)</f>
        <v>63</v>
      </c>
      <c r="F9005" s="19" t="str">
        <f>IFERROR(__xludf.DUMMYFUNCTION("""COMPUTED_VALUE"""),"BLACK")</f>
        <v>BLACK</v>
      </c>
      <c r="G9005" s="20" t="str">
        <f>IFERROR(__xludf.DUMMYFUNCTION("""COMPUTED_VALUE"""),"Uncle Sams Cider (04/04/2023)")</f>
        <v>Uncle Sams Cider (04/04/2023)</v>
      </c>
      <c r="H9005" s="19"/>
    </row>
    <row r="9006">
      <c r="A9006" s="9"/>
      <c r="B9006" s="15"/>
      <c r="C9006" s="9">
        <f>IFERROR(__xludf.DUMMYFUNCTION("""COMPUTED_VALUE"""),45049.7447747222)</f>
        <v>45049.74477</v>
      </c>
      <c r="D9006" s="15">
        <f>IFERROR(__xludf.DUMMYFUNCTION("""COMPUTED_VALUE"""),1.025)</f>
        <v>1.025</v>
      </c>
      <c r="E9006" s="16">
        <f>IFERROR(__xludf.DUMMYFUNCTION("""COMPUTED_VALUE"""),63.0)</f>
        <v>63</v>
      </c>
      <c r="F9006" s="19" t="str">
        <f>IFERROR(__xludf.DUMMYFUNCTION("""COMPUTED_VALUE"""),"BLACK")</f>
        <v>BLACK</v>
      </c>
      <c r="G9006" s="20" t="str">
        <f>IFERROR(__xludf.DUMMYFUNCTION("""COMPUTED_VALUE"""),"Uncle Sams Cider (04/04/2023)")</f>
        <v>Uncle Sams Cider (04/04/2023)</v>
      </c>
      <c r="H9006" s="19"/>
    </row>
    <row r="9007">
      <c r="A9007" s="9"/>
      <c r="B9007" s="15"/>
      <c r="C9007" s="9">
        <f>IFERROR(__xludf.DUMMYFUNCTION("""COMPUTED_VALUE"""),45049.7343307638)</f>
        <v>45049.73433</v>
      </c>
      <c r="D9007" s="15">
        <f>IFERROR(__xludf.DUMMYFUNCTION("""COMPUTED_VALUE"""),1.025)</f>
        <v>1.025</v>
      </c>
      <c r="E9007" s="16">
        <f>IFERROR(__xludf.DUMMYFUNCTION("""COMPUTED_VALUE"""),63.0)</f>
        <v>63</v>
      </c>
      <c r="F9007" s="19" t="str">
        <f>IFERROR(__xludf.DUMMYFUNCTION("""COMPUTED_VALUE"""),"BLACK")</f>
        <v>BLACK</v>
      </c>
      <c r="G9007" s="20" t="str">
        <f>IFERROR(__xludf.DUMMYFUNCTION("""COMPUTED_VALUE"""),"Uncle Sams Cider (04/04/2023)")</f>
        <v>Uncle Sams Cider (04/04/2023)</v>
      </c>
      <c r="H9007" s="19"/>
    </row>
    <row r="9008">
      <c r="A9008" s="9"/>
      <c r="B9008" s="15"/>
      <c r="C9008" s="9">
        <f>IFERROR(__xludf.DUMMYFUNCTION("""COMPUTED_VALUE"""),45049.7238863773)</f>
        <v>45049.72389</v>
      </c>
      <c r="D9008" s="15">
        <f>IFERROR(__xludf.DUMMYFUNCTION("""COMPUTED_VALUE"""),1.024)</f>
        <v>1.024</v>
      </c>
      <c r="E9008" s="16">
        <f>IFERROR(__xludf.DUMMYFUNCTION("""COMPUTED_VALUE"""),63.0)</f>
        <v>63</v>
      </c>
      <c r="F9008" s="19" t="str">
        <f>IFERROR(__xludf.DUMMYFUNCTION("""COMPUTED_VALUE"""),"BLACK")</f>
        <v>BLACK</v>
      </c>
      <c r="G9008" s="20" t="str">
        <f>IFERROR(__xludf.DUMMYFUNCTION("""COMPUTED_VALUE"""),"Uncle Sams Cider (04/04/2023)")</f>
        <v>Uncle Sams Cider (04/04/2023)</v>
      </c>
      <c r="H9008" s="19"/>
    </row>
    <row r="9009">
      <c r="A9009" s="9"/>
      <c r="B9009" s="15"/>
      <c r="C9009" s="9">
        <f>IFERROR(__xludf.DUMMYFUNCTION("""COMPUTED_VALUE"""),45049.7134648726)</f>
        <v>45049.71346</v>
      </c>
      <c r="D9009" s="15">
        <f>IFERROR(__xludf.DUMMYFUNCTION("""COMPUTED_VALUE"""),1.025)</f>
        <v>1.025</v>
      </c>
      <c r="E9009" s="16">
        <f>IFERROR(__xludf.DUMMYFUNCTION("""COMPUTED_VALUE"""),63.0)</f>
        <v>63</v>
      </c>
      <c r="F9009" s="19" t="str">
        <f>IFERROR(__xludf.DUMMYFUNCTION("""COMPUTED_VALUE"""),"BLACK")</f>
        <v>BLACK</v>
      </c>
      <c r="G9009" s="20" t="str">
        <f>IFERROR(__xludf.DUMMYFUNCTION("""COMPUTED_VALUE"""),"Uncle Sams Cider (04/04/2023)")</f>
        <v>Uncle Sams Cider (04/04/2023)</v>
      </c>
      <c r="H9009" s="19"/>
    </row>
    <row r="9010">
      <c r="A9010" s="9"/>
      <c r="B9010" s="15"/>
      <c r="C9010" s="9">
        <f>IFERROR(__xludf.DUMMYFUNCTION("""COMPUTED_VALUE"""),45049.7030448842)</f>
        <v>45049.70304</v>
      </c>
      <c r="D9010" s="15">
        <f>IFERROR(__xludf.DUMMYFUNCTION("""COMPUTED_VALUE"""),1.024)</f>
        <v>1.024</v>
      </c>
      <c r="E9010" s="16">
        <f>IFERROR(__xludf.DUMMYFUNCTION("""COMPUTED_VALUE"""),63.0)</f>
        <v>63</v>
      </c>
      <c r="F9010" s="19" t="str">
        <f>IFERROR(__xludf.DUMMYFUNCTION("""COMPUTED_VALUE"""),"BLACK")</f>
        <v>BLACK</v>
      </c>
      <c r="G9010" s="20" t="str">
        <f>IFERROR(__xludf.DUMMYFUNCTION("""COMPUTED_VALUE"""),"Uncle Sams Cider (04/04/2023)")</f>
        <v>Uncle Sams Cider (04/04/2023)</v>
      </c>
      <c r="H9010" s="19"/>
    </row>
    <row r="9011">
      <c r="A9011" s="9"/>
      <c r="B9011" s="15"/>
      <c r="C9011" s="9">
        <f>IFERROR(__xludf.DUMMYFUNCTION("""COMPUTED_VALUE"""),45049.692624699)</f>
        <v>45049.69262</v>
      </c>
      <c r="D9011" s="15">
        <f>IFERROR(__xludf.DUMMYFUNCTION("""COMPUTED_VALUE"""),1.025)</f>
        <v>1.025</v>
      </c>
      <c r="E9011" s="16">
        <f>IFERROR(__xludf.DUMMYFUNCTION("""COMPUTED_VALUE"""),63.0)</f>
        <v>63</v>
      </c>
      <c r="F9011" s="19" t="str">
        <f>IFERROR(__xludf.DUMMYFUNCTION("""COMPUTED_VALUE"""),"BLACK")</f>
        <v>BLACK</v>
      </c>
      <c r="G9011" s="20" t="str">
        <f>IFERROR(__xludf.DUMMYFUNCTION("""COMPUTED_VALUE"""),"Uncle Sams Cider (04/04/2023)")</f>
        <v>Uncle Sams Cider (04/04/2023)</v>
      </c>
      <c r="H9011" s="19"/>
    </row>
    <row r="9012">
      <c r="A9012" s="9"/>
      <c r="B9012" s="15"/>
      <c r="C9012" s="9">
        <f>IFERROR(__xludf.DUMMYFUNCTION("""COMPUTED_VALUE"""),45049.6822024421)</f>
        <v>45049.6822</v>
      </c>
      <c r="D9012" s="15">
        <f>IFERROR(__xludf.DUMMYFUNCTION("""COMPUTED_VALUE"""),1.024)</f>
        <v>1.024</v>
      </c>
      <c r="E9012" s="16">
        <f>IFERROR(__xludf.DUMMYFUNCTION("""COMPUTED_VALUE"""),63.0)</f>
        <v>63</v>
      </c>
      <c r="F9012" s="19" t="str">
        <f>IFERROR(__xludf.DUMMYFUNCTION("""COMPUTED_VALUE"""),"BLACK")</f>
        <v>BLACK</v>
      </c>
      <c r="G9012" s="20" t="str">
        <f>IFERROR(__xludf.DUMMYFUNCTION("""COMPUTED_VALUE"""),"Uncle Sams Cider (04/04/2023)")</f>
        <v>Uncle Sams Cider (04/04/2023)</v>
      </c>
      <c r="H9012" s="19"/>
    </row>
    <row r="9013">
      <c r="A9013" s="9"/>
      <c r="B9013" s="15"/>
      <c r="C9013" s="9">
        <f>IFERROR(__xludf.DUMMYFUNCTION("""COMPUTED_VALUE"""),45049.6717813426)</f>
        <v>45049.67178</v>
      </c>
      <c r="D9013" s="15">
        <f>IFERROR(__xludf.DUMMYFUNCTION("""COMPUTED_VALUE"""),1.024)</f>
        <v>1.024</v>
      </c>
      <c r="E9013" s="16">
        <f>IFERROR(__xludf.DUMMYFUNCTION("""COMPUTED_VALUE"""),63.0)</f>
        <v>63</v>
      </c>
      <c r="F9013" s="19" t="str">
        <f>IFERROR(__xludf.DUMMYFUNCTION("""COMPUTED_VALUE"""),"BLACK")</f>
        <v>BLACK</v>
      </c>
      <c r="G9013" s="20" t="str">
        <f>IFERROR(__xludf.DUMMYFUNCTION("""COMPUTED_VALUE"""),"Uncle Sams Cider (04/04/2023)")</f>
        <v>Uncle Sams Cider (04/04/2023)</v>
      </c>
      <c r="H9013" s="19"/>
    </row>
    <row r="9014">
      <c r="A9014" s="9"/>
      <c r="B9014" s="15"/>
      <c r="C9014" s="9">
        <f>IFERROR(__xludf.DUMMYFUNCTION("""COMPUTED_VALUE"""),45049.6613596875)</f>
        <v>45049.66136</v>
      </c>
      <c r="D9014" s="15">
        <f>IFERROR(__xludf.DUMMYFUNCTION("""COMPUTED_VALUE"""),1.025)</f>
        <v>1.025</v>
      </c>
      <c r="E9014" s="16">
        <f>IFERROR(__xludf.DUMMYFUNCTION("""COMPUTED_VALUE"""),63.0)</f>
        <v>63</v>
      </c>
      <c r="F9014" s="19" t="str">
        <f>IFERROR(__xludf.DUMMYFUNCTION("""COMPUTED_VALUE"""),"BLACK")</f>
        <v>BLACK</v>
      </c>
      <c r="G9014" s="20" t="str">
        <f>IFERROR(__xludf.DUMMYFUNCTION("""COMPUTED_VALUE"""),"Uncle Sams Cider (04/04/2023)")</f>
        <v>Uncle Sams Cider (04/04/2023)</v>
      </c>
      <c r="H9014" s="19"/>
    </row>
    <row r="9015">
      <c r="A9015" s="9"/>
      <c r="B9015" s="15"/>
      <c r="C9015" s="9">
        <f>IFERROR(__xludf.DUMMYFUNCTION("""COMPUTED_VALUE"""),45049.6509257176)</f>
        <v>45049.65093</v>
      </c>
      <c r="D9015" s="15">
        <f>IFERROR(__xludf.DUMMYFUNCTION("""COMPUTED_VALUE"""),1.025)</f>
        <v>1.025</v>
      </c>
      <c r="E9015" s="16">
        <f>IFERROR(__xludf.DUMMYFUNCTION("""COMPUTED_VALUE"""),63.0)</f>
        <v>63</v>
      </c>
      <c r="F9015" s="19" t="str">
        <f>IFERROR(__xludf.DUMMYFUNCTION("""COMPUTED_VALUE"""),"BLACK")</f>
        <v>BLACK</v>
      </c>
      <c r="G9015" s="20" t="str">
        <f>IFERROR(__xludf.DUMMYFUNCTION("""COMPUTED_VALUE"""),"Uncle Sams Cider (04/04/2023)")</f>
        <v>Uncle Sams Cider (04/04/2023)</v>
      </c>
      <c r="H9015" s="19"/>
    </row>
    <row r="9016">
      <c r="A9016" s="9"/>
      <c r="B9016" s="15"/>
      <c r="C9016" s="9">
        <f>IFERROR(__xludf.DUMMYFUNCTION("""COMPUTED_VALUE"""),45049.640505706)</f>
        <v>45049.64051</v>
      </c>
      <c r="D9016" s="15">
        <f>IFERROR(__xludf.DUMMYFUNCTION("""COMPUTED_VALUE"""),1.024)</f>
        <v>1.024</v>
      </c>
      <c r="E9016" s="16">
        <f>IFERROR(__xludf.DUMMYFUNCTION("""COMPUTED_VALUE"""),63.0)</f>
        <v>63</v>
      </c>
      <c r="F9016" s="19" t="str">
        <f>IFERROR(__xludf.DUMMYFUNCTION("""COMPUTED_VALUE"""),"BLACK")</f>
        <v>BLACK</v>
      </c>
      <c r="G9016" s="20" t="str">
        <f>IFERROR(__xludf.DUMMYFUNCTION("""COMPUTED_VALUE"""),"Uncle Sams Cider (04/04/2023)")</f>
        <v>Uncle Sams Cider (04/04/2023)</v>
      </c>
      <c r="H9016" s="19"/>
    </row>
    <row r="9017">
      <c r="A9017" s="9"/>
      <c r="B9017" s="15"/>
      <c r="C9017" s="9">
        <f>IFERROR(__xludf.DUMMYFUNCTION("""COMPUTED_VALUE"""),45049.630083831)</f>
        <v>45049.63008</v>
      </c>
      <c r="D9017" s="15">
        <f>IFERROR(__xludf.DUMMYFUNCTION("""COMPUTED_VALUE"""),1.025)</f>
        <v>1.025</v>
      </c>
      <c r="E9017" s="16">
        <f>IFERROR(__xludf.DUMMYFUNCTION("""COMPUTED_VALUE"""),63.0)</f>
        <v>63</v>
      </c>
      <c r="F9017" s="19" t="str">
        <f>IFERROR(__xludf.DUMMYFUNCTION("""COMPUTED_VALUE"""),"BLACK")</f>
        <v>BLACK</v>
      </c>
      <c r="G9017" s="20" t="str">
        <f>IFERROR(__xludf.DUMMYFUNCTION("""COMPUTED_VALUE"""),"Uncle Sams Cider (04/04/2023)")</f>
        <v>Uncle Sams Cider (04/04/2023)</v>
      </c>
      <c r="H9017" s="19"/>
    </row>
    <row r="9018">
      <c r="A9018" s="9"/>
      <c r="B9018" s="15"/>
      <c r="C9018" s="9">
        <f>IFERROR(__xludf.DUMMYFUNCTION("""COMPUTED_VALUE"""),45049.6196633333)</f>
        <v>45049.61966</v>
      </c>
      <c r="D9018" s="15">
        <f>IFERROR(__xludf.DUMMYFUNCTION("""COMPUTED_VALUE"""),1.025)</f>
        <v>1.025</v>
      </c>
      <c r="E9018" s="16">
        <f>IFERROR(__xludf.DUMMYFUNCTION("""COMPUTED_VALUE"""),63.0)</f>
        <v>63</v>
      </c>
      <c r="F9018" s="19" t="str">
        <f>IFERROR(__xludf.DUMMYFUNCTION("""COMPUTED_VALUE"""),"BLACK")</f>
        <v>BLACK</v>
      </c>
      <c r="G9018" s="20" t="str">
        <f>IFERROR(__xludf.DUMMYFUNCTION("""COMPUTED_VALUE"""),"Uncle Sams Cider (04/04/2023)")</f>
        <v>Uncle Sams Cider (04/04/2023)</v>
      </c>
      <c r="H9018" s="19"/>
    </row>
    <row r="9019">
      <c r="A9019" s="9"/>
      <c r="B9019" s="15"/>
      <c r="C9019" s="9">
        <f>IFERROR(__xludf.DUMMYFUNCTION("""COMPUTED_VALUE"""),45049.6092409143)</f>
        <v>45049.60924</v>
      </c>
      <c r="D9019" s="15">
        <f>IFERROR(__xludf.DUMMYFUNCTION("""COMPUTED_VALUE"""),1.025)</f>
        <v>1.025</v>
      </c>
      <c r="E9019" s="16">
        <f>IFERROR(__xludf.DUMMYFUNCTION("""COMPUTED_VALUE"""),63.0)</f>
        <v>63</v>
      </c>
      <c r="F9019" s="19" t="str">
        <f>IFERROR(__xludf.DUMMYFUNCTION("""COMPUTED_VALUE"""),"BLACK")</f>
        <v>BLACK</v>
      </c>
      <c r="G9019" s="20" t="str">
        <f>IFERROR(__xludf.DUMMYFUNCTION("""COMPUTED_VALUE"""),"Uncle Sams Cider (04/04/2023)")</f>
        <v>Uncle Sams Cider (04/04/2023)</v>
      </c>
      <c r="H9019" s="19"/>
    </row>
    <row r="9020">
      <c r="A9020" s="9"/>
      <c r="B9020" s="15"/>
      <c r="C9020" s="9">
        <f>IFERROR(__xludf.DUMMYFUNCTION("""COMPUTED_VALUE"""),45049.5987966319)</f>
        <v>45049.5988</v>
      </c>
      <c r="D9020" s="15">
        <f>IFERROR(__xludf.DUMMYFUNCTION("""COMPUTED_VALUE"""),1.025)</f>
        <v>1.025</v>
      </c>
      <c r="E9020" s="16">
        <f>IFERROR(__xludf.DUMMYFUNCTION("""COMPUTED_VALUE"""),63.0)</f>
        <v>63</v>
      </c>
      <c r="F9020" s="19" t="str">
        <f>IFERROR(__xludf.DUMMYFUNCTION("""COMPUTED_VALUE"""),"BLACK")</f>
        <v>BLACK</v>
      </c>
      <c r="G9020" s="20" t="str">
        <f>IFERROR(__xludf.DUMMYFUNCTION("""COMPUTED_VALUE"""),"Uncle Sams Cider (04/04/2023)")</f>
        <v>Uncle Sams Cider (04/04/2023)</v>
      </c>
      <c r="H9020" s="19"/>
    </row>
    <row r="9021">
      <c r="A9021" s="9"/>
      <c r="B9021" s="15"/>
      <c r="C9021" s="9">
        <f>IFERROR(__xludf.DUMMYFUNCTION("""COMPUTED_VALUE"""),45049.5883743055)</f>
        <v>45049.58837</v>
      </c>
      <c r="D9021" s="15">
        <f>IFERROR(__xludf.DUMMYFUNCTION("""COMPUTED_VALUE"""),1.025)</f>
        <v>1.025</v>
      </c>
      <c r="E9021" s="16">
        <f>IFERROR(__xludf.DUMMYFUNCTION("""COMPUTED_VALUE"""),63.0)</f>
        <v>63</v>
      </c>
      <c r="F9021" s="19" t="str">
        <f>IFERROR(__xludf.DUMMYFUNCTION("""COMPUTED_VALUE"""),"BLACK")</f>
        <v>BLACK</v>
      </c>
      <c r="G9021" s="20" t="str">
        <f>IFERROR(__xludf.DUMMYFUNCTION("""COMPUTED_VALUE"""),"Uncle Sams Cider (04/04/2023)")</f>
        <v>Uncle Sams Cider (04/04/2023)</v>
      </c>
      <c r="H9021" s="19"/>
    </row>
    <row r="9022">
      <c r="A9022" s="9"/>
      <c r="B9022" s="15"/>
      <c r="C9022" s="9">
        <f>IFERROR(__xludf.DUMMYFUNCTION("""COMPUTED_VALUE"""),45049.5779539699)</f>
        <v>45049.57795</v>
      </c>
      <c r="D9022" s="15">
        <f>IFERROR(__xludf.DUMMYFUNCTION("""COMPUTED_VALUE"""),1.025)</f>
        <v>1.025</v>
      </c>
      <c r="E9022" s="16">
        <f>IFERROR(__xludf.DUMMYFUNCTION("""COMPUTED_VALUE"""),63.0)</f>
        <v>63</v>
      </c>
      <c r="F9022" s="19" t="str">
        <f>IFERROR(__xludf.DUMMYFUNCTION("""COMPUTED_VALUE"""),"BLACK")</f>
        <v>BLACK</v>
      </c>
      <c r="G9022" s="20" t="str">
        <f>IFERROR(__xludf.DUMMYFUNCTION("""COMPUTED_VALUE"""),"Uncle Sams Cider (04/04/2023)")</f>
        <v>Uncle Sams Cider (04/04/2023)</v>
      </c>
      <c r="H9022" s="19"/>
    </row>
    <row r="9023">
      <c r="A9023" s="9"/>
      <c r="B9023" s="15"/>
      <c r="C9023" s="9">
        <f>IFERROR(__xludf.DUMMYFUNCTION("""COMPUTED_VALUE"""),45049.567510162)</f>
        <v>45049.56751</v>
      </c>
      <c r="D9023" s="15">
        <f>IFERROR(__xludf.DUMMYFUNCTION("""COMPUTED_VALUE"""),1.025)</f>
        <v>1.025</v>
      </c>
      <c r="E9023" s="16">
        <f>IFERROR(__xludf.DUMMYFUNCTION("""COMPUTED_VALUE"""),63.0)</f>
        <v>63</v>
      </c>
      <c r="F9023" s="19" t="str">
        <f>IFERROR(__xludf.DUMMYFUNCTION("""COMPUTED_VALUE"""),"BLACK")</f>
        <v>BLACK</v>
      </c>
      <c r="G9023" s="20" t="str">
        <f>IFERROR(__xludf.DUMMYFUNCTION("""COMPUTED_VALUE"""),"Uncle Sams Cider (04/04/2023)")</f>
        <v>Uncle Sams Cider (04/04/2023)</v>
      </c>
      <c r="H9023" s="19"/>
    </row>
    <row r="9024">
      <c r="A9024" s="9"/>
      <c r="B9024" s="15"/>
      <c r="C9024" s="9">
        <f>IFERROR(__xludf.DUMMYFUNCTION("""COMPUTED_VALUE"""),45049.5570893981)</f>
        <v>45049.55709</v>
      </c>
      <c r="D9024" s="15">
        <f>IFERROR(__xludf.DUMMYFUNCTION("""COMPUTED_VALUE"""),1.025)</f>
        <v>1.025</v>
      </c>
      <c r="E9024" s="16">
        <f>IFERROR(__xludf.DUMMYFUNCTION("""COMPUTED_VALUE"""),63.0)</f>
        <v>63</v>
      </c>
      <c r="F9024" s="19" t="str">
        <f>IFERROR(__xludf.DUMMYFUNCTION("""COMPUTED_VALUE"""),"BLACK")</f>
        <v>BLACK</v>
      </c>
      <c r="G9024" s="20" t="str">
        <f>IFERROR(__xludf.DUMMYFUNCTION("""COMPUTED_VALUE"""),"Uncle Sams Cider (04/04/2023)")</f>
        <v>Uncle Sams Cider (04/04/2023)</v>
      </c>
      <c r="H9024" s="19"/>
    </row>
    <row r="9025">
      <c r="A9025" s="9"/>
      <c r="B9025" s="15"/>
      <c r="C9025" s="9">
        <f>IFERROR(__xludf.DUMMYFUNCTION("""COMPUTED_VALUE"""),45049.5466676736)</f>
        <v>45049.54667</v>
      </c>
      <c r="D9025" s="15">
        <f>IFERROR(__xludf.DUMMYFUNCTION("""COMPUTED_VALUE"""),1.025)</f>
        <v>1.025</v>
      </c>
      <c r="E9025" s="16">
        <f>IFERROR(__xludf.DUMMYFUNCTION("""COMPUTED_VALUE"""),63.0)</f>
        <v>63</v>
      </c>
      <c r="F9025" s="19" t="str">
        <f>IFERROR(__xludf.DUMMYFUNCTION("""COMPUTED_VALUE"""),"BLACK")</f>
        <v>BLACK</v>
      </c>
      <c r="G9025" s="20" t="str">
        <f>IFERROR(__xludf.DUMMYFUNCTION("""COMPUTED_VALUE"""),"Uncle Sams Cider (04/04/2023)")</f>
        <v>Uncle Sams Cider (04/04/2023)</v>
      </c>
      <c r="H9025" s="19"/>
    </row>
    <row r="9026">
      <c r="A9026" s="9"/>
      <c r="B9026" s="15"/>
      <c r="C9026" s="9">
        <f>IFERROR(__xludf.DUMMYFUNCTION("""COMPUTED_VALUE"""),45049.5362021875)</f>
        <v>45049.5362</v>
      </c>
      <c r="D9026" s="15">
        <f>IFERROR(__xludf.DUMMYFUNCTION("""COMPUTED_VALUE"""),1.025)</f>
        <v>1.025</v>
      </c>
      <c r="E9026" s="16">
        <f>IFERROR(__xludf.DUMMYFUNCTION("""COMPUTED_VALUE"""),63.0)</f>
        <v>63</v>
      </c>
      <c r="F9026" s="19" t="str">
        <f>IFERROR(__xludf.DUMMYFUNCTION("""COMPUTED_VALUE"""),"BLACK")</f>
        <v>BLACK</v>
      </c>
      <c r="G9026" s="20" t="str">
        <f>IFERROR(__xludf.DUMMYFUNCTION("""COMPUTED_VALUE"""),"Uncle Sams Cider (04/04/2023)")</f>
        <v>Uncle Sams Cider (04/04/2023)</v>
      </c>
      <c r="H9026" s="19"/>
    </row>
    <row r="9027">
      <c r="A9027" s="9"/>
      <c r="B9027" s="15"/>
      <c r="C9027" s="9">
        <f>IFERROR(__xludf.DUMMYFUNCTION("""COMPUTED_VALUE"""),45049.525780787)</f>
        <v>45049.52578</v>
      </c>
      <c r="D9027" s="15">
        <f>IFERROR(__xludf.DUMMYFUNCTION("""COMPUTED_VALUE"""),1.025)</f>
        <v>1.025</v>
      </c>
      <c r="E9027" s="16">
        <f>IFERROR(__xludf.DUMMYFUNCTION("""COMPUTED_VALUE"""),63.0)</f>
        <v>63</v>
      </c>
      <c r="F9027" s="19" t="str">
        <f>IFERROR(__xludf.DUMMYFUNCTION("""COMPUTED_VALUE"""),"BLACK")</f>
        <v>BLACK</v>
      </c>
      <c r="G9027" s="20" t="str">
        <f>IFERROR(__xludf.DUMMYFUNCTION("""COMPUTED_VALUE"""),"Uncle Sams Cider (04/04/2023)")</f>
        <v>Uncle Sams Cider (04/04/2023)</v>
      </c>
      <c r="H9027" s="19"/>
    </row>
    <row r="9028">
      <c r="A9028" s="9"/>
      <c r="B9028" s="15"/>
      <c r="C9028" s="9">
        <f>IFERROR(__xludf.DUMMYFUNCTION("""COMPUTED_VALUE"""),45049.51536125)</f>
        <v>45049.51536</v>
      </c>
      <c r="D9028" s="15">
        <f>IFERROR(__xludf.DUMMYFUNCTION("""COMPUTED_VALUE"""),1.025)</f>
        <v>1.025</v>
      </c>
      <c r="E9028" s="16">
        <f>IFERROR(__xludf.DUMMYFUNCTION("""COMPUTED_VALUE"""),63.0)</f>
        <v>63</v>
      </c>
      <c r="F9028" s="19" t="str">
        <f>IFERROR(__xludf.DUMMYFUNCTION("""COMPUTED_VALUE"""),"BLACK")</f>
        <v>BLACK</v>
      </c>
      <c r="G9028" s="20" t="str">
        <f>IFERROR(__xludf.DUMMYFUNCTION("""COMPUTED_VALUE"""),"Uncle Sams Cider (04/04/2023)")</f>
        <v>Uncle Sams Cider (04/04/2023)</v>
      </c>
      <c r="H9028" s="19"/>
    </row>
    <row r="9029">
      <c r="A9029" s="9"/>
      <c r="B9029" s="15"/>
      <c r="C9029" s="9">
        <f>IFERROR(__xludf.DUMMYFUNCTION("""COMPUTED_VALUE"""),45049.5049395717)</f>
        <v>45049.50494</v>
      </c>
      <c r="D9029" s="15">
        <f>IFERROR(__xludf.DUMMYFUNCTION("""COMPUTED_VALUE"""),1.025)</f>
        <v>1.025</v>
      </c>
      <c r="E9029" s="16">
        <f>IFERROR(__xludf.DUMMYFUNCTION("""COMPUTED_VALUE"""),63.0)</f>
        <v>63</v>
      </c>
      <c r="F9029" s="19" t="str">
        <f>IFERROR(__xludf.DUMMYFUNCTION("""COMPUTED_VALUE"""),"BLACK")</f>
        <v>BLACK</v>
      </c>
      <c r="G9029" s="20" t="str">
        <f>IFERROR(__xludf.DUMMYFUNCTION("""COMPUTED_VALUE"""),"Uncle Sams Cider (04/04/2023)")</f>
        <v>Uncle Sams Cider (04/04/2023)</v>
      </c>
      <c r="H9029" s="19"/>
    </row>
    <row r="9030">
      <c r="A9030" s="9"/>
      <c r="B9030" s="15"/>
      <c r="C9030" s="9">
        <f>IFERROR(__xludf.DUMMYFUNCTION("""COMPUTED_VALUE"""),45049.4945184722)</f>
        <v>45049.49452</v>
      </c>
      <c r="D9030" s="15">
        <f>IFERROR(__xludf.DUMMYFUNCTION("""COMPUTED_VALUE"""),1.025)</f>
        <v>1.025</v>
      </c>
      <c r="E9030" s="16">
        <f>IFERROR(__xludf.DUMMYFUNCTION("""COMPUTED_VALUE"""),63.0)</f>
        <v>63</v>
      </c>
      <c r="F9030" s="19" t="str">
        <f>IFERROR(__xludf.DUMMYFUNCTION("""COMPUTED_VALUE"""),"BLACK")</f>
        <v>BLACK</v>
      </c>
      <c r="G9030" s="20" t="str">
        <f>IFERROR(__xludf.DUMMYFUNCTION("""COMPUTED_VALUE"""),"Uncle Sams Cider (04/04/2023)")</f>
        <v>Uncle Sams Cider (04/04/2023)</v>
      </c>
      <c r="H9030" s="19"/>
    </row>
    <row r="9031">
      <c r="A9031" s="9"/>
      <c r="B9031" s="15"/>
      <c r="C9031" s="9">
        <f>IFERROR(__xludf.DUMMYFUNCTION("""COMPUTED_VALUE"""),45049.4840983796)</f>
        <v>45049.4841</v>
      </c>
      <c r="D9031" s="15">
        <f>IFERROR(__xludf.DUMMYFUNCTION("""COMPUTED_VALUE"""),1.025)</f>
        <v>1.025</v>
      </c>
      <c r="E9031" s="16">
        <f>IFERROR(__xludf.DUMMYFUNCTION("""COMPUTED_VALUE"""),63.0)</f>
        <v>63</v>
      </c>
      <c r="F9031" s="19" t="str">
        <f>IFERROR(__xludf.DUMMYFUNCTION("""COMPUTED_VALUE"""),"BLACK")</f>
        <v>BLACK</v>
      </c>
      <c r="G9031" s="20" t="str">
        <f>IFERROR(__xludf.DUMMYFUNCTION("""COMPUTED_VALUE"""),"Uncle Sams Cider (04/04/2023)")</f>
        <v>Uncle Sams Cider (04/04/2023)</v>
      </c>
      <c r="H9031" s="19"/>
    </row>
    <row r="9032">
      <c r="A9032" s="9"/>
      <c r="B9032" s="15"/>
      <c r="C9032" s="9">
        <f>IFERROR(__xludf.DUMMYFUNCTION("""COMPUTED_VALUE"""),45049.4736655902)</f>
        <v>45049.47367</v>
      </c>
      <c r="D9032" s="15">
        <f>IFERROR(__xludf.DUMMYFUNCTION("""COMPUTED_VALUE"""),1.025)</f>
        <v>1.025</v>
      </c>
      <c r="E9032" s="16">
        <f>IFERROR(__xludf.DUMMYFUNCTION("""COMPUTED_VALUE"""),63.0)</f>
        <v>63</v>
      </c>
      <c r="F9032" s="19" t="str">
        <f>IFERROR(__xludf.DUMMYFUNCTION("""COMPUTED_VALUE"""),"BLACK")</f>
        <v>BLACK</v>
      </c>
      <c r="G9032" s="20" t="str">
        <f>IFERROR(__xludf.DUMMYFUNCTION("""COMPUTED_VALUE"""),"Uncle Sams Cider (04/04/2023)")</f>
        <v>Uncle Sams Cider (04/04/2023)</v>
      </c>
      <c r="H9032" s="19"/>
    </row>
    <row r="9033">
      <c r="A9033" s="9"/>
      <c r="B9033" s="15"/>
      <c r="C9033" s="9">
        <f>IFERROR(__xludf.DUMMYFUNCTION("""COMPUTED_VALUE"""),45049.463185868)</f>
        <v>45049.46319</v>
      </c>
      <c r="D9033" s="15">
        <f>IFERROR(__xludf.DUMMYFUNCTION("""COMPUTED_VALUE"""),1.025)</f>
        <v>1.025</v>
      </c>
      <c r="E9033" s="16">
        <f>IFERROR(__xludf.DUMMYFUNCTION("""COMPUTED_VALUE"""),63.0)</f>
        <v>63</v>
      </c>
      <c r="F9033" s="19" t="str">
        <f>IFERROR(__xludf.DUMMYFUNCTION("""COMPUTED_VALUE"""),"BLACK")</f>
        <v>BLACK</v>
      </c>
      <c r="G9033" s="20" t="str">
        <f>IFERROR(__xludf.DUMMYFUNCTION("""COMPUTED_VALUE"""),"Uncle Sams Cider (04/04/2023)")</f>
        <v>Uncle Sams Cider (04/04/2023)</v>
      </c>
      <c r="H9033" s="19"/>
    </row>
    <row r="9034">
      <c r="A9034" s="9"/>
      <c r="B9034" s="15"/>
      <c r="C9034" s="9">
        <f>IFERROR(__xludf.DUMMYFUNCTION("""COMPUTED_VALUE"""),45049.4527549652)</f>
        <v>45049.45275</v>
      </c>
      <c r="D9034" s="15">
        <f>IFERROR(__xludf.DUMMYFUNCTION("""COMPUTED_VALUE"""),1.025)</f>
        <v>1.025</v>
      </c>
      <c r="E9034" s="16">
        <f>IFERROR(__xludf.DUMMYFUNCTION("""COMPUTED_VALUE"""),63.0)</f>
        <v>63</v>
      </c>
      <c r="F9034" s="19" t="str">
        <f>IFERROR(__xludf.DUMMYFUNCTION("""COMPUTED_VALUE"""),"BLACK")</f>
        <v>BLACK</v>
      </c>
      <c r="G9034" s="20" t="str">
        <f>IFERROR(__xludf.DUMMYFUNCTION("""COMPUTED_VALUE"""),"Uncle Sams Cider (04/04/2023)")</f>
        <v>Uncle Sams Cider (04/04/2023)</v>
      </c>
      <c r="H9034" s="19"/>
    </row>
    <row r="9035">
      <c r="A9035" s="9"/>
      <c r="B9035" s="15"/>
      <c r="C9035" s="9">
        <f>IFERROR(__xludf.DUMMYFUNCTION("""COMPUTED_VALUE"""),45049.4423096527)</f>
        <v>45049.44231</v>
      </c>
      <c r="D9035" s="15">
        <f>IFERROR(__xludf.DUMMYFUNCTION("""COMPUTED_VALUE"""),1.025)</f>
        <v>1.025</v>
      </c>
      <c r="E9035" s="16">
        <f>IFERROR(__xludf.DUMMYFUNCTION("""COMPUTED_VALUE"""),63.0)</f>
        <v>63</v>
      </c>
      <c r="F9035" s="19" t="str">
        <f>IFERROR(__xludf.DUMMYFUNCTION("""COMPUTED_VALUE"""),"BLACK")</f>
        <v>BLACK</v>
      </c>
      <c r="G9035" s="20" t="str">
        <f>IFERROR(__xludf.DUMMYFUNCTION("""COMPUTED_VALUE"""),"Uncle Sams Cider (04/04/2023)")</f>
        <v>Uncle Sams Cider (04/04/2023)</v>
      </c>
      <c r="H9035" s="19"/>
    </row>
    <row r="9036">
      <c r="A9036" s="9"/>
      <c r="B9036" s="15"/>
      <c r="C9036" s="9">
        <f>IFERROR(__xludf.DUMMYFUNCTION("""COMPUTED_VALUE"""),45049.4318548842)</f>
        <v>45049.43185</v>
      </c>
      <c r="D9036" s="15">
        <f>IFERROR(__xludf.DUMMYFUNCTION("""COMPUTED_VALUE"""),1.025)</f>
        <v>1.025</v>
      </c>
      <c r="E9036" s="16">
        <f>IFERROR(__xludf.DUMMYFUNCTION("""COMPUTED_VALUE"""),63.0)</f>
        <v>63</v>
      </c>
      <c r="F9036" s="19" t="str">
        <f>IFERROR(__xludf.DUMMYFUNCTION("""COMPUTED_VALUE"""),"BLACK")</f>
        <v>BLACK</v>
      </c>
      <c r="G9036" s="20" t="str">
        <f>IFERROR(__xludf.DUMMYFUNCTION("""COMPUTED_VALUE"""),"Uncle Sams Cider (04/04/2023)")</f>
        <v>Uncle Sams Cider (04/04/2023)</v>
      </c>
      <c r="H9036" s="19"/>
    </row>
    <row r="9037">
      <c r="A9037" s="9"/>
      <c r="B9037" s="15"/>
      <c r="C9037" s="9">
        <f>IFERROR(__xludf.DUMMYFUNCTION("""COMPUTED_VALUE"""),45049.42142228)</f>
        <v>45049.42142</v>
      </c>
      <c r="D9037" s="15">
        <f>IFERROR(__xludf.DUMMYFUNCTION("""COMPUTED_VALUE"""),1.025)</f>
        <v>1.025</v>
      </c>
      <c r="E9037" s="16">
        <f>IFERROR(__xludf.DUMMYFUNCTION("""COMPUTED_VALUE"""),63.0)</f>
        <v>63</v>
      </c>
      <c r="F9037" s="19" t="str">
        <f>IFERROR(__xludf.DUMMYFUNCTION("""COMPUTED_VALUE"""),"BLACK")</f>
        <v>BLACK</v>
      </c>
      <c r="G9037" s="20" t="str">
        <f>IFERROR(__xludf.DUMMYFUNCTION("""COMPUTED_VALUE"""),"Uncle Sams Cider (04/04/2023)")</f>
        <v>Uncle Sams Cider (04/04/2023)</v>
      </c>
      <c r="H9037" s="19"/>
    </row>
    <row r="9038">
      <c r="A9038" s="9"/>
      <c r="B9038" s="15"/>
      <c r="C9038" s="9">
        <f>IFERROR(__xludf.DUMMYFUNCTION("""COMPUTED_VALUE"""),45049.4110005324)</f>
        <v>45049.411</v>
      </c>
      <c r="D9038" s="15">
        <f>IFERROR(__xludf.DUMMYFUNCTION("""COMPUTED_VALUE"""),1.025)</f>
        <v>1.025</v>
      </c>
      <c r="E9038" s="16">
        <f>IFERROR(__xludf.DUMMYFUNCTION("""COMPUTED_VALUE"""),63.0)</f>
        <v>63</v>
      </c>
      <c r="F9038" s="19" t="str">
        <f>IFERROR(__xludf.DUMMYFUNCTION("""COMPUTED_VALUE"""),"BLACK")</f>
        <v>BLACK</v>
      </c>
      <c r="G9038" s="20" t="str">
        <f>IFERROR(__xludf.DUMMYFUNCTION("""COMPUTED_VALUE"""),"Uncle Sams Cider (04/04/2023)")</f>
        <v>Uncle Sams Cider (04/04/2023)</v>
      </c>
      <c r="H9038" s="19"/>
    </row>
    <row r="9039">
      <c r="A9039" s="9"/>
      <c r="B9039" s="15"/>
      <c r="C9039" s="9">
        <f>IFERROR(__xludf.DUMMYFUNCTION("""COMPUTED_VALUE"""),45049.4005803125)</f>
        <v>45049.40058</v>
      </c>
      <c r="D9039" s="15">
        <f>IFERROR(__xludf.DUMMYFUNCTION("""COMPUTED_VALUE"""),1.025)</f>
        <v>1.025</v>
      </c>
      <c r="E9039" s="16">
        <f>IFERROR(__xludf.DUMMYFUNCTION("""COMPUTED_VALUE"""),63.0)</f>
        <v>63</v>
      </c>
      <c r="F9039" s="19" t="str">
        <f>IFERROR(__xludf.DUMMYFUNCTION("""COMPUTED_VALUE"""),"BLACK")</f>
        <v>BLACK</v>
      </c>
      <c r="G9039" s="20" t="str">
        <f>IFERROR(__xludf.DUMMYFUNCTION("""COMPUTED_VALUE"""),"Uncle Sams Cider (04/04/2023)")</f>
        <v>Uncle Sams Cider (04/04/2023)</v>
      </c>
      <c r="H9039" s="19"/>
    </row>
    <row r="9040">
      <c r="A9040" s="9"/>
      <c r="B9040" s="15"/>
      <c r="C9040" s="9">
        <f>IFERROR(__xludf.DUMMYFUNCTION("""COMPUTED_VALUE"""),45049.39015978)</f>
        <v>45049.39016</v>
      </c>
      <c r="D9040" s="15">
        <f>IFERROR(__xludf.DUMMYFUNCTION("""COMPUTED_VALUE"""),1.025)</f>
        <v>1.025</v>
      </c>
      <c r="E9040" s="16">
        <f>IFERROR(__xludf.DUMMYFUNCTION("""COMPUTED_VALUE"""),63.0)</f>
        <v>63</v>
      </c>
      <c r="F9040" s="19" t="str">
        <f>IFERROR(__xludf.DUMMYFUNCTION("""COMPUTED_VALUE"""),"BLACK")</f>
        <v>BLACK</v>
      </c>
      <c r="G9040" s="20" t="str">
        <f>IFERROR(__xludf.DUMMYFUNCTION("""COMPUTED_VALUE"""),"Uncle Sams Cider (04/04/2023)")</f>
        <v>Uncle Sams Cider (04/04/2023)</v>
      </c>
      <c r="H9040" s="19"/>
    </row>
    <row r="9041">
      <c r="A9041" s="9"/>
      <c r="B9041" s="15"/>
      <c r="C9041" s="9">
        <f>IFERROR(__xludf.DUMMYFUNCTION("""COMPUTED_VALUE"""),45049.3797386342)</f>
        <v>45049.37974</v>
      </c>
      <c r="D9041" s="15">
        <f>IFERROR(__xludf.DUMMYFUNCTION("""COMPUTED_VALUE"""),1.025)</f>
        <v>1.025</v>
      </c>
      <c r="E9041" s="16">
        <f>IFERROR(__xludf.DUMMYFUNCTION("""COMPUTED_VALUE"""),63.0)</f>
        <v>63</v>
      </c>
      <c r="F9041" s="19" t="str">
        <f>IFERROR(__xludf.DUMMYFUNCTION("""COMPUTED_VALUE"""),"BLACK")</f>
        <v>BLACK</v>
      </c>
      <c r="G9041" s="20" t="str">
        <f>IFERROR(__xludf.DUMMYFUNCTION("""COMPUTED_VALUE"""),"Uncle Sams Cider (04/04/2023)")</f>
        <v>Uncle Sams Cider (04/04/2023)</v>
      </c>
      <c r="H9041" s="19"/>
    </row>
    <row r="9042">
      <c r="A9042" s="9"/>
      <c r="B9042" s="15"/>
      <c r="C9042" s="9">
        <f>IFERROR(__xludf.DUMMYFUNCTION("""COMPUTED_VALUE"""),45049.3693174537)</f>
        <v>45049.36932</v>
      </c>
      <c r="D9042" s="15">
        <f>IFERROR(__xludf.DUMMYFUNCTION("""COMPUTED_VALUE"""),1.025)</f>
        <v>1.025</v>
      </c>
      <c r="E9042" s="16">
        <f>IFERROR(__xludf.DUMMYFUNCTION("""COMPUTED_VALUE"""),63.0)</f>
        <v>63</v>
      </c>
      <c r="F9042" s="19" t="str">
        <f>IFERROR(__xludf.DUMMYFUNCTION("""COMPUTED_VALUE"""),"BLACK")</f>
        <v>BLACK</v>
      </c>
      <c r="G9042" s="20" t="str">
        <f>IFERROR(__xludf.DUMMYFUNCTION("""COMPUTED_VALUE"""),"Uncle Sams Cider (04/04/2023)")</f>
        <v>Uncle Sams Cider (04/04/2023)</v>
      </c>
      <c r="H9042" s="19"/>
    </row>
    <row r="9043">
      <c r="A9043" s="9"/>
      <c r="B9043" s="15"/>
      <c r="C9043" s="9">
        <f>IFERROR(__xludf.DUMMYFUNCTION("""COMPUTED_VALUE"""),45049.3588976504)</f>
        <v>45049.3589</v>
      </c>
      <c r="D9043" s="15">
        <f>IFERROR(__xludf.DUMMYFUNCTION("""COMPUTED_VALUE"""),1.025)</f>
        <v>1.025</v>
      </c>
      <c r="E9043" s="16">
        <f>IFERROR(__xludf.DUMMYFUNCTION("""COMPUTED_VALUE"""),63.0)</f>
        <v>63</v>
      </c>
      <c r="F9043" s="19" t="str">
        <f>IFERROR(__xludf.DUMMYFUNCTION("""COMPUTED_VALUE"""),"BLACK")</f>
        <v>BLACK</v>
      </c>
      <c r="G9043" s="20" t="str">
        <f>IFERROR(__xludf.DUMMYFUNCTION("""COMPUTED_VALUE"""),"Uncle Sams Cider (04/04/2023)")</f>
        <v>Uncle Sams Cider (04/04/2023)</v>
      </c>
      <c r="H9043" s="19"/>
    </row>
    <row r="9044">
      <c r="A9044" s="9"/>
      <c r="B9044" s="15"/>
      <c r="C9044" s="9">
        <f>IFERROR(__xludf.DUMMYFUNCTION("""COMPUTED_VALUE"""),45049.3484762847)</f>
        <v>45049.34848</v>
      </c>
      <c r="D9044" s="15">
        <f>IFERROR(__xludf.DUMMYFUNCTION("""COMPUTED_VALUE"""),1.025)</f>
        <v>1.025</v>
      </c>
      <c r="E9044" s="16">
        <f>IFERROR(__xludf.DUMMYFUNCTION("""COMPUTED_VALUE"""),63.0)</f>
        <v>63</v>
      </c>
      <c r="F9044" s="19" t="str">
        <f>IFERROR(__xludf.DUMMYFUNCTION("""COMPUTED_VALUE"""),"BLACK")</f>
        <v>BLACK</v>
      </c>
      <c r="G9044" s="20" t="str">
        <f>IFERROR(__xludf.DUMMYFUNCTION("""COMPUTED_VALUE"""),"Uncle Sams Cider (04/04/2023)")</f>
        <v>Uncle Sams Cider (04/04/2023)</v>
      </c>
      <c r="H9044" s="19"/>
    </row>
    <row r="9045">
      <c r="A9045" s="9"/>
      <c r="B9045" s="15"/>
      <c r="C9045" s="9">
        <f>IFERROR(__xludf.DUMMYFUNCTION("""COMPUTED_VALUE"""),45049.3380547569)</f>
        <v>45049.33805</v>
      </c>
      <c r="D9045" s="15">
        <f>IFERROR(__xludf.DUMMYFUNCTION("""COMPUTED_VALUE"""),1.025)</f>
        <v>1.025</v>
      </c>
      <c r="E9045" s="16">
        <f>IFERROR(__xludf.DUMMYFUNCTION("""COMPUTED_VALUE"""),63.0)</f>
        <v>63</v>
      </c>
      <c r="F9045" s="19" t="str">
        <f>IFERROR(__xludf.DUMMYFUNCTION("""COMPUTED_VALUE"""),"BLACK")</f>
        <v>BLACK</v>
      </c>
      <c r="G9045" s="20" t="str">
        <f>IFERROR(__xludf.DUMMYFUNCTION("""COMPUTED_VALUE"""),"Uncle Sams Cider (04/04/2023)")</f>
        <v>Uncle Sams Cider (04/04/2023)</v>
      </c>
      <c r="H9045" s="19"/>
    </row>
    <row r="9046">
      <c r="A9046" s="9"/>
      <c r="B9046" s="15"/>
      <c r="C9046" s="9">
        <f>IFERROR(__xludf.DUMMYFUNCTION("""COMPUTED_VALUE"""),45049.3276339814)</f>
        <v>45049.32763</v>
      </c>
      <c r="D9046" s="15">
        <f>IFERROR(__xludf.DUMMYFUNCTION("""COMPUTED_VALUE"""),1.025)</f>
        <v>1.025</v>
      </c>
      <c r="E9046" s="16">
        <f>IFERROR(__xludf.DUMMYFUNCTION("""COMPUTED_VALUE"""),63.0)</f>
        <v>63</v>
      </c>
      <c r="F9046" s="19" t="str">
        <f>IFERROR(__xludf.DUMMYFUNCTION("""COMPUTED_VALUE"""),"BLACK")</f>
        <v>BLACK</v>
      </c>
      <c r="G9046" s="20" t="str">
        <f>IFERROR(__xludf.DUMMYFUNCTION("""COMPUTED_VALUE"""),"Uncle Sams Cider (04/04/2023)")</f>
        <v>Uncle Sams Cider (04/04/2023)</v>
      </c>
      <c r="H9046" s="19"/>
    </row>
    <row r="9047">
      <c r="A9047" s="9"/>
      <c r="B9047" s="15"/>
      <c r="C9047" s="9">
        <f>IFERROR(__xludf.DUMMYFUNCTION("""COMPUTED_VALUE"""),45049.3172001967)</f>
        <v>45049.3172</v>
      </c>
      <c r="D9047" s="15">
        <f>IFERROR(__xludf.DUMMYFUNCTION("""COMPUTED_VALUE"""),1.025)</f>
        <v>1.025</v>
      </c>
      <c r="E9047" s="16">
        <f>IFERROR(__xludf.DUMMYFUNCTION("""COMPUTED_VALUE"""),63.0)</f>
        <v>63</v>
      </c>
      <c r="F9047" s="19" t="str">
        <f>IFERROR(__xludf.DUMMYFUNCTION("""COMPUTED_VALUE"""),"BLACK")</f>
        <v>BLACK</v>
      </c>
      <c r="G9047" s="20" t="str">
        <f>IFERROR(__xludf.DUMMYFUNCTION("""COMPUTED_VALUE"""),"Uncle Sams Cider (04/04/2023)")</f>
        <v>Uncle Sams Cider (04/04/2023)</v>
      </c>
      <c r="H9047" s="19"/>
    </row>
    <row r="9048">
      <c r="A9048" s="9"/>
      <c r="B9048" s="15"/>
      <c r="C9048" s="9">
        <f>IFERROR(__xludf.DUMMYFUNCTION("""COMPUTED_VALUE"""),45049.3067787731)</f>
        <v>45049.30678</v>
      </c>
      <c r="D9048" s="15">
        <f>IFERROR(__xludf.DUMMYFUNCTION("""COMPUTED_VALUE"""),1.025)</f>
        <v>1.025</v>
      </c>
      <c r="E9048" s="16">
        <f>IFERROR(__xludf.DUMMYFUNCTION("""COMPUTED_VALUE"""),63.0)</f>
        <v>63</v>
      </c>
      <c r="F9048" s="19" t="str">
        <f>IFERROR(__xludf.DUMMYFUNCTION("""COMPUTED_VALUE"""),"BLACK")</f>
        <v>BLACK</v>
      </c>
      <c r="G9048" s="20" t="str">
        <f>IFERROR(__xludf.DUMMYFUNCTION("""COMPUTED_VALUE"""),"Uncle Sams Cider (04/04/2023)")</f>
        <v>Uncle Sams Cider (04/04/2023)</v>
      </c>
      <c r="H9048" s="19"/>
    </row>
    <row r="9049">
      <c r="A9049" s="9"/>
      <c r="B9049" s="15"/>
      <c r="C9049" s="9">
        <f>IFERROR(__xludf.DUMMYFUNCTION("""COMPUTED_VALUE"""),45049.2963585185)</f>
        <v>45049.29636</v>
      </c>
      <c r="D9049" s="15">
        <f>IFERROR(__xludf.DUMMYFUNCTION("""COMPUTED_VALUE"""),1.025)</f>
        <v>1.025</v>
      </c>
      <c r="E9049" s="16">
        <f>IFERROR(__xludf.DUMMYFUNCTION("""COMPUTED_VALUE"""),63.0)</f>
        <v>63</v>
      </c>
      <c r="F9049" s="19" t="str">
        <f>IFERROR(__xludf.DUMMYFUNCTION("""COMPUTED_VALUE"""),"BLACK")</f>
        <v>BLACK</v>
      </c>
      <c r="G9049" s="20" t="str">
        <f>IFERROR(__xludf.DUMMYFUNCTION("""COMPUTED_VALUE"""),"Uncle Sams Cider (04/04/2023)")</f>
        <v>Uncle Sams Cider (04/04/2023)</v>
      </c>
      <c r="H9049" s="19"/>
    </row>
    <row r="9050">
      <c r="A9050" s="9"/>
      <c r="B9050" s="15"/>
      <c r="C9050" s="9">
        <f>IFERROR(__xludf.DUMMYFUNCTION("""COMPUTED_VALUE"""),45049.2859359722)</f>
        <v>45049.28594</v>
      </c>
      <c r="D9050" s="15">
        <f>IFERROR(__xludf.DUMMYFUNCTION("""COMPUTED_VALUE"""),1.025)</f>
        <v>1.025</v>
      </c>
      <c r="E9050" s="16">
        <f>IFERROR(__xludf.DUMMYFUNCTION("""COMPUTED_VALUE"""),63.0)</f>
        <v>63</v>
      </c>
      <c r="F9050" s="19" t="str">
        <f>IFERROR(__xludf.DUMMYFUNCTION("""COMPUTED_VALUE"""),"BLACK")</f>
        <v>BLACK</v>
      </c>
      <c r="G9050" s="20" t="str">
        <f>IFERROR(__xludf.DUMMYFUNCTION("""COMPUTED_VALUE"""),"Uncle Sams Cider (04/04/2023)")</f>
        <v>Uncle Sams Cider (04/04/2023)</v>
      </c>
      <c r="H9050" s="19"/>
    </row>
    <row r="9051">
      <c r="A9051" s="9"/>
      <c r="B9051" s="15"/>
      <c r="C9051" s="9">
        <f>IFERROR(__xludf.DUMMYFUNCTION("""COMPUTED_VALUE"""),45049.2755162384)</f>
        <v>45049.27552</v>
      </c>
      <c r="D9051" s="15">
        <f>IFERROR(__xludf.DUMMYFUNCTION("""COMPUTED_VALUE"""),1.025)</f>
        <v>1.025</v>
      </c>
      <c r="E9051" s="16">
        <f>IFERROR(__xludf.DUMMYFUNCTION("""COMPUTED_VALUE"""),63.0)</f>
        <v>63</v>
      </c>
      <c r="F9051" s="19" t="str">
        <f>IFERROR(__xludf.DUMMYFUNCTION("""COMPUTED_VALUE"""),"BLACK")</f>
        <v>BLACK</v>
      </c>
      <c r="G9051" s="20" t="str">
        <f>IFERROR(__xludf.DUMMYFUNCTION("""COMPUTED_VALUE"""),"Uncle Sams Cider (04/04/2023)")</f>
        <v>Uncle Sams Cider (04/04/2023)</v>
      </c>
      <c r="H9051" s="19"/>
    </row>
    <row r="9052">
      <c r="A9052" s="9"/>
      <c r="B9052" s="15"/>
      <c r="C9052" s="9">
        <f>IFERROR(__xludf.DUMMYFUNCTION("""COMPUTED_VALUE"""),45049.2650944444)</f>
        <v>45049.26509</v>
      </c>
      <c r="D9052" s="15">
        <f>IFERROR(__xludf.DUMMYFUNCTION("""COMPUTED_VALUE"""),1.025)</f>
        <v>1.025</v>
      </c>
      <c r="E9052" s="16">
        <f>IFERROR(__xludf.DUMMYFUNCTION("""COMPUTED_VALUE"""),63.0)</f>
        <v>63</v>
      </c>
      <c r="F9052" s="19" t="str">
        <f>IFERROR(__xludf.DUMMYFUNCTION("""COMPUTED_VALUE"""),"BLACK")</f>
        <v>BLACK</v>
      </c>
      <c r="G9052" s="20" t="str">
        <f>IFERROR(__xludf.DUMMYFUNCTION("""COMPUTED_VALUE"""),"Uncle Sams Cider (04/04/2023)")</f>
        <v>Uncle Sams Cider (04/04/2023)</v>
      </c>
      <c r="H9052" s="19"/>
    </row>
    <row r="9053">
      <c r="A9053" s="9"/>
      <c r="B9053" s="15"/>
      <c r="C9053" s="9">
        <f>IFERROR(__xludf.DUMMYFUNCTION("""COMPUTED_VALUE"""),45049.2546740625)</f>
        <v>45049.25467</v>
      </c>
      <c r="D9053" s="15">
        <f>IFERROR(__xludf.DUMMYFUNCTION("""COMPUTED_VALUE"""),1.025)</f>
        <v>1.025</v>
      </c>
      <c r="E9053" s="16">
        <f>IFERROR(__xludf.DUMMYFUNCTION("""COMPUTED_VALUE"""),63.0)</f>
        <v>63</v>
      </c>
      <c r="F9053" s="19" t="str">
        <f>IFERROR(__xludf.DUMMYFUNCTION("""COMPUTED_VALUE"""),"BLACK")</f>
        <v>BLACK</v>
      </c>
      <c r="G9053" s="20" t="str">
        <f>IFERROR(__xludf.DUMMYFUNCTION("""COMPUTED_VALUE"""),"Uncle Sams Cider (04/04/2023)")</f>
        <v>Uncle Sams Cider (04/04/2023)</v>
      </c>
      <c r="H9053" s="19"/>
    </row>
    <row r="9054">
      <c r="A9054" s="9"/>
      <c r="B9054" s="15"/>
      <c r="C9054" s="9">
        <f>IFERROR(__xludf.DUMMYFUNCTION("""COMPUTED_VALUE"""),45049.2442525578)</f>
        <v>45049.24425</v>
      </c>
      <c r="D9054" s="15">
        <f>IFERROR(__xludf.DUMMYFUNCTION("""COMPUTED_VALUE"""),1.025)</f>
        <v>1.025</v>
      </c>
      <c r="E9054" s="16">
        <f>IFERROR(__xludf.DUMMYFUNCTION("""COMPUTED_VALUE"""),63.0)</f>
        <v>63</v>
      </c>
      <c r="F9054" s="19" t="str">
        <f>IFERROR(__xludf.DUMMYFUNCTION("""COMPUTED_VALUE"""),"BLACK")</f>
        <v>BLACK</v>
      </c>
      <c r="G9054" s="20" t="str">
        <f>IFERROR(__xludf.DUMMYFUNCTION("""COMPUTED_VALUE"""),"Uncle Sams Cider (04/04/2023)")</f>
        <v>Uncle Sams Cider (04/04/2023)</v>
      </c>
      <c r="H9054" s="19"/>
    </row>
    <row r="9055">
      <c r="A9055" s="9"/>
      <c r="B9055" s="15"/>
      <c r="C9055" s="9">
        <f>IFERROR(__xludf.DUMMYFUNCTION("""COMPUTED_VALUE"""),45049.2337498379)</f>
        <v>45049.23375</v>
      </c>
      <c r="D9055" s="15">
        <f>IFERROR(__xludf.DUMMYFUNCTION("""COMPUTED_VALUE"""),1.025)</f>
        <v>1.025</v>
      </c>
      <c r="E9055" s="16">
        <f>IFERROR(__xludf.DUMMYFUNCTION("""COMPUTED_VALUE"""),63.0)</f>
        <v>63</v>
      </c>
      <c r="F9055" s="19" t="str">
        <f>IFERROR(__xludf.DUMMYFUNCTION("""COMPUTED_VALUE"""),"BLACK")</f>
        <v>BLACK</v>
      </c>
      <c r="G9055" s="20" t="str">
        <f>IFERROR(__xludf.DUMMYFUNCTION("""COMPUTED_VALUE"""),"Uncle Sams Cider (04/04/2023)")</f>
        <v>Uncle Sams Cider (04/04/2023)</v>
      </c>
      <c r="H9055" s="19"/>
    </row>
    <row r="9056">
      <c r="A9056" s="9"/>
      <c r="B9056" s="15"/>
      <c r="C9056" s="9">
        <f>IFERROR(__xludf.DUMMYFUNCTION("""COMPUTED_VALUE"""),45049.2233061574)</f>
        <v>45049.22331</v>
      </c>
      <c r="D9056" s="15">
        <f>IFERROR(__xludf.DUMMYFUNCTION("""COMPUTED_VALUE"""),1.025)</f>
        <v>1.025</v>
      </c>
      <c r="E9056" s="16">
        <f>IFERROR(__xludf.DUMMYFUNCTION("""COMPUTED_VALUE"""),63.0)</f>
        <v>63</v>
      </c>
      <c r="F9056" s="19" t="str">
        <f>IFERROR(__xludf.DUMMYFUNCTION("""COMPUTED_VALUE"""),"BLACK")</f>
        <v>BLACK</v>
      </c>
      <c r="G9056" s="20" t="str">
        <f>IFERROR(__xludf.DUMMYFUNCTION("""COMPUTED_VALUE"""),"Uncle Sams Cider (04/04/2023)")</f>
        <v>Uncle Sams Cider (04/04/2023)</v>
      </c>
      <c r="H9056" s="19"/>
    </row>
    <row r="9057">
      <c r="A9057" s="9"/>
      <c r="B9057" s="15"/>
      <c r="C9057" s="9">
        <f>IFERROR(__xludf.DUMMYFUNCTION("""COMPUTED_VALUE"""),45049.2128859375)</f>
        <v>45049.21289</v>
      </c>
      <c r="D9057" s="15">
        <f>IFERROR(__xludf.DUMMYFUNCTION("""COMPUTED_VALUE"""),1.025)</f>
        <v>1.025</v>
      </c>
      <c r="E9057" s="16">
        <f>IFERROR(__xludf.DUMMYFUNCTION("""COMPUTED_VALUE"""),63.0)</f>
        <v>63</v>
      </c>
      <c r="F9057" s="19" t="str">
        <f>IFERROR(__xludf.DUMMYFUNCTION("""COMPUTED_VALUE"""),"BLACK")</f>
        <v>BLACK</v>
      </c>
      <c r="G9057" s="20" t="str">
        <f>IFERROR(__xludf.DUMMYFUNCTION("""COMPUTED_VALUE"""),"Uncle Sams Cider (04/04/2023)")</f>
        <v>Uncle Sams Cider (04/04/2023)</v>
      </c>
      <c r="H9057" s="19"/>
    </row>
    <row r="9058">
      <c r="A9058" s="9"/>
      <c r="B9058" s="15"/>
      <c r="C9058" s="9">
        <f>IFERROR(__xludf.DUMMYFUNCTION("""COMPUTED_VALUE"""),45049.2024429282)</f>
        <v>45049.20244</v>
      </c>
      <c r="D9058" s="15">
        <f>IFERROR(__xludf.DUMMYFUNCTION("""COMPUTED_VALUE"""),1.025)</f>
        <v>1.025</v>
      </c>
      <c r="E9058" s="16">
        <f>IFERROR(__xludf.DUMMYFUNCTION("""COMPUTED_VALUE"""),63.0)</f>
        <v>63</v>
      </c>
      <c r="F9058" s="19" t="str">
        <f>IFERROR(__xludf.DUMMYFUNCTION("""COMPUTED_VALUE"""),"BLACK")</f>
        <v>BLACK</v>
      </c>
      <c r="G9058" s="20" t="str">
        <f>IFERROR(__xludf.DUMMYFUNCTION("""COMPUTED_VALUE"""),"Uncle Sams Cider (04/04/2023)")</f>
        <v>Uncle Sams Cider (04/04/2023)</v>
      </c>
      <c r="H9058" s="19"/>
    </row>
    <row r="9059">
      <c r="A9059" s="9"/>
      <c r="B9059" s="15"/>
      <c r="C9059" s="9">
        <f>IFERROR(__xludf.DUMMYFUNCTION("""COMPUTED_VALUE"""),45049.1919877777)</f>
        <v>45049.19199</v>
      </c>
      <c r="D9059" s="15">
        <f>IFERROR(__xludf.DUMMYFUNCTION("""COMPUTED_VALUE"""),1.025)</f>
        <v>1.025</v>
      </c>
      <c r="E9059" s="16">
        <f>IFERROR(__xludf.DUMMYFUNCTION("""COMPUTED_VALUE"""),63.0)</f>
        <v>63</v>
      </c>
      <c r="F9059" s="19" t="str">
        <f>IFERROR(__xludf.DUMMYFUNCTION("""COMPUTED_VALUE"""),"BLACK")</f>
        <v>BLACK</v>
      </c>
      <c r="G9059" s="20" t="str">
        <f>IFERROR(__xludf.DUMMYFUNCTION("""COMPUTED_VALUE"""),"Uncle Sams Cider (04/04/2023)")</f>
        <v>Uncle Sams Cider (04/04/2023)</v>
      </c>
      <c r="H9059" s="19"/>
    </row>
    <row r="9060">
      <c r="A9060" s="9"/>
      <c r="B9060" s="15"/>
      <c r="C9060" s="9">
        <f>IFERROR(__xludf.DUMMYFUNCTION("""COMPUTED_VALUE"""),45049.1815557291)</f>
        <v>45049.18156</v>
      </c>
      <c r="D9060" s="15">
        <f>IFERROR(__xludf.DUMMYFUNCTION("""COMPUTED_VALUE"""),1.025)</f>
        <v>1.025</v>
      </c>
      <c r="E9060" s="16">
        <f>IFERROR(__xludf.DUMMYFUNCTION("""COMPUTED_VALUE"""),63.0)</f>
        <v>63</v>
      </c>
      <c r="F9060" s="19" t="str">
        <f>IFERROR(__xludf.DUMMYFUNCTION("""COMPUTED_VALUE"""),"BLACK")</f>
        <v>BLACK</v>
      </c>
      <c r="G9060" s="20" t="str">
        <f>IFERROR(__xludf.DUMMYFUNCTION("""COMPUTED_VALUE"""),"Uncle Sams Cider (04/04/2023)")</f>
        <v>Uncle Sams Cider (04/04/2023)</v>
      </c>
      <c r="H9060" s="19"/>
    </row>
    <row r="9061">
      <c r="A9061" s="9"/>
      <c r="B9061" s="15"/>
      <c r="C9061" s="9">
        <f>IFERROR(__xludf.DUMMYFUNCTION("""COMPUTED_VALUE"""),45049.1711231713)</f>
        <v>45049.17112</v>
      </c>
      <c r="D9061" s="15">
        <f>IFERROR(__xludf.DUMMYFUNCTION("""COMPUTED_VALUE"""),1.025)</f>
        <v>1.025</v>
      </c>
      <c r="E9061" s="16">
        <f>IFERROR(__xludf.DUMMYFUNCTION("""COMPUTED_VALUE"""),63.0)</f>
        <v>63</v>
      </c>
      <c r="F9061" s="19" t="str">
        <f>IFERROR(__xludf.DUMMYFUNCTION("""COMPUTED_VALUE"""),"BLACK")</f>
        <v>BLACK</v>
      </c>
      <c r="G9061" s="20" t="str">
        <f>IFERROR(__xludf.DUMMYFUNCTION("""COMPUTED_VALUE"""),"Uncle Sams Cider (04/04/2023)")</f>
        <v>Uncle Sams Cider (04/04/2023)</v>
      </c>
      <c r="H9061" s="19"/>
    </row>
    <row r="9062">
      <c r="A9062" s="9"/>
      <c r="B9062" s="15"/>
      <c r="C9062" s="9">
        <f>IFERROR(__xludf.DUMMYFUNCTION("""COMPUTED_VALUE"""),45049.1607017129)</f>
        <v>45049.1607</v>
      </c>
      <c r="D9062" s="15">
        <f>IFERROR(__xludf.DUMMYFUNCTION("""COMPUTED_VALUE"""),1.025)</f>
        <v>1.025</v>
      </c>
      <c r="E9062" s="16">
        <f>IFERROR(__xludf.DUMMYFUNCTION("""COMPUTED_VALUE"""),63.0)</f>
        <v>63</v>
      </c>
      <c r="F9062" s="19" t="str">
        <f>IFERROR(__xludf.DUMMYFUNCTION("""COMPUTED_VALUE"""),"BLACK")</f>
        <v>BLACK</v>
      </c>
      <c r="G9062" s="20" t="str">
        <f>IFERROR(__xludf.DUMMYFUNCTION("""COMPUTED_VALUE"""),"Uncle Sams Cider (04/04/2023)")</f>
        <v>Uncle Sams Cider (04/04/2023)</v>
      </c>
      <c r="H9062" s="19"/>
    </row>
    <row r="9063">
      <c r="A9063" s="9"/>
      <c r="B9063" s="15"/>
      <c r="C9063" s="9">
        <f>IFERROR(__xludf.DUMMYFUNCTION("""COMPUTED_VALUE"""),45049.1502669675)</f>
        <v>45049.15027</v>
      </c>
      <c r="D9063" s="15">
        <f>IFERROR(__xludf.DUMMYFUNCTION("""COMPUTED_VALUE"""),1.025)</f>
        <v>1.025</v>
      </c>
      <c r="E9063" s="16">
        <f>IFERROR(__xludf.DUMMYFUNCTION("""COMPUTED_VALUE"""),63.0)</f>
        <v>63</v>
      </c>
      <c r="F9063" s="19" t="str">
        <f>IFERROR(__xludf.DUMMYFUNCTION("""COMPUTED_VALUE"""),"BLACK")</f>
        <v>BLACK</v>
      </c>
      <c r="G9063" s="20" t="str">
        <f>IFERROR(__xludf.DUMMYFUNCTION("""COMPUTED_VALUE"""),"Uncle Sams Cider (04/04/2023)")</f>
        <v>Uncle Sams Cider (04/04/2023)</v>
      </c>
      <c r="H9063" s="19"/>
    </row>
    <row r="9064">
      <c r="A9064" s="9"/>
      <c r="B9064" s="15"/>
      <c r="C9064" s="9">
        <f>IFERROR(__xludf.DUMMYFUNCTION("""COMPUTED_VALUE"""),45049.1398353009)</f>
        <v>45049.13984</v>
      </c>
      <c r="D9064" s="15">
        <f>IFERROR(__xludf.DUMMYFUNCTION("""COMPUTED_VALUE"""),1.025)</f>
        <v>1.025</v>
      </c>
      <c r="E9064" s="16">
        <f>IFERROR(__xludf.DUMMYFUNCTION("""COMPUTED_VALUE"""),63.0)</f>
        <v>63</v>
      </c>
      <c r="F9064" s="19" t="str">
        <f>IFERROR(__xludf.DUMMYFUNCTION("""COMPUTED_VALUE"""),"BLACK")</f>
        <v>BLACK</v>
      </c>
      <c r="G9064" s="20" t="str">
        <f>IFERROR(__xludf.DUMMYFUNCTION("""COMPUTED_VALUE"""),"Uncle Sams Cider (04/04/2023)")</f>
        <v>Uncle Sams Cider (04/04/2023)</v>
      </c>
      <c r="H9064" s="19"/>
    </row>
    <row r="9065">
      <c r="A9065" s="9"/>
      <c r="B9065" s="15"/>
      <c r="C9065" s="9">
        <f>IFERROR(__xludf.DUMMYFUNCTION("""COMPUTED_VALUE"""),45049.1293685995)</f>
        <v>45049.12937</v>
      </c>
      <c r="D9065" s="15">
        <f>IFERROR(__xludf.DUMMYFUNCTION("""COMPUTED_VALUE"""),1.025)</f>
        <v>1.025</v>
      </c>
      <c r="E9065" s="16">
        <f>IFERROR(__xludf.DUMMYFUNCTION("""COMPUTED_VALUE"""),63.0)</f>
        <v>63</v>
      </c>
      <c r="F9065" s="19" t="str">
        <f>IFERROR(__xludf.DUMMYFUNCTION("""COMPUTED_VALUE"""),"BLACK")</f>
        <v>BLACK</v>
      </c>
      <c r="G9065" s="20" t="str">
        <f>IFERROR(__xludf.DUMMYFUNCTION("""COMPUTED_VALUE"""),"Uncle Sams Cider (04/04/2023)")</f>
        <v>Uncle Sams Cider (04/04/2023)</v>
      </c>
      <c r="H9065" s="19"/>
    </row>
    <row r="9066">
      <c r="A9066" s="9"/>
      <c r="B9066" s="15"/>
      <c r="C9066" s="9">
        <f>IFERROR(__xludf.DUMMYFUNCTION("""COMPUTED_VALUE"""),45049.1189371296)</f>
        <v>45049.11894</v>
      </c>
      <c r="D9066" s="15">
        <f>IFERROR(__xludf.DUMMYFUNCTION("""COMPUTED_VALUE"""),1.025)</f>
        <v>1.025</v>
      </c>
      <c r="E9066" s="16">
        <f>IFERROR(__xludf.DUMMYFUNCTION("""COMPUTED_VALUE"""),63.0)</f>
        <v>63</v>
      </c>
      <c r="F9066" s="19" t="str">
        <f>IFERROR(__xludf.DUMMYFUNCTION("""COMPUTED_VALUE"""),"BLACK")</f>
        <v>BLACK</v>
      </c>
      <c r="G9066" s="20" t="str">
        <f>IFERROR(__xludf.DUMMYFUNCTION("""COMPUTED_VALUE"""),"Uncle Sams Cider (04/04/2023)")</f>
        <v>Uncle Sams Cider (04/04/2023)</v>
      </c>
      <c r="H9066" s="19"/>
    </row>
    <row r="9067">
      <c r="A9067" s="9"/>
      <c r="B9067" s="15"/>
      <c r="C9067" s="9">
        <f>IFERROR(__xludf.DUMMYFUNCTION("""COMPUTED_VALUE"""),45049.1084932291)</f>
        <v>45049.10849</v>
      </c>
      <c r="D9067" s="15">
        <f>IFERROR(__xludf.DUMMYFUNCTION("""COMPUTED_VALUE"""),1.025)</f>
        <v>1.025</v>
      </c>
      <c r="E9067" s="16">
        <f>IFERROR(__xludf.DUMMYFUNCTION("""COMPUTED_VALUE"""),63.0)</f>
        <v>63</v>
      </c>
      <c r="F9067" s="19" t="str">
        <f>IFERROR(__xludf.DUMMYFUNCTION("""COMPUTED_VALUE"""),"BLACK")</f>
        <v>BLACK</v>
      </c>
      <c r="G9067" s="20" t="str">
        <f>IFERROR(__xludf.DUMMYFUNCTION("""COMPUTED_VALUE"""),"Uncle Sams Cider (04/04/2023)")</f>
        <v>Uncle Sams Cider (04/04/2023)</v>
      </c>
      <c r="H9067" s="19"/>
    </row>
    <row r="9068">
      <c r="A9068" s="9"/>
      <c r="B9068" s="15"/>
      <c r="C9068" s="9">
        <f>IFERROR(__xludf.DUMMYFUNCTION("""COMPUTED_VALUE"""),45049.0980594097)</f>
        <v>45049.09806</v>
      </c>
      <c r="D9068" s="15">
        <f>IFERROR(__xludf.DUMMYFUNCTION("""COMPUTED_VALUE"""),1.025)</f>
        <v>1.025</v>
      </c>
      <c r="E9068" s="16">
        <f>IFERROR(__xludf.DUMMYFUNCTION("""COMPUTED_VALUE"""),63.0)</f>
        <v>63</v>
      </c>
      <c r="F9068" s="19" t="str">
        <f>IFERROR(__xludf.DUMMYFUNCTION("""COMPUTED_VALUE"""),"BLACK")</f>
        <v>BLACK</v>
      </c>
      <c r="G9068" s="20" t="str">
        <f>IFERROR(__xludf.DUMMYFUNCTION("""COMPUTED_VALUE"""),"Uncle Sams Cider (04/04/2023)")</f>
        <v>Uncle Sams Cider (04/04/2023)</v>
      </c>
      <c r="H9068" s="19"/>
    </row>
    <row r="9069">
      <c r="A9069" s="9"/>
      <c r="B9069" s="15"/>
      <c r="C9069" s="9">
        <f>IFERROR(__xludf.DUMMYFUNCTION("""COMPUTED_VALUE"""),45049.0875797453)</f>
        <v>45049.08758</v>
      </c>
      <c r="D9069" s="15">
        <f>IFERROR(__xludf.DUMMYFUNCTION("""COMPUTED_VALUE"""),1.025)</f>
        <v>1.025</v>
      </c>
      <c r="E9069" s="16">
        <f>IFERROR(__xludf.DUMMYFUNCTION("""COMPUTED_VALUE"""),63.0)</f>
        <v>63</v>
      </c>
      <c r="F9069" s="19" t="str">
        <f>IFERROR(__xludf.DUMMYFUNCTION("""COMPUTED_VALUE"""),"BLACK")</f>
        <v>BLACK</v>
      </c>
      <c r="G9069" s="20" t="str">
        <f>IFERROR(__xludf.DUMMYFUNCTION("""COMPUTED_VALUE"""),"Uncle Sams Cider (04/04/2023)")</f>
        <v>Uncle Sams Cider (04/04/2023)</v>
      </c>
      <c r="H9069" s="19"/>
    </row>
    <row r="9070">
      <c r="A9070" s="9"/>
      <c r="B9070" s="15"/>
      <c r="C9070" s="9">
        <f>IFERROR(__xludf.DUMMYFUNCTION("""COMPUTED_VALUE"""),45049.0771236805)</f>
        <v>45049.07712</v>
      </c>
      <c r="D9070" s="15">
        <f>IFERROR(__xludf.DUMMYFUNCTION("""COMPUTED_VALUE"""),1.025)</f>
        <v>1.025</v>
      </c>
      <c r="E9070" s="16">
        <f>IFERROR(__xludf.DUMMYFUNCTION("""COMPUTED_VALUE"""),63.0)</f>
        <v>63</v>
      </c>
      <c r="F9070" s="19" t="str">
        <f>IFERROR(__xludf.DUMMYFUNCTION("""COMPUTED_VALUE"""),"BLACK")</f>
        <v>BLACK</v>
      </c>
      <c r="G9070" s="20" t="str">
        <f>IFERROR(__xludf.DUMMYFUNCTION("""COMPUTED_VALUE"""),"Uncle Sams Cider (04/04/2023)")</f>
        <v>Uncle Sams Cider (04/04/2023)</v>
      </c>
      <c r="H9070" s="19"/>
    </row>
    <row r="9071">
      <c r="A9071" s="9"/>
      <c r="B9071" s="15"/>
      <c r="C9071" s="9">
        <f>IFERROR(__xludf.DUMMYFUNCTION("""COMPUTED_VALUE"""),45049.0666922106)</f>
        <v>45049.06669</v>
      </c>
      <c r="D9071" s="15">
        <f>IFERROR(__xludf.DUMMYFUNCTION("""COMPUTED_VALUE"""),1.025)</f>
        <v>1.025</v>
      </c>
      <c r="E9071" s="16">
        <f>IFERROR(__xludf.DUMMYFUNCTION("""COMPUTED_VALUE"""),63.0)</f>
        <v>63</v>
      </c>
      <c r="F9071" s="19" t="str">
        <f>IFERROR(__xludf.DUMMYFUNCTION("""COMPUTED_VALUE"""),"BLACK")</f>
        <v>BLACK</v>
      </c>
      <c r="G9071" s="20" t="str">
        <f>IFERROR(__xludf.DUMMYFUNCTION("""COMPUTED_VALUE"""),"Uncle Sams Cider (04/04/2023)")</f>
        <v>Uncle Sams Cider (04/04/2023)</v>
      </c>
      <c r="H9071" s="19"/>
    </row>
    <row r="9072">
      <c r="A9072" s="9"/>
      <c r="B9072" s="15"/>
      <c r="C9072" s="9">
        <f>IFERROR(__xludf.DUMMYFUNCTION("""COMPUTED_VALUE"""),45049.0562708333)</f>
        <v>45049.05627</v>
      </c>
      <c r="D9072" s="15">
        <f>IFERROR(__xludf.DUMMYFUNCTION("""COMPUTED_VALUE"""),1.025)</f>
        <v>1.025</v>
      </c>
      <c r="E9072" s="16">
        <f>IFERROR(__xludf.DUMMYFUNCTION("""COMPUTED_VALUE"""),63.0)</f>
        <v>63</v>
      </c>
      <c r="F9072" s="19" t="str">
        <f>IFERROR(__xludf.DUMMYFUNCTION("""COMPUTED_VALUE"""),"BLACK")</f>
        <v>BLACK</v>
      </c>
      <c r="G9072" s="20" t="str">
        <f>IFERROR(__xludf.DUMMYFUNCTION("""COMPUTED_VALUE"""),"Uncle Sams Cider (04/04/2023)")</f>
        <v>Uncle Sams Cider (04/04/2023)</v>
      </c>
      <c r="H9072" s="19"/>
    </row>
    <row r="9073">
      <c r="A9073" s="9"/>
      <c r="B9073" s="15"/>
      <c r="C9073" s="9">
        <f>IFERROR(__xludf.DUMMYFUNCTION("""COMPUTED_VALUE"""),45049.0458481713)</f>
        <v>45049.04585</v>
      </c>
      <c r="D9073" s="15">
        <f>IFERROR(__xludf.DUMMYFUNCTION("""COMPUTED_VALUE"""),1.025)</f>
        <v>1.025</v>
      </c>
      <c r="E9073" s="16">
        <f>IFERROR(__xludf.DUMMYFUNCTION("""COMPUTED_VALUE"""),63.0)</f>
        <v>63</v>
      </c>
      <c r="F9073" s="19" t="str">
        <f>IFERROR(__xludf.DUMMYFUNCTION("""COMPUTED_VALUE"""),"BLACK")</f>
        <v>BLACK</v>
      </c>
      <c r="G9073" s="20" t="str">
        <f>IFERROR(__xludf.DUMMYFUNCTION("""COMPUTED_VALUE"""),"Uncle Sams Cider (04/04/2023)")</f>
        <v>Uncle Sams Cider (04/04/2023)</v>
      </c>
      <c r="H9073" s="19"/>
    </row>
    <row r="9074">
      <c r="A9074" s="9"/>
      <c r="B9074" s="15"/>
      <c r="C9074" s="9">
        <f>IFERROR(__xludf.DUMMYFUNCTION("""COMPUTED_VALUE"""),45049.03542625)</f>
        <v>45049.03543</v>
      </c>
      <c r="D9074" s="15">
        <f>IFERROR(__xludf.DUMMYFUNCTION("""COMPUTED_VALUE"""),1.025)</f>
        <v>1.025</v>
      </c>
      <c r="E9074" s="16">
        <f>IFERROR(__xludf.DUMMYFUNCTION("""COMPUTED_VALUE"""),63.0)</f>
        <v>63</v>
      </c>
      <c r="F9074" s="19" t="str">
        <f>IFERROR(__xludf.DUMMYFUNCTION("""COMPUTED_VALUE"""),"BLACK")</f>
        <v>BLACK</v>
      </c>
      <c r="G9074" s="20" t="str">
        <f>IFERROR(__xludf.DUMMYFUNCTION("""COMPUTED_VALUE"""),"Uncle Sams Cider (04/04/2023)")</f>
        <v>Uncle Sams Cider (04/04/2023)</v>
      </c>
      <c r="H9074" s="19"/>
    </row>
    <row r="9075">
      <c r="A9075" s="9"/>
      <c r="B9075" s="15"/>
      <c r="C9075" s="9">
        <f>IFERROR(__xludf.DUMMYFUNCTION("""COMPUTED_VALUE"""),45049.0250057754)</f>
        <v>45049.02501</v>
      </c>
      <c r="D9075" s="15">
        <f>IFERROR(__xludf.DUMMYFUNCTION("""COMPUTED_VALUE"""),1.025)</f>
        <v>1.025</v>
      </c>
      <c r="E9075" s="16">
        <f>IFERROR(__xludf.DUMMYFUNCTION("""COMPUTED_VALUE"""),63.0)</f>
        <v>63</v>
      </c>
      <c r="F9075" s="19" t="str">
        <f>IFERROR(__xludf.DUMMYFUNCTION("""COMPUTED_VALUE"""),"BLACK")</f>
        <v>BLACK</v>
      </c>
      <c r="G9075" s="20" t="str">
        <f>IFERROR(__xludf.DUMMYFUNCTION("""COMPUTED_VALUE"""),"Uncle Sams Cider (04/04/2023)")</f>
        <v>Uncle Sams Cider (04/04/2023)</v>
      </c>
      <c r="H9075" s="19"/>
    </row>
    <row r="9076">
      <c r="A9076" s="9"/>
      <c r="B9076" s="15"/>
      <c r="C9076" s="9">
        <f>IFERROR(__xludf.DUMMYFUNCTION("""COMPUTED_VALUE"""),45049.0145494907)</f>
        <v>45049.01455</v>
      </c>
      <c r="D9076" s="15">
        <f>IFERROR(__xludf.DUMMYFUNCTION("""COMPUTED_VALUE"""),1.025)</f>
        <v>1.025</v>
      </c>
      <c r="E9076" s="16">
        <f>IFERROR(__xludf.DUMMYFUNCTION("""COMPUTED_VALUE"""),63.0)</f>
        <v>63</v>
      </c>
      <c r="F9076" s="19" t="str">
        <f>IFERROR(__xludf.DUMMYFUNCTION("""COMPUTED_VALUE"""),"BLACK")</f>
        <v>BLACK</v>
      </c>
      <c r="G9076" s="20" t="str">
        <f>IFERROR(__xludf.DUMMYFUNCTION("""COMPUTED_VALUE"""),"Uncle Sams Cider (04/04/2023)")</f>
        <v>Uncle Sams Cider (04/04/2023)</v>
      </c>
      <c r="H9076" s="19"/>
    </row>
    <row r="9077">
      <c r="A9077" s="9"/>
      <c r="B9077" s="15"/>
      <c r="C9077" s="9">
        <f>IFERROR(__xludf.DUMMYFUNCTION("""COMPUTED_VALUE"""),45049.004128206)</f>
        <v>45049.00413</v>
      </c>
      <c r="D9077" s="15">
        <f>IFERROR(__xludf.DUMMYFUNCTION("""COMPUTED_VALUE"""),1.025)</f>
        <v>1.025</v>
      </c>
      <c r="E9077" s="16">
        <f>IFERROR(__xludf.DUMMYFUNCTION("""COMPUTED_VALUE"""),63.0)</f>
        <v>63</v>
      </c>
      <c r="F9077" s="19" t="str">
        <f>IFERROR(__xludf.DUMMYFUNCTION("""COMPUTED_VALUE"""),"BLACK")</f>
        <v>BLACK</v>
      </c>
      <c r="G9077" s="20" t="str">
        <f>IFERROR(__xludf.DUMMYFUNCTION("""COMPUTED_VALUE"""),"Uncle Sams Cider (04/04/2023)")</f>
        <v>Uncle Sams Cider (04/04/2023)</v>
      </c>
      <c r="H9077" s="19"/>
    </row>
    <row r="9078">
      <c r="A9078" s="9"/>
      <c r="B9078" s="15"/>
      <c r="C9078" s="9">
        <f>IFERROR(__xludf.DUMMYFUNCTION("""COMPUTED_VALUE"""),45048.9936975231)</f>
        <v>45048.9937</v>
      </c>
      <c r="D9078" s="15">
        <f>IFERROR(__xludf.DUMMYFUNCTION("""COMPUTED_VALUE"""),1.025)</f>
        <v>1.025</v>
      </c>
      <c r="E9078" s="16">
        <f>IFERROR(__xludf.DUMMYFUNCTION("""COMPUTED_VALUE"""),63.0)</f>
        <v>63</v>
      </c>
      <c r="F9078" s="19" t="str">
        <f>IFERROR(__xludf.DUMMYFUNCTION("""COMPUTED_VALUE"""),"BLACK")</f>
        <v>BLACK</v>
      </c>
      <c r="G9078" s="20" t="str">
        <f>IFERROR(__xludf.DUMMYFUNCTION("""COMPUTED_VALUE"""),"Uncle Sams Cider (04/04/2023)")</f>
        <v>Uncle Sams Cider (04/04/2023)</v>
      </c>
      <c r="H9078" s="19"/>
    </row>
    <row r="9079">
      <c r="A9079" s="9"/>
      <c r="B9079" s="15"/>
      <c r="C9079" s="9">
        <f>IFERROR(__xludf.DUMMYFUNCTION("""COMPUTED_VALUE"""),45048.9832752662)</f>
        <v>45048.98328</v>
      </c>
      <c r="D9079" s="15">
        <f>IFERROR(__xludf.DUMMYFUNCTION("""COMPUTED_VALUE"""),1.025)</f>
        <v>1.025</v>
      </c>
      <c r="E9079" s="16">
        <f>IFERROR(__xludf.DUMMYFUNCTION("""COMPUTED_VALUE"""),63.0)</f>
        <v>63</v>
      </c>
      <c r="F9079" s="19" t="str">
        <f>IFERROR(__xludf.DUMMYFUNCTION("""COMPUTED_VALUE"""),"BLACK")</f>
        <v>BLACK</v>
      </c>
      <c r="G9079" s="20" t="str">
        <f>IFERROR(__xludf.DUMMYFUNCTION("""COMPUTED_VALUE"""),"Uncle Sams Cider (04/04/2023)")</f>
        <v>Uncle Sams Cider (04/04/2023)</v>
      </c>
      <c r="H9079" s="19"/>
    </row>
    <row r="9080">
      <c r="A9080" s="9"/>
      <c r="B9080" s="15"/>
      <c r="C9080" s="9">
        <f>IFERROR(__xludf.DUMMYFUNCTION("""COMPUTED_VALUE"""),45048.972854074)</f>
        <v>45048.97285</v>
      </c>
      <c r="D9080" s="15">
        <f>IFERROR(__xludf.DUMMYFUNCTION("""COMPUTED_VALUE"""),1.025)</f>
        <v>1.025</v>
      </c>
      <c r="E9080" s="16">
        <f>IFERROR(__xludf.DUMMYFUNCTION("""COMPUTED_VALUE"""),63.0)</f>
        <v>63</v>
      </c>
      <c r="F9080" s="19" t="str">
        <f>IFERROR(__xludf.DUMMYFUNCTION("""COMPUTED_VALUE"""),"BLACK")</f>
        <v>BLACK</v>
      </c>
      <c r="G9080" s="20" t="str">
        <f>IFERROR(__xludf.DUMMYFUNCTION("""COMPUTED_VALUE"""),"Uncle Sams Cider (04/04/2023)")</f>
        <v>Uncle Sams Cider (04/04/2023)</v>
      </c>
      <c r="H9080" s="19"/>
    </row>
    <row r="9081">
      <c r="A9081" s="9"/>
      <c r="B9081" s="15"/>
      <c r="C9081" s="9">
        <f>IFERROR(__xludf.DUMMYFUNCTION("""COMPUTED_VALUE"""),45048.9624212268)</f>
        <v>45048.96242</v>
      </c>
      <c r="D9081" s="15">
        <f>IFERROR(__xludf.DUMMYFUNCTION("""COMPUTED_VALUE"""),1.025)</f>
        <v>1.025</v>
      </c>
      <c r="E9081" s="16">
        <f>IFERROR(__xludf.DUMMYFUNCTION("""COMPUTED_VALUE"""),63.0)</f>
        <v>63</v>
      </c>
      <c r="F9081" s="19" t="str">
        <f>IFERROR(__xludf.DUMMYFUNCTION("""COMPUTED_VALUE"""),"BLACK")</f>
        <v>BLACK</v>
      </c>
      <c r="G9081" s="20" t="str">
        <f>IFERROR(__xludf.DUMMYFUNCTION("""COMPUTED_VALUE"""),"Uncle Sams Cider (04/04/2023)")</f>
        <v>Uncle Sams Cider (04/04/2023)</v>
      </c>
      <c r="H9081" s="19"/>
    </row>
    <row r="9082">
      <c r="A9082" s="9"/>
      <c r="B9082" s="15"/>
      <c r="C9082" s="9">
        <f>IFERROR(__xludf.DUMMYFUNCTION("""COMPUTED_VALUE"""),45048.9519998032)</f>
        <v>45048.952</v>
      </c>
      <c r="D9082" s="15">
        <f>IFERROR(__xludf.DUMMYFUNCTION("""COMPUTED_VALUE"""),1.025)</f>
        <v>1.025</v>
      </c>
      <c r="E9082" s="16">
        <f>IFERROR(__xludf.DUMMYFUNCTION("""COMPUTED_VALUE"""),63.0)</f>
        <v>63</v>
      </c>
      <c r="F9082" s="19" t="str">
        <f>IFERROR(__xludf.DUMMYFUNCTION("""COMPUTED_VALUE"""),"BLACK")</f>
        <v>BLACK</v>
      </c>
      <c r="G9082" s="20" t="str">
        <f>IFERROR(__xludf.DUMMYFUNCTION("""COMPUTED_VALUE"""),"Uncle Sams Cider (04/04/2023)")</f>
        <v>Uncle Sams Cider (04/04/2023)</v>
      </c>
      <c r="H9082" s="19"/>
    </row>
    <row r="9083">
      <c r="A9083" s="9"/>
      <c r="B9083" s="15"/>
      <c r="C9083" s="9">
        <f>IFERROR(__xludf.DUMMYFUNCTION("""COMPUTED_VALUE"""),45048.9415329629)</f>
        <v>45048.94153</v>
      </c>
      <c r="D9083" s="15">
        <f>IFERROR(__xludf.DUMMYFUNCTION("""COMPUTED_VALUE"""),1.025)</f>
        <v>1.025</v>
      </c>
      <c r="E9083" s="16">
        <f>IFERROR(__xludf.DUMMYFUNCTION("""COMPUTED_VALUE"""),63.0)</f>
        <v>63</v>
      </c>
      <c r="F9083" s="19" t="str">
        <f>IFERROR(__xludf.DUMMYFUNCTION("""COMPUTED_VALUE"""),"BLACK")</f>
        <v>BLACK</v>
      </c>
      <c r="G9083" s="20" t="str">
        <f>IFERROR(__xludf.DUMMYFUNCTION("""COMPUTED_VALUE"""),"Uncle Sams Cider (04/04/2023)")</f>
        <v>Uncle Sams Cider (04/04/2023)</v>
      </c>
      <c r="H9083" s="19"/>
    </row>
    <row r="9084">
      <c r="A9084" s="9"/>
      <c r="B9084" s="15"/>
      <c r="C9084" s="9">
        <f>IFERROR(__xludf.DUMMYFUNCTION("""COMPUTED_VALUE"""),45048.9311133912)</f>
        <v>45048.93111</v>
      </c>
      <c r="D9084" s="15">
        <f>IFERROR(__xludf.DUMMYFUNCTION("""COMPUTED_VALUE"""),1.025)</f>
        <v>1.025</v>
      </c>
      <c r="E9084" s="16">
        <f>IFERROR(__xludf.DUMMYFUNCTION("""COMPUTED_VALUE"""),63.0)</f>
        <v>63</v>
      </c>
      <c r="F9084" s="19" t="str">
        <f>IFERROR(__xludf.DUMMYFUNCTION("""COMPUTED_VALUE"""),"BLACK")</f>
        <v>BLACK</v>
      </c>
      <c r="G9084" s="20" t="str">
        <f>IFERROR(__xludf.DUMMYFUNCTION("""COMPUTED_VALUE"""),"Uncle Sams Cider (04/04/2023)")</f>
        <v>Uncle Sams Cider (04/04/2023)</v>
      </c>
      <c r="H9084" s="19"/>
    </row>
    <row r="9085">
      <c r="A9085" s="9"/>
      <c r="B9085" s="15"/>
      <c r="C9085" s="9">
        <f>IFERROR(__xludf.DUMMYFUNCTION("""COMPUTED_VALUE"""),45048.9206915046)</f>
        <v>45048.92069</v>
      </c>
      <c r="D9085" s="15">
        <f>IFERROR(__xludf.DUMMYFUNCTION("""COMPUTED_VALUE"""),1.025)</f>
        <v>1.025</v>
      </c>
      <c r="E9085" s="16">
        <f>IFERROR(__xludf.DUMMYFUNCTION("""COMPUTED_VALUE"""),63.0)</f>
        <v>63</v>
      </c>
      <c r="F9085" s="19" t="str">
        <f>IFERROR(__xludf.DUMMYFUNCTION("""COMPUTED_VALUE"""),"BLACK")</f>
        <v>BLACK</v>
      </c>
      <c r="G9085" s="20" t="str">
        <f>IFERROR(__xludf.DUMMYFUNCTION("""COMPUTED_VALUE"""),"Uncle Sams Cider (04/04/2023)")</f>
        <v>Uncle Sams Cider (04/04/2023)</v>
      </c>
      <c r="H9085" s="19"/>
    </row>
    <row r="9086">
      <c r="A9086" s="9"/>
      <c r="B9086" s="15"/>
      <c r="C9086" s="9">
        <f>IFERROR(__xludf.DUMMYFUNCTION("""COMPUTED_VALUE"""),45048.9102681944)</f>
        <v>45048.91027</v>
      </c>
      <c r="D9086" s="15">
        <f>IFERROR(__xludf.DUMMYFUNCTION("""COMPUTED_VALUE"""),1.025)</f>
        <v>1.025</v>
      </c>
      <c r="E9086" s="16">
        <f>IFERROR(__xludf.DUMMYFUNCTION("""COMPUTED_VALUE"""),63.0)</f>
        <v>63</v>
      </c>
      <c r="F9086" s="19" t="str">
        <f>IFERROR(__xludf.DUMMYFUNCTION("""COMPUTED_VALUE"""),"BLACK")</f>
        <v>BLACK</v>
      </c>
      <c r="G9086" s="20" t="str">
        <f>IFERROR(__xludf.DUMMYFUNCTION("""COMPUTED_VALUE"""),"Uncle Sams Cider (04/04/2023)")</f>
        <v>Uncle Sams Cider (04/04/2023)</v>
      </c>
      <c r="H9086" s="19"/>
    </row>
    <row r="9087">
      <c r="A9087" s="9"/>
      <c r="B9087" s="15"/>
      <c r="C9087" s="9">
        <f>IFERROR(__xludf.DUMMYFUNCTION("""COMPUTED_VALUE"""),45048.8998240972)</f>
        <v>45048.89982</v>
      </c>
      <c r="D9087" s="15">
        <f>IFERROR(__xludf.DUMMYFUNCTION("""COMPUTED_VALUE"""),1.025)</f>
        <v>1.025</v>
      </c>
      <c r="E9087" s="16">
        <f>IFERROR(__xludf.DUMMYFUNCTION("""COMPUTED_VALUE"""),63.0)</f>
        <v>63</v>
      </c>
      <c r="F9087" s="19" t="str">
        <f>IFERROR(__xludf.DUMMYFUNCTION("""COMPUTED_VALUE"""),"BLACK")</f>
        <v>BLACK</v>
      </c>
      <c r="G9087" s="20" t="str">
        <f>IFERROR(__xludf.DUMMYFUNCTION("""COMPUTED_VALUE"""),"Uncle Sams Cider (04/04/2023)")</f>
        <v>Uncle Sams Cider (04/04/2023)</v>
      </c>
      <c r="H9087" s="19"/>
    </row>
    <row r="9088">
      <c r="A9088" s="9"/>
      <c r="B9088" s="15"/>
      <c r="C9088" s="9">
        <f>IFERROR(__xludf.DUMMYFUNCTION("""COMPUTED_VALUE"""),45048.8893567361)</f>
        <v>45048.88936</v>
      </c>
      <c r="D9088" s="15">
        <f>IFERROR(__xludf.DUMMYFUNCTION("""COMPUTED_VALUE"""),1.025)</f>
        <v>1.025</v>
      </c>
      <c r="E9088" s="16">
        <f>IFERROR(__xludf.DUMMYFUNCTION("""COMPUTED_VALUE"""),63.0)</f>
        <v>63</v>
      </c>
      <c r="F9088" s="19" t="str">
        <f>IFERROR(__xludf.DUMMYFUNCTION("""COMPUTED_VALUE"""),"BLACK")</f>
        <v>BLACK</v>
      </c>
      <c r="G9088" s="20" t="str">
        <f>IFERROR(__xludf.DUMMYFUNCTION("""COMPUTED_VALUE"""),"Uncle Sams Cider (04/04/2023)")</f>
        <v>Uncle Sams Cider (04/04/2023)</v>
      </c>
      <c r="H9088" s="19"/>
    </row>
    <row r="9089">
      <c r="A9089" s="9"/>
      <c r="B9089" s="15"/>
      <c r="C9089" s="9">
        <f>IFERROR(__xludf.DUMMYFUNCTION("""COMPUTED_VALUE"""),45048.8789132754)</f>
        <v>45048.87891</v>
      </c>
      <c r="D9089" s="15">
        <f>IFERROR(__xludf.DUMMYFUNCTION("""COMPUTED_VALUE"""),1.025)</f>
        <v>1.025</v>
      </c>
      <c r="E9089" s="16">
        <f>IFERROR(__xludf.DUMMYFUNCTION("""COMPUTED_VALUE"""),63.0)</f>
        <v>63</v>
      </c>
      <c r="F9089" s="19" t="str">
        <f>IFERROR(__xludf.DUMMYFUNCTION("""COMPUTED_VALUE"""),"BLACK")</f>
        <v>BLACK</v>
      </c>
      <c r="G9089" s="20" t="str">
        <f>IFERROR(__xludf.DUMMYFUNCTION("""COMPUTED_VALUE"""),"Uncle Sams Cider (04/04/2023)")</f>
        <v>Uncle Sams Cider (04/04/2023)</v>
      </c>
      <c r="H9089" s="19"/>
    </row>
    <row r="9090">
      <c r="A9090" s="9"/>
      <c r="B9090" s="15"/>
      <c r="C9090" s="9">
        <f>IFERROR(__xludf.DUMMYFUNCTION("""COMPUTED_VALUE"""),45048.8684689814)</f>
        <v>45048.86847</v>
      </c>
      <c r="D9090" s="15">
        <f>IFERROR(__xludf.DUMMYFUNCTION("""COMPUTED_VALUE"""),1.025)</f>
        <v>1.025</v>
      </c>
      <c r="E9090" s="16">
        <f>IFERROR(__xludf.DUMMYFUNCTION("""COMPUTED_VALUE"""),63.0)</f>
        <v>63</v>
      </c>
      <c r="F9090" s="19" t="str">
        <f>IFERROR(__xludf.DUMMYFUNCTION("""COMPUTED_VALUE"""),"BLACK")</f>
        <v>BLACK</v>
      </c>
      <c r="G9090" s="20" t="str">
        <f>IFERROR(__xludf.DUMMYFUNCTION("""COMPUTED_VALUE"""),"Uncle Sams Cider (04/04/2023)")</f>
        <v>Uncle Sams Cider (04/04/2023)</v>
      </c>
      <c r="H9090" s="19"/>
    </row>
    <row r="9091">
      <c r="A9091" s="9"/>
      <c r="B9091" s="15"/>
      <c r="C9091" s="9">
        <f>IFERROR(__xludf.DUMMYFUNCTION("""COMPUTED_VALUE"""),45048.8580472453)</f>
        <v>45048.85805</v>
      </c>
      <c r="D9091" s="15">
        <f>IFERROR(__xludf.DUMMYFUNCTION("""COMPUTED_VALUE"""),1.025)</f>
        <v>1.025</v>
      </c>
      <c r="E9091" s="16">
        <f>IFERROR(__xludf.DUMMYFUNCTION("""COMPUTED_VALUE"""),63.0)</f>
        <v>63</v>
      </c>
      <c r="F9091" s="19" t="str">
        <f>IFERROR(__xludf.DUMMYFUNCTION("""COMPUTED_VALUE"""),"BLACK")</f>
        <v>BLACK</v>
      </c>
      <c r="G9091" s="20" t="str">
        <f>IFERROR(__xludf.DUMMYFUNCTION("""COMPUTED_VALUE"""),"Uncle Sams Cider (04/04/2023)")</f>
        <v>Uncle Sams Cider (04/04/2023)</v>
      </c>
      <c r="H9091" s="19"/>
    </row>
    <row r="9092">
      <c r="A9092" s="9"/>
      <c r="B9092" s="15"/>
      <c r="C9092" s="9">
        <f>IFERROR(__xludf.DUMMYFUNCTION("""COMPUTED_VALUE"""),45048.8476034143)</f>
        <v>45048.8476</v>
      </c>
      <c r="D9092" s="15">
        <f>IFERROR(__xludf.DUMMYFUNCTION("""COMPUTED_VALUE"""),1.025)</f>
        <v>1.025</v>
      </c>
      <c r="E9092" s="16">
        <f>IFERROR(__xludf.DUMMYFUNCTION("""COMPUTED_VALUE"""),63.0)</f>
        <v>63</v>
      </c>
      <c r="F9092" s="19" t="str">
        <f>IFERROR(__xludf.DUMMYFUNCTION("""COMPUTED_VALUE"""),"BLACK")</f>
        <v>BLACK</v>
      </c>
      <c r="G9092" s="20" t="str">
        <f>IFERROR(__xludf.DUMMYFUNCTION("""COMPUTED_VALUE"""),"Uncle Sams Cider (04/04/2023)")</f>
        <v>Uncle Sams Cider (04/04/2023)</v>
      </c>
      <c r="H9092" s="19"/>
    </row>
    <row r="9093">
      <c r="A9093" s="9"/>
      <c r="B9093" s="15"/>
      <c r="C9093" s="9">
        <f>IFERROR(__xludf.DUMMYFUNCTION("""COMPUTED_VALUE"""),45048.8371715162)</f>
        <v>45048.83717</v>
      </c>
      <c r="D9093" s="15">
        <f>IFERROR(__xludf.DUMMYFUNCTION("""COMPUTED_VALUE"""),1.025)</f>
        <v>1.025</v>
      </c>
      <c r="E9093" s="16">
        <f>IFERROR(__xludf.DUMMYFUNCTION("""COMPUTED_VALUE"""),63.0)</f>
        <v>63</v>
      </c>
      <c r="F9093" s="19" t="str">
        <f>IFERROR(__xludf.DUMMYFUNCTION("""COMPUTED_VALUE"""),"BLACK")</f>
        <v>BLACK</v>
      </c>
      <c r="G9093" s="20" t="str">
        <f>IFERROR(__xludf.DUMMYFUNCTION("""COMPUTED_VALUE"""),"Uncle Sams Cider (04/04/2023)")</f>
        <v>Uncle Sams Cider (04/04/2023)</v>
      </c>
      <c r="H9093" s="19"/>
    </row>
    <row r="9094">
      <c r="A9094" s="9"/>
      <c r="B9094" s="15"/>
      <c r="C9094" s="9">
        <f>IFERROR(__xludf.DUMMYFUNCTION("""COMPUTED_VALUE"""),45048.8267389004)</f>
        <v>45048.82674</v>
      </c>
      <c r="D9094" s="15">
        <f>IFERROR(__xludf.DUMMYFUNCTION("""COMPUTED_VALUE"""),1.025)</f>
        <v>1.025</v>
      </c>
      <c r="E9094" s="16">
        <f>IFERROR(__xludf.DUMMYFUNCTION("""COMPUTED_VALUE"""),63.0)</f>
        <v>63</v>
      </c>
      <c r="F9094" s="19" t="str">
        <f>IFERROR(__xludf.DUMMYFUNCTION("""COMPUTED_VALUE"""),"BLACK")</f>
        <v>BLACK</v>
      </c>
      <c r="G9094" s="20" t="str">
        <f>IFERROR(__xludf.DUMMYFUNCTION("""COMPUTED_VALUE"""),"Uncle Sams Cider (04/04/2023)")</f>
        <v>Uncle Sams Cider (04/04/2023)</v>
      </c>
      <c r="H9094" s="19"/>
    </row>
    <row r="9095">
      <c r="A9095" s="9"/>
      <c r="B9095" s="15"/>
      <c r="C9095" s="9">
        <f>IFERROR(__xludf.DUMMYFUNCTION("""COMPUTED_VALUE"""),45048.8162613657)</f>
        <v>45048.81626</v>
      </c>
      <c r="D9095" s="15">
        <f>IFERROR(__xludf.DUMMYFUNCTION("""COMPUTED_VALUE"""),1.025)</f>
        <v>1.025</v>
      </c>
      <c r="E9095" s="16">
        <f>IFERROR(__xludf.DUMMYFUNCTION("""COMPUTED_VALUE"""),63.0)</f>
        <v>63</v>
      </c>
      <c r="F9095" s="19" t="str">
        <f>IFERROR(__xludf.DUMMYFUNCTION("""COMPUTED_VALUE"""),"BLACK")</f>
        <v>BLACK</v>
      </c>
      <c r="G9095" s="20" t="str">
        <f>IFERROR(__xludf.DUMMYFUNCTION("""COMPUTED_VALUE"""),"Uncle Sams Cider (04/04/2023)")</f>
        <v>Uncle Sams Cider (04/04/2023)</v>
      </c>
      <c r="H9095" s="19"/>
    </row>
    <row r="9096">
      <c r="A9096" s="9"/>
      <c r="B9096" s="15"/>
      <c r="C9096" s="9">
        <f>IFERROR(__xludf.DUMMYFUNCTION("""COMPUTED_VALUE"""),45048.8057834722)</f>
        <v>45048.80578</v>
      </c>
      <c r="D9096" s="15">
        <f>IFERROR(__xludf.DUMMYFUNCTION("""COMPUTED_VALUE"""),1.025)</f>
        <v>1.025</v>
      </c>
      <c r="E9096" s="16">
        <f>IFERROR(__xludf.DUMMYFUNCTION("""COMPUTED_VALUE"""),63.0)</f>
        <v>63</v>
      </c>
      <c r="F9096" s="19" t="str">
        <f>IFERROR(__xludf.DUMMYFUNCTION("""COMPUTED_VALUE"""),"BLACK")</f>
        <v>BLACK</v>
      </c>
      <c r="G9096" s="20" t="str">
        <f>IFERROR(__xludf.DUMMYFUNCTION("""COMPUTED_VALUE"""),"Uncle Sams Cider (04/04/2023)")</f>
        <v>Uncle Sams Cider (04/04/2023)</v>
      </c>
      <c r="H9096" s="19"/>
    </row>
    <row r="9097">
      <c r="A9097" s="9"/>
      <c r="B9097" s="15"/>
      <c r="C9097" s="9">
        <f>IFERROR(__xludf.DUMMYFUNCTION("""COMPUTED_VALUE"""),45048.7953496759)</f>
        <v>45048.79535</v>
      </c>
      <c r="D9097" s="15">
        <f>IFERROR(__xludf.DUMMYFUNCTION("""COMPUTED_VALUE"""),1.025)</f>
        <v>1.025</v>
      </c>
      <c r="E9097" s="16">
        <f>IFERROR(__xludf.DUMMYFUNCTION("""COMPUTED_VALUE"""),63.0)</f>
        <v>63</v>
      </c>
      <c r="F9097" s="19" t="str">
        <f>IFERROR(__xludf.DUMMYFUNCTION("""COMPUTED_VALUE"""),"BLACK")</f>
        <v>BLACK</v>
      </c>
      <c r="G9097" s="20" t="str">
        <f>IFERROR(__xludf.DUMMYFUNCTION("""COMPUTED_VALUE"""),"Uncle Sams Cider (04/04/2023)")</f>
        <v>Uncle Sams Cider (04/04/2023)</v>
      </c>
      <c r="H9097" s="19"/>
    </row>
    <row r="9098">
      <c r="A9098" s="9"/>
      <c r="B9098" s="15"/>
      <c r="C9098" s="9">
        <f>IFERROR(__xludf.DUMMYFUNCTION("""COMPUTED_VALUE"""),45048.7849055902)</f>
        <v>45048.78491</v>
      </c>
      <c r="D9098" s="15">
        <f>IFERROR(__xludf.DUMMYFUNCTION("""COMPUTED_VALUE"""),1.025)</f>
        <v>1.025</v>
      </c>
      <c r="E9098" s="16">
        <f>IFERROR(__xludf.DUMMYFUNCTION("""COMPUTED_VALUE"""),63.0)</f>
        <v>63</v>
      </c>
      <c r="F9098" s="19" t="str">
        <f>IFERROR(__xludf.DUMMYFUNCTION("""COMPUTED_VALUE"""),"BLACK")</f>
        <v>BLACK</v>
      </c>
      <c r="G9098" s="20" t="str">
        <f>IFERROR(__xludf.DUMMYFUNCTION("""COMPUTED_VALUE"""),"Uncle Sams Cider (04/04/2023)")</f>
        <v>Uncle Sams Cider (04/04/2023)</v>
      </c>
      <c r="H9098" s="19"/>
    </row>
    <row r="9099">
      <c r="A9099" s="9"/>
      <c r="B9099" s="15"/>
      <c r="C9099" s="9">
        <f>IFERROR(__xludf.DUMMYFUNCTION("""COMPUTED_VALUE"""),45048.7744720601)</f>
        <v>45048.77447</v>
      </c>
      <c r="D9099" s="15">
        <f>IFERROR(__xludf.DUMMYFUNCTION("""COMPUTED_VALUE"""),1.025)</f>
        <v>1.025</v>
      </c>
      <c r="E9099" s="16">
        <f>IFERROR(__xludf.DUMMYFUNCTION("""COMPUTED_VALUE"""),63.0)</f>
        <v>63</v>
      </c>
      <c r="F9099" s="19" t="str">
        <f>IFERROR(__xludf.DUMMYFUNCTION("""COMPUTED_VALUE"""),"BLACK")</f>
        <v>BLACK</v>
      </c>
      <c r="G9099" s="20" t="str">
        <f>IFERROR(__xludf.DUMMYFUNCTION("""COMPUTED_VALUE"""),"Uncle Sams Cider (04/04/2023)")</f>
        <v>Uncle Sams Cider (04/04/2023)</v>
      </c>
      <c r="H9099" s="19"/>
    </row>
    <row r="9100">
      <c r="A9100" s="9"/>
      <c r="B9100" s="15"/>
      <c r="C9100" s="9">
        <f>IFERROR(__xludf.DUMMYFUNCTION("""COMPUTED_VALUE"""),45048.7640514699)</f>
        <v>45048.76405</v>
      </c>
      <c r="D9100" s="15">
        <f>IFERROR(__xludf.DUMMYFUNCTION("""COMPUTED_VALUE"""),1.025)</f>
        <v>1.025</v>
      </c>
      <c r="E9100" s="16">
        <f>IFERROR(__xludf.DUMMYFUNCTION("""COMPUTED_VALUE"""),63.0)</f>
        <v>63</v>
      </c>
      <c r="F9100" s="19" t="str">
        <f>IFERROR(__xludf.DUMMYFUNCTION("""COMPUTED_VALUE"""),"BLACK")</f>
        <v>BLACK</v>
      </c>
      <c r="G9100" s="20" t="str">
        <f>IFERROR(__xludf.DUMMYFUNCTION("""COMPUTED_VALUE"""),"Uncle Sams Cider (04/04/2023)")</f>
        <v>Uncle Sams Cider (04/04/2023)</v>
      </c>
      <c r="H9100" s="19"/>
    </row>
    <row r="9101">
      <c r="A9101" s="9"/>
      <c r="B9101" s="15"/>
      <c r="C9101" s="9">
        <f>IFERROR(__xludf.DUMMYFUNCTION("""COMPUTED_VALUE"""),45048.7536287384)</f>
        <v>45048.75363</v>
      </c>
      <c r="D9101" s="15">
        <f>IFERROR(__xludf.DUMMYFUNCTION("""COMPUTED_VALUE"""),1.025)</f>
        <v>1.025</v>
      </c>
      <c r="E9101" s="16">
        <f>IFERROR(__xludf.DUMMYFUNCTION("""COMPUTED_VALUE"""),63.0)</f>
        <v>63</v>
      </c>
      <c r="F9101" s="19" t="str">
        <f>IFERROR(__xludf.DUMMYFUNCTION("""COMPUTED_VALUE"""),"BLACK")</f>
        <v>BLACK</v>
      </c>
      <c r="G9101" s="20" t="str">
        <f>IFERROR(__xludf.DUMMYFUNCTION("""COMPUTED_VALUE"""),"Uncle Sams Cider (04/04/2023)")</f>
        <v>Uncle Sams Cider (04/04/2023)</v>
      </c>
      <c r="H9101" s="19"/>
    </row>
    <row r="9102">
      <c r="A9102" s="9"/>
      <c r="B9102" s="15"/>
      <c r="C9102" s="9">
        <f>IFERROR(__xludf.DUMMYFUNCTION("""COMPUTED_VALUE"""),45048.7432067476)</f>
        <v>45048.74321</v>
      </c>
      <c r="D9102" s="15">
        <f>IFERROR(__xludf.DUMMYFUNCTION("""COMPUTED_VALUE"""),1.025)</f>
        <v>1.025</v>
      </c>
      <c r="E9102" s="16">
        <f>IFERROR(__xludf.DUMMYFUNCTION("""COMPUTED_VALUE"""),63.0)</f>
        <v>63</v>
      </c>
      <c r="F9102" s="19" t="str">
        <f>IFERROR(__xludf.DUMMYFUNCTION("""COMPUTED_VALUE"""),"BLACK")</f>
        <v>BLACK</v>
      </c>
      <c r="G9102" s="20" t="str">
        <f>IFERROR(__xludf.DUMMYFUNCTION("""COMPUTED_VALUE"""),"Uncle Sams Cider (04/04/2023)")</f>
        <v>Uncle Sams Cider (04/04/2023)</v>
      </c>
      <c r="H9102" s="19"/>
    </row>
    <row r="9103">
      <c r="A9103" s="9"/>
      <c r="B9103" s="15"/>
      <c r="C9103" s="9">
        <f>IFERROR(__xludf.DUMMYFUNCTION("""COMPUTED_VALUE"""),45048.7327610185)</f>
        <v>45048.73276</v>
      </c>
      <c r="D9103" s="15">
        <f>IFERROR(__xludf.DUMMYFUNCTION("""COMPUTED_VALUE"""),1.025)</f>
        <v>1.025</v>
      </c>
      <c r="E9103" s="16">
        <f>IFERROR(__xludf.DUMMYFUNCTION("""COMPUTED_VALUE"""),63.0)</f>
        <v>63</v>
      </c>
      <c r="F9103" s="19" t="str">
        <f>IFERROR(__xludf.DUMMYFUNCTION("""COMPUTED_VALUE"""),"BLACK")</f>
        <v>BLACK</v>
      </c>
      <c r="G9103" s="20" t="str">
        <f>IFERROR(__xludf.DUMMYFUNCTION("""COMPUTED_VALUE"""),"Uncle Sams Cider (04/04/2023)")</f>
        <v>Uncle Sams Cider (04/04/2023)</v>
      </c>
      <c r="H9103" s="19"/>
    </row>
    <row r="9104">
      <c r="A9104" s="9"/>
      <c r="B9104" s="15"/>
      <c r="C9104" s="9">
        <f>IFERROR(__xludf.DUMMYFUNCTION("""COMPUTED_VALUE"""),45048.7223398263)</f>
        <v>45048.72234</v>
      </c>
      <c r="D9104" s="15">
        <f>IFERROR(__xludf.DUMMYFUNCTION("""COMPUTED_VALUE"""),1.025)</f>
        <v>1.025</v>
      </c>
      <c r="E9104" s="16">
        <f>IFERROR(__xludf.DUMMYFUNCTION("""COMPUTED_VALUE"""),63.0)</f>
        <v>63</v>
      </c>
      <c r="F9104" s="19" t="str">
        <f>IFERROR(__xludf.DUMMYFUNCTION("""COMPUTED_VALUE"""),"BLACK")</f>
        <v>BLACK</v>
      </c>
      <c r="G9104" s="20" t="str">
        <f>IFERROR(__xludf.DUMMYFUNCTION("""COMPUTED_VALUE"""),"Uncle Sams Cider (04/04/2023)")</f>
        <v>Uncle Sams Cider (04/04/2023)</v>
      </c>
      <c r="H9104" s="19"/>
    </row>
    <row r="9105">
      <c r="A9105" s="9"/>
      <c r="B9105" s="15"/>
      <c r="C9105" s="9">
        <f>IFERROR(__xludf.DUMMYFUNCTION("""COMPUTED_VALUE"""),45048.7119186574)</f>
        <v>45048.71192</v>
      </c>
      <c r="D9105" s="15">
        <f>IFERROR(__xludf.DUMMYFUNCTION("""COMPUTED_VALUE"""),1.025)</f>
        <v>1.025</v>
      </c>
      <c r="E9105" s="16">
        <f>IFERROR(__xludf.DUMMYFUNCTION("""COMPUTED_VALUE"""),63.0)</f>
        <v>63</v>
      </c>
      <c r="F9105" s="19" t="str">
        <f>IFERROR(__xludf.DUMMYFUNCTION("""COMPUTED_VALUE"""),"BLACK")</f>
        <v>BLACK</v>
      </c>
      <c r="G9105" s="20" t="str">
        <f>IFERROR(__xludf.DUMMYFUNCTION("""COMPUTED_VALUE"""),"Uncle Sams Cider (04/04/2023)")</f>
        <v>Uncle Sams Cider (04/04/2023)</v>
      </c>
      <c r="H9105" s="19"/>
    </row>
    <row r="9106">
      <c r="A9106" s="9"/>
      <c r="B9106" s="15"/>
      <c r="C9106" s="9">
        <f>IFERROR(__xludf.DUMMYFUNCTION("""COMPUTED_VALUE"""),45048.7014985763)</f>
        <v>45048.7015</v>
      </c>
      <c r="D9106" s="15">
        <f>IFERROR(__xludf.DUMMYFUNCTION("""COMPUTED_VALUE"""),1.025)</f>
        <v>1.025</v>
      </c>
      <c r="E9106" s="16">
        <f>IFERROR(__xludf.DUMMYFUNCTION("""COMPUTED_VALUE"""),63.0)</f>
        <v>63</v>
      </c>
      <c r="F9106" s="19" t="str">
        <f>IFERROR(__xludf.DUMMYFUNCTION("""COMPUTED_VALUE"""),"BLACK")</f>
        <v>BLACK</v>
      </c>
      <c r="G9106" s="20" t="str">
        <f>IFERROR(__xludf.DUMMYFUNCTION("""COMPUTED_VALUE"""),"Uncle Sams Cider (04/04/2023)")</f>
        <v>Uncle Sams Cider (04/04/2023)</v>
      </c>
      <c r="H9106" s="19"/>
    </row>
    <row r="9107">
      <c r="A9107" s="9"/>
      <c r="B9107" s="15"/>
      <c r="C9107" s="9">
        <f>IFERROR(__xludf.DUMMYFUNCTION("""COMPUTED_VALUE"""),45048.6910770254)</f>
        <v>45048.69108</v>
      </c>
      <c r="D9107" s="15">
        <f>IFERROR(__xludf.DUMMYFUNCTION("""COMPUTED_VALUE"""),1.025)</f>
        <v>1.025</v>
      </c>
      <c r="E9107" s="16">
        <f>IFERROR(__xludf.DUMMYFUNCTION("""COMPUTED_VALUE"""),63.0)</f>
        <v>63</v>
      </c>
      <c r="F9107" s="19" t="str">
        <f>IFERROR(__xludf.DUMMYFUNCTION("""COMPUTED_VALUE"""),"BLACK")</f>
        <v>BLACK</v>
      </c>
      <c r="G9107" s="20" t="str">
        <f>IFERROR(__xludf.DUMMYFUNCTION("""COMPUTED_VALUE"""),"Uncle Sams Cider (04/04/2023)")</f>
        <v>Uncle Sams Cider (04/04/2023)</v>
      </c>
      <c r="H9107" s="19"/>
    </row>
    <row r="9108">
      <c r="A9108" s="9"/>
      <c r="B9108" s="15"/>
      <c r="C9108" s="9">
        <f>IFERROR(__xludf.DUMMYFUNCTION("""COMPUTED_VALUE"""),45048.6806554861)</f>
        <v>45048.68066</v>
      </c>
      <c r="D9108" s="15">
        <f>IFERROR(__xludf.DUMMYFUNCTION("""COMPUTED_VALUE"""),1.025)</f>
        <v>1.025</v>
      </c>
      <c r="E9108" s="16">
        <f>IFERROR(__xludf.DUMMYFUNCTION("""COMPUTED_VALUE"""),63.0)</f>
        <v>63</v>
      </c>
      <c r="F9108" s="19" t="str">
        <f>IFERROR(__xludf.DUMMYFUNCTION("""COMPUTED_VALUE"""),"BLACK")</f>
        <v>BLACK</v>
      </c>
      <c r="G9108" s="20" t="str">
        <f>IFERROR(__xludf.DUMMYFUNCTION("""COMPUTED_VALUE"""),"Uncle Sams Cider (04/04/2023)")</f>
        <v>Uncle Sams Cider (04/04/2023)</v>
      </c>
      <c r="H9108" s="19"/>
    </row>
    <row r="9109">
      <c r="A9109" s="9"/>
      <c r="B9109" s="15"/>
      <c r="C9109" s="9">
        <f>IFERROR(__xludf.DUMMYFUNCTION("""COMPUTED_VALUE"""),45048.6702340277)</f>
        <v>45048.67023</v>
      </c>
      <c r="D9109" s="15">
        <f>IFERROR(__xludf.DUMMYFUNCTION("""COMPUTED_VALUE"""),1.025)</f>
        <v>1.025</v>
      </c>
      <c r="E9109" s="16">
        <f>IFERROR(__xludf.DUMMYFUNCTION("""COMPUTED_VALUE"""),63.0)</f>
        <v>63</v>
      </c>
      <c r="F9109" s="19" t="str">
        <f>IFERROR(__xludf.DUMMYFUNCTION("""COMPUTED_VALUE"""),"BLACK")</f>
        <v>BLACK</v>
      </c>
      <c r="G9109" s="20" t="str">
        <f>IFERROR(__xludf.DUMMYFUNCTION("""COMPUTED_VALUE"""),"Uncle Sams Cider (04/04/2023)")</f>
        <v>Uncle Sams Cider (04/04/2023)</v>
      </c>
      <c r="H9109" s="19"/>
    </row>
    <row r="9110">
      <c r="A9110" s="9"/>
      <c r="B9110" s="15"/>
      <c r="C9110" s="9">
        <f>IFERROR(__xludf.DUMMYFUNCTION("""COMPUTED_VALUE"""),45048.6598125463)</f>
        <v>45048.65981</v>
      </c>
      <c r="D9110" s="15">
        <f>IFERROR(__xludf.DUMMYFUNCTION("""COMPUTED_VALUE"""),1.025)</f>
        <v>1.025</v>
      </c>
      <c r="E9110" s="16">
        <f>IFERROR(__xludf.DUMMYFUNCTION("""COMPUTED_VALUE"""),63.0)</f>
        <v>63</v>
      </c>
      <c r="F9110" s="19" t="str">
        <f>IFERROR(__xludf.DUMMYFUNCTION("""COMPUTED_VALUE"""),"BLACK")</f>
        <v>BLACK</v>
      </c>
      <c r="G9110" s="20" t="str">
        <f>IFERROR(__xludf.DUMMYFUNCTION("""COMPUTED_VALUE"""),"Uncle Sams Cider (04/04/2023)")</f>
        <v>Uncle Sams Cider (04/04/2023)</v>
      </c>
      <c r="H9110" s="19"/>
    </row>
    <row r="9111">
      <c r="A9111" s="9"/>
      <c r="B9111" s="15"/>
      <c r="C9111" s="9">
        <f>IFERROR(__xludf.DUMMYFUNCTION("""COMPUTED_VALUE"""),45048.64939125)</f>
        <v>45048.64939</v>
      </c>
      <c r="D9111" s="15">
        <f>IFERROR(__xludf.DUMMYFUNCTION("""COMPUTED_VALUE"""),1.025)</f>
        <v>1.025</v>
      </c>
      <c r="E9111" s="16">
        <f>IFERROR(__xludf.DUMMYFUNCTION("""COMPUTED_VALUE"""),63.0)</f>
        <v>63</v>
      </c>
      <c r="F9111" s="19" t="str">
        <f>IFERROR(__xludf.DUMMYFUNCTION("""COMPUTED_VALUE"""),"BLACK")</f>
        <v>BLACK</v>
      </c>
      <c r="G9111" s="20" t="str">
        <f>IFERROR(__xludf.DUMMYFUNCTION("""COMPUTED_VALUE"""),"Uncle Sams Cider (04/04/2023)")</f>
        <v>Uncle Sams Cider (04/04/2023)</v>
      </c>
      <c r="H9111" s="19"/>
    </row>
    <row r="9112">
      <c r="A9112" s="9"/>
      <c r="B9112" s="15"/>
      <c r="C9112" s="9">
        <f>IFERROR(__xludf.DUMMYFUNCTION("""COMPUTED_VALUE"""),45048.6389592824)</f>
        <v>45048.63896</v>
      </c>
      <c r="D9112" s="15">
        <f>IFERROR(__xludf.DUMMYFUNCTION("""COMPUTED_VALUE"""),1.025)</f>
        <v>1.025</v>
      </c>
      <c r="E9112" s="16">
        <f>IFERROR(__xludf.DUMMYFUNCTION("""COMPUTED_VALUE"""),63.0)</f>
        <v>63</v>
      </c>
      <c r="F9112" s="19" t="str">
        <f>IFERROR(__xludf.DUMMYFUNCTION("""COMPUTED_VALUE"""),"BLACK")</f>
        <v>BLACK</v>
      </c>
      <c r="G9112" s="20" t="str">
        <f>IFERROR(__xludf.DUMMYFUNCTION("""COMPUTED_VALUE"""),"Uncle Sams Cider (04/04/2023)")</f>
        <v>Uncle Sams Cider (04/04/2023)</v>
      </c>
      <c r="H9112" s="19"/>
    </row>
    <row r="9113">
      <c r="A9113" s="9"/>
      <c r="B9113" s="15"/>
      <c r="C9113" s="9">
        <f>IFERROR(__xludf.DUMMYFUNCTION("""COMPUTED_VALUE"""),45048.6285389236)</f>
        <v>45048.62854</v>
      </c>
      <c r="D9113" s="15">
        <f>IFERROR(__xludf.DUMMYFUNCTION("""COMPUTED_VALUE"""),1.025)</f>
        <v>1.025</v>
      </c>
      <c r="E9113" s="16">
        <f>IFERROR(__xludf.DUMMYFUNCTION("""COMPUTED_VALUE"""),63.0)</f>
        <v>63</v>
      </c>
      <c r="F9113" s="19" t="str">
        <f>IFERROR(__xludf.DUMMYFUNCTION("""COMPUTED_VALUE"""),"BLACK")</f>
        <v>BLACK</v>
      </c>
      <c r="G9113" s="20" t="str">
        <f>IFERROR(__xludf.DUMMYFUNCTION("""COMPUTED_VALUE"""),"Uncle Sams Cider (04/04/2023)")</f>
        <v>Uncle Sams Cider (04/04/2023)</v>
      </c>
      <c r="H9113" s="19"/>
    </row>
    <row r="9114">
      <c r="A9114" s="9"/>
      <c r="B9114" s="15"/>
      <c r="C9114" s="9">
        <f>IFERROR(__xludf.DUMMYFUNCTION("""COMPUTED_VALUE"""),45048.6181186805)</f>
        <v>45048.61812</v>
      </c>
      <c r="D9114" s="15">
        <f>IFERROR(__xludf.DUMMYFUNCTION("""COMPUTED_VALUE"""),1.025)</f>
        <v>1.025</v>
      </c>
      <c r="E9114" s="16">
        <f>IFERROR(__xludf.DUMMYFUNCTION("""COMPUTED_VALUE"""),63.0)</f>
        <v>63</v>
      </c>
      <c r="F9114" s="19" t="str">
        <f>IFERROR(__xludf.DUMMYFUNCTION("""COMPUTED_VALUE"""),"BLACK")</f>
        <v>BLACK</v>
      </c>
      <c r="G9114" s="20" t="str">
        <f>IFERROR(__xludf.DUMMYFUNCTION("""COMPUTED_VALUE"""),"Uncle Sams Cider (04/04/2023)")</f>
        <v>Uncle Sams Cider (04/04/2023)</v>
      </c>
      <c r="H9114" s="19"/>
    </row>
    <row r="9115">
      <c r="A9115" s="9"/>
      <c r="B9115" s="15"/>
      <c r="C9115" s="9">
        <f>IFERROR(__xludf.DUMMYFUNCTION("""COMPUTED_VALUE"""),45048.6076980555)</f>
        <v>45048.6077</v>
      </c>
      <c r="D9115" s="15">
        <f>IFERROR(__xludf.DUMMYFUNCTION("""COMPUTED_VALUE"""),1.026)</f>
        <v>1.026</v>
      </c>
      <c r="E9115" s="16">
        <f>IFERROR(__xludf.DUMMYFUNCTION("""COMPUTED_VALUE"""),63.0)</f>
        <v>63</v>
      </c>
      <c r="F9115" s="19" t="str">
        <f>IFERROR(__xludf.DUMMYFUNCTION("""COMPUTED_VALUE"""),"BLACK")</f>
        <v>BLACK</v>
      </c>
      <c r="G9115" s="20" t="str">
        <f>IFERROR(__xludf.DUMMYFUNCTION("""COMPUTED_VALUE"""),"Uncle Sams Cider (04/04/2023)")</f>
        <v>Uncle Sams Cider (04/04/2023)</v>
      </c>
      <c r="H9115" s="19"/>
    </row>
    <row r="9116">
      <c r="A9116" s="9"/>
      <c r="B9116" s="15"/>
      <c r="C9116" s="9">
        <f>IFERROR(__xludf.DUMMYFUNCTION("""COMPUTED_VALUE"""),45048.5972628356)</f>
        <v>45048.59726</v>
      </c>
      <c r="D9116" s="15">
        <f>IFERROR(__xludf.DUMMYFUNCTION("""COMPUTED_VALUE"""),1.025)</f>
        <v>1.025</v>
      </c>
      <c r="E9116" s="16">
        <f>IFERROR(__xludf.DUMMYFUNCTION("""COMPUTED_VALUE"""),63.0)</f>
        <v>63</v>
      </c>
      <c r="F9116" s="19" t="str">
        <f>IFERROR(__xludf.DUMMYFUNCTION("""COMPUTED_VALUE"""),"BLACK")</f>
        <v>BLACK</v>
      </c>
      <c r="G9116" s="20" t="str">
        <f>IFERROR(__xludf.DUMMYFUNCTION("""COMPUTED_VALUE"""),"Uncle Sams Cider (04/04/2023)")</f>
        <v>Uncle Sams Cider (04/04/2023)</v>
      </c>
      <c r="H9116" s="19"/>
    </row>
    <row r="9117">
      <c r="A9117" s="9"/>
      <c r="B9117" s="15"/>
      <c r="C9117" s="9">
        <f>IFERROR(__xludf.DUMMYFUNCTION("""COMPUTED_VALUE"""),45048.5868411805)</f>
        <v>45048.58684</v>
      </c>
      <c r="D9117" s="15">
        <f>IFERROR(__xludf.DUMMYFUNCTION("""COMPUTED_VALUE"""),1.025)</f>
        <v>1.025</v>
      </c>
      <c r="E9117" s="16">
        <f>IFERROR(__xludf.DUMMYFUNCTION("""COMPUTED_VALUE"""),63.0)</f>
        <v>63</v>
      </c>
      <c r="F9117" s="19" t="str">
        <f>IFERROR(__xludf.DUMMYFUNCTION("""COMPUTED_VALUE"""),"BLACK")</f>
        <v>BLACK</v>
      </c>
      <c r="G9117" s="20" t="str">
        <f>IFERROR(__xludf.DUMMYFUNCTION("""COMPUTED_VALUE"""),"Uncle Sams Cider (04/04/2023)")</f>
        <v>Uncle Sams Cider (04/04/2023)</v>
      </c>
      <c r="H9117" s="19"/>
    </row>
    <row r="9118">
      <c r="A9118" s="9"/>
      <c r="B9118" s="15"/>
      <c r="C9118" s="9">
        <f>IFERROR(__xludf.DUMMYFUNCTION("""COMPUTED_VALUE"""),45048.5764212268)</f>
        <v>45048.57642</v>
      </c>
      <c r="D9118" s="15">
        <f>IFERROR(__xludf.DUMMYFUNCTION("""COMPUTED_VALUE"""),1.026)</f>
        <v>1.026</v>
      </c>
      <c r="E9118" s="16">
        <f>IFERROR(__xludf.DUMMYFUNCTION("""COMPUTED_VALUE"""),63.0)</f>
        <v>63</v>
      </c>
      <c r="F9118" s="19" t="str">
        <f>IFERROR(__xludf.DUMMYFUNCTION("""COMPUTED_VALUE"""),"BLACK")</f>
        <v>BLACK</v>
      </c>
      <c r="G9118" s="20" t="str">
        <f>IFERROR(__xludf.DUMMYFUNCTION("""COMPUTED_VALUE"""),"Uncle Sams Cider (04/04/2023)")</f>
        <v>Uncle Sams Cider (04/04/2023)</v>
      </c>
      <c r="H9118" s="19"/>
    </row>
    <row r="9119">
      <c r="A9119" s="9"/>
      <c r="B9119" s="15"/>
      <c r="C9119" s="9">
        <f>IFERROR(__xludf.DUMMYFUNCTION("""COMPUTED_VALUE"""),45048.5660021527)</f>
        <v>45048.566</v>
      </c>
      <c r="D9119" s="15">
        <f>IFERROR(__xludf.DUMMYFUNCTION("""COMPUTED_VALUE"""),1.026)</f>
        <v>1.026</v>
      </c>
      <c r="E9119" s="16">
        <f>IFERROR(__xludf.DUMMYFUNCTION("""COMPUTED_VALUE"""),63.0)</f>
        <v>63</v>
      </c>
      <c r="F9119" s="19" t="str">
        <f>IFERROR(__xludf.DUMMYFUNCTION("""COMPUTED_VALUE"""),"BLACK")</f>
        <v>BLACK</v>
      </c>
      <c r="G9119" s="20" t="str">
        <f>IFERROR(__xludf.DUMMYFUNCTION("""COMPUTED_VALUE"""),"Uncle Sams Cider (04/04/2023)")</f>
        <v>Uncle Sams Cider (04/04/2023)</v>
      </c>
      <c r="H9119" s="19"/>
    </row>
    <row r="9120">
      <c r="A9120" s="9"/>
      <c r="B9120" s="15"/>
      <c r="C9120" s="9">
        <f>IFERROR(__xludf.DUMMYFUNCTION("""COMPUTED_VALUE"""),45048.5555578356)</f>
        <v>45048.55556</v>
      </c>
      <c r="D9120" s="15">
        <f>IFERROR(__xludf.DUMMYFUNCTION("""COMPUTED_VALUE"""),1.025)</f>
        <v>1.025</v>
      </c>
      <c r="E9120" s="16">
        <f>IFERROR(__xludf.DUMMYFUNCTION("""COMPUTED_VALUE"""),63.0)</f>
        <v>63</v>
      </c>
      <c r="F9120" s="19" t="str">
        <f>IFERROR(__xludf.DUMMYFUNCTION("""COMPUTED_VALUE"""),"BLACK")</f>
        <v>BLACK</v>
      </c>
      <c r="G9120" s="20" t="str">
        <f>IFERROR(__xludf.DUMMYFUNCTION("""COMPUTED_VALUE"""),"Uncle Sams Cider (04/04/2023)")</f>
        <v>Uncle Sams Cider (04/04/2023)</v>
      </c>
      <c r="H9120" s="19"/>
    </row>
    <row r="9121">
      <c r="A9121" s="9"/>
      <c r="B9121" s="15"/>
      <c r="C9121" s="9">
        <f>IFERROR(__xludf.DUMMYFUNCTION("""COMPUTED_VALUE"""),45048.5451356944)</f>
        <v>45048.54514</v>
      </c>
      <c r="D9121" s="15">
        <f>IFERROR(__xludf.DUMMYFUNCTION("""COMPUTED_VALUE"""),1.025)</f>
        <v>1.025</v>
      </c>
      <c r="E9121" s="16">
        <f>IFERROR(__xludf.DUMMYFUNCTION("""COMPUTED_VALUE"""),63.0)</f>
        <v>63</v>
      </c>
      <c r="F9121" s="19" t="str">
        <f>IFERROR(__xludf.DUMMYFUNCTION("""COMPUTED_VALUE"""),"BLACK")</f>
        <v>BLACK</v>
      </c>
      <c r="G9121" s="20" t="str">
        <f>IFERROR(__xludf.DUMMYFUNCTION("""COMPUTED_VALUE"""),"Uncle Sams Cider (04/04/2023)")</f>
        <v>Uncle Sams Cider (04/04/2023)</v>
      </c>
      <c r="H9121" s="19"/>
    </row>
    <row r="9122">
      <c r="A9122" s="9"/>
      <c r="B9122" s="15"/>
      <c r="C9122" s="9">
        <f>IFERROR(__xludf.DUMMYFUNCTION("""COMPUTED_VALUE"""),45048.534691574)</f>
        <v>45048.53469</v>
      </c>
      <c r="D9122" s="15">
        <f>IFERROR(__xludf.DUMMYFUNCTION("""COMPUTED_VALUE"""),1.025)</f>
        <v>1.025</v>
      </c>
      <c r="E9122" s="16">
        <f>IFERROR(__xludf.DUMMYFUNCTION("""COMPUTED_VALUE"""),63.0)</f>
        <v>63</v>
      </c>
      <c r="F9122" s="19" t="str">
        <f>IFERROR(__xludf.DUMMYFUNCTION("""COMPUTED_VALUE"""),"BLACK")</f>
        <v>BLACK</v>
      </c>
      <c r="G9122" s="20" t="str">
        <f>IFERROR(__xludf.DUMMYFUNCTION("""COMPUTED_VALUE"""),"Uncle Sams Cider (04/04/2023)")</f>
        <v>Uncle Sams Cider (04/04/2023)</v>
      </c>
      <c r="H9122" s="19"/>
    </row>
    <row r="9123">
      <c r="A9123" s="9"/>
      <c r="B9123" s="15"/>
      <c r="C9123" s="9">
        <f>IFERROR(__xludf.DUMMYFUNCTION("""COMPUTED_VALUE"""),45048.5242704745)</f>
        <v>45048.52427</v>
      </c>
      <c r="D9123" s="15">
        <f>IFERROR(__xludf.DUMMYFUNCTION("""COMPUTED_VALUE"""),1.025)</f>
        <v>1.025</v>
      </c>
      <c r="E9123" s="16">
        <f>IFERROR(__xludf.DUMMYFUNCTION("""COMPUTED_VALUE"""),63.0)</f>
        <v>63</v>
      </c>
      <c r="F9123" s="19" t="str">
        <f>IFERROR(__xludf.DUMMYFUNCTION("""COMPUTED_VALUE"""),"BLACK")</f>
        <v>BLACK</v>
      </c>
      <c r="G9123" s="20" t="str">
        <f>IFERROR(__xludf.DUMMYFUNCTION("""COMPUTED_VALUE"""),"Uncle Sams Cider (04/04/2023)")</f>
        <v>Uncle Sams Cider (04/04/2023)</v>
      </c>
      <c r="H9123" s="19"/>
    </row>
    <row r="9124">
      <c r="A9124" s="9"/>
      <c r="B9124" s="15"/>
      <c r="C9124" s="9">
        <f>IFERROR(__xludf.DUMMYFUNCTION("""COMPUTED_VALUE"""),45048.5138479861)</f>
        <v>45048.51385</v>
      </c>
      <c r="D9124" s="15">
        <f>IFERROR(__xludf.DUMMYFUNCTION("""COMPUTED_VALUE"""),1.026)</f>
        <v>1.026</v>
      </c>
      <c r="E9124" s="16">
        <f>IFERROR(__xludf.DUMMYFUNCTION("""COMPUTED_VALUE"""),63.0)</f>
        <v>63</v>
      </c>
      <c r="F9124" s="19" t="str">
        <f>IFERROR(__xludf.DUMMYFUNCTION("""COMPUTED_VALUE"""),"BLACK")</f>
        <v>BLACK</v>
      </c>
      <c r="G9124" s="20" t="str">
        <f>IFERROR(__xludf.DUMMYFUNCTION("""COMPUTED_VALUE"""),"Uncle Sams Cider (04/04/2023)")</f>
        <v>Uncle Sams Cider (04/04/2023)</v>
      </c>
      <c r="H9124" s="19"/>
    </row>
    <row r="9125">
      <c r="A9125" s="9"/>
      <c r="B9125" s="15"/>
      <c r="C9125" s="9">
        <f>IFERROR(__xludf.DUMMYFUNCTION("""COMPUTED_VALUE"""),45048.5034259722)</f>
        <v>45048.50343</v>
      </c>
      <c r="D9125" s="15">
        <f>IFERROR(__xludf.DUMMYFUNCTION("""COMPUTED_VALUE"""),1.026)</f>
        <v>1.026</v>
      </c>
      <c r="E9125" s="16">
        <f>IFERROR(__xludf.DUMMYFUNCTION("""COMPUTED_VALUE"""),63.0)</f>
        <v>63</v>
      </c>
      <c r="F9125" s="19" t="str">
        <f>IFERROR(__xludf.DUMMYFUNCTION("""COMPUTED_VALUE"""),"BLACK")</f>
        <v>BLACK</v>
      </c>
      <c r="G9125" s="20" t="str">
        <f>IFERROR(__xludf.DUMMYFUNCTION("""COMPUTED_VALUE"""),"Uncle Sams Cider (04/04/2023)")</f>
        <v>Uncle Sams Cider (04/04/2023)</v>
      </c>
      <c r="H9125" s="19"/>
    </row>
    <row r="9126">
      <c r="A9126" s="9"/>
      <c r="B9126" s="15"/>
      <c r="C9126" s="9">
        <f>IFERROR(__xludf.DUMMYFUNCTION("""COMPUTED_VALUE"""),45048.4929940162)</f>
        <v>45048.49299</v>
      </c>
      <c r="D9126" s="15">
        <f>IFERROR(__xludf.DUMMYFUNCTION("""COMPUTED_VALUE"""),1.026)</f>
        <v>1.026</v>
      </c>
      <c r="E9126" s="16">
        <f>IFERROR(__xludf.DUMMYFUNCTION("""COMPUTED_VALUE"""),63.0)</f>
        <v>63</v>
      </c>
      <c r="F9126" s="19" t="str">
        <f>IFERROR(__xludf.DUMMYFUNCTION("""COMPUTED_VALUE"""),"BLACK")</f>
        <v>BLACK</v>
      </c>
      <c r="G9126" s="20" t="str">
        <f>IFERROR(__xludf.DUMMYFUNCTION("""COMPUTED_VALUE"""),"Uncle Sams Cider (04/04/2023)")</f>
        <v>Uncle Sams Cider (04/04/2023)</v>
      </c>
      <c r="H9126" s="19"/>
    </row>
    <row r="9127">
      <c r="A9127" s="9"/>
      <c r="B9127" s="15"/>
      <c r="C9127" s="9">
        <f>IFERROR(__xludf.DUMMYFUNCTION("""COMPUTED_VALUE"""),45048.4825745833)</f>
        <v>45048.48257</v>
      </c>
      <c r="D9127" s="15">
        <f>IFERROR(__xludf.DUMMYFUNCTION("""COMPUTED_VALUE"""),1.026)</f>
        <v>1.026</v>
      </c>
      <c r="E9127" s="16">
        <f>IFERROR(__xludf.DUMMYFUNCTION("""COMPUTED_VALUE"""),63.0)</f>
        <v>63</v>
      </c>
      <c r="F9127" s="19" t="str">
        <f>IFERROR(__xludf.DUMMYFUNCTION("""COMPUTED_VALUE"""),"BLACK")</f>
        <v>BLACK</v>
      </c>
      <c r="G9127" s="20" t="str">
        <f>IFERROR(__xludf.DUMMYFUNCTION("""COMPUTED_VALUE"""),"Uncle Sams Cider (04/04/2023)")</f>
        <v>Uncle Sams Cider (04/04/2023)</v>
      </c>
      <c r="H9127" s="19"/>
    </row>
    <row r="9128">
      <c r="A9128" s="9"/>
      <c r="B9128" s="15"/>
      <c r="C9128" s="9">
        <f>IFERROR(__xludf.DUMMYFUNCTION("""COMPUTED_VALUE"""),45048.47215375)</f>
        <v>45048.47215</v>
      </c>
      <c r="D9128" s="15">
        <f>IFERROR(__xludf.DUMMYFUNCTION("""COMPUTED_VALUE"""),1.025)</f>
        <v>1.025</v>
      </c>
      <c r="E9128" s="16">
        <f>IFERROR(__xludf.DUMMYFUNCTION("""COMPUTED_VALUE"""),63.0)</f>
        <v>63</v>
      </c>
      <c r="F9128" s="19" t="str">
        <f>IFERROR(__xludf.DUMMYFUNCTION("""COMPUTED_VALUE"""),"BLACK")</f>
        <v>BLACK</v>
      </c>
      <c r="G9128" s="20" t="str">
        <f>IFERROR(__xludf.DUMMYFUNCTION("""COMPUTED_VALUE"""),"Uncle Sams Cider (04/04/2023)")</f>
        <v>Uncle Sams Cider (04/04/2023)</v>
      </c>
      <c r="H9128" s="19"/>
    </row>
    <row r="9129">
      <c r="A9129" s="9"/>
      <c r="B9129" s="15"/>
      <c r="C9129" s="9">
        <f>IFERROR(__xludf.DUMMYFUNCTION("""COMPUTED_VALUE"""),45048.4616743518)</f>
        <v>45048.46167</v>
      </c>
      <c r="D9129" s="15">
        <f>IFERROR(__xludf.DUMMYFUNCTION("""COMPUTED_VALUE"""),1.026)</f>
        <v>1.026</v>
      </c>
      <c r="E9129" s="16">
        <f>IFERROR(__xludf.DUMMYFUNCTION("""COMPUTED_VALUE"""),63.0)</f>
        <v>63</v>
      </c>
      <c r="F9129" s="19" t="str">
        <f>IFERROR(__xludf.DUMMYFUNCTION("""COMPUTED_VALUE"""),"BLACK")</f>
        <v>BLACK</v>
      </c>
      <c r="G9129" s="20" t="str">
        <f>IFERROR(__xludf.DUMMYFUNCTION("""COMPUTED_VALUE"""),"Uncle Sams Cider (04/04/2023)")</f>
        <v>Uncle Sams Cider (04/04/2023)</v>
      </c>
      <c r="H9129" s="19"/>
    </row>
    <row r="9130">
      <c r="A9130" s="9"/>
      <c r="B9130" s="15"/>
      <c r="C9130" s="9">
        <f>IFERROR(__xludf.DUMMYFUNCTION("""COMPUTED_VALUE"""),45048.4512542592)</f>
        <v>45048.45125</v>
      </c>
      <c r="D9130" s="15">
        <f>IFERROR(__xludf.DUMMYFUNCTION("""COMPUTED_VALUE"""),1.026)</f>
        <v>1.026</v>
      </c>
      <c r="E9130" s="16">
        <f>IFERROR(__xludf.DUMMYFUNCTION("""COMPUTED_VALUE"""),63.0)</f>
        <v>63</v>
      </c>
      <c r="F9130" s="19" t="str">
        <f>IFERROR(__xludf.DUMMYFUNCTION("""COMPUTED_VALUE"""),"BLACK")</f>
        <v>BLACK</v>
      </c>
      <c r="G9130" s="20" t="str">
        <f>IFERROR(__xludf.DUMMYFUNCTION("""COMPUTED_VALUE"""),"Uncle Sams Cider (04/04/2023)")</f>
        <v>Uncle Sams Cider (04/04/2023)</v>
      </c>
      <c r="H9130" s="19"/>
    </row>
    <row r="9131">
      <c r="A9131" s="9"/>
      <c r="B9131" s="15"/>
      <c r="C9131" s="9">
        <f>IFERROR(__xludf.DUMMYFUNCTION("""COMPUTED_VALUE"""),45048.4408234027)</f>
        <v>45048.44082</v>
      </c>
      <c r="D9131" s="15">
        <f>IFERROR(__xludf.DUMMYFUNCTION("""COMPUTED_VALUE"""),1.026)</f>
        <v>1.026</v>
      </c>
      <c r="E9131" s="16">
        <f>IFERROR(__xludf.DUMMYFUNCTION("""COMPUTED_VALUE"""),63.0)</f>
        <v>63</v>
      </c>
      <c r="F9131" s="19" t="str">
        <f>IFERROR(__xludf.DUMMYFUNCTION("""COMPUTED_VALUE"""),"BLACK")</f>
        <v>BLACK</v>
      </c>
      <c r="G9131" s="20" t="str">
        <f>IFERROR(__xludf.DUMMYFUNCTION("""COMPUTED_VALUE"""),"Uncle Sams Cider (04/04/2023)")</f>
        <v>Uncle Sams Cider (04/04/2023)</v>
      </c>
      <c r="H9131" s="19"/>
    </row>
    <row r="9132">
      <c r="A9132" s="9"/>
      <c r="B9132" s="15"/>
      <c r="C9132" s="9">
        <f>IFERROR(__xludf.DUMMYFUNCTION("""COMPUTED_VALUE"""),45048.4304027083)</f>
        <v>45048.4304</v>
      </c>
      <c r="D9132" s="15">
        <f>IFERROR(__xludf.DUMMYFUNCTION("""COMPUTED_VALUE"""),1.026)</f>
        <v>1.026</v>
      </c>
      <c r="E9132" s="16">
        <f>IFERROR(__xludf.DUMMYFUNCTION("""COMPUTED_VALUE"""),63.0)</f>
        <v>63</v>
      </c>
      <c r="F9132" s="19" t="str">
        <f>IFERROR(__xludf.DUMMYFUNCTION("""COMPUTED_VALUE"""),"BLACK")</f>
        <v>BLACK</v>
      </c>
      <c r="G9132" s="20" t="str">
        <f>IFERROR(__xludf.DUMMYFUNCTION("""COMPUTED_VALUE"""),"Uncle Sams Cider (04/04/2023)")</f>
        <v>Uncle Sams Cider (04/04/2023)</v>
      </c>
      <c r="H9132" s="19"/>
    </row>
    <row r="9133">
      <c r="A9133" s="9"/>
      <c r="B9133" s="15"/>
      <c r="C9133" s="9">
        <f>IFERROR(__xludf.DUMMYFUNCTION("""COMPUTED_VALUE"""),45048.4199792361)</f>
        <v>45048.41998</v>
      </c>
      <c r="D9133" s="15">
        <f>IFERROR(__xludf.DUMMYFUNCTION("""COMPUTED_VALUE"""),1.026)</f>
        <v>1.026</v>
      </c>
      <c r="E9133" s="16">
        <f>IFERROR(__xludf.DUMMYFUNCTION("""COMPUTED_VALUE"""),63.0)</f>
        <v>63</v>
      </c>
      <c r="F9133" s="19" t="str">
        <f>IFERROR(__xludf.DUMMYFUNCTION("""COMPUTED_VALUE"""),"BLACK")</f>
        <v>BLACK</v>
      </c>
      <c r="G9133" s="20" t="str">
        <f>IFERROR(__xludf.DUMMYFUNCTION("""COMPUTED_VALUE"""),"Uncle Sams Cider (04/04/2023)")</f>
        <v>Uncle Sams Cider (04/04/2023)</v>
      </c>
      <c r="H9133" s="19"/>
    </row>
    <row r="9134">
      <c r="A9134" s="9"/>
      <c r="B9134" s="15"/>
      <c r="C9134" s="9">
        <f>IFERROR(__xludf.DUMMYFUNCTION("""COMPUTED_VALUE"""),45048.4095558912)</f>
        <v>45048.40956</v>
      </c>
      <c r="D9134" s="15">
        <f>IFERROR(__xludf.DUMMYFUNCTION("""COMPUTED_VALUE"""),1.026)</f>
        <v>1.026</v>
      </c>
      <c r="E9134" s="16">
        <f>IFERROR(__xludf.DUMMYFUNCTION("""COMPUTED_VALUE"""),63.0)</f>
        <v>63</v>
      </c>
      <c r="F9134" s="19" t="str">
        <f>IFERROR(__xludf.DUMMYFUNCTION("""COMPUTED_VALUE"""),"BLACK")</f>
        <v>BLACK</v>
      </c>
      <c r="G9134" s="20" t="str">
        <f>IFERROR(__xludf.DUMMYFUNCTION("""COMPUTED_VALUE"""),"Uncle Sams Cider (04/04/2023)")</f>
        <v>Uncle Sams Cider (04/04/2023)</v>
      </c>
      <c r="H9134" s="19"/>
    </row>
    <row r="9135">
      <c r="A9135" s="9"/>
      <c r="B9135" s="15"/>
      <c r="C9135" s="9">
        <f>IFERROR(__xludf.DUMMYFUNCTION("""COMPUTED_VALUE"""),45048.3991215277)</f>
        <v>45048.39912</v>
      </c>
      <c r="D9135" s="15">
        <f>IFERROR(__xludf.DUMMYFUNCTION("""COMPUTED_VALUE"""),1.026)</f>
        <v>1.026</v>
      </c>
      <c r="E9135" s="16">
        <f>IFERROR(__xludf.DUMMYFUNCTION("""COMPUTED_VALUE"""),63.0)</f>
        <v>63</v>
      </c>
      <c r="F9135" s="19" t="str">
        <f>IFERROR(__xludf.DUMMYFUNCTION("""COMPUTED_VALUE"""),"BLACK")</f>
        <v>BLACK</v>
      </c>
      <c r="G9135" s="20" t="str">
        <f>IFERROR(__xludf.DUMMYFUNCTION("""COMPUTED_VALUE"""),"Uncle Sams Cider (04/04/2023)")</f>
        <v>Uncle Sams Cider (04/04/2023)</v>
      </c>
      <c r="H9135" s="19"/>
    </row>
    <row r="9136">
      <c r="A9136" s="9"/>
      <c r="B9136" s="15"/>
      <c r="C9136" s="9">
        <f>IFERROR(__xludf.DUMMYFUNCTION("""COMPUTED_VALUE"""),45048.3886656365)</f>
        <v>45048.38867</v>
      </c>
      <c r="D9136" s="15">
        <f>IFERROR(__xludf.DUMMYFUNCTION("""COMPUTED_VALUE"""),1.026)</f>
        <v>1.026</v>
      </c>
      <c r="E9136" s="16">
        <f>IFERROR(__xludf.DUMMYFUNCTION("""COMPUTED_VALUE"""),63.0)</f>
        <v>63</v>
      </c>
      <c r="F9136" s="19" t="str">
        <f>IFERROR(__xludf.DUMMYFUNCTION("""COMPUTED_VALUE"""),"BLACK")</f>
        <v>BLACK</v>
      </c>
      <c r="G9136" s="20" t="str">
        <f>IFERROR(__xludf.DUMMYFUNCTION("""COMPUTED_VALUE"""),"Uncle Sams Cider (04/04/2023)")</f>
        <v>Uncle Sams Cider (04/04/2023)</v>
      </c>
      <c r="H9136" s="19"/>
    </row>
    <row r="9137">
      <c r="A9137" s="9"/>
      <c r="B9137" s="15"/>
      <c r="C9137" s="9">
        <f>IFERROR(__xludf.DUMMYFUNCTION("""COMPUTED_VALUE"""),45048.3782447685)</f>
        <v>45048.37824</v>
      </c>
      <c r="D9137" s="15">
        <f>IFERROR(__xludf.DUMMYFUNCTION("""COMPUTED_VALUE"""),1.026)</f>
        <v>1.026</v>
      </c>
      <c r="E9137" s="16">
        <f>IFERROR(__xludf.DUMMYFUNCTION("""COMPUTED_VALUE"""),63.0)</f>
        <v>63</v>
      </c>
      <c r="F9137" s="19" t="str">
        <f>IFERROR(__xludf.DUMMYFUNCTION("""COMPUTED_VALUE"""),"BLACK")</f>
        <v>BLACK</v>
      </c>
      <c r="G9137" s="20" t="str">
        <f>IFERROR(__xludf.DUMMYFUNCTION("""COMPUTED_VALUE"""),"Uncle Sams Cider (04/04/2023)")</f>
        <v>Uncle Sams Cider (04/04/2023)</v>
      </c>
      <c r="H9137" s="19"/>
    </row>
    <row r="9138">
      <c r="A9138" s="9"/>
      <c r="B9138" s="15"/>
      <c r="C9138" s="9">
        <f>IFERROR(__xludf.DUMMYFUNCTION("""COMPUTED_VALUE"""),45048.3678122916)</f>
        <v>45048.36781</v>
      </c>
      <c r="D9138" s="15">
        <f>IFERROR(__xludf.DUMMYFUNCTION("""COMPUTED_VALUE"""),1.026)</f>
        <v>1.026</v>
      </c>
      <c r="E9138" s="16">
        <f>IFERROR(__xludf.DUMMYFUNCTION("""COMPUTED_VALUE"""),63.0)</f>
        <v>63</v>
      </c>
      <c r="F9138" s="19" t="str">
        <f>IFERROR(__xludf.DUMMYFUNCTION("""COMPUTED_VALUE"""),"BLACK")</f>
        <v>BLACK</v>
      </c>
      <c r="G9138" s="20" t="str">
        <f>IFERROR(__xludf.DUMMYFUNCTION("""COMPUTED_VALUE"""),"Uncle Sams Cider (04/04/2023)")</f>
        <v>Uncle Sams Cider (04/04/2023)</v>
      </c>
      <c r="H9138" s="19"/>
    </row>
    <row r="9139">
      <c r="A9139" s="9"/>
      <c r="B9139" s="15"/>
      <c r="C9139" s="9">
        <f>IFERROR(__xludf.DUMMYFUNCTION("""COMPUTED_VALUE"""),45048.3573885532)</f>
        <v>45048.35739</v>
      </c>
      <c r="D9139" s="15">
        <f>IFERROR(__xludf.DUMMYFUNCTION("""COMPUTED_VALUE"""),1.026)</f>
        <v>1.026</v>
      </c>
      <c r="E9139" s="16">
        <f>IFERROR(__xludf.DUMMYFUNCTION("""COMPUTED_VALUE"""),63.0)</f>
        <v>63</v>
      </c>
      <c r="F9139" s="19" t="str">
        <f>IFERROR(__xludf.DUMMYFUNCTION("""COMPUTED_VALUE"""),"BLACK")</f>
        <v>BLACK</v>
      </c>
      <c r="G9139" s="20" t="str">
        <f>IFERROR(__xludf.DUMMYFUNCTION("""COMPUTED_VALUE"""),"Uncle Sams Cider (04/04/2023)")</f>
        <v>Uncle Sams Cider (04/04/2023)</v>
      </c>
      <c r="H9139" s="19"/>
    </row>
    <row r="9140">
      <c r="A9140" s="9"/>
      <c r="B9140" s="15"/>
      <c r="C9140" s="9">
        <f>IFERROR(__xludf.DUMMYFUNCTION("""COMPUTED_VALUE"""),45048.3469429629)</f>
        <v>45048.34694</v>
      </c>
      <c r="D9140" s="15">
        <f>IFERROR(__xludf.DUMMYFUNCTION("""COMPUTED_VALUE"""),1.026)</f>
        <v>1.026</v>
      </c>
      <c r="E9140" s="16">
        <f>IFERROR(__xludf.DUMMYFUNCTION("""COMPUTED_VALUE"""),63.0)</f>
        <v>63</v>
      </c>
      <c r="F9140" s="19" t="str">
        <f>IFERROR(__xludf.DUMMYFUNCTION("""COMPUTED_VALUE"""),"BLACK")</f>
        <v>BLACK</v>
      </c>
      <c r="G9140" s="20" t="str">
        <f>IFERROR(__xludf.DUMMYFUNCTION("""COMPUTED_VALUE"""),"Uncle Sams Cider (04/04/2023)")</f>
        <v>Uncle Sams Cider (04/04/2023)</v>
      </c>
      <c r="H9140" s="19"/>
    </row>
    <row r="9141">
      <c r="A9141" s="9"/>
      <c r="B9141" s="15"/>
      <c r="C9141" s="9">
        <f>IFERROR(__xludf.DUMMYFUNCTION("""COMPUTED_VALUE"""),45048.33651978)</f>
        <v>45048.33652</v>
      </c>
      <c r="D9141" s="15">
        <f>IFERROR(__xludf.DUMMYFUNCTION("""COMPUTED_VALUE"""),1.026)</f>
        <v>1.026</v>
      </c>
      <c r="E9141" s="16">
        <f>IFERROR(__xludf.DUMMYFUNCTION("""COMPUTED_VALUE"""),63.0)</f>
        <v>63</v>
      </c>
      <c r="F9141" s="19" t="str">
        <f>IFERROR(__xludf.DUMMYFUNCTION("""COMPUTED_VALUE"""),"BLACK")</f>
        <v>BLACK</v>
      </c>
      <c r="G9141" s="20" t="str">
        <f>IFERROR(__xludf.DUMMYFUNCTION("""COMPUTED_VALUE"""),"Uncle Sams Cider (04/04/2023)")</f>
        <v>Uncle Sams Cider (04/04/2023)</v>
      </c>
      <c r="H9141" s="19"/>
    </row>
    <row r="9142">
      <c r="A9142" s="9"/>
      <c r="B9142" s="15"/>
      <c r="C9142" s="9">
        <f>IFERROR(__xludf.DUMMYFUNCTION("""COMPUTED_VALUE"""),45048.3260990162)</f>
        <v>45048.3261</v>
      </c>
      <c r="D9142" s="15">
        <f>IFERROR(__xludf.DUMMYFUNCTION("""COMPUTED_VALUE"""),1.026)</f>
        <v>1.026</v>
      </c>
      <c r="E9142" s="16">
        <f>IFERROR(__xludf.DUMMYFUNCTION("""COMPUTED_VALUE"""),63.0)</f>
        <v>63</v>
      </c>
      <c r="F9142" s="19" t="str">
        <f>IFERROR(__xludf.DUMMYFUNCTION("""COMPUTED_VALUE"""),"BLACK")</f>
        <v>BLACK</v>
      </c>
      <c r="G9142" s="20" t="str">
        <f>IFERROR(__xludf.DUMMYFUNCTION("""COMPUTED_VALUE"""),"Uncle Sams Cider (04/04/2023)")</f>
        <v>Uncle Sams Cider (04/04/2023)</v>
      </c>
      <c r="H9142" s="19"/>
    </row>
    <row r="9143">
      <c r="A9143" s="9"/>
      <c r="B9143" s="15"/>
      <c r="C9143" s="9">
        <f>IFERROR(__xludf.DUMMYFUNCTION("""COMPUTED_VALUE"""),45048.3156656597)</f>
        <v>45048.31567</v>
      </c>
      <c r="D9143" s="15">
        <f>IFERROR(__xludf.DUMMYFUNCTION("""COMPUTED_VALUE"""),1.026)</f>
        <v>1.026</v>
      </c>
      <c r="E9143" s="16">
        <f>IFERROR(__xludf.DUMMYFUNCTION("""COMPUTED_VALUE"""),63.0)</f>
        <v>63</v>
      </c>
      <c r="F9143" s="19" t="str">
        <f>IFERROR(__xludf.DUMMYFUNCTION("""COMPUTED_VALUE"""),"BLACK")</f>
        <v>BLACK</v>
      </c>
      <c r="G9143" s="20" t="str">
        <f>IFERROR(__xludf.DUMMYFUNCTION("""COMPUTED_VALUE"""),"Uncle Sams Cider (04/04/2023)")</f>
        <v>Uncle Sams Cider (04/04/2023)</v>
      </c>
      <c r="H9143" s="19"/>
    </row>
    <row r="9144">
      <c r="A9144" s="9"/>
      <c r="B9144" s="15"/>
      <c r="C9144" s="9">
        <f>IFERROR(__xludf.DUMMYFUNCTION("""COMPUTED_VALUE"""),45048.3052433796)</f>
        <v>45048.30524</v>
      </c>
      <c r="D9144" s="15">
        <f>IFERROR(__xludf.DUMMYFUNCTION("""COMPUTED_VALUE"""),1.026)</f>
        <v>1.026</v>
      </c>
      <c r="E9144" s="16">
        <f>IFERROR(__xludf.DUMMYFUNCTION("""COMPUTED_VALUE"""),63.0)</f>
        <v>63</v>
      </c>
      <c r="F9144" s="19" t="str">
        <f>IFERROR(__xludf.DUMMYFUNCTION("""COMPUTED_VALUE"""),"BLACK")</f>
        <v>BLACK</v>
      </c>
      <c r="G9144" s="20" t="str">
        <f>IFERROR(__xludf.DUMMYFUNCTION("""COMPUTED_VALUE"""),"Uncle Sams Cider (04/04/2023)")</f>
        <v>Uncle Sams Cider (04/04/2023)</v>
      </c>
      <c r="H9144" s="19"/>
    </row>
    <row r="9145">
      <c r="A9145" s="9"/>
      <c r="B9145" s="15"/>
      <c r="C9145" s="9">
        <f>IFERROR(__xludf.DUMMYFUNCTION("""COMPUTED_VALUE"""),45048.2948230555)</f>
        <v>45048.29482</v>
      </c>
      <c r="D9145" s="15">
        <f>IFERROR(__xludf.DUMMYFUNCTION("""COMPUTED_VALUE"""),1.026)</f>
        <v>1.026</v>
      </c>
      <c r="E9145" s="16">
        <f>IFERROR(__xludf.DUMMYFUNCTION("""COMPUTED_VALUE"""),63.0)</f>
        <v>63</v>
      </c>
      <c r="F9145" s="19" t="str">
        <f>IFERROR(__xludf.DUMMYFUNCTION("""COMPUTED_VALUE"""),"BLACK")</f>
        <v>BLACK</v>
      </c>
      <c r="G9145" s="20" t="str">
        <f>IFERROR(__xludf.DUMMYFUNCTION("""COMPUTED_VALUE"""),"Uncle Sams Cider (04/04/2023)")</f>
        <v>Uncle Sams Cider (04/04/2023)</v>
      </c>
      <c r="H9145" s="19"/>
    </row>
    <row r="9146">
      <c r="A9146" s="9"/>
      <c r="B9146" s="15"/>
      <c r="C9146" s="9">
        <f>IFERROR(__xludf.DUMMYFUNCTION("""COMPUTED_VALUE"""),45048.2844010185)</f>
        <v>45048.2844</v>
      </c>
      <c r="D9146" s="15">
        <f>IFERROR(__xludf.DUMMYFUNCTION("""COMPUTED_VALUE"""),1.026)</f>
        <v>1.026</v>
      </c>
      <c r="E9146" s="16">
        <f>IFERROR(__xludf.DUMMYFUNCTION("""COMPUTED_VALUE"""),63.0)</f>
        <v>63</v>
      </c>
      <c r="F9146" s="19" t="str">
        <f>IFERROR(__xludf.DUMMYFUNCTION("""COMPUTED_VALUE"""),"BLACK")</f>
        <v>BLACK</v>
      </c>
      <c r="G9146" s="20" t="str">
        <f>IFERROR(__xludf.DUMMYFUNCTION("""COMPUTED_VALUE"""),"Uncle Sams Cider (04/04/2023)")</f>
        <v>Uncle Sams Cider (04/04/2023)</v>
      </c>
      <c r="H9146" s="19"/>
    </row>
    <row r="9147">
      <c r="A9147" s="9"/>
      <c r="B9147" s="15"/>
      <c r="C9147" s="9">
        <f>IFERROR(__xludf.DUMMYFUNCTION("""COMPUTED_VALUE"""),45048.2739808101)</f>
        <v>45048.27398</v>
      </c>
      <c r="D9147" s="15">
        <f>IFERROR(__xludf.DUMMYFUNCTION("""COMPUTED_VALUE"""),1.026)</f>
        <v>1.026</v>
      </c>
      <c r="E9147" s="16">
        <f>IFERROR(__xludf.DUMMYFUNCTION("""COMPUTED_VALUE"""),63.0)</f>
        <v>63</v>
      </c>
      <c r="F9147" s="19" t="str">
        <f>IFERROR(__xludf.DUMMYFUNCTION("""COMPUTED_VALUE"""),"BLACK")</f>
        <v>BLACK</v>
      </c>
      <c r="G9147" s="20" t="str">
        <f>IFERROR(__xludf.DUMMYFUNCTION("""COMPUTED_VALUE"""),"Uncle Sams Cider (04/04/2023)")</f>
        <v>Uncle Sams Cider (04/04/2023)</v>
      </c>
      <c r="H9147" s="19"/>
    </row>
    <row r="9148">
      <c r="A9148" s="9"/>
      <c r="B9148" s="15"/>
      <c r="C9148" s="9">
        <f>IFERROR(__xludf.DUMMYFUNCTION("""COMPUTED_VALUE"""),45048.2635245949)</f>
        <v>45048.26352</v>
      </c>
      <c r="D9148" s="15">
        <f>IFERROR(__xludf.DUMMYFUNCTION("""COMPUTED_VALUE"""),1.026)</f>
        <v>1.026</v>
      </c>
      <c r="E9148" s="16">
        <f>IFERROR(__xludf.DUMMYFUNCTION("""COMPUTED_VALUE"""),63.0)</f>
        <v>63</v>
      </c>
      <c r="F9148" s="19" t="str">
        <f>IFERROR(__xludf.DUMMYFUNCTION("""COMPUTED_VALUE"""),"BLACK")</f>
        <v>BLACK</v>
      </c>
      <c r="G9148" s="20" t="str">
        <f>IFERROR(__xludf.DUMMYFUNCTION("""COMPUTED_VALUE"""),"Uncle Sams Cider (04/04/2023)")</f>
        <v>Uncle Sams Cider (04/04/2023)</v>
      </c>
      <c r="H9148" s="19"/>
    </row>
    <row r="9149">
      <c r="A9149" s="9"/>
      <c r="B9149" s="15"/>
      <c r="C9149" s="9">
        <f>IFERROR(__xludf.DUMMYFUNCTION("""COMPUTED_VALUE"""),45048.2530902199)</f>
        <v>45048.25309</v>
      </c>
      <c r="D9149" s="15">
        <f>IFERROR(__xludf.DUMMYFUNCTION("""COMPUTED_VALUE"""),1.026)</f>
        <v>1.026</v>
      </c>
      <c r="E9149" s="16">
        <f>IFERROR(__xludf.DUMMYFUNCTION("""COMPUTED_VALUE"""),63.0)</f>
        <v>63</v>
      </c>
      <c r="F9149" s="19" t="str">
        <f>IFERROR(__xludf.DUMMYFUNCTION("""COMPUTED_VALUE"""),"BLACK")</f>
        <v>BLACK</v>
      </c>
      <c r="G9149" s="20" t="str">
        <f>IFERROR(__xludf.DUMMYFUNCTION("""COMPUTED_VALUE"""),"Uncle Sams Cider (04/04/2023)")</f>
        <v>Uncle Sams Cider (04/04/2023)</v>
      </c>
      <c r="H9149" s="19"/>
    </row>
    <row r="9150">
      <c r="A9150" s="9"/>
      <c r="B9150" s="15"/>
      <c r="C9150" s="9">
        <f>IFERROR(__xludf.DUMMYFUNCTION("""COMPUTED_VALUE"""),45048.2426685532)</f>
        <v>45048.24267</v>
      </c>
      <c r="D9150" s="15">
        <f>IFERROR(__xludf.DUMMYFUNCTION("""COMPUTED_VALUE"""),1.026)</f>
        <v>1.026</v>
      </c>
      <c r="E9150" s="16">
        <f>IFERROR(__xludf.DUMMYFUNCTION("""COMPUTED_VALUE"""),63.0)</f>
        <v>63</v>
      </c>
      <c r="F9150" s="19" t="str">
        <f>IFERROR(__xludf.DUMMYFUNCTION("""COMPUTED_VALUE"""),"BLACK")</f>
        <v>BLACK</v>
      </c>
      <c r="G9150" s="20" t="str">
        <f>IFERROR(__xludf.DUMMYFUNCTION("""COMPUTED_VALUE"""),"Uncle Sams Cider (04/04/2023)")</f>
        <v>Uncle Sams Cider (04/04/2023)</v>
      </c>
      <c r="H9150" s="19"/>
    </row>
    <row r="9151">
      <c r="A9151" s="9"/>
      <c r="B9151" s="15"/>
      <c r="C9151" s="9">
        <f>IFERROR(__xludf.DUMMYFUNCTION("""COMPUTED_VALUE"""),45048.2322453125)</f>
        <v>45048.23225</v>
      </c>
      <c r="D9151" s="15">
        <f>IFERROR(__xludf.DUMMYFUNCTION("""COMPUTED_VALUE"""),1.026)</f>
        <v>1.026</v>
      </c>
      <c r="E9151" s="16">
        <f>IFERROR(__xludf.DUMMYFUNCTION("""COMPUTED_VALUE"""),63.0)</f>
        <v>63</v>
      </c>
      <c r="F9151" s="19" t="str">
        <f>IFERROR(__xludf.DUMMYFUNCTION("""COMPUTED_VALUE"""),"BLACK")</f>
        <v>BLACK</v>
      </c>
      <c r="G9151" s="20" t="str">
        <f>IFERROR(__xludf.DUMMYFUNCTION("""COMPUTED_VALUE"""),"Uncle Sams Cider (04/04/2023)")</f>
        <v>Uncle Sams Cider (04/04/2023)</v>
      </c>
      <c r="H9151" s="19"/>
    </row>
    <row r="9152">
      <c r="A9152" s="9"/>
      <c r="B9152" s="15"/>
      <c r="C9152" s="9">
        <f>IFERROR(__xludf.DUMMYFUNCTION("""COMPUTED_VALUE"""),45048.2218140509)</f>
        <v>45048.22181</v>
      </c>
      <c r="D9152" s="15">
        <f>IFERROR(__xludf.DUMMYFUNCTION("""COMPUTED_VALUE"""),1.026)</f>
        <v>1.026</v>
      </c>
      <c r="E9152" s="16">
        <f>IFERROR(__xludf.DUMMYFUNCTION("""COMPUTED_VALUE"""),63.0)</f>
        <v>63</v>
      </c>
      <c r="F9152" s="19" t="str">
        <f>IFERROR(__xludf.DUMMYFUNCTION("""COMPUTED_VALUE"""),"BLACK")</f>
        <v>BLACK</v>
      </c>
      <c r="G9152" s="20" t="str">
        <f>IFERROR(__xludf.DUMMYFUNCTION("""COMPUTED_VALUE"""),"Uncle Sams Cider (04/04/2023)")</f>
        <v>Uncle Sams Cider (04/04/2023)</v>
      </c>
      <c r="H9152" s="19"/>
    </row>
    <row r="9153">
      <c r="A9153" s="9"/>
      <c r="B9153" s="15"/>
      <c r="C9153" s="9">
        <f>IFERROR(__xludf.DUMMYFUNCTION("""COMPUTED_VALUE"""),45048.211381412)</f>
        <v>45048.21138</v>
      </c>
      <c r="D9153" s="15">
        <f>IFERROR(__xludf.DUMMYFUNCTION("""COMPUTED_VALUE"""),1.026)</f>
        <v>1.026</v>
      </c>
      <c r="E9153" s="16">
        <f>IFERROR(__xludf.DUMMYFUNCTION("""COMPUTED_VALUE"""),63.0)</f>
        <v>63</v>
      </c>
      <c r="F9153" s="19" t="str">
        <f>IFERROR(__xludf.DUMMYFUNCTION("""COMPUTED_VALUE"""),"BLACK")</f>
        <v>BLACK</v>
      </c>
      <c r="G9153" s="20" t="str">
        <f>IFERROR(__xludf.DUMMYFUNCTION("""COMPUTED_VALUE"""),"Uncle Sams Cider (04/04/2023)")</f>
        <v>Uncle Sams Cider (04/04/2023)</v>
      </c>
      <c r="H9153" s="19"/>
    </row>
    <row r="9154">
      <c r="A9154" s="9"/>
      <c r="B9154" s="15"/>
      <c r="C9154" s="9">
        <f>IFERROR(__xludf.DUMMYFUNCTION("""COMPUTED_VALUE"""),45048.2009617129)</f>
        <v>45048.20096</v>
      </c>
      <c r="D9154" s="15">
        <f>IFERROR(__xludf.DUMMYFUNCTION("""COMPUTED_VALUE"""),1.026)</f>
        <v>1.026</v>
      </c>
      <c r="E9154" s="16">
        <f>IFERROR(__xludf.DUMMYFUNCTION("""COMPUTED_VALUE"""),63.0)</f>
        <v>63</v>
      </c>
      <c r="F9154" s="19" t="str">
        <f>IFERROR(__xludf.DUMMYFUNCTION("""COMPUTED_VALUE"""),"BLACK")</f>
        <v>BLACK</v>
      </c>
      <c r="G9154" s="20" t="str">
        <f>IFERROR(__xludf.DUMMYFUNCTION("""COMPUTED_VALUE"""),"Uncle Sams Cider (04/04/2023)")</f>
        <v>Uncle Sams Cider (04/04/2023)</v>
      </c>
      <c r="H9154" s="19"/>
    </row>
    <row r="9155">
      <c r="A9155" s="9"/>
      <c r="B9155" s="15"/>
      <c r="C9155" s="9">
        <f>IFERROR(__xludf.DUMMYFUNCTION("""COMPUTED_VALUE"""),45048.190540081)</f>
        <v>45048.19054</v>
      </c>
      <c r="D9155" s="15">
        <f>IFERROR(__xludf.DUMMYFUNCTION("""COMPUTED_VALUE"""),1.026)</f>
        <v>1.026</v>
      </c>
      <c r="E9155" s="16">
        <f>IFERROR(__xludf.DUMMYFUNCTION("""COMPUTED_VALUE"""),63.0)</f>
        <v>63</v>
      </c>
      <c r="F9155" s="19" t="str">
        <f>IFERROR(__xludf.DUMMYFUNCTION("""COMPUTED_VALUE"""),"BLACK")</f>
        <v>BLACK</v>
      </c>
      <c r="G9155" s="20" t="str">
        <f>IFERROR(__xludf.DUMMYFUNCTION("""COMPUTED_VALUE"""),"Uncle Sams Cider (04/04/2023)")</f>
        <v>Uncle Sams Cider (04/04/2023)</v>
      </c>
      <c r="H9155" s="19"/>
    </row>
    <row r="9156">
      <c r="A9156" s="9"/>
      <c r="B9156" s="15"/>
      <c r="C9156" s="9">
        <f>IFERROR(__xludf.DUMMYFUNCTION("""COMPUTED_VALUE"""),45048.1801075231)</f>
        <v>45048.18011</v>
      </c>
      <c r="D9156" s="15">
        <f>IFERROR(__xludf.DUMMYFUNCTION("""COMPUTED_VALUE"""),1.026)</f>
        <v>1.026</v>
      </c>
      <c r="E9156" s="16">
        <f>IFERROR(__xludf.DUMMYFUNCTION("""COMPUTED_VALUE"""),63.0)</f>
        <v>63</v>
      </c>
      <c r="F9156" s="19" t="str">
        <f>IFERROR(__xludf.DUMMYFUNCTION("""COMPUTED_VALUE"""),"BLACK")</f>
        <v>BLACK</v>
      </c>
      <c r="G9156" s="20" t="str">
        <f>IFERROR(__xludf.DUMMYFUNCTION("""COMPUTED_VALUE"""),"Uncle Sams Cider (04/04/2023)")</f>
        <v>Uncle Sams Cider (04/04/2023)</v>
      </c>
      <c r="H9156" s="19"/>
    </row>
    <row r="9157">
      <c r="A9157" s="9"/>
      <c r="B9157" s="15"/>
      <c r="C9157" s="9">
        <f>IFERROR(__xludf.DUMMYFUNCTION("""COMPUTED_VALUE"""),45048.169687118)</f>
        <v>45048.16969</v>
      </c>
      <c r="D9157" s="15">
        <f>IFERROR(__xludf.DUMMYFUNCTION("""COMPUTED_VALUE"""),1.026)</f>
        <v>1.026</v>
      </c>
      <c r="E9157" s="16">
        <f>IFERROR(__xludf.DUMMYFUNCTION("""COMPUTED_VALUE"""),63.0)</f>
        <v>63</v>
      </c>
      <c r="F9157" s="19" t="str">
        <f>IFERROR(__xludf.DUMMYFUNCTION("""COMPUTED_VALUE"""),"BLACK")</f>
        <v>BLACK</v>
      </c>
      <c r="G9157" s="20" t="str">
        <f>IFERROR(__xludf.DUMMYFUNCTION("""COMPUTED_VALUE"""),"Uncle Sams Cider (04/04/2023)")</f>
        <v>Uncle Sams Cider (04/04/2023)</v>
      </c>
      <c r="H9157" s="19"/>
    </row>
    <row r="9158">
      <c r="A9158" s="9"/>
      <c r="B9158" s="15"/>
      <c r="C9158" s="9">
        <f>IFERROR(__xludf.DUMMYFUNCTION("""COMPUTED_VALUE"""),45048.1592649652)</f>
        <v>45048.15926</v>
      </c>
      <c r="D9158" s="15">
        <f>IFERROR(__xludf.DUMMYFUNCTION("""COMPUTED_VALUE"""),1.026)</f>
        <v>1.026</v>
      </c>
      <c r="E9158" s="16">
        <f>IFERROR(__xludf.DUMMYFUNCTION("""COMPUTED_VALUE"""),63.0)</f>
        <v>63</v>
      </c>
      <c r="F9158" s="19" t="str">
        <f>IFERROR(__xludf.DUMMYFUNCTION("""COMPUTED_VALUE"""),"BLACK")</f>
        <v>BLACK</v>
      </c>
      <c r="G9158" s="20" t="str">
        <f>IFERROR(__xludf.DUMMYFUNCTION("""COMPUTED_VALUE"""),"Uncle Sams Cider (04/04/2023)")</f>
        <v>Uncle Sams Cider (04/04/2023)</v>
      </c>
      <c r="H9158" s="19"/>
    </row>
    <row r="9159">
      <c r="A9159" s="9"/>
      <c r="B9159" s="15"/>
      <c r="C9159" s="9">
        <f>IFERROR(__xludf.DUMMYFUNCTION("""COMPUTED_VALUE"""),45048.148845162)</f>
        <v>45048.14885</v>
      </c>
      <c r="D9159" s="15">
        <f>IFERROR(__xludf.DUMMYFUNCTION("""COMPUTED_VALUE"""),1.026)</f>
        <v>1.026</v>
      </c>
      <c r="E9159" s="16">
        <f>IFERROR(__xludf.DUMMYFUNCTION("""COMPUTED_VALUE"""),63.0)</f>
        <v>63</v>
      </c>
      <c r="F9159" s="19" t="str">
        <f>IFERROR(__xludf.DUMMYFUNCTION("""COMPUTED_VALUE"""),"BLACK")</f>
        <v>BLACK</v>
      </c>
      <c r="G9159" s="20" t="str">
        <f>IFERROR(__xludf.DUMMYFUNCTION("""COMPUTED_VALUE"""),"Uncle Sams Cider (04/04/2023)")</f>
        <v>Uncle Sams Cider (04/04/2023)</v>
      </c>
      <c r="H9159" s="19"/>
    </row>
    <row r="9160">
      <c r="A9160" s="9"/>
      <c r="B9160" s="15"/>
      <c r="C9160" s="9">
        <f>IFERROR(__xludf.DUMMYFUNCTION("""COMPUTED_VALUE"""),45048.1384131713)</f>
        <v>45048.13841</v>
      </c>
      <c r="D9160" s="15">
        <f>IFERROR(__xludf.DUMMYFUNCTION("""COMPUTED_VALUE"""),1.026)</f>
        <v>1.026</v>
      </c>
      <c r="E9160" s="16">
        <f>IFERROR(__xludf.DUMMYFUNCTION("""COMPUTED_VALUE"""),63.0)</f>
        <v>63</v>
      </c>
      <c r="F9160" s="19" t="str">
        <f>IFERROR(__xludf.DUMMYFUNCTION("""COMPUTED_VALUE"""),"BLACK")</f>
        <v>BLACK</v>
      </c>
      <c r="G9160" s="20" t="str">
        <f>IFERROR(__xludf.DUMMYFUNCTION("""COMPUTED_VALUE"""),"Uncle Sams Cider (04/04/2023)")</f>
        <v>Uncle Sams Cider (04/04/2023)</v>
      </c>
      <c r="H9160" s="19"/>
    </row>
    <row r="9161">
      <c r="A9161" s="9"/>
      <c r="B9161" s="15"/>
      <c r="C9161" s="9">
        <f>IFERROR(__xludf.DUMMYFUNCTION("""COMPUTED_VALUE"""),45048.1279925926)</f>
        <v>45048.12799</v>
      </c>
      <c r="D9161" s="15">
        <f>IFERROR(__xludf.DUMMYFUNCTION("""COMPUTED_VALUE"""),1.026)</f>
        <v>1.026</v>
      </c>
      <c r="E9161" s="16">
        <f>IFERROR(__xludf.DUMMYFUNCTION("""COMPUTED_VALUE"""),63.0)</f>
        <v>63</v>
      </c>
      <c r="F9161" s="19" t="str">
        <f>IFERROR(__xludf.DUMMYFUNCTION("""COMPUTED_VALUE"""),"BLACK")</f>
        <v>BLACK</v>
      </c>
      <c r="G9161" s="20" t="str">
        <f>IFERROR(__xludf.DUMMYFUNCTION("""COMPUTED_VALUE"""),"Uncle Sams Cider (04/04/2023)")</f>
        <v>Uncle Sams Cider (04/04/2023)</v>
      </c>
      <c r="H9161" s="19"/>
    </row>
    <row r="9162">
      <c r="A9162" s="9"/>
      <c r="B9162" s="15"/>
      <c r="C9162" s="9">
        <f>IFERROR(__xludf.DUMMYFUNCTION("""COMPUTED_VALUE"""),45048.1175472106)</f>
        <v>45048.11755</v>
      </c>
      <c r="D9162" s="15">
        <f>IFERROR(__xludf.DUMMYFUNCTION("""COMPUTED_VALUE"""),1.026)</f>
        <v>1.026</v>
      </c>
      <c r="E9162" s="16">
        <f>IFERROR(__xludf.DUMMYFUNCTION("""COMPUTED_VALUE"""),63.0)</f>
        <v>63</v>
      </c>
      <c r="F9162" s="19" t="str">
        <f>IFERROR(__xludf.DUMMYFUNCTION("""COMPUTED_VALUE"""),"BLACK")</f>
        <v>BLACK</v>
      </c>
      <c r="G9162" s="20" t="str">
        <f>IFERROR(__xludf.DUMMYFUNCTION("""COMPUTED_VALUE"""),"Uncle Sams Cider (04/04/2023)")</f>
        <v>Uncle Sams Cider (04/04/2023)</v>
      </c>
      <c r="H9162" s="19"/>
    </row>
    <row r="9163">
      <c r="A9163" s="9"/>
      <c r="B9163" s="15"/>
      <c r="C9163" s="9">
        <f>IFERROR(__xludf.DUMMYFUNCTION("""COMPUTED_VALUE"""),45048.1071228125)</f>
        <v>45048.10712</v>
      </c>
      <c r="D9163" s="15">
        <f>IFERROR(__xludf.DUMMYFUNCTION("""COMPUTED_VALUE"""),1.026)</f>
        <v>1.026</v>
      </c>
      <c r="E9163" s="16">
        <f>IFERROR(__xludf.DUMMYFUNCTION("""COMPUTED_VALUE"""),63.0)</f>
        <v>63</v>
      </c>
      <c r="F9163" s="19" t="str">
        <f>IFERROR(__xludf.DUMMYFUNCTION("""COMPUTED_VALUE"""),"BLACK")</f>
        <v>BLACK</v>
      </c>
      <c r="G9163" s="20" t="str">
        <f>IFERROR(__xludf.DUMMYFUNCTION("""COMPUTED_VALUE"""),"Uncle Sams Cider (04/04/2023)")</f>
        <v>Uncle Sams Cider (04/04/2023)</v>
      </c>
      <c r="H9163" s="19"/>
    </row>
    <row r="9164">
      <c r="A9164" s="9"/>
      <c r="B9164" s="15"/>
      <c r="C9164" s="9">
        <f>IFERROR(__xludf.DUMMYFUNCTION("""COMPUTED_VALUE"""),45048.0966913425)</f>
        <v>45048.09669</v>
      </c>
      <c r="D9164" s="15">
        <f>IFERROR(__xludf.DUMMYFUNCTION("""COMPUTED_VALUE"""),1.026)</f>
        <v>1.026</v>
      </c>
      <c r="E9164" s="16">
        <f>IFERROR(__xludf.DUMMYFUNCTION("""COMPUTED_VALUE"""),63.0)</f>
        <v>63</v>
      </c>
      <c r="F9164" s="19" t="str">
        <f>IFERROR(__xludf.DUMMYFUNCTION("""COMPUTED_VALUE"""),"BLACK")</f>
        <v>BLACK</v>
      </c>
      <c r="G9164" s="20" t="str">
        <f>IFERROR(__xludf.DUMMYFUNCTION("""COMPUTED_VALUE"""),"Uncle Sams Cider (04/04/2023)")</f>
        <v>Uncle Sams Cider (04/04/2023)</v>
      </c>
      <c r="H9164" s="19"/>
    </row>
    <row r="9165">
      <c r="A9165" s="9"/>
      <c r="B9165" s="15"/>
      <c r="C9165" s="9">
        <f>IFERROR(__xludf.DUMMYFUNCTION("""COMPUTED_VALUE"""),45048.0862601388)</f>
        <v>45048.08626</v>
      </c>
      <c r="D9165" s="15">
        <f>IFERROR(__xludf.DUMMYFUNCTION("""COMPUTED_VALUE"""),1.026)</f>
        <v>1.026</v>
      </c>
      <c r="E9165" s="16">
        <f>IFERROR(__xludf.DUMMYFUNCTION("""COMPUTED_VALUE"""),63.0)</f>
        <v>63</v>
      </c>
      <c r="F9165" s="19" t="str">
        <f>IFERROR(__xludf.DUMMYFUNCTION("""COMPUTED_VALUE"""),"BLACK")</f>
        <v>BLACK</v>
      </c>
      <c r="G9165" s="20" t="str">
        <f>IFERROR(__xludf.DUMMYFUNCTION("""COMPUTED_VALUE"""),"Uncle Sams Cider (04/04/2023)")</f>
        <v>Uncle Sams Cider (04/04/2023)</v>
      </c>
      <c r="H9165" s="19"/>
    </row>
    <row r="9166">
      <c r="A9166" s="9"/>
      <c r="B9166" s="15"/>
      <c r="C9166" s="9">
        <f>IFERROR(__xludf.DUMMYFUNCTION("""COMPUTED_VALUE"""),45048.0758300347)</f>
        <v>45048.07583</v>
      </c>
      <c r="D9166" s="15">
        <f>IFERROR(__xludf.DUMMYFUNCTION("""COMPUTED_VALUE"""),1.026)</f>
        <v>1.026</v>
      </c>
      <c r="E9166" s="16">
        <f>IFERROR(__xludf.DUMMYFUNCTION("""COMPUTED_VALUE"""),63.0)</f>
        <v>63</v>
      </c>
      <c r="F9166" s="19" t="str">
        <f>IFERROR(__xludf.DUMMYFUNCTION("""COMPUTED_VALUE"""),"BLACK")</f>
        <v>BLACK</v>
      </c>
      <c r="G9166" s="20" t="str">
        <f>IFERROR(__xludf.DUMMYFUNCTION("""COMPUTED_VALUE"""),"Uncle Sams Cider (04/04/2023)")</f>
        <v>Uncle Sams Cider (04/04/2023)</v>
      </c>
      <c r="H9166" s="19"/>
    </row>
    <row r="9167">
      <c r="A9167" s="9"/>
      <c r="B9167" s="15"/>
      <c r="C9167" s="9">
        <f>IFERROR(__xludf.DUMMYFUNCTION("""COMPUTED_VALUE"""),45048.06540875)</f>
        <v>45048.06541</v>
      </c>
      <c r="D9167" s="15">
        <f>IFERROR(__xludf.DUMMYFUNCTION("""COMPUTED_VALUE"""),1.026)</f>
        <v>1.026</v>
      </c>
      <c r="E9167" s="16">
        <f>IFERROR(__xludf.DUMMYFUNCTION("""COMPUTED_VALUE"""),63.0)</f>
        <v>63</v>
      </c>
      <c r="F9167" s="19" t="str">
        <f>IFERROR(__xludf.DUMMYFUNCTION("""COMPUTED_VALUE"""),"BLACK")</f>
        <v>BLACK</v>
      </c>
      <c r="G9167" s="20" t="str">
        <f>IFERROR(__xludf.DUMMYFUNCTION("""COMPUTED_VALUE"""),"Uncle Sams Cider (04/04/2023)")</f>
        <v>Uncle Sams Cider (04/04/2023)</v>
      </c>
      <c r="H9167" s="19"/>
    </row>
    <row r="9168">
      <c r="A9168" s="9"/>
      <c r="B9168" s="15"/>
      <c r="C9168" s="9">
        <f>IFERROR(__xludf.DUMMYFUNCTION("""COMPUTED_VALUE"""),45048.0549753935)</f>
        <v>45048.05498</v>
      </c>
      <c r="D9168" s="15">
        <f>IFERROR(__xludf.DUMMYFUNCTION("""COMPUTED_VALUE"""),1.026)</f>
        <v>1.026</v>
      </c>
      <c r="E9168" s="16">
        <f>IFERROR(__xludf.DUMMYFUNCTION("""COMPUTED_VALUE"""),63.0)</f>
        <v>63</v>
      </c>
      <c r="F9168" s="19" t="str">
        <f>IFERROR(__xludf.DUMMYFUNCTION("""COMPUTED_VALUE"""),"BLACK")</f>
        <v>BLACK</v>
      </c>
      <c r="G9168" s="20" t="str">
        <f>IFERROR(__xludf.DUMMYFUNCTION("""COMPUTED_VALUE"""),"Uncle Sams Cider (04/04/2023)")</f>
        <v>Uncle Sams Cider (04/04/2023)</v>
      </c>
      <c r="H9168" s="19"/>
    </row>
    <row r="9169">
      <c r="A9169" s="9"/>
      <c r="B9169" s="15"/>
      <c r="C9169" s="9">
        <f>IFERROR(__xludf.DUMMYFUNCTION("""COMPUTED_VALUE"""),45048.0445424884)</f>
        <v>45048.04454</v>
      </c>
      <c r="D9169" s="15">
        <f>IFERROR(__xludf.DUMMYFUNCTION("""COMPUTED_VALUE"""),1.026)</f>
        <v>1.026</v>
      </c>
      <c r="E9169" s="16">
        <f>IFERROR(__xludf.DUMMYFUNCTION("""COMPUTED_VALUE"""),63.0)</f>
        <v>63</v>
      </c>
      <c r="F9169" s="19" t="str">
        <f>IFERROR(__xludf.DUMMYFUNCTION("""COMPUTED_VALUE"""),"BLACK")</f>
        <v>BLACK</v>
      </c>
      <c r="G9169" s="20" t="str">
        <f>IFERROR(__xludf.DUMMYFUNCTION("""COMPUTED_VALUE"""),"Uncle Sams Cider (04/04/2023)")</f>
        <v>Uncle Sams Cider (04/04/2023)</v>
      </c>
      <c r="H9169" s="19"/>
    </row>
    <row r="9170">
      <c r="A9170" s="9"/>
      <c r="B9170" s="15"/>
      <c r="C9170" s="9">
        <f>IFERROR(__xludf.DUMMYFUNCTION("""COMPUTED_VALUE"""),45048.0340861805)</f>
        <v>45048.03409</v>
      </c>
      <c r="D9170" s="15">
        <f>IFERROR(__xludf.DUMMYFUNCTION("""COMPUTED_VALUE"""),1.026)</f>
        <v>1.026</v>
      </c>
      <c r="E9170" s="16">
        <f>IFERROR(__xludf.DUMMYFUNCTION("""COMPUTED_VALUE"""),64.0)</f>
        <v>64</v>
      </c>
      <c r="F9170" s="19" t="str">
        <f>IFERROR(__xludf.DUMMYFUNCTION("""COMPUTED_VALUE"""),"BLACK")</f>
        <v>BLACK</v>
      </c>
      <c r="G9170" s="20" t="str">
        <f>IFERROR(__xludf.DUMMYFUNCTION("""COMPUTED_VALUE"""),"Uncle Sams Cider (04/04/2023)")</f>
        <v>Uncle Sams Cider (04/04/2023)</v>
      </c>
      <c r="H9170" s="19"/>
    </row>
    <row r="9171">
      <c r="A9171" s="9"/>
      <c r="B9171" s="15"/>
      <c r="C9171" s="9">
        <f>IFERROR(__xludf.DUMMYFUNCTION("""COMPUTED_VALUE"""),45048.0236293981)</f>
        <v>45048.02363</v>
      </c>
      <c r="D9171" s="15">
        <f>IFERROR(__xludf.DUMMYFUNCTION("""COMPUTED_VALUE"""),1.026)</f>
        <v>1.026</v>
      </c>
      <c r="E9171" s="16">
        <f>IFERROR(__xludf.DUMMYFUNCTION("""COMPUTED_VALUE"""),63.0)</f>
        <v>63</v>
      </c>
      <c r="F9171" s="19" t="str">
        <f>IFERROR(__xludf.DUMMYFUNCTION("""COMPUTED_VALUE"""),"BLACK")</f>
        <v>BLACK</v>
      </c>
      <c r="G9171" s="20" t="str">
        <f>IFERROR(__xludf.DUMMYFUNCTION("""COMPUTED_VALUE"""),"Uncle Sams Cider (04/04/2023)")</f>
        <v>Uncle Sams Cider (04/04/2023)</v>
      </c>
      <c r="H9171" s="19"/>
    </row>
    <row r="9172">
      <c r="A9172" s="9"/>
      <c r="B9172" s="15"/>
      <c r="C9172" s="9">
        <f>IFERROR(__xludf.DUMMYFUNCTION("""COMPUTED_VALUE"""),45048.0131841319)</f>
        <v>45048.01318</v>
      </c>
      <c r="D9172" s="15">
        <f>IFERROR(__xludf.DUMMYFUNCTION("""COMPUTED_VALUE"""),1.026)</f>
        <v>1.026</v>
      </c>
      <c r="E9172" s="16">
        <f>IFERROR(__xludf.DUMMYFUNCTION("""COMPUTED_VALUE"""),63.0)</f>
        <v>63</v>
      </c>
      <c r="F9172" s="19" t="str">
        <f>IFERROR(__xludf.DUMMYFUNCTION("""COMPUTED_VALUE"""),"BLACK")</f>
        <v>BLACK</v>
      </c>
      <c r="G9172" s="20" t="str">
        <f>IFERROR(__xludf.DUMMYFUNCTION("""COMPUTED_VALUE"""),"Uncle Sams Cider (04/04/2023)")</f>
        <v>Uncle Sams Cider (04/04/2023)</v>
      </c>
      <c r="H9172" s="19"/>
    </row>
    <row r="9173">
      <c r="A9173" s="9"/>
      <c r="B9173" s="15"/>
      <c r="C9173" s="9">
        <f>IFERROR(__xludf.DUMMYFUNCTION("""COMPUTED_VALUE"""),45048.0027519907)</f>
        <v>45048.00275</v>
      </c>
      <c r="D9173" s="15">
        <f>IFERROR(__xludf.DUMMYFUNCTION("""COMPUTED_VALUE"""),1.026)</f>
        <v>1.026</v>
      </c>
      <c r="E9173" s="16">
        <f>IFERROR(__xludf.DUMMYFUNCTION("""COMPUTED_VALUE"""),63.0)</f>
        <v>63</v>
      </c>
      <c r="F9173" s="19" t="str">
        <f>IFERROR(__xludf.DUMMYFUNCTION("""COMPUTED_VALUE"""),"BLACK")</f>
        <v>BLACK</v>
      </c>
      <c r="G9173" s="20" t="str">
        <f>IFERROR(__xludf.DUMMYFUNCTION("""COMPUTED_VALUE"""),"Uncle Sams Cider (04/04/2023)")</f>
        <v>Uncle Sams Cider (04/04/2023)</v>
      </c>
      <c r="H9173" s="19"/>
    </row>
    <row r="9174">
      <c r="A9174" s="9"/>
      <c r="B9174" s="15"/>
      <c r="C9174" s="9">
        <f>IFERROR(__xludf.DUMMYFUNCTION("""COMPUTED_VALUE"""),45047.9923202083)</f>
        <v>45047.99232</v>
      </c>
      <c r="D9174" s="15">
        <f>IFERROR(__xludf.DUMMYFUNCTION("""COMPUTED_VALUE"""),1.026)</f>
        <v>1.026</v>
      </c>
      <c r="E9174" s="16">
        <f>IFERROR(__xludf.DUMMYFUNCTION("""COMPUTED_VALUE"""),63.0)</f>
        <v>63</v>
      </c>
      <c r="F9174" s="19" t="str">
        <f>IFERROR(__xludf.DUMMYFUNCTION("""COMPUTED_VALUE"""),"BLACK")</f>
        <v>BLACK</v>
      </c>
      <c r="G9174" s="20" t="str">
        <f>IFERROR(__xludf.DUMMYFUNCTION("""COMPUTED_VALUE"""),"Uncle Sams Cider (04/04/2023)")</f>
        <v>Uncle Sams Cider (04/04/2023)</v>
      </c>
      <c r="H9174" s="19"/>
    </row>
    <row r="9175">
      <c r="A9175" s="9"/>
      <c r="B9175" s="15"/>
      <c r="C9175" s="9">
        <f>IFERROR(__xludf.DUMMYFUNCTION("""COMPUTED_VALUE"""),45047.9818970833)</f>
        <v>45047.9819</v>
      </c>
      <c r="D9175" s="15">
        <f>IFERROR(__xludf.DUMMYFUNCTION("""COMPUTED_VALUE"""),1.026)</f>
        <v>1.026</v>
      </c>
      <c r="E9175" s="16">
        <f>IFERROR(__xludf.DUMMYFUNCTION("""COMPUTED_VALUE"""),63.0)</f>
        <v>63</v>
      </c>
      <c r="F9175" s="19" t="str">
        <f>IFERROR(__xludf.DUMMYFUNCTION("""COMPUTED_VALUE"""),"BLACK")</f>
        <v>BLACK</v>
      </c>
      <c r="G9175" s="20" t="str">
        <f>IFERROR(__xludf.DUMMYFUNCTION("""COMPUTED_VALUE"""),"Uncle Sams Cider (04/04/2023)")</f>
        <v>Uncle Sams Cider (04/04/2023)</v>
      </c>
      <c r="H9175" s="19"/>
    </row>
    <row r="9176">
      <c r="A9176" s="9"/>
      <c r="B9176" s="15"/>
      <c r="C9176" s="9">
        <f>IFERROR(__xludf.DUMMYFUNCTION("""COMPUTED_VALUE"""),45047.971475787)</f>
        <v>45047.97148</v>
      </c>
      <c r="D9176" s="15">
        <f>IFERROR(__xludf.DUMMYFUNCTION("""COMPUTED_VALUE"""),1.026)</f>
        <v>1.026</v>
      </c>
      <c r="E9176" s="16">
        <f>IFERROR(__xludf.DUMMYFUNCTION("""COMPUTED_VALUE"""),63.0)</f>
        <v>63</v>
      </c>
      <c r="F9176" s="19" t="str">
        <f>IFERROR(__xludf.DUMMYFUNCTION("""COMPUTED_VALUE"""),"BLACK")</f>
        <v>BLACK</v>
      </c>
      <c r="G9176" s="20" t="str">
        <f>IFERROR(__xludf.DUMMYFUNCTION("""COMPUTED_VALUE"""),"Uncle Sams Cider (04/04/2023)")</f>
        <v>Uncle Sams Cider (04/04/2023)</v>
      </c>
      <c r="H9176" s="19"/>
    </row>
    <row r="9177">
      <c r="A9177" s="9"/>
      <c r="B9177" s="15"/>
      <c r="C9177" s="9">
        <f>IFERROR(__xludf.DUMMYFUNCTION("""COMPUTED_VALUE"""),45047.9610422106)</f>
        <v>45047.96104</v>
      </c>
      <c r="D9177" s="15">
        <f>IFERROR(__xludf.DUMMYFUNCTION("""COMPUTED_VALUE"""),1.026)</f>
        <v>1.026</v>
      </c>
      <c r="E9177" s="16">
        <f>IFERROR(__xludf.DUMMYFUNCTION("""COMPUTED_VALUE"""),63.0)</f>
        <v>63</v>
      </c>
      <c r="F9177" s="19" t="str">
        <f>IFERROR(__xludf.DUMMYFUNCTION("""COMPUTED_VALUE"""),"BLACK")</f>
        <v>BLACK</v>
      </c>
      <c r="G9177" s="20" t="str">
        <f>IFERROR(__xludf.DUMMYFUNCTION("""COMPUTED_VALUE"""),"Uncle Sams Cider (04/04/2023)")</f>
        <v>Uncle Sams Cider (04/04/2023)</v>
      </c>
      <c r="H9177" s="19"/>
    </row>
    <row r="9178">
      <c r="A9178" s="9"/>
      <c r="B9178" s="15"/>
      <c r="C9178" s="9">
        <f>IFERROR(__xludf.DUMMYFUNCTION("""COMPUTED_VALUE"""),45047.9506201388)</f>
        <v>45047.95062</v>
      </c>
      <c r="D9178" s="15">
        <f>IFERROR(__xludf.DUMMYFUNCTION("""COMPUTED_VALUE"""),1.026)</f>
        <v>1.026</v>
      </c>
      <c r="E9178" s="16">
        <f>IFERROR(__xludf.DUMMYFUNCTION("""COMPUTED_VALUE"""),63.0)</f>
        <v>63</v>
      </c>
      <c r="F9178" s="19" t="str">
        <f>IFERROR(__xludf.DUMMYFUNCTION("""COMPUTED_VALUE"""),"BLACK")</f>
        <v>BLACK</v>
      </c>
      <c r="G9178" s="20" t="str">
        <f>IFERROR(__xludf.DUMMYFUNCTION("""COMPUTED_VALUE"""),"Uncle Sams Cider (04/04/2023)")</f>
        <v>Uncle Sams Cider (04/04/2023)</v>
      </c>
      <c r="H9178" s="19"/>
    </row>
    <row r="9179">
      <c r="A9179" s="9"/>
      <c r="B9179" s="15"/>
      <c r="C9179" s="9">
        <f>IFERROR(__xludf.DUMMYFUNCTION("""COMPUTED_VALUE"""),45047.9401643402)</f>
        <v>45047.94016</v>
      </c>
      <c r="D9179" s="15">
        <f>IFERROR(__xludf.DUMMYFUNCTION("""COMPUTED_VALUE"""),1.026)</f>
        <v>1.026</v>
      </c>
      <c r="E9179" s="16">
        <f>IFERROR(__xludf.DUMMYFUNCTION("""COMPUTED_VALUE"""),64.0)</f>
        <v>64</v>
      </c>
      <c r="F9179" s="19" t="str">
        <f>IFERROR(__xludf.DUMMYFUNCTION("""COMPUTED_VALUE"""),"BLACK")</f>
        <v>BLACK</v>
      </c>
      <c r="G9179" s="20" t="str">
        <f>IFERROR(__xludf.DUMMYFUNCTION("""COMPUTED_VALUE"""),"Uncle Sams Cider (04/04/2023)")</f>
        <v>Uncle Sams Cider (04/04/2023)</v>
      </c>
      <c r="H9179" s="19"/>
    </row>
    <row r="9180">
      <c r="A9180" s="9"/>
      <c r="B9180" s="15"/>
      <c r="C9180" s="9">
        <f>IFERROR(__xludf.DUMMYFUNCTION("""COMPUTED_VALUE"""),45047.9297202777)</f>
        <v>45047.92972</v>
      </c>
      <c r="D9180" s="15">
        <f>IFERROR(__xludf.DUMMYFUNCTION("""COMPUTED_VALUE"""),1.026)</f>
        <v>1.026</v>
      </c>
      <c r="E9180" s="16">
        <f>IFERROR(__xludf.DUMMYFUNCTION("""COMPUTED_VALUE"""),63.0)</f>
        <v>63</v>
      </c>
      <c r="F9180" s="19" t="str">
        <f>IFERROR(__xludf.DUMMYFUNCTION("""COMPUTED_VALUE"""),"BLACK")</f>
        <v>BLACK</v>
      </c>
      <c r="G9180" s="20" t="str">
        <f>IFERROR(__xludf.DUMMYFUNCTION("""COMPUTED_VALUE"""),"Uncle Sams Cider (04/04/2023)")</f>
        <v>Uncle Sams Cider (04/04/2023)</v>
      </c>
      <c r="H9180" s="19"/>
    </row>
    <row r="9181">
      <c r="A9181" s="9"/>
      <c r="B9181" s="15"/>
      <c r="C9181" s="9">
        <f>IFERROR(__xludf.DUMMYFUNCTION("""COMPUTED_VALUE"""),45047.9192980092)</f>
        <v>45047.9193</v>
      </c>
      <c r="D9181" s="15">
        <f>IFERROR(__xludf.DUMMYFUNCTION("""COMPUTED_VALUE"""),1.026)</f>
        <v>1.026</v>
      </c>
      <c r="E9181" s="16">
        <f>IFERROR(__xludf.DUMMYFUNCTION("""COMPUTED_VALUE"""),63.0)</f>
        <v>63</v>
      </c>
      <c r="F9181" s="19" t="str">
        <f>IFERROR(__xludf.DUMMYFUNCTION("""COMPUTED_VALUE"""),"BLACK")</f>
        <v>BLACK</v>
      </c>
      <c r="G9181" s="20" t="str">
        <f>IFERROR(__xludf.DUMMYFUNCTION("""COMPUTED_VALUE"""),"Uncle Sams Cider (04/04/2023)")</f>
        <v>Uncle Sams Cider (04/04/2023)</v>
      </c>
      <c r="H9181" s="19"/>
    </row>
    <row r="9182">
      <c r="A9182" s="9"/>
      <c r="B9182" s="15"/>
      <c r="C9182" s="9">
        <f>IFERROR(__xludf.DUMMYFUNCTION("""COMPUTED_VALUE"""),45047.9088775925)</f>
        <v>45047.90888</v>
      </c>
      <c r="D9182" s="15">
        <f>IFERROR(__xludf.DUMMYFUNCTION("""COMPUTED_VALUE"""),1.026)</f>
        <v>1.026</v>
      </c>
      <c r="E9182" s="16">
        <f>IFERROR(__xludf.DUMMYFUNCTION("""COMPUTED_VALUE"""),63.0)</f>
        <v>63</v>
      </c>
      <c r="F9182" s="19" t="str">
        <f>IFERROR(__xludf.DUMMYFUNCTION("""COMPUTED_VALUE"""),"BLACK")</f>
        <v>BLACK</v>
      </c>
      <c r="G9182" s="20" t="str">
        <f>IFERROR(__xludf.DUMMYFUNCTION("""COMPUTED_VALUE"""),"Uncle Sams Cider (04/04/2023)")</f>
        <v>Uncle Sams Cider (04/04/2023)</v>
      </c>
      <c r="H9182" s="19"/>
    </row>
    <row r="9183">
      <c r="A9183" s="9"/>
      <c r="B9183" s="15"/>
      <c r="C9183" s="9">
        <f>IFERROR(__xludf.DUMMYFUNCTION("""COMPUTED_VALUE"""),45047.8984104166)</f>
        <v>45047.89841</v>
      </c>
      <c r="D9183" s="15">
        <f>IFERROR(__xludf.DUMMYFUNCTION("""COMPUTED_VALUE"""),1.026)</f>
        <v>1.026</v>
      </c>
      <c r="E9183" s="16">
        <f>IFERROR(__xludf.DUMMYFUNCTION("""COMPUTED_VALUE"""),63.0)</f>
        <v>63</v>
      </c>
      <c r="F9183" s="19" t="str">
        <f>IFERROR(__xludf.DUMMYFUNCTION("""COMPUTED_VALUE"""),"BLACK")</f>
        <v>BLACK</v>
      </c>
      <c r="G9183" s="20" t="str">
        <f>IFERROR(__xludf.DUMMYFUNCTION("""COMPUTED_VALUE"""),"Uncle Sams Cider (04/04/2023)")</f>
        <v>Uncle Sams Cider (04/04/2023)</v>
      </c>
      <c r="H9183" s="19"/>
    </row>
    <row r="9184">
      <c r="A9184" s="9"/>
      <c r="B9184" s="15"/>
      <c r="C9184" s="9">
        <f>IFERROR(__xludf.DUMMYFUNCTION("""COMPUTED_VALUE"""),45047.887988287)</f>
        <v>45047.88799</v>
      </c>
      <c r="D9184" s="15">
        <f>IFERROR(__xludf.DUMMYFUNCTION("""COMPUTED_VALUE"""),1.026)</f>
        <v>1.026</v>
      </c>
      <c r="E9184" s="16">
        <f>IFERROR(__xludf.DUMMYFUNCTION("""COMPUTED_VALUE"""),63.0)</f>
        <v>63</v>
      </c>
      <c r="F9184" s="19" t="str">
        <f>IFERROR(__xludf.DUMMYFUNCTION("""COMPUTED_VALUE"""),"BLACK")</f>
        <v>BLACK</v>
      </c>
      <c r="G9184" s="20" t="str">
        <f>IFERROR(__xludf.DUMMYFUNCTION("""COMPUTED_VALUE"""),"Uncle Sams Cider (04/04/2023)")</f>
        <v>Uncle Sams Cider (04/04/2023)</v>
      </c>
      <c r="H9184" s="19"/>
    </row>
    <row r="9185">
      <c r="A9185" s="9"/>
      <c r="B9185" s="15"/>
      <c r="C9185" s="9">
        <f>IFERROR(__xludf.DUMMYFUNCTION("""COMPUTED_VALUE"""),45047.8775544444)</f>
        <v>45047.87755</v>
      </c>
      <c r="D9185" s="15">
        <f>IFERROR(__xludf.DUMMYFUNCTION("""COMPUTED_VALUE"""),1.026)</f>
        <v>1.026</v>
      </c>
      <c r="E9185" s="16">
        <f>IFERROR(__xludf.DUMMYFUNCTION("""COMPUTED_VALUE"""),63.0)</f>
        <v>63</v>
      </c>
      <c r="F9185" s="19" t="str">
        <f>IFERROR(__xludf.DUMMYFUNCTION("""COMPUTED_VALUE"""),"BLACK")</f>
        <v>BLACK</v>
      </c>
      <c r="G9185" s="20" t="str">
        <f>IFERROR(__xludf.DUMMYFUNCTION("""COMPUTED_VALUE"""),"Uncle Sams Cider (04/04/2023)")</f>
        <v>Uncle Sams Cider (04/04/2023)</v>
      </c>
      <c r="H9185" s="19"/>
    </row>
    <row r="9186">
      <c r="A9186" s="9"/>
      <c r="B9186" s="15"/>
      <c r="C9186" s="9">
        <f>IFERROR(__xludf.DUMMYFUNCTION("""COMPUTED_VALUE"""),45047.8670987731)</f>
        <v>45047.8671</v>
      </c>
      <c r="D9186" s="15">
        <f>IFERROR(__xludf.DUMMYFUNCTION("""COMPUTED_VALUE"""),1.026)</f>
        <v>1.026</v>
      </c>
      <c r="E9186" s="16">
        <f>IFERROR(__xludf.DUMMYFUNCTION("""COMPUTED_VALUE"""),63.0)</f>
        <v>63</v>
      </c>
      <c r="F9186" s="19" t="str">
        <f>IFERROR(__xludf.DUMMYFUNCTION("""COMPUTED_VALUE"""),"BLACK")</f>
        <v>BLACK</v>
      </c>
      <c r="G9186" s="20" t="str">
        <f>IFERROR(__xludf.DUMMYFUNCTION("""COMPUTED_VALUE"""),"Uncle Sams Cider (04/04/2023)")</f>
        <v>Uncle Sams Cider (04/04/2023)</v>
      </c>
      <c r="H9186" s="19"/>
    </row>
    <row r="9187">
      <c r="A9187" s="9"/>
      <c r="B9187" s="15"/>
      <c r="C9187" s="9">
        <f>IFERROR(__xludf.DUMMYFUNCTION("""COMPUTED_VALUE"""),45047.8566653356)</f>
        <v>45047.85667</v>
      </c>
      <c r="D9187" s="15">
        <f>IFERROR(__xludf.DUMMYFUNCTION("""COMPUTED_VALUE"""),1.026)</f>
        <v>1.026</v>
      </c>
      <c r="E9187" s="16">
        <f>IFERROR(__xludf.DUMMYFUNCTION("""COMPUTED_VALUE"""),63.0)</f>
        <v>63</v>
      </c>
      <c r="F9187" s="19" t="str">
        <f>IFERROR(__xludf.DUMMYFUNCTION("""COMPUTED_VALUE"""),"BLACK")</f>
        <v>BLACK</v>
      </c>
      <c r="G9187" s="20" t="str">
        <f>IFERROR(__xludf.DUMMYFUNCTION("""COMPUTED_VALUE"""),"Uncle Sams Cider (04/04/2023)")</f>
        <v>Uncle Sams Cider (04/04/2023)</v>
      </c>
      <c r="H9187" s="19"/>
    </row>
    <row r="9188">
      <c r="A9188" s="9"/>
      <c r="B9188" s="15"/>
      <c r="C9188" s="9">
        <f>IFERROR(__xludf.DUMMYFUNCTION("""COMPUTED_VALUE"""),45047.8462323842)</f>
        <v>45047.84623</v>
      </c>
      <c r="D9188" s="15">
        <f>IFERROR(__xludf.DUMMYFUNCTION("""COMPUTED_VALUE"""),1.026)</f>
        <v>1.026</v>
      </c>
      <c r="E9188" s="16">
        <f>IFERROR(__xludf.DUMMYFUNCTION("""COMPUTED_VALUE"""),63.0)</f>
        <v>63</v>
      </c>
      <c r="F9188" s="19" t="str">
        <f>IFERROR(__xludf.DUMMYFUNCTION("""COMPUTED_VALUE"""),"BLACK")</f>
        <v>BLACK</v>
      </c>
      <c r="G9188" s="20" t="str">
        <f>IFERROR(__xludf.DUMMYFUNCTION("""COMPUTED_VALUE"""),"Uncle Sams Cider (04/04/2023)")</f>
        <v>Uncle Sams Cider (04/04/2023)</v>
      </c>
      <c r="H9188" s="19"/>
    </row>
    <row r="9189">
      <c r="A9189" s="9"/>
      <c r="B9189" s="15"/>
      <c r="C9189" s="9">
        <f>IFERROR(__xludf.DUMMYFUNCTION("""COMPUTED_VALUE"""),45047.8253338078)</f>
        <v>45047.82533</v>
      </c>
      <c r="D9189" s="15">
        <f>IFERROR(__xludf.DUMMYFUNCTION("""COMPUTED_VALUE"""),1.026)</f>
        <v>1.026</v>
      </c>
      <c r="E9189" s="16">
        <f>IFERROR(__xludf.DUMMYFUNCTION("""COMPUTED_VALUE"""),63.0)</f>
        <v>63</v>
      </c>
      <c r="F9189" s="19" t="str">
        <f>IFERROR(__xludf.DUMMYFUNCTION("""COMPUTED_VALUE"""),"BLACK")</f>
        <v>BLACK</v>
      </c>
      <c r="G9189" s="20" t="str">
        <f>IFERROR(__xludf.DUMMYFUNCTION("""COMPUTED_VALUE"""),"Uncle Sams Cider (04/04/2023)")</f>
        <v>Uncle Sams Cider (04/04/2023)</v>
      </c>
      <c r="H9189" s="19"/>
    </row>
    <row r="9190">
      <c r="A9190" s="9"/>
      <c r="B9190" s="15"/>
      <c r="C9190" s="9">
        <f>IFERROR(__xludf.DUMMYFUNCTION("""COMPUTED_VALUE"""),45047.8148906365)</f>
        <v>45047.81489</v>
      </c>
      <c r="D9190" s="15">
        <f>IFERROR(__xludf.DUMMYFUNCTION("""COMPUTED_VALUE"""),1.026)</f>
        <v>1.026</v>
      </c>
      <c r="E9190" s="16">
        <f>IFERROR(__xludf.DUMMYFUNCTION("""COMPUTED_VALUE"""),63.0)</f>
        <v>63</v>
      </c>
      <c r="F9190" s="19" t="str">
        <f>IFERROR(__xludf.DUMMYFUNCTION("""COMPUTED_VALUE"""),"BLACK")</f>
        <v>BLACK</v>
      </c>
      <c r="G9190" s="20" t="str">
        <f>IFERROR(__xludf.DUMMYFUNCTION("""COMPUTED_VALUE"""),"Uncle Sams Cider (04/04/2023)")</f>
        <v>Uncle Sams Cider (04/04/2023)</v>
      </c>
      <c r="H9190" s="19"/>
    </row>
    <row r="9191">
      <c r="A9191" s="9"/>
      <c r="B9191" s="15"/>
      <c r="C9191" s="9">
        <f>IFERROR(__xludf.DUMMYFUNCTION("""COMPUTED_VALUE"""),45047.804470868)</f>
        <v>45047.80447</v>
      </c>
      <c r="D9191" s="15">
        <f>IFERROR(__xludf.DUMMYFUNCTION("""COMPUTED_VALUE"""),1.026)</f>
        <v>1.026</v>
      </c>
      <c r="E9191" s="16">
        <f>IFERROR(__xludf.DUMMYFUNCTION("""COMPUTED_VALUE"""),64.0)</f>
        <v>64</v>
      </c>
      <c r="F9191" s="19" t="str">
        <f>IFERROR(__xludf.DUMMYFUNCTION("""COMPUTED_VALUE"""),"BLACK")</f>
        <v>BLACK</v>
      </c>
      <c r="G9191" s="20" t="str">
        <f>IFERROR(__xludf.DUMMYFUNCTION("""COMPUTED_VALUE"""),"Uncle Sams Cider (04/04/2023)")</f>
        <v>Uncle Sams Cider (04/04/2023)</v>
      </c>
      <c r="H9191" s="19"/>
    </row>
    <row r="9192">
      <c r="A9192" s="9"/>
      <c r="B9192" s="15"/>
      <c r="C9192" s="9">
        <f>IFERROR(__xludf.DUMMYFUNCTION("""COMPUTED_VALUE"""),45047.794017581)</f>
        <v>45047.79402</v>
      </c>
      <c r="D9192" s="15">
        <f>IFERROR(__xludf.DUMMYFUNCTION("""COMPUTED_VALUE"""),1.026)</f>
        <v>1.026</v>
      </c>
      <c r="E9192" s="16">
        <f>IFERROR(__xludf.DUMMYFUNCTION("""COMPUTED_VALUE"""),63.0)</f>
        <v>63</v>
      </c>
      <c r="F9192" s="19" t="str">
        <f>IFERROR(__xludf.DUMMYFUNCTION("""COMPUTED_VALUE"""),"BLACK")</f>
        <v>BLACK</v>
      </c>
      <c r="G9192" s="20" t="str">
        <f>IFERROR(__xludf.DUMMYFUNCTION("""COMPUTED_VALUE"""),"Uncle Sams Cider (04/04/2023)")</f>
        <v>Uncle Sams Cider (04/04/2023)</v>
      </c>
      <c r="H9192" s="19"/>
    </row>
    <row r="9193">
      <c r="A9193" s="9"/>
      <c r="B9193" s="15"/>
      <c r="C9193" s="9">
        <f>IFERROR(__xludf.DUMMYFUNCTION("""COMPUTED_VALUE"""),45047.7835953472)</f>
        <v>45047.7836</v>
      </c>
      <c r="D9193" s="15">
        <f>IFERROR(__xludf.DUMMYFUNCTION("""COMPUTED_VALUE"""),1.026)</f>
        <v>1.026</v>
      </c>
      <c r="E9193" s="16">
        <f>IFERROR(__xludf.DUMMYFUNCTION("""COMPUTED_VALUE"""),63.0)</f>
        <v>63</v>
      </c>
      <c r="F9193" s="19" t="str">
        <f>IFERROR(__xludf.DUMMYFUNCTION("""COMPUTED_VALUE"""),"BLACK")</f>
        <v>BLACK</v>
      </c>
      <c r="G9193" s="20" t="str">
        <f>IFERROR(__xludf.DUMMYFUNCTION("""COMPUTED_VALUE"""),"Uncle Sams Cider (04/04/2023)")</f>
        <v>Uncle Sams Cider (04/04/2023)</v>
      </c>
      <c r="H9193" s="19"/>
    </row>
    <row r="9194">
      <c r="A9194" s="9"/>
      <c r="B9194" s="15"/>
      <c r="C9194" s="9">
        <f>IFERROR(__xludf.DUMMYFUNCTION("""COMPUTED_VALUE"""),45047.7731749652)</f>
        <v>45047.77317</v>
      </c>
      <c r="D9194" s="15">
        <f>IFERROR(__xludf.DUMMYFUNCTION("""COMPUTED_VALUE"""),1.026)</f>
        <v>1.026</v>
      </c>
      <c r="E9194" s="16">
        <f>IFERROR(__xludf.DUMMYFUNCTION("""COMPUTED_VALUE"""),64.0)</f>
        <v>64</v>
      </c>
      <c r="F9194" s="19" t="str">
        <f>IFERROR(__xludf.DUMMYFUNCTION("""COMPUTED_VALUE"""),"BLACK")</f>
        <v>BLACK</v>
      </c>
      <c r="G9194" s="20" t="str">
        <f>IFERROR(__xludf.DUMMYFUNCTION("""COMPUTED_VALUE"""),"Uncle Sams Cider (04/04/2023)")</f>
        <v>Uncle Sams Cider (04/04/2023)</v>
      </c>
      <c r="H9194" s="19"/>
    </row>
    <row r="9195">
      <c r="A9195" s="9"/>
      <c r="B9195" s="15"/>
      <c r="C9195" s="9">
        <f>IFERROR(__xludf.DUMMYFUNCTION("""COMPUTED_VALUE"""),45047.7627539351)</f>
        <v>45047.76275</v>
      </c>
      <c r="D9195" s="15">
        <f>IFERROR(__xludf.DUMMYFUNCTION("""COMPUTED_VALUE"""),1.026)</f>
        <v>1.026</v>
      </c>
      <c r="E9195" s="16">
        <f>IFERROR(__xludf.DUMMYFUNCTION("""COMPUTED_VALUE"""),63.0)</f>
        <v>63</v>
      </c>
      <c r="F9195" s="19" t="str">
        <f>IFERROR(__xludf.DUMMYFUNCTION("""COMPUTED_VALUE"""),"BLACK")</f>
        <v>BLACK</v>
      </c>
      <c r="G9195" s="20" t="str">
        <f>IFERROR(__xludf.DUMMYFUNCTION("""COMPUTED_VALUE"""),"Uncle Sams Cider (04/04/2023)")</f>
        <v>Uncle Sams Cider (04/04/2023)</v>
      </c>
      <c r="H9195" s="19"/>
    </row>
    <row r="9196">
      <c r="A9196" s="9"/>
      <c r="B9196" s="15"/>
      <c r="C9196" s="9">
        <f>IFERROR(__xludf.DUMMYFUNCTION("""COMPUTED_VALUE"""),45047.752330324)</f>
        <v>45047.75233</v>
      </c>
      <c r="D9196" s="15">
        <f>IFERROR(__xludf.DUMMYFUNCTION("""COMPUTED_VALUE"""),1.026)</f>
        <v>1.026</v>
      </c>
      <c r="E9196" s="16">
        <f>IFERROR(__xludf.DUMMYFUNCTION("""COMPUTED_VALUE"""),63.0)</f>
        <v>63</v>
      </c>
      <c r="F9196" s="19" t="str">
        <f>IFERROR(__xludf.DUMMYFUNCTION("""COMPUTED_VALUE"""),"BLACK")</f>
        <v>BLACK</v>
      </c>
      <c r="G9196" s="20" t="str">
        <f>IFERROR(__xludf.DUMMYFUNCTION("""COMPUTED_VALUE"""),"Uncle Sams Cider (04/04/2023)")</f>
        <v>Uncle Sams Cider (04/04/2023)</v>
      </c>
      <c r="H9196" s="19"/>
    </row>
    <row r="9197">
      <c r="A9197" s="9"/>
      <c r="B9197" s="15"/>
      <c r="C9197" s="9">
        <f>IFERROR(__xludf.DUMMYFUNCTION("""COMPUTED_VALUE"""),45047.7419090277)</f>
        <v>45047.74191</v>
      </c>
      <c r="D9197" s="15">
        <f>IFERROR(__xludf.DUMMYFUNCTION("""COMPUTED_VALUE"""),1.026)</f>
        <v>1.026</v>
      </c>
      <c r="E9197" s="16">
        <f>IFERROR(__xludf.DUMMYFUNCTION("""COMPUTED_VALUE"""),63.0)</f>
        <v>63</v>
      </c>
      <c r="F9197" s="19" t="str">
        <f>IFERROR(__xludf.DUMMYFUNCTION("""COMPUTED_VALUE"""),"BLACK")</f>
        <v>BLACK</v>
      </c>
      <c r="G9197" s="20" t="str">
        <f>IFERROR(__xludf.DUMMYFUNCTION("""COMPUTED_VALUE"""),"Uncle Sams Cider (04/04/2023)")</f>
        <v>Uncle Sams Cider (04/04/2023)</v>
      </c>
      <c r="H9197" s="19"/>
    </row>
    <row r="9198">
      <c r="A9198" s="9"/>
      <c r="B9198" s="15"/>
      <c r="C9198" s="9">
        <f>IFERROR(__xludf.DUMMYFUNCTION("""COMPUTED_VALUE"""),45047.7314886689)</f>
        <v>45047.73149</v>
      </c>
      <c r="D9198" s="15">
        <f>IFERROR(__xludf.DUMMYFUNCTION("""COMPUTED_VALUE"""),1.026)</f>
        <v>1.026</v>
      </c>
      <c r="E9198" s="16">
        <f>IFERROR(__xludf.DUMMYFUNCTION("""COMPUTED_VALUE"""),64.0)</f>
        <v>64</v>
      </c>
      <c r="F9198" s="19" t="str">
        <f>IFERROR(__xludf.DUMMYFUNCTION("""COMPUTED_VALUE"""),"BLACK")</f>
        <v>BLACK</v>
      </c>
      <c r="G9198" s="20" t="str">
        <f>IFERROR(__xludf.DUMMYFUNCTION("""COMPUTED_VALUE"""),"Uncle Sams Cider (04/04/2023)")</f>
        <v>Uncle Sams Cider (04/04/2023)</v>
      </c>
      <c r="H9198" s="19"/>
    </row>
    <row r="9199">
      <c r="A9199" s="9"/>
      <c r="B9199" s="15"/>
      <c r="C9199" s="9">
        <f>IFERROR(__xludf.DUMMYFUNCTION("""COMPUTED_VALUE"""),45047.7210434143)</f>
        <v>45047.72104</v>
      </c>
      <c r="D9199" s="15">
        <f>IFERROR(__xludf.DUMMYFUNCTION("""COMPUTED_VALUE"""),1.026)</f>
        <v>1.026</v>
      </c>
      <c r="E9199" s="16">
        <f>IFERROR(__xludf.DUMMYFUNCTION("""COMPUTED_VALUE"""),63.0)</f>
        <v>63</v>
      </c>
      <c r="F9199" s="19" t="str">
        <f>IFERROR(__xludf.DUMMYFUNCTION("""COMPUTED_VALUE"""),"BLACK")</f>
        <v>BLACK</v>
      </c>
      <c r="G9199" s="20" t="str">
        <f>IFERROR(__xludf.DUMMYFUNCTION("""COMPUTED_VALUE"""),"Uncle Sams Cider (04/04/2023)")</f>
        <v>Uncle Sams Cider (04/04/2023)</v>
      </c>
      <c r="H9199" s="19"/>
    </row>
    <row r="9200">
      <c r="A9200" s="9"/>
      <c r="B9200" s="15"/>
      <c r="C9200" s="9">
        <f>IFERROR(__xludf.DUMMYFUNCTION("""COMPUTED_VALUE"""),45047.7106210069)</f>
        <v>45047.71062</v>
      </c>
      <c r="D9200" s="15">
        <f>IFERROR(__xludf.DUMMYFUNCTION("""COMPUTED_VALUE"""),1.026)</f>
        <v>1.026</v>
      </c>
      <c r="E9200" s="16">
        <f>IFERROR(__xludf.DUMMYFUNCTION("""COMPUTED_VALUE"""),63.0)</f>
        <v>63</v>
      </c>
      <c r="F9200" s="19" t="str">
        <f>IFERROR(__xludf.DUMMYFUNCTION("""COMPUTED_VALUE"""),"BLACK")</f>
        <v>BLACK</v>
      </c>
      <c r="G9200" s="20" t="str">
        <f>IFERROR(__xludf.DUMMYFUNCTION("""COMPUTED_VALUE"""),"Uncle Sams Cider (04/04/2023)")</f>
        <v>Uncle Sams Cider (04/04/2023)</v>
      </c>
      <c r="H9200" s="19"/>
    </row>
    <row r="9201">
      <c r="A9201" s="9"/>
      <c r="B9201" s="15"/>
      <c r="C9201" s="9">
        <f>IFERROR(__xludf.DUMMYFUNCTION("""COMPUTED_VALUE"""),45047.7001988078)</f>
        <v>45047.7002</v>
      </c>
      <c r="D9201" s="15">
        <f>IFERROR(__xludf.DUMMYFUNCTION("""COMPUTED_VALUE"""),1.026)</f>
        <v>1.026</v>
      </c>
      <c r="E9201" s="16">
        <f>IFERROR(__xludf.DUMMYFUNCTION("""COMPUTED_VALUE"""),64.0)</f>
        <v>64</v>
      </c>
      <c r="F9201" s="19" t="str">
        <f>IFERROR(__xludf.DUMMYFUNCTION("""COMPUTED_VALUE"""),"BLACK")</f>
        <v>BLACK</v>
      </c>
      <c r="G9201" s="20" t="str">
        <f>IFERROR(__xludf.DUMMYFUNCTION("""COMPUTED_VALUE"""),"Uncle Sams Cider (04/04/2023)")</f>
        <v>Uncle Sams Cider (04/04/2023)</v>
      </c>
      <c r="H9201" s="19"/>
    </row>
    <row r="9202">
      <c r="A9202" s="9"/>
      <c r="B9202" s="15"/>
      <c r="C9202" s="9">
        <f>IFERROR(__xludf.DUMMYFUNCTION("""COMPUTED_VALUE"""),45047.6897783217)</f>
        <v>45047.68978</v>
      </c>
      <c r="D9202" s="15">
        <f>IFERROR(__xludf.DUMMYFUNCTION("""COMPUTED_VALUE"""),1.026)</f>
        <v>1.026</v>
      </c>
      <c r="E9202" s="16">
        <f>IFERROR(__xludf.DUMMYFUNCTION("""COMPUTED_VALUE"""),63.0)</f>
        <v>63</v>
      </c>
      <c r="F9202" s="19" t="str">
        <f>IFERROR(__xludf.DUMMYFUNCTION("""COMPUTED_VALUE"""),"BLACK")</f>
        <v>BLACK</v>
      </c>
      <c r="G9202" s="20" t="str">
        <f>IFERROR(__xludf.DUMMYFUNCTION("""COMPUTED_VALUE"""),"Uncle Sams Cider (04/04/2023)")</f>
        <v>Uncle Sams Cider (04/04/2023)</v>
      </c>
      <c r="H9202" s="19"/>
    </row>
    <row r="9203">
      <c r="A9203" s="9"/>
      <c r="B9203" s="15"/>
      <c r="C9203" s="9">
        <f>IFERROR(__xludf.DUMMYFUNCTION("""COMPUTED_VALUE"""),45047.6793581365)</f>
        <v>45047.67936</v>
      </c>
      <c r="D9203" s="15">
        <f>IFERROR(__xludf.DUMMYFUNCTION("""COMPUTED_VALUE"""),1.026)</f>
        <v>1.026</v>
      </c>
      <c r="E9203" s="16">
        <f>IFERROR(__xludf.DUMMYFUNCTION("""COMPUTED_VALUE"""),63.0)</f>
        <v>63</v>
      </c>
      <c r="F9203" s="19" t="str">
        <f>IFERROR(__xludf.DUMMYFUNCTION("""COMPUTED_VALUE"""),"BLACK")</f>
        <v>BLACK</v>
      </c>
      <c r="G9203" s="20" t="str">
        <f>IFERROR(__xludf.DUMMYFUNCTION("""COMPUTED_VALUE"""),"Uncle Sams Cider (04/04/2023)")</f>
        <v>Uncle Sams Cider (04/04/2023)</v>
      </c>
      <c r="H9203" s="19"/>
    </row>
    <row r="9204">
      <c r="A9204" s="9"/>
      <c r="B9204" s="15"/>
      <c r="C9204" s="9">
        <f>IFERROR(__xludf.DUMMYFUNCTION("""COMPUTED_VALUE"""),45047.668890706)</f>
        <v>45047.66889</v>
      </c>
      <c r="D9204" s="15">
        <f>IFERROR(__xludf.DUMMYFUNCTION("""COMPUTED_VALUE"""),1.026)</f>
        <v>1.026</v>
      </c>
      <c r="E9204" s="16">
        <f>IFERROR(__xludf.DUMMYFUNCTION("""COMPUTED_VALUE"""),64.0)</f>
        <v>64</v>
      </c>
      <c r="F9204" s="19" t="str">
        <f>IFERROR(__xludf.DUMMYFUNCTION("""COMPUTED_VALUE"""),"BLACK")</f>
        <v>BLACK</v>
      </c>
      <c r="G9204" s="20" t="str">
        <f>IFERROR(__xludf.DUMMYFUNCTION("""COMPUTED_VALUE"""),"Uncle Sams Cider (04/04/2023)")</f>
        <v>Uncle Sams Cider (04/04/2023)</v>
      </c>
      <c r="H9204" s="19"/>
    </row>
    <row r="9205">
      <c r="A9205" s="9"/>
      <c r="B9205" s="15"/>
      <c r="C9205" s="9">
        <f>IFERROR(__xludf.DUMMYFUNCTION("""COMPUTED_VALUE"""),45047.658469375)</f>
        <v>45047.65847</v>
      </c>
      <c r="D9205" s="15">
        <f>IFERROR(__xludf.DUMMYFUNCTION("""COMPUTED_VALUE"""),1.026)</f>
        <v>1.026</v>
      </c>
      <c r="E9205" s="16">
        <f>IFERROR(__xludf.DUMMYFUNCTION("""COMPUTED_VALUE"""),64.0)</f>
        <v>64</v>
      </c>
      <c r="F9205" s="19" t="str">
        <f>IFERROR(__xludf.DUMMYFUNCTION("""COMPUTED_VALUE"""),"BLACK")</f>
        <v>BLACK</v>
      </c>
      <c r="G9205" s="20" t="str">
        <f>IFERROR(__xludf.DUMMYFUNCTION("""COMPUTED_VALUE"""),"Uncle Sams Cider (04/04/2023)")</f>
        <v>Uncle Sams Cider (04/04/2023)</v>
      </c>
      <c r="H9205" s="19"/>
    </row>
    <row r="9206">
      <c r="A9206" s="9"/>
      <c r="B9206" s="15"/>
      <c r="C9206" s="9">
        <f>IFERROR(__xludf.DUMMYFUNCTION("""COMPUTED_VALUE"""),45047.6480356134)</f>
        <v>45047.64804</v>
      </c>
      <c r="D9206" s="15">
        <f>IFERROR(__xludf.DUMMYFUNCTION("""COMPUTED_VALUE"""),1.026)</f>
        <v>1.026</v>
      </c>
      <c r="E9206" s="16">
        <f>IFERROR(__xludf.DUMMYFUNCTION("""COMPUTED_VALUE"""),64.0)</f>
        <v>64</v>
      </c>
      <c r="F9206" s="19" t="str">
        <f>IFERROR(__xludf.DUMMYFUNCTION("""COMPUTED_VALUE"""),"BLACK")</f>
        <v>BLACK</v>
      </c>
      <c r="G9206" s="20" t="str">
        <f>IFERROR(__xludf.DUMMYFUNCTION("""COMPUTED_VALUE"""),"Uncle Sams Cider (04/04/2023)")</f>
        <v>Uncle Sams Cider (04/04/2023)</v>
      </c>
      <c r="H9206" s="19"/>
    </row>
    <row r="9207">
      <c r="A9207" s="9"/>
      <c r="B9207" s="15"/>
      <c r="C9207" s="9">
        <f>IFERROR(__xludf.DUMMYFUNCTION("""COMPUTED_VALUE"""),45047.6376148379)</f>
        <v>45047.63761</v>
      </c>
      <c r="D9207" s="15">
        <f>IFERROR(__xludf.DUMMYFUNCTION("""COMPUTED_VALUE"""),1.026)</f>
        <v>1.026</v>
      </c>
      <c r="E9207" s="16">
        <f>IFERROR(__xludf.DUMMYFUNCTION("""COMPUTED_VALUE"""),63.0)</f>
        <v>63</v>
      </c>
      <c r="F9207" s="19" t="str">
        <f>IFERROR(__xludf.DUMMYFUNCTION("""COMPUTED_VALUE"""),"BLACK")</f>
        <v>BLACK</v>
      </c>
      <c r="G9207" s="20" t="str">
        <f>IFERROR(__xludf.DUMMYFUNCTION("""COMPUTED_VALUE"""),"Uncle Sams Cider (04/04/2023)")</f>
        <v>Uncle Sams Cider (04/04/2023)</v>
      </c>
      <c r="H9207" s="19"/>
    </row>
    <row r="9208">
      <c r="A9208" s="9"/>
      <c r="B9208" s="15"/>
      <c r="C9208" s="9">
        <f>IFERROR(__xludf.DUMMYFUNCTION("""COMPUTED_VALUE"""),45047.6271914351)</f>
        <v>45047.62719</v>
      </c>
      <c r="D9208" s="15">
        <f>IFERROR(__xludf.DUMMYFUNCTION("""COMPUTED_VALUE"""),1.026)</f>
        <v>1.026</v>
      </c>
      <c r="E9208" s="16">
        <f>IFERROR(__xludf.DUMMYFUNCTION("""COMPUTED_VALUE"""),64.0)</f>
        <v>64</v>
      </c>
      <c r="F9208" s="19" t="str">
        <f>IFERROR(__xludf.DUMMYFUNCTION("""COMPUTED_VALUE"""),"BLACK")</f>
        <v>BLACK</v>
      </c>
      <c r="G9208" s="20" t="str">
        <f>IFERROR(__xludf.DUMMYFUNCTION("""COMPUTED_VALUE"""),"Uncle Sams Cider (04/04/2023)")</f>
        <v>Uncle Sams Cider (04/04/2023)</v>
      </c>
      <c r="H9208" s="19"/>
    </row>
    <row r="9209">
      <c r="A9209" s="9"/>
      <c r="B9209" s="15"/>
      <c r="C9209" s="9">
        <f>IFERROR(__xludf.DUMMYFUNCTION("""COMPUTED_VALUE"""),45047.6167576157)</f>
        <v>45047.61676</v>
      </c>
      <c r="D9209" s="15">
        <f>IFERROR(__xludf.DUMMYFUNCTION("""COMPUTED_VALUE"""),1.026)</f>
        <v>1.026</v>
      </c>
      <c r="E9209" s="16">
        <f>IFERROR(__xludf.DUMMYFUNCTION("""COMPUTED_VALUE"""),63.0)</f>
        <v>63</v>
      </c>
      <c r="F9209" s="19" t="str">
        <f>IFERROR(__xludf.DUMMYFUNCTION("""COMPUTED_VALUE"""),"BLACK")</f>
        <v>BLACK</v>
      </c>
      <c r="G9209" s="20" t="str">
        <f>IFERROR(__xludf.DUMMYFUNCTION("""COMPUTED_VALUE"""),"Uncle Sams Cider (04/04/2023)")</f>
        <v>Uncle Sams Cider (04/04/2023)</v>
      </c>
      <c r="H9209" s="19"/>
    </row>
    <row r="9210">
      <c r="A9210" s="9"/>
      <c r="B9210" s="15"/>
      <c r="C9210" s="9">
        <f>IFERROR(__xludf.DUMMYFUNCTION("""COMPUTED_VALUE"""),45047.6063347916)</f>
        <v>45047.60633</v>
      </c>
      <c r="D9210" s="15">
        <f>IFERROR(__xludf.DUMMYFUNCTION("""COMPUTED_VALUE"""),1.026)</f>
        <v>1.026</v>
      </c>
      <c r="E9210" s="16">
        <f>IFERROR(__xludf.DUMMYFUNCTION("""COMPUTED_VALUE"""),64.0)</f>
        <v>64</v>
      </c>
      <c r="F9210" s="19" t="str">
        <f>IFERROR(__xludf.DUMMYFUNCTION("""COMPUTED_VALUE"""),"BLACK")</f>
        <v>BLACK</v>
      </c>
      <c r="G9210" s="20" t="str">
        <f>IFERROR(__xludf.DUMMYFUNCTION("""COMPUTED_VALUE"""),"Uncle Sams Cider (04/04/2023)")</f>
        <v>Uncle Sams Cider (04/04/2023)</v>
      </c>
      <c r="H9210" s="19"/>
    </row>
    <row r="9211">
      <c r="A9211" s="9"/>
      <c r="B9211" s="15"/>
      <c r="C9211" s="9">
        <f>IFERROR(__xludf.DUMMYFUNCTION("""COMPUTED_VALUE"""),45047.5958879976)</f>
        <v>45047.59589</v>
      </c>
      <c r="D9211" s="15">
        <f>IFERROR(__xludf.DUMMYFUNCTION("""COMPUTED_VALUE"""),1.026)</f>
        <v>1.026</v>
      </c>
      <c r="E9211" s="16">
        <f>IFERROR(__xludf.DUMMYFUNCTION("""COMPUTED_VALUE"""),64.0)</f>
        <v>64</v>
      </c>
      <c r="F9211" s="19" t="str">
        <f>IFERROR(__xludf.DUMMYFUNCTION("""COMPUTED_VALUE"""),"BLACK")</f>
        <v>BLACK</v>
      </c>
      <c r="G9211" s="20" t="str">
        <f>IFERROR(__xludf.DUMMYFUNCTION("""COMPUTED_VALUE"""),"Uncle Sams Cider (04/04/2023)")</f>
        <v>Uncle Sams Cider (04/04/2023)</v>
      </c>
      <c r="H9211" s="19"/>
    </row>
    <row r="9212">
      <c r="A9212" s="9"/>
      <c r="B9212" s="15"/>
      <c r="C9212" s="9">
        <f>IFERROR(__xludf.DUMMYFUNCTION("""COMPUTED_VALUE"""),45047.5854652546)</f>
        <v>45047.58547</v>
      </c>
      <c r="D9212" s="15">
        <f>IFERROR(__xludf.DUMMYFUNCTION("""COMPUTED_VALUE"""),1.026)</f>
        <v>1.026</v>
      </c>
      <c r="E9212" s="16">
        <f>IFERROR(__xludf.DUMMYFUNCTION("""COMPUTED_VALUE"""),64.0)</f>
        <v>64</v>
      </c>
      <c r="F9212" s="19" t="str">
        <f>IFERROR(__xludf.DUMMYFUNCTION("""COMPUTED_VALUE"""),"BLACK")</f>
        <v>BLACK</v>
      </c>
      <c r="G9212" s="20" t="str">
        <f>IFERROR(__xludf.DUMMYFUNCTION("""COMPUTED_VALUE"""),"Uncle Sams Cider (04/04/2023)")</f>
        <v>Uncle Sams Cider (04/04/2023)</v>
      </c>
      <c r="H9212" s="19"/>
    </row>
    <row r="9213">
      <c r="A9213" s="9"/>
      <c r="B9213" s="15"/>
      <c r="C9213" s="9">
        <f>IFERROR(__xludf.DUMMYFUNCTION("""COMPUTED_VALUE"""),45047.575043993)</f>
        <v>45047.57504</v>
      </c>
      <c r="D9213" s="15">
        <f>IFERROR(__xludf.DUMMYFUNCTION("""COMPUTED_VALUE"""),1.026)</f>
        <v>1.026</v>
      </c>
      <c r="E9213" s="16">
        <f>IFERROR(__xludf.DUMMYFUNCTION("""COMPUTED_VALUE"""),64.0)</f>
        <v>64</v>
      </c>
      <c r="F9213" s="19" t="str">
        <f>IFERROR(__xludf.DUMMYFUNCTION("""COMPUTED_VALUE"""),"BLACK")</f>
        <v>BLACK</v>
      </c>
      <c r="G9213" s="20" t="str">
        <f>IFERROR(__xludf.DUMMYFUNCTION("""COMPUTED_VALUE"""),"Uncle Sams Cider (04/04/2023)")</f>
        <v>Uncle Sams Cider (04/04/2023)</v>
      </c>
      <c r="H9213" s="19"/>
    </row>
    <row r="9214">
      <c r="A9214" s="9"/>
      <c r="B9214" s="15"/>
      <c r="C9214" s="9">
        <f>IFERROR(__xludf.DUMMYFUNCTION("""COMPUTED_VALUE"""),45047.5646232176)</f>
        <v>45047.56462</v>
      </c>
      <c r="D9214" s="15">
        <f>IFERROR(__xludf.DUMMYFUNCTION("""COMPUTED_VALUE"""),1.026)</f>
        <v>1.026</v>
      </c>
      <c r="E9214" s="16">
        <f>IFERROR(__xludf.DUMMYFUNCTION("""COMPUTED_VALUE"""),64.0)</f>
        <v>64</v>
      </c>
      <c r="F9214" s="19" t="str">
        <f>IFERROR(__xludf.DUMMYFUNCTION("""COMPUTED_VALUE"""),"BLACK")</f>
        <v>BLACK</v>
      </c>
      <c r="G9214" s="20" t="str">
        <f>IFERROR(__xludf.DUMMYFUNCTION("""COMPUTED_VALUE"""),"Uncle Sams Cider (04/04/2023)")</f>
        <v>Uncle Sams Cider (04/04/2023)</v>
      </c>
      <c r="H9214" s="19"/>
    </row>
    <row r="9215">
      <c r="A9215" s="9"/>
      <c r="B9215" s="15"/>
      <c r="C9215" s="9">
        <f>IFERROR(__xludf.DUMMYFUNCTION("""COMPUTED_VALUE"""),45047.5542007175)</f>
        <v>45047.5542</v>
      </c>
      <c r="D9215" s="15">
        <f>IFERROR(__xludf.DUMMYFUNCTION("""COMPUTED_VALUE"""),1.026)</f>
        <v>1.026</v>
      </c>
      <c r="E9215" s="16">
        <f>IFERROR(__xludf.DUMMYFUNCTION("""COMPUTED_VALUE"""),64.0)</f>
        <v>64</v>
      </c>
      <c r="F9215" s="19" t="str">
        <f>IFERROR(__xludf.DUMMYFUNCTION("""COMPUTED_VALUE"""),"BLACK")</f>
        <v>BLACK</v>
      </c>
      <c r="G9215" s="20" t="str">
        <f>IFERROR(__xludf.DUMMYFUNCTION("""COMPUTED_VALUE"""),"Uncle Sams Cider (04/04/2023)")</f>
        <v>Uncle Sams Cider (04/04/2023)</v>
      </c>
      <c r="H9215" s="19"/>
    </row>
    <row r="9216">
      <c r="A9216" s="9"/>
      <c r="B9216" s="15"/>
      <c r="C9216" s="9">
        <f>IFERROR(__xludf.DUMMYFUNCTION("""COMPUTED_VALUE"""),45047.5437813194)</f>
        <v>45047.54378</v>
      </c>
      <c r="D9216" s="15">
        <f>IFERROR(__xludf.DUMMYFUNCTION("""COMPUTED_VALUE"""),1.026)</f>
        <v>1.026</v>
      </c>
      <c r="E9216" s="16">
        <f>IFERROR(__xludf.DUMMYFUNCTION("""COMPUTED_VALUE"""),63.0)</f>
        <v>63</v>
      </c>
      <c r="F9216" s="19" t="str">
        <f>IFERROR(__xludf.DUMMYFUNCTION("""COMPUTED_VALUE"""),"BLACK")</f>
        <v>BLACK</v>
      </c>
      <c r="G9216" s="20" t="str">
        <f>IFERROR(__xludf.DUMMYFUNCTION("""COMPUTED_VALUE"""),"Uncle Sams Cider (04/04/2023)")</f>
        <v>Uncle Sams Cider (04/04/2023)</v>
      </c>
      <c r="H9216" s="19"/>
    </row>
    <row r="9217">
      <c r="A9217" s="9"/>
      <c r="B9217" s="15"/>
      <c r="C9217" s="9">
        <f>IFERROR(__xludf.DUMMYFUNCTION("""COMPUTED_VALUE"""),45047.5333610532)</f>
        <v>45047.53336</v>
      </c>
      <c r="D9217" s="15">
        <f>IFERROR(__xludf.DUMMYFUNCTION("""COMPUTED_VALUE"""),1.026)</f>
        <v>1.026</v>
      </c>
      <c r="E9217" s="16">
        <f>IFERROR(__xludf.DUMMYFUNCTION("""COMPUTED_VALUE"""),64.0)</f>
        <v>64</v>
      </c>
      <c r="F9217" s="19" t="str">
        <f>IFERROR(__xludf.DUMMYFUNCTION("""COMPUTED_VALUE"""),"BLACK")</f>
        <v>BLACK</v>
      </c>
      <c r="G9217" s="20" t="str">
        <f>IFERROR(__xludf.DUMMYFUNCTION("""COMPUTED_VALUE"""),"Uncle Sams Cider (04/04/2023)")</f>
        <v>Uncle Sams Cider (04/04/2023)</v>
      </c>
      <c r="H9217" s="19"/>
    </row>
    <row r="9218">
      <c r="A9218" s="9"/>
      <c r="B9218" s="15"/>
      <c r="C9218" s="9">
        <f>IFERROR(__xludf.DUMMYFUNCTION("""COMPUTED_VALUE"""),45047.5229167014)</f>
        <v>45047.52292</v>
      </c>
      <c r="D9218" s="15">
        <f>IFERROR(__xludf.DUMMYFUNCTION("""COMPUTED_VALUE"""),1.026)</f>
        <v>1.026</v>
      </c>
      <c r="E9218" s="16">
        <f>IFERROR(__xludf.DUMMYFUNCTION("""COMPUTED_VALUE"""),64.0)</f>
        <v>64</v>
      </c>
      <c r="F9218" s="19" t="str">
        <f>IFERROR(__xludf.DUMMYFUNCTION("""COMPUTED_VALUE"""),"BLACK")</f>
        <v>BLACK</v>
      </c>
      <c r="G9218" s="20" t="str">
        <f>IFERROR(__xludf.DUMMYFUNCTION("""COMPUTED_VALUE"""),"Uncle Sams Cider (04/04/2023)")</f>
        <v>Uncle Sams Cider (04/04/2023)</v>
      </c>
      <c r="H9218" s="19"/>
    </row>
    <row r="9219">
      <c r="A9219" s="9"/>
      <c r="B9219" s="15"/>
      <c r="C9219" s="9">
        <f>IFERROR(__xludf.DUMMYFUNCTION("""COMPUTED_VALUE"""),45047.5124839004)</f>
        <v>45047.51248</v>
      </c>
      <c r="D9219" s="15">
        <f>IFERROR(__xludf.DUMMYFUNCTION("""COMPUTED_VALUE"""),1.026)</f>
        <v>1.026</v>
      </c>
      <c r="E9219" s="16">
        <f>IFERROR(__xludf.DUMMYFUNCTION("""COMPUTED_VALUE"""),64.0)</f>
        <v>64</v>
      </c>
      <c r="F9219" s="19" t="str">
        <f>IFERROR(__xludf.DUMMYFUNCTION("""COMPUTED_VALUE"""),"BLACK")</f>
        <v>BLACK</v>
      </c>
      <c r="G9219" s="20" t="str">
        <f>IFERROR(__xludf.DUMMYFUNCTION("""COMPUTED_VALUE"""),"Uncle Sams Cider (04/04/2023)")</f>
        <v>Uncle Sams Cider (04/04/2023)</v>
      </c>
      <c r="H9219" s="19"/>
    </row>
    <row r="9220">
      <c r="A9220" s="9"/>
      <c r="B9220" s="15"/>
      <c r="C9220" s="9">
        <f>IFERROR(__xludf.DUMMYFUNCTION("""COMPUTED_VALUE"""),45047.5020626851)</f>
        <v>45047.50206</v>
      </c>
      <c r="D9220" s="15">
        <f>IFERROR(__xludf.DUMMYFUNCTION("""COMPUTED_VALUE"""),1.026)</f>
        <v>1.026</v>
      </c>
      <c r="E9220" s="16">
        <f>IFERROR(__xludf.DUMMYFUNCTION("""COMPUTED_VALUE"""),64.0)</f>
        <v>64</v>
      </c>
      <c r="F9220" s="19" t="str">
        <f>IFERROR(__xludf.DUMMYFUNCTION("""COMPUTED_VALUE"""),"BLACK")</f>
        <v>BLACK</v>
      </c>
      <c r="G9220" s="20" t="str">
        <f>IFERROR(__xludf.DUMMYFUNCTION("""COMPUTED_VALUE"""),"Uncle Sams Cider (04/04/2023)")</f>
        <v>Uncle Sams Cider (04/04/2023)</v>
      </c>
      <c r="H9220" s="19"/>
    </row>
    <row r="9221">
      <c r="A9221" s="9"/>
      <c r="B9221" s="15"/>
      <c r="C9221" s="9">
        <f>IFERROR(__xludf.DUMMYFUNCTION("""COMPUTED_VALUE"""),45047.4916298726)</f>
        <v>45047.49163</v>
      </c>
      <c r="D9221" s="15">
        <f>IFERROR(__xludf.DUMMYFUNCTION("""COMPUTED_VALUE"""),1.026)</f>
        <v>1.026</v>
      </c>
      <c r="E9221" s="16">
        <f>IFERROR(__xludf.DUMMYFUNCTION("""COMPUTED_VALUE"""),63.0)</f>
        <v>63</v>
      </c>
      <c r="F9221" s="19" t="str">
        <f>IFERROR(__xludf.DUMMYFUNCTION("""COMPUTED_VALUE"""),"BLACK")</f>
        <v>BLACK</v>
      </c>
      <c r="G9221" s="20" t="str">
        <f>IFERROR(__xludf.DUMMYFUNCTION("""COMPUTED_VALUE"""),"Uncle Sams Cider (04/04/2023)")</f>
        <v>Uncle Sams Cider (04/04/2023)</v>
      </c>
      <c r="H9221" s="19"/>
    </row>
    <row r="9222">
      <c r="A9222" s="9"/>
      <c r="B9222" s="15"/>
      <c r="C9222" s="9">
        <f>IFERROR(__xludf.DUMMYFUNCTION("""COMPUTED_VALUE"""),45047.4812087152)</f>
        <v>45047.48121</v>
      </c>
      <c r="D9222" s="15">
        <f>IFERROR(__xludf.DUMMYFUNCTION("""COMPUTED_VALUE"""),1.026)</f>
        <v>1.026</v>
      </c>
      <c r="E9222" s="16">
        <f>IFERROR(__xludf.DUMMYFUNCTION("""COMPUTED_VALUE"""),64.0)</f>
        <v>64</v>
      </c>
      <c r="F9222" s="19" t="str">
        <f>IFERROR(__xludf.DUMMYFUNCTION("""COMPUTED_VALUE"""),"BLACK")</f>
        <v>BLACK</v>
      </c>
      <c r="G9222" s="20" t="str">
        <f>IFERROR(__xludf.DUMMYFUNCTION("""COMPUTED_VALUE"""),"Uncle Sams Cider (04/04/2023)")</f>
        <v>Uncle Sams Cider (04/04/2023)</v>
      </c>
      <c r="H9222" s="19"/>
    </row>
    <row r="9223">
      <c r="A9223" s="9"/>
      <c r="B9223" s="15"/>
      <c r="C9223" s="9">
        <f>IFERROR(__xludf.DUMMYFUNCTION("""COMPUTED_VALUE"""),45047.4707868171)</f>
        <v>45047.47079</v>
      </c>
      <c r="D9223" s="15">
        <f>IFERROR(__xludf.DUMMYFUNCTION("""COMPUTED_VALUE"""),1.026)</f>
        <v>1.026</v>
      </c>
      <c r="E9223" s="16">
        <f>IFERROR(__xludf.DUMMYFUNCTION("""COMPUTED_VALUE"""),64.0)</f>
        <v>64</v>
      </c>
      <c r="F9223" s="19" t="str">
        <f>IFERROR(__xludf.DUMMYFUNCTION("""COMPUTED_VALUE"""),"BLACK")</f>
        <v>BLACK</v>
      </c>
      <c r="G9223" s="20" t="str">
        <f>IFERROR(__xludf.DUMMYFUNCTION("""COMPUTED_VALUE"""),"Uncle Sams Cider (04/04/2023)")</f>
        <v>Uncle Sams Cider (04/04/2023)</v>
      </c>
      <c r="H9223" s="19"/>
    </row>
    <row r="9224">
      <c r="A9224" s="9"/>
      <c r="B9224" s="15"/>
      <c r="C9224" s="9">
        <f>IFERROR(__xludf.DUMMYFUNCTION("""COMPUTED_VALUE"""),45047.4603649074)</f>
        <v>45047.46036</v>
      </c>
      <c r="D9224" s="15">
        <f>IFERROR(__xludf.DUMMYFUNCTION("""COMPUTED_VALUE"""),1.026)</f>
        <v>1.026</v>
      </c>
      <c r="E9224" s="16">
        <f>IFERROR(__xludf.DUMMYFUNCTION("""COMPUTED_VALUE"""),64.0)</f>
        <v>64</v>
      </c>
      <c r="F9224" s="19" t="str">
        <f>IFERROR(__xludf.DUMMYFUNCTION("""COMPUTED_VALUE"""),"BLACK")</f>
        <v>BLACK</v>
      </c>
      <c r="G9224" s="20" t="str">
        <f>IFERROR(__xludf.DUMMYFUNCTION("""COMPUTED_VALUE"""),"Uncle Sams Cider (04/04/2023)")</f>
        <v>Uncle Sams Cider (04/04/2023)</v>
      </c>
      <c r="H9224" s="19"/>
    </row>
    <row r="9225">
      <c r="A9225" s="9"/>
      <c r="B9225" s="15"/>
      <c r="C9225" s="9">
        <f>IFERROR(__xludf.DUMMYFUNCTION("""COMPUTED_VALUE"""),45047.4499432407)</f>
        <v>45047.44994</v>
      </c>
      <c r="D9225" s="15">
        <f>IFERROR(__xludf.DUMMYFUNCTION("""COMPUTED_VALUE"""),1.026)</f>
        <v>1.026</v>
      </c>
      <c r="E9225" s="16">
        <f>IFERROR(__xludf.DUMMYFUNCTION("""COMPUTED_VALUE"""),63.0)</f>
        <v>63</v>
      </c>
      <c r="F9225" s="19" t="str">
        <f>IFERROR(__xludf.DUMMYFUNCTION("""COMPUTED_VALUE"""),"BLACK")</f>
        <v>BLACK</v>
      </c>
      <c r="G9225" s="20" t="str">
        <f>IFERROR(__xludf.DUMMYFUNCTION("""COMPUTED_VALUE"""),"Uncle Sams Cider (04/04/2023)")</f>
        <v>Uncle Sams Cider (04/04/2023)</v>
      </c>
      <c r="H9225" s="19"/>
    </row>
    <row r="9226">
      <c r="A9226" s="9"/>
      <c r="B9226" s="15"/>
      <c r="C9226" s="9">
        <f>IFERROR(__xludf.DUMMYFUNCTION("""COMPUTED_VALUE"""),45047.4395214699)</f>
        <v>45047.43952</v>
      </c>
      <c r="D9226" s="15">
        <f>IFERROR(__xludf.DUMMYFUNCTION("""COMPUTED_VALUE"""),1.026)</f>
        <v>1.026</v>
      </c>
      <c r="E9226" s="16">
        <f>IFERROR(__xludf.DUMMYFUNCTION("""COMPUTED_VALUE"""),64.0)</f>
        <v>64</v>
      </c>
      <c r="F9226" s="19" t="str">
        <f>IFERROR(__xludf.DUMMYFUNCTION("""COMPUTED_VALUE"""),"BLACK")</f>
        <v>BLACK</v>
      </c>
      <c r="G9226" s="20" t="str">
        <f>IFERROR(__xludf.DUMMYFUNCTION("""COMPUTED_VALUE"""),"Uncle Sams Cider (04/04/2023)")</f>
        <v>Uncle Sams Cider (04/04/2023)</v>
      </c>
      <c r="H9226" s="19"/>
    </row>
    <row r="9227">
      <c r="A9227" s="9"/>
      <c r="B9227" s="15"/>
      <c r="C9227" s="9">
        <f>IFERROR(__xludf.DUMMYFUNCTION("""COMPUTED_VALUE"""),45047.429087824)</f>
        <v>45047.42909</v>
      </c>
      <c r="D9227" s="15">
        <f>IFERROR(__xludf.DUMMYFUNCTION("""COMPUTED_VALUE"""),1.026)</f>
        <v>1.026</v>
      </c>
      <c r="E9227" s="16">
        <f>IFERROR(__xludf.DUMMYFUNCTION("""COMPUTED_VALUE"""),64.0)</f>
        <v>64</v>
      </c>
      <c r="F9227" s="19" t="str">
        <f>IFERROR(__xludf.DUMMYFUNCTION("""COMPUTED_VALUE"""),"BLACK")</f>
        <v>BLACK</v>
      </c>
      <c r="G9227" s="20" t="str">
        <f>IFERROR(__xludf.DUMMYFUNCTION("""COMPUTED_VALUE"""),"Uncle Sams Cider (04/04/2023)")</f>
        <v>Uncle Sams Cider (04/04/2023)</v>
      </c>
      <c r="H9227" s="19"/>
    </row>
    <row r="9228">
      <c r="A9228" s="9"/>
      <c r="B9228" s="15"/>
      <c r="C9228" s="9">
        <f>IFERROR(__xludf.DUMMYFUNCTION("""COMPUTED_VALUE"""),45047.4186662847)</f>
        <v>45047.41867</v>
      </c>
      <c r="D9228" s="15">
        <f>IFERROR(__xludf.DUMMYFUNCTION("""COMPUTED_VALUE"""),1.026)</f>
        <v>1.026</v>
      </c>
      <c r="E9228" s="16">
        <f>IFERROR(__xludf.DUMMYFUNCTION("""COMPUTED_VALUE"""),64.0)</f>
        <v>64</v>
      </c>
      <c r="F9228" s="19" t="str">
        <f>IFERROR(__xludf.DUMMYFUNCTION("""COMPUTED_VALUE"""),"BLACK")</f>
        <v>BLACK</v>
      </c>
      <c r="G9228" s="20" t="str">
        <f>IFERROR(__xludf.DUMMYFUNCTION("""COMPUTED_VALUE"""),"Uncle Sams Cider (04/04/2023)")</f>
        <v>Uncle Sams Cider (04/04/2023)</v>
      </c>
      <c r="H9228" s="19"/>
    </row>
    <row r="9229">
      <c r="A9229" s="9"/>
      <c r="B9229" s="15"/>
      <c r="C9229" s="9">
        <f>IFERROR(__xludf.DUMMYFUNCTION("""COMPUTED_VALUE"""),45047.4082216898)</f>
        <v>45047.40822</v>
      </c>
      <c r="D9229" s="15">
        <f>IFERROR(__xludf.DUMMYFUNCTION("""COMPUTED_VALUE"""),1.026)</f>
        <v>1.026</v>
      </c>
      <c r="E9229" s="16">
        <f>IFERROR(__xludf.DUMMYFUNCTION("""COMPUTED_VALUE"""),64.0)</f>
        <v>64</v>
      </c>
      <c r="F9229" s="19" t="str">
        <f>IFERROR(__xludf.DUMMYFUNCTION("""COMPUTED_VALUE"""),"BLACK")</f>
        <v>BLACK</v>
      </c>
      <c r="G9229" s="20" t="str">
        <f>IFERROR(__xludf.DUMMYFUNCTION("""COMPUTED_VALUE"""),"Uncle Sams Cider (04/04/2023)")</f>
        <v>Uncle Sams Cider (04/04/2023)</v>
      </c>
      <c r="H9229" s="19"/>
    </row>
    <row r="9230">
      <c r="A9230" s="9"/>
      <c r="B9230" s="15"/>
      <c r="C9230" s="9">
        <f>IFERROR(__xludf.DUMMYFUNCTION("""COMPUTED_VALUE"""),45047.3978012152)</f>
        <v>45047.3978</v>
      </c>
      <c r="D9230" s="15">
        <f>IFERROR(__xludf.DUMMYFUNCTION("""COMPUTED_VALUE"""),1.026)</f>
        <v>1.026</v>
      </c>
      <c r="E9230" s="16">
        <f>IFERROR(__xludf.DUMMYFUNCTION("""COMPUTED_VALUE"""),64.0)</f>
        <v>64</v>
      </c>
      <c r="F9230" s="19" t="str">
        <f>IFERROR(__xludf.DUMMYFUNCTION("""COMPUTED_VALUE"""),"BLACK")</f>
        <v>BLACK</v>
      </c>
      <c r="G9230" s="20" t="str">
        <f>IFERROR(__xludf.DUMMYFUNCTION("""COMPUTED_VALUE"""),"Uncle Sams Cider (04/04/2023)")</f>
        <v>Uncle Sams Cider (04/04/2023)</v>
      </c>
      <c r="H9230" s="19"/>
    </row>
    <row r="9231">
      <c r="A9231" s="9"/>
      <c r="B9231" s="15"/>
      <c r="C9231" s="9">
        <f>IFERROR(__xludf.DUMMYFUNCTION("""COMPUTED_VALUE"""),45047.3873808449)</f>
        <v>45047.38738</v>
      </c>
      <c r="D9231" s="15">
        <f>IFERROR(__xludf.DUMMYFUNCTION("""COMPUTED_VALUE"""),1.026)</f>
        <v>1.026</v>
      </c>
      <c r="E9231" s="16">
        <f>IFERROR(__xludf.DUMMYFUNCTION("""COMPUTED_VALUE"""),64.0)</f>
        <v>64</v>
      </c>
      <c r="F9231" s="19" t="str">
        <f>IFERROR(__xludf.DUMMYFUNCTION("""COMPUTED_VALUE"""),"BLACK")</f>
        <v>BLACK</v>
      </c>
      <c r="G9231" s="20" t="str">
        <f>IFERROR(__xludf.DUMMYFUNCTION("""COMPUTED_VALUE"""),"Uncle Sams Cider (04/04/2023)")</f>
        <v>Uncle Sams Cider (04/04/2023)</v>
      </c>
      <c r="H9231" s="19"/>
    </row>
    <row r="9232">
      <c r="A9232" s="9"/>
      <c r="B9232" s="15"/>
      <c r="C9232" s="9">
        <f>IFERROR(__xludf.DUMMYFUNCTION("""COMPUTED_VALUE"""),45047.3769586805)</f>
        <v>45047.37696</v>
      </c>
      <c r="D9232" s="15">
        <f>IFERROR(__xludf.DUMMYFUNCTION("""COMPUTED_VALUE"""),1.026)</f>
        <v>1.026</v>
      </c>
      <c r="E9232" s="16">
        <f>IFERROR(__xludf.DUMMYFUNCTION("""COMPUTED_VALUE"""),64.0)</f>
        <v>64</v>
      </c>
      <c r="F9232" s="19" t="str">
        <f>IFERROR(__xludf.DUMMYFUNCTION("""COMPUTED_VALUE"""),"BLACK")</f>
        <v>BLACK</v>
      </c>
      <c r="G9232" s="20" t="str">
        <f>IFERROR(__xludf.DUMMYFUNCTION("""COMPUTED_VALUE"""),"Uncle Sams Cider (04/04/2023)")</f>
        <v>Uncle Sams Cider (04/04/2023)</v>
      </c>
      <c r="H9232" s="19"/>
    </row>
    <row r="9233">
      <c r="A9233" s="9"/>
      <c r="B9233" s="15"/>
      <c r="C9233" s="9">
        <f>IFERROR(__xludf.DUMMYFUNCTION("""COMPUTED_VALUE"""),45047.3665374768)</f>
        <v>45047.36654</v>
      </c>
      <c r="D9233" s="15">
        <f>IFERROR(__xludf.DUMMYFUNCTION("""COMPUTED_VALUE"""),1.026)</f>
        <v>1.026</v>
      </c>
      <c r="E9233" s="16">
        <f>IFERROR(__xludf.DUMMYFUNCTION("""COMPUTED_VALUE"""),64.0)</f>
        <v>64</v>
      </c>
      <c r="F9233" s="19" t="str">
        <f>IFERROR(__xludf.DUMMYFUNCTION("""COMPUTED_VALUE"""),"BLACK")</f>
        <v>BLACK</v>
      </c>
      <c r="G9233" s="20" t="str">
        <f>IFERROR(__xludf.DUMMYFUNCTION("""COMPUTED_VALUE"""),"Uncle Sams Cider (04/04/2023)")</f>
        <v>Uncle Sams Cider (04/04/2023)</v>
      </c>
      <c r="H9233" s="19"/>
    </row>
    <row r="9234">
      <c r="A9234" s="9"/>
      <c r="B9234" s="15"/>
      <c r="C9234" s="9">
        <f>IFERROR(__xludf.DUMMYFUNCTION("""COMPUTED_VALUE"""),45047.345683368)</f>
        <v>45047.34568</v>
      </c>
      <c r="D9234" s="15">
        <f>IFERROR(__xludf.DUMMYFUNCTION("""COMPUTED_VALUE"""),1.026)</f>
        <v>1.026</v>
      </c>
      <c r="E9234" s="16">
        <f>IFERROR(__xludf.DUMMYFUNCTION("""COMPUTED_VALUE"""),64.0)</f>
        <v>64</v>
      </c>
      <c r="F9234" s="19" t="str">
        <f>IFERROR(__xludf.DUMMYFUNCTION("""COMPUTED_VALUE"""),"BLACK")</f>
        <v>BLACK</v>
      </c>
      <c r="G9234" s="20" t="str">
        <f>IFERROR(__xludf.DUMMYFUNCTION("""COMPUTED_VALUE"""),"Uncle Sams Cider (04/04/2023)")</f>
        <v>Uncle Sams Cider (04/04/2023)</v>
      </c>
      <c r="H9234" s="19"/>
    </row>
    <row r="9235">
      <c r="A9235" s="9"/>
      <c r="B9235" s="15"/>
      <c r="C9235" s="9">
        <f>IFERROR(__xludf.DUMMYFUNCTION("""COMPUTED_VALUE"""),45047.3352627777)</f>
        <v>45047.33526</v>
      </c>
      <c r="D9235" s="15">
        <f>IFERROR(__xludf.DUMMYFUNCTION("""COMPUTED_VALUE"""),1.026)</f>
        <v>1.026</v>
      </c>
      <c r="E9235" s="16">
        <f>IFERROR(__xludf.DUMMYFUNCTION("""COMPUTED_VALUE"""),64.0)</f>
        <v>64</v>
      </c>
      <c r="F9235" s="19" t="str">
        <f>IFERROR(__xludf.DUMMYFUNCTION("""COMPUTED_VALUE"""),"BLACK")</f>
        <v>BLACK</v>
      </c>
      <c r="G9235" s="20" t="str">
        <f>IFERROR(__xludf.DUMMYFUNCTION("""COMPUTED_VALUE"""),"Uncle Sams Cider (04/04/2023)")</f>
        <v>Uncle Sams Cider (04/04/2023)</v>
      </c>
      <c r="H9235" s="19"/>
    </row>
    <row r="9236">
      <c r="A9236" s="9"/>
      <c r="B9236" s="15"/>
      <c r="C9236" s="9">
        <f>IFERROR(__xludf.DUMMYFUNCTION("""COMPUTED_VALUE"""),45047.3248300115)</f>
        <v>45047.32483</v>
      </c>
      <c r="D9236" s="15">
        <f>IFERROR(__xludf.DUMMYFUNCTION("""COMPUTED_VALUE"""),1.026)</f>
        <v>1.026</v>
      </c>
      <c r="E9236" s="16">
        <f>IFERROR(__xludf.DUMMYFUNCTION("""COMPUTED_VALUE"""),64.0)</f>
        <v>64</v>
      </c>
      <c r="F9236" s="19" t="str">
        <f>IFERROR(__xludf.DUMMYFUNCTION("""COMPUTED_VALUE"""),"BLACK")</f>
        <v>BLACK</v>
      </c>
      <c r="G9236" s="20" t="str">
        <f>IFERROR(__xludf.DUMMYFUNCTION("""COMPUTED_VALUE"""),"Uncle Sams Cider (04/04/2023)")</f>
        <v>Uncle Sams Cider (04/04/2023)</v>
      </c>
      <c r="H9236" s="19"/>
    </row>
    <row r="9237">
      <c r="A9237" s="9"/>
      <c r="B9237" s="15"/>
      <c r="C9237" s="9">
        <f>IFERROR(__xludf.DUMMYFUNCTION("""COMPUTED_VALUE"""),45047.3144074421)</f>
        <v>45047.31441</v>
      </c>
      <c r="D9237" s="15">
        <f>IFERROR(__xludf.DUMMYFUNCTION("""COMPUTED_VALUE"""),1.026)</f>
        <v>1.026</v>
      </c>
      <c r="E9237" s="16">
        <f>IFERROR(__xludf.DUMMYFUNCTION("""COMPUTED_VALUE"""),64.0)</f>
        <v>64</v>
      </c>
      <c r="F9237" s="19" t="str">
        <f>IFERROR(__xludf.DUMMYFUNCTION("""COMPUTED_VALUE"""),"BLACK")</f>
        <v>BLACK</v>
      </c>
      <c r="G9237" s="20" t="str">
        <f>IFERROR(__xludf.DUMMYFUNCTION("""COMPUTED_VALUE"""),"Uncle Sams Cider (04/04/2023)")</f>
        <v>Uncle Sams Cider (04/04/2023)</v>
      </c>
      <c r="H9237" s="19"/>
    </row>
    <row r="9238">
      <c r="A9238" s="9"/>
      <c r="B9238" s="15"/>
      <c r="C9238" s="9">
        <f>IFERROR(__xludf.DUMMYFUNCTION("""COMPUTED_VALUE"""),45047.3039851041)</f>
        <v>45047.30399</v>
      </c>
      <c r="D9238" s="15">
        <f>IFERROR(__xludf.DUMMYFUNCTION("""COMPUTED_VALUE"""),1.026)</f>
        <v>1.026</v>
      </c>
      <c r="E9238" s="16">
        <f>IFERROR(__xludf.DUMMYFUNCTION("""COMPUTED_VALUE"""),64.0)</f>
        <v>64</v>
      </c>
      <c r="F9238" s="19" t="str">
        <f>IFERROR(__xludf.DUMMYFUNCTION("""COMPUTED_VALUE"""),"BLACK")</f>
        <v>BLACK</v>
      </c>
      <c r="G9238" s="20" t="str">
        <f>IFERROR(__xludf.DUMMYFUNCTION("""COMPUTED_VALUE"""),"Uncle Sams Cider (04/04/2023)")</f>
        <v>Uncle Sams Cider (04/04/2023)</v>
      </c>
      <c r="H9238" s="19"/>
    </row>
    <row r="9239">
      <c r="A9239" s="9"/>
      <c r="B9239" s="15"/>
      <c r="C9239" s="9">
        <f>IFERROR(__xludf.DUMMYFUNCTION("""COMPUTED_VALUE"""),45047.2935642939)</f>
        <v>45047.29356</v>
      </c>
      <c r="D9239" s="15">
        <f>IFERROR(__xludf.DUMMYFUNCTION("""COMPUTED_VALUE"""),1.026)</f>
        <v>1.026</v>
      </c>
      <c r="E9239" s="16">
        <f>IFERROR(__xludf.DUMMYFUNCTION("""COMPUTED_VALUE"""),64.0)</f>
        <v>64</v>
      </c>
      <c r="F9239" s="19" t="str">
        <f>IFERROR(__xludf.DUMMYFUNCTION("""COMPUTED_VALUE"""),"BLACK")</f>
        <v>BLACK</v>
      </c>
      <c r="G9239" s="20" t="str">
        <f>IFERROR(__xludf.DUMMYFUNCTION("""COMPUTED_VALUE"""),"Uncle Sams Cider (04/04/2023)")</f>
        <v>Uncle Sams Cider (04/04/2023)</v>
      </c>
      <c r="H9239" s="19"/>
    </row>
    <row r="9240">
      <c r="A9240" s="9"/>
      <c r="B9240" s="15"/>
      <c r="C9240" s="9">
        <f>IFERROR(__xludf.DUMMYFUNCTION("""COMPUTED_VALUE"""),45047.2831201851)</f>
        <v>45047.28312</v>
      </c>
      <c r="D9240" s="15">
        <f>IFERROR(__xludf.DUMMYFUNCTION("""COMPUTED_VALUE"""),1.026)</f>
        <v>1.026</v>
      </c>
      <c r="E9240" s="16">
        <f>IFERROR(__xludf.DUMMYFUNCTION("""COMPUTED_VALUE"""),64.0)</f>
        <v>64</v>
      </c>
      <c r="F9240" s="19" t="str">
        <f>IFERROR(__xludf.DUMMYFUNCTION("""COMPUTED_VALUE"""),"BLACK")</f>
        <v>BLACK</v>
      </c>
      <c r="G9240" s="20" t="str">
        <f>IFERROR(__xludf.DUMMYFUNCTION("""COMPUTED_VALUE"""),"Uncle Sams Cider (04/04/2023)")</f>
        <v>Uncle Sams Cider (04/04/2023)</v>
      </c>
      <c r="H9240" s="19"/>
    </row>
    <row r="9241">
      <c r="A9241" s="9"/>
      <c r="B9241" s="15"/>
      <c r="C9241" s="9">
        <f>IFERROR(__xludf.DUMMYFUNCTION("""COMPUTED_VALUE"""),45047.2726529513)</f>
        <v>45047.27265</v>
      </c>
      <c r="D9241" s="15">
        <f>IFERROR(__xludf.DUMMYFUNCTION("""COMPUTED_VALUE"""),1.026)</f>
        <v>1.026</v>
      </c>
      <c r="E9241" s="16">
        <f>IFERROR(__xludf.DUMMYFUNCTION("""COMPUTED_VALUE"""),64.0)</f>
        <v>64</v>
      </c>
      <c r="F9241" s="19" t="str">
        <f>IFERROR(__xludf.DUMMYFUNCTION("""COMPUTED_VALUE"""),"BLACK")</f>
        <v>BLACK</v>
      </c>
      <c r="G9241" s="20" t="str">
        <f>IFERROR(__xludf.DUMMYFUNCTION("""COMPUTED_VALUE"""),"Uncle Sams Cider (04/04/2023)")</f>
        <v>Uncle Sams Cider (04/04/2023)</v>
      </c>
      <c r="H9241" s="19"/>
    </row>
    <row r="9242">
      <c r="A9242" s="9"/>
      <c r="B9242" s="15"/>
      <c r="C9242" s="9">
        <f>IFERROR(__xludf.DUMMYFUNCTION("""COMPUTED_VALUE"""),45047.2622074652)</f>
        <v>45047.26221</v>
      </c>
      <c r="D9242" s="15">
        <f>IFERROR(__xludf.DUMMYFUNCTION("""COMPUTED_VALUE"""),1.026)</f>
        <v>1.026</v>
      </c>
      <c r="E9242" s="16">
        <f>IFERROR(__xludf.DUMMYFUNCTION("""COMPUTED_VALUE"""),64.0)</f>
        <v>64</v>
      </c>
      <c r="F9242" s="19" t="str">
        <f>IFERROR(__xludf.DUMMYFUNCTION("""COMPUTED_VALUE"""),"BLACK")</f>
        <v>BLACK</v>
      </c>
      <c r="G9242" s="20" t="str">
        <f>IFERROR(__xludf.DUMMYFUNCTION("""COMPUTED_VALUE"""),"Uncle Sams Cider (04/04/2023)")</f>
        <v>Uncle Sams Cider (04/04/2023)</v>
      </c>
      <c r="H9242" s="19"/>
    </row>
    <row r="9243">
      <c r="A9243" s="9"/>
      <c r="B9243" s="15"/>
      <c r="C9243" s="9">
        <f>IFERROR(__xludf.DUMMYFUNCTION("""COMPUTED_VALUE"""),45047.2517748726)</f>
        <v>45047.25177</v>
      </c>
      <c r="D9243" s="15">
        <f>IFERROR(__xludf.DUMMYFUNCTION("""COMPUTED_VALUE"""),1.026)</f>
        <v>1.026</v>
      </c>
      <c r="E9243" s="16">
        <f>IFERROR(__xludf.DUMMYFUNCTION("""COMPUTED_VALUE"""),64.0)</f>
        <v>64</v>
      </c>
      <c r="F9243" s="19" t="str">
        <f>IFERROR(__xludf.DUMMYFUNCTION("""COMPUTED_VALUE"""),"BLACK")</f>
        <v>BLACK</v>
      </c>
      <c r="G9243" s="20" t="str">
        <f>IFERROR(__xludf.DUMMYFUNCTION("""COMPUTED_VALUE"""),"Uncle Sams Cider (04/04/2023)")</f>
        <v>Uncle Sams Cider (04/04/2023)</v>
      </c>
      <c r="H9243" s="19"/>
    </row>
    <row r="9244">
      <c r="A9244" s="9"/>
      <c r="B9244" s="15"/>
      <c r="C9244" s="9">
        <f>IFERROR(__xludf.DUMMYFUNCTION("""COMPUTED_VALUE"""),45047.2413543287)</f>
        <v>45047.24135</v>
      </c>
      <c r="D9244" s="15">
        <f>IFERROR(__xludf.DUMMYFUNCTION("""COMPUTED_VALUE"""),1.026)</f>
        <v>1.026</v>
      </c>
      <c r="E9244" s="16">
        <f>IFERROR(__xludf.DUMMYFUNCTION("""COMPUTED_VALUE"""),64.0)</f>
        <v>64</v>
      </c>
      <c r="F9244" s="19" t="str">
        <f>IFERROR(__xludf.DUMMYFUNCTION("""COMPUTED_VALUE"""),"BLACK")</f>
        <v>BLACK</v>
      </c>
      <c r="G9244" s="20" t="str">
        <f>IFERROR(__xludf.DUMMYFUNCTION("""COMPUTED_VALUE"""),"Uncle Sams Cider (04/04/2023)")</f>
        <v>Uncle Sams Cider (04/04/2023)</v>
      </c>
      <c r="H9244" s="19"/>
    </row>
    <row r="9245">
      <c r="A9245" s="9"/>
      <c r="B9245" s="15"/>
      <c r="C9245" s="9">
        <f>IFERROR(__xludf.DUMMYFUNCTION("""COMPUTED_VALUE"""),45047.2309335416)</f>
        <v>45047.23093</v>
      </c>
      <c r="D9245" s="15">
        <f>IFERROR(__xludf.DUMMYFUNCTION("""COMPUTED_VALUE"""),1.027)</f>
        <v>1.027</v>
      </c>
      <c r="E9245" s="16">
        <f>IFERROR(__xludf.DUMMYFUNCTION("""COMPUTED_VALUE"""),64.0)</f>
        <v>64</v>
      </c>
      <c r="F9245" s="19" t="str">
        <f>IFERROR(__xludf.DUMMYFUNCTION("""COMPUTED_VALUE"""),"BLACK")</f>
        <v>BLACK</v>
      </c>
      <c r="G9245" s="20" t="str">
        <f>IFERROR(__xludf.DUMMYFUNCTION("""COMPUTED_VALUE"""),"Uncle Sams Cider (04/04/2023)")</f>
        <v>Uncle Sams Cider (04/04/2023)</v>
      </c>
      <c r="H9245" s="19"/>
    </row>
    <row r="9246">
      <c r="A9246" s="9"/>
      <c r="B9246" s="15"/>
      <c r="C9246" s="9">
        <f>IFERROR(__xludf.DUMMYFUNCTION("""COMPUTED_VALUE"""),45047.2205136342)</f>
        <v>45047.22051</v>
      </c>
      <c r="D9246" s="15">
        <f>IFERROR(__xludf.DUMMYFUNCTION("""COMPUTED_VALUE"""),1.027)</f>
        <v>1.027</v>
      </c>
      <c r="E9246" s="16">
        <f>IFERROR(__xludf.DUMMYFUNCTION("""COMPUTED_VALUE"""),64.0)</f>
        <v>64</v>
      </c>
      <c r="F9246" s="19" t="str">
        <f>IFERROR(__xludf.DUMMYFUNCTION("""COMPUTED_VALUE"""),"BLACK")</f>
        <v>BLACK</v>
      </c>
      <c r="G9246" s="20" t="str">
        <f>IFERROR(__xludf.DUMMYFUNCTION("""COMPUTED_VALUE"""),"Uncle Sams Cider (04/04/2023)")</f>
        <v>Uncle Sams Cider (04/04/2023)</v>
      </c>
      <c r="H9246" s="19"/>
    </row>
    <row r="9247">
      <c r="A9247" s="9"/>
      <c r="B9247" s="15"/>
      <c r="C9247" s="9">
        <f>IFERROR(__xludf.DUMMYFUNCTION("""COMPUTED_VALUE"""),45047.2100689004)</f>
        <v>45047.21007</v>
      </c>
      <c r="D9247" s="15">
        <f>IFERROR(__xludf.DUMMYFUNCTION("""COMPUTED_VALUE"""),1.027)</f>
        <v>1.027</v>
      </c>
      <c r="E9247" s="16">
        <f>IFERROR(__xludf.DUMMYFUNCTION("""COMPUTED_VALUE"""),64.0)</f>
        <v>64</v>
      </c>
      <c r="F9247" s="19" t="str">
        <f>IFERROR(__xludf.DUMMYFUNCTION("""COMPUTED_VALUE"""),"BLACK")</f>
        <v>BLACK</v>
      </c>
      <c r="G9247" s="20" t="str">
        <f>IFERROR(__xludf.DUMMYFUNCTION("""COMPUTED_VALUE"""),"Uncle Sams Cider (04/04/2023)")</f>
        <v>Uncle Sams Cider (04/04/2023)</v>
      </c>
      <c r="H9247" s="19"/>
    </row>
    <row r="9248">
      <c r="A9248" s="9"/>
      <c r="B9248" s="15"/>
      <c r="C9248" s="9">
        <f>IFERROR(__xludf.DUMMYFUNCTION("""COMPUTED_VALUE"""),45047.1996002546)</f>
        <v>45047.1996</v>
      </c>
      <c r="D9248" s="15">
        <f>IFERROR(__xludf.DUMMYFUNCTION("""COMPUTED_VALUE"""),1.027)</f>
        <v>1.027</v>
      </c>
      <c r="E9248" s="16">
        <f>IFERROR(__xludf.DUMMYFUNCTION("""COMPUTED_VALUE"""),64.0)</f>
        <v>64</v>
      </c>
      <c r="F9248" s="19" t="str">
        <f>IFERROR(__xludf.DUMMYFUNCTION("""COMPUTED_VALUE"""),"BLACK")</f>
        <v>BLACK</v>
      </c>
      <c r="G9248" s="20" t="str">
        <f>IFERROR(__xludf.DUMMYFUNCTION("""COMPUTED_VALUE"""),"Uncle Sams Cider (04/04/2023)")</f>
        <v>Uncle Sams Cider (04/04/2023)</v>
      </c>
      <c r="H9248" s="19"/>
    </row>
    <row r="9249">
      <c r="A9249" s="9"/>
      <c r="B9249" s="15"/>
      <c r="C9249" s="9">
        <f>IFERROR(__xludf.DUMMYFUNCTION("""COMPUTED_VALUE"""),45047.1891555092)</f>
        <v>45047.18916</v>
      </c>
      <c r="D9249" s="15">
        <f>IFERROR(__xludf.DUMMYFUNCTION("""COMPUTED_VALUE"""),1.026)</f>
        <v>1.026</v>
      </c>
      <c r="E9249" s="16">
        <f>IFERROR(__xludf.DUMMYFUNCTION("""COMPUTED_VALUE"""),64.0)</f>
        <v>64</v>
      </c>
      <c r="F9249" s="19" t="str">
        <f>IFERROR(__xludf.DUMMYFUNCTION("""COMPUTED_VALUE"""),"BLACK")</f>
        <v>BLACK</v>
      </c>
      <c r="G9249" s="20" t="str">
        <f>IFERROR(__xludf.DUMMYFUNCTION("""COMPUTED_VALUE"""),"Uncle Sams Cider (04/04/2023)")</f>
        <v>Uncle Sams Cider (04/04/2023)</v>
      </c>
      <c r="H9249" s="19"/>
    </row>
    <row r="9250">
      <c r="A9250" s="9"/>
      <c r="B9250" s="15"/>
      <c r="C9250" s="9">
        <f>IFERROR(__xludf.DUMMYFUNCTION("""COMPUTED_VALUE"""),45047.1787340277)</f>
        <v>45047.17873</v>
      </c>
      <c r="D9250" s="15">
        <f>IFERROR(__xludf.DUMMYFUNCTION("""COMPUTED_VALUE"""),1.027)</f>
        <v>1.027</v>
      </c>
      <c r="E9250" s="16">
        <f>IFERROR(__xludf.DUMMYFUNCTION("""COMPUTED_VALUE"""),64.0)</f>
        <v>64</v>
      </c>
      <c r="F9250" s="19" t="str">
        <f>IFERROR(__xludf.DUMMYFUNCTION("""COMPUTED_VALUE"""),"BLACK")</f>
        <v>BLACK</v>
      </c>
      <c r="G9250" s="20" t="str">
        <f>IFERROR(__xludf.DUMMYFUNCTION("""COMPUTED_VALUE"""),"Uncle Sams Cider (04/04/2023)")</f>
        <v>Uncle Sams Cider (04/04/2023)</v>
      </c>
      <c r="H9250" s="19"/>
    </row>
    <row r="9251">
      <c r="A9251" s="9"/>
      <c r="B9251" s="15"/>
      <c r="C9251" s="9">
        <f>IFERROR(__xludf.DUMMYFUNCTION("""COMPUTED_VALUE"""),45047.168292199)</f>
        <v>45047.16829</v>
      </c>
      <c r="D9251" s="15">
        <f>IFERROR(__xludf.DUMMYFUNCTION("""COMPUTED_VALUE"""),1.026)</f>
        <v>1.026</v>
      </c>
      <c r="E9251" s="16">
        <f>IFERROR(__xludf.DUMMYFUNCTION("""COMPUTED_VALUE"""),64.0)</f>
        <v>64</v>
      </c>
      <c r="F9251" s="19" t="str">
        <f>IFERROR(__xludf.DUMMYFUNCTION("""COMPUTED_VALUE"""),"BLACK")</f>
        <v>BLACK</v>
      </c>
      <c r="G9251" s="20" t="str">
        <f>IFERROR(__xludf.DUMMYFUNCTION("""COMPUTED_VALUE"""),"Uncle Sams Cider (04/04/2023)")</f>
        <v>Uncle Sams Cider (04/04/2023)</v>
      </c>
      <c r="H9251" s="19"/>
    </row>
    <row r="9252">
      <c r="A9252" s="9"/>
      <c r="B9252" s="15"/>
      <c r="C9252" s="9">
        <f>IFERROR(__xludf.DUMMYFUNCTION("""COMPUTED_VALUE"""),45047.1578587152)</f>
        <v>45047.15786</v>
      </c>
      <c r="D9252" s="15">
        <f>IFERROR(__xludf.DUMMYFUNCTION("""COMPUTED_VALUE"""),1.026)</f>
        <v>1.026</v>
      </c>
      <c r="E9252" s="16">
        <f>IFERROR(__xludf.DUMMYFUNCTION("""COMPUTED_VALUE"""),64.0)</f>
        <v>64</v>
      </c>
      <c r="F9252" s="19" t="str">
        <f>IFERROR(__xludf.DUMMYFUNCTION("""COMPUTED_VALUE"""),"BLACK")</f>
        <v>BLACK</v>
      </c>
      <c r="G9252" s="20" t="str">
        <f>IFERROR(__xludf.DUMMYFUNCTION("""COMPUTED_VALUE"""),"Uncle Sams Cider (04/04/2023)")</f>
        <v>Uncle Sams Cider (04/04/2023)</v>
      </c>
      <c r="H9252" s="19"/>
    </row>
    <row r="9253">
      <c r="A9253" s="9"/>
      <c r="B9253" s="15"/>
      <c r="C9253" s="9">
        <f>IFERROR(__xludf.DUMMYFUNCTION("""COMPUTED_VALUE"""),45047.1474386226)</f>
        <v>45047.14744</v>
      </c>
      <c r="D9253" s="15">
        <f>IFERROR(__xludf.DUMMYFUNCTION("""COMPUTED_VALUE"""),1.027)</f>
        <v>1.027</v>
      </c>
      <c r="E9253" s="16">
        <f>IFERROR(__xludf.DUMMYFUNCTION("""COMPUTED_VALUE"""),64.0)</f>
        <v>64</v>
      </c>
      <c r="F9253" s="19" t="str">
        <f>IFERROR(__xludf.DUMMYFUNCTION("""COMPUTED_VALUE"""),"BLACK")</f>
        <v>BLACK</v>
      </c>
      <c r="G9253" s="20" t="str">
        <f>IFERROR(__xludf.DUMMYFUNCTION("""COMPUTED_VALUE"""),"Uncle Sams Cider (04/04/2023)")</f>
        <v>Uncle Sams Cider (04/04/2023)</v>
      </c>
      <c r="H9253" s="19"/>
    </row>
    <row r="9254">
      <c r="A9254" s="9"/>
      <c r="B9254" s="15"/>
      <c r="C9254" s="9">
        <f>IFERROR(__xludf.DUMMYFUNCTION("""COMPUTED_VALUE"""),45047.137018449)</f>
        <v>45047.13702</v>
      </c>
      <c r="D9254" s="15">
        <f>IFERROR(__xludf.DUMMYFUNCTION("""COMPUTED_VALUE"""),1.027)</f>
        <v>1.027</v>
      </c>
      <c r="E9254" s="16">
        <f>IFERROR(__xludf.DUMMYFUNCTION("""COMPUTED_VALUE"""),64.0)</f>
        <v>64</v>
      </c>
      <c r="F9254" s="19" t="str">
        <f>IFERROR(__xludf.DUMMYFUNCTION("""COMPUTED_VALUE"""),"BLACK")</f>
        <v>BLACK</v>
      </c>
      <c r="G9254" s="20" t="str">
        <f>IFERROR(__xludf.DUMMYFUNCTION("""COMPUTED_VALUE"""),"Uncle Sams Cider (04/04/2023)")</f>
        <v>Uncle Sams Cider (04/04/2023)</v>
      </c>
      <c r="H9254" s="19"/>
    </row>
    <row r="9255">
      <c r="A9255" s="9"/>
      <c r="B9255" s="15"/>
      <c r="C9255" s="9">
        <f>IFERROR(__xludf.DUMMYFUNCTION("""COMPUTED_VALUE"""),45047.1161636921)</f>
        <v>45047.11616</v>
      </c>
      <c r="D9255" s="15">
        <f>IFERROR(__xludf.DUMMYFUNCTION("""COMPUTED_VALUE"""),1.027)</f>
        <v>1.027</v>
      </c>
      <c r="E9255" s="16">
        <f>IFERROR(__xludf.DUMMYFUNCTION("""COMPUTED_VALUE"""),64.0)</f>
        <v>64</v>
      </c>
      <c r="F9255" s="19" t="str">
        <f>IFERROR(__xludf.DUMMYFUNCTION("""COMPUTED_VALUE"""),"BLACK")</f>
        <v>BLACK</v>
      </c>
      <c r="G9255" s="20" t="str">
        <f>IFERROR(__xludf.DUMMYFUNCTION("""COMPUTED_VALUE"""),"Uncle Sams Cider (04/04/2023)")</f>
        <v>Uncle Sams Cider (04/04/2023)</v>
      </c>
      <c r="H9255" s="19"/>
    </row>
    <row r="9256">
      <c r="A9256" s="9"/>
      <c r="B9256" s="15"/>
      <c r="C9256" s="9">
        <f>IFERROR(__xludf.DUMMYFUNCTION("""COMPUTED_VALUE"""),45047.1057325231)</f>
        <v>45047.10573</v>
      </c>
      <c r="D9256" s="15">
        <f>IFERROR(__xludf.DUMMYFUNCTION("""COMPUTED_VALUE"""),1.027)</f>
        <v>1.027</v>
      </c>
      <c r="E9256" s="16">
        <f>IFERROR(__xludf.DUMMYFUNCTION("""COMPUTED_VALUE"""),64.0)</f>
        <v>64</v>
      </c>
      <c r="F9256" s="19" t="str">
        <f>IFERROR(__xludf.DUMMYFUNCTION("""COMPUTED_VALUE"""),"BLACK")</f>
        <v>BLACK</v>
      </c>
      <c r="G9256" s="20" t="str">
        <f>IFERROR(__xludf.DUMMYFUNCTION("""COMPUTED_VALUE"""),"Uncle Sams Cider (04/04/2023)")</f>
        <v>Uncle Sams Cider (04/04/2023)</v>
      </c>
      <c r="H9256" s="19"/>
    </row>
    <row r="9257">
      <c r="A9257" s="9"/>
      <c r="B9257" s="15"/>
      <c r="C9257" s="9">
        <f>IFERROR(__xludf.DUMMYFUNCTION("""COMPUTED_VALUE"""),45047.0953112731)</f>
        <v>45047.09531</v>
      </c>
      <c r="D9257" s="15">
        <f>IFERROR(__xludf.DUMMYFUNCTION("""COMPUTED_VALUE"""),1.027)</f>
        <v>1.027</v>
      </c>
      <c r="E9257" s="16">
        <f>IFERROR(__xludf.DUMMYFUNCTION("""COMPUTED_VALUE"""),64.0)</f>
        <v>64</v>
      </c>
      <c r="F9257" s="19" t="str">
        <f>IFERROR(__xludf.DUMMYFUNCTION("""COMPUTED_VALUE"""),"BLACK")</f>
        <v>BLACK</v>
      </c>
      <c r="G9257" s="20" t="str">
        <f>IFERROR(__xludf.DUMMYFUNCTION("""COMPUTED_VALUE"""),"Uncle Sams Cider (04/04/2023)")</f>
        <v>Uncle Sams Cider (04/04/2023)</v>
      </c>
      <c r="H9257" s="19"/>
    </row>
    <row r="9258">
      <c r="A9258" s="9"/>
      <c r="B9258" s="15"/>
      <c r="C9258" s="9">
        <f>IFERROR(__xludf.DUMMYFUNCTION("""COMPUTED_VALUE"""),45047.0848810416)</f>
        <v>45047.08488</v>
      </c>
      <c r="D9258" s="15">
        <f>IFERROR(__xludf.DUMMYFUNCTION("""COMPUTED_VALUE"""),1.027)</f>
        <v>1.027</v>
      </c>
      <c r="E9258" s="16">
        <f>IFERROR(__xludf.DUMMYFUNCTION("""COMPUTED_VALUE"""),64.0)</f>
        <v>64</v>
      </c>
      <c r="F9258" s="19" t="str">
        <f>IFERROR(__xludf.DUMMYFUNCTION("""COMPUTED_VALUE"""),"BLACK")</f>
        <v>BLACK</v>
      </c>
      <c r="G9258" s="20" t="str">
        <f>IFERROR(__xludf.DUMMYFUNCTION("""COMPUTED_VALUE"""),"Uncle Sams Cider (04/04/2023)")</f>
        <v>Uncle Sams Cider (04/04/2023)</v>
      </c>
      <c r="H9258" s="19"/>
    </row>
    <row r="9259">
      <c r="A9259" s="9"/>
      <c r="B9259" s="15"/>
      <c r="C9259" s="9">
        <f>IFERROR(__xludf.DUMMYFUNCTION("""COMPUTED_VALUE"""),45047.0744476041)</f>
        <v>45047.07445</v>
      </c>
      <c r="D9259" s="15">
        <f>IFERROR(__xludf.DUMMYFUNCTION("""COMPUTED_VALUE"""),1.027)</f>
        <v>1.027</v>
      </c>
      <c r="E9259" s="16">
        <f>IFERROR(__xludf.DUMMYFUNCTION("""COMPUTED_VALUE"""),64.0)</f>
        <v>64</v>
      </c>
      <c r="F9259" s="19" t="str">
        <f>IFERROR(__xludf.DUMMYFUNCTION("""COMPUTED_VALUE"""),"BLACK")</f>
        <v>BLACK</v>
      </c>
      <c r="G9259" s="20" t="str">
        <f>IFERROR(__xludf.DUMMYFUNCTION("""COMPUTED_VALUE"""),"Uncle Sams Cider (04/04/2023)")</f>
        <v>Uncle Sams Cider (04/04/2023)</v>
      </c>
      <c r="H9259" s="19"/>
    </row>
    <row r="9260">
      <c r="A9260" s="9"/>
      <c r="B9260" s="15"/>
      <c r="C9260" s="9">
        <f>IFERROR(__xludf.DUMMYFUNCTION("""COMPUTED_VALUE"""),45047.0640278819)</f>
        <v>45047.06403</v>
      </c>
      <c r="D9260" s="15">
        <f>IFERROR(__xludf.DUMMYFUNCTION("""COMPUTED_VALUE"""),1.027)</f>
        <v>1.027</v>
      </c>
      <c r="E9260" s="16">
        <f>IFERROR(__xludf.DUMMYFUNCTION("""COMPUTED_VALUE"""),64.0)</f>
        <v>64</v>
      </c>
      <c r="F9260" s="19" t="str">
        <f>IFERROR(__xludf.DUMMYFUNCTION("""COMPUTED_VALUE"""),"BLACK")</f>
        <v>BLACK</v>
      </c>
      <c r="G9260" s="20" t="str">
        <f>IFERROR(__xludf.DUMMYFUNCTION("""COMPUTED_VALUE"""),"Uncle Sams Cider (04/04/2023)")</f>
        <v>Uncle Sams Cider (04/04/2023)</v>
      </c>
      <c r="H9260" s="19"/>
    </row>
    <row r="9261">
      <c r="A9261" s="9"/>
      <c r="B9261" s="15"/>
      <c r="C9261" s="9">
        <f>IFERROR(__xludf.DUMMYFUNCTION("""COMPUTED_VALUE"""),45047.0536064467)</f>
        <v>45047.05361</v>
      </c>
      <c r="D9261" s="15">
        <f>IFERROR(__xludf.DUMMYFUNCTION("""COMPUTED_VALUE"""),1.027)</f>
        <v>1.027</v>
      </c>
      <c r="E9261" s="16">
        <f>IFERROR(__xludf.DUMMYFUNCTION("""COMPUTED_VALUE"""),64.0)</f>
        <v>64</v>
      </c>
      <c r="F9261" s="19" t="str">
        <f>IFERROR(__xludf.DUMMYFUNCTION("""COMPUTED_VALUE"""),"BLACK")</f>
        <v>BLACK</v>
      </c>
      <c r="G9261" s="20" t="str">
        <f>IFERROR(__xludf.DUMMYFUNCTION("""COMPUTED_VALUE"""),"Uncle Sams Cider (04/04/2023)")</f>
        <v>Uncle Sams Cider (04/04/2023)</v>
      </c>
      <c r="H9261" s="19"/>
    </row>
    <row r="9262">
      <c r="A9262" s="9"/>
      <c r="B9262" s="15"/>
      <c r="C9262" s="9">
        <f>IFERROR(__xludf.DUMMYFUNCTION("""COMPUTED_VALUE"""),45047.0431484953)</f>
        <v>45047.04315</v>
      </c>
      <c r="D9262" s="15">
        <f>IFERROR(__xludf.DUMMYFUNCTION("""COMPUTED_VALUE"""),1.027)</f>
        <v>1.027</v>
      </c>
      <c r="E9262" s="16">
        <f>IFERROR(__xludf.DUMMYFUNCTION("""COMPUTED_VALUE"""),64.0)</f>
        <v>64</v>
      </c>
      <c r="F9262" s="19" t="str">
        <f>IFERROR(__xludf.DUMMYFUNCTION("""COMPUTED_VALUE"""),"BLACK")</f>
        <v>BLACK</v>
      </c>
      <c r="G9262" s="20" t="str">
        <f>IFERROR(__xludf.DUMMYFUNCTION("""COMPUTED_VALUE"""),"Uncle Sams Cider (04/04/2023)")</f>
        <v>Uncle Sams Cider (04/04/2023)</v>
      </c>
      <c r="H9262" s="19"/>
    </row>
    <row r="9263">
      <c r="A9263" s="9"/>
      <c r="B9263" s="15"/>
      <c r="C9263" s="9">
        <f>IFERROR(__xludf.DUMMYFUNCTION("""COMPUTED_VALUE"""),45047.0327269676)</f>
        <v>45047.03273</v>
      </c>
      <c r="D9263" s="15">
        <f>IFERROR(__xludf.DUMMYFUNCTION("""COMPUTED_VALUE"""),1.027)</f>
        <v>1.027</v>
      </c>
      <c r="E9263" s="16">
        <f>IFERROR(__xludf.DUMMYFUNCTION("""COMPUTED_VALUE"""),64.0)</f>
        <v>64</v>
      </c>
      <c r="F9263" s="19" t="str">
        <f>IFERROR(__xludf.DUMMYFUNCTION("""COMPUTED_VALUE"""),"BLACK")</f>
        <v>BLACK</v>
      </c>
      <c r="G9263" s="20" t="str">
        <f>IFERROR(__xludf.DUMMYFUNCTION("""COMPUTED_VALUE"""),"Uncle Sams Cider (04/04/2023)")</f>
        <v>Uncle Sams Cider (04/04/2023)</v>
      </c>
      <c r="H9263" s="19"/>
    </row>
    <row r="9264">
      <c r="A9264" s="9"/>
      <c r="B9264" s="15"/>
      <c r="C9264" s="9">
        <f>IFERROR(__xludf.DUMMYFUNCTION("""COMPUTED_VALUE"""),45047.0118480439)</f>
        <v>45047.01185</v>
      </c>
      <c r="D9264" s="15">
        <f>IFERROR(__xludf.DUMMYFUNCTION("""COMPUTED_VALUE"""),1.027)</f>
        <v>1.027</v>
      </c>
      <c r="E9264" s="16">
        <f>IFERROR(__xludf.DUMMYFUNCTION("""COMPUTED_VALUE"""),64.0)</f>
        <v>64</v>
      </c>
      <c r="F9264" s="19" t="str">
        <f>IFERROR(__xludf.DUMMYFUNCTION("""COMPUTED_VALUE"""),"BLACK")</f>
        <v>BLACK</v>
      </c>
      <c r="G9264" s="20" t="str">
        <f>IFERROR(__xludf.DUMMYFUNCTION("""COMPUTED_VALUE"""),"Uncle Sams Cider (04/04/2023)")</f>
        <v>Uncle Sams Cider (04/04/2023)</v>
      </c>
      <c r="H9264" s="19"/>
    </row>
    <row r="9265">
      <c r="A9265" s="9"/>
      <c r="B9265" s="15"/>
      <c r="C9265" s="9">
        <f>IFERROR(__xludf.DUMMYFUNCTION("""COMPUTED_VALUE"""),45047.0014157638)</f>
        <v>45047.00142</v>
      </c>
      <c r="D9265" s="15">
        <f>IFERROR(__xludf.DUMMYFUNCTION("""COMPUTED_VALUE"""),1.027)</f>
        <v>1.027</v>
      </c>
      <c r="E9265" s="16">
        <f>IFERROR(__xludf.DUMMYFUNCTION("""COMPUTED_VALUE"""),64.0)</f>
        <v>64</v>
      </c>
      <c r="F9265" s="19" t="str">
        <f>IFERROR(__xludf.DUMMYFUNCTION("""COMPUTED_VALUE"""),"BLACK")</f>
        <v>BLACK</v>
      </c>
      <c r="G9265" s="20" t="str">
        <f>IFERROR(__xludf.DUMMYFUNCTION("""COMPUTED_VALUE"""),"Uncle Sams Cider (04/04/2023)")</f>
        <v>Uncle Sams Cider (04/04/2023)</v>
      </c>
      <c r="H9265" s="19"/>
    </row>
    <row r="9266">
      <c r="A9266" s="9"/>
      <c r="B9266" s="15"/>
      <c r="C9266" s="9">
        <f>IFERROR(__xludf.DUMMYFUNCTION("""COMPUTED_VALUE"""),45046.9909957754)</f>
        <v>45046.991</v>
      </c>
      <c r="D9266" s="15">
        <f>IFERROR(__xludf.DUMMYFUNCTION("""COMPUTED_VALUE"""),1.027)</f>
        <v>1.027</v>
      </c>
      <c r="E9266" s="16">
        <f>IFERROR(__xludf.DUMMYFUNCTION("""COMPUTED_VALUE"""),63.0)</f>
        <v>63</v>
      </c>
      <c r="F9266" s="19" t="str">
        <f>IFERROR(__xludf.DUMMYFUNCTION("""COMPUTED_VALUE"""),"BLACK")</f>
        <v>BLACK</v>
      </c>
      <c r="G9266" s="20" t="str">
        <f>IFERROR(__xludf.DUMMYFUNCTION("""COMPUTED_VALUE"""),"Uncle Sams Cider (04/04/2023)")</f>
        <v>Uncle Sams Cider (04/04/2023)</v>
      </c>
      <c r="H9266" s="19"/>
    </row>
    <row r="9267">
      <c r="A9267" s="9"/>
      <c r="B9267" s="15"/>
      <c r="C9267" s="9">
        <f>IFERROR(__xludf.DUMMYFUNCTION("""COMPUTED_VALUE"""),45046.9805745254)</f>
        <v>45046.98057</v>
      </c>
      <c r="D9267" s="15">
        <f>IFERROR(__xludf.DUMMYFUNCTION("""COMPUTED_VALUE"""),1.027)</f>
        <v>1.027</v>
      </c>
      <c r="E9267" s="16">
        <f>IFERROR(__xludf.DUMMYFUNCTION("""COMPUTED_VALUE"""),64.0)</f>
        <v>64</v>
      </c>
      <c r="F9267" s="19" t="str">
        <f>IFERROR(__xludf.DUMMYFUNCTION("""COMPUTED_VALUE"""),"BLACK")</f>
        <v>BLACK</v>
      </c>
      <c r="G9267" s="20" t="str">
        <f>IFERROR(__xludf.DUMMYFUNCTION("""COMPUTED_VALUE"""),"Uncle Sams Cider (04/04/2023)")</f>
        <v>Uncle Sams Cider (04/04/2023)</v>
      </c>
      <c r="H9267" s="19"/>
    </row>
    <row r="9268">
      <c r="A9268" s="9"/>
      <c r="B9268" s="15"/>
      <c r="C9268" s="9">
        <f>IFERROR(__xludf.DUMMYFUNCTION("""COMPUTED_VALUE"""),45046.9701511342)</f>
        <v>45046.97015</v>
      </c>
      <c r="D9268" s="15">
        <f>IFERROR(__xludf.DUMMYFUNCTION("""COMPUTED_VALUE"""),1.027)</f>
        <v>1.027</v>
      </c>
      <c r="E9268" s="16">
        <f>IFERROR(__xludf.DUMMYFUNCTION("""COMPUTED_VALUE"""),64.0)</f>
        <v>64</v>
      </c>
      <c r="F9268" s="19" t="str">
        <f>IFERROR(__xludf.DUMMYFUNCTION("""COMPUTED_VALUE"""),"BLACK")</f>
        <v>BLACK</v>
      </c>
      <c r="G9268" s="20" t="str">
        <f>IFERROR(__xludf.DUMMYFUNCTION("""COMPUTED_VALUE"""),"Uncle Sams Cider (04/04/2023)")</f>
        <v>Uncle Sams Cider (04/04/2023)</v>
      </c>
      <c r="H9268" s="19"/>
    </row>
    <row r="9269">
      <c r="A9269" s="9"/>
      <c r="B9269" s="15"/>
      <c r="C9269" s="9">
        <f>IFERROR(__xludf.DUMMYFUNCTION("""COMPUTED_VALUE"""),45046.9597301967)</f>
        <v>45046.95973</v>
      </c>
      <c r="D9269" s="15">
        <f>IFERROR(__xludf.DUMMYFUNCTION("""COMPUTED_VALUE"""),1.027)</f>
        <v>1.027</v>
      </c>
      <c r="E9269" s="16">
        <f>IFERROR(__xludf.DUMMYFUNCTION("""COMPUTED_VALUE"""),64.0)</f>
        <v>64</v>
      </c>
      <c r="F9269" s="19" t="str">
        <f>IFERROR(__xludf.DUMMYFUNCTION("""COMPUTED_VALUE"""),"BLACK")</f>
        <v>BLACK</v>
      </c>
      <c r="G9269" s="20" t="str">
        <f>IFERROR(__xludf.DUMMYFUNCTION("""COMPUTED_VALUE"""),"Uncle Sams Cider (04/04/2023)")</f>
        <v>Uncle Sams Cider (04/04/2023)</v>
      </c>
      <c r="H9269" s="19"/>
    </row>
    <row r="9270">
      <c r="A9270" s="9"/>
      <c r="B9270" s="15"/>
      <c r="C9270" s="9">
        <f>IFERROR(__xludf.DUMMYFUNCTION("""COMPUTED_VALUE"""),45046.9493084953)</f>
        <v>45046.94931</v>
      </c>
      <c r="D9270" s="15">
        <f>IFERROR(__xludf.DUMMYFUNCTION("""COMPUTED_VALUE"""),1.027)</f>
        <v>1.027</v>
      </c>
      <c r="E9270" s="16">
        <f>IFERROR(__xludf.DUMMYFUNCTION("""COMPUTED_VALUE"""),64.0)</f>
        <v>64</v>
      </c>
      <c r="F9270" s="19" t="str">
        <f>IFERROR(__xludf.DUMMYFUNCTION("""COMPUTED_VALUE"""),"BLACK")</f>
        <v>BLACK</v>
      </c>
      <c r="G9270" s="20" t="str">
        <f>IFERROR(__xludf.DUMMYFUNCTION("""COMPUTED_VALUE"""),"Uncle Sams Cider (04/04/2023)")</f>
        <v>Uncle Sams Cider (04/04/2023)</v>
      </c>
      <c r="H9270" s="19"/>
    </row>
    <row r="9271">
      <c r="A9271" s="9"/>
      <c r="B9271" s="15"/>
      <c r="C9271" s="9">
        <f>IFERROR(__xludf.DUMMYFUNCTION("""COMPUTED_VALUE"""),45046.9388889583)</f>
        <v>45046.93889</v>
      </c>
      <c r="D9271" s="15">
        <f>IFERROR(__xludf.DUMMYFUNCTION("""COMPUTED_VALUE"""),1.027)</f>
        <v>1.027</v>
      </c>
      <c r="E9271" s="16">
        <f>IFERROR(__xludf.DUMMYFUNCTION("""COMPUTED_VALUE"""),64.0)</f>
        <v>64</v>
      </c>
      <c r="F9271" s="19" t="str">
        <f>IFERROR(__xludf.DUMMYFUNCTION("""COMPUTED_VALUE"""),"BLACK")</f>
        <v>BLACK</v>
      </c>
      <c r="G9271" s="20" t="str">
        <f>IFERROR(__xludf.DUMMYFUNCTION("""COMPUTED_VALUE"""),"Uncle Sams Cider (04/04/2023)")</f>
        <v>Uncle Sams Cider (04/04/2023)</v>
      </c>
      <c r="H9271" s="19"/>
    </row>
    <row r="9272">
      <c r="A9272" s="9"/>
      <c r="B9272" s="15"/>
      <c r="C9272" s="9">
        <f>IFERROR(__xludf.DUMMYFUNCTION("""COMPUTED_VALUE"""),45046.9284662963)</f>
        <v>45046.92847</v>
      </c>
      <c r="D9272" s="15">
        <f>IFERROR(__xludf.DUMMYFUNCTION("""COMPUTED_VALUE"""),1.027)</f>
        <v>1.027</v>
      </c>
      <c r="E9272" s="16">
        <f>IFERROR(__xludf.DUMMYFUNCTION("""COMPUTED_VALUE"""),64.0)</f>
        <v>64</v>
      </c>
      <c r="F9272" s="19" t="str">
        <f>IFERROR(__xludf.DUMMYFUNCTION("""COMPUTED_VALUE"""),"BLACK")</f>
        <v>BLACK</v>
      </c>
      <c r="G9272" s="20" t="str">
        <f>IFERROR(__xludf.DUMMYFUNCTION("""COMPUTED_VALUE"""),"Uncle Sams Cider (04/04/2023)")</f>
        <v>Uncle Sams Cider (04/04/2023)</v>
      </c>
      <c r="H9272" s="19"/>
    </row>
    <row r="9273">
      <c r="A9273" s="9"/>
      <c r="B9273" s="15"/>
      <c r="C9273" s="9">
        <f>IFERROR(__xludf.DUMMYFUNCTION("""COMPUTED_VALUE"""),45046.9180448842)</f>
        <v>45046.91804</v>
      </c>
      <c r="D9273" s="15">
        <f>IFERROR(__xludf.DUMMYFUNCTION("""COMPUTED_VALUE"""),1.027)</f>
        <v>1.027</v>
      </c>
      <c r="E9273" s="16">
        <f>IFERROR(__xludf.DUMMYFUNCTION("""COMPUTED_VALUE"""),64.0)</f>
        <v>64</v>
      </c>
      <c r="F9273" s="19" t="str">
        <f>IFERROR(__xludf.DUMMYFUNCTION("""COMPUTED_VALUE"""),"BLACK")</f>
        <v>BLACK</v>
      </c>
      <c r="G9273" s="20" t="str">
        <f>IFERROR(__xludf.DUMMYFUNCTION("""COMPUTED_VALUE"""),"Uncle Sams Cider (04/04/2023)")</f>
        <v>Uncle Sams Cider (04/04/2023)</v>
      </c>
      <c r="H9273" s="19"/>
    </row>
    <row r="9274">
      <c r="A9274" s="9"/>
      <c r="B9274" s="15"/>
      <c r="C9274" s="9">
        <f>IFERROR(__xludf.DUMMYFUNCTION("""COMPUTED_VALUE"""),45046.9076239351)</f>
        <v>45046.90762</v>
      </c>
      <c r="D9274" s="15">
        <f>IFERROR(__xludf.DUMMYFUNCTION("""COMPUTED_VALUE"""),1.027)</f>
        <v>1.027</v>
      </c>
      <c r="E9274" s="16">
        <f>IFERROR(__xludf.DUMMYFUNCTION("""COMPUTED_VALUE"""),64.0)</f>
        <v>64</v>
      </c>
      <c r="F9274" s="19" t="str">
        <f>IFERROR(__xludf.DUMMYFUNCTION("""COMPUTED_VALUE"""),"BLACK")</f>
        <v>BLACK</v>
      </c>
      <c r="G9274" s="20" t="str">
        <f>IFERROR(__xludf.DUMMYFUNCTION("""COMPUTED_VALUE"""),"Uncle Sams Cider (04/04/2023)")</f>
        <v>Uncle Sams Cider (04/04/2023)</v>
      </c>
      <c r="H9274" s="19"/>
    </row>
    <row r="9275">
      <c r="A9275" s="9"/>
      <c r="B9275" s="15"/>
      <c r="C9275" s="9">
        <f>IFERROR(__xludf.DUMMYFUNCTION("""COMPUTED_VALUE"""),45046.8971781481)</f>
        <v>45046.89718</v>
      </c>
      <c r="D9275" s="15">
        <f>IFERROR(__xludf.DUMMYFUNCTION("""COMPUTED_VALUE"""),1.027)</f>
        <v>1.027</v>
      </c>
      <c r="E9275" s="16">
        <f>IFERROR(__xludf.DUMMYFUNCTION("""COMPUTED_VALUE"""),64.0)</f>
        <v>64</v>
      </c>
      <c r="F9275" s="19" t="str">
        <f>IFERROR(__xludf.DUMMYFUNCTION("""COMPUTED_VALUE"""),"BLACK")</f>
        <v>BLACK</v>
      </c>
      <c r="G9275" s="20" t="str">
        <f>IFERROR(__xludf.DUMMYFUNCTION("""COMPUTED_VALUE"""),"Uncle Sams Cider (04/04/2023)")</f>
        <v>Uncle Sams Cider (04/04/2023)</v>
      </c>
      <c r="H9275" s="19"/>
    </row>
    <row r="9276">
      <c r="A9276" s="9"/>
      <c r="B9276" s="15"/>
      <c r="C9276" s="9">
        <f>IFERROR(__xludf.DUMMYFUNCTION("""COMPUTED_VALUE"""),45046.8867554629)</f>
        <v>45046.88676</v>
      </c>
      <c r="D9276" s="15">
        <f>IFERROR(__xludf.DUMMYFUNCTION("""COMPUTED_VALUE"""),1.027)</f>
        <v>1.027</v>
      </c>
      <c r="E9276" s="16">
        <f>IFERROR(__xludf.DUMMYFUNCTION("""COMPUTED_VALUE"""),64.0)</f>
        <v>64</v>
      </c>
      <c r="F9276" s="19" t="str">
        <f>IFERROR(__xludf.DUMMYFUNCTION("""COMPUTED_VALUE"""),"BLACK")</f>
        <v>BLACK</v>
      </c>
      <c r="G9276" s="20" t="str">
        <f>IFERROR(__xludf.DUMMYFUNCTION("""COMPUTED_VALUE"""),"Uncle Sams Cider (04/04/2023)")</f>
        <v>Uncle Sams Cider (04/04/2023)</v>
      </c>
      <c r="H9276" s="19"/>
    </row>
    <row r="9277">
      <c r="A9277" s="9"/>
      <c r="B9277" s="15"/>
      <c r="C9277" s="9">
        <f>IFERROR(__xludf.DUMMYFUNCTION("""COMPUTED_VALUE"""),45046.8763339699)</f>
        <v>45046.87633</v>
      </c>
      <c r="D9277" s="15">
        <f>IFERROR(__xludf.DUMMYFUNCTION("""COMPUTED_VALUE"""),1.027)</f>
        <v>1.027</v>
      </c>
      <c r="E9277" s="16">
        <f>IFERROR(__xludf.DUMMYFUNCTION("""COMPUTED_VALUE"""),64.0)</f>
        <v>64</v>
      </c>
      <c r="F9277" s="19" t="str">
        <f>IFERROR(__xludf.DUMMYFUNCTION("""COMPUTED_VALUE"""),"BLACK")</f>
        <v>BLACK</v>
      </c>
      <c r="G9277" s="20" t="str">
        <f>IFERROR(__xludf.DUMMYFUNCTION("""COMPUTED_VALUE"""),"Uncle Sams Cider (04/04/2023)")</f>
        <v>Uncle Sams Cider (04/04/2023)</v>
      </c>
      <c r="H9277" s="19"/>
    </row>
    <row r="9278">
      <c r="A9278" s="9"/>
      <c r="B9278" s="15"/>
      <c r="C9278" s="9">
        <f>IFERROR(__xludf.DUMMYFUNCTION("""COMPUTED_VALUE"""),45046.8658772453)</f>
        <v>45046.86588</v>
      </c>
      <c r="D9278" s="15">
        <f>IFERROR(__xludf.DUMMYFUNCTION("""COMPUTED_VALUE"""),1.027)</f>
        <v>1.027</v>
      </c>
      <c r="E9278" s="16">
        <f>IFERROR(__xludf.DUMMYFUNCTION("""COMPUTED_VALUE"""),64.0)</f>
        <v>64</v>
      </c>
      <c r="F9278" s="19" t="str">
        <f>IFERROR(__xludf.DUMMYFUNCTION("""COMPUTED_VALUE"""),"BLACK")</f>
        <v>BLACK</v>
      </c>
      <c r="G9278" s="20" t="str">
        <f>IFERROR(__xludf.DUMMYFUNCTION("""COMPUTED_VALUE"""),"Uncle Sams Cider (04/04/2023)")</f>
        <v>Uncle Sams Cider (04/04/2023)</v>
      </c>
      <c r="H9278" s="19"/>
    </row>
    <row r="9279">
      <c r="A9279" s="9"/>
      <c r="B9279" s="15"/>
      <c r="C9279" s="9">
        <f>IFERROR(__xludf.DUMMYFUNCTION("""COMPUTED_VALUE"""),45046.855455405)</f>
        <v>45046.85546</v>
      </c>
      <c r="D9279" s="15">
        <f>IFERROR(__xludf.DUMMYFUNCTION("""COMPUTED_VALUE"""),1.027)</f>
        <v>1.027</v>
      </c>
      <c r="E9279" s="16">
        <f>IFERROR(__xludf.DUMMYFUNCTION("""COMPUTED_VALUE"""),63.0)</f>
        <v>63</v>
      </c>
      <c r="F9279" s="19" t="str">
        <f>IFERROR(__xludf.DUMMYFUNCTION("""COMPUTED_VALUE"""),"BLACK")</f>
        <v>BLACK</v>
      </c>
      <c r="G9279" s="20" t="str">
        <f>IFERROR(__xludf.DUMMYFUNCTION("""COMPUTED_VALUE"""),"Uncle Sams Cider (04/04/2023)")</f>
        <v>Uncle Sams Cider (04/04/2023)</v>
      </c>
      <c r="H9279" s="19"/>
    </row>
    <row r="9280">
      <c r="A9280" s="9"/>
      <c r="B9280" s="15"/>
      <c r="C9280" s="9">
        <f>IFERROR(__xludf.DUMMYFUNCTION("""COMPUTED_VALUE"""),45046.8450352546)</f>
        <v>45046.84504</v>
      </c>
      <c r="D9280" s="15">
        <f>IFERROR(__xludf.DUMMYFUNCTION("""COMPUTED_VALUE"""),1.027)</f>
        <v>1.027</v>
      </c>
      <c r="E9280" s="16">
        <f>IFERROR(__xludf.DUMMYFUNCTION("""COMPUTED_VALUE"""),64.0)</f>
        <v>64</v>
      </c>
      <c r="F9280" s="19" t="str">
        <f>IFERROR(__xludf.DUMMYFUNCTION("""COMPUTED_VALUE"""),"BLACK")</f>
        <v>BLACK</v>
      </c>
      <c r="G9280" s="20" t="str">
        <f>IFERROR(__xludf.DUMMYFUNCTION("""COMPUTED_VALUE"""),"Uncle Sams Cider (04/04/2023)")</f>
        <v>Uncle Sams Cider (04/04/2023)</v>
      </c>
      <c r="H9280" s="19"/>
    </row>
    <row r="9281">
      <c r="A9281" s="9"/>
      <c r="B9281" s="15"/>
      <c r="C9281" s="9">
        <f>IFERROR(__xludf.DUMMYFUNCTION("""COMPUTED_VALUE"""),45046.8346137152)</f>
        <v>45046.83461</v>
      </c>
      <c r="D9281" s="15">
        <f>IFERROR(__xludf.DUMMYFUNCTION("""COMPUTED_VALUE"""),1.027)</f>
        <v>1.027</v>
      </c>
      <c r="E9281" s="16">
        <f>IFERROR(__xludf.DUMMYFUNCTION("""COMPUTED_VALUE"""),64.0)</f>
        <v>64</v>
      </c>
      <c r="F9281" s="19" t="str">
        <f>IFERROR(__xludf.DUMMYFUNCTION("""COMPUTED_VALUE"""),"BLACK")</f>
        <v>BLACK</v>
      </c>
      <c r="G9281" s="20" t="str">
        <f>IFERROR(__xludf.DUMMYFUNCTION("""COMPUTED_VALUE"""),"Uncle Sams Cider (04/04/2023)")</f>
        <v>Uncle Sams Cider (04/04/2023)</v>
      </c>
      <c r="H9281" s="19"/>
    </row>
    <row r="9282">
      <c r="A9282" s="9"/>
      <c r="B9282" s="15"/>
      <c r="C9282" s="9">
        <f>IFERROR(__xludf.DUMMYFUNCTION("""COMPUTED_VALUE"""),45046.8241924537)</f>
        <v>45046.82419</v>
      </c>
      <c r="D9282" s="15">
        <f>IFERROR(__xludf.DUMMYFUNCTION("""COMPUTED_VALUE"""),1.027)</f>
        <v>1.027</v>
      </c>
      <c r="E9282" s="16">
        <f>IFERROR(__xludf.DUMMYFUNCTION("""COMPUTED_VALUE"""),64.0)</f>
        <v>64</v>
      </c>
      <c r="F9282" s="19" t="str">
        <f>IFERROR(__xludf.DUMMYFUNCTION("""COMPUTED_VALUE"""),"BLACK")</f>
        <v>BLACK</v>
      </c>
      <c r="G9282" s="20" t="str">
        <f>IFERROR(__xludf.DUMMYFUNCTION("""COMPUTED_VALUE"""),"Uncle Sams Cider (04/04/2023)")</f>
        <v>Uncle Sams Cider (04/04/2023)</v>
      </c>
      <c r="H9282" s="19"/>
    </row>
    <row r="9283">
      <c r="A9283" s="9"/>
      <c r="B9283" s="15"/>
      <c r="C9283" s="9">
        <f>IFERROR(__xludf.DUMMYFUNCTION("""COMPUTED_VALUE"""),45046.8137710879)</f>
        <v>45046.81377</v>
      </c>
      <c r="D9283" s="15">
        <f>IFERROR(__xludf.DUMMYFUNCTION("""COMPUTED_VALUE"""),1.027)</f>
        <v>1.027</v>
      </c>
      <c r="E9283" s="16">
        <f>IFERROR(__xludf.DUMMYFUNCTION("""COMPUTED_VALUE"""),63.0)</f>
        <v>63</v>
      </c>
      <c r="F9283" s="19" t="str">
        <f>IFERROR(__xludf.DUMMYFUNCTION("""COMPUTED_VALUE"""),"BLACK")</f>
        <v>BLACK</v>
      </c>
      <c r="G9283" s="20" t="str">
        <f>IFERROR(__xludf.DUMMYFUNCTION("""COMPUTED_VALUE"""),"Uncle Sams Cider (04/04/2023)")</f>
        <v>Uncle Sams Cider (04/04/2023)</v>
      </c>
      <c r="H9283" s="19"/>
    </row>
    <row r="9284">
      <c r="A9284" s="9"/>
      <c r="B9284" s="15"/>
      <c r="C9284" s="9">
        <f>IFERROR(__xludf.DUMMYFUNCTION("""COMPUTED_VALUE"""),45046.8033148611)</f>
        <v>45046.80331</v>
      </c>
      <c r="D9284" s="15">
        <f>IFERROR(__xludf.DUMMYFUNCTION("""COMPUTED_VALUE"""),1.027)</f>
        <v>1.027</v>
      </c>
      <c r="E9284" s="16">
        <f>IFERROR(__xludf.DUMMYFUNCTION("""COMPUTED_VALUE"""),64.0)</f>
        <v>64</v>
      </c>
      <c r="F9284" s="19" t="str">
        <f>IFERROR(__xludf.DUMMYFUNCTION("""COMPUTED_VALUE"""),"BLACK")</f>
        <v>BLACK</v>
      </c>
      <c r="G9284" s="20" t="str">
        <f>IFERROR(__xludf.DUMMYFUNCTION("""COMPUTED_VALUE"""),"Uncle Sams Cider (04/04/2023)")</f>
        <v>Uncle Sams Cider (04/04/2023)</v>
      </c>
      <c r="H9284" s="19"/>
    </row>
    <row r="9285">
      <c r="A9285" s="9"/>
      <c r="B9285" s="15"/>
      <c r="C9285" s="9">
        <f>IFERROR(__xludf.DUMMYFUNCTION("""COMPUTED_VALUE"""),45046.7928928356)</f>
        <v>45046.79289</v>
      </c>
      <c r="D9285" s="15">
        <f>IFERROR(__xludf.DUMMYFUNCTION("""COMPUTED_VALUE"""),1.027)</f>
        <v>1.027</v>
      </c>
      <c r="E9285" s="16">
        <f>IFERROR(__xludf.DUMMYFUNCTION("""COMPUTED_VALUE"""),63.0)</f>
        <v>63</v>
      </c>
      <c r="F9285" s="19" t="str">
        <f>IFERROR(__xludf.DUMMYFUNCTION("""COMPUTED_VALUE"""),"BLACK")</f>
        <v>BLACK</v>
      </c>
      <c r="G9285" s="20" t="str">
        <f>IFERROR(__xludf.DUMMYFUNCTION("""COMPUTED_VALUE"""),"Uncle Sams Cider (04/04/2023)")</f>
        <v>Uncle Sams Cider (04/04/2023)</v>
      </c>
      <c r="H9285" s="19"/>
    </row>
    <row r="9286">
      <c r="A9286" s="9"/>
      <c r="B9286" s="15"/>
      <c r="C9286" s="9">
        <f>IFERROR(__xludf.DUMMYFUNCTION("""COMPUTED_VALUE"""),45046.7824376388)</f>
        <v>45046.78244</v>
      </c>
      <c r="D9286" s="15">
        <f>IFERROR(__xludf.DUMMYFUNCTION("""COMPUTED_VALUE"""),1.027)</f>
        <v>1.027</v>
      </c>
      <c r="E9286" s="16">
        <f>IFERROR(__xludf.DUMMYFUNCTION("""COMPUTED_VALUE"""),64.0)</f>
        <v>64</v>
      </c>
      <c r="F9286" s="19" t="str">
        <f>IFERROR(__xludf.DUMMYFUNCTION("""COMPUTED_VALUE"""),"BLACK")</f>
        <v>BLACK</v>
      </c>
      <c r="G9286" s="20" t="str">
        <f>IFERROR(__xludf.DUMMYFUNCTION("""COMPUTED_VALUE"""),"Uncle Sams Cider (04/04/2023)")</f>
        <v>Uncle Sams Cider (04/04/2023)</v>
      </c>
      <c r="H9286" s="19"/>
    </row>
    <row r="9287">
      <c r="A9287" s="9"/>
      <c r="B9287" s="15"/>
      <c r="C9287" s="9">
        <f>IFERROR(__xludf.DUMMYFUNCTION("""COMPUTED_VALUE"""),45046.7719948032)</f>
        <v>45046.77199</v>
      </c>
      <c r="D9287" s="15">
        <f>IFERROR(__xludf.DUMMYFUNCTION("""COMPUTED_VALUE"""),1.027)</f>
        <v>1.027</v>
      </c>
      <c r="E9287" s="16">
        <f>IFERROR(__xludf.DUMMYFUNCTION("""COMPUTED_VALUE"""),64.0)</f>
        <v>64</v>
      </c>
      <c r="F9287" s="19" t="str">
        <f>IFERROR(__xludf.DUMMYFUNCTION("""COMPUTED_VALUE"""),"BLACK")</f>
        <v>BLACK</v>
      </c>
      <c r="G9287" s="20" t="str">
        <f>IFERROR(__xludf.DUMMYFUNCTION("""COMPUTED_VALUE"""),"Uncle Sams Cider (04/04/2023)")</f>
        <v>Uncle Sams Cider (04/04/2023)</v>
      </c>
      <c r="H9287" s="19"/>
    </row>
    <row r="9288">
      <c r="A9288" s="9"/>
      <c r="B9288" s="15"/>
      <c r="C9288" s="9">
        <f>IFERROR(__xludf.DUMMYFUNCTION("""COMPUTED_VALUE"""),45046.7615726157)</f>
        <v>45046.76157</v>
      </c>
      <c r="D9288" s="15">
        <f>IFERROR(__xludf.DUMMYFUNCTION("""COMPUTED_VALUE"""),1.027)</f>
        <v>1.027</v>
      </c>
      <c r="E9288" s="16">
        <f>IFERROR(__xludf.DUMMYFUNCTION("""COMPUTED_VALUE"""),64.0)</f>
        <v>64</v>
      </c>
      <c r="F9288" s="19" t="str">
        <f>IFERROR(__xludf.DUMMYFUNCTION("""COMPUTED_VALUE"""),"BLACK")</f>
        <v>BLACK</v>
      </c>
      <c r="G9288" s="20" t="str">
        <f>IFERROR(__xludf.DUMMYFUNCTION("""COMPUTED_VALUE"""),"Uncle Sams Cider (04/04/2023)")</f>
        <v>Uncle Sams Cider (04/04/2023)</v>
      </c>
      <c r="H9288" s="19"/>
    </row>
    <row r="9289">
      <c r="A9289" s="9"/>
      <c r="B9289" s="15"/>
      <c r="C9289" s="9">
        <f>IFERROR(__xludf.DUMMYFUNCTION("""COMPUTED_VALUE"""),45046.7511387962)</f>
        <v>45046.75114</v>
      </c>
      <c r="D9289" s="15">
        <f>IFERROR(__xludf.DUMMYFUNCTION("""COMPUTED_VALUE"""),1.027)</f>
        <v>1.027</v>
      </c>
      <c r="E9289" s="16">
        <f>IFERROR(__xludf.DUMMYFUNCTION("""COMPUTED_VALUE"""),64.0)</f>
        <v>64</v>
      </c>
      <c r="F9289" s="19" t="str">
        <f>IFERROR(__xludf.DUMMYFUNCTION("""COMPUTED_VALUE"""),"BLACK")</f>
        <v>BLACK</v>
      </c>
      <c r="G9289" s="20" t="str">
        <f>IFERROR(__xludf.DUMMYFUNCTION("""COMPUTED_VALUE"""),"Uncle Sams Cider (04/04/2023)")</f>
        <v>Uncle Sams Cider (04/04/2023)</v>
      </c>
      <c r="H9289" s="19"/>
    </row>
    <row r="9290">
      <c r="A9290" s="9"/>
      <c r="B9290" s="15"/>
      <c r="C9290" s="9">
        <f>IFERROR(__xludf.DUMMYFUNCTION("""COMPUTED_VALUE"""),45046.7406930208)</f>
        <v>45046.74069</v>
      </c>
      <c r="D9290" s="15">
        <f>IFERROR(__xludf.DUMMYFUNCTION("""COMPUTED_VALUE"""),1.027)</f>
        <v>1.027</v>
      </c>
      <c r="E9290" s="16">
        <f>IFERROR(__xludf.DUMMYFUNCTION("""COMPUTED_VALUE"""),63.0)</f>
        <v>63</v>
      </c>
      <c r="F9290" s="19" t="str">
        <f>IFERROR(__xludf.DUMMYFUNCTION("""COMPUTED_VALUE"""),"BLACK")</f>
        <v>BLACK</v>
      </c>
      <c r="G9290" s="20" t="str">
        <f>IFERROR(__xludf.DUMMYFUNCTION("""COMPUTED_VALUE"""),"Uncle Sams Cider (04/04/2023)")</f>
        <v>Uncle Sams Cider (04/04/2023)</v>
      </c>
      <c r="H9290" s="19"/>
    </row>
    <row r="9291">
      <c r="A9291" s="9"/>
      <c r="B9291" s="15"/>
      <c r="C9291" s="9">
        <f>IFERROR(__xludf.DUMMYFUNCTION("""COMPUTED_VALUE"""),45046.7302256018)</f>
        <v>45046.73023</v>
      </c>
      <c r="D9291" s="15">
        <f>IFERROR(__xludf.DUMMYFUNCTION("""COMPUTED_VALUE"""),1.027)</f>
        <v>1.027</v>
      </c>
      <c r="E9291" s="16">
        <f>IFERROR(__xludf.DUMMYFUNCTION("""COMPUTED_VALUE"""),64.0)</f>
        <v>64</v>
      </c>
      <c r="F9291" s="19" t="str">
        <f>IFERROR(__xludf.DUMMYFUNCTION("""COMPUTED_VALUE"""),"BLACK")</f>
        <v>BLACK</v>
      </c>
      <c r="G9291" s="20" t="str">
        <f>IFERROR(__xludf.DUMMYFUNCTION("""COMPUTED_VALUE"""),"Uncle Sams Cider (04/04/2023)")</f>
        <v>Uncle Sams Cider (04/04/2023)</v>
      </c>
      <c r="H9291" s="19"/>
    </row>
    <row r="9292">
      <c r="A9292" s="9"/>
      <c r="B9292" s="15"/>
      <c r="C9292" s="9">
        <f>IFERROR(__xludf.DUMMYFUNCTION("""COMPUTED_VALUE"""),45046.7093861111)</f>
        <v>45046.70939</v>
      </c>
      <c r="D9292" s="15">
        <f>IFERROR(__xludf.DUMMYFUNCTION("""COMPUTED_VALUE"""),1.027)</f>
        <v>1.027</v>
      </c>
      <c r="E9292" s="16">
        <f>IFERROR(__xludf.DUMMYFUNCTION("""COMPUTED_VALUE"""),63.0)</f>
        <v>63</v>
      </c>
      <c r="F9292" s="19" t="str">
        <f>IFERROR(__xludf.DUMMYFUNCTION("""COMPUTED_VALUE"""),"BLACK")</f>
        <v>BLACK</v>
      </c>
      <c r="G9292" s="20" t="str">
        <f>IFERROR(__xludf.DUMMYFUNCTION("""COMPUTED_VALUE"""),"Uncle Sams Cider (04/04/2023)")</f>
        <v>Uncle Sams Cider (04/04/2023)</v>
      </c>
      <c r="H9292" s="19"/>
    </row>
    <row r="9293">
      <c r="A9293" s="9"/>
      <c r="B9293" s="15"/>
      <c r="C9293" s="9">
        <f>IFERROR(__xludf.DUMMYFUNCTION("""COMPUTED_VALUE"""),45046.6989541898)</f>
        <v>45046.69895</v>
      </c>
      <c r="D9293" s="15">
        <f>IFERROR(__xludf.DUMMYFUNCTION("""COMPUTED_VALUE"""),1.027)</f>
        <v>1.027</v>
      </c>
      <c r="E9293" s="16">
        <f>IFERROR(__xludf.DUMMYFUNCTION("""COMPUTED_VALUE"""),64.0)</f>
        <v>64</v>
      </c>
      <c r="F9293" s="19" t="str">
        <f>IFERROR(__xludf.DUMMYFUNCTION("""COMPUTED_VALUE"""),"BLACK")</f>
        <v>BLACK</v>
      </c>
      <c r="G9293" s="20" t="str">
        <f>IFERROR(__xludf.DUMMYFUNCTION("""COMPUTED_VALUE"""),"Uncle Sams Cider (04/04/2023)")</f>
        <v>Uncle Sams Cider (04/04/2023)</v>
      </c>
      <c r="H9293" s="19"/>
    </row>
    <row r="9294">
      <c r="A9294" s="9"/>
      <c r="B9294" s="15"/>
      <c r="C9294" s="9">
        <f>IFERROR(__xludf.DUMMYFUNCTION("""COMPUTED_VALUE"""),45046.6885325463)</f>
        <v>45046.68853</v>
      </c>
      <c r="D9294" s="15">
        <f>IFERROR(__xludf.DUMMYFUNCTION("""COMPUTED_VALUE"""),1.027)</f>
        <v>1.027</v>
      </c>
      <c r="E9294" s="16">
        <f>IFERROR(__xludf.DUMMYFUNCTION("""COMPUTED_VALUE"""),64.0)</f>
        <v>64</v>
      </c>
      <c r="F9294" s="19" t="str">
        <f>IFERROR(__xludf.DUMMYFUNCTION("""COMPUTED_VALUE"""),"BLACK")</f>
        <v>BLACK</v>
      </c>
      <c r="G9294" s="20" t="str">
        <f>IFERROR(__xludf.DUMMYFUNCTION("""COMPUTED_VALUE"""),"Uncle Sams Cider (04/04/2023)")</f>
        <v>Uncle Sams Cider (04/04/2023)</v>
      </c>
      <c r="H9294" s="19"/>
    </row>
    <row r="9295">
      <c r="A9295" s="9"/>
      <c r="B9295" s="15"/>
      <c r="C9295" s="9">
        <f>IFERROR(__xludf.DUMMYFUNCTION("""COMPUTED_VALUE"""),45046.667596493)</f>
        <v>45046.6676</v>
      </c>
      <c r="D9295" s="15">
        <f>IFERROR(__xludf.DUMMYFUNCTION("""COMPUTED_VALUE"""),1.027)</f>
        <v>1.027</v>
      </c>
      <c r="E9295" s="16">
        <f>IFERROR(__xludf.DUMMYFUNCTION("""COMPUTED_VALUE"""),64.0)</f>
        <v>64</v>
      </c>
      <c r="F9295" s="19" t="str">
        <f>IFERROR(__xludf.DUMMYFUNCTION("""COMPUTED_VALUE"""),"BLACK")</f>
        <v>BLACK</v>
      </c>
      <c r="G9295" s="20" t="str">
        <f>IFERROR(__xludf.DUMMYFUNCTION("""COMPUTED_VALUE"""),"Uncle Sams Cider (04/04/2023)")</f>
        <v>Uncle Sams Cider (04/04/2023)</v>
      </c>
      <c r="H9295" s="19"/>
    </row>
    <row r="9296">
      <c r="A9296" s="9"/>
      <c r="B9296" s="15"/>
      <c r="C9296" s="9">
        <f>IFERROR(__xludf.DUMMYFUNCTION("""COMPUTED_VALUE"""),45046.657152118)</f>
        <v>45046.65715</v>
      </c>
      <c r="D9296" s="15">
        <f>IFERROR(__xludf.DUMMYFUNCTION("""COMPUTED_VALUE"""),1.027)</f>
        <v>1.027</v>
      </c>
      <c r="E9296" s="16">
        <f>IFERROR(__xludf.DUMMYFUNCTION("""COMPUTED_VALUE"""),64.0)</f>
        <v>64</v>
      </c>
      <c r="F9296" s="19" t="str">
        <f>IFERROR(__xludf.DUMMYFUNCTION("""COMPUTED_VALUE"""),"BLACK")</f>
        <v>BLACK</v>
      </c>
      <c r="G9296" s="20" t="str">
        <f>IFERROR(__xludf.DUMMYFUNCTION("""COMPUTED_VALUE"""),"Uncle Sams Cider (04/04/2023)")</f>
        <v>Uncle Sams Cider (04/04/2023)</v>
      </c>
      <c r="H9296" s="19"/>
    </row>
    <row r="9297">
      <c r="A9297" s="9"/>
      <c r="B9297" s="15"/>
      <c r="C9297" s="9">
        <f>IFERROR(__xludf.DUMMYFUNCTION("""COMPUTED_VALUE"""),45046.6362501736)</f>
        <v>45046.63625</v>
      </c>
      <c r="D9297" s="15">
        <f>IFERROR(__xludf.DUMMYFUNCTION("""COMPUTED_VALUE"""),1.027)</f>
        <v>1.027</v>
      </c>
      <c r="E9297" s="16">
        <f>IFERROR(__xludf.DUMMYFUNCTION("""COMPUTED_VALUE"""),64.0)</f>
        <v>64</v>
      </c>
      <c r="F9297" s="19" t="str">
        <f>IFERROR(__xludf.DUMMYFUNCTION("""COMPUTED_VALUE"""),"BLACK")</f>
        <v>BLACK</v>
      </c>
      <c r="G9297" s="20" t="str">
        <f>IFERROR(__xludf.DUMMYFUNCTION("""COMPUTED_VALUE"""),"Uncle Sams Cider (04/04/2023)")</f>
        <v>Uncle Sams Cider (04/04/2023)</v>
      </c>
      <c r="H9297" s="19"/>
    </row>
    <row r="9298">
      <c r="A9298" s="9"/>
      <c r="B9298" s="15"/>
      <c r="C9298" s="9">
        <f>IFERROR(__xludf.DUMMYFUNCTION("""COMPUTED_VALUE"""),45046.6258184375)</f>
        <v>45046.62582</v>
      </c>
      <c r="D9298" s="15">
        <f>IFERROR(__xludf.DUMMYFUNCTION("""COMPUTED_VALUE"""),1.027)</f>
        <v>1.027</v>
      </c>
      <c r="E9298" s="16">
        <f>IFERROR(__xludf.DUMMYFUNCTION("""COMPUTED_VALUE"""),64.0)</f>
        <v>64</v>
      </c>
      <c r="F9298" s="19" t="str">
        <f>IFERROR(__xludf.DUMMYFUNCTION("""COMPUTED_VALUE"""),"BLACK")</f>
        <v>BLACK</v>
      </c>
      <c r="G9298" s="20" t="str">
        <f>IFERROR(__xludf.DUMMYFUNCTION("""COMPUTED_VALUE"""),"Uncle Sams Cider (04/04/2023)")</f>
        <v>Uncle Sams Cider (04/04/2023)</v>
      </c>
      <c r="H9298" s="19"/>
    </row>
    <row r="9299">
      <c r="A9299" s="9"/>
      <c r="B9299" s="15"/>
      <c r="C9299" s="9">
        <f>IFERROR(__xludf.DUMMYFUNCTION("""COMPUTED_VALUE"""),45046.6153857754)</f>
        <v>45046.61539</v>
      </c>
      <c r="D9299" s="15">
        <f>IFERROR(__xludf.DUMMYFUNCTION("""COMPUTED_VALUE"""),1.027)</f>
        <v>1.027</v>
      </c>
      <c r="E9299" s="16">
        <f>IFERROR(__xludf.DUMMYFUNCTION("""COMPUTED_VALUE"""),63.0)</f>
        <v>63</v>
      </c>
      <c r="F9299" s="19" t="str">
        <f>IFERROR(__xludf.DUMMYFUNCTION("""COMPUTED_VALUE"""),"BLACK")</f>
        <v>BLACK</v>
      </c>
      <c r="G9299" s="20" t="str">
        <f>IFERROR(__xludf.DUMMYFUNCTION("""COMPUTED_VALUE"""),"Uncle Sams Cider (04/04/2023)")</f>
        <v>Uncle Sams Cider (04/04/2023)</v>
      </c>
      <c r="H9299" s="19"/>
    </row>
    <row r="9300">
      <c r="A9300" s="9"/>
      <c r="B9300" s="15"/>
      <c r="C9300" s="9">
        <f>IFERROR(__xludf.DUMMYFUNCTION("""COMPUTED_VALUE"""),45046.6049633796)</f>
        <v>45046.60496</v>
      </c>
      <c r="D9300" s="15">
        <f>IFERROR(__xludf.DUMMYFUNCTION("""COMPUTED_VALUE"""),1.027)</f>
        <v>1.027</v>
      </c>
      <c r="E9300" s="16">
        <f>IFERROR(__xludf.DUMMYFUNCTION("""COMPUTED_VALUE"""),63.0)</f>
        <v>63</v>
      </c>
      <c r="F9300" s="19" t="str">
        <f>IFERROR(__xludf.DUMMYFUNCTION("""COMPUTED_VALUE"""),"BLACK")</f>
        <v>BLACK</v>
      </c>
      <c r="G9300" s="20" t="str">
        <f>IFERROR(__xludf.DUMMYFUNCTION("""COMPUTED_VALUE"""),"Uncle Sams Cider (04/04/2023)")</f>
        <v>Uncle Sams Cider (04/04/2023)</v>
      </c>
      <c r="H9300" s="19"/>
    </row>
    <row r="9301">
      <c r="A9301" s="9"/>
      <c r="B9301" s="15"/>
      <c r="C9301" s="9">
        <f>IFERROR(__xludf.DUMMYFUNCTION("""COMPUTED_VALUE"""),45046.5945425231)</f>
        <v>45046.59454</v>
      </c>
      <c r="D9301" s="15">
        <f>IFERROR(__xludf.DUMMYFUNCTION("""COMPUTED_VALUE"""),1.027)</f>
        <v>1.027</v>
      </c>
      <c r="E9301" s="16">
        <f>IFERROR(__xludf.DUMMYFUNCTION("""COMPUTED_VALUE"""),63.0)</f>
        <v>63</v>
      </c>
      <c r="F9301" s="19" t="str">
        <f>IFERROR(__xludf.DUMMYFUNCTION("""COMPUTED_VALUE"""),"BLACK")</f>
        <v>BLACK</v>
      </c>
      <c r="G9301" s="20" t="str">
        <f>IFERROR(__xludf.DUMMYFUNCTION("""COMPUTED_VALUE"""),"Uncle Sams Cider (04/04/2023)")</f>
        <v>Uncle Sams Cider (04/04/2023)</v>
      </c>
      <c r="H9301" s="19"/>
    </row>
    <row r="9302">
      <c r="A9302" s="9"/>
      <c r="B9302" s="15"/>
      <c r="C9302" s="9">
        <f>IFERROR(__xludf.DUMMYFUNCTION("""COMPUTED_VALUE"""),45046.5841198842)</f>
        <v>45046.58412</v>
      </c>
      <c r="D9302" s="15">
        <f>IFERROR(__xludf.DUMMYFUNCTION("""COMPUTED_VALUE"""),1.027)</f>
        <v>1.027</v>
      </c>
      <c r="E9302" s="16">
        <f>IFERROR(__xludf.DUMMYFUNCTION("""COMPUTED_VALUE"""),64.0)</f>
        <v>64</v>
      </c>
      <c r="F9302" s="19" t="str">
        <f>IFERROR(__xludf.DUMMYFUNCTION("""COMPUTED_VALUE"""),"BLACK")</f>
        <v>BLACK</v>
      </c>
      <c r="G9302" s="20" t="str">
        <f>IFERROR(__xludf.DUMMYFUNCTION("""COMPUTED_VALUE"""),"Uncle Sams Cider (04/04/2023)")</f>
        <v>Uncle Sams Cider (04/04/2023)</v>
      </c>
      <c r="H9302" s="19"/>
    </row>
    <row r="9303">
      <c r="A9303" s="9"/>
      <c r="B9303" s="15"/>
      <c r="C9303" s="9">
        <f>IFERROR(__xludf.DUMMYFUNCTION("""COMPUTED_VALUE"""),45046.5736976504)</f>
        <v>45046.5737</v>
      </c>
      <c r="D9303" s="15">
        <f>IFERROR(__xludf.DUMMYFUNCTION("""COMPUTED_VALUE"""),1.027)</f>
        <v>1.027</v>
      </c>
      <c r="E9303" s="16">
        <f>IFERROR(__xludf.DUMMYFUNCTION("""COMPUTED_VALUE"""),63.0)</f>
        <v>63</v>
      </c>
      <c r="F9303" s="19" t="str">
        <f>IFERROR(__xludf.DUMMYFUNCTION("""COMPUTED_VALUE"""),"BLACK")</f>
        <v>BLACK</v>
      </c>
      <c r="G9303" s="20" t="str">
        <f>IFERROR(__xludf.DUMMYFUNCTION("""COMPUTED_VALUE"""),"Uncle Sams Cider (04/04/2023)")</f>
        <v>Uncle Sams Cider (04/04/2023)</v>
      </c>
      <c r="H9303" s="19"/>
    </row>
    <row r="9304">
      <c r="A9304" s="9"/>
      <c r="B9304" s="15"/>
      <c r="C9304" s="9">
        <f>IFERROR(__xludf.DUMMYFUNCTION("""COMPUTED_VALUE"""),45046.5424215856)</f>
        <v>45046.54242</v>
      </c>
      <c r="D9304" s="15">
        <f>IFERROR(__xludf.DUMMYFUNCTION("""COMPUTED_VALUE"""),1.027)</f>
        <v>1.027</v>
      </c>
      <c r="E9304" s="16">
        <f>IFERROR(__xludf.DUMMYFUNCTION("""COMPUTED_VALUE"""),64.0)</f>
        <v>64</v>
      </c>
      <c r="F9304" s="19" t="str">
        <f>IFERROR(__xludf.DUMMYFUNCTION("""COMPUTED_VALUE"""),"BLACK")</f>
        <v>BLACK</v>
      </c>
      <c r="G9304" s="20" t="str">
        <f>IFERROR(__xludf.DUMMYFUNCTION("""COMPUTED_VALUE"""),"Uncle Sams Cider (04/04/2023)")</f>
        <v>Uncle Sams Cider (04/04/2023)</v>
      </c>
      <c r="H9304" s="19"/>
    </row>
    <row r="9305">
      <c r="A9305" s="9"/>
      <c r="B9305" s="15"/>
      <c r="C9305" s="9">
        <f>IFERROR(__xludf.DUMMYFUNCTION("""COMPUTED_VALUE"""),45046.5319987037)</f>
        <v>45046.532</v>
      </c>
      <c r="D9305" s="15">
        <f>IFERROR(__xludf.DUMMYFUNCTION("""COMPUTED_VALUE"""),1.027)</f>
        <v>1.027</v>
      </c>
      <c r="E9305" s="16">
        <f>IFERROR(__xludf.DUMMYFUNCTION("""COMPUTED_VALUE"""),64.0)</f>
        <v>64</v>
      </c>
      <c r="F9305" s="19" t="str">
        <f>IFERROR(__xludf.DUMMYFUNCTION("""COMPUTED_VALUE"""),"BLACK")</f>
        <v>BLACK</v>
      </c>
      <c r="G9305" s="20" t="str">
        <f>IFERROR(__xludf.DUMMYFUNCTION("""COMPUTED_VALUE"""),"Uncle Sams Cider (04/04/2023)")</f>
        <v>Uncle Sams Cider (04/04/2023)</v>
      </c>
      <c r="H9305" s="19"/>
    </row>
    <row r="9306">
      <c r="A9306" s="9"/>
      <c r="B9306" s="15"/>
      <c r="C9306" s="9">
        <f>IFERROR(__xludf.DUMMYFUNCTION("""COMPUTED_VALUE"""),45046.5215556713)</f>
        <v>45046.52156</v>
      </c>
      <c r="D9306" s="15">
        <f>IFERROR(__xludf.DUMMYFUNCTION("""COMPUTED_VALUE"""),1.027)</f>
        <v>1.027</v>
      </c>
      <c r="E9306" s="16">
        <f>IFERROR(__xludf.DUMMYFUNCTION("""COMPUTED_VALUE"""),64.0)</f>
        <v>64</v>
      </c>
      <c r="F9306" s="19" t="str">
        <f>IFERROR(__xludf.DUMMYFUNCTION("""COMPUTED_VALUE"""),"BLACK")</f>
        <v>BLACK</v>
      </c>
      <c r="G9306" s="20" t="str">
        <f>IFERROR(__xludf.DUMMYFUNCTION("""COMPUTED_VALUE"""),"Uncle Sams Cider (04/04/2023)")</f>
        <v>Uncle Sams Cider (04/04/2023)</v>
      </c>
      <c r="H9306" s="19"/>
    </row>
    <row r="9307">
      <c r="A9307" s="9"/>
      <c r="B9307" s="15"/>
      <c r="C9307" s="9">
        <f>IFERROR(__xludf.DUMMYFUNCTION("""COMPUTED_VALUE"""),45046.5111093981)</f>
        <v>45046.51111</v>
      </c>
      <c r="D9307" s="15">
        <f>IFERROR(__xludf.DUMMYFUNCTION("""COMPUTED_VALUE"""),1.027)</f>
        <v>1.027</v>
      </c>
      <c r="E9307" s="16">
        <f>IFERROR(__xludf.DUMMYFUNCTION("""COMPUTED_VALUE"""),64.0)</f>
        <v>64</v>
      </c>
      <c r="F9307" s="19" t="str">
        <f>IFERROR(__xludf.DUMMYFUNCTION("""COMPUTED_VALUE"""),"BLACK")</f>
        <v>BLACK</v>
      </c>
      <c r="G9307" s="20" t="str">
        <f>IFERROR(__xludf.DUMMYFUNCTION("""COMPUTED_VALUE"""),"Uncle Sams Cider (04/04/2023)")</f>
        <v>Uncle Sams Cider (04/04/2023)</v>
      </c>
      <c r="H9307" s="19"/>
    </row>
    <row r="9308">
      <c r="A9308" s="9"/>
      <c r="B9308" s="15"/>
      <c r="C9308" s="9">
        <f>IFERROR(__xludf.DUMMYFUNCTION("""COMPUTED_VALUE"""),45046.5006642245)</f>
        <v>45046.50066</v>
      </c>
      <c r="D9308" s="15">
        <f>IFERROR(__xludf.DUMMYFUNCTION("""COMPUTED_VALUE"""),1.027)</f>
        <v>1.027</v>
      </c>
      <c r="E9308" s="16">
        <f>IFERROR(__xludf.DUMMYFUNCTION("""COMPUTED_VALUE"""),64.0)</f>
        <v>64</v>
      </c>
      <c r="F9308" s="19" t="str">
        <f>IFERROR(__xludf.DUMMYFUNCTION("""COMPUTED_VALUE"""),"BLACK")</f>
        <v>BLACK</v>
      </c>
      <c r="G9308" s="20" t="str">
        <f>IFERROR(__xludf.DUMMYFUNCTION("""COMPUTED_VALUE"""),"Uncle Sams Cider (04/04/2023)")</f>
        <v>Uncle Sams Cider (04/04/2023)</v>
      </c>
      <c r="H9308" s="19"/>
    </row>
    <row r="9309">
      <c r="A9309" s="9"/>
      <c r="B9309" s="15"/>
      <c r="C9309" s="9">
        <f>IFERROR(__xludf.DUMMYFUNCTION("""COMPUTED_VALUE"""),45046.490185405)</f>
        <v>45046.49019</v>
      </c>
      <c r="D9309" s="15">
        <f>IFERROR(__xludf.DUMMYFUNCTION("""COMPUTED_VALUE"""),1.027)</f>
        <v>1.027</v>
      </c>
      <c r="E9309" s="16">
        <f>IFERROR(__xludf.DUMMYFUNCTION("""COMPUTED_VALUE"""),64.0)</f>
        <v>64</v>
      </c>
      <c r="F9309" s="19" t="str">
        <f>IFERROR(__xludf.DUMMYFUNCTION("""COMPUTED_VALUE"""),"BLACK")</f>
        <v>BLACK</v>
      </c>
      <c r="G9309" s="20" t="str">
        <f>IFERROR(__xludf.DUMMYFUNCTION("""COMPUTED_VALUE"""),"Uncle Sams Cider (04/04/2023)")</f>
        <v>Uncle Sams Cider (04/04/2023)</v>
      </c>
      <c r="H9309" s="19"/>
    </row>
    <row r="9310">
      <c r="A9310" s="9"/>
      <c r="B9310" s="15"/>
      <c r="C9310" s="9">
        <f>IFERROR(__xludf.DUMMYFUNCTION("""COMPUTED_VALUE"""),45046.4797642129)</f>
        <v>45046.47976</v>
      </c>
      <c r="D9310" s="15">
        <f>IFERROR(__xludf.DUMMYFUNCTION("""COMPUTED_VALUE"""),1.027)</f>
        <v>1.027</v>
      </c>
      <c r="E9310" s="16">
        <f>IFERROR(__xludf.DUMMYFUNCTION("""COMPUTED_VALUE"""),64.0)</f>
        <v>64</v>
      </c>
      <c r="F9310" s="19" t="str">
        <f>IFERROR(__xludf.DUMMYFUNCTION("""COMPUTED_VALUE"""),"BLACK")</f>
        <v>BLACK</v>
      </c>
      <c r="G9310" s="20" t="str">
        <f>IFERROR(__xludf.DUMMYFUNCTION("""COMPUTED_VALUE"""),"Uncle Sams Cider (04/04/2023)")</f>
        <v>Uncle Sams Cider (04/04/2023)</v>
      </c>
      <c r="H9310" s="19"/>
    </row>
    <row r="9311">
      <c r="A9311" s="9"/>
      <c r="B9311" s="15"/>
      <c r="C9311" s="9">
        <f>IFERROR(__xludf.DUMMYFUNCTION("""COMPUTED_VALUE"""),45046.4693438888)</f>
        <v>45046.46934</v>
      </c>
      <c r="D9311" s="15">
        <f>IFERROR(__xludf.DUMMYFUNCTION("""COMPUTED_VALUE"""),1.027)</f>
        <v>1.027</v>
      </c>
      <c r="E9311" s="16">
        <f>IFERROR(__xludf.DUMMYFUNCTION("""COMPUTED_VALUE"""),63.0)</f>
        <v>63</v>
      </c>
      <c r="F9311" s="19" t="str">
        <f>IFERROR(__xludf.DUMMYFUNCTION("""COMPUTED_VALUE"""),"BLACK")</f>
        <v>BLACK</v>
      </c>
      <c r="G9311" s="20" t="str">
        <f>IFERROR(__xludf.DUMMYFUNCTION("""COMPUTED_VALUE"""),"Uncle Sams Cider (04/04/2023)")</f>
        <v>Uncle Sams Cider (04/04/2023)</v>
      </c>
      <c r="H9311" s="19"/>
    </row>
    <row r="9312">
      <c r="A9312" s="9"/>
      <c r="B9312" s="15"/>
      <c r="C9312" s="9">
        <f>IFERROR(__xludf.DUMMYFUNCTION("""COMPUTED_VALUE"""),45046.4589121296)</f>
        <v>45046.45891</v>
      </c>
      <c r="D9312" s="15">
        <f>IFERROR(__xludf.DUMMYFUNCTION("""COMPUTED_VALUE"""),1.027)</f>
        <v>1.027</v>
      </c>
      <c r="E9312" s="16">
        <f>IFERROR(__xludf.DUMMYFUNCTION("""COMPUTED_VALUE"""),64.0)</f>
        <v>64</v>
      </c>
      <c r="F9312" s="19" t="str">
        <f>IFERROR(__xludf.DUMMYFUNCTION("""COMPUTED_VALUE"""),"BLACK")</f>
        <v>BLACK</v>
      </c>
      <c r="G9312" s="20" t="str">
        <f>IFERROR(__xludf.DUMMYFUNCTION("""COMPUTED_VALUE"""),"Uncle Sams Cider (04/04/2023)")</f>
        <v>Uncle Sams Cider (04/04/2023)</v>
      </c>
      <c r="H9312" s="19"/>
    </row>
    <row r="9313">
      <c r="A9313" s="9"/>
      <c r="B9313" s="15"/>
      <c r="C9313" s="9">
        <f>IFERROR(__xludf.DUMMYFUNCTION("""COMPUTED_VALUE"""),45046.4484563657)</f>
        <v>45046.44846</v>
      </c>
      <c r="D9313" s="15">
        <f>IFERROR(__xludf.DUMMYFUNCTION("""COMPUTED_VALUE"""),1.027)</f>
        <v>1.027</v>
      </c>
      <c r="E9313" s="16">
        <f>IFERROR(__xludf.DUMMYFUNCTION("""COMPUTED_VALUE"""),64.0)</f>
        <v>64</v>
      </c>
      <c r="F9313" s="19" t="str">
        <f>IFERROR(__xludf.DUMMYFUNCTION("""COMPUTED_VALUE"""),"BLACK")</f>
        <v>BLACK</v>
      </c>
      <c r="G9313" s="20" t="str">
        <f>IFERROR(__xludf.DUMMYFUNCTION("""COMPUTED_VALUE"""),"Uncle Sams Cider (04/04/2023)")</f>
        <v>Uncle Sams Cider (04/04/2023)</v>
      </c>
      <c r="H9313" s="19"/>
    </row>
    <row r="9314">
      <c r="A9314" s="9"/>
      <c r="B9314" s="15"/>
      <c r="C9314" s="9">
        <f>IFERROR(__xludf.DUMMYFUNCTION("""COMPUTED_VALUE"""),45046.4380337268)</f>
        <v>45046.43803</v>
      </c>
      <c r="D9314" s="15">
        <f>IFERROR(__xludf.DUMMYFUNCTION("""COMPUTED_VALUE"""),1.027)</f>
        <v>1.027</v>
      </c>
      <c r="E9314" s="16">
        <f>IFERROR(__xludf.DUMMYFUNCTION("""COMPUTED_VALUE"""),64.0)</f>
        <v>64</v>
      </c>
      <c r="F9314" s="19" t="str">
        <f>IFERROR(__xludf.DUMMYFUNCTION("""COMPUTED_VALUE"""),"BLACK")</f>
        <v>BLACK</v>
      </c>
      <c r="G9314" s="20" t="str">
        <f>IFERROR(__xludf.DUMMYFUNCTION("""COMPUTED_VALUE"""),"Uncle Sams Cider (04/04/2023)")</f>
        <v>Uncle Sams Cider (04/04/2023)</v>
      </c>
      <c r="H9314" s="19"/>
    </row>
    <row r="9315">
      <c r="A9315" s="9"/>
      <c r="B9315" s="15"/>
      <c r="C9315" s="9">
        <f>IFERROR(__xludf.DUMMYFUNCTION("""COMPUTED_VALUE"""),45046.4276016782)</f>
        <v>45046.4276</v>
      </c>
      <c r="D9315" s="15">
        <f>IFERROR(__xludf.DUMMYFUNCTION("""COMPUTED_VALUE"""),1.027)</f>
        <v>1.027</v>
      </c>
      <c r="E9315" s="16">
        <f>IFERROR(__xludf.DUMMYFUNCTION("""COMPUTED_VALUE"""),64.0)</f>
        <v>64</v>
      </c>
      <c r="F9315" s="19" t="str">
        <f>IFERROR(__xludf.DUMMYFUNCTION("""COMPUTED_VALUE"""),"BLACK")</f>
        <v>BLACK</v>
      </c>
      <c r="G9315" s="20" t="str">
        <f>IFERROR(__xludf.DUMMYFUNCTION("""COMPUTED_VALUE"""),"Uncle Sams Cider (04/04/2023)")</f>
        <v>Uncle Sams Cider (04/04/2023)</v>
      </c>
      <c r="H9315" s="19"/>
    </row>
    <row r="9316">
      <c r="A9316" s="9"/>
      <c r="B9316" s="15"/>
      <c r="C9316" s="9">
        <f>IFERROR(__xludf.DUMMYFUNCTION("""COMPUTED_VALUE"""),45046.4171223379)</f>
        <v>45046.41712</v>
      </c>
      <c r="D9316" s="15">
        <f>IFERROR(__xludf.DUMMYFUNCTION("""COMPUTED_VALUE"""),1.027)</f>
        <v>1.027</v>
      </c>
      <c r="E9316" s="16">
        <f>IFERROR(__xludf.DUMMYFUNCTION("""COMPUTED_VALUE"""),63.0)</f>
        <v>63</v>
      </c>
      <c r="F9316" s="19" t="str">
        <f>IFERROR(__xludf.DUMMYFUNCTION("""COMPUTED_VALUE"""),"BLACK")</f>
        <v>BLACK</v>
      </c>
      <c r="G9316" s="20" t="str">
        <f>IFERROR(__xludf.DUMMYFUNCTION("""COMPUTED_VALUE"""),"Uncle Sams Cider (04/04/2023)")</f>
        <v>Uncle Sams Cider (04/04/2023)</v>
      </c>
      <c r="H9316" s="19"/>
    </row>
    <row r="9317">
      <c r="A9317" s="9"/>
      <c r="B9317" s="15"/>
      <c r="C9317" s="9">
        <f>IFERROR(__xludf.DUMMYFUNCTION("""COMPUTED_VALUE"""),45046.4067021759)</f>
        <v>45046.4067</v>
      </c>
      <c r="D9317" s="15">
        <f>IFERROR(__xludf.DUMMYFUNCTION("""COMPUTED_VALUE"""),1.027)</f>
        <v>1.027</v>
      </c>
      <c r="E9317" s="16">
        <f>IFERROR(__xludf.DUMMYFUNCTION("""COMPUTED_VALUE"""),64.0)</f>
        <v>64</v>
      </c>
      <c r="F9317" s="19" t="str">
        <f>IFERROR(__xludf.DUMMYFUNCTION("""COMPUTED_VALUE"""),"BLACK")</f>
        <v>BLACK</v>
      </c>
      <c r="G9317" s="20" t="str">
        <f>IFERROR(__xludf.DUMMYFUNCTION("""COMPUTED_VALUE"""),"Uncle Sams Cider (04/04/2023)")</f>
        <v>Uncle Sams Cider (04/04/2023)</v>
      </c>
      <c r="H9317" s="19"/>
    </row>
    <row r="9318">
      <c r="A9318" s="9"/>
      <c r="B9318" s="15"/>
      <c r="C9318" s="9">
        <f>IFERROR(__xludf.DUMMYFUNCTION("""COMPUTED_VALUE"""),45046.3962354629)</f>
        <v>45046.39624</v>
      </c>
      <c r="D9318" s="15">
        <f>IFERROR(__xludf.DUMMYFUNCTION("""COMPUTED_VALUE"""),1.027)</f>
        <v>1.027</v>
      </c>
      <c r="E9318" s="16">
        <f>IFERROR(__xludf.DUMMYFUNCTION("""COMPUTED_VALUE"""),63.0)</f>
        <v>63</v>
      </c>
      <c r="F9318" s="19" t="str">
        <f>IFERROR(__xludf.DUMMYFUNCTION("""COMPUTED_VALUE"""),"BLACK")</f>
        <v>BLACK</v>
      </c>
      <c r="G9318" s="20" t="str">
        <f>IFERROR(__xludf.DUMMYFUNCTION("""COMPUTED_VALUE"""),"Uncle Sams Cider (04/04/2023)")</f>
        <v>Uncle Sams Cider (04/04/2023)</v>
      </c>
      <c r="H9318" s="19"/>
    </row>
    <row r="9319">
      <c r="A9319" s="9"/>
      <c r="B9319" s="15"/>
      <c r="C9319" s="9">
        <f>IFERROR(__xludf.DUMMYFUNCTION("""COMPUTED_VALUE"""),45046.3858145138)</f>
        <v>45046.38581</v>
      </c>
      <c r="D9319" s="15">
        <f>IFERROR(__xludf.DUMMYFUNCTION("""COMPUTED_VALUE"""),1.027)</f>
        <v>1.027</v>
      </c>
      <c r="E9319" s="16">
        <f>IFERROR(__xludf.DUMMYFUNCTION("""COMPUTED_VALUE"""),64.0)</f>
        <v>64</v>
      </c>
      <c r="F9319" s="19" t="str">
        <f>IFERROR(__xludf.DUMMYFUNCTION("""COMPUTED_VALUE"""),"BLACK")</f>
        <v>BLACK</v>
      </c>
      <c r="G9319" s="20" t="str">
        <f>IFERROR(__xludf.DUMMYFUNCTION("""COMPUTED_VALUE"""),"Uncle Sams Cider (04/04/2023)")</f>
        <v>Uncle Sams Cider (04/04/2023)</v>
      </c>
      <c r="H9319" s="19"/>
    </row>
    <row r="9320">
      <c r="A9320" s="9"/>
      <c r="B9320" s="15"/>
      <c r="C9320" s="9">
        <f>IFERROR(__xludf.DUMMYFUNCTION("""COMPUTED_VALUE"""),45046.3753932754)</f>
        <v>45046.37539</v>
      </c>
      <c r="D9320" s="15">
        <f>IFERROR(__xludf.DUMMYFUNCTION("""COMPUTED_VALUE"""),1.027)</f>
        <v>1.027</v>
      </c>
      <c r="E9320" s="16">
        <f>IFERROR(__xludf.DUMMYFUNCTION("""COMPUTED_VALUE"""),64.0)</f>
        <v>64</v>
      </c>
      <c r="F9320" s="19" t="str">
        <f>IFERROR(__xludf.DUMMYFUNCTION("""COMPUTED_VALUE"""),"BLACK")</f>
        <v>BLACK</v>
      </c>
      <c r="G9320" s="20" t="str">
        <f>IFERROR(__xludf.DUMMYFUNCTION("""COMPUTED_VALUE"""),"Uncle Sams Cider (04/04/2023)")</f>
        <v>Uncle Sams Cider (04/04/2023)</v>
      </c>
      <c r="H9320" s="19"/>
    </row>
    <row r="9321">
      <c r="A9321" s="9"/>
      <c r="B9321" s="15"/>
      <c r="C9321" s="9">
        <f>IFERROR(__xludf.DUMMYFUNCTION("""COMPUTED_VALUE"""),45046.3545284838)</f>
        <v>45046.35453</v>
      </c>
      <c r="D9321" s="15">
        <f>IFERROR(__xludf.DUMMYFUNCTION("""COMPUTED_VALUE"""),1.027)</f>
        <v>1.027</v>
      </c>
      <c r="E9321" s="16">
        <f>IFERROR(__xludf.DUMMYFUNCTION("""COMPUTED_VALUE"""),63.0)</f>
        <v>63</v>
      </c>
      <c r="F9321" s="19" t="str">
        <f>IFERROR(__xludf.DUMMYFUNCTION("""COMPUTED_VALUE"""),"BLACK")</f>
        <v>BLACK</v>
      </c>
      <c r="G9321" s="20" t="str">
        <f>IFERROR(__xludf.DUMMYFUNCTION("""COMPUTED_VALUE"""),"Uncle Sams Cider (04/04/2023)")</f>
        <v>Uncle Sams Cider (04/04/2023)</v>
      </c>
      <c r="H9321" s="19"/>
    </row>
    <row r="9322">
      <c r="A9322" s="9"/>
      <c r="B9322" s="15"/>
      <c r="C9322" s="9">
        <f>IFERROR(__xludf.DUMMYFUNCTION("""COMPUTED_VALUE"""),45046.3441075694)</f>
        <v>45046.34411</v>
      </c>
      <c r="D9322" s="15">
        <f>IFERROR(__xludf.DUMMYFUNCTION("""COMPUTED_VALUE"""),1.027)</f>
        <v>1.027</v>
      </c>
      <c r="E9322" s="16">
        <f>IFERROR(__xludf.DUMMYFUNCTION("""COMPUTED_VALUE"""),64.0)</f>
        <v>64</v>
      </c>
      <c r="F9322" s="19" t="str">
        <f>IFERROR(__xludf.DUMMYFUNCTION("""COMPUTED_VALUE"""),"BLACK")</f>
        <v>BLACK</v>
      </c>
      <c r="G9322" s="20" t="str">
        <f>IFERROR(__xludf.DUMMYFUNCTION("""COMPUTED_VALUE"""),"Uncle Sams Cider (04/04/2023)")</f>
        <v>Uncle Sams Cider (04/04/2023)</v>
      </c>
      <c r="H9322" s="19"/>
    </row>
    <row r="9323">
      <c r="A9323" s="9"/>
      <c r="B9323" s="15"/>
      <c r="C9323" s="9">
        <f>IFERROR(__xludf.DUMMYFUNCTION("""COMPUTED_VALUE"""),45046.3232401388)</f>
        <v>45046.32324</v>
      </c>
      <c r="D9323" s="15">
        <f>IFERROR(__xludf.DUMMYFUNCTION("""COMPUTED_VALUE"""),1.027)</f>
        <v>1.027</v>
      </c>
      <c r="E9323" s="16">
        <f>IFERROR(__xludf.DUMMYFUNCTION("""COMPUTED_VALUE"""),64.0)</f>
        <v>64</v>
      </c>
      <c r="F9323" s="19" t="str">
        <f>IFERROR(__xludf.DUMMYFUNCTION("""COMPUTED_VALUE"""),"BLACK")</f>
        <v>BLACK</v>
      </c>
      <c r="G9323" s="20" t="str">
        <f>IFERROR(__xludf.DUMMYFUNCTION("""COMPUTED_VALUE"""),"Uncle Sams Cider (04/04/2023)")</f>
        <v>Uncle Sams Cider (04/04/2023)</v>
      </c>
      <c r="H9323" s="19"/>
    </row>
    <row r="9324">
      <c r="A9324" s="9"/>
      <c r="B9324" s="15"/>
      <c r="C9324" s="9">
        <f>IFERROR(__xludf.DUMMYFUNCTION("""COMPUTED_VALUE"""),45046.3128185648)</f>
        <v>45046.31282</v>
      </c>
      <c r="D9324" s="15">
        <f>IFERROR(__xludf.DUMMYFUNCTION("""COMPUTED_VALUE"""),1.028)</f>
        <v>1.028</v>
      </c>
      <c r="E9324" s="16">
        <f>IFERROR(__xludf.DUMMYFUNCTION("""COMPUTED_VALUE"""),63.0)</f>
        <v>63</v>
      </c>
      <c r="F9324" s="19" t="str">
        <f>IFERROR(__xludf.DUMMYFUNCTION("""COMPUTED_VALUE"""),"BLACK")</f>
        <v>BLACK</v>
      </c>
      <c r="G9324" s="20" t="str">
        <f>IFERROR(__xludf.DUMMYFUNCTION("""COMPUTED_VALUE"""),"Uncle Sams Cider (04/04/2023)")</f>
        <v>Uncle Sams Cider (04/04/2023)</v>
      </c>
      <c r="H9324" s="19"/>
    </row>
    <row r="9325">
      <c r="A9325" s="9"/>
      <c r="B9325" s="15"/>
      <c r="C9325" s="9">
        <f>IFERROR(__xludf.DUMMYFUNCTION("""COMPUTED_VALUE"""),45046.3023636689)</f>
        <v>45046.30236</v>
      </c>
      <c r="D9325" s="15">
        <f>IFERROR(__xludf.DUMMYFUNCTION("""COMPUTED_VALUE"""),1.027)</f>
        <v>1.027</v>
      </c>
      <c r="E9325" s="16">
        <f>IFERROR(__xludf.DUMMYFUNCTION("""COMPUTED_VALUE"""),64.0)</f>
        <v>64</v>
      </c>
      <c r="F9325" s="19" t="str">
        <f>IFERROR(__xludf.DUMMYFUNCTION("""COMPUTED_VALUE"""),"BLACK")</f>
        <v>BLACK</v>
      </c>
      <c r="G9325" s="20" t="str">
        <f>IFERROR(__xludf.DUMMYFUNCTION("""COMPUTED_VALUE"""),"Uncle Sams Cider (04/04/2023)")</f>
        <v>Uncle Sams Cider (04/04/2023)</v>
      </c>
      <c r="H9325" s="19"/>
    </row>
    <row r="9326">
      <c r="A9326" s="9"/>
      <c r="B9326" s="15"/>
      <c r="C9326" s="9">
        <f>IFERROR(__xludf.DUMMYFUNCTION("""COMPUTED_VALUE"""),45046.2919429745)</f>
        <v>45046.29194</v>
      </c>
      <c r="D9326" s="15">
        <f>IFERROR(__xludf.DUMMYFUNCTION("""COMPUTED_VALUE"""),1.028)</f>
        <v>1.028</v>
      </c>
      <c r="E9326" s="16">
        <f>IFERROR(__xludf.DUMMYFUNCTION("""COMPUTED_VALUE"""),64.0)</f>
        <v>64</v>
      </c>
      <c r="F9326" s="19" t="str">
        <f>IFERROR(__xludf.DUMMYFUNCTION("""COMPUTED_VALUE"""),"BLACK")</f>
        <v>BLACK</v>
      </c>
      <c r="G9326" s="20" t="str">
        <f>IFERROR(__xludf.DUMMYFUNCTION("""COMPUTED_VALUE"""),"Uncle Sams Cider (04/04/2023)")</f>
        <v>Uncle Sams Cider (04/04/2023)</v>
      </c>
      <c r="H9326" s="19"/>
    </row>
    <row r="9327">
      <c r="A9327" s="9"/>
      <c r="B9327" s="15"/>
      <c r="C9327" s="9">
        <f>IFERROR(__xludf.DUMMYFUNCTION("""COMPUTED_VALUE"""),45046.2815212847)</f>
        <v>45046.28152</v>
      </c>
      <c r="D9327" s="15">
        <f>IFERROR(__xludf.DUMMYFUNCTION("""COMPUTED_VALUE"""),1.027)</f>
        <v>1.027</v>
      </c>
      <c r="E9327" s="16">
        <f>IFERROR(__xludf.DUMMYFUNCTION("""COMPUTED_VALUE"""),64.0)</f>
        <v>64</v>
      </c>
      <c r="F9327" s="19" t="str">
        <f>IFERROR(__xludf.DUMMYFUNCTION("""COMPUTED_VALUE"""),"BLACK")</f>
        <v>BLACK</v>
      </c>
      <c r="G9327" s="20" t="str">
        <f>IFERROR(__xludf.DUMMYFUNCTION("""COMPUTED_VALUE"""),"Uncle Sams Cider (04/04/2023)")</f>
        <v>Uncle Sams Cider (04/04/2023)</v>
      </c>
      <c r="H9327" s="19"/>
    </row>
    <row r="9328">
      <c r="A9328" s="9"/>
      <c r="B9328" s="15"/>
      <c r="C9328" s="9">
        <f>IFERROR(__xludf.DUMMYFUNCTION("""COMPUTED_VALUE"""),45046.2710882523)</f>
        <v>45046.27109</v>
      </c>
      <c r="D9328" s="15">
        <f>IFERROR(__xludf.DUMMYFUNCTION("""COMPUTED_VALUE"""),1.028)</f>
        <v>1.028</v>
      </c>
      <c r="E9328" s="16">
        <f>IFERROR(__xludf.DUMMYFUNCTION("""COMPUTED_VALUE"""),64.0)</f>
        <v>64</v>
      </c>
      <c r="F9328" s="19" t="str">
        <f>IFERROR(__xludf.DUMMYFUNCTION("""COMPUTED_VALUE"""),"BLACK")</f>
        <v>BLACK</v>
      </c>
      <c r="G9328" s="20" t="str">
        <f>IFERROR(__xludf.DUMMYFUNCTION("""COMPUTED_VALUE"""),"Uncle Sams Cider (04/04/2023)")</f>
        <v>Uncle Sams Cider (04/04/2023)</v>
      </c>
      <c r="H9328" s="19"/>
    </row>
    <row r="9329">
      <c r="A9329" s="9"/>
      <c r="B9329" s="15"/>
      <c r="C9329" s="9">
        <f>IFERROR(__xludf.DUMMYFUNCTION("""COMPUTED_VALUE"""),45046.2606662615)</f>
        <v>45046.26067</v>
      </c>
      <c r="D9329" s="15">
        <f>IFERROR(__xludf.DUMMYFUNCTION("""COMPUTED_VALUE"""),1.027)</f>
        <v>1.027</v>
      </c>
      <c r="E9329" s="16">
        <f>IFERROR(__xludf.DUMMYFUNCTION("""COMPUTED_VALUE"""),64.0)</f>
        <v>64</v>
      </c>
      <c r="F9329" s="19" t="str">
        <f>IFERROR(__xludf.DUMMYFUNCTION("""COMPUTED_VALUE"""),"BLACK")</f>
        <v>BLACK</v>
      </c>
      <c r="G9329" s="20" t="str">
        <f>IFERROR(__xludf.DUMMYFUNCTION("""COMPUTED_VALUE"""),"Uncle Sams Cider (04/04/2023)")</f>
        <v>Uncle Sams Cider (04/04/2023)</v>
      </c>
      <c r="H9329" s="19"/>
    </row>
    <row r="9330">
      <c r="A9330" s="9"/>
      <c r="B9330" s="15"/>
      <c r="C9330" s="9">
        <f>IFERROR(__xludf.DUMMYFUNCTION("""COMPUTED_VALUE"""),45046.2502446527)</f>
        <v>45046.25024</v>
      </c>
      <c r="D9330" s="15">
        <f>IFERROR(__xludf.DUMMYFUNCTION("""COMPUTED_VALUE"""),1.027)</f>
        <v>1.027</v>
      </c>
      <c r="E9330" s="16">
        <f>IFERROR(__xludf.DUMMYFUNCTION("""COMPUTED_VALUE"""),63.0)</f>
        <v>63</v>
      </c>
      <c r="F9330" s="19" t="str">
        <f>IFERROR(__xludf.DUMMYFUNCTION("""COMPUTED_VALUE"""),"BLACK")</f>
        <v>BLACK</v>
      </c>
      <c r="G9330" s="20" t="str">
        <f>IFERROR(__xludf.DUMMYFUNCTION("""COMPUTED_VALUE"""),"Uncle Sams Cider (04/04/2023)")</f>
        <v>Uncle Sams Cider (04/04/2023)</v>
      </c>
      <c r="H9330" s="19"/>
    </row>
    <row r="9331">
      <c r="A9331" s="9"/>
      <c r="B9331" s="15"/>
      <c r="C9331" s="9">
        <f>IFERROR(__xludf.DUMMYFUNCTION("""COMPUTED_VALUE"""),45046.2398234838)</f>
        <v>45046.23982</v>
      </c>
      <c r="D9331" s="15">
        <f>IFERROR(__xludf.DUMMYFUNCTION("""COMPUTED_VALUE"""),1.027)</f>
        <v>1.027</v>
      </c>
      <c r="E9331" s="16">
        <f>IFERROR(__xludf.DUMMYFUNCTION("""COMPUTED_VALUE"""),64.0)</f>
        <v>64</v>
      </c>
      <c r="F9331" s="19" t="str">
        <f>IFERROR(__xludf.DUMMYFUNCTION("""COMPUTED_VALUE"""),"BLACK")</f>
        <v>BLACK</v>
      </c>
      <c r="G9331" s="20" t="str">
        <f>IFERROR(__xludf.DUMMYFUNCTION("""COMPUTED_VALUE"""),"Uncle Sams Cider (04/04/2023)")</f>
        <v>Uncle Sams Cider (04/04/2023)</v>
      </c>
      <c r="H9331" s="19"/>
    </row>
    <row r="9332">
      <c r="A9332" s="9"/>
      <c r="B9332" s="15"/>
      <c r="C9332" s="9">
        <f>IFERROR(__xludf.DUMMYFUNCTION("""COMPUTED_VALUE"""),45046.2293796643)</f>
        <v>45046.22938</v>
      </c>
      <c r="D9332" s="15">
        <f>IFERROR(__xludf.DUMMYFUNCTION("""COMPUTED_VALUE"""),1.028)</f>
        <v>1.028</v>
      </c>
      <c r="E9332" s="16">
        <f>IFERROR(__xludf.DUMMYFUNCTION("""COMPUTED_VALUE"""),64.0)</f>
        <v>64</v>
      </c>
      <c r="F9332" s="19" t="str">
        <f>IFERROR(__xludf.DUMMYFUNCTION("""COMPUTED_VALUE"""),"BLACK")</f>
        <v>BLACK</v>
      </c>
      <c r="G9332" s="20" t="str">
        <f>IFERROR(__xludf.DUMMYFUNCTION("""COMPUTED_VALUE"""),"Uncle Sams Cider (04/04/2023)")</f>
        <v>Uncle Sams Cider (04/04/2023)</v>
      </c>
      <c r="H9332" s="19"/>
    </row>
    <row r="9333">
      <c r="A9333" s="9"/>
      <c r="B9333" s="15"/>
      <c r="C9333" s="9">
        <f>IFERROR(__xludf.DUMMYFUNCTION("""COMPUTED_VALUE"""),45046.2189582407)</f>
        <v>45046.21896</v>
      </c>
      <c r="D9333" s="15">
        <f>IFERROR(__xludf.DUMMYFUNCTION("""COMPUTED_VALUE"""),1.027)</f>
        <v>1.027</v>
      </c>
      <c r="E9333" s="16">
        <f>IFERROR(__xludf.DUMMYFUNCTION("""COMPUTED_VALUE"""),63.0)</f>
        <v>63</v>
      </c>
      <c r="F9333" s="19" t="str">
        <f>IFERROR(__xludf.DUMMYFUNCTION("""COMPUTED_VALUE"""),"BLACK")</f>
        <v>BLACK</v>
      </c>
      <c r="G9333" s="20" t="str">
        <f>IFERROR(__xludf.DUMMYFUNCTION("""COMPUTED_VALUE"""),"Uncle Sams Cider (04/04/2023)")</f>
        <v>Uncle Sams Cider (04/04/2023)</v>
      </c>
      <c r="H9333" s="19"/>
    </row>
    <row r="9334">
      <c r="A9334" s="9"/>
      <c r="B9334" s="15"/>
      <c r="C9334" s="9">
        <f>IFERROR(__xludf.DUMMYFUNCTION("""COMPUTED_VALUE"""),45046.2085363773)</f>
        <v>45046.20854</v>
      </c>
      <c r="D9334" s="15">
        <f>IFERROR(__xludf.DUMMYFUNCTION("""COMPUTED_VALUE"""),1.027)</f>
        <v>1.027</v>
      </c>
      <c r="E9334" s="16">
        <f>IFERROR(__xludf.DUMMYFUNCTION("""COMPUTED_VALUE"""),64.0)</f>
        <v>64</v>
      </c>
      <c r="F9334" s="19" t="str">
        <f>IFERROR(__xludf.DUMMYFUNCTION("""COMPUTED_VALUE"""),"BLACK")</f>
        <v>BLACK</v>
      </c>
      <c r="G9334" s="20" t="str">
        <f>IFERROR(__xludf.DUMMYFUNCTION("""COMPUTED_VALUE"""),"Uncle Sams Cider (04/04/2023)")</f>
        <v>Uncle Sams Cider (04/04/2023)</v>
      </c>
      <c r="H9334" s="19"/>
    </row>
    <row r="9335">
      <c r="A9335" s="9"/>
      <c r="B9335" s="15"/>
      <c r="C9335" s="9">
        <f>IFERROR(__xludf.DUMMYFUNCTION("""COMPUTED_VALUE"""),45046.1981166666)</f>
        <v>45046.19812</v>
      </c>
      <c r="D9335" s="15">
        <f>IFERROR(__xludf.DUMMYFUNCTION("""COMPUTED_VALUE"""),1.027)</f>
        <v>1.027</v>
      </c>
      <c r="E9335" s="16">
        <f>IFERROR(__xludf.DUMMYFUNCTION("""COMPUTED_VALUE"""),63.0)</f>
        <v>63</v>
      </c>
      <c r="F9335" s="19" t="str">
        <f>IFERROR(__xludf.DUMMYFUNCTION("""COMPUTED_VALUE"""),"BLACK")</f>
        <v>BLACK</v>
      </c>
      <c r="G9335" s="20" t="str">
        <f>IFERROR(__xludf.DUMMYFUNCTION("""COMPUTED_VALUE"""),"Uncle Sams Cider (04/04/2023)")</f>
        <v>Uncle Sams Cider (04/04/2023)</v>
      </c>
      <c r="H9335" s="19"/>
    </row>
    <row r="9336">
      <c r="A9336" s="9"/>
      <c r="B9336" s="15"/>
      <c r="C9336" s="9">
        <f>IFERROR(__xludf.DUMMYFUNCTION("""COMPUTED_VALUE"""),45046.187695081)</f>
        <v>45046.1877</v>
      </c>
      <c r="D9336" s="15">
        <f>IFERROR(__xludf.DUMMYFUNCTION("""COMPUTED_VALUE"""),1.028)</f>
        <v>1.028</v>
      </c>
      <c r="E9336" s="16">
        <f>IFERROR(__xludf.DUMMYFUNCTION("""COMPUTED_VALUE"""),64.0)</f>
        <v>64</v>
      </c>
      <c r="F9336" s="19" t="str">
        <f>IFERROR(__xludf.DUMMYFUNCTION("""COMPUTED_VALUE"""),"BLACK")</f>
        <v>BLACK</v>
      </c>
      <c r="G9336" s="20" t="str">
        <f>IFERROR(__xludf.DUMMYFUNCTION("""COMPUTED_VALUE"""),"Uncle Sams Cider (04/04/2023)")</f>
        <v>Uncle Sams Cider (04/04/2023)</v>
      </c>
      <c r="H9336" s="19"/>
    </row>
    <row r="9337">
      <c r="A9337" s="9"/>
      <c r="B9337" s="15"/>
      <c r="C9337" s="9">
        <f>IFERROR(__xludf.DUMMYFUNCTION("""COMPUTED_VALUE"""),45046.177275868)</f>
        <v>45046.17728</v>
      </c>
      <c r="D9337" s="15">
        <f>IFERROR(__xludf.DUMMYFUNCTION("""COMPUTED_VALUE"""),1.028)</f>
        <v>1.028</v>
      </c>
      <c r="E9337" s="16">
        <f>IFERROR(__xludf.DUMMYFUNCTION("""COMPUTED_VALUE"""),64.0)</f>
        <v>64</v>
      </c>
      <c r="F9337" s="19" t="str">
        <f>IFERROR(__xludf.DUMMYFUNCTION("""COMPUTED_VALUE"""),"BLACK")</f>
        <v>BLACK</v>
      </c>
      <c r="G9337" s="20" t="str">
        <f>IFERROR(__xludf.DUMMYFUNCTION("""COMPUTED_VALUE"""),"Uncle Sams Cider (04/04/2023)")</f>
        <v>Uncle Sams Cider (04/04/2023)</v>
      </c>
      <c r="H9337" s="19"/>
    </row>
    <row r="9338">
      <c r="A9338" s="9"/>
      <c r="B9338" s="15"/>
      <c r="C9338" s="9">
        <f>IFERROR(__xludf.DUMMYFUNCTION("""COMPUTED_VALUE"""),45046.1668560879)</f>
        <v>45046.16686</v>
      </c>
      <c r="D9338" s="15">
        <f>IFERROR(__xludf.DUMMYFUNCTION("""COMPUTED_VALUE"""),1.027)</f>
        <v>1.027</v>
      </c>
      <c r="E9338" s="16">
        <f>IFERROR(__xludf.DUMMYFUNCTION("""COMPUTED_VALUE"""),63.0)</f>
        <v>63</v>
      </c>
      <c r="F9338" s="19" t="str">
        <f>IFERROR(__xludf.DUMMYFUNCTION("""COMPUTED_VALUE"""),"BLACK")</f>
        <v>BLACK</v>
      </c>
      <c r="G9338" s="20" t="str">
        <f>IFERROR(__xludf.DUMMYFUNCTION("""COMPUTED_VALUE"""),"Uncle Sams Cider (04/04/2023)")</f>
        <v>Uncle Sams Cider (04/04/2023)</v>
      </c>
      <c r="H9338" s="19"/>
    </row>
    <row r="9339">
      <c r="A9339" s="9"/>
      <c r="B9339" s="15"/>
      <c r="C9339" s="9">
        <f>IFERROR(__xludf.DUMMYFUNCTION("""COMPUTED_VALUE"""),45046.1564112615)</f>
        <v>45046.15641</v>
      </c>
      <c r="D9339" s="15">
        <f>IFERROR(__xludf.DUMMYFUNCTION("""COMPUTED_VALUE"""),1.028)</f>
        <v>1.028</v>
      </c>
      <c r="E9339" s="16">
        <f>IFERROR(__xludf.DUMMYFUNCTION("""COMPUTED_VALUE"""),63.0)</f>
        <v>63</v>
      </c>
      <c r="F9339" s="19" t="str">
        <f>IFERROR(__xludf.DUMMYFUNCTION("""COMPUTED_VALUE"""),"BLACK")</f>
        <v>BLACK</v>
      </c>
      <c r="G9339" s="20" t="str">
        <f>IFERROR(__xludf.DUMMYFUNCTION("""COMPUTED_VALUE"""),"Uncle Sams Cider (04/04/2023)")</f>
        <v>Uncle Sams Cider (04/04/2023)</v>
      </c>
      <c r="H9339" s="19"/>
    </row>
    <row r="9340">
      <c r="A9340" s="9"/>
      <c r="B9340" s="15"/>
      <c r="C9340" s="9">
        <f>IFERROR(__xludf.DUMMYFUNCTION("""COMPUTED_VALUE"""),45046.1459897916)</f>
        <v>45046.14599</v>
      </c>
      <c r="D9340" s="15">
        <f>IFERROR(__xludf.DUMMYFUNCTION("""COMPUTED_VALUE"""),1.028)</f>
        <v>1.028</v>
      </c>
      <c r="E9340" s="16">
        <f>IFERROR(__xludf.DUMMYFUNCTION("""COMPUTED_VALUE"""),64.0)</f>
        <v>64</v>
      </c>
      <c r="F9340" s="19" t="str">
        <f>IFERROR(__xludf.DUMMYFUNCTION("""COMPUTED_VALUE"""),"BLACK")</f>
        <v>BLACK</v>
      </c>
      <c r="G9340" s="20" t="str">
        <f>IFERROR(__xludf.DUMMYFUNCTION("""COMPUTED_VALUE"""),"Uncle Sams Cider (04/04/2023)")</f>
        <v>Uncle Sams Cider (04/04/2023)</v>
      </c>
      <c r="H9340" s="19"/>
    </row>
    <row r="9341">
      <c r="A9341" s="9"/>
      <c r="B9341" s="15"/>
      <c r="C9341" s="9">
        <f>IFERROR(__xludf.DUMMYFUNCTION("""COMPUTED_VALUE"""),45046.1355671064)</f>
        <v>45046.13557</v>
      </c>
      <c r="D9341" s="15">
        <f>IFERROR(__xludf.DUMMYFUNCTION("""COMPUTED_VALUE"""),1.027)</f>
        <v>1.027</v>
      </c>
      <c r="E9341" s="16">
        <f>IFERROR(__xludf.DUMMYFUNCTION("""COMPUTED_VALUE"""),64.0)</f>
        <v>64</v>
      </c>
      <c r="F9341" s="19" t="str">
        <f>IFERROR(__xludf.DUMMYFUNCTION("""COMPUTED_VALUE"""),"BLACK")</f>
        <v>BLACK</v>
      </c>
      <c r="G9341" s="20" t="str">
        <f>IFERROR(__xludf.DUMMYFUNCTION("""COMPUTED_VALUE"""),"Uncle Sams Cider (04/04/2023)")</f>
        <v>Uncle Sams Cider (04/04/2023)</v>
      </c>
      <c r="H9341" s="19"/>
    </row>
    <row r="9342">
      <c r="A9342" s="9"/>
      <c r="B9342" s="15"/>
      <c r="C9342" s="9">
        <f>IFERROR(__xludf.DUMMYFUNCTION("""COMPUTED_VALUE"""),45046.1251232407)</f>
        <v>45046.12512</v>
      </c>
      <c r="D9342" s="15">
        <f>IFERROR(__xludf.DUMMYFUNCTION("""COMPUTED_VALUE"""),1.028)</f>
        <v>1.028</v>
      </c>
      <c r="E9342" s="16">
        <f>IFERROR(__xludf.DUMMYFUNCTION("""COMPUTED_VALUE"""),63.0)</f>
        <v>63</v>
      </c>
      <c r="F9342" s="19" t="str">
        <f>IFERROR(__xludf.DUMMYFUNCTION("""COMPUTED_VALUE"""),"BLACK")</f>
        <v>BLACK</v>
      </c>
      <c r="G9342" s="20" t="str">
        <f>IFERROR(__xludf.DUMMYFUNCTION("""COMPUTED_VALUE"""),"Uncle Sams Cider (04/04/2023)")</f>
        <v>Uncle Sams Cider (04/04/2023)</v>
      </c>
      <c r="H9342" s="19"/>
    </row>
    <row r="9343">
      <c r="A9343" s="9"/>
      <c r="B9343" s="15"/>
      <c r="C9343" s="9">
        <f>IFERROR(__xludf.DUMMYFUNCTION("""COMPUTED_VALUE"""),45046.1147011574)</f>
        <v>45046.1147</v>
      </c>
      <c r="D9343" s="15">
        <f>IFERROR(__xludf.DUMMYFUNCTION("""COMPUTED_VALUE"""),1.028)</f>
        <v>1.028</v>
      </c>
      <c r="E9343" s="16">
        <f>IFERROR(__xludf.DUMMYFUNCTION("""COMPUTED_VALUE"""),64.0)</f>
        <v>64</v>
      </c>
      <c r="F9343" s="19" t="str">
        <f>IFERROR(__xludf.DUMMYFUNCTION("""COMPUTED_VALUE"""),"BLACK")</f>
        <v>BLACK</v>
      </c>
      <c r="G9343" s="20" t="str">
        <f>IFERROR(__xludf.DUMMYFUNCTION("""COMPUTED_VALUE"""),"Uncle Sams Cider (04/04/2023)")</f>
        <v>Uncle Sams Cider (04/04/2023)</v>
      </c>
      <c r="H9343" s="19"/>
    </row>
    <row r="9344">
      <c r="A9344" s="9"/>
      <c r="B9344" s="15"/>
      <c r="C9344" s="9">
        <f>IFERROR(__xludf.DUMMYFUNCTION("""COMPUTED_VALUE"""),45046.1042681481)</f>
        <v>45046.10427</v>
      </c>
      <c r="D9344" s="15">
        <f>IFERROR(__xludf.DUMMYFUNCTION("""COMPUTED_VALUE"""),1.028)</f>
        <v>1.028</v>
      </c>
      <c r="E9344" s="16">
        <f>IFERROR(__xludf.DUMMYFUNCTION("""COMPUTED_VALUE"""),63.0)</f>
        <v>63</v>
      </c>
      <c r="F9344" s="19" t="str">
        <f>IFERROR(__xludf.DUMMYFUNCTION("""COMPUTED_VALUE"""),"BLACK")</f>
        <v>BLACK</v>
      </c>
      <c r="G9344" s="20" t="str">
        <f>IFERROR(__xludf.DUMMYFUNCTION("""COMPUTED_VALUE"""),"Uncle Sams Cider (04/04/2023)")</f>
        <v>Uncle Sams Cider (04/04/2023)</v>
      </c>
      <c r="H9344" s="19"/>
    </row>
    <row r="9345">
      <c r="A9345" s="9"/>
      <c r="B9345" s="15"/>
      <c r="C9345" s="9">
        <f>IFERROR(__xludf.DUMMYFUNCTION("""COMPUTED_VALUE"""),45046.0938463773)</f>
        <v>45046.09385</v>
      </c>
      <c r="D9345" s="15">
        <f>IFERROR(__xludf.DUMMYFUNCTION("""COMPUTED_VALUE"""),1.028)</f>
        <v>1.028</v>
      </c>
      <c r="E9345" s="16">
        <f>IFERROR(__xludf.DUMMYFUNCTION("""COMPUTED_VALUE"""),64.0)</f>
        <v>64</v>
      </c>
      <c r="F9345" s="19" t="str">
        <f>IFERROR(__xludf.DUMMYFUNCTION("""COMPUTED_VALUE"""),"BLACK")</f>
        <v>BLACK</v>
      </c>
      <c r="G9345" s="20" t="str">
        <f>IFERROR(__xludf.DUMMYFUNCTION("""COMPUTED_VALUE"""),"Uncle Sams Cider (04/04/2023)")</f>
        <v>Uncle Sams Cider (04/04/2023)</v>
      </c>
      <c r="H9345" s="19"/>
    </row>
    <row r="9346">
      <c r="A9346" s="9"/>
      <c r="B9346" s="15"/>
      <c r="C9346" s="9">
        <f>IFERROR(__xludf.DUMMYFUNCTION("""COMPUTED_VALUE"""),45046.083423993)</f>
        <v>45046.08342</v>
      </c>
      <c r="D9346" s="15">
        <f>IFERROR(__xludf.DUMMYFUNCTION("""COMPUTED_VALUE"""),1.028)</f>
        <v>1.028</v>
      </c>
      <c r="E9346" s="16">
        <f>IFERROR(__xludf.DUMMYFUNCTION("""COMPUTED_VALUE"""),64.0)</f>
        <v>64</v>
      </c>
      <c r="F9346" s="19" t="str">
        <f>IFERROR(__xludf.DUMMYFUNCTION("""COMPUTED_VALUE"""),"BLACK")</f>
        <v>BLACK</v>
      </c>
      <c r="G9346" s="20" t="str">
        <f>IFERROR(__xludf.DUMMYFUNCTION("""COMPUTED_VALUE"""),"Uncle Sams Cider (04/04/2023)")</f>
        <v>Uncle Sams Cider (04/04/2023)</v>
      </c>
      <c r="H9346" s="19"/>
    </row>
    <row r="9347">
      <c r="A9347" s="9"/>
      <c r="B9347" s="15"/>
      <c r="C9347" s="9">
        <f>IFERROR(__xludf.DUMMYFUNCTION("""COMPUTED_VALUE"""),45046.0730043865)</f>
        <v>45046.073</v>
      </c>
      <c r="D9347" s="15">
        <f>IFERROR(__xludf.DUMMYFUNCTION("""COMPUTED_VALUE"""),1.028)</f>
        <v>1.028</v>
      </c>
      <c r="E9347" s="16">
        <f>IFERROR(__xludf.DUMMYFUNCTION("""COMPUTED_VALUE"""),64.0)</f>
        <v>64</v>
      </c>
      <c r="F9347" s="19" t="str">
        <f>IFERROR(__xludf.DUMMYFUNCTION("""COMPUTED_VALUE"""),"BLACK")</f>
        <v>BLACK</v>
      </c>
      <c r="G9347" s="20" t="str">
        <f>IFERROR(__xludf.DUMMYFUNCTION("""COMPUTED_VALUE"""),"Uncle Sams Cider (04/04/2023)")</f>
        <v>Uncle Sams Cider (04/04/2023)</v>
      </c>
      <c r="H9347" s="19"/>
    </row>
    <row r="9348">
      <c r="A9348" s="9"/>
      <c r="B9348" s="15"/>
      <c r="C9348" s="9">
        <f>IFERROR(__xludf.DUMMYFUNCTION("""COMPUTED_VALUE"""),45046.0625597222)</f>
        <v>45046.06256</v>
      </c>
      <c r="D9348" s="15">
        <f>IFERROR(__xludf.DUMMYFUNCTION("""COMPUTED_VALUE"""),1.028)</f>
        <v>1.028</v>
      </c>
      <c r="E9348" s="16">
        <f>IFERROR(__xludf.DUMMYFUNCTION("""COMPUTED_VALUE"""),64.0)</f>
        <v>64</v>
      </c>
      <c r="F9348" s="19" t="str">
        <f>IFERROR(__xludf.DUMMYFUNCTION("""COMPUTED_VALUE"""),"BLACK")</f>
        <v>BLACK</v>
      </c>
      <c r="G9348" s="20" t="str">
        <f>IFERROR(__xludf.DUMMYFUNCTION("""COMPUTED_VALUE"""),"Uncle Sams Cider (04/04/2023)")</f>
        <v>Uncle Sams Cider (04/04/2023)</v>
      </c>
      <c r="H9348" s="19"/>
    </row>
    <row r="9349">
      <c r="A9349" s="9"/>
      <c r="B9349" s="15"/>
      <c r="C9349" s="9">
        <f>IFERROR(__xludf.DUMMYFUNCTION("""COMPUTED_VALUE"""),45046.0521397453)</f>
        <v>45046.05214</v>
      </c>
      <c r="D9349" s="15">
        <f>IFERROR(__xludf.DUMMYFUNCTION("""COMPUTED_VALUE"""),1.028)</f>
        <v>1.028</v>
      </c>
      <c r="E9349" s="16">
        <f>IFERROR(__xludf.DUMMYFUNCTION("""COMPUTED_VALUE"""),63.0)</f>
        <v>63</v>
      </c>
      <c r="F9349" s="19" t="str">
        <f>IFERROR(__xludf.DUMMYFUNCTION("""COMPUTED_VALUE"""),"BLACK")</f>
        <v>BLACK</v>
      </c>
      <c r="G9349" s="20" t="str">
        <f>IFERROR(__xludf.DUMMYFUNCTION("""COMPUTED_VALUE"""),"Uncle Sams Cider (04/04/2023)")</f>
        <v>Uncle Sams Cider (04/04/2023)</v>
      </c>
      <c r="H9349" s="19"/>
    </row>
    <row r="9350">
      <c r="A9350" s="9"/>
      <c r="B9350" s="15"/>
      <c r="C9350" s="9">
        <f>IFERROR(__xludf.DUMMYFUNCTION("""COMPUTED_VALUE"""),45046.0417191782)</f>
        <v>45046.04172</v>
      </c>
      <c r="D9350" s="15">
        <f>IFERROR(__xludf.DUMMYFUNCTION("""COMPUTED_VALUE"""),1.028)</f>
        <v>1.028</v>
      </c>
      <c r="E9350" s="16">
        <f>IFERROR(__xludf.DUMMYFUNCTION("""COMPUTED_VALUE"""),64.0)</f>
        <v>64</v>
      </c>
      <c r="F9350" s="19" t="str">
        <f>IFERROR(__xludf.DUMMYFUNCTION("""COMPUTED_VALUE"""),"BLACK")</f>
        <v>BLACK</v>
      </c>
      <c r="G9350" s="20" t="str">
        <f>IFERROR(__xludf.DUMMYFUNCTION("""COMPUTED_VALUE"""),"Uncle Sams Cider (04/04/2023)")</f>
        <v>Uncle Sams Cider (04/04/2023)</v>
      </c>
      <c r="H9350" s="19"/>
    </row>
    <row r="9351">
      <c r="A9351" s="9"/>
      <c r="B9351" s="15"/>
      <c r="C9351" s="9">
        <f>IFERROR(__xludf.DUMMYFUNCTION("""COMPUTED_VALUE"""),45046.0208421064)</f>
        <v>45046.02084</v>
      </c>
      <c r="D9351" s="15">
        <f>IFERROR(__xludf.DUMMYFUNCTION("""COMPUTED_VALUE"""),1.028)</f>
        <v>1.028</v>
      </c>
      <c r="E9351" s="16">
        <f>IFERROR(__xludf.DUMMYFUNCTION("""COMPUTED_VALUE"""),63.0)</f>
        <v>63</v>
      </c>
      <c r="F9351" s="19" t="str">
        <f>IFERROR(__xludf.DUMMYFUNCTION("""COMPUTED_VALUE"""),"BLACK")</f>
        <v>BLACK</v>
      </c>
      <c r="G9351" s="20" t="str">
        <f>IFERROR(__xludf.DUMMYFUNCTION("""COMPUTED_VALUE"""),"Uncle Sams Cider (04/04/2023)")</f>
        <v>Uncle Sams Cider (04/04/2023)</v>
      </c>
      <c r="H9351" s="19"/>
    </row>
    <row r="9352">
      <c r="A9352" s="9"/>
      <c r="B9352" s="15"/>
      <c r="C9352" s="9">
        <f>IFERROR(__xludf.DUMMYFUNCTION("""COMPUTED_VALUE"""),45046.0104201851)</f>
        <v>45046.01042</v>
      </c>
      <c r="D9352" s="15">
        <f>IFERROR(__xludf.DUMMYFUNCTION("""COMPUTED_VALUE"""),1.028)</f>
        <v>1.028</v>
      </c>
      <c r="E9352" s="16">
        <f>IFERROR(__xludf.DUMMYFUNCTION("""COMPUTED_VALUE"""),64.0)</f>
        <v>64</v>
      </c>
      <c r="F9352" s="19" t="str">
        <f>IFERROR(__xludf.DUMMYFUNCTION("""COMPUTED_VALUE"""),"BLACK")</f>
        <v>BLACK</v>
      </c>
      <c r="G9352" s="20" t="str">
        <f>IFERROR(__xludf.DUMMYFUNCTION("""COMPUTED_VALUE"""),"Uncle Sams Cider (04/04/2023)")</f>
        <v>Uncle Sams Cider (04/04/2023)</v>
      </c>
      <c r="H9352" s="19"/>
    </row>
    <row r="9353">
      <c r="A9353" s="9"/>
      <c r="B9353" s="15"/>
      <c r="C9353" s="9">
        <f>IFERROR(__xludf.DUMMYFUNCTION("""COMPUTED_VALUE"""),45045.9999992824)</f>
        <v>45046</v>
      </c>
      <c r="D9353" s="15">
        <f>IFERROR(__xludf.DUMMYFUNCTION("""COMPUTED_VALUE"""),1.028)</f>
        <v>1.028</v>
      </c>
      <c r="E9353" s="16">
        <f>IFERROR(__xludf.DUMMYFUNCTION("""COMPUTED_VALUE"""),63.0)</f>
        <v>63</v>
      </c>
      <c r="F9353" s="19" t="str">
        <f>IFERROR(__xludf.DUMMYFUNCTION("""COMPUTED_VALUE"""),"BLACK")</f>
        <v>BLACK</v>
      </c>
      <c r="G9353" s="20" t="str">
        <f>IFERROR(__xludf.DUMMYFUNCTION("""COMPUTED_VALUE"""),"Uncle Sams Cider (04/04/2023)")</f>
        <v>Uncle Sams Cider (04/04/2023)</v>
      </c>
      <c r="H9353" s="19"/>
    </row>
    <row r="9354">
      <c r="A9354" s="9"/>
      <c r="B9354" s="15"/>
      <c r="C9354" s="9">
        <f>IFERROR(__xludf.DUMMYFUNCTION("""COMPUTED_VALUE"""),45045.9895784837)</f>
        <v>45045.98958</v>
      </c>
      <c r="D9354" s="15">
        <f>IFERROR(__xludf.DUMMYFUNCTION("""COMPUTED_VALUE"""),1.028)</f>
        <v>1.028</v>
      </c>
      <c r="E9354" s="16">
        <f>IFERROR(__xludf.DUMMYFUNCTION("""COMPUTED_VALUE"""),64.0)</f>
        <v>64</v>
      </c>
      <c r="F9354" s="19" t="str">
        <f>IFERROR(__xludf.DUMMYFUNCTION("""COMPUTED_VALUE"""),"BLACK")</f>
        <v>BLACK</v>
      </c>
      <c r="G9354" s="20" t="str">
        <f>IFERROR(__xludf.DUMMYFUNCTION("""COMPUTED_VALUE"""),"Uncle Sams Cider (04/04/2023)")</f>
        <v>Uncle Sams Cider (04/04/2023)</v>
      </c>
      <c r="H9354" s="19"/>
    </row>
    <row r="9355">
      <c r="A9355" s="9"/>
      <c r="B9355" s="15"/>
      <c r="C9355" s="9">
        <f>IFERROR(__xludf.DUMMYFUNCTION("""COMPUTED_VALUE"""),45045.9791580092)</f>
        <v>45045.97916</v>
      </c>
      <c r="D9355" s="15">
        <f>IFERROR(__xludf.DUMMYFUNCTION("""COMPUTED_VALUE"""),1.028)</f>
        <v>1.028</v>
      </c>
      <c r="E9355" s="16">
        <f>IFERROR(__xludf.DUMMYFUNCTION("""COMPUTED_VALUE"""),64.0)</f>
        <v>64</v>
      </c>
      <c r="F9355" s="19" t="str">
        <f>IFERROR(__xludf.DUMMYFUNCTION("""COMPUTED_VALUE"""),"BLACK")</f>
        <v>BLACK</v>
      </c>
      <c r="G9355" s="20" t="str">
        <f>IFERROR(__xludf.DUMMYFUNCTION("""COMPUTED_VALUE"""),"Uncle Sams Cider (04/04/2023)")</f>
        <v>Uncle Sams Cider (04/04/2023)</v>
      </c>
      <c r="H9355" s="19"/>
    </row>
    <row r="9356">
      <c r="A9356" s="9"/>
      <c r="B9356" s="15"/>
      <c r="C9356" s="9">
        <f>IFERROR(__xludf.DUMMYFUNCTION("""COMPUTED_VALUE"""),45045.9687367129)</f>
        <v>45045.96874</v>
      </c>
      <c r="D9356" s="15">
        <f>IFERROR(__xludf.DUMMYFUNCTION("""COMPUTED_VALUE"""),1.028)</f>
        <v>1.028</v>
      </c>
      <c r="E9356" s="16">
        <f>IFERROR(__xludf.DUMMYFUNCTION("""COMPUTED_VALUE"""),63.0)</f>
        <v>63</v>
      </c>
      <c r="F9356" s="19" t="str">
        <f>IFERROR(__xludf.DUMMYFUNCTION("""COMPUTED_VALUE"""),"BLACK")</f>
        <v>BLACK</v>
      </c>
      <c r="G9356" s="20" t="str">
        <f>IFERROR(__xludf.DUMMYFUNCTION("""COMPUTED_VALUE"""),"Uncle Sams Cider (04/04/2023)")</f>
        <v>Uncle Sams Cider (04/04/2023)</v>
      </c>
      <c r="H9356" s="19"/>
    </row>
    <row r="9357">
      <c r="A9357" s="9"/>
      <c r="B9357" s="15"/>
      <c r="C9357" s="9">
        <f>IFERROR(__xludf.DUMMYFUNCTION("""COMPUTED_VALUE"""),45045.9583156713)</f>
        <v>45045.95832</v>
      </c>
      <c r="D9357" s="15">
        <f>IFERROR(__xludf.DUMMYFUNCTION("""COMPUTED_VALUE"""),1.028)</f>
        <v>1.028</v>
      </c>
      <c r="E9357" s="16">
        <f>IFERROR(__xludf.DUMMYFUNCTION("""COMPUTED_VALUE"""),63.0)</f>
        <v>63</v>
      </c>
      <c r="F9357" s="19" t="str">
        <f>IFERROR(__xludf.DUMMYFUNCTION("""COMPUTED_VALUE"""),"BLACK")</f>
        <v>BLACK</v>
      </c>
      <c r="G9357" s="20" t="str">
        <f>IFERROR(__xludf.DUMMYFUNCTION("""COMPUTED_VALUE"""),"Uncle Sams Cider (04/04/2023)")</f>
        <v>Uncle Sams Cider (04/04/2023)</v>
      </c>
      <c r="H9357" s="19"/>
    </row>
    <row r="9358">
      <c r="A9358" s="9"/>
      <c r="B9358" s="15"/>
      <c r="C9358" s="9">
        <f>IFERROR(__xludf.DUMMYFUNCTION("""COMPUTED_VALUE"""),45045.9478948842)</f>
        <v>45045.94789</v>
      </c>
      <c r="D9358" s="15">
        <f>IFERROR(__xludf.DUMMYFUNCTION("""COMPUTED_VALUE"""),1.028)</f>
        <v>1.028</v>
      </c>
      <c r="E9358" s="16">
        <f>IFERROR(__xludf.DUMMYFUNCTION("""COMPUTED_VALUE"""),63.0)</f>
        <v>63</v>
      </c>
      <c r="F9358" s="19" t="str">
        <f>IFERROR(__xludf.DUMMYFUNCTION("""COMPUTED_VALUE"""),"BLACK")</f>
        <v>BLACK</v>
      </c>
      <c r="G9358" s="20" t="str">
        <f>IFERROR(__xludf.DUMMYFUNCTION("""COMPUTED_VALUE"""),"Uncle Sams Cider (04/04/2023)")</f>
        <v>Uncle Sams Cider (04/04/2023)</v>
      </c>
      <c r="H9358" s="19"/>
    </row>
    <row r="9359">
      <c r="A9359" s="9"/>
      <c r="B9359" s="15"/>
      <c r="C9359" s="9">
        <f>IFERROR(__xludf.DUMMYFUNCTION("""COMPUTED_VALUE"""),45045.9374619791)</f>
        <v>45045.93746</v>
      </c>
      <c r="D9359" s="15">
        <f>IFERROR(__xludf.DUMMYFUNCTION("""COMPUTED_VALUE"""),1.028)</f>
        <v>1.028</v>
      </c>
      <c r="E9359" s="16">
        <f>IFERROR(__xludf.DUMMYFUNCTION("""COMPUTED_VALUE"""),64.0)</f>
        <v>64</v>
      </c>
      <c r="F9359" s="19" t="str">
        <f>IFERROR(__xludf.DUMMYFUNCTION("""COMPUTED_VALUE"""),"BLACK")</f>
        <v>BLACK</v>
      </c>
      <c r="G9359" s="20" t="str">
        <f>IFERROR(__xludf.DUMMYFUNCTION("""COMPUTED_VALUE"""),"Uncle Sams Cider (04/04/2023)")</f>
        <v>Uncle Sams Cider (04/04/2023)</v>
      </c>
      <c r="H9359" s="19"/>
    </row>
    <row r="9360">
      <c r="A9360" s="9"/>
      <c r="B9360" s="15"/>
      <c r="C9360" s="9">
        <f>IFERROR(__xludf.DUMMYFUNCTION("""COMPUTED_VALUE"""),45045.9270391782)</f>
        <v>45045.92704</v>
      </c>
      <c r="D9360" s="15">
        <f>IFERROR(__xludf.DUMMYFUNCTION("""COMPUTED_VALUE"""),1.028)</f>
        <v>1.028</v>
      </c>
      <c r="E9360" s="16">
        <f>IFERROR(__xludf.DUMMYFUNCTION("""COMPUTED_VALUE"""),63.0)</f>
        <v>63</v>
      </c>
      <c r="F9360" s="19" t="str">
        <f>IFERROR(__xludf.DUMMYFUNCTION("""COMPUTED_VALUE"""),"BLACK")</f>
        <v>BLACK</v>
      </c>
      <c r="G9360" s="20" t="str">
        <f>IFERROR(__xludf.DUMMYFUNCTION("""COMPUTED_VALUE"""),"Uncle Sams Cider (04/04/2023)")</f>
        <v>Uncle Sams Cider (04/04/2023)</v>
      </c>
      <c r="H9360" s="19"/>
    </row>
    <row r="9361">
      <c r="A9361" s="9"/>
      <c r="B9361" s="15"/>
      <c r="C9361" s="9">
        <f>IFERROR(__xludf.DUMMYFUNCTION("""COMPUTED_VALUE"""),45045.9166073842)</f>
        <v>45045.91661</v>
      </c>
      <c r="D9361" s="15">
        <f>IFERROR(__xludf.DUMMYFUNCTION("""COMPUTED_VALUE"""),1.028)</f>
        <v>1.028</v>
      </c>
      <c r="E9361" s="16">
        <f>IFERROR(__xludf.DUMMYFUNCTION("""COMPUTED_VALUE"""),63.0)</f>
        <v>63</v>
      </c>
      <c r="F9361" s="19" t="str">
        <f>IFERROR(__xludf.DUMMYFUNCTION("""COMPUTED_VALUE"""),"BLACK")</f>
        <v>BLACK</v>
      </c>
      <c r="G9361" s="20" t="str">
        <f>IFERROR(__xludf.DUMMYFUNCTION("""COMPUTED_VALUE"""),"Uncle Sams Cider (04/04/2023)")</f>
        <v>Uncle Sams Cider (04/04/2023)</v>
      </c>
      <c r="H9361" s="19"/>
    </row>
    <row r="9362">
      <c r="A9362" s="9"/>
      <c r="B9362" s="15"/>
      <c r="C9362" s="9">
        <f>IFERROR(__xludf.DUMMYFUNCTION("""COMPUTED_VALUE"""),45045.9061746412)</f>
        <v>45045.90617</v>
      </c>
      <c r="D9362" s="15">
        <f>IFERROR(__xludf.DUMMYFUNCTION("""COMPUTED_VALUE"""),1.028)</f>
        <v>1.028</v>
      </c>
      <c r="E9362" s="16">
        <f>IFERROR(__xludf.DUMMYFUNCTION("""COMPUTED_VALUE"""),63.0)</f>
        <v>63</v>
      </c>
      <c r="F9362" s="19" t="str">
        <f>IFERROR(__xludf.DUMMYFUNCTION("""COMPUTED_VALUE"""),"BLACK")</f>
        <v>BLACK</v>
      </c>
      <c r="G9362" s="20" t="str">
        <f>IFERROR(__xludf.DUMMYFUNCTION("""COMPUTED_VALUE"""),"Uncle Sams Cider (04/04/2023)")</f>
        <v>Uncle Sams Cider (04/04/2023)</v>
      </c>
      <c r="H9362" s="19"/>
    </row>
    <row r="9363">
      <c r="A9363" s="9"/>
      <c r="B9363" s="15"/>
      <c r="C9363" s="9">
        <f>IFERROR(__xludf.DUMMYFUNCTION("""COMPUTED_VALUE"""),45045.8957428125)</f>
        <v>45045.89574</v>
      </c>
      <c r="D9363" s="15">
        <f>IFERROR(__xludf.DUMMYFUNCTION("""COMPUTED_VALUE"""),1.028)</f>
        <v>1.028</v>
      </c>
      <c r="E9363" s="16">
        <f>IFERROR(__xludf.DUMMYFUNCTION("""COMPUTED_VALUE"""),63.0)</f>
        <v>63</v>
      </c>
      <c r="F9363" s="19" t="str">
        <f>IFERROR(__xludf.DUMMYFUNCTION("""COMPUTED_VALUE"""),"BLACK")</f>
        <v>BLACK</v>
      </c>
      <c r="G9363" s="20" t="str">
        <f>IFERROR(__xludf.DUMMYFUNCTION("""COMPUTED_VALUE"""),"Uncle Sams Cider (04/04/2023)")</f>
        <v>Uncle Sams Cider (04/04/2023)</v>
      </c>
      <c r="H9363" s="19"/>
    </row>
    <row r="9364">
      <c r="A9364" s="9"/>
      <c r="B9364" s="15"/>
      <c r="C9364" s="9">
        <f>IFERROR(__xludf.DUMMYFUNCTION("""COMPUTED_VALUE"""),45045.8853216319)</f>
        <v>45045.88532</v>
      </c>
      <c r="D9364" s="15">
        <f>IFERROR(__xludf.DUMMYFUNCTION("""COMPUTED_VALUE"""),1.028)</f>
        <v>1.028</v>
      </c>
      <c r="E9364" s="16">
        <f>IFERROR(__xludf.DUMMYFUNCTION("""COMPUTED_VALUE"""),63.0)</f>
        <v>63</v>
      </c>
      <c r="F9364" s="19" t="str">
        <f>IFERROR(__xludf.DUMMYFUNCTION("""COMPUTED_VALUE"""),"BLACK")</f>
        <v>BLACK</v>
      </c>
      <c r="G9364" s="20" t="str">
        <f>IFERROR(__xludf.DUMMYFUNCTION("""COMPUTED_VALUE"""),"Uncle Sams Cider (04/04/2023)")</f>
        <v>Uncle Sams Cider (04/04/2023)</v>
      </c>
      <c r="H9364" s="19"/>
    </row>
    <row r="9365">
      <c r="A9365" s="9"/>
      <c r="B9365" s="15"/>
      <c r="C9365" s="9">
        <f>IFERROR(__xludf.DUMMYFUNCTION("""COMPUTED_VALUE"""),45045.8748891898)</f>
        <v>45045.87489</v>
      </c>
      <c r="D9365" s="15">
        <f>IFERROR(__xludf.DUMMYFUNCTION("""COMPUTED_VALUE"""),1.028)</f>
        <v>1.028</v>
      </c>
      <c r="E9365" s="16">
        <f>IFERROR(__xludf.DUMMYFUNCTION("""COMPUTED_VALUE"""),63.0)</f>
        <v>63</v>
      </c>
      <c r="F9365" s="19" t="str">
        <f>IFERROR(__xludf.DUMMYFUNCTION("""COMPUTED_VALUE"""),"BLACK")</f>
        <v>BLACK</v>
      </c>
      <c r="G9365" s="20" t="str">
        <f>IFERROR(__xludf.DUMMYFUNCTION("""COMPUTED_VALUE"""),"Uncle Sams Cider (04/04/2023)")</f>
        <v>Uncle Sams Cider (04/04/2023)</v>
      </c>
      <c r="H9365" s="19"/>
    </row>
    <row r="9366">
      <c r="A9366" s="9"/>
      <c r="B9366" s="15"/>
      <c r="C9366" s="9">
        <f>IFERROR(__xludf.DUMMYFUNCTION("""COMPUTED_VALUE"""),45045.8644570486)</f>
        <v>45045.86446</v>
      </c>
      <c r="D9366" s="15">
        <f>IFERROR(__xludf.DUMMYFUNCTION("""COMPUTED_VALUE"""),1.028)</f>
        <v>1.028</v>
      </c>
      <c r="E9366" s="16">
        <f>IFERROR(__xludf.DUMMYFUNCTION("""COMPUTED_VALUE"""),63.0)</f>
        <v>63</v>
      </c>
      <c r="F9366" s="19" t="str">
        <f>IFERROR(__xludf.DUMMYFUNCTION("""COMPUTED_VALUE"""),"BLACK")</f>
        <v>BLACK</v>
      </c>
      <c r="G9366" s="20" t="str">
        <f>IFERROR(__xludf.DUMMYFUNCTION("""COMPUTED_VALUE"""),"Uncle Sams Cider (04/04/2023)")</f>
        <v>Uncle Sams Cider (04/04/2023)</v>
      </c>
      <c r="H9366" s="19"/>
    </row>
    <row r="9367">
      <c r="A9367" s="9"/>
      <c r="B9367" s="15"/>
      <c r="C9367" s="9">
        <f>IFERROR(__xludf.DUMMYFUNCTION("""COMPUTED_VALUE"""),45045.8540236574)</f>
        <v>45045.85402</v>
      </c>
      <c r="D9367" s="15">
        <f>IFERROR(__xludf.DUMMYFUNCTION("""COMPUTED_VALUE"""),1.028)</f>
        <v>1.028</v>
      </c>
      <c r="E9367" s="16">
        <f>IFERROR(__xludf.DUMMYFUNCTION("""COMPUTED_VALUE"""),63.0)</f>
        <v>63</v>
      </c>
      <c r="F9367" s="19" t="str">
        <f>IFERROR(__xludf.DUMMYFUNCTION("""COMPUTED_VALUE"""),"BLACK")</f>
        <v>BLACK</v>
      </c>
      <c r="G9367" s="20" t="str">
        <f>IFERROR(__xludf.DUMMYFUNCTION("""COMPUTED_VALUE"""),"Uncle Sams Cider (04/04/2023)")</f>
        <v>Uncle Sams Cider (04/04/2023)</v>
      </c>
      <c r="H9367" s="19"/>
    </row>
    <row r="9368">
      <c r="A9368" s="9"/>
      <c r="B9368" s="15"/>
      <c r="C9368" s="9">
        <f>IFERROR(__xludf.DUMMYFUNCTION("""COMPUTED_VALUE"""),45045.8435911921)</f>
        <v>45045.84359</v>
      </c>
      <c r="D9368" s="15">
        <f>IFERROR(__xludf.DUMMYFUNCTION("""COMPUTED_VALUE"""),1.028)</f>
        <v>1.028</v>
      </c>
      <c r="E9368" s="16">
        <f>IFERROR(__xludf.DUMMYFUNCTION("""COMPUTED_VALUE"""),63.0)</f>
        <v>63</v>
      </c>
      <c r="F9368" s="19" t="str">
        <f>IFERROR(__xludf.DUMMYFUNCTION("""COMPUTED_VALUE"""),"BLACK")</f>
        <v>BLACK</v>
      </c>
      <c r="G9368" s="20" t="str">
        <f>IFERROR(__xludf.DUMMYFUNCTION("""COMPUTED_VALUE"""),"Uncle Sams Cider (04/04/2023)")</f>
        <v>Uncle Sams Cider (04/04/2023)</v>
      </c>
      <c r="H9368" s="19"/>
    </row>
    <row r="9369">
      <c r="A9369" s="9"/>
      <c r="B9369" s="15"/>
      <c r="C9369" s="9">
        <f>IFERROR(__xludf.DUMMYFUNCTION("""COMPUTED_VALUE"""),45045.8331346296)</f>
        <v>45045.83313</v>
      </c>
      <c r="D9369" s="15">
        <f>IFERROR(__xludf.DUMMYFUNCTION("""COMPUTED_VALUE"""),1.028)</f>
        <v>1.028</v>
      </c>
      <c r="E9369" s="16">
        <f>IFERROR(__xludf.DUMMYFUNCTION("""COMPUTED_VALUE"""),63.0)</f>
        <v>63</v>
      </c>
      <c r="F9369" s="19" t="str">
        <f>IFERROR(__xludf.DUMMYFUNCTION("""COMPUTED_VALUE"""),"BLACK")</f>
        <v>BLACK</v>
      </c>
      <c r="G9369" s="20" t="str">
        <f>IFERROR(__xludf.DUMMYFUNCTION("""COMPUTED_VALUE"""),"Uncle Sams Cider (04/04/2023)")</f>
        <v>Uncle Sams Cider (04/04/2023)</v>
      </c>
      <c r="H9369" s="19"/>
    </row>
    <row r="9370">
      <c r="A9370" s="9"/>
      <c r="B9370" s="15"/>
      <c r="C9370" s="9">
        <f>IFERROR(__xludf.DUMMYFUNCTION("""COMPUTED_VALUE"""),45045.8226799305)</f>
        <v>45045.82268</v>
      </c>
      <c r="D9370" s="15">
        <f>IFERROR(__xludf.DUMMYFUNCTION("""COMPUTED_VALUE"""),1.028)</f>
        <v>1.028</v>
      </c>
      <c r="E9370" s="16">
        <f>IFERROR(__xludf.DUMMYFUNCTION("""COMPUTED_VALUE"""),63.0)</f>
        <v>63</v>
      </c>
      <c r="F9370" s="19" t="str">
        <f>IFERROR(__xludf.DUMMYFUNCTION("""COMPUTED_VALUE"""),"BLACK")</f>
        <v>BLACK</v>
      </c>
      <c r="G9370" s="20" t="str">
        <f>IFERROR(__xludf.DUMMYFUNCTION("""COMPUTED_VALUE"""),"Uncle Sams Cider (04/04/2023)")</f>
        <v>Uncle Sams Cider (04/04/2023)</v>
      </c>
      <c r="H9370" s="19"/>
    </row>
    <row r="9371">
      <c r="A9371" s="9"/>
      <c r="B9371" s="15"/>
      <c r="C9371" s="9">
        <f>IFERROR(__xludf.DUMMYFUNCTION("""COMPUTED_VALUE"""),45045.8122595486)</f>
        <v>45045.81226</v>
      </c>
      <c r="D9371" s="15">
        <f>IFERROR(__xludf.DUMMYFUNCTION("""COMPUTED_VALUE"""),1.028)</f>
        <v>1.028</v>
      </c>
      <c r="E9371" s="16">
        <f>IFERROR(__xludf.DUMMYFUNCTION("""COMPUTED_VALUE"""),63.0)</f>
        <v>63</v>
      </c>
      <c r="F9371" s="19" t="str">
        <f>IFERROR(__xludf.DUMMYFUNCTION("""COMPUTED_VALUE"""),"BLACK")</f>
        <v>BLACK</v>
      </c>
      <c r="G9371" s="20" t="str">
        <f>IFERROR(__xludf.DUMMYFUNCTION("""COMPUTED_VALUE"""),"Uncle Sams Cider (04/04/2023)")</f>
        <v>Uncle Sams Cider (04/04/2023)</v>
      </c>
      <c r="H9371" s="19"/>
    </row>
    <row r="9372">
      <c r="A9372" s="9"/>
      <c r="B9372" s="15"/>
      <c r="C9372" s="9">
        <f>IFERROR(__xludf.DUMMYFUNCTION("""COMPUTED_VALUE"""),45045.8018390856)</f>
        <v>45045.80184</v>
      </c>
      <c r="D9372" s="15">
        <f>IFERROR(__xludf.DUMMYFUNCTION("""COMPUTED_VALUE"""),1.028)</f>
        <v>1.028</v>
      </c>
      <c r="E9372" s="16">
        <f>IFERROR(__xludf.DUMMYFUNCTION("""COMPUTED_VALUE"""),63.0)</f>
        <v>63</v>
      </c>
      <c r="F9372" s="19" t="str">
        <f>IFERROR(__xludf.DUMMYFUNCTION("""COMPUTED_VALUE"""),"BLACK")</f>
        <v>BLACK</v>
      </c>
      <c r="G9372" s="20" t="str">
        <f>IFERROR(__xludf.DUMMYFUNCTION("""COMPUTED_VALUE"""),"Uncle Sams Cider (04/04/2023)")</f>
        <v>Uncle Sams Cider (04/04/2023)</v>
      </c>
      <c r="H9372" s="19"/>
    </row>
    <row r="9373">
      <c r="A9373" s="9"/>
      <c r="B9373" s="15"/>
      <c r="C9373" s="9">
        <f>IFERROR(__xludf.DUMMYFUNCTION("""COMPUTED_VALUE"""),45045.7914174537)</f>
        <v>45045.79142</v>
      </c>
      <c r="D9373" s="15">
        <f>IFERROR(__xludf.DUMMYFUNCTION("""COMPUTED_VALUE"""),1.028)</f>
        <v>1.028</v>
      </c>
      <c r="E9373" s="16">
        <f>IFERROR(__xludf.DUMMYFUNCTION("""COMPUTED_VALUE"""),63.0)</f>
        <v>63</v>
      </c>
      <c r="F9373" s="19" t="str">
        <f>IFERROR(__xludf.DUMMYFUNCTION("""COMPUTED_VALUE"""),"BLACK")</f>
        <v>BLACK</v>
      </c>
      <c r="G9373" s="20" t="str">
        <f>IFERROR(__xludf.DUMMYFUNCTION("""COMPUTED_VALUE"""),"Uncle Sams Cider (04/04/2023)")</f>
        <v>Uncle Sams Cider (04/04/2023)</v>
      </c>
      <c r="H9373" s="19"/>
    </row>
    <row r="9374">
      <c r="A9374" s="9"/>
      <c r="B9374" s="15"/>
      <c r="C9374" s="9">
        <f>IFERROR(__xludf.DUMMYFUNCTION("""COMPUTED_VALUE"""),45045.7809930902)</f>
        <v>45045.78099</v>
      </c>
      <c r="D9374" s="15">
        <f>IFERROR(__xludf.DUMMYFUNCTION("""COMPUTED_VALUE"""),1.028)</f>
        <v>1.028</v>
      </c>
      <c r="E9374" s="16">
        <f>IFERROR(__xludf.DUMMYFUNCTION("""COMPUTED_VALUE"""),63.0)</f>
        <v>63</v>
      </c>
      <c r="F9374" s="19" t="str">
        <f>IFERROR(__xludf.DUMMYFUNCTION("""COMPUTED_VALUE"""),"BLACK")</f>
        <v>BLACK</v>
      </c>
      <c r="G9374" s="20" t="str">
        <f>IFERROR(__xludf.DUMMYFUNCTION("""COMPUTED_VALUE"""),"Uncle Sams Cider (04/04/2023)")</f>
        <v>Uncle Sams Cider (04/04/2023)</v>
      </c>
      <c r="H9374" s="19"/>
    </row>
    <row r="9375">
      <c r="A9375" s="9"/>
      <c r="B9375" s="15"/>
      <c r="C9375" s="9">
        <f>IFERROR(__xludf.DUMMYFUNCTION("""COMPUTED_VALUE"""),45045.7705597338)</f>
        <v>45045.77056</v>
      </c>
      <c r="D9375" s="15">
        <f>IFERROR(__xludf.DUMMYFUNCTION("""COMPUTED_VALUE"""),1.028)</f>
        <v>1.028</v>
      </c>
      <c r="E9375" s="16">
        <f>IFERROR(__xludf.DUMMYFUNCTION("""COMPUTED_VALUE"""),63.0)</f>
        <v>63</v>
      </c>
      <c r="F9375" s="19" t="str">
        <f>IFERROR(__xludf.DUMMYFUNCTION("""COMPUTED_VALUE"""),"BLACK")</f>
        <v>BLACK</v>
      </c>
      <c r="G9375" s="20" t="str">
        <f>IFERROR(__xludf.DUMMYFUNCTION("""COMPUTED_VALUE"""),"Uncle Sams Cider (04/04/2023)")</f>
        <v>Uncle Sams Cider (04/04/2023)</v>
      </c>
      <c r="H9375" s="19"/>
    </row>
    <row r="9376">
      <c r="A9376" s="9"/>
      <c r="B9376" s="15"/>
      <c r="C9376" s="9">
        <f>IFERROR(__xludf.DUMMYFUNCTION("""COMPUTED_VALUE"""),45045.7601037384)</f>
        <v>45045.7601</v>
      </c>
      <c r="D9376" s="15">
        <f>IFERROR(__xludf.DUMMYFUNCTION("""COMPUTED_VALUE"""),1.028)</f>
        <v>1.028</v>
      </c>
      <c r="E9376" s="16">
        <f>IFERROR(__xludf.DUMMYFUNCTION("""COMPUTED_VALUE"""),63.0)</f>
        <v>63</v>
      </c>
      <c r="F9376" s="19" t="str">
        <f>IFERROR(__xludf.DUMMYFUNCTION("""COMPUTED_VALUE"""),"BLACK")</f>
        <v>BLACK</v>
      </c>
      <c r="G9376" s="20" t="str">
        <f>IFERROR(__xludf.DUMMYFUNCTION("""COMPUTED_VALUE"""),"Uncle Sams Cider (04/04/2023)")</f>
        <v>Uncle Sams Cider (04/04/2023)</v>
      </c>
      <c r="H9376" s="19"/>
    </row>
    <row r="9377">
      <c r="A9377" s="9"/>
      <c r="B9377" s="15"/>
      <c r="C9377" s="9">
        <f>IFERROR(__xludf.DUMMYFUNCTION("""COMPUTED_VALUE"""),45045.7496833217)</f>
        <v>45045.74968</v>
      </c>
      <c r="D9377" s="15">
        <f>IFERROR(__xludf.DUMMYFUNCTION("""COMPUTED_VALUE"""),1.028)</f>
        <v>1.028</v>
      </c>
      <c r="E9377" s="16">
        <f>IFERROR(__xludf.DUMMYFUNCTION("""COMPUTED_VALUE"""),63.0)</f>
        <v>63</v>
      </c>
      <c r="F9377" s="19" t="str">
        <f>IFERROR(__xludf.DUMMYFUNCTION("""COMPUTED_VALUE"""),"BLACK")</f>
        <v>BLACK</v>
      </c>
      <c r="G9377" s="20" t="str">
        <f>IFERROR(__xludf.DUMMYFUNCTION("""COMPUTED_VALUE"""),"Uncle Sams Cider (04/04/2023)")</f>
        <v>Uncle Sams Cider (04/04/2023)</v>
      </c>
      <c r="H9377" s="19"/>
    </row>
    <row r="9378">
      <c r="A9378" s="9"/>
      <c r="B9378" s="15"/>
      <c r="C9378" s="9">
        <f>IFERROR(__xludf.DUMMYFUNCTION("""COMPUTED_VALUE"""),45045.7392267708)</f>
        <v>45045.73923</v>
      </c>
      <c r="D9378" s="15">
        <f>IFERROR(__xludf.DUMMYFUNCTION("""COMPUTED_VALUE"""),1.028)</f>
        <v>1.028</v>
      </c>
      <c r="E9378" s="16">
        <f>IFERROR(__xludf.DUMMYFUNCTION("""COMPUTED_VALUE"""),63.0)</f>
        <v>63</v>
      </c>
      <c r="F9378" s="19" t="str">
        <f>IFERROR(__xludf.DUMMYFUNCTION("""COMPUTED_VALUE"""),"BLACK")</f>
        <v>BLACK</v>
      </c>
      <c r="G9378" s="20" t="str">
        <f>IFERROR(__xludf.DUMMYFUNCTION("""COMPUTED_VALUE"""),"Uncle Sams Cider (04/04/2023)")</f>
        <v>Uncle Sams Cider (04/04/2023)</v>
      </c>
      <c r="H9378" s="19"/>
    </row>
    <row r="9379">
      <c r="A9379" s="9"/>
      <c r="B9379" s="15"/>
      <c r="C9379" s="9">
        <f>IFERROR(__xludf.DUMMYFUNCTION("""COMPUTED_VALUE"""),45045.7287932986)</f>
        <v>45045.72879</v>
      </c>
      <c r="D9379" s="15">
        <f>IFERROR(__xludf.DUMMYFUNCTION("""COMPUTED_VALUE"""),1.028)</f>
        <v>1.028</v>
      </c>
      <c r="E9379" s="16">
        <f>IFERROR(__xludf.DUMMYFUNCTION("""COMPUTED_VALUE"""),63.0)</f>
        <v>63</v>
      </c>
      <c r="F9379" s="19" t="str">
        <f>IFERROR(__xludf.DUMMYFUNCTION("""COMPUTED_VALUE"""),"BLACK")</f>
        <v>BLACK</v>
      </c>
      <c r="G9379" s="20" t="str">
        <f>IFERROR(__xludf.DUMMYFUNCTION("""COMPUTED_VALUE"""),"Uncle Sams Cider (04/04/2023)")</f>
        <v>Uncle Sams Cider (04/04/2023)</v>
      </c>
      <c r="H9379" s="19"/>
    </row>
    <row r="9380">
      <c r="A9380" s="9"/>
      <c r="B9380" s="15"/>
      <c r="C9380" s="9">
        <f>IFERROR(__xludf.DUMMYFUNCTION("""COMPUTED_VALUE"""),45045.71837125)</f>
        <v>45045.71837</v>
      </c>
      <c r="D9380" s="15">
        <f>IFERROR(__xludf.DUMMYFUNCTION("""COMPUTED_VALUE"""),1.028)</f>
        <v>1.028</v>
      </c>
      <c r="E9380" s="16">
        <f>IFERROR(__xludf.DUMMYFUNCTION("""COMPUTED_VALUE"""),63.0)</f>
        <v>63</v>
      </c>
      <c r="F9380" s="19" t="str">
        <f>IFERROR(__xludf.DUMMYFUNCTION("""COMPUTED_VALUE"""),"BLACK")</f>
        <v>BLACK</v>
      </c>
      <c r="G9380" s="20" t="str">
        <f>IFERROR(__xludf.DUMMYFUNCTION("""COMPUTED_VALUE"""),"Uncle Sams Cider (04/04/2023)")</f>
        <v>Uncle Sams Cider (04/04/2023)</v>
      </c>
      <c r="H9380" s="19"/>
    </row>
    <row r="9381">
      <c r="A9381" s="9"/>
      <c r="B9381" s="15"/>
      <c r="C9381" s="9">
        <f>IFERROR(__xludf.DUMMYFUNCTION("""COMPUTED_VALUE"""),45045.7079378935)</f>
        <v>45045.70794</v>
      </c>
      <c r="D9381" s="15">
        <f>IFERROR(__xludf.DUMMYFUNCTION("""COMPUTED_VALUE"""),1.028)</f>
        <v>1.028</v>
      </c>
      <c r="E9381" s="16">
        <f>IFERROR(__xludf.DUMMYFUNCTION("""COMPUTED_VALUE"""),63.0)</f>
        <v>63</v>
      </c>
      <c r="F9381" s="19" t="str">
        <f>IFERROR(__xludf.DUMMYFUNCTION("""COMPUTED_VALUE"""),"BLACK")</f>
        <v>BLACK</v>
      </c>
      <c r="G9381" s="20" t="str">
        <f>IFERROR(__xludf.DUMMYFUNCTION("""COMPUTED_VALUE"""),"Uncle Sams Cider (04/04/2023)")</f>
        <v>Uncle Sams Cider (04/04/2023)</v>
      </c>
      <c r="H9381" s="19"/>
    </row>
    <row r="9382">
      <c r="A9382" s="9"/>
      <c r="B9382" s="15"/>
      <c r="C9382" s="9">
        <f>IFERROR(__xludf.DUMMYFUNCTION("""COMPUTED_VALUE"""),45045.6975175)</f>
        <v>45045.69752</v>
      </c>
      <c r="D9382" s="15">
        <f>IFERROR(__xludf.DUMMYFUNCTION("""COMPUTED_VALUE"""),1.028)</f>
        <v>1.028</v>
      </c>
      <c r="E9382" s="16">
        <f>IFERROR(__xludf.DUMMYFUNCTION("""COMPUTED_VALUE"""),63.0)</f>
        <v>63</v>
      </c>
      <c r="F9382" s="19" t="str">
        <f>IFERROR(__xludf.DUMMYFUNCTION("""COMPUTED_VALUE"""),"BLACK")</f>
        <v>BLACK</v>
      </c>
      <c r="G9382" s="20" t="str">
        <f>IFERROR(__xludf.DUMMYFUNCTION("""COMPUTED_VALUE"""),"Uncle Sams Cider (04/04/2023)")</f>
        <v>Uncle Sams Cider (04/04/2023)</v>
      </c>
      <c r="H9382" s="19"/>
    </row>
    <row r="9383">
      <c r="A9383" s="9"/>
      <c r="B9383" s="15"/>
      <c r="C9383" s="9">
        <f>IFERROR(__xludf.DUMMYFUNCTION("""COMPUTED_VALUE"""),45045.687096956)</f>
        <v>45045.6871</v>
      </c>
      <c r="D9383" s="15">
        <f>IFERROR(__xludf.DUMMYFUNCTION("""COMPUTED_VALUE"""),1.028)</f>
        <v>1.028</v>
      </c>
      <c r="E9383" s="16">
        <f>IFERROR(__xludf.DUMMYFUNCTION("""COMPUTED_VALUE"""),63.0)</f>
        <v>63</v>
      </c>
      <c r="F9383" s="19" t="str">
        <f>IFERROR(__xludf.DUMMYFUNCTION("""COMPUTED_VALUE"""),"BLACK")</f>
        <v>BLACK</v>
      </c>
      <c r="G9383" s="20" t="str">
        <f>IFERROR(__xludf.DUMMYFUNCTION("""COMPUTED_VALUE"""),"Uncle Sams Cider (04/04/2023)")</f>
        <v>Uncle Sams Cider (04/04/2023)</v>
      </c>
      <c r="H9383" s="19"/>
    </row>
    <row r="9384">
      <c r="A9384" s="9"/>
      <c r="B9384" s="15"/>
      <c r="C9384" s="9">
        <f>IFERROR(__xludf.DUMMYFUNCTION("""COMPUTED_VALUE"""),45045.6766745254)</f>
        <v>45045.67667</v>
      </c>
      <c r="D9384" s="15">
        <f>IFERROR(__xludf.DUMMYFUNCTION("""COMPUTED_VALUE"""),1.028)</f>
        <v>1.028</v>
      </c>
      <c r="E9384" s="16">
        <f>IFERROR(__xludf.DUMMYFUNCTION("""COMPUTED_VALUE"""),63.0)</f>
        <v>63</v>
      </c>
      <c r="F9384" s="19" t="str">
        <f>IFERROR(__xludf.DUMMYFUNCTION("""COMPUTED_VALUE"""),"BLACK")</f>
        <v>BLACK</v>
      </c>
      <c r="G9384" s="20" t="str">
        <f>IFERROR(__xludf.DUMMYFUNCTION("""COMPUTED_VALUE"""),"Uncle Sams Cider (04/04/2023)")</f>
        <v>Uncle Sams Cider (04/04/2023)</v>
      </c>
      <c r="H9384" s="19"/>
    </row>
    <row r="9385">
      <c r="A9385" s="9"/>
      <c r="B9385" s="15"/>
      <c r="C9385" s="9">
        <f>IFERROR(__xludf.DUMMYFUNCTION("""COMPUTED_VALUE"""),45045.6662410301)</f>
        <v>45045.66624</v>
      </c>
      <c r="D9385" s="15">
        <f>IFERROR(__xludf.DUMMYFUNCTION("""COMPUTED_VALUE"""),1.028)</f>
        <v>1.028</v>
      </c>
      <c r="E9385" s="16">
        <f>IFERROR(__xludf.DUMMYFUNCTION("""COMPUTED_VALUE"""),63.0)</f>
        <v>63</v>
      </c>
      <c r="F9385" s="19" t="str">
        <f>IFERROR(__xludf.DUMMYFUNCTION("""COMPUTED_VALUE"""),"BLACK")</f>
        <v>BLACK</v>
      </c>
      <c r="G9385" s="20" t="str">
        <f>IFERROR(__xludf.DUMMYFUNCTION("""COMPUTED_VALUE"""),"Uncle Sams Cider (04/04/2023)")</f>
        <v>Uncle Sams Cider (04/04/2023)</v>
      </c>
      <c r="H9385" s="19"/>
    </row>
    <row r="9386">
      <c r="A9386" s="9"/>
      <c r="B9386" s="15"/>
      <c r="C9386" s="9">
        <f>IFERROR(__xludf.DUMMYFUNCTION("""COMPUTED_VALUE"""),45045.6558204861)</f>
        <v>45045.65582</v>
      </c>
      <c r="D9386" s="15">
        <f>IFERROR(__xludf.DUMMYFUNCTION("""COMPUTED_VALUE"""),1.028)</f>
        <v>1.028</v>
      </c>
      <c r="E9386" s="16">
        <f>IFERROR(__xludf.DUMMYFUNCTION("""COMPUTED_VALUE"""),63.0)</f>
        <v>63</v>
      </c>
      <c r="F9386" s="19" t="str">
        <f>IFERROR(__xludf.DUMMYFUNCTION("""COMPUTED_VALUE"""),"BLACK")</f>
        <v>BLACK</v>
      </c>
      <c r="G9386" s="20" t="str">
        <f>IFERROR(__xludf.DUMMYFUNCTION("""COMPUTED_VALUE"""),"Uncle Sams Cider (04/04/2023)")</f>
        <v>Uncle Sams Cider (04/04/2023)</v>
      </c>
      <c r="H9386" s="19"/>
    </row>
    <row r="9387">
      <c r="A9387" s="9"/>
      <c r="B9387" s="15"/>
      <c r="C9387" s="9">
        <f>IFERROR(__xludf.DUMMYFUNCTION("""COMPUTED_VALUE"""),45045.6453766435)</f>
        <v>45045.64538</v>
      </c>
      <c r="D9387" s="15">
        <f>IFERROR(__xludf.DUMMYFUNCTION("""COMPUTED_VALUE"""),1.028)</f>
        <v>1.028</v>
      </c>
      <c r="E9387" s="16">
        <f>IFERROR(__xludf.DUMMYFUNCTION("""COMPUTED_VALUE"""),63.0)</f>
        <v>63</v>
      </c>
      <c r="F9387" s="19" t="str">
        <f>IFERROR(__xludf.DUMMYFUNCTION("""COMPUTED_VALUE"""),"BLACK")</f>
        <v>BLACK</v>
      </c>
      <c r="G9387" s="20" t="str">
        <f>IFERROR(__xludf.DUMMYFUNCTION("""COMPUTED_VALUE"""),"Uncle Sams Cider (04/04/2023)")</f>
        <v>Uncle Sams Cider (04/04/2023)</v>
      </c>
      <c r="H9387" s="19"/>
    </row>
    <row r="9388">
      <c r="A9388" s="9"/>
      <c r="B9388" s="15"/>
      <c r="C9388" s="9">
        <f>IFERROR(__xludf.DUMMYFUNCTION("""COMPUTED_VALUE"""),45045.634955)</f>
        <v>45045.63496</v>
      </c>
      <c r="D9388" s="15">
        <f>IFERROR(__xludf.DUMMYFUNCTION("""COMPUTED_VALUE"""),1.028)</f>
        <v>1.028</v>
      </c>
      <c r="E9388" s="16">
        <f>IFERROR(__xludf.DUMMYFUNCTION("""COMPUTED_VALUE"""),63.0)</f>
        <v>63</v>
      </c>
      <c r="F9388" s="19" t="str">
        <f>IFERROR(__xludf.DUMMYFUNCTION("""COMPUTED_VALUE"""),"BLACK")</f>
        <v>BLACK</v>
      </c>
      <c r="G9388" s="20" t="str">
        <f>IFERROR(__xludf.DUMMYFUNCTION("""COMPUTED_VALUE"""),"Uncle Sams Cider (04/04/2023)")</f>
        <v>Uncle Sams Cider (04/04/2023)</v>
      </c>
      <c r="H9388" s="19"/>
    </row>
    <row r="9389">
      <c r="A9389" s="9"/>
      <c r="B9389" s="15"/>
      <c r="C9389" s="9">
        <f>IFERROR(__xludf.DUMMYFUNCTION("""COMPUTED_VALUE"""),45045.6141126157)</f>
        <v>45045.61411</v>
      </c>
      <c r="D9389" s="15">
        <f>IFERROR(__xludf.DUMMYFUNCTION("""COMPUTED_VALUE"""),1.028)</f>
        <v>1.028</v>
      </c>
      <c r="E9389" s="16">
        <f>IFERROR(__xludf.DUMMYFUNCTION("""COMPUTED_VALUE"""),63.0)</f>
        <v>63</v>
      </c>
      <c r="F9389" s="19" t="str">
        <f>IFERROR(__xludf.DUMMYFUNCTION("""COMPUTED_VALUE"""),"BLACK")</f>
        <v>BLACK</v>
      </c>
      <c r="G9389" s="20" t="str">
        <f>IFERROR(__xludf.DUMMYFUNCTION("""COMPUTED_VALUE"""),"Uncle Sams Cider (04/04/2023)")</f>
        <v>Uncle Sams Cider (04/04/2023)</v>
      </c>
      <c r="H9389" s="19"/>
    </row>
    <row r="9390">
      <c r="A9390" s="9"/>
      <c r="B9390" s="15"/>
      <c r="C9390" s="9">
        <f>IFERROR(__xludf.DUMMYFUNCTION("""COMPUTED_VALUE"""),45045.6036798148)</f>
        <v>45045.60368</v>
      </c>
      <c r="D9390" s="15">
        <f>IFERROR(__xludf.DUMMYFUNCTION("""COMPUTED_VALUE"""),1.028)</f>
        <v>1.028</v>
      </c>
      <c r="E9390" s="16">
        <f>IFERROR(__xludf.DUMMYFUNCTION("""COMPUTED_VALUE"""),64.0)</f>
        <v>64</v>
      </c>
      <c r="F9390" s="19" t="str">
        <f>IFERROR(__xludf.DUMMYFUNCTION("""COMPUTED_VALUE"""),"BLACK")</f>
        <v>BLACK</v>
      </c>
      <c r="G9390" s="20" t="str">
        <f>IFERROR(__xludf.DUMMYFUNCTION("""COMPUTED_VALUE"""),"Uncle Sams Cider (04/04/2023)")</f>
        <v>Uncle Sams Cider (04/04/2023)</v>
      </c>
      <c r="H9390" s="19"/>
    </row>
    <row r="9391">
      <c r="A9391" s="9"/>
      <c r="B9391" s="15"/>
      <c r="C9391" s="9">
        <f>IFERROR(__xludf.DUMMYFUNCTION("""COMPUTED_VALUE"""),45045.5932593865)</f>
        <v>45045.59326</v>
      </c>
      <c r="D9391" s="15">
        <f>IFERROR(__xludf.DUMMYFUNCTION("""COMPUTED_VALUE"""),1.028)</f>
        <v>1.028</v>
      </c>
      <c r="E9391" s="16">
        <f>IFERROR(__xludf.DUMMYFUNCTION("""COMPUTED_VALUE"""),63.0)</f>
        <v>63</v>
      </c>
      <c r="F9391" s="19" t="str">
        <f>IFERROR(__xludf.DUMMYFUNCTION("""COMPUTED_VALUE"""),"BLACK")</f>
        <v>BLACK</v>
      </c>
      <c r="G9391" s="20" t="str">
        <f>IFERROR(__xludf.DUMMYFUNCTION("""COMPUTED_VALUE"""),"Uncle Sams Cider (04/04/2023)")</f>
        <v>Uncle Sams Cider (04/04/2023)</v>
      </c>
      <c r="H9391" s="19"/>
    </row>
    <row r="9392">
      <c r="A9392" s="9"/>
      <c r="B9392" s="15"/>
      <c r="C9392" s="9">
        <f>IFERROR(__xludf.DUMMYFUNCTION("""COMPUTED_VALUE"""),45045.5828259837)</f>
        <v>45045.58283</v>
      </c>
      <c r="D9392" s="15">
        <f>IFERROR(__xludf.DUMMYFUNCTION("""COMPUTED_VALUE"""),1.028)</f>
        <v>1.028</v>
      </c>
      <c r="E9392" s="16">
        <f>IFERROR(__xludf.DUMMYFUNCTION("""COMPUTED_VALUE"""),63.0)</f>
        <v>63</v>
      </c>
      <c r="F9392" s="19" t="str">
        <f>IFERROR(__xludf.DUMMYFUNCTION("""COMPUTED_VALUE"""),"BLACK")</f>
        <v>BLACK</v>
      </c>
      <c r="G9392" s="20" t="str">
        <f>IFERROR(__xludf.DUMMYFUNCTION("""COMPUTED_VALUE"""),"Uncle Sams Cider (04/04/2023)")</f>
        <v>Uncle Sams Cider (04/04/2023)</v>
      </c>
      <c r="H9392" s="19"/>
    </row>
    <row r="9393">
      <c r="A9393" s="9"/>
      <c r="B9393" s="15"/>
      <c r="C9393" s="9">
        <f>IFERROR(__xludf.DUMMYFUNCTION("""COMPUTED_VALUE"""),45045.5723573379)</f>
        <v>45045.57236</v>
      </c>
      <c r="D9393" s="15">
        <f>IFERROR(__xludf.DUMMYFUNCTION("""COMPUTED_VALUE"""),1.028)</f>
        <v>1.028</v>
      </c>
      <c r="E9393" s="16">
        <f>IFERROR(__xludf.DUMMYFUNCTION("""COMPUTED_VALUE"""),63.0)</f>
        <v>63</v>
      </c>
      <c r="F9393" s="19" t="str">
        <f>IFERROR(__xludf.DUMMYFUNCTION("""COMPUTED_VALUE"""),"BLACK")</f>
        <v>BLACK</v>
      </c>
      <c r="G9393" s="20" t="str">
        <f>IFERROR(__xludf.DUMMYFUNCTION("""COMPUTED_VALUE"""),"Uncle Sams Cider (04/04/2023)")</f>
        <v>Uncle Sams Cider (04/04/2023)</v>
      </c>
      <c r="H9393" s="19"/>
    </row>
    <row r="9394">
      <c r="A9394" s="9"/>
      <c r="B9394" s="15"/>
      <c r="C9394" s="9">
        <f>IFERROR(__xludf.DUMMYFUNCTION("""COMPUTED_VALUE"""),45045.5619365972)</f>
        <v>45045.56194</v>
      </c>
      <c r="D9394" s="15">
        <f>IFERROR(__xludf.DUMMYFUNCTION("""COMPUTED_VALUE"""),1.028)</f>
        <v>1.028</v>
      </c>
      <c r="E9394" s="16">
        <f>IFERROR(__xludf.DUMMYFUNCTION("""COMPUTED_VALUE"""),63.0)</f>
        <v>63</v>
      </c>
      <c r="F9394" s="19" t="str">
        <f>IFERROR(__xludf.DUMMYFUNCTION("""COMPUTED_VALUE"""),"BLACK")</f>
        <v>BLACK</v>
      </c>
      <c r="G9394" s="20" t="str">
        <f>IFERROR(__xludf.DUMMYFUNCTION("""COMPUTED_VALUE"""),"Uncle Sams Cider (04/04/2023)")</f>
        <v>Uncle Sams Cider (04/04/2023)</v>
      </c>
      <c r="H9394" s="19"/>
    </row>
    <row r="9395">
      <c r="A9395" s="9"/>
      <c r="B9395" s="15"/>
      <c r="C9395" s="9">
        <f>IFERROR(__xludf.DUMMYFUNCTION("""COMPUTED_VALUE"""),45045.5515049305)</f>
        <v>45045.5515</v>
      </c>
      <c r="D9395" s="15">
        <f>IFERROR(__xludf.DUMMYFUNCTION("""COMPUTED_VALUE"""),1.028)</f>
        <v>1.028</v>
      </c>
      <c r="E9395" s="16">
        <f>IFERROR(__xludf.DUMMYFUNCTION("""COMPUTED_VALUE"""),63.0)</f>
        <v>63</v>
      </c>
      <c r="F9395" s="19" t="str">
        <f>IFERROR(__xludf.DUMMYFUNCTION("""COMPUTED_VALUE"""),"BLACK")</f>
        <v>BLACK</v>
      </c>
      <c r="G9395" s="20" t="str">
        <f>IFERROR(__xludf.DUMMYFUNCTION("""COMPUTED_VALUE"""),"Uncle Sams Cider (04/04/2023)")</f>
        <v>Uncle Sams Cider (04/04/2023)</v>
      </c>
      <c r="H9395" s="19"/>
    </row>
    <row r="9396">
      <c r="A9396" s="9"/>
      <c r="B9396" s="15"/>
      <c r="C9396" s="9">
        <f>IFERROR(__xludf.DUMMYFUNCTION("""COMPUTED_VALUE"""),45045.541058125)</f>
        <v>45045.54106</v>
      </c>
      <c r="D9396" s="15">
        <f>IFERROR(__xludf.DUMMYFUNCTION("""COMPUTED_VALUE"""),1.028)</f>
        <v>1.028</v>
      </c>
      <c r="E9396" s="16">
        <f>IFERROR(__xludf.DUMMYFUNCTION("""COMPUTED_VALUE"""),63.0)</f>
        <v>63</v>
      </c>
      <c r="F9396" s="19" t="str">
        <f>IFERROR(__xludf.DUMMYFUNCTION("""COMPUTED_VALUE"""),"BLACK")</f>
        <v>BLACK</v>
      </c>
      <c r="G9396" s="20" t="str">
        <f>IFERROR(__xludf.DUMMYFUNCTION("""COMPUTED_VALUE"""),"Uncle Sams Cider (04/04/2023)")</f>
        <v>Uncle Sams Cider (04/04/2023)</v>
      </c>
      <c r="H9396" s="19"/>
    </row>
    <row r="9397">
      <c r="A9397" s="9"/>
      <c r="B9397" s="15"/>
      <c r="C9397" s="9">
        <f>IFERROR(__xludf.DUMMYFUNCTION("""COMPUTED_VALUE"""),45045.53062603)</f>
        <v>45045.53063</v>
      </c>
      <c r="D9397" s="15">
        <f>IFERROR(__xludf.DUMMYFUNCTION("""COMPUTED_VALUE"""),1.028)</f>
        <v>1.028</v>
      </c>
      <c r="E9397" s="16">
        <f>IFERROR(__xludf.DUMMYFUNCTION("""COMPUTED_VALUE"""),63.0)</f>
        <v>63</v>
      </c>
      <c r="F9397" s="19" t="str">
        <f>IFERROR(__xludf.DUMMYFUNCTION("""COMPUTED_VALUE"""),"BLACK")</f>
        <v>BLACK</v>
      </c>
      <c r="G9397" s="20" t="str">
        <f>IFERROR(__xludf.DUMMYFUNCTION("""COMPUTED_VALUE"""),"Uncle Sams Cider (04/04/2023)")</f>
        <v>Uncle Sams Cider (04/04/2023)</v>
      </c>
      <c r="H9397" s="19"/>
    </row>
    <row r="9398">
      <c r="A9398" s="9"/>
      <c r="B9398" s="15"/>
      <c r="C9398" s="9">
        <f>IFERROR(__xludf.DUMMYFUNCTION("""COMPUTED_VALUE"""),45045.5202055208)</f>
        <v>45045.52021</v>
      </c>
      <c r="D9398" s="15">
        <f>IFERROR(__xludf.DUMMYFUNCTION("""COMPUTED_VALUE"""),1.028)</f>
        <v>1.028</v>
      </c>
      <c r="E9398" s="16">
        <f>IFERROR(__xludf.DUMMYFUNCTION("""COMPUTED_VALUE"""),63.0)</f>
        <v>63</v>
      </c>
      <c r="F9398" s="19" t="str">
        <f>IFERROR(__xludf.DUMMYFUNCTION("""COMPUTED_VALUE"""),"BLACK")</f>
        <v>BLACK</v>
      </c>
      <c r="G9398" s="20" t="str">
        <f>IFERROR(__xludf.DUMMYFUNCTION("""COMPUTED_VALUE"""),"Uncle Sams Cider (04/04/2023)")</f>
        <v>Uncle Sams Cider (04/04/2023)</v>
      </c>
      <c r="H9398" s="19"/>
    </row>
    <row r="9399">
      <c r="A9399" s="9"/>
      <c r="B9399" s="15"/>
      <c r="C9399" s="9">
        <f>IFERROR(__xludf.DUMMYFUNCTION("""COMPUTED_VALUE"""),45045.4993640046)</f>
        <v>45045.49936</v>
      </c>
      <c r="D9399" s="15">
        <f>IFERROR(__xludf.DUMMYFUNCTION("""COMPUTED_VALUE"""),1.028)</f>
        <v>1.028</v>
      </c>
      <c r="E9399" s="16">
        <f>IFERROR(__xludf.DUMMYFUNCTION("""COMPUTED_VALUE"""),64.0)</f>
        <v>64</v>
      </c>
      <c r="F9399" s="19" t="str">
        <f>IFERROR(__xludf.DUMMYFUNCTION("""COMPUTED_VALUE"""),"BLACK")</f>
        <v>BLACK</v>
      </c>
      <c r="G9399" s="20" t="str">
        <f>IFERROR(__xludf.DUMMYFUNCTION("""COMPUTED_VALUE"""),"Uncle Sams Cider (04/04/2023)")</f>
        <v>Uncle Sams Cider (04/04/2023)</v>
      </c>
      <c r="H9399" s="19"/>
    </row>
    <row r="9400">
      <c r="A9400" s="9"/>
      <c r="B9400" s="15"/>
      <c r="C9400" s="9">
        <f>IFERROR(__xludf.DUMMYFUNCTION("""COMPUTED_VALUE"""),45045.4889191203)</f>
        <v>45045.48892</v>
      </c>
      <c r="D9400" s="15">
        <f>IFERROR(__xludf.DUMMYFUNCTION("""COMPUTED_VALUE"""),1.028)</f>
        <v>1.028</v>
      </c>
      <c r="E9400" s="16">
        <f>IFERROR(__xludf.DUMMYFUNCTION("""COMPUTED_VALUE"""),63.0)</f>
        <v>63</v>
      </c>
      <c r="F9400" s="19" t="str">
        <f>IFERROR(__xludf.DUMMYFUNCTION("""COMPUTED_VALUE"""),"BLACK")</f>
        <v>BLACK</v>
      </c>
      <c r="G9400" s="20" t="str">
        <f>IFERROR(__xludf.DUMMYFUNCTION("""COMPUTED_VALUE"""),"Uncle Sams Cider (04/04/2023)")</f>
        <v>Uncle Sams Cider (04/04/2023)</v>
      </c>
      <c r="H9400" s="19"/>
    </row>
    <row r="9401">
      <c r="A9401" s="9"/>
      <c r="B9401" s="15"/>
      <c r="C9401" s="9">
        <f>IFERROR(__xludf.DUMMYFUNCTION("""COMPUTED_VALUE"""),45045.4784977662)</f>
        <v>45045.4785</v>
      </c>
      <c r="D9401" s="15">
        <f>IFERROR(__xludf.DUMMYFUNCTION("""COMPUTED_VALUE"""),1.028)</f>
        <v>1.028</v>
      </c>
      <c r="E9401" s="16">
        <f>IFERROR(__xludf.DUMMYFUNCTION("""COMPUTED_VALUE"""),63.0)</f>
        <v>63</v>
      </c>
      <c r="F9401" s="19" t="str">
        <f>IFERROR(__xludf.DUMMYFUNCTION("""COMPUTED_VALUE"""),"BLACK")</f>
        <v>BLACK</v>
      </c>
      <c r="G9401" s="20" t="str">
        <f>IFERROR(__xludf.DUMMYFUNCTION("""COMPUTED_VALUE"""),"Uncle Sams Cider (04/04/2023)")</f>
        <v>Uncle Sams Cider (04/04/2023)</v>
      </c>
      <c r="H9401" s="19"/>
    </row>
    <row r="9402">
      <c r="A9402" s="9"/>
      <c r="B9402" s="15"/>
      <c r="C9402" s="9">
        <f>IFERROR(__xludf.DUMMYFUNCTION("""COMPUTED_VALUE"""),45045.468074699)</f>
        <v>45045.46807</v>
      </c>
      <c r="D9402" s="15">
        <f>IFERROR(__xludf.DUMMYFUNCTION("""COMPUTED_VALUE"""),1.028)</f>
        <v>1.028</v>
      </c>
      <c r="E9402" s="16">
        <f>IFERROR(__xludf.DUMMYFUNCTION("""COMPUTED_VALUE"""),63.0)</f>
        <v>63</v>
      </c>
      <c r="F9402" s="19" t="str">
        <f>IFERROR(__xludf.DUMMYFUNCTION("""COMPUTED_VALUE"""),"BLACK")</f>
        <v>BLACK</v>
      </c>
      <c r="G9402" s="20" t="str">
        <f>IFERROR(__xludf.DUMMYFUNCTION("""COMPUTED_VALUE"""),"Uncle Sams Cider (04/04/2023)")</f>
        <v>Uncle Sams Cider (04/04/2023)</v>
      </c>
      <c r="H9402" s="19"/>
    </row>
    <row r="9403">
      <c r="A9403" s="9"/>
      <c r="B9403" s="15"/>
      <c r="C9403" s="9">
        <f>IFERROR(__xludf.DUMMYFUNCTION("""COMPUTED_VALUE"""),45045.4472310763)</f>
        <v>45045.44723</v>
      </c>
      <c r="D9403" s="15">
        <f>IFERROR(__xludf.DUMMYFUNCTION("""COMPUTED_VALUE"""),1.028)</f>
        <v>1.028</v>
      </c>
      <c r="E9403" s="16">
        <f>IFERROR(__xludf.DUMMYFUNCTION("""COMPUTED_VALUE"""),64.0)</f>
        <v>64</v>
      </c>
      <c r="F9403" s="19" t="str">
        <f>IFERROR(__xludf.DUMMYFUNCTION("""COMPUTED_VALUE"""),"BLACK")</f>
        <v>BLACK</v>
      </c>
      <c r="G9403" s="20" t="str">
        <f>IFERROR(__xludf.DUMMYFUNCTION("""COMPUTED_VALUE"""),"Uncle Sams Cider (04/04/2023)")</f>
        <v>Uncle Sams Cider (04/04/2023)</v>
      </c>
      <c r="H9403" s="19"/>
    </row>
    <row r="9404">
      <c r="A9404" s="9"/>
      <c r="B9404" s="15"/>
      <c r="C9404" s="9">
        <f>IFERROR(__xludf.DUMMYFUNCTION("""COMPUTED_VALUE"""),45045.4367973263)</f>
        <v>45045.4368</v>
      </c>
      <c r="D9404" s="15">
        <f>IFERROR(__xludf.DUMMYFUNCTION("""COMPUTED_VALUE"""),1.028)</f>
        <v>1.028</v>
      </c>
      <c r="E9404" s="16">
        <f>IFERROR(__xludf.DUMMYFUNCTION("""COMPUTED_VALUE"""),63.0)</f>
        <v>63</v>
      </c>
      <c r="F9404" s="19" t="str">
        <f>IFERROR(__xludf.DUMMYFUNCTION("""COMPUTED_VALUE"""),"BLACK")</f>
        <v>BLACK</v>
      </c>
      <c r="G9404" s="20" t="str">
        <f>IFERROR(__xludf.DUMMYFUNCTION("""COMPUTED_VALUE"""),"Uncle Sams Cider (04/04/2023)")</f>
        <v>Uncle Sams Cider (04/04/2023)</v>
      </c>
      <c r="H9404" s="19"/>
    </row>
    <row r="9405">
      <c r="A9405" s="9"/>
      <c r="B9405" s="15"/>
      <c r="C9405" s="9">
        <f>IFERROR(__xludf.DUMMYFUNCTION("""COMPUTED_VALUE"""),45045.4159548379)</f>
        <v>45045.41595</v>
      </c>
      <c r="D9405" s="15">
        <f>IFERROR(__xludf.DUMMYFUNCTION("""COMPUTED_VALUE"""),1.028)</f>
        <v>1.028</v>
      </c>
      <c r="E9405" s="16">
        <f>IFERROR(__xludf.DUMMYFUNCTION("""COMPUTED_VALUE"""),63.0)</f>
        <v>63</v>
      </c>
      <c r="F9405" s="19" t="str">
        <f>IFERROR(__xludf.DUMMYFUNCTION("""COMPUTED_VALUE"""),"BLACK")</f>
        <v>BLACK</v>
      </c>
      <c r="G9405" s="20" t="str">
        <f>IFERROR(__xludf.DUMMYFUNCTION("""COMPUTED_VALUE"""),"Uncle Sams Cider (04/04/2023)")</f>
        <v>Uncle Sams Cider (04/04/2023)</v>
      </c>
      <c r="H9405" s="19"/>
    </row>
    <row r="9406">
      <c r="A9406" s="9"/>
      <c r="B9406" s="15"/>
      <c r="C9406" s="9">
        <f>IFERROR(__xludf.DUMMYFUNCTION("""COMPUTED_VALUE"""),45045.405531655)</f>
        <v>45045.40553</v>
      </c>
      <c r="D9406" s="15">
        <f>IFERROR(__xludf.DUMMYFUNCTION("""COMPUTED_VALUE"""),1.028)</f>
        <v>1.028</v>
      </c>
      <c r="E9406" s="16">
        <f>IFERROR(__xludf.DUMMYFUNCTION("""COMPUTED_VALUE"""),64.0)</f>
        <v>64</v>
      </c>
      <c r="F9406" s="19" t="str">
        <f>IFERROR(__xludf.DUMMYFUNCTION("""COMPUTED_VALUE"""),"BLACK")</f>
        <v>BLACK</v>
      </c>
      <c r="G9406" s="20" t="str">
        <f>IFERROR(__xludf.DUMMYFUNCTION("""COMPUTED_VALUE"""),"Uncle Sams Cider (04/04/2023)")</f>
        <v>Uncle Sams Cider (04/04/2023)</v>
      </c>
      <c r="H9406" s="19"/>
    </row>
    <row r="9407">
      <c r="A9407" s="9"/>
      <c r="B9407" s="15"/>
      <c r="C9407" s="9">
        <f>IFERROR(__xludf.DUMMYFUNCTION("""COMPUTED_VALUE"""),45045.3951105671)</f>
        <v>45045.39511</v>
      </c>
      <c r="D9407" s="15">
        <f>IFERROR(__xludf.DUMMYFUNCTION("""COMPUTED_VALUE"""),1.028)</f>
        <v>1.028</v>
      </c>
      <c r="E9407" s="16">
        <f>IFERROR(__xludf.DUMMYFUNCTION("""COMPUTED_VALUE"""),64.0)</f>
        <v>64</v>
      </c>
      <c r="F9407" s="19" t="str">
        <f>IFERROR(__xludf.DUMMYFUNCTION("""COMPUTED_VALUE"""),"BLACK")</f>
        <v>BLACK</v>
      </c>
      <c r="G9407" s="20" t="str">
        <f>IFERROR(__xludf.DUMMYFUNCTION("""COMPUTED_VALUE"""),"Uncle Sams Cider (04/04/2023)")</f>
        <v>Uncle Sams Cider (04/04/2023)</v>
      </c>
      <c r="H9407" s="19"/>
    </row>
    <row r="9408">
      <c r="A9408" s="9"/>
      <c r="B9408" s="15"/>
      <c r="C9408" s="9">
        <f>IFERROR(__xludf.DUMMYFUNCTION("""COMPUTED_VALUE"""),45045.3846882407)</f>
        <v>45045.38469</v>
      </c>
      <c r="D9408" s="15">
        <f>IFERROR(__xludf.DUMMYFUNCTION("""COMPUTED_VALUE"""),1.028)</f>
        <v>1.028</v>
      </c>
      <c r="E9408" s="16">
        <f>IFERROR(__xludf.DUMMYFUNCTION("""COMPUTED_VALUE"""),64.0)</f>
        <v>64</v>
      </c>
      <c r="F9408" s="19" t="str">
        <f>IFERROR(__xludf.DUMMYFUNCTION("""COMPUTED_VALUE"""),"BLACK")</f>
        <v>BLACK</v>
      </c>
      <c r="G9408" s="20" t="str">
        <f>IFERROR(__xludf.DUMMYFUNCTION("""COMPUTED_VALUE"""),"Uncle Sams Cider (04/04/2023)")</f>
        <v>Uncle Sams Cider (04/04/2023)</v>
      </c>
      <c r="H9408" s="19"/>
    </row>
    <row r="9409">
      <c r="A9409" s="9"/>
      <c r="B9409" s="15"/>
      <c r="C9409" s="9">
        <f>IFERROR(__xludf.DUMMYFUNCTION("""COMPUTED_VALUE"""),45045.3742568981)</f>
        <v>45045.37426</v>
      </c>
      <c r="D9409" s="15">
        <f>IFERROR(__xludf.DUMMYFUNCTION("""COMPUTED_VALUE"""),1.028)</f>
        <v>1.028</v>
      </c>
      <c r="E9409" s="16">
        <f>IFERROR(__xludf.DUMMYFUNCTION("""COMPUTED_VALUE"""),64.0)</f>
        <v>64</v>
      </c>
      <c r="F9409" s="19" t="str">
        <f>IFERROR(__xludf.DUMMYFUNCTION("""COMPUTED_VALUE"""),"BLACK")</f>
        <v>BLACK</v>
      </c>
      <c r="G9409" s="20" t="str">
        <f>IFERROR(__xludf.DUMMYFUNCTION("""COMPUTED_VALUE"""),"Uncle Sams Cider (04/04/2023)")</f>
        <v>Uncle Sams Cider (04/04/2023)</v>
      </c>
      <c r="H9409" s="19"/>
    </row>
    <row r="9410">
      <c r="A9410" s="9"/>
      <c r="B9410" s="15"/>
      <c r="C9410" s="9">
        <f>IFERROR(__xludf.DUMMYFUNCTION("""COMPUTED_VALUE"""),45045.3638240393)</f>
        <v>45045.36382</v>
      </c>
      <c r="D9410" s="15">
        <f>IFERROR(__xludf.DUMMYFUNCTION("""COMPUTED_VALUE"""),1.028)</f>
        <v>1.028</v>
      </c>
      <c r="E9410" s="16">
        <f>IFERROR(__xludf.DUMMYFUNCTION("""COMPUTED_VALUE"""),63.0)</f>
        <v>63</v>
      </c>
      <c r="F9410" s="19" t="str">
        <f>IFERROR(__xludf.DUMMYFUNCTION("""COMPUTED_VALUE"""),"BLACK")</f>
        <v>BLACK</v>
      </c>
      <c r="G9410" s="20" t="str">
        <f>IFERROR(__xludf.DUMMYFUNCTION("""COMPUTED_VALUE"""),"Uncle Sams Cider (04/04/2023)")</f>
        <v>Uncle Sams Cider (04/04/2023)</v>
      </c>
      <c r="H9410" s="19"/>
    </row>
    <row r="9411">
      <c r="A9411" s="9"/>
      <c r="B9411" s="15"/>
      <c r="C9411" s="9">
        <f>IFERROR(__xludf.DUMMYFUNCTION("""COMPUTED_VALUE"""),45045.3534028125)</f>
        <v>45045.3534</v>
      </c>
      <c r="D9411" s="15">
        <f>IFERROR(__xludf.DUMMYFUNCTION("""COMPUTED_VALUE"""),1.028)</f>
        <v>1.028</v>
      </c>
      <c r="E9411" s="16">
        <f>IFERROR(__xludf.DUMMYFUNCTION("""COMPUTED_VALUE"""),64.0)</f>
        <v>64</v>
      </c>
      <c r="F9411" s="19" t="str">
        <f>IFERROR(__xludf.DUMMYFUNCTION("""COMPUTED_VALUE"""),"BLACK")</f>
        <v>BLACK</v>
      </c>
      <c r="G9411" s="20" t="str">
        <f>IFERROR(__xludf.DUMMYFUNCTION("""COMPUTED_VALUE"""),"Uncle Sams Cider (04/04/2023)")</f>
        <v>Uncle Sams Cider (04/04/2023)</v>
      </c>
      <c r="H9411" s="19"/>
    </row>
    <row r="9412">
      <c r="A9412" s="9"/>
      <c r="B9412" s="15"/>
      <c r="C9412" s="9">
        <f>IFERROR(__xludf.DUMMYFUNCTION("""COMPUTED_VALUE"""),45045.3325596296)</f>
        <v>45045.33256</v>
      </c>
      <c r="D9412" s="15">
        <f>IFERROR(__xludf.DUMMYFUNCTION("""COMPUTED_VALUE"""),1.028)</f>
        <v>1.028</v>
      </c>
      <c r="E9412" s="16">
        <f>IFERROR(__xludf.DUMMYFUNCTION("""COMPUTED_VALUE"""),64.0)</f>
        <v>64</v>
      </c>
      <c r="F9412" s="19" t="str">
        <f>IFERROR(__xludf.DUMMYFUNCTION("""COMPUTED_VALUE"""),"BLACK")</f>
        <v>BLACK</v>
      </c>
      <c r="G9412" s="20" t="str">
        <f>IFERROR(__xludf.DUMMYFUNCTION("""COMPUTED_VALUE"""),"Uncle Sams Cider (04/04/2023)")</f>
        <v>Uncle Sams Cider (04/04/2023)</v>
      </c>
      <c r="H9412" s="19"/>
    </row>
    <row r="9413">
      <c r="A9413" s="9"/>
      <c r="B9413" s="15"/>
      <c r="C9413" s="9">
        <f>IFERROR(__xludf.DUMMYFUNCTION("""COMPUTED_VALUE"""),45045.3221361805)</f>
        <v>45045.32214</v>
      </c>
      <c r="D9413" s="15">
        <f>IFERROR(__xludf.DUMMYFUNCTION("""COMPUTED_VALUE"""),1.028)</f>
        <v>1.028</v>
      </c>
      <c r="E9413" s="16">
        <f>IFERROR(__xludf.DUMMYFUNCTION("""COMPUTED_VALUE"""),64.0)</f>
        <v>64</v>
      </c>
      <c r="F9413" s="19" t="str">
        <f>IFERROR(__xludf.DUMMYFUNCTION("""COMPUTED_VALUE"""),"BLACK")</f>
        <v>BLACK</v>
      </c>
      <c r="G9413" s="20" t="str">
        <f>IFERROR(__xludf.DUMMYFUNCTION("""COMPUTED_VALUE"""),"Uncle Sams Cider (04/04/2023)")</f>
        <v>Uncle Sams Cider (04/04/2023)</v>
      </c>
      <c r="H9413" s="19"/>
    </row>
    <row r="9414">
      <c r="A9414" s="9"/>
      <c r="B9414" s="15"/>
      <c r="C9414" s="9">
        <f>IFERROR(__xludf.DUMMYFUNCTION("""COMPUTED_VALUE"""),45045.3117040625)</f>
        <v>45045.3117</v>
      </c>
      <c r="D9414" s="15">
        <f>IFERROR(__xludf.DUMMYFUNCTION("""COMPUTED_VALUE"""),1.028)</f>
        <v>1.028</v>
      </c>
      <c r="E9414" s="16">
        <f>IFERROR(__xludf.DUMMYFUNCTION("""COMPUTED_VALUE"""),64.0)</f>
        <v>64</v>
      </c>
      <c r="F9414" s="19" t="str">
        <f>IFERROR(__xludf.DUMMYFUNCTION("""COMPUTED_VALUE"""),"BLACK")</f>
        <v>BLACK</v>
      </c>
      <c r="G9414" s="20" t="str">
        <f>IFERROR(__xludf.DUMMYFUNCTION("""COMPUTED_VALUE"""),"Uncle Sams Cider (04/04/2023)")</f>
        <v>Uncle Sams Cider (04/04/2023)</v>
      </c>
      <c r="H9414" s="19"/>
    </row>
    <row r="9415">
      <c r="A9415" s="9"/>
      <c r="B9415" s="15"/>
      <c r="C9415" s="9">
        <f>IFERROR(__xludf.DUMMYFUNCTION("""COMPUTED_VALUE"""),45045.3012821527)</f>
        <v>45045.30128</v>
      </c>
      <c r="D9415" s="15">
        <f>IFERROR(__xludf.DUMMYFUNCTION("""COMPUTED_VALUE"""),1.028)</f>
        <v>1.028</v>
      </c>
      <c r="E9415" s="16">
        <f>IFERROR(__xludf.DUMMYFUNCTION("""COMPUTED_VALUE"""),64.0)</f>
        <v>64</v>
      </c>
      <c r="F9415" s="19" t="str">
        <f>IFERROR(__xludf.DUMMYFUNCTION("""COMPUTED_VALUE"""),"BLACK")</f>
        <v>BLACK</v>
      </c>
      <c r="G9415" s="20" t="str">
        <f>IFERROR(__xludf.DUMMYFUNCTION("""COMPUTED_VALUE"""),"Uncle Sams Cider (04/04/2023)")</f>
        <v>Uncle Sams Cider (04/04/2023)</v>
      </c>
      <c r="H9415" s="19"/>
    </row>
    <row r="9416">
      <c r="A9416" s="9"/>
      <c r="B9416" s="15"/>
      <c r="C9416" s="9">
        <f>IFERROR(__xludf.DUMMYFUNCTION("""COMPUTED_VALUE"""),45045.2908614814)</f>
        <v>45045.29086</v>
      </c>
      <c r="D9416" s="15">
        <f>IFERROR(__xludf.DUMMYFUNCTION("""COMPUTED_VALUE"""),1.028)</f>
        <v>1.028</v>
      </c>
      <c r="E9416" s="16">
        <f>IFERROR(__xludf.DUMMYFUNCTION("""COMPUTED_VALUE"""),64.0)</f>
        <v>64</v>
      </c>
      <c r="F9416" s="19" t="str">
        <f>IFERROR(__xludf.DUMMYFUNCTION("""COMPUTED_VALUE"""),"BLACK")</f>
        <v>BLACK</v>
      </c>
      <c r="G9416" s="20" t="str">
        <f>IFERROR(__xludf.DUMMYFUNCTION("""COMPUTED_VALUE"""),"Uncle Sams Cider (04/04/2023)")</f>
        <v>Uncle Sams Cider (04/04/2023)</v>
      </c>
      <c r="H9416" s="19"/>
    </row>
    <row r="9417">
      <c r="A9417" s="9"/>
      <c r="B9417" s="15"/>
      <c r="C9417" s="9">
        <f>IFERROR(__xludf.DUMMYFUNCTION("""COMPUTED_VALUE"""),45045.2804410185)</f>
        <v>45045.28044</v>
      </c>
      <c r="D9417" s="15">
        <f>IFERROR(__xludf.DUMMYFUNCTION("""COMPUTED_VALUE"""),1.028)</f>
        <v>1.028</v>
      </c>
      <c r="E9417" s="16">
        <f>IFERROR(__xludf.DUMMYFUNCTION("""COMPUTED_VALUE"""),64.0)</f>
        <v>64</v>
      </c>
      <c r="F9417" s="19" t="str">
        <f>IFERROR(__xludf.DUMMYFUNCTION("""COMPUTED_VALUE"""),"BLACK")</f>
        <v>BLACK</v>
      </c>
      <c r="G9417" s="20" t="str">
        <f>IFERROR(__xludf.DUMMYFUNCTION("""COMPUTED_VALUE"""),"Uncle Sams Cider (04/04/2023)")</f>
        <v>Uncle Sams Cider (04/04/2023)</v>
      </c>
      <c r="H9417" s="19"/>
    </row>
    <row r="9418">
      <c r="A9418" s="9"/>
      <c r="B9418" s="15"/>
      <c r="C9418" s="9">
        <f>IFERROR(__xludf.DUMMYFUNCTION("""COMPUTED_VALUE"""),45045.2700198379)</f>
        <v>45045.27002</v>
      </c>
      <c r="D9418" s="15">
        <f>IFERROR(__xludf.DUMMYFUNCTION("""COMPUTED_VALUE"""),1.028)</f>
        <v>1.028</v>
      </c>
      <c r="E9418" s="16">
        <f>IFERROR(__xludf.DUMMYFUNCTION("""COMPUTED_VALUE"""),64.0)</f>
        <v>64</v>
      </c>
      <c r="F9418" s="19" t="str">
        <f>IFERROR(__xludf.DUMMYFUNCTION("""COMPUTED_VALUE"""),"BLACK")</f>
        <v>BLACK</v>
      </c>
      <c r="G9418" s="20" t="str">
        <f>IFERROR(__xludf.DUMMYFUNCTION("""COMPUTED_VALUE"""),"Uncle Sams Cider (04/04/2023)")</f>
        <v>Uncle Sams Cider (04/04/2023)</v>
      </c>
      <c r="H9418" s="19"/>
    </row>
    <row r="9419">
      <c r="A9419" s="9"/>
      <c r="B9419" s="15"/>
      <c r="C9419" s="9">
        <f>IFERROR(__xludf.DUMMYFUNCTION("""COMPUTED_VALUE"""),45045.2595994791)</f>
        <v>45045.2596</v>
      </c>
      <c r="D9419" s="15">
        <f>IFERROR(__xludf.DUMMYFUNCTION("""COMPUTED_VALUE"""),1.028)</f>
        <v>1.028</v>
      </c>
      <c r="E9419" s="16">
        <f>IFERROR(__xludf.DUMMYFUNCTION("""COMPUTED_VALUE"""),64.0)</f>
        <v>64</v>
      </c>
      <c r="F9419" s="19" t="str">
        <f>IFERROR(__xludf.DUMMYFUNCTION("""COMPUTED_VALUE"""),"BLACK")</f>
        <v>BLACK</v>
      </c>
      <c r="G9419" s="20" t="str">
        <f>IFERROR(__xludf.DUMMYFUNCTION("""COMPUTED_VALUE"""),"Uncle Sams Cider (04/04/2023)")</f>
        <v>Uncle Sams Cider (04/04/2023)</v>
      </c>
      <c r="H9419" s="19"/>
    </row>
    <row r="9420">
      <c r="A9420" s="9"/>
      <c r="B9420" s="15"/>
      <c r="C9420" s="9">
        <f>IFERROR(__xludf.DUMMYFUNCTION("""COMPUTED_VALUE"""),45045.2491791666)</f>
        <v>45045.24918</v>
      </c>
      <c r="D9420" s="15">
        <f>IFERROR(__xludf.DUMMYFUNCTION("""COMPUTED_VALUE"""),1.029)</f>
        <v>1.029</v>
      </c>
      <c r="E9420" s="16">
        <f>IFERROR(__xludf.DUMMYFUNCTION("""COMPUTED_VALUE"""),64.0)</f>
        <v>64</v>
      </c>
      <c r="F9420" s="19" t="str">
        <f>IFERROR(__xludf.DUMMYFUNCTION("""COMPUTED_VALUE"""),"BLACK")</f>
        <v>BLACK</v>
      </c>
      <c r="G9420" s="20" t="str">
        <f>IFERROR(__xludf.DUMMYFUNCTION("""COMPUTED_VALUE"""),"Uncle Sams Cider (04/04/2023)")</f>
        <v>Uncle Sams Cider (04/04/2023)</v>
      </c>
      <c r="H9420" s="19"/>
    </row>
    <row r="9421">
      <c r="A9421" s="9"/>
      <c r="B9421" s="15"/>
      <c r="C9421" s="9">
        <f>IFERROR(__xludf.DUMMYFUNCTION("""COMPUTED_VALUE"""),45045.2387467708)</f>
        <v>45045.23875</v>
      </c>
      <c r="D9421" s="15">
        <f>IFERROR(__xludf.DUMMYFUNCTION("""COMPUTED_VALUE"""),1.028)</f>
        <v>1.028</v>
      </c>
      <c r="E9421" s="16">
        <f>IFERROR(__xludf.DUMMYFUNCTION("""COMPUTED_VALUE"""),64.0)</f>
        <v>64</v>
      </c>
      <c r="F9421" s="19" t="str">
        <f>IFERROR(__xludf.DUMMYFUNCTION("""COMPUTED_VALUE"""),"BLACK")</f>
        <v>BLACK</v>
      </c>
      <c r="G9421" s="20" t="str">
        <f>IFERROR(__xludf.DUMMYFUNCTION("""COMPUTED_VALUE"""),"Uncle Sams Cider (04/04/2023)")</f>
        <v>Uncle Sams Cider (04/04/2023)</v>
      </c>
      <c r="H9421" s="19"/>
    </row>
    <row r="9422">
      <c r="A9422" s="9"/>
      <c r="B9422" s="15"/>
      <c r="C9422" s="9">
        <f>IFERROR(__xludf.DUMMYFUNCTION("""COMPUTED_VALUE"""),45045.2283258449)</f>
        <v>45045.22833</v>
      </c>
      <c r="D9422" s="15">
        <f>IFERROR(__xludf.DUMMYFUNCTION("""COMPUTED_VALUE"""),1.029)</f>
        <v>1.029</v>
      </c>
      <c r="E9422" s="16">
        <f>IFERROR(__xludf.DUMMYFUNCTION("""COMPUTED_VALUE"""),64.0)</f>
        <v>64</v>
      </c>
      <c r="F9422" s="19" t="str">
        <f>IFERROR(__xludf.DUMMYFUNCTION("""COMPUTED_VALUE"""),"BLACK")</f>
        <v>BLACK</v>
      </c>
      <c r="G9422" s="20" t="str">
        <f>IFERROR(__xludf.DUMMYFUNCTION("""COMPUTED_VALUE"""),"Uncle Sams Cider (04/04/2023)")</f>
        <v>Uncle Sams Cider (04/04/2023)</v>
      </c>
      <c r="H9422" s="19"/>
    </row>
    <row r="9423">
      <c r="A9423" s="9"/>
      <c r="B9423" s="15"/>
      <c r="C9423" s="9">
        <f>IFERROR(__xludf.DUMMYFUNCTION("""COMPUTED_VALUE"""),45045.217903125)</f>
        <v>45045.2179</v>
      </c>
      <c r="D9423" s="15">
        <f>IFERROR(__xludf.DUMMYFUNCTION("""COMPUTED_VALUE"""),1.028)</f>
        <v>1.028</v>
      </c>
      <c r="E9423" s="16">
        <f>IFERROR(__xludf.DUMMYFUNCTION("""COMPUTED_VALUE"""),64.0)</f>
        <v>64</v>
      </c>
      <c r="F9423" s="19" t="str">
        <f>IFERROR(__xludf.DUMMYFUNCTION("""COMPUTED_VALUE"""),"BLACK")</f>
        <v>BLACK</v>
      </c>
      <c r="G9423" s="20" t="str">
        <f>IFERROR(__xludf.DUMMYFUNCTION("""COMPUTED_VALUE"""),"Uncle Sams Cider (04/04/2023)")</f>
        <v>Uncle Sams Cider (04/04/2023)</v>
      </c>
      <c r="H9423" s="19"/>
    </row>
    <row r="9424">
      <c r="A9424" s="9"/>
      <c r="B9424" s="15"/>
      <c r="C9424" s="9">
        <f>IFERROR(__xludf.DUMMYFUNCTION("""COMPUTED_VALUE"""),45045.2074803935)</f>
        <v>45045.20748</v>
      </c>
      <c r="D9424" s="15">
        <f>IFERROR(__xludf.DUMMYFUNCTION("""COMPUTED_VALUE"""),1.028)</f>
        <v>1.028</v>
      </c>
      <c r="E9424" s="16">
        <f>IFERROR(__xludf.DUMMYFUNCTION("""COMPUTED_VALUE"""),64.0)</f>
        <v>64</v>
      </c>
      <c r="F9424" s="19" t="str">
        <f>IFERROR(__xludf.DUMMYFUNCTION("""COMPUTED_VALUE"""),"BLACK")</f>
        <v>BLACK</v>
      </c>
      <c r="G9424" s="20" t="str">
        <f>IFERROR(__xludf.DUMMYFUNCTION("""COMPUTED_VALUE"""),"Uncle Sams Cider (04/04/2023)")</f>
        <v>Uncle Sams Cider (04/04/2023)</v>
      </c>
      <c r="H9424" s="19"/>
    </row>
    <row r="9425">
      <c r="A9425" s="9"/>
      <c r="B9425" s="15"/>
      <c r="C9425" s="9">
        <f>IFERROR(__xludf.DUMMYFUNCTION("""COMPUTED_VALUE"""),45045.1970587731)</f>
        <v>45045.19706</v>
      </c>
      <c r="D9425" s="15">
        <f>IFERROR(__xludf.DUMMYFUNCTION("""COMPUTED_VALUE"""),1.028)</f>
        <v>1.028</v>
      </c>
      <c r="E9425" s="16">
        <f>IFERROR(__xludf.DUMMYFUNCTION("""COMPUTED_VALUE"""),64.0)</f>
        <v>64</v>
      </c>
      <c r="F9425" s="19" t="str">
        <f>IFERROR(__xludf.DUMMYFUNCTION("""COMPUTED_VALUE"""),"BLACK")</f>
        <v>BLACK</v>
      </c>
      <c r="G9425" s="20" t="str">
        <f>IFERROR(__xludf.DUMMYFUNCTION("""COMPUTED_VALUE"""),"Uncle Sams Cider (04/04/2023)")</f>
        <v>Uncle Sams Cider (04/04/2023)</v>
      </c>
      <c r="H9425" s="19"/>
    </row>
    <row r="9426">
      <c r="A9426" s="9"/>
      <c r="B9426" s="15"/>
      <c r="C9426" s="9">
        <f>IFERROR(__xludf.DUMMYFUNCTION("""COMPUTED_VALUE"""),45045.186626493)</f>
        <v>45045.18663</v>
      </c>
      <c r="D9426" s="15">
        <f>IFERROR(__xludf.DUMMYFUNCTION("""COMPUTED_VALUE"""),1.029)</f>
        <v>1.029</v>
      </c>
      <c r="E9426" s="16">
        <f>IFERROR(__xludf.DUMMYFUNCTION("""COMPUTED_VALUE"""),64.0)</f>
        <v>64</v>
      </c>
      <c r="F9426" s="19" t="str">
        <f>IFERROR(__xludf.DUMMYFUNCTION("""COMPUTED_VALUE"""),"BLACK")</f>
        <v>BLACK</v>
      </c>
      <c r="G9426" s="20" t="str">
        <f>IFERROR(__xludf.DUMMYFUNCTION("""COMPUTED_VALUE"""),"Uncle Sams Cider (04/04/2023)")</f>
        <v>Uncle Sams Cider (04/04/2023)</v>
      </c>
      <c r="H9426" s="19"/>
    </row>
    <row r="9427">
      <c r="A9427" s="9"/>
      <c r="B9427" s="15"/>
      <c r="C9427" s="9">
        <f>IFERROR(__xludf.DUMMYFUNCTION("""COMPUTED_VALUE"""),45045.176194456)</f>
        <v>45045.17619</v>
      </c>
      <c r="D9427" s="15">
        <f>IFERROR(__xludf.DUMMYFUNCTION("""COMPUTED_VALUE"""),1.029)</f>
        <v>1.029</v>
      </c>
      <c r="E9427" s="16">
        <f>IFERROR(__xludf.DUMMYFUNCTION("""COMPUTED_VALUE"""),64.0)</f>
        <v>64</v>
      </c>
      <c r="F9427" s="19" t="str">
        <f>IFERROR(__xludf.DUMMYFUNCTION("""COMPUTED_VALUE"""),"BLACK")</f>
        <v>BLACK</v>
      </c>
      <c r="G9427" s="20" t="str">
        <f>IFERROR(__xludf.DUMMYFUNCTION("""COMPUTED_VALUE"""),"Uncle Sams Cider (04/04/2023)")</f>
        <v>Uncle Sams Cider (04/04/2023)</v>
      </c>
      <c r="H9427" s="19"/>
    </row>
    <row r="9428">
      <c r="A9428" s="9"/>
      <c r="B9428" s="15"/>
      <c r="C9428" s="9">
        <f>IFERROR(__xludf.DUMMYFUNCTION("""COMPUTED_VALUE"""),45045.1553496412)</f>
        <v>45045.15535</v>
      </c>
      <c r="D9428" s="15">
        <f>IFERROR(__xludf.DUMMYFUNCTION("""COMPUTED_VALUE"""),1.029)</f>
        <v>1.029</v>
      </c>
      <c r="E9428" s="16">
        <f>IFERROR(__xludf.DUMMYFUNCTION("""COMPUTED_VALUE"""),64.0)</f>
        <v>64</v>
      </c>
      <c r="F9428" s="19" t="str">
        <f>IFERROR(__xludf.DUMMYFUNCTION("""COMPUTED_VALUE"""),"BLACK")</f>
        <v>BLACK</v>
      </c>
      <c r="G9428" s="20" t="str">
        <f>IFERROR(__xludf.DUMMYFUNCTION("""COMPUTED_VALUE"""),"Uncle Sams Cider (04/04/2023)")</f>
        <v>Uncle Sams Cider (04/04/2023)</v>
      </c>
      <c r="H9428" s="19"/>
    </row>
    <row r="9429">
      <c r="A9429" s="9"/>
      <c r="B9429" s="15"/>
      <c r="C9429" s="9">
        <f>IFERROR(__xludf.DUMMYFUNCTION("""COMPUTED_VALUE"""),45045.1449167708)</f>
        <v>45045.14492</v>
      </c>
      <c r="D9429" s="15">
        <f>IFERROR(__xludf.DUMMYFUNCTION("""COMPUTED_VALUE"""),1.029)</f>
        <v>1.029</v>
      </c>
      <c r="E9429" s="16">
        <f>IFERROR(__xludf.DUMMYFUNCTION("""COMPUTED_VALUE"""),64.0)</f>
        <v>64</v>
      </c>
      <c r="F9429" s="19" t="str">
        <f>IFERROR(__xludf.DUMMYFUNCTION("""COMPUTED_VALUE"""),"BLACK")</f>
        <v>BLACK</v>
      </c>
      <c r="G9429" s="20" t="str">
        <f>IFERROR(__xludf.DUMMYFUNCTION("""COMPUTED_VALUE"""),"Uncle Sams Cider (04/04/2023)")</f>
        <v>Uncle Sams Cider (04/04/2023)</v>
      </c>
      <c r="H9429" s="19"/>
    </row>
    <row r="9430">
      <c r="A9430" s="9"/>
      <c r="B9430" s="15"/>
      <c r="C9430" s="9">
        <f>IFERROR(__xludf.DUMMYFUNCTION("""COMPUTED_VALUE"""),45045.1344841898)</f>
        <v>45045.13448</v>
      </c>
      <c r="D9430" s="15">
        <f>IFERROR(__xludf.DUMMYFUNCTION("""COMPUTED_VALUE"""),1.029)</f>
        <v>1.029</v>
      </c>
      <c r="E9430" s="16">
        <f>IFERROR(__xludf.DUMMYFUNCTION("""COMPUTED_VALUE"""),64.0)</f>
        <v>64</v>
      </c>
      <c r="F9430" s="19" t="str">
        <f>IFERROR(__xludf.DUMMYFUNCTION("""COMPUTED_VALUE"""),"BLACK")</f>
        <v>BLACK</v>
      </c>
      <c r="G9430" s="20" t="str">
        <f>IFERROR(__xludf.DUMMYFUNCTION("""COMPUTED_VALUE"""),"Uncle Sams Cider (04/04/2023)")</f>
        <v>Uncle Sams Cider (04/04/2023)</v>
      </c>
      <c r="H9430" s="19"/>
    </row>
    <row r="9431">
      <c r="A9431" s="9"/>
      <c r="B9431" s="15"/>
      <c r="C9431" s="9">
        <f>IFERROR(__xludf.DUMMYFUNCTION("""COMPUTED_VALUE"""),45045.1240626851)</f>
        <v>45045.12406</v>
      </c>
      <c r="D9431" s="15">
        <f>IFERROR(__xludf.DUMMYFUNCTION("""COMPUTED_VALUE"""),1.029)</f>
        <v>1.029</v>
      </c>
      <c r="E9431" s="16">
        <f>IFERROR(__xludf.DUMMYFUNCTION("""COMPUTED_VALUE"""),64.0)</f>
        <v>64</v>
      </c>
      <c r="F9431" s="19" t="str">
        <f>IFERROR(__xludf.DUMMYFUNCTION("""COMPUTED_VALUE"""),"BLACK")</f>
        <v>BLACK</v>
      </c>
      <c r="G9431" s="20" t="str">
        <f>IFERROR(__xludf.DUMMYFUNCTION("""COMPUTED_VALUE"""),"Uncle Sams Cider (04/04/2023)")</f>
        <v>Uncle Sams Cider (04/04/2023)</v>
      </c>
      <c r="H9431" s="19"/>
    </row>
    <row r="9432">
      <c r="A9432" s="9"/>
      <c r="B9432" s="15"/>
      <c r="C9432" s="9">
        <f>IFERROR(__xludf.DUMMYFUNCTION("""COMPUTED_VALUE"""),45045.1136417708)</f>
        <v>45045.11364</v>
      </c>
      <c r="D9432" s="15">
        <f>IFERROR(__xludf.DUMMYFUNCTION("""COMPUTED_VALUE"""),1.029)</f>
        <v>1.029</v>
      </c>
      <c r="E9432" s="16">
        <f>IFERROR(__xludf.DUMMYFUNCTION("""COMPUTED_VALUE"""),64.0)</f>
        <v>64</v>
      </c>
      <c r="F9432" s="19" t="str">
        <f>IFERROR(__xludf.DUMMYFUNCTION("""COMPUTED_VALUE"""),"BLACK")</f>
        <v>BLACK</v>
      </c>
      <c r="G9432" s="20" t="str">
        <f>IFERROR(__xludf.DUMMYFUNCTION("""COMPUTED_VALUE"""),"Uncle Sams Cider (04/04/2023)")</f>
        <v>Uncle Sams Cider (04/04/2023)</v>
      </c>
      <c r="H9432" s="19"/>
    </row>
    <row r="9433">
      <c r="A9433" s="9"/>
      <c r="B9433" s="15"/>
      <c r="C9433" s="9">
        <f>IFERROR(__xludf.DUMMYFUNCTION("""COMPUTED_VALUE"""),45045.1032094212)</f>
        <v>45045.10321</v>
      </c>
      <c r="D9433" s="15">
        <f>IFERROR(__xludf.DUMMYFUNCTION("""COMPUTED_VALUE"""),1.029)</f>
        <v>1.029</v>
      </c>
      <c r="E9433" s="16">
        <f>IFERROR(__xludf.DUMMYFUNCTION("""COMPUTED_VALUE"""),64.0)</f>
        <v>64</v>
      </c>
      <c r="F9433" s="19" t="str">
        <f>IFERROR(__xludf.DUMMYFUNCTION("""COMPUTED_VALUE"""),"BLACK")</f>
        <v>BLACK</v>
      </c>
      <c r="G9433" s="20" t="str">
        <f>IFERROR(__xludf.DUMMYFUNCTION("""COMPUTED_VALUE"""),"Uncle Sams Cider (04/04/2023)")</f>
        <v>Uncle Sams Cider (04/04/2023)</v>
      </c>
      <c r="H9433" s="19"/>
    </row>
    <row r="9434">
      <c r="A9434" s="9"/>
      <c r="B9434" s="15"/>
      <c r="C9434" s="9">
        <f>IFERROR(__xludf.DUMMYFUNCTION("""COMPUTED_VALUE"""),45045.0927899768)</f>
        <v>45045.09279</v>
      </c>
      <c r="D9434" s="15">
        <f>IFERROR(__xludf.DUMMYFUNCTION("""COMPUTED_VALUE"""),1.029)</f>
        <v>1.029</v>
      </c>
      <c r="E9434" s="16">
        <f>IFERROR(__xludf.DUMMYFUNCTION("""COMPUTED_VALUE"""),64.0)</f>
        <v>64</v>
      </c>
      <c r="F9434" s="19" t="str">
        <f>IFERROR(__xludf.DUMMYFUNCTION("""COMPUTED_VALUE"""),"BLACK")</f>
        <v>BLACK</v>
      </c>
      <c r="G9434" s="20" t="str">
        <f>IFERROR(__xludf.DUMMYFUNCTION("""COMPUTED_VALUE"""),"Uncle Sams Cider (04/04/2023)")</f>
        <v>Uncle Sams Cider (04/04/2023)</v>
      </c>
      <c r="H9434" s="19"/>
    </row>
    <row r="9435">
      <c r="A9435" s="9"/>
      <c r="B9435" s="15"/>
      <c r="C9435" s="9">
        <f>IFERROR(__xludf.DUMMYFUNCTION("""COMPUTED_VALUE"""),45045.0823695023)</f>
        <v>45045.08237</v>
      </c>
      <c r="D9435" s="15">
        <f>IFERROR(__xludf.DUMMYFUNCTION("""COMPUTED_VALUE"""),1.029)</f>
        <v>1.029</v>
      </c>
      <c r="E9435" s="16">
        <f>IFERROR(__xludf.DUMMYFUNCTION("""COMPUTED_VALUE"""),64.0)</f>
        <v>64</v>
      </c>
      <c r="F9435" s="19" t="str">
        <f>IFERROR(__xludf.DUMMYFUNCTION("""COMPUTED_VALUE"""),"BLACK")</f>
        <v>BLACK</v>
      </c>
      <c r="G9435" s="20" t="str">
        <f>IFERROR(__xludf.DUMMYFUNCTION("""COMPUTED_VALUE"""),"Uncle Sams Cider (04/04/2023)")</f>
        <v>Uncle Sams Cider (04/04/2023)</v>
      </c>
      <c r="H9435" s="19"/>
    </row>
    <row r="9436">
      <c r="A9436" s="9"/>
      <c r="B9436" s="15"/>
      <c r="C9436" s="9">
        <f>IFERROR(__xludf.DUMMYFUNCTION("""COMPUTED_VALUE"""),45045.0719380902)</f>
        <v>45045.07194</v>
      </c>
      <c r="D9436" s="15">
        <f>IFERROR(__xludf.DUMMYFUNCTION("""COMPUTED_VALUE"""),1.029)</f>
        <v>1.029</v>
      </c>
      <c r="E9436" s="16">
        <f>IFERROR(__xludf.DUMMYFUNCTION("""COMPUTED_VALUE"""),64.0)</f>
        <v>64</v>
      </c>
      <c r="F9436" s="19" t="str">
        <f>IFERROR(__xludf.DUMMYFUNCTION("""COMPUTED_VALUE"""),"BLACK")</f>
        <v>BLACK</v>
      </c>
      <c r="G9436" s="20" t="str">
        <f>IFERROR(__xludf.DUMMYFUNCTION("""COMPUTED_VALUE"""),"Uncle Sams Cider (04/04/2023)")</f>
        <v>Uncle Sams Cider (04/04/2023)</v>
      </c>
      <c r="H9436" s="19"/>
    </row>
    <row r="9437">
      <c r="A9437" s="9"/>
      <c r="B9437" s="15"/>
      <c r="C9437" s="9">
        <f>IFERROR(__xludf.DUMMYFUNCTION("""COMPUTED_VALUE"""),45045.0615167014)</f>
        <v>45045.06152</v>
      </c>
      <c r="D9437" s="15">
        <f>IFERROR(__xludf.DUMMYFUNCTION("""COMPUTED_VALUE"""),1.029)</f>
        <v>1.029</v>
      </c>
      <c r="E9437" s="16">
        <f>IFERROR(__xludf.DUMMYFUNCTION("""COMPUTED_VALUE"""),64.0)</f>
        <v>64</v>
      </c>
      <c r="F9437" s="19" t="str">
        <f>IFERROR(__xludf.DUMMYFUNCTION("""COMPUTED_VALUE"""),"BLACK")</f>
        <v>BLACK</v>
      </c>
      <c r="G9437" s="20" t="str">
        <f>IFERROR(__xludf.DUMMYFUNCTION("""COMPUTED_VALUE"""),"Uncle Sams Cider (04/04/2023)")</f>
        <v>Uncle Sams Cider (04/04/2023)</v>
      </c>
      <c r="H9437" s="19"/>
    </row>
    <row r="9438">
      <c r="A9438" s="9"/>
      <c r="B9438" s="15"/>
      <c r="C9438" s="9">
        <f>IFERROR(__xludf.DUMMYFUNCTION("""COMPUTED_VALUE"""),45045.05109728)</f>
        <v>45045.0511</v>
      </c>
      <c r="D9438" s="15">
        <f>IFERROR(__xludf.DUMMYFUNCTION("""COMPUTED_VALUE"""),1.029)</f>
        <v>1.029</v>
      </c>
      <c r="E9438" s="16">
        <f>IFERROR(__xludf.DUMMYFUNCTION("""COMPUTED_VALUE"""),64.0)</f>
        <v>64</v>
      </c>
      <c r="F9438" s="19" t="str">
        <f>IFERROR(__xludf.DUMMYFUNCTION("""COMPUTED_VALUE"""),"BLACK")</f>
        <v>BLACK</v>
      </c>
      <c r="G9438" s="20" t="str">
        <f>IFERROR(__xludf.DUMMYFUNCTION("""COMPUTED_VALUE"""),"Uncle Sams Cider (04/04/2023)")</f>
        <v>Uncle Sams Cider (04/04/2023)</v>
      </c>
      <c r="H9438" s="19"/>
    </row>
    <row r="9439">
      <c r="A9439" s="9"/>
      <c r="B9439" s="15"/>
      <c r="C9439" s="9">
        <f>IFERROR(__xludf.DUMMYFUNCTION("""COMPUTED_VALUE"""),45045.0406519444)</f>
        <v>45045.04065</v>
      </c>
      <c r="D9439" s="15">
        <f>IFERROR(__xludf.DUMMYFUNCTION("""COMPUTED_VALUE"""),1.029)</f>
        <v>1.029</v>
      </c>
      <c r="E9439" s="16">
        <f>IFERROR(__xludf.DUMMYFUNCTION("""COMPUTED_VALUE"""),64.0)</f>
        <v>64</v>
      </c>
      <c r="F9439" s="19" t="str">
        <f>IFERROR(__xludf.DUMMYFUNCTION("""COMPUTED_VALUE"""),"BLACK")</f>
        <v>BLACK</v>
      </c>
      <c r="G9439" s="20" t="str">
        <f>IFERROR(__xludf.DUMMYFUNCTION("""COMPUTED_VALUE"""),"Uncle Sams Cider (04/04/2023)")</f>
        <v>Uncle Sams Cider (04/04/2023)</v>
      </c>
      <c r="H9439" s="19"/>
    </row>
    <row r="9440">
      <c r="A9440" s="9"/>
      <c r="B9440" s="15"/>
      <c r="C9440" s="9">
        <f>IFERROR(__xludf.DUMMYFUNCTION("""COMPUTED_VALUE"""),45045.0302293171)</f>
        <v>45045.03023</v>
      </c>
      <c r="D9440" s="15">
        <f>IFERROR(__xludf.DUMMYFUNCTION("""COMPUTED_VALUE"""),1.029)</f>
        <v>1.029</v>
      </c>
      <c r="E9440" s="16">
        <f>IFERROR(__xludf.DUMMYFUNCTION("""COMPUTED_VALUE"""),64.0)</f>
        <v>64</v>
      </c>
      <c r="F9440" s="19" t="str">
        <f>IFERROR(__xludf.DUMMYFUNCTION("""COMPUTED_VALUE"""),"BLACK")</f>
        <v>BLACK</v>
      </c>
      <c r="G9440" s="20" t="str">
        <f>IFERROR(__xludf.DUMMYFUNCTION("""COMPUTED_VALUE"""),"Uncle Sams Cider (04/04/2023)")</f>
        <v>Uncle Sams Cider (04/04/2023)</v>
      </c>
      <c r="H9440" s="19"/>
    </row>
    <row r="9441">
      <c r="A9441" s="9"/>
      <c r="B9441" s="15"/>
      <c r="C9441" s="9">
        <f>IFERROR(__xludf.DUMMYFUNCTION("""COMPUTED_VALUE"""),45045.0197973148)</f>
        <v>45045.0198</v>
      </c>
      <c r="D9441" s="15">
        <f>IFERROR(__xludf.DUMMYFUNCTION("""COMPUTED_VALUE"""),1.029)</f>
        <v>1.029</v>
      </c>
      <c r="E9441" s="16">
        <f>IFERROR(__xludf.DUMMYFUNCTION("""COMPUTED_VALUE"""),64.0)</f>
        <v>64</v>
      </c>
      <c r="F9441" s="19" t="str">
        <f>IFERROR(__xludf.DUMMYFUNCTION("""COMPUTED_VALUE"""),"BLACK")</f>
        <v>BLACK</v>
      </c>
      <c r="G9441" s="20" t="str">
        <f>IFERROR(__xludf.DUMMYFUNCTION("""COMPUTED_VALUE"""),"Uncle Sams Cider (04/04/2023)")</f>
        <v>Uncle Sams Cider (04/04/2023)</v>
      </c>
      <c r="H9441" s="19"/>
    </row>
    <row r="9442">
      <c r="A9442" s="9"/>
      <c r="B9442" s="15"/>
      <c r="C9442" s="9">
        <f>IFERROR(__xludf.DUMMYFUNCTION("""COMPUTED_VALUE"""),45045.0093642939)</f>
        <v>45045.00936</v>
      </c>
      <c r="D9442" s="15">
        <f>IFERROR(__xludf.DUMMYFUNCTION("""COMPUTED_VALUE"""),1.029)</f>
        <v>1.029</v>
      </c>
      <c r="E9442" s="16">
        <f>IFERROR(__xludf.DUMMYFUNCTION("""COMPUTED_VALUE"""),64.0)</f>
        <v>64</v>
      </c>
      <c r="F9442" s="19" t="str">
        <f>IFERROR(__xludf.DUMMYFUNCTION("""COMPUTED_VALUE"""),"BLACK")</f>
        <v>BLACK</v>
      </c>
      <c r="G9442" s="20" t="str">
        <f>IFERROR(__xludf.DUMMYFUNCTION("""COMPUTED_VALUE"""),"Uncle Sams Cider (04/04/2023)")</f>
        <v>Uncle Sams Cider (04/04/2023)</v>
      </c>
      <c r="H9442" s="19"/>
    </row>
    <row r="9443">
      <c r="A9443" s="9"/>
      <c r="B9443" s="15"/>
      <c r="C9443" s="9">
        <f>IFERROR(__xludf.DUMMYFUNCTION("""COMPUTED_VALUE"""),45044.9989329398)</f>
        <v>45044.99893</v>
      </c>
      <c r="D9443" s="15">
        <f>IFERROR(__xludf.DUMMYFUNCTION("""COMPUTED_VALUE"""),1.029)</f>
        <v>1.029</v>
      </c>
      <c r="E9443" s="16">
        <f>IFERROR(__xludf.DUMMYFUNCTION("""COMPUTED_VALUE"""),64.0)</f>
        <v>64</v>
      </c>
      <c r="F9443" s="19" t="str">
        <f>IFERROR(__xludf.DUMMYFUNCTION("""COMPUTED_VALUE"""),"BLACK")</f>
        <v>BLACK</v>
      </c>
      <c r="G9443" s="20" t="str">
        <f>IFERROR(__xludf.DUMMYFUNCTION("""COMPUTED_VALUE"""),"Uncle Sams Cider (04/04/2023)")</f>
        <v>Uncle Sams Cider (04/04/2023)</v>
      </c>
      <c r="H9443" s="19"/>
    </row>
    <row r="9444">
      <c r="A9444" s="9"/>
      <c r="B9444" s="15"/>
      <c r="C9444" s="9">
        <f>IFERROR(__xludf.DUMMYFUNCTION("""COMPUTED_VALUE"""),45044.9884985879)</f>
        <v>45044.9885</v>
      </c>
      <c r="D9444" s="15">
        <f>IFERROR(__xludf.DUMMYFUNCTION("""COMPUTED_VALUE"""),1.029)</f>
        <v>1.029</v>
      </c>
      <c r="E9444" s="16">
        <f>IFERROR(__xludf.DUMMYFUNCTION("""COMPUTED_VALUE"""),64.0)</f>
        <v>64</v>
      </c>
      <c r="F9444" s="19" t="str">
        <f>IFERROR(__xludf.DUMMYFUNCTION("""COMPUTED_VALUE"""),"BLACK")</f>
        <v>BLACK</v>
      </c>
      <c r="G9444" s="20" t="str">
        <f>IFERROR(__xludf.DUMMYFUNCTION("""COMPUTED_VALUE"""),"Uncle Sams Cider (04/04/2023)")</f>
        <v>Uncle Sams Cider (04/04/2023)</v>
      </c>
      <c r="H9444" s="19"/>
    </row>
    <row r="9445">
      <c r="A9445" s="9"/>
      <c r="B9445" s="15"/>
      <c r="C9445" s="9">
        <f>IFERROR(__xludf.DUMMYFUNCTION("""COMPUTED_VALUE"""),45044.9780778587)</f>
        <v>45044.97808</v>
      </c>
      <c r="D9445" s="15">
        <f>IFERROR(__xludf.DUMMYFUNCTION("""COMPUTED_VALUE"""),1.029)</f>
        <v>1.029</v>
      </c>
      <c r="E9445" s="16">
        <f>IFERROR(__xludf.DUMMYFUNCTION("""COMPUTED_VALUE"""),64.0)</f>
        <v>64</v>
      </c>
      <c r="F9445" s="19" t="str">
        <f>IFERROR(__xludf.DUMMYFUNCTION("""COMPUTED_VALUE"""),"BLACK")</f>
        <v>BLACK</v>
      </c>
      <c r="G9445" s="20" t="str">
        <f>IFERROR(__xludf.DUMMYFUNCTION("""COMPUTED_VALUE"""),"Uncle Sams Cider (04/04/2023)")</f>
        <v>Uncle Sams Cider (04/04/2023)</v>
      </c>
      <c r="H9445" s="19"/>
    </row>
    <row r="9446">
      <c r="A9446" s="9"/>
      <c r="B9446" s="15"/>
      <c r="C9446" s="9">
        <f>IFERROR(__xludf.DUMMYFUNCTION("""COMPUTED_VALUE"""),45044.9676570601)</f>
        <v>45044.96766</v>
      </c>
      <c r="D9446" s="15">
        <f>IFERROR(__xludf.DUMMYFUNCTION("""COMPUTED_VALUE"""),1.029)</f>
        <v>1.029</v>
      </c>
      <c r="E9446" s="16">
        <f>IFERROR(__xludf.DUMMYFUNCTION("""COMPUTED_VALUE"""),64.0)</f>
        <v>64</v>
      </c>
      <c r="F9446" s="19" t="str">
        <f>IFERROR(__xludf.DUMMYFUNCTION("""COMPUTED_VALUE"""),"BLACK")</f>
        <v>BLACK</v>
      </c>
      <c r="G9446" s="20" t="str">
        <f>IFERROR(__xludf.DUMMYFUNCTION("""COMPUTED_VALUE"""),"Uncle Sams Cider (04/04/2023)")</f>
        <v>Uncle Sams Cider (04/04/2023)</v>
      </c>
      <c r="H9446" s="19"/>
    </row>
    <row r="9447">
      <c r="A9447" s="9"/>
      <c r="B9447" s="15"/>
      <c r="C9447" s="9">
        <f>IFERROR(__xludf.DUMMYFUNCTION("""COMPUTED_VALUE"""),45044.9572123032)</f>
        <v>45044.95721</v>
      </c>
      <c r="D9447" s="15">
        <f>IFERROR(__xludf.DUMMYFUNCTION("""COMPUTED_VALUE"""),1.029)</f>
        <v>1.029</v>
      </c>
      <c r="E9447" s="16">
        <f>IFERROR(__xludf.DUMMYFUNCTION("""COMPUTED_VALUE"""),64.0)</f>
        <v>64</v>
      </c>
      <c r="F9447" s="19" t="str">
        <f>IFERROR(__xludf.DUMMYFUNCTION("""COMPUTED_VALUE"""),"BLACK")</f>
        <v>BLACK</v>
      </c>
      <c r="G9447" s="20" t="str">
        <f>IFERROR(__xludf.DUMMYFUNCTION("""COMPUTED_VALUE"""),"Uncle Sams Cider (04/04/2023)")</f>
        <v>Uncle Sams Cider (04/04/2023)</v>
      </c>
      <c r="H9447" s="19"/>
    </row>
    <row r="9448">
      <c r="A9448" s="9"/>
      <c r="B9448" s="15"/>
      <c r="C9448" s="9">
        <f>IFERROR(__xludf.DUMMYFUNCTION("""COMPUTED_VALUE"""),45044.9467818287)</f>
        <v>45044.94678</v>
      </c>
      <c r="D9448" s="15">
        <f>IFERROR(__xludf.DUMMYFUNCTION("""COMPUTED_VALUE"""),1.029)</f>
        <v>1.029</v>
      </c>
      <c r="E9448" s="16">
        <f>IFERROR(__xludf.DUMMYFUNCTION("""COMPUTED_VALUE"""),64.0)</f>
        <v>64</v>
      </c>
      <c r="F9448" s="19" t="str">
        <f>IFERROR(__xludf.DUMMYFUNCTION("""COMPUTED_VALUE"""),"BLACK")</f>
        <v>BLACK</v>
      </c>
      <c r="G9448" s="20" t="str">
        <f>IFERROR(__xludf.DUMMYFUNCTION("""COMPUTED_VALUE"""),"Uncle Sams Cider (04/04/2023)")</f>
        <v>Uncle Sams Cider (04/04/2023)</v>
      </c>
      <c r="H9448" s="19"/>
    </row>
    <row r="9449">
      <c r="A9449" s="9"/>
      <c r="B9449" s="15"/>
      <c r="C9449" s="9">
        <f>IFERROR(__xludf.DUMMYFUNCTION("""COMPUTED_VALUE"""),45044.9363362037)</f>
        <v>45044.93634</v>
      </c>
      <c r="D9449" s="15">
        <f>IFERROR(__xludf.DUMMYFUNCTION("""COMPUTED_VALUE"""),1.029)</f>
        <v>1.029</v>
      </c>
      <c r="E9449" s="16">
        <f>IFERROR(__xludf.DUMMYFUNCTION("""COMPUTED_VALUE"""),64.0)</f>
        <v>64</v>
      </c>
      <c r="F9449" s="19" t="str">
        <f>IFERROR(__xludf.DUMMYFUNCTION("""COMPUTED_VALUE"""),"BLACK")</f>
        <v>BLACK</v>
      </c>
      <c r="G9449" s="20" t="str">
        <f>IFERROR(__xludf.DUMMYFUNCTION("""COMPUTED_VALUE"""),"Uncle Sams Cider (04/04/2023)")</f>
        <v>Uncle Sams Cider (04/04/2023)</v>
      </c>
      <c r="H9449" s="19"/>
    </row>
    <row r="9450">
      <c r="A9450" s="9"/>
      <c r="B9450" s="15"/>
      <c r="C9450" s="9">
        <f>IFERROR(__xludf.DUMMYFUNCTION("""COMPUTED_VALUE"""),45044.9258927546)</f>
        <v>45044.92589</v>
      </c>
      <c r="D9450" s="15">
        <f>IFERROR(__xludf.DUMMYFUNCTION("""COMPUTED_VALUE"""),1.029)</f>
        <v>1.029</v>
      </c>
      <c r="E9450" s="16">
        <f>IFERROR(__xludf.DUMMYFUNCTION("""COMPUTED_VALUE"""),64.0)</f>
        <v>64</v>
      </c>
      <c r="F9450" s="19" t="str">
        <f>IFERROR(__xludf.DUMMYFUNCTION("""COMPUTED_VALUE"""),"BLACK")</f>
        <v>BLACK</v>
      </c>
      <c r="G9450" s="20" t="str">
        <f>IFERROR(__xludf.DUMMYFUNCTION("""COMPUTED_VALUE"""),"Uncle Sams Cider (04/04/2023)")</f>
        <v>Uncle Sams Cider (04/04/2023)</v>
      </c>
      <c r="H9450" s="19"/>
    </row>
    <row r="9451">
      <c r="A9451" s="9"/>
      <c r="B9451" s="15"/>
      <c r="C9451" s="9">
        <f>IFERROR(__xludf.DUMMYFUNCTION("""COMPUTED_VALUE"""),45044.9154487037)</f>
        <v>45044.91545</v>
      </c>
      <c r="D9451" s="15">
        <f>IFERROR(__xludf.DUMMYFUNCTION("""COMPUTED_VALUE"""),1.029)</f>
        <v>1.029</v>
      </c>
      <c r="E9451" s="16">
        <f>IFERROR(__xludf.DUMMYFUNCTION("""COMPUTED_VALUE"""),64.0)</f>
        <v>64</v>
      </c>
      <c r="F9451" s="19" t="str">
        <f>IFERROR(__xludf.DUMMYFUNCTION("""COMPUTED_VALUE"""),"BLACK")</f>
        <v>BLACK</v>
      </c>
      <c r="G9451" s="20" t="str">
        <f>IFERROR(__xludf.DUMMYFUNCTION("""COMPUTED_VALUE"""),"Uncle Sams Cider (04/04/2023)")</f>
        <v>Uncle Sams Cider (04/04/2023)</v>
      </c>
      <c r="H9451" s="19"/>
    </row>
    <row r="9452">
      <c r="A9452" s="9"/>
      <c r="B9452" s="15"/>
      <c r="C9452" s="9">
        <f>IFERROR(__xludf.DUMMYFUNCTION("""COMPUTED_VALUE"""),45044.9050291782)</f>
        <v>45044.90503</v>
      </c>
      <c r="D9452" s="15">
        <f>IFERROR(__xludf.DUMMYFUNCTION("""COMPUTED_VALUE"""),1.029)</f>
        <v>1.029</v>
      </c>
      <c r="E9452" s="16">
        <f>IFERROR(__xludf.DUMMYFUNCTION("""COMPUTED_VALUE"""),64.0)</f>
        <v>64</v>
      </c>
      <c r="F9452" s="19" t="str">
        <f>IFERROR(__xludf.DUMMYFUNCTION("""COMPUTED_VALUE"""),"BLACK")</f>
        <v>BLACK</v>
      </c>
      <c r="G9452" s="20" t="str">
        <f>IFERROR(__xludf.DUMMYFUNCTION("""COMPUTED_VALUE"""),"Uncle Sams Cider (04/04/2023)")</f>
        <v>Uncle Sams Cider (04/04/2023)</v>
      </c>
      <c r="H9452" s="19"/>
    </row>
    <row r="9453">
      <c r="A9453" s="9"/>
      <c r="B9453" s="15"/>
      <c r="C9453" s="9">
        <f>IFERROR(__xludf.DUMMYFUNCTION("""COMPUTED_VALUE"""),45044.8946086458)</f>
        <v>45044.89461</v>
      </c>
      <c r="D9453" s="15">
        <f>IFERROR(__xludf.DUMMYFUNCTION("""COMPUTED_VALUE"""),1.029)</f>
        <v>1.029</v>
      </c>
      <c r="E9453" s="16">
        <f>IFERROR(__xludf.DUMMYFUNCTION("""COMPUTED_VALUE"""),64.0)</f>
        <v>64</v>
      </c>
      <c r="F9453" s="19" t="str">
        <f>IFERROR(__xludf.DUMMYFUNCTION("""COMPUTED_VALUE"""),"BLACK")</f>
        <v>BLACK</v>
      </c>
      <c r="G9453" s="20" t="str">
        <f>IFERROR(__xludf.DUMMYFUNCTION("""COMPUTED_VALUE"""),"Uncle Sams Cider (04/04/2023)")</f>
        <v>Uncle Sams Cider (04/04/2023)</v>
      </c>
      <c r="H9453" s="19"/>
    </row>
    <row r="9454">
      <c r="A9454" s="9"/>
      <c r="B9454" s="15"/>
      <c r="C9454" s="9">
        <f>IFERROR(__xludf.DUMMYFUNCTION("""COMPUTED_VALUE"""),45044.8737214351)</f>
        <v>45044.87372</v>
      </c>
      <c r="D9454" s="15">
        <f>IFERROR(__xludf.DUMMYFUNCTION("""COMPUTED_VALUE"""),1.029)</f>
        <v>1.029</v>
      </c>
      <c r="E9454" s="16">
        <f>IFERROR(__xludf.DUMMYFUNCTION("""COMPUTED_VALUE"""),64.0)</f>
        <v>64</v>
      </c>
      <c r="F9454" s="19" t="str">
        <f>IFERROR(__xludf.DUMMYFUNCTION("""COMPUTED_VALUE"""),"BLACK")</f>
        <v>BLACK</v>
      </c>
      <c r="G9454" s="20" t="str">
        <f>IFERROR(__xludf.DUMMYFUNCTION("""COMPUTED_VALUE"""),"Uncle Sams Cider (04/04/2023)")</f>
        <v>Uncle Sams Cider (04/04/2023)</v>
      </c>
      <c r="H9454" s="19"/>
    </row>
    <row r="9455">
      <c r="A9455" s="9"/>
      <c r="B9455" s="15"/>
      <c r="C9455" s="9">
        <f>IFERROR(__xludf.DUMMYFUNCTION("""COMPUTED_VALUE"""),45044.8633001157)</f>
        <v>45044.8633</v>
      </c>
      <c r="D9455" s="15">
        <f>IFERROR(__xludf.DUMMYFUNCTION("""COMPUTED_VALUE"""),1.029)</f>
        <v>1.029</v>
      </c>
      <c r="E9455" s="16">
        <f>IFERROR(__xludf.DUMMYFUNCTION("""COMPUTED_VALUE"""),64.0)</f>
        <v>64</v>
      </c>
      <c r="F9455" s="19" t="str">
        <f>IFERROR(__xludf.DUMMYFUNCTION("""COMPUTED_VALUE"""),"BLACK")</f>
        <v>BLACK</v>
      </c>
      <c r="G9455" s="20" t="str">
        <f>IFERROR(__xludf.DUMMYFUNCTION("""COMPUTED_VALUE"""),"Uncle Sams Cider (04/04/2023)")</f>
        <v>Uncle Sams Cider (04/04/2023)</v>
      </c>
      <c r="H9455" s="19"/>
    </row>
    <row r="9456">
      <c r="A9456" s="9"/>
      <c r="B9456" s="15"/>
      <c r="C9456" s="9">
        <f>IFERROR(__xludf.DUMMYFUNCTION("""COMPUTED_VALUE"""),45044.8528554861)</f>
        <v>45044.85286</v>
      </c>
      <c r="D9456" s="15">
        <f>IFERROR(__xludf.DUMMYFUNCTION("""COMPUTED_VALUE"""),1.029)</f>
        <v>1.029</v>
      </c>
      <c r="E9456" s="16">
        <f>IFERROR(__xludf.DUMMYFUNCTION("""COMPUTED_VALUE"""),64.0)</f>
        <v>64</v>
      </c>
      <c r="F9456" s="19" t="str">
        <f>IFERROR(__xludf.DUMMYFUNCTION("""COMPUTED_VALUE"""),"BLACK")</f>
        <v>BLACK</v>
      </c>
      <c r="G9456" s="20" t="str">
        <f>IFERROR(__xludf.DUMMYFUNCTION("""COMPUTED_VALUE"""),"Uncle Sams Cider (04/04/2023)")</f>
        <v>Uncle Sams Cider (04/04/2023)</v>
      </c>
      <c r="H9456" s="19"/>
    </row>
    <row r="9457">
      <c r="A9457" s="9"/>
      <c r="B9457" s="15"/>
      <c r="C9457" s="9">
        <f>IFERROR(__xludf.DUMMYFUNCTION("""COMPUTED_VALUE"""),45044.8424341203)</f>
        <v>45044.84243</v>
      </c>
      <c r="D9457" s="15">
        <f>IFERROR(__xludf.DUMMYFUNCTION("""COMPUTED_VALUE"""),1.029)</f>
        <v>1.029</v>
      </c>
      <c r="E9457" s="16">
        <f>IFERROR(__xludf.DUMMYFUNCTION("""COMPUTED_VALUE"""),64.0)</f>
        <v>64</v>
      </c>
      <c r="F9457" s="19" t="str">
        <f>IFERROR(__xludf.DUMMYFUNCTION("""COMPUTED_VALUE"""),"BLACK")</f>
        <v>BLACK</v>
      </c>
      <c r="G9457" s="20" t="str">
        <f>IFERROR(__xludf.DUMMYFUNCTION("""COMPUTED_VALUE"""),"Uncle Sams Cider (04/04/2023)")</f>
        <v>Uncle Sams Cider (04/04/2023)</v>
      </c>
      <c r="H9457" s="19"/>
    </row>
    <row r="9458">
      <c r="A9458" s="9"/>
      <c r="B9458" s="15"/>
      <c r="C9458" s="9">
        <f>IFERROR(__xludf.DUMMYFUNCTION("""COMPUTED_VALUE"""),45044.8320020254)</f>
        <v>45044.832</v>
      </c>
      <c r="D9458" s="15">
        <f>IFERROR(__xludf.DUMMYFUNCTION("""COMPUTED_VALUE"""),1.029)</f>
        <v>1.029</v>
      </c>
      <c r="E9458" s="16">
        <f>IFERROR(__xludf.DUMMYFUNCTION("""COMPUTED_VALUE"""),64.0)</f>
        <v>64</v>
      </c>
      <c r="F9458" s="19" t="str">
        <f>IFERROR(__xludf.DUMMYFUNCTION("""COMPUTED_VALUE"""),"BLACK")</f>
        <v>BLACK</v>
      </c>
      <c r="G9458" s="20" t="str">
        <f>IFERROR(__xludf.DUMMYFUNCTION("""COMPUTED_VALUE"""),"Uncle Sams Cider (04/04/2023)")</f>
        <v>Uncle Sams Cider (04/04/2023)</v>
      </c>
      <c r="H9458" s="19"/>
    </row>
    <row r="9459">
      <c r="A9459" s="9"/>
      <c r="B9459" s="15"/>
      <c r="C9459" s="9">
        <f>IFERROR(__xludf.DUMMYFUNCTION("""COMPUTED_VALUE"""),45044.8215813194)</f>
        <v>45044.82158</v>
      </c>
      <c r="D9459" s="15">
        <f>IFERROR(__xludf.DUMMYFUNCTION("""COMPUTED_VALUE"""),1.029)</f>
        <v>1.029</v>
      </c>
      <c r="E9459" s="16">
        <f>IFERROR(__xludf.DUMMYFUNCTION("""COMPUTED_VALUE"""),64.0)</f>
        <v>64</v>
      </c>
      <c r="F9459" s="19" t="str">
        <f>IFERROR(__xludf.DUMMYFUNCTION("""COMPUTED_VALUE"""),"BLACK")</f>
        <v>BLACK</v>
      </c>
      <c r="G9459" s="20" t="str">
        <f>IFERROR(__xludf.DUMMYFUNCTION("""COMPUTED_VALUE"""),"Uncle Sams Cider (04/04/2023)")</f>
        <v>Uncle Sams Cider (04/04/2023)</v>
      </c>
      <c r="H9459" s="19"/>
    </row>
    <row r="9460">
      <c r="A9460" s="9"/>
      <c r="B9460" s="15"/>
      <c r="C9460" s="9">
        <f>IFERROR(__xludf.DUMMYFUNCTION("""COMPUTED_VALUE"""),45044.8111592129)</f>
        <v>45044.81116</v>
      </c>
      <c r="D9460" s="15">
        <f>IFERROR(__xludf.DUMMYFUNCTION("""COMPUTED_VALUE"""),1.029)</f>
        <v>1.029</v>
      </c>
      <c r="E9460" s="16">
        <f>IFERROR(__xludf.DUMMYFUNCTION("""COMPUTED_VALUE"""),64.0)</f>
        <v>64</v>
      </c>
      <c r="F9460" s="19" t="str">
        <f>IFERROR(__xludf.DUMMYFUNCTION("""COMPUTED_VALUE"""),"BLACK")</f>
        <v>BLACK</v>
      </c>
      <c r="G9460" s="20" t="str">
        <f>IFERROR(__xludf.DUMMYFUNCTION("""COMPUTED_VALUE"""),"Uncle Sams Cider (04/04/2023)")</f>
        <v>Uncle Sams Cider (04/04/2023)</v>
      </c>
      <c r="H9460" s="19"/>
    </row>
    <row r="9461">
      <c r="A9461" s="9"/>
      <c r="B9461" s="15"/>
      <c r="C9461" s="9">
        <f>IFERROR(__xludf.DUMMYFUNCTION("""COMPUTED_VALUE"""),45044.8007250578)</f>
        <v>45044.80073</v>
      </c>
      <c r="D9461" s="15">
        <f>IFERROR(__xludf.DUMMYFUNCTION("""COMPUTED_VALUE"""),1.029)</f>
        <v>1.029</v>
      </c>
      <c r="E9461" s="16">
        <f>IFERROR(__xludf.DUMMYFUNCTION("""COMPUTED_VALUE"""),64.0)</f>
        <v>64</v>
      </c>
      <c r="F9461" s="19" t="str">
        <f>IFERROR(__xludf.DUMMYFUNCTION("""COMPUTED_VALUE"""),"BLACK")</f>
        <v>BLACK</v>
      </c>
      <c r="G9461" s="20" t="str">
        <f>IFERROR(__xludf.DUMMYFUNCTION("""COMPUTED_VALUE"""),"Uncle Sams Cider (04/04/2023)")</f>
        <v>Uncle Sams Cider (04/04/2023)</v>
      </c>
      <c r="H9461" s="19"/>
    </row>
    <row r="9462">
      <c r="A9462" s="9"/>
      <c r="B9462" s="15"/>
      <c r="C9462" s="9">
        <f>IFERROR(__xludf.DUMMYFUNCTION("""COMPUTED_VALUE"""),45044.7903037384)</f>
        <v>45044.7903</v>
      </c>
      <c r="D9462" s="15">
        <f>IFERROR(__xludf.DUMMYFUNCTION("""COMPUTED_VALUE"""),1.029)</f>
        <v>1.029</v>
      </c>
      <c r="E9462" s="16">
        <f>IFERROR(__xludf.DUMMYFUNCTION("""COMPUTED_VALUE"""),64.0)</f>
        <v>64</v>
      </c>
      <c r="F9462" s="19" t="str">
        <f>IFERROR(__xludf.DUMMYFUNCTION("""COMPUTED_VALUE"""),"BLACK")</f>
        <v>BLACK</v>
      </c>
      <c r="G9462" s="20" t="str">
        <f>IFERROR(__xludf.DUMMYFUNCTION("""COMPUTED_VALUE"""),"Uncle Sams Cider (04/04/2023)")</f>
        <v>Uncle Sams Cider (04/04/2023)</v>
      </c>
      <c r="H9462" s="19"/>
    </row>
    <row r="9463">
      <c r="A9463" s="9"/>
      <c r="B9463" s="15"/>
      <c r="C9463" s="9">
        <f>IFERROR(__xludf.DUMMYFUNCTION("""COMPUTED_VALUE"""),45044.7798835763)</f>
        <v>45044.77988</v>
      </c>
      <c r="D9463" s="15">
        <f>IFERROR(__xludf.DUMMYFUNCTION("""COMPUTED_VALUE"""),1.029)</f>
        <v>1.029</v>
      </c>
      <c r="E9463" s="16">
        <f>IFERROR(__xludf.DUMMYFUNCTION("""COMPUTED_VALUE"""),64.0)</f>
        <v>64</v>
      </c>
      <c r="F9463" s="19" t="str">
        <f>IFERROR(__xludf.DUMMYFUNCTION("""COMPUTED_VALUE"""),"BLACK")</f>
        <v>BLACK</v>
      </c>
      <c r="G9463" s="20" t="str">
        <f>IFERROR(__xludf.DUMMYFUNCTION("""COMPUTED_VALUE"""),"Uncle Sams Cider (04/04/2023)")</f>
        <v>Uncle Sams Cider (04/04/2023)</v>
      </c>
      <c r="H9463" s="19"/>
    </row>
    <row r="9464">
      <c r="A9464" s="9"/>
      <c r="B9464" s="15"/>
      <c r="C9464" s="9">
        <f>IFERROR(__xludf.DUMMYFUNCTION("""COMPUTED_VALUE"""),45044.7694386921)</f>
        <v>45044.76944</v>
      </c>
      <c r="D9464" s="15">
        <f>IFERROR(__xludf.DUMMYFUNCTION("""COMPUTED_VALUE"""),1.029)</f>
        <v>1.029</v>
      </c>
      <c r="E9464" s="16">
        <f>IFERROR(__xludf.DUMMYFUNCTION("""COMPUTED_VALUE"""),64.0)</f>
        <v>64</v>
      </c>
      <c r="F9464" s="19" t="str">
        <f>IFERROR(__xludf.DUMMYFUNCTION("""COMPUTED_VALUE"""),"BLACK")</f>
        <v>BLACK</v>
      </c>
      <c r="G9464" s="20" t="str">
        <f>IFERROR(__xludf.DUMMYFUNCTION("""COMPUTED_VALUE"""),"Uncle Sams Cider (04/04/2023)")</f>
        <v>Uncle Sams Cider (04/04/2023)</v>
      </c>
      <c r="H9464" s="19"/>
    </row>
    <row r="9465">
      <c r="A9465" s="9"/>
      <c r="B9465" s="15"/>
      <c r="C9465" s="9">
        <f>IFERROR(__xludf.DUMMYFUNCTION("""COMPUTED_VALUE"""),45044.7590183796)</f>
        <v>45044.75902</v>
      </c>
      <c r="D9465" s="15">
        <f>IFERROR(__xludf.DUMMYFUNCTION("""COMPUTED_VALUE"""),1.029)</f>
        <v>1.029</v>
      </c>
      <c r="E9465" s="16">
        <f>IFERROR(__xludf.DUMMYFUNCTION("""COMPUTED_VALUE"""),64.0)</f>
        <v>64</v>
      </c>
      <c r="F9465" s="19" t="str">
        <f>IFERROR(__xludf.DUMMYFUNCTION("""COMPUTED_VALUE"""),"BLACK")</f>
        <v>BLACK</v>
      </c>
      <c r="G9465" s="20" t="str">
        <f>IFERROR(__xludf.DUMMYFUNCTION("""COMPUTED_VALUE"""),"Uncle Sams Cider (04/04/2023)")</f>
        <v>Uncle Sams Cider (04/04/2023)</v>
      </c>
      <c r="H9465" s="19"/>
    </row>
    <row r="9466">
      <c r="A9466" s="9"/>
      <c r="B9466" s="15"/>
      <c r="C9466" s="9">
        <f>IFERROR(__xludf.DUMMYFUNCTION("""COMPUTED_VALUE"""),45044.7485975115)</f>
        <v>45044.7486</v>
      </c>
      <c r="D9466" s="15">
        <f>IFERROR(__xludf.DUMMYFUNCTION("""COMPUTED_VALUE"""),1.029)</f>
        <v>1.029</v>
      </c>
      <c r="E9466" s="16">
        <f>IFERROR(__xludf.DUMMYFUNCTION("""COMPUTED_VALUE"""),64.0)</f>
        <v>64</v>
      </c>
      <c r="F9466" s="19" t="str">
        <f>IFERROR(__xludf.DUMMYFUNCTION("""COMPUTED_VALUE"""),"BLACK")</f>
        <v>BLACK</v>
      </c>
      <c r="G9466" s="20" t="str">
        <f>IFERROR(__xludf.DUMMYFUNCTION("""COMPUTED_VALUE"""),"Uncle Sams Cider (04/04/2023)")</f>
        <v>Uncle Sams Cider (04/04/2023)</v>
      </c>
      <c r="H9466" s="19"/>
    </row>
    <row r="9467">
      <c r="A9467" s="9"/>
      <c r="B9467" s="15"/>
      <c r="C9467" s="9">
        <f>IFERROR(__xludf.DUMMYFUNCTION("""COMPUTED_VALUE"""),45044.7381648032)</f>
        <v>45044.73816</v>
      </c>
      <c r="D9467" s="15">
        <f>IFERROR(__xludf.DUMMYFUNCTION("""COMPUTED_VALUE"""),1.029)</f>
        <v>1.029</v>
      </c>
      <c r="E9467" s="16">
        <f>IFERROR(__xludf.DUMMYFUNCTION("""COMPUTED_VALUE"""),64.0)</f>
        <v>64</v>
      </c>
      <c r="F9467" s="19" t="str">
        <f>IFERROR(__xludf.DUMMYFUNCTION("""COMPUTED_VALUE"""),"BLACK")</f>
        <v>BLACK</v>
      </c>
      <c r="G9467" s="20" t="str">
        <f>IFERROR(__xludf.DUMMYFUNCTION("""COMPUTED_VALUE"""),"Uncle Sams Cider (04/04/2023)")</f>
        <v>Uncle Sams Cider (04/04/2023)</v>
      </c>
      <c r="H9467" s="19"/>
    </row>
    <row r="9468">
      <c r="A9468" s="9"/>
      <c r="B9468" s="15"/>
      <c r="C9468" s="9">
        <f>IFERROR(__xludf.DUMMYFUNCTION("""COMPUTED_VALUE"""),45044.7277312963)</f>
        <v>45044.72773</v>
      </c>
      <c r="D9468" s="15">
        <f>IFERROR(__xludf.DUMMYFUNCTION("""COMPUTED_VALUE"""),1.029)</f>
        <v>1.029</v>
      </c>
      <c r="E9468" s="16">
        <f>IFERROR(__xludf.DUMMYFUNCTION("""COMPUTED_VALUE"""),64.0)</f>
        <v>64</v>
      </c>
      <c r="F9468" s="19" t="str">
        <f>IFERROR(__xludf.DUMMYFUNCTION("""COMPUTED_VALUE"""),"BLACK")</f>
        <v>BLACK</v>
      </c>
      <c r="G9468" s="20" t="str">
        <f>IFERROR(__xludf.DUMMYFUNCTION("""COMPUTED_VALUE"""),"Uncle Sams Cider (04/04/2023)")</f>
        <v>Uncle Sams Cider (04/04/2023)</v>
      </c>
      <c r="H9468" s="19"/>
    </row>
    <row r="9469">
      <c r="A9469" s="9"/>
      <c r="B9469" s="15"/>
      <c r="C9469" s="9">
        <f>IFERROR(__xludf.DUMMYFUNCTION("""COMPUTED_VALUE"""),45044.7173115162)</f>
        <v>45044.71731</v>
      </c>
      <c r="D9469" s="15">
        <f>IFERROR(__xludf.DUMMYFUNCTION("""COMPUTED_VALUE"""),1.029)</f>
        <v>1.029</v>
      </c>
      <c r="E9469" s="16">
        <f>IFERROR(__xludf.DUMMYFUNCTION("""COMPUTED_VALUE"""),64.0)</f>
        <v>64</v>
      </c>
      <c r="F9469" s="19" t="str">
        <f>IFERROR(__xludf.DUMMYFUNCTION("""COMPUTED_VALUE"""),"BLACK")</f>
        <v>BLACK</v>
      </c>
      <c r="G9469" s="20" t="str">
        <f>IFERROR(__xludf.DUMMYFUNCTION("""COMPUTED_VALUE"""),"Uncle Sams Cider (04/04/2023)")</f>
        <v>Uncle Sams Cider (04/04/2023)</v>
      </c>
      <c r="H9469" s="19"/>
    </row>
    <row r="9470">
      <c r="A9470" s="9"/>
      <c r="B9470" s="15"/>
      <c r="C9470" s="9">
        <f>IFERROR(__xludf.DUMMYFUNCTION("""COMPUTED_VALUE"""),45044.7068904513)</f>
        <v>45044.70689</v>
      </c>
      <c r="D9470" s="15">
        <f>IFERROR(__xludf.DUMMYFUNCTION("""COMPUTED_VALUE"""),1.029)</f>
        <v>1.029</v>
      </c>
      <c r="E9470" s="16">
        <f>IFERROR(__xludf.DUMMYFUNCTION("""COMPUTED_VALUE"""),64.0)</f>
        <v>64</v>
      </c>
      <c r="F9470" s="19" t="str">
        <f>IFERROR(__xludf.DUMMYFUNCTION("""COMPUTED_VALUE"""),"BLACK")</f>
        <v>BLACK</v>
      </c>
      <c r="G9470" s="20" t="str">
        <f>IFERROR(__xludf.DUMMYFUNCTION("""COMPUTED_VALUE"""),"Uncle Sams Cider (04/04/2023)")</f>
        <v>Uncle Sams Cider (04/04/2023)</v>
      </c>
      <c r="H9470" s="19"/>
    </row>
    <row r="9471">
      <c r="A9471" s="9"/>
      <c r="B9471" s="15"/>
      <c r="C9471" s="9">
        <f>IFERROR(__xludf.DUMMYFUNCTION("""COMPUTED_VALUE"""),45044.6964694097)</f>
        <v>45044.69647</v>
      </c>
      <c r="D9471" s="15">
        <f>IFERROR(__xludf.DUMMYFUNCTION("""COMPUTED_VALUE"""),1.029)</f>
        <v>1.029</v>
      </c>
      <c r="E9471" s="16">
        <f>IFERROR(__xludf.DUMMYFUNCTION("""COMPUTED_VALUE"""),64.0)</f>
        <v>64</v>
      </c>
      <c r="F9471" s="19" t="str">
        <f>IFERROR(__xludf.DUMMYFUNCTION("""COMPUTED_VALUE"""),"BLACK")</f>
        <v>BLACK</v>
      </c>
      <c r="G9471" s="20" t="str">
        <f>IFERROR(__xludf.DUMMYFUNCTION("""COMPUTED_VALUE"""),"Uncle Sams Cider (04/04/2023)")</f>
        <v>Uncle Sams Cider (04/04/2023)</v>
      </c>
      <c r="H9471" s="19"/>
    </row>
    <row r="9472">
      <c r="A9472" s="9"/>
      <c r="B9472" s="15"/>
      <c r="C9472" s="9">
        <f>IFERROR(__xludf.DUMMYFUNCTION("""COMPUTED_VALUE"""),45044.6860363773)</f>
        <v>45044.68604</v>
      </c>
      <c r="D9472" s="15">
        <f>IFERROR(__xludf.DUMMYFUNCTION("""COMPUTED_VALUE"""),1.029)</f>
        <v>1.029</v>
      </c>
      <c r="E9472" s="16">
        <f>IFERROR(__xludf.DUMMYFUNCTION("""COMPUTED_VALUE"""),64.0)</f>
        <v>64</v>
      </c>
      <c r="F9472" s="19" t="str">
        <f>IFERROR(__xludf.DUMMYFUNCTION("""COMPUTED_VALUE"""),"BLACK")</f>
        <v>BLACK</v>
      </c>
      <c r="G9472" s="20" t="str">
        <f>IFERROR(__xludf.DUMMYFUNCTION("""COMPUTED_VALUE"""),"Uncle Sams Cider (04/04/2023)")</f>
        <v>Uncle Sams Cider (04/04/2023)</v>
      </c>
      <c r="H9472" s="19"/>
    </row>
    <row r="9473">
      <c r="A9473" s="9"/>
      <c r="B9473" s="15"/>
      <c r="C9473" s="9">
        <f>IFERROR(__xludf.DUMMYFUNCTION("""COMPUTED_VALUE"""),45044.6756141319)</f>
        <v>45044.67561</v>
      </c>
      <c r="D9473" s="15">
        <f>IFERROR(__xludf.DUMMYFUNCTION("""COMPUTED_VALUE"""),1.029)</f>
        <v>1.029</v>
      </c>
      <c r="E9473" s="16">
        <f>IFERROR(__xludf.DUMMYFUNCTION("""COMPUTED_VALUE"""),64.0)</f>
        <v>64</v>
      </c>
      <c r="F9473" s="19" t="str">
        <f>IFERROR(__xludf.DUMMYFUNCTION("""COMPUTED_VALUE"""),"BLACK")</f>
        <v>BLACK</v>
      </c>
      <c r="G9473" s="20" t="str">
        <f>IFERROR(__xludf.DUMMYFUNCTION("""COMPUTED_VALUE"""),"Uncle Sams Cider (04/04/2023)")</f>
        <v>Uncle Sams Cider (04/04/2023)</v>
      </c>
      <c r="H9473" s="19"/>
    </row>
    <row r="9474">
      <c r="A9474" s="9"/>
      <c r="B9474" s="15"/>
      <c r="C9474" s="9">
        <f>IFERROR(__xludf.DUMMYFUNCTION("""COMPUTED_VALUE"""),45044.6651809953)</f>
        <v>45044.66518</v>
      </c>
      <c r="D9474" s="15">
        <f>IFERROR(__xludf.DUMMYFUNCTION("""COMPUTED_VALUE"""),1.029)</f>
        <v>1.029</v>
      </c>
      <c r="E9474" s="16">
        <f>IFERROR(__xludf.DUMMYFUNCTION("""COMPUTED_VALUE"""),64.0)</f>
        <v>64</v>
      </c>
      <c r="F9474" s="19" t="str">
        <f>IFERROR(__xludf.DUMMYFUNCTION("""COMPUTED_VALUE"""),"BLACK")</f>
        <v>BLACK</v>
      </c>
      <c r="G9474" s="20" t="str">
        <f>IFERROR(__xludf.DUMMYFUNCTION("""COMPUTED_VALUE"""),"Uncle Sams Cider (04/04/2023)")</f>
        <v>Uncle Sams Cider (04/04/2023)</v>
      </c>
      <c r="H9474" s="19"/>
    </row>
    <row r="9475">
      <c r="A9475" s="9"/>
      <c r="B9475" s="15"/>
      <c r="C9475" s="9">
        <f>IFERROR(__xludf.DUMMYFUNCTION("""COMPUTED_VALUE"""),45044.6547598495)</f>
        <v>45044.65476</v>
      </c>
      <c r="D9475" s="15">
        <f>IFERROR(__xludf.DUMMYFUNCTION("""COMPUTED_VALUE"""),1.029)</f>
        <v>1.029</v>
      </c>
      <c r="E9475" s="16">
        <f>IFERROR(__xludf.DUMMYFUNCTION("""COMPUTED_VALUE"""),64.0)</f>
        <v>64</v>
      </c>
      <c r="F9475" s="19" t="str">
        <f>IFERROR(__xludf.DUMMYFUNCTION("""COMPUTED_VALUE"""),"BLACK")</f>
        <v>BLACK</v>
      </c>
      <c r="G9475" s="20" t="str">
        <f>IFERROR(__xludf.DUMMYFUNCTION("""COMPUTED_VALUE"""),"Uncle Sams Cider (04/04/2023)")</f>
        <v>Uncle Sams Cider (04/04/2023)</v>
      </c>
      <c r="H9475" s="19"/>
    </row>
    <row r="9476">
      <c r="A9476" s="9"/>
      <c r="B9476" s="15"/>
      <c r="C9476" s="9">
        <f>IFERROR(__xludf.DUMMYFUNCTION("""COMPUTED_VALUE"""),45044.6443395254)</f>
        <v>45044.64434</v>
      </c>
      <c r="D9476" s="15">
        <f>IFERROR(__xludf.DUMMYFUNCTION("""COMPUTED_VALUE"""),1.029)</f>
        <v>1.029</v>
      </c>
      <c r="E9476" s="16">
        <f>IFERROR(__xludf.DUMMYFUNCTION("""COMPUTED_VALUE"""),64.0)</f>
        <v>64</v>
      </c>
      <c r="F9476" s="19" t="str">
        <f>IFERROR(__xludf.DUMMYFUNCTION("""COMPUTED_VALUE"""),"BLACK")</f>
        <v>BLACK</v>
      </c>
      <c r="G9476" s="20" t="str">
        <f>IFERROR(__xludf.DUMMYFUNCTION("""COMPUTED_VALUE"""),"Uncle Sams Cider (04/04/2023)")</f>
        <v>Uncle Sams Cider (04/04/2023)</v>
      </c>
      <c r="H9476" s="19"/>
    </row>
    <row r="9477">
      <c r="A9477" s="9"/>
      <c r="B9477" s="15"/>
      <c r="C9477" s="9">
        <f>IFERROR(__xludf.DUMMYFUNCTION("""COMPUTED_VALUE"""),45044.6339180439)</f>
        <v>45044.63392</v>
      </c>
      <c r="D9477" s="15">
        <f>IFERROR(__xludf.DUMMYFUNCTION("""COMPUTED_VALUE"""),1.029)</f>
        <v>1.029</v>
      </c>
      <c r="E9477" s="16">
        <f>IFERROR(__xludf.DUMMYFUNCTION("""COMPUTED_VALUE"""),64.0)</f>
        <v>64</v>
      </c>
      <c r="F9477" s="19" t="str">
        <f>IFERROR(__xludf.DUMMYFUNCTION("""COMPUTED_VALUE"""),"BLACK")</f>
        <v>BLACK</v>
      </c>
      <c r="G9477" s="20" t="str">
        <f>IFERROR(__xludf.DUMMYFUNCTION("""COMPUTED_VALUE"""),"Uncle Sams Cider (04/04/2023)")</f>
        <v>Uncle Sams Cider (04/04/2023)</v>
      </c>
      <c r="H9477" s="19"/>
    </row>
    <row r="9478">
      <c r="A9478" s="9"/>
      <c r="B9478" s="15"/>
      <c r="C9478" s="9">
        <f>IFERROR(__xludf.DUMMYFUNCTION("""COMPUTED_VALUE"""),45044.6234844212)</f>
        <v>45044.62348</v>
      </c>
      <c r="D9478" s="15">
        <f>IFERROR(__xludf.DUMMYFUNCTION("""COMPUTED_VALUE"""),1.029)</f>
        <v>1.029</v>
      </c>
      <c r="E9478" s="16">
        <f>IFERROR(__xludf.DUMMYFUNCTION("""COMPUTED_VALUE"""),64.0)</f>
        <v>64</v>
      </c>
      <c r="F9478" s="19" t="str">
        <f>IFERROR(__xludf.DUMMYFUNCTION("""COMPUTED_VALUE"""),"BLACK")</f>
        <v>BLACK</v>
      </c>
      <c r="G9478" s="20" t="str">
        <f>IFERROR(__xludf.DUMMYFUNCTION("""COMPUTED_VALUE"""),"Uncle Sams Cider (04/04/2023)")</f>
        <v>Uncle Sams Cider (04/04/2023)</v>
      </c>
      <c r="H9478" s="19"/>
    </row>
    <row r="9479">
      <c r="A9479" s="9"/>
      <c r="B9479" s="15"/>
      <c r="C9479" s="9">
        <f>IFERROR(__xludf.DUMMYFUNCTION("""COMPUTED_VALUE"""),45044.6130527314)</f>
        <v>45044.61305</v>
      </c>
      <c r="D9479" s="15">
        <f>IFERROR(__xludf.DUMMYFUNCTION("""COMPUTED_VALUE"""),1.029)</f>
        <v>1.029</v>
      </c>
      <c r="E9479" s="16">
        <f>IFERROR(__xludf.DUMMYFUNCTION("""COMPUTED_VALUE"""),64.0)</f>
        <v>64</v>
      </c>
      <c r="F9479" s="19" t="str">
        <f>IFERROR(__xludf.DUMMYFUNCTION("""COMPUTED_VALUE"""),"BLACK")</f>
        <v>BLACK</v>
      </c>
      <c r="G9479" s="20" t="str">
        <f>IFERROR(__xludf.DUMMYFUNCTION("""COMPUTED_VALUE"""),"Uncle Sams Cider (04/04/2023)")</f>
        <v>Uncle Sams Cider (04/04/2023)</v>
      </c>
      <c r="H9479" s="19"/>
    </row>
    <row r="9480">
      <c r="A9480" s="9"/>
      <c r="B9480" s="15"/>
      <c r="C9480" s="9">
        <f>IFERROR(__xludf.DUMMYFUNCTION("""COMPUTED_VALUE"""),45044.6026191319)</f>
        <v>45044.60262</v>
      </c>
      <c r="D9480" s="15">
        <f>IFERROR(__xludf.DUMMYFUNCTION("""COMPUTED_VALUE"""),1.029)</f>
        <v>1.029</v>
      </c>
      <c r="E9480" s="16">
        <f>IFERROR(__xludf.DUMMYFUNCTION("""COMPUTED_VALUE"""),64.0)</f>
        <v>64</v>
      </c>
      <c r="F9480" s="19" t="str">
        <f>IFERROR(__xludf.DUMMYFUNCTION("""COMPUTED_VALUE"""),"BLACK")</f>
        <v>BLACK</v>
      </c>
      <c r="G9480" s="20" t="str">
        <f>IFERROR(__xludf.DUMMYFUNCTION("""COMPUTED_VALUE"""),"Uncle Sams Cider (04/04/2023)")</f>
        <v>Uncle Sams Cider (04/04/2023)</v>
      </c>
      <c r="H9480" s="19"/>
    </row>
    <row r="9481">
      <c r="A9481" s="9"/>
      <c r="B9481" s="15"/>
      <c r="C9481" s="9">
        <f>IFERROR(__xludf.DUMMYFUNCTION("""COMPUTED_VALUE"""),45044.5921748842)</f>
        <v>45044.59217</v>
      </c>
      <c r="D9481" s="15">
        <f>IFERROR(__xludf.DUMMYFUNCTION("""COMPUTED_VALUE"""),1.029)</f>
        <v>1.029</v>
      </c>
      <c r="E9481" s="16">
        <f>IFERROR(__xludf.DUMMYFUNCTION("""COMPUTED_VALUE"""),64.0)</f>
        <v>64</v>
      </c>
      <c r="F9481" s="19" t="str">
        <f>IFERROR(__xludf.DUMMYFUNCTION("""COMPUTED_VALUE"""),"BLACK")</f>
        <v>BLACK</v>
      </c>
      <c r="G9481" s="20" t="str">
        <f>IFERROR(__xludf.DUMMYFUNCTION("""COMPUTED_VALUE"""),"Uncle Sams Cider (04/04/2023)")</f>
        <v>Uncle Sams Cider (04/04/2023)</v>
      </c>
      <c r="H9481" s="19"/>
    </row>
    <row r="9482">
      <c r="A9482" s="9"/>
      <c r="B9482" s="15"/>
      <c r="C9482" s="9">
        <f>IFERROR(__xludf.DUMMYFUNCTION("""COMPUTED_VALUE"""),45044.581754537)</f>
        <v>45044.58175</v>
      </c>
      <c r="D9482" s="15">
        <f>IFERROR(__xludf.DUMMYFUNCTION("""COMPUTED_VALUE"""),1.029)</f>
        <v>1.029</v>
      </c>
      <c r="E9482" s="16">
        <f>IFERROR(__xludf.DUMMYFUNCTION("""COMPUTED_VALUE"""),64.0)</f>
        <v>64</v>
      </c>
      <c r="F9482" s="19" t="str">
        <f>IFERROR(__xludf.DUMMYFUNCTION("""COMPUTED_VALUE"""),"BLACK")</f>
        <v>BLACK</v>
      </c>
      <c r="G9482" s="20" t="str">
        <f>IFERROR(__xludf.DUMMYFUNCTION("""COMPUTED_VALUE"""),"Uncle Sams Cider (04/04/2023)")</f>
        <v>Uncle Sams Cider (04/04/2023)</v>
      </c>
      <c r="H9482" s="19"/>
    </row>
    <row r="9483">
      <c r="A9483" s="9"/>
      <c r="B9483" s="15"/>
      <c r="C9483" s="9">
        <f>IFERROR(__xludf.DUMMYFUNCTION("""COMPUTED_VALUE"""),45044.571334375)</f>
        <v>45044.57133</v>
      </c>
      <c r="D9483" s="15">
        <f>IFERROR(__xludf.DUMMYFUNCTION("""COMPUTED_VALUE"""),1.029)</f>
        <v>1.029</v>
      </c>
      <c r="E9483" s="16">
        <f>IFERROR(__xludf.DUMMYFUNCTION("""COMPUTED_VALUE"""),64.0)</f>
        <v>64</v>
      </c>
      <c r="F9483" s="19" t="str">
        <f>IFERROR(__xludf.DUMMYFUNCTION("""COMPUTED_VALUE"""),"BLACK")</f>
        <v>BLACK</v>
      </c>
      <c r="G9483" s="20" t="str">
        <f>IFERROR(__xludf.DUMMYFUNCTION("""COMPUTED_VALUE"""),"Uncle Sams Cider (04/04/2023)")</f>
        <v>Uncle Sams Cider (04/04/2023)</v>
      </c>
      <c r="H9483" s="19"/>
    </row>
    <row r="9484">
      <c r="A9484" s="9"/>
      <c r="B9484" s="15"/>
      <c r="C9484" s="9">
        <f>IFERROR(__xludf.DUMMYFUNCTION("""COMPUTED_VALUE"""),45044.560902118)</f>
        <v>45044.5609</v>
      </c>
      <c r="D9484" s="15">
        <f>IFERROR(__xludf.DUMMYFUNCTION("""COMPUTED_VALUE"""),1.029)</f>
        <v>1.029</v>
      </c>
      <c r="E9484" s="16">
        <f>IFERROR(__xludf.DUMMYFUNCTION("""COMPUTED_VALUE"""),64.0)</f>
        <v>64</v>
      </c>
      <c r="F9484" s="19" t="str">
        <f>IFERROR(__xludf.DUMMYFUNCTION("""COMPUTED_VALUE"""),"BLACK")</f>
        <v>BLACK</v>
      </c>
      <c r="G9484" s="20" t="str">
        <f>IFERROR(__xludf.DUMMYFUNCTION("""COMPUTED_VALUE"""),"Uncle Sams Cider (04/04/2023)")</f>
        <v>Uncle Sams Cider (04/04/2023)</v>
      </c>
      <c r="H9484" s="19"/>
    </row>
    <row r="9485">
      <c r="A9485" s="9"/>
      <c r="B9485" s="15"/>
      <c r="C9485" s="9">
        <f>IFERROR(__xludf.DUMMYFUNCTION("""COMPUTED_VALUE"""),45044.5504818287)</f>
        <v>45044.55048</v>
      </c>
      <c r="D9485" s="15">
        <f>IFERROR(__xludf.DUMMYFUNCTION("""COMPUTED_VALUE"""),1.029)</f>
        <v>1.029</v>
      </c>
      <c r="E9485" s="16">
        <f>IFERROR(__xludf.DUMMYFUNCTION("""COMPUTED_VALUE"""),64.0)</f>
        <v>64</v>
      </c>
      <c r="F9485" s="19" t="str">
        <f>IFERROR(__xludf.DUMMYFUNCTION("""COMPUTED_VALUE"""),"BLACK")</f>
        <v>BLACK</v>
      </c>
      <c r="G9485" s="20" t="str">
        <f>IFERROR(__xludf.DUMMYFUNCTION("""COMPUTED_VALUE"""),"Uncle Sams Cider (04/04/2023)")</f>
        <v>Uncle Sams Cider (04/04/2023)</v>
      </c>
      <c r="H9485" s="19"/>
    </row>
    <row r="9486">
      <c r="A9486" s="9"/>
      <c r="B9486" s="15"/>
      <c r="C9486" s="9">
        <f>IFERROR(__xludf.DUMMYFUNCTION("""COMPUTED_VALUE"""),45044.54004978)</f>
        <v>45044.54005</v>
      </c>
      <c r="D9486" s="15">
        <f>IFERROR(__xludf.DUMMYFUNCTION("""COMPUTED_VALUE"""),1.029)</f>
        <v>1.029</v>
      </c>
      <c r="E9486" s="16">
        <f>IFERROR(__xludf.DUMMYFUNCTION("""COMPUTED_VALUE"""),64.0)</f>
        <v>64</v>
      </c>
      <c r="F9486" s="19" t="str">
        <f>IFERROR(__xludf.DUMMYFUNCTION("""COMPUTED_VALUE"""),"BLACK")</f>
        <v>BLACK</v>
      </c>
      <c r="G9486" s="20" t="str">
        <f>IFERROR(__xludf.DUMMYFUNCTION("""COMPUTED_VALUE"""),"Uncle Sams Cider (04/04/2023)")</f>
        <v>Uncle Sams Cider (04/04/2023)</v>
      </c>
      <c r="H9486" s="19"/>
    </row>
    <row r="9487">
      <c r="A9487" s="9"/>
      <c r="B9487" s="15"/>
      <c r="C9487" s="9">
        <f>IFERROR(__xludf.DUMMYFUNCTION("""COMPUTED_VALUE"""),45044.5296287731)</f>
        <v>45044.52963</v>
      </c>
      <c r="D9487" s="15">
        <f>IFERROR(__xludf.DUMMYFUNCTION("""COMPUTED_VALUE"""),1.029)</f>
        <v>1.029</v>
      </c>
      <c r="E9487" s="16">
        <f>IFERROR(__xludf.DUMMYFUNCTION("""COMPUTED_VALUE"""),64.0)</f>
        <v>64</v>
      </c>
      <c r="F9487" s="19" t="str">
        <f>IFERROR(__xludf.DUMMYFUNCTION("""COMPUTED_VALUE"""),"BLACK")</f>
        <v>BLACK</v>
      </c>
      <c r="G9487" s="20" t="str">
        <f>IFERROR(__xludf.DUMMYFUNCTION("""COMPUTED_VALUE"""),"Uncle Sams Cider (04/04/2023)")</f>
        <v>Uncle Sams Cider (04/04/2023)</v>
      </c>
      <c r="H9487" s="19"/>
    </row>
    <row r="9488">
      <c r="A9488" s="9"/>
      <c r="B9488" s="15"/>
      <c r="C9488" s="9">
        <f>IFERROR(__xludf.DUMMYFUNCTION("""COMPUTED_VALUE"""),45044.5191985185)</f>
        <v>45044.5192</v>
      </c>
      <c r="D9488" s="15">
        <f>IFERROR(__xludf.DUMMYFUNCTION("""COMPUTED_VALUE"""),1.029)</f>
        <v>1.029</v>
      </c>
      <c r="E9488" s="16">
        <f>IFERROR(__xludf.DUMMYFUNCTION("""COMPUTED_VALUE"""),64.0)</f>
        <v>64</v>
      </c>
      <c r="F9488" s="19" t="str">
        <f>IFERROR(__xludf.DUMMYFUNCTION("""COMPUTED_VALUE"""),"BLACK")</f>
        <v>BLACK</v>
      </c>
      <c r="G9488" s="20" t="str">
        <f>IFERROR(__xludf.DUMMYFUNCTION("""COMPUTED_VALUE"""),"Uncle Sams Cider (04/04/2023)")</f>
        <v>Uncle Sams Cider (04/04/2023)</v>
      </c>
      <c r="H9488" s="19"/>
    </row>
    <row r="9489">
      <c r="A9489" s="9"/>
      <c r="B9489" s="15"/>
      <c r="C9489" s="9">
        <f>IFERROR(__xludf.DUMMYFUNCTION("""COMPUTED_VALUE"""),45044.5087647916)</f>
        <v>45044.50876</v>
      </c>
      <c r="D9489" s="15">
        <f>IFERROR(__xludf.DUMMYFUNCTION("""COMPUTED_VALUE"""),1.029)</f>
        <v>1.029</v>
      </c>
      <c r="E9489" s="16">
        <f>IFERROR(__xludf.DUMMYFUNCTION("""COMPUTED_VALUE"""),64.0)</f>
        <v>64</v>
      </c>
      <c r="F9489" s="19" t="str">
        <f>IFERROR(__xludf.DUMMYFUNCTION("""COMPUTED_VALUE"""),"BLACK")</f>
        <v>BLACK</v>
      </c>
      <c r="G9489" s="20" t="str">
        <f>IFERROR(__xludf.DUMMYFUNCTION("""COMPUTED_VALUE"""),"Uncle Sams Cider (04/04/2023)")</f>
        <v>Uncle Sams Cider (04/04/2023)</v>
      </c>
      <c r="H9489" s="19"/>
    </row>
    <row r="9490">
      <c r="A9490" s="9"/>
      <c r="B9490" s="15"/>
      <c r="C9490" s="9">
        <f>IFERROR(__xludf.DUMMYFUNCTION("""COMPUTED_VALUE"""),45044.4983456944)</f>
        <v>45044.49835</v>
      </c>
      <c r="D9490" s="15">
        <f>IFERROR(__xludf.DUMMYFUNCTION("""COMPUTED_VALUE"""),1.029)</f>
        <v>1.029</v>
      </c>
      <c r="E9490" s="16">
        <f>IFERROR(__xludf.DUMMYFUNCTION("""COMPUTED_VALUE"""),64.0)</f>
        <v>64</v>
      </c>
      <c r="F9490" s="19" t="str">
        <f>IFERROR(__xludf.DUMMYFUNCTION("""COMPUTED_VALUE"""),"BLACK")</f>
        <v>BLACK</v>
      </c>
      <c r="G9490" s="20" t="str">
        <f>IFERROR(__xludf.DUMMYFUNCTION("""COMPUTED_VALUE"""),"Uncle Sams Cider (04/04/2023)")</f>
        <v>Uncle Sams Cider (04/04/2023)</v>
      </c>
      <c r="H9490" s="19"/>
    </row>
    <row r="9491">
      <c r="A9491" s="9"/>
      <c r="B9491" s="15"/>
      <c r="C9491" s="9">
        <f>IFERROR(__xludf.DUMMYFUNCTION("""COMPUTED_VALUE"""),45044.4879252199)</f>
        <v>45044.48793</v>
      </c>
      <c r="D9491" s="15">
        <f>IFERROR(__xludf.DUMMYFUNCTION("""COMPUTED_VALUE"""),1.029)</f>
        <v>1.029</v>
      </c>
      <c r="E9491" s="16">
        <f>IFERROR(__xludf.DUMMYFUNCTION("""COMPUTED_VALUE"""),64.0)</f>
        <v>64</v>
      </c>
      <c r="F9491" s="19" t="str">
        <f>IFERROR(__xludf.DUMMYFUNCTION("""COMPUTED_VALUE"""),"BLACK")</f>
        <v>BLACK</v>
      </c>
      <c r="G9491" s="20" t="str">
        <f>IFERROR(__xludf.DUMMYFUNCTION("""COMPUTED_VALUE"""),"Uncle Sams Cider (04/04/2023)")</f>
        <v>Uncle Sams Cider (04/04/2023)</v>
      </c>
      <c r="H9491" s="19"/>
    </row>
    <row r="9492">
      <c r="A9492" s="9"/>
      <c r="B9492" s="15"/>
      <c r="C9492" s="9">
        <f>IFERROR(__xludf.DUMMYFUNCTION("""COMPUTED_VALUE"""),45044.4775029398)</f>
        <v>45044.4775</v>
      </c>
      <c r="D9492" s="15">
        <f>IFERROR(__xludf.DUMMYFUNCTION("""COMPUTED_VALUE"""),1.029)</f>
        <v>1.029</v>
      </c>
      <c r="E9492" s="16">
        <f>IFERROR(__xludf.DUMMYFUNCTION("""COMPUTED_VALUE"""),64.0)</f>
        <v>64</v>
      </c>
      <c r="F9492" s="19" t="str">
        <f>IFERROR(__xludf.DUMMYFUNCTION("""COMPUTED_VALUE"""),"BLACK")</f>
        <v>BLACK</v>
      </c>
      <c r="G9492" s="20" t="str">
        <f>IFERROR(__xludf.DUMMYFUNCTION("""COMPUTED_VALUE"""),"Uncle Sams Cider (04/04/2023)")</f>
        <v>Uncle Sams Cider (04/04/2023)</v>
      </c>
      <c r="H9492" s="19"/>
    </row>
    <row r="9493">
      <c r="A9493" s="9"/>
      <c r="B9493" s="15"/>
      <c r="C9493" s="9">
        <f>IFERROR(__xludf.DUMMYFUNCTION("""COMPUTED_VALUE"""),45044.4670807986)</f>
        <v>45044.46708</v>
      </c>
      <c r="D9493" s="15">
        <f>IFERROR(__xludf.DUMMYFUNCTION("""COMPUTED_VALUE"""),1.029)</f>
        <v>1.029</v>
      </c>
      <c r="E9493" s="16">
        <f>IFERROR(__xludf.DUMMYFUNCTION("""COMPUTED_VALUE"""),64.0)</f>
        <v>64</v>
      </c>
      <c r="F9493" s="19" t="str">
        <f>IFERROR(__xludf.DUMMYFUNCTION("""COMPUTED_VALUE"""),"BLACK")</f>
        <v>BLACK</v>
      </c>
      <c r="G9493" s="20" t="str">
        <f>IFERROR(__xludf.DUMMYFUNCTION("""COMPUTED_VALUE"""),"Uncle Sams Cider (04/04/2023)")</f>
        <v>Uncle Sams Cider (04/04/2023)</v>
      </c>
      <c r="H9493" s="19"/>
    </row>
    <row r="9494">
      <c r="A9494" s="9"/>
      <c r="B9494" s="15"/>
      <c r="C9494" s="9">
        <f>IFERROR(__xludf.DUMMYFUNCTION("""COMPUTED_VALUE"""),45044.4566596527)</f>
        <v>45044.45666</v>
      </c>
      <c r="D9494" s="15">
        <f>IFERROR(__xludf.DUMMYFUNCTION("""COMPUTED_VALUE"""),1.029)</f>
        <v>1.029</v>
      </c>
      <c r="E9494" s="16">
        <f>IFERROR(__xludf.DUMMYFUNCTION("""COMPUTED_VALUE"""),64.0)</f>
        <v>64</v>
      </c>
      <c r="F9494" s="19" t="str">
        <f>IFERROR(__xludf.DUMMYFUNCTION("""COMPUTED_VALUE"""),"BLACK")</f>
        <v>BLACK</v>
      </c>
      <c r="G9494" s="20" t="str">
        <f>IFERROR(__xludf.DUMMYFUNCTION("""COMPUTED_VALUE"""),"Uncle Sams Cider (04/04/2023)")</f>
        <v>Uncle Sams Cider (04/04/2023)</v>
      </c>
      <c r="H9494" s="19"/>
    </row>
    <row r="9495">
      <c r="A9495" s="9"/>
      <c r="B9495" s="15"/>
      <c r="C9495" s="9">
        <f>IFERROR(__xludf.DUMMYFUNCTION("""COMPUTED_VALUE"""),45044.4462253588)</f>
        <v>45044.44623</v>
      </c>
      <c r="D9495" s="15">
        <f>IFERROR(__xludf.DUMMYFUNCTION("""COMPUTED_VALUE"""),1.029)</f>
        <v>1.029</v>
      </c>
      <c r="E9495" s="16">
        <f>IFERROR(__xludf.DUMMYFUNCTION("""COMPUTED_VALUE"""),64.0)</f>
        <v>64</v>
      </c>
      <c r="F9495" s="19" t="str">
        <f>IFERROR(__xludf.DUMMYFUNCTION("""COMPUTED_VALUE"""),"BLACK")</f>
        <v>BLACK</v>
      </c>
      <c r="G9495" s="20" t="str">
        <f>IFERROR(__xludf.DUMMYFUNCTION("""COMPUTED_VALUE"""),"Uncle Sams Cider (04/04/2023)")</f>
        <v>Uncle Sams Cider (04/04/2023)</v>
      </c>
      <c r="H9495" s="19"/>
    </row>
    <row r="9496">
      <c r="A9496" s="9"/>
      <c r="B9496" s="15"/>
      <c r="C9496" s="9">
        <f>IFERROR(__xludf.DUMMYFUNCTION("""COMPUTED_VALUE"""),45044.4358037615)</f>
        <v>45044.4358</v>
      </c>
      <c r="D9496" s="15">
        <f>IFERROR(__xludf.DUMMYFUNCTION("""COMPUTED_VALUE"""),1.029)</f>
        <v>1.029</v>
      </c>
      <c r="E9496" s="16">
        <f>IFERROR(__xludf.DUMMYFUNCTION("""COMPUTED_VALUE"""),64.0)</f>
        <v>64</v>
      </c>
      <c r="F9496" s="19" t="str">
        <f>IFERROR(__xludf.DUMMYFUNCTION("""COMPUTED_VALUE"""),"BLACK")</f>
        <v>BLACK</v>
      </c>
      <c r="G9496" s="20" t="str">
        <f>IFERROR(__xludf.DUMMYFUNCTION("""COMPUTED_VALUE"""),"Uncle Sams Cider (04/04/2023)")</f>
        <v>Uncle Sams Cider (04/04/2023)</v>
      </c>
      <c r="H9496" s="19"/>
    </row>
    <row r="9497">
      <c r="A9497" s="9"/>
      <c r="B9497" s="15"/>
      <c r="C9497" s="9">
        <f>IFERROR(__xludf.DUMMYFUNCTION("""COMPUTED_VALUE"""),45044.4253828472)</f>
        <v>45044.42538</v>
      </c>
      <c r="D9497" s="15">
        <f>IFERROR(__xludf.DUMMYFUNCTION("""COMPUTED_VALUE"""),1.029)</f>
        <v>1.029</v>
      </c>
      <c r="E9497" s="16">
        <f>IFERROR(__xludf.DUMMYFUNCTION("""COMPUTED_VALUE"""),64.0)</f>
        <v>64</v>
      </c>
      <c r="F9497" s="19" t="str">
        <f>IFERROR(__xludf.DUMMYFUNCTION("""COMPUTED_VALUE"""),"BLACK")</f>
        <v>BLACK</v>
      </c>
      <c r="G9497" s="20" t="str">
        <f>IFERROR(__xludf.DUMMYFUNCTION("""COMPUTED_VALUE"""),"Uncle Sams Cider (04/04/2023)")</f>
        <v>Uncle Sams Cider (04/04/2023)</v>
      </c>
      <c r="H9497" s="19"/>
    </row>
    <row r="9498">
      <c r="A9498" s="9"/>
      <c r="B9498" s="15"/>
      <c r="C9498" s="9">
        <f>IFERROR(__xludf.DUMMYFUNCTION("""COMPUTED_VALUE"""),45044.4149612037)</f>
        <v>45044.41496</v>
      </c>
      <c r="D9498" s="15">
        <f>IFERROR(__xludf.DUMMYFUNCTION("""COMPUTED_VALUE"""),1.029)</f>
        <v>1.029</v>
      </c>
      <c r="E9498" s="16">
        <f>IFERROR(__xludf.DUMMYFUNCTION("""COMPUTED_VALUE"""),64.0)</f>
        <v>64</v>
      </c>
      <c r="F9498" s="19" t="str">
        <f>IFERROR(__xludf.DUMMYFUNCTION("""COMPUTED_VALUE"""),"BLACK")</f>
        <v>BLACK</v>
      </c>
      <c r="G9498" s="20" t="str">
        <f>IFERROR(__xludf.DUMMYFUNCTION("""COMPUTED_VALUE"""),"Uncle Sams Cider (04/04/2023)")</f>
        <v>Uncle Sams Cider (04/04/2023)</v>
      </c>
      <c r="H9498" s="19"/>
    </row>
    <row r="9499">
      <c r="A9499" s="9"/>
      <c r="B9499" s="15"/>
      <c r="C9499" s="9">
        <f>IFERROR(__xludf.DUMMYFUNCTION("""COMPUTED_VALUE"""),45044.4045402314)</f>
        <v>45044.40454</v>
      </c>
      <c r="D9499" s="15">
        <f>IFERROR(__xludf.DUMMYFUNCTION("""COMPUTED_VALUE"""),1.029)</f>
        <v>1.029</v>
      </c>
      <c r="E9499" s="16">
        <f>IFERROR(__xludf.DUMMYFUNCTION("""COMPUTED_VALUE"""),64.0)</f>
        <v>64</v>
      </c>
      <c r="F9499" s="19" t="str">
        <f>IFERROR(__xludf.DUMMYFUNCTION("""COMPUTED_VALUE"""),"BLACK")</f>
        <v>BLACK</v>
      </c>
      <c r="G9499" s="20" t="str">
        <f>IFERROR(__xludf.DUMMYFUNCTION("""COMPUTED_VALUE"""),"Uncle Sams Cider (04/04/2023)")</f>
        <v>Uncle Sams Cider (04/04/2023)</v>
      </c>
      <c r="H9499" s="19"/>
    </row>
    <row r="9500">
      <c r="A9500" s="9"/>
      <c r="B9500" s="15"/>
      <c r="C9500" s="9">
        <f>IFERROR(__xludf.DUMMYFUNCTION("""COMPUTED_VALUE"""),45044.3941201041)</f>
        <v>45044.39412</v>
      </c>
      <c r="D9500" s="15">
        <f>IFERROR(__xludf.DUMMYFUNCTION("""COMPUTED_VALUE"""),1.029)</f>
        <v>1.029</v>
      </c>
      <c r="E9500" s="16">
        <f>IFERROR(__xludf.DUMMYFUNCTION("""COMPUTED_VALUE"""),64.0)</f>
        <v>64</v>
      </c>
      <c r="F9500" s="19" t="str">
        <f>IFERROR(__xludf.DUMMYFUNCTION("""COMPUTED_VALUE"""),"BLACK")</f>
        <v>BLACK</v>
      </c>
      <c r="G9500" s="20" t="str">
        <f>IFERROR(__xludf.DUMMYFUNCTION("""COMPUTED_VALUE"""),"Uncle Sams Cider (04/04/2023)")</f>
        <v>Uncle Sams Cider (04/04/2023)</v>
      </c>
      <c r="H9500" s="19"/>
    </row>
    <row r="9501">
      <c r="A9501" s="9"/>
      <c r="B9501" s="15"/>
      <c r="C9501" s="9">
        <f>IFERROR(__xludf.DUMMYFUNCTION("""COMPUTED_VALUE"""),45044.3836860532)</f>
        <v>45044.38369</v>
      </c>
      <c r="D9501" s="15">
        <f>IFERROR(__xludf.DUMMYFUNCTION("""COMPUTED_VALUE"""),1.029)</f>
        <v>1.029</v>
      </c>
      <c r="E9501" s="16">
        <f>IFERROR(__xludf.DUMMYFUNCTION("""COMPUTED_VALUE"""),64.0)</f>
        <v>64</v>
      </c>
      <c r="F9501" s="19" t="str">
        <f>IFERROR(__xludf.DUMMYFUNCTION("""COMPUTED_VALUE"""),"BLACK")</f>
        <v>BLACK</v>
      </c>
      <c r="G9501" s="20" t="str">
        <f>IFERROR(__xludf.DUMMYFUNCTION("""COMPUTED_VALUE"""),"Uncle Sams Cider (04/04/2023)")</f>
        <v>Uncle Sams Cider (04/04/2023)</v>
      </c>
      <c r="H9501" s="19"/>
    </row>
    <row r="9502">
      <c r="A9502" s="9"/>
      <c r="B9502" s="15"/>
      <c r="C9502" s="9">
        <f>IFERROR(__xludf.DUMMYFUNCTION("""COMPUTED_VALUE"""),45044.3732636689)</f>
        <v>45044.37326</v>
      </c>
      <c r="D9502" s="15">
        <f>IFERROR(__xludf.DUMMYFUNCTION("""COMPUTED_VALUE"""),1.029)</f>
        <v>1.029</v>
      </c>
      <c r="E9502" s="16">
        <f>IFERROR(__xludf.DUMMYFUNCTION("""COMPUTED_VALUE"""),64.0)</f>
        <v>64</v>
      </c>
      <c r="F9502" s="19" t="str">
        <f>IFERROR(__xludf.DUMMYFUNCTION("""COMPUTED_VALUE"""),"BLACK")</f>
        <v>BLACK</v>
      </c>
      <c r="G9502" s="20" t="str">
        <f>IFERROR(__xludf.DUMMYFUNCTION("""COMPUTED_VALUE"""),"Uncle Sams Cider (04/04/2023)")</f>
        <v>Uncle Sams Cider (04/04/2023)</v>
      </c>
      <c r="H9502" s="19"/>
    </row>
    <row r="9503">
      <c r="A9503" s="9"/>
      <c r="B9503" s="15"/>
      <c r="C9503" s="9">
        <f>IFERROR(__xludf.DUMMYFUNCTION("""COMPUTED_VALUE"""),45044.3628419444)</f>
        <v>45044.36284</v>
      </c>
      <c r="D9503" s="15">
        <f>IFERROR(__xludf.DUMMYFUNCTION("""COMPUTED_VALUE"""),1.029)</f>
        <v>1.029</v>
      </c>
      <c r="E9503" s="16">
        <f>IFERROR(__xludf.DUMMYFUNCTION("""COMPUTED_VALUE"""),64.0)</f>
        <v>64</v>
      </c>
      <c r="F9503" s="19" t="str">
        <f>IFERROR(__xludf.DUMMYFUNCTION("""COMPUTED_VALUE"""),"BLACK")</f>
        <v>BLACK</v>
      </c>
      <c r="G9503" s="20" t="str">
        <f>IFERROR(__xludf.DUMMYFUNCTION("""COMPUTED_VALUE"""),"Uncle Sams Cider (04/04/2023)")</f>
        <v>Uncle Sams Cider (04/04/2023)</v>
      </c>
      <c r="H9503" s="19"/>
    </row>
    <row r="9504">
      <c r="A9504" s="9"/>
      <c r="B9504" s="15"/>
      <c r="C9504" s="9">
        <f>IFERROR(__xludf.DUMMYFUNCTION("""COMPUTED_VALUE"""),45044.3524205439)</f>
        <v>45044.35242</v>
      </c>
      <c r="D9504" s="15">
        <f>IFERROR(__xludf.DUMMYFUNCTION("""COMPUTED_VALUE"""),1.03)</f>
        <v>1.03</v>
      </c>
      <c r="E9504" s="16">
        <f>IFERROR(__xludf.DUMMYFUNCTION("""COMPUTED_VALUE"""),64.0)</f>
        <v>64</v>
      </c>
      <c r="F9504" s="19" t="str">
        <f>IFERROR(__xludf.DUMMYFUNCTION("""COMPUTED_VALUE"""),"BLACK")</f>
        <v>BLACK</v>
      </c>
      <c r="G9504" s="20" t="str">
        <f>IFERROR(__xludf.DUMMYFUNCTION("""COMPUTED_VALUE"""),"Uncle Sams Cider (04/04/2023)")</f>
        <v>Uncle Sams Cider (04/04/2023)</v>
      </c>
      <c r="H9504" s="19"/>
    </row>
    <row r="9505">
      <c r="A9505" s="9"/>
      <c r="B9505" s="15"/>
      <c r="C9505" s="9">
        <f>IFERROR(__xludf.DUMMYFUNCTION("""COMPUTED_VALUE"""),45044.3420024305)</f>
        <v>45044.342</v>
      </c>
      <c r="D9505" s="15">
        <f>IFERROR(__xludf.DUMMYFUNCTION("""COMPUTED_VALUE"""),1.029)</f>
        <v>1.029</v>
      </c>
      <c r="E9505" s="16">
        <f>IFERROR(__xludf.DUMMYFUNCTION("""COMPUTED_VALUE"""),64.0)</f>
        <v>64</v>
      </c>
      <c r="F9505" s="19" t="str">
        <f>IFERROR(__xludf.DUMMYFUNCTION("""COMPUTED_VALUE"""),"BLACK")</f>
        <v>BLACK</v>
      </c>
      <c r="G9505" s="20" t="str">
        <f>IFERROR(__xludf.DUMMYFUNCTION("""COMPUTED_VALUE"""),"Uncle Sams Cider (04/04/2023)")</f>
        <v>Uncle Sams Cider (04/04/2023)</v>
      </c>
      <c r="H9505" s="19"/>
    </row>
    <row r="9506">
      <c r="A9506" s="9"/>
      <c r="B9506" s="15"/>
      <c r="C9506" s="9">
        <f>IFERROR(__xludf.DUMMYFUNCTION("""COMPUTED_VALUE"""),45044.3315703587)</f>
        <v>45044.33157</v>
      </c>
      <c r="D9506" s="15">
        <f>IFERROR(__xludf.DUMMYFUNCTION("""COMPUTED_VALUE"""),1.029)</f>
        <v>1.029</v>
      </c>
      <c r="E9506" s="16">
        <f>IFERROR(__xludf.DUMMYFUNCTION("""COMPUTED_VALUE"""),64.0)</f>
        <v>64</v>
      </c>
      <c r="F9506" s="19" t="str">
        <f>IFERROR(__xludf.DUMMYFUNCTION("""COMPUTED_VALUE"""),"BLACK")</f>
        <v>BLACK</v>
      </c>
      <c r="G9506" s="20" t="str">
        <f>IFERROR(__xludf.DUMMYFUNCTION("""COMPUTED_VALUE"""),"Uncle Sams Cider (04/04/2023)")</f>
        <v>Uncle Sams Cider (04/04/2023)</v>
      </c>
      <c r="H9506" s="19"/>
    </row>
    <row r="9507">
      <c r="A9507" s="9"/>
      <c r="B9507" s="15"/>
      <c r="C9507" s="9">
        <f>IFERROR(__xludf.DUMMYFUNCTION("""COMPUTED_VALUE"""),45044.3211387384)</f>
        <v>45044.32114</v>
      </c>
      <c r="D9507" s="15">
        <f>IFERROR(__xludf.DUMMYFUNCTION("""COMPUTED_VALUE"""),1.029)</f>
        <v>1.029</v>
      </c>
      <c r="E9507" s="16">
        <f>IFERROR(__xludf.DUMMYFUNCTION("""COMPUTED_VALUE"""),64.0)</f>
        <v>64</v>
      </c>
      <c r="F9507" s="19" t="str">
        <f>IFERROR(__xludf.DUMMYFUNCTION("""COMPUTED_VALUE"""),"BLACK")</f>
        <v>BLACK</v>
      </c>
      <c r="G9507" s="20" t="str">
        <f>IFERROR(__xludf.DUMMYFUNCTION("""COMPUTED_VALUE"""),"Uncle Sams Cider (04/04/2023)")</f>
        <v>Uncle Sams Cider (04/04/2023)</v>
      </c>
      <c r="H9507" s="19"/>
    </row>
    <row r="9508">
      <c r="A9508" s="9"/>
      <c r="B9508" s="15"/>
      <c r="C9508" s="9">
        <f>IFERROR(__xludf.DUMMYFUNCTION("""COMPUTED_VALUE"""),45044.3107186805)</f>
        <v>45044.31072</v>
      </c>
      <c r="D9508" s="15">
        <f>IFERROR(__xludf.DUMMYFUNCTION("""COMPUTED_VALUE"""),1.029)</f>
        <v>1.029</v>
      </c>
      <c r="E9508" s="16">
        <f>IFERROR(__xludf.DUMMYFUNCTION("""COMPUTED_VALUE"""),64.0)</f>
        <v>64</v>
      </c>
      <c r="F9508" s="19" t="str">
        <f>IFERROR(__xludf.DUMMYFUNCTION("""COMPUTED_VALUE"""),"BLACK")</f>
        <v>BLACK</v>
      </c>
      <c r="G9508" s="20" t="str">
        <f>IFERROR(__xludf.DUMMYFUNCTION("""COMPUTED_VALUE"""),"Uncle Sams Cider (04/04/2023)")</f>
        <v>Uncle Sams Cider (04/04/2023)</v>
      </c>
      <c r="H9508" s="19"/>
    </row>
    <row r="9509">
      <c r="A9509" s="9"/>
      <c r="B9509" s="15"/>
      <c r="C9509" s="9">
        <f>IFERROR(__xludf.DUMMYFUNCTION("""COMPUTED_VALUE"""),45044.3002991435)</f>
        <v>45044.3003</v>
      </c>
      <c r="D9509" s="15">
        <f>IFERROR(__xludf.DUMMYFUNCTION("""COMPUTED_VALUE"""),1.029)</f>
        <v>1.029</v>
      </c>
      <c r="E9509" s="16">
        <f>IFERROR(__xludf.DUMMYFUNCTION("""COMPUTED_VALUE"""),64.0)</f>
        <v>64</v>
      </c>
      <c r="F9509" s="19" t="str">
        <f>IFERROR(__xludf.DUMMYFUNCTION("""COMPUTED_VALUE"""),"BLACK")</f>
        <v>BLACK</v>
      </c>
      <c r="G9509" s="20" t="str">
        <f>IFERROR(__xludf.DUMMYFUNCTION("""COMPUTED_VALUE"""),"Uncle Sams Cider (04/04/2023)")</f>
        <v>Uncle Sams Cider (04/04/2023)</v>
      </c>
      <c r="H9509" s="19"/>
    </row>
    <row r="9510">
      <c r="A9510" s="9"/>
      <c r="B9510" s="15"/>
      <c r="C9510" s="9">
        <f>IFERROR(__xludf.DUMMYFUNCTION("""COMPUTED_VALUE"""),45044.2898795254)</f>
        <v>45044.28988</v>
      </c>
      <c r="D9510" s="15">
        <f>IFERROR(__xludf.DUMMYFUNCTION("""COMPUTED_VALUE"""),1.03)</f>
        <v>1.03</v>
      </c>
      <c r="E9510" s="16">
        <f>IFERROR(__xludf.DUMMYFUNCTION("""COMPUTED_VALUE"""),64.0)</f>
        <v>64</v>
      </c>
      <c r="F9510" s="19" t="str">
        <f>IFERROR(__xludf.DUMMYFUNCTION("""COMPUTED_VALUE"""),"BLACK")</f>
        <v>BLACK</v>
      </c>
      <c r="G9510" s="20" t="str">
        <f>IFERROR(__xludf.DUMMYFUNCTION("""COMPUTED_VALUE"""),"Uncle Sams Cider (04/04/2023)")</f>
        <v>Uncle Sams Cider (04/04/2023)</v>
      </c>
      <c r="H9510" s="19"/>
    </row>
    <row r="9511">
      <c r="A9511" s="9"/>
      <c r="B9511" s="15"/>
      <c r="C9511" s="9">
        <f>IFERROR(__xludf.DUMMYFUNCTION("""COMPUTED_VALUE"""),45044.2794448958)</f>
        <v>45044.27944</v>
      </c>
      <c r="D9511" s="15">
        <f>IFERROR(__xludf.DUMMYFUNCTION("""COMPUTED_VALUE"""),1.029)</f>
        <v>1.029</v>
      </c>
      <c r="E9511" s="16">
        <f>IFERROR(__xludf.DUMMYFUNCTION("""COMPUTED_VALUE"""),64.0)</f>
        <v>64</v>
      </c>
      <c r="F9511" s="19" t="str">
        <f>IFERROR(__xludf.DUMMYFUNCTION("""COMPUTED_VALUE"""),"BLACK")</f>
        <v>BLACK</v>
      </c>
      <c r="G9511" s="20" t="str">
        <f>IFERROR(__xludf.DUMMYFUNCTION("""COMPUTED_VALUE"""),"Uncle Sams Cider (04/04/2023)")</f>
        <v>Uncle Sams Cider (04/04/2023)</v>
      </c>
      <c r="H9511" s="19"/>
    </row>
    <row r="9512">
      <c r="A9512" s="9"/>
      <c r="B9512" s="15"/>
      <c r="C9512" s="9">
        <f>IFERROR(__xludf.DUMMYFUNCTION("""COMPUTED_VALUE"""),45044.2690245254)</f>
        <v>45044.26902</v>
      </c>
      <c r="D9512" s="15">
        <f>IFERROR(__xludf.DUMMYFUNCTION("""COMPUTED_VALUE"""),1.029)</f>
        <v>1.029</v>
      </c>
      <c r="E9512" s="16">
        <f>IFERROR(__xludf.DUMMYFUNCTION("""COMPUTED_VALUE"""),64.0)</f>
        <v>64</v>
      </c>
      <c r="F9512" s="19" t="str">
        <f>IFERROR(__xludf.DUMMYFUNCTION("""COMPUTED_VALUE"""),"BLACK")</f>
        <v>BLACK</v>
      </c>
      <c r="G9512" s="20" t="str">
        <f>IFERROR(__xludf.DUMMYFUNCTION("""COMPUTED_VALUE"""),"Uncle Sams Cider (04/04/2023)")</f>
        <v>Uncle Sams Cider (04/04/2023)</v>
      </c>
      <c r="H9512" s="19"/>
    </row>
    <row r="9513">
      <c r="A9513" s="9"/>
      <c r="B9513" s="15"/>
      <c r="C9513" s="9">
        <f>IFERROR(__xludf.DUMMYFUNCTION("""COMPUTED_VALUE"""),45044.2586032176)</f>
        <v>45044.2586</v>
      </c>
      <c r="D9513" s="15">
        <f>IFERROR(__xludf.DUMMYFUNCTION("""COMPUTED_VALUE"""),1.029)</f>
        <v>1.029</v>
      </c>
      <c r="E9513" s="16">
        <f>IFERROR(__xludf.DUMMYFUNCTION("""COMPUTED_VALUE"""),64.0)</f>
        <v>64</v>
      </c>
      <c r="F9513" s="19" t="str">
        <f>IFERROR(__xludf.DUMMYFUNCTION("""COMPUTED_VALUE"""),"BLACK")</f>
        <v>BLACK</v>
      </c>
      <c r="G9513" s="20" t="str">
        <f>IFERROR(__xludf.DUMMYFUNCTION("""COMPUTED_VALUE"""),"Uncle Sams Cider (04/04/2023)")</f>
        <v>Uncle Sams Cider (04/04/2023)</v>
      </c>
      <c r="H9513" s="19"/>
    </row>
    <row r="9514">
      <c r="A9514" s="9"/>
      <c r="B9514" s="15"/>
      <c r="C9514" s="9">
        <f>IFERROR(__xludf.DUMMYFUNCTION("""COMPUTED_VALUE"""),45044.2481804513)</f>
        <v>45044.24818</v>
      </c>
      <c r="D9514" s="15">
        <f>IFERROR(__xludf.DUMMYFUNCTION("""COMPUTED_VALUE"""),1.029)</f>
        <v>1.029</v>
      </c>
      <c r="E9514" s="16">
        <f>IFERROR(__xludf.DUMMYFUNCTION("""COMPUTED_VALUE"""),64.0)</f>
        <v>64</v>
      </c>
      <c r="F9514" s="19" t="str">
        <f>IFERROR(__xludf.DUMMYFUNCTION("""COMPUTED_VALUE"""),"BLACK")</f>
        <v>BLACK</v>
      </c>
      <c r="G9514" s="20" t="str">
        <f>IFERROR(__xludf.DUMMYFUNCTION("""COMPUTED_VALUE"""),"Uncle Sams Cider (04/04/2023)")</f>
        <v>Uncle Sams Cider (04/04/2023)</v>
      </c>
      <c r="H9514" s="19"/>
    </row>
    <row r="9515">
      <c r="A9515" s="9"/>
      <c r="B9515" s="15"/>
      <c r="C9515" s="9">
        <f>IFERROR(__xludf.DUMMYFUNCTION("""COMPUTED_VALUE"""),45044.2377578009)</f>
        <v>45044.23776</v>
      </c>
      <c r="D9515" s="15">
        <f>IFERROR(__xludf.DUMMYFUNCTION("""COMPUTED_VALUE"""),1.029)</f>
        <v>1.029</v>
      </c>
      <c r="E9515" s="16">
        <f>IFERROR(__xludf.DUMMYFUNCTION("""COMPUTED_VALUE"""),64.0)</f>
        <v>64</v>
      </c>
      <c r="F9515" s="19" t="str">
        <f>IFERROR(__xludf.DUMMYFUNCTION("""COMPUTED_VALUE"""),"BLACK")</f>
        <v>BLACK</v>
      </c>
      <c r="G9515" s="20" t="str">
        <f>IFERROR(__xludf.DUMMYFUNCTION("""COMPUTED_VALUE"""),"Uncle Sams Cider (04/04/2023)")</f>
        <v>Uncle Sams Cider (04/04/2023)</v>
      </c>
      <c r="H9515" s="19"/>
    </row>
    <row r="9516">
      <c r="A9516" s="9"/>
      <c r="B9516" s="15"/>
      <c r="C9516" s="9">
        <f>IFERROR(__xludf.DUMMYFUNCTION("""COMPUTED_VALUE"""),45044.2273349189)</f>
        <v>45044.22733</v>
      </c>
      <c r="D9516" s="15">
        <f>IFERROR(__xludf.DUMMYFUNCTION("""COMPUTED_VALUE"""),1.029)</f>
        <v>1.029</v>
      </c>
      <c r="E9516" s="16">
        <f>IFERROR(__xludf.DUMMYFUNCTION("""COMPUTED_VALUE"""),64.0)</f>
        <v>64</v>
      </c>
      <c r="F9516" s="19" t="str">
        <f>IFERROR(__xludf.DUMMYFUNCTION("""COMPUTED_VALUE"""),"BLACK")</f>
        <v>BLACK</v>
      </c>
      <c r="G9516" s="20" t="str">
        <f>IFERROR(__xludf.DUMMYFUNCTION("""COMPUTED_VALUE"""),"Uncle Sams Cider (04/04/2023)")</f>
        <v>Uncle Sams Cider (04/04/2023)</v>
      </c>
      <c r="H9516" s="19"/>
    </row>
    <row r="9517">
      <c r="A9517" s="9"/>
      <c r="B9517" s="15"/>
      <c r="C9517" s="9">
        <f>IFERROR(__xludf.DUMMYFUNCTION("""COMPUTED_VALUE"""),45044.2169131481)</f>
        <v>45044.21691</v>
      </c>
      <c r="D9517" s="15">
        <f>IFERROR(__xludf.DUMMYFUNCTION("""COMPUTED_VALUE"""),1.029)</f>
        <v>1.029</v>
      </c>
      <c r="E9517" s="16">
        <f>IFERROR(__xludf.DUMMYFUNCTION("""COMPUTED_VALUE"""),64.0)</f>
        <v>64</v>
      </c>
      <c r="F9517" s="19" t="str">
        <f>IFERROR(__xludf.DUMMYFUNCTION("""COMPUTED_VALUE"""),"BLACK")</f>
        <v>BLACK</v>
      </c>
      <c r="G9517" s="20" t="str">
        <f>IFERROR(__xludf.DUMMYFUNCTION("""COMPUTED_VALUE"""),"Uncle Sams Cider (04/04/2023)")</f>
        <v>Uncle Sams Cider (04/04/2023)</v>
      </c>
      <c r="H9517" s="19"/>
    </row>
    <row r="9518">
      <c r="A9518" s="9"/>
      <c r="B9518" s="15"/>
      <c r="C9518" s="9">
        <f>IFERROR(__xludf.DUMMYFUNCTION("""COMPUTED_VALUE"""),45044.2064924768)</f>
        <v>45044.20649</v>
      </c>
      <c r="D9518" s="15">
        <f>IFERROR(__xludf.DUMMYFUNCTION("""COMPUTED_VALUE"""),1.03)</f>
        <v>1.03</v>
      </c>
      <c r="E9518" s="16">
        <f>IFERROR(__xludf.DUMMYFUNCTION("""COMPUTED_VALUE"""),64.0)</f>
        <v>64</v>
      </c>
      <c r="F9518" s="19" t="str">
        <f>IFERROR(__xludf.DUMMYFUNCTION("""COMPUTED_VALUE"""),"BLACK")</f>
        <v>BLACK</v>
      </c>
      <c r="G9518" s="20" t="str">
        <f>IFERROR(__xludf.DUMMYFUNCTION("""COMPUTED_VALUE"""),"Uncle Sams Cider (04/04/2023)")</f>
        <v>Uncle Sams Cider (04/04/2023)</v>
      </c>
      <c r="H9518" s="19"/>
    </row>
    <row r="9519">
      <c r="A9519" s="9"/>
      <c r="B9519" s="15"/>
      <c r="C9519" s="9">
        <f>IFERROR(__xludf.DUMMYFUNCTION("""COMPUTED_VALUE"""),45044.1960707407)</f>
        <v>45044.19607</v>
      </c>
      <c r="D9519" s="15">
        <f>IFERROR(__xludf.DUMMYFUNCTION("""COMPUTED_VALUE"""),1.03)</f>
        <v>1.03</v>
      </c>
      <c r="E9519" s="16">
        <f>IFERROR(__xludf.DUMMYFUNCTION("""COMPUTED_VALUE"""),64.0)</f>
        <v>64</v>
      </c>
      <c r="F9519" s="19" t="str">
        <f>IFERROR(__xludf.DUMMYFUNCTION("""COMPUTED_VALUE"""),"BLACK")</f>
        <v>BLACK</v>
      </c>
      <c r="G9519" s="20" t="str">
        <f>IFERROR(__xludf.DUMMYFUNCTION("""COMPUTED_VALUE"""),"Uncle Sams Cider (04/04/2023)")</f>
        <v>Uncle Sams Cider (04/04/2023)</v>
      </c>
      <c r="H9519" s="19"/>
    </row>
    <row r="9520">
      <c r="A9520" s="9"/>
      <c r="B9520" s="15"/>
      <c r="C9520" s="9">
        <f>IFERROR(__xludf.DUMMYFUNCTION("""COMPUTED_VALUE"""),45044.1856502893)</f>
        <v>45044.18565</v>
      </c>
      <c r="D9520" s="15">
        <f>IFERROR(__xludf.DUMMYFUNCTION("""COMPUTED_VALUE"""),1.029)</f>
        <v>1.029</v>
      </c>
      <c r="E9520" s="16">
        <f>IFERROR(__xludf.DUMMYFUNCTION("""COMPUTED_VALUE"""),64.0)</f>
        <v>64</v>
      </c>
      <c r="F9520" s="19" t="str">
        <f>IFERROR(__xludf.DUMMYFUNCTION("""COMPUTED_VALUE"""),"BLACK")</f>
        <v>BLACK</v>
      </c>
      <c r="G9520" s="20" t="str">
        <f>IFERROR(__xludf.DUMMYFUNCTION("""COMPUTED_VALUE"""),"Uncle Sams Cider (04/04/2023)")</f>
        <v>Uncle Sams Cider (04/04/2023)</v>
      </c>
      <c r="H9520" s="19"/>
    </row>
    <row r="9521">
      <c r="A9521" s="9"/>
      <c r="B9521" s="15"/>
      <c r="C9521" s="9">
        <f>IFERROR(__xludf.DUMMYFUNCTION("""COMPUTED_VALUE"""),45044.1752296064)</f>
        <v>45044.17523</v>
      </c>
      <c r="D9521" s="15">
        <f>IFERROR(__xludf.DUMMYFUNCTION("""COMPUTED_VALUE"""),1.03)</f>
        <v>1.03</v>
      </c>
      <c r="E9521" s="16">
        <f>IFERROR(__xludf.DUMMYFUNCTION("""COMPUTED_VALUE"""),64.0)</f>
        <v>64</v>
      </c>
      <c r="F9521" s="19" t="str">
        <f>IFERROR(__xludf.DUMMYFUNCTION("""COMPUTED_VALUE"""),"BLACK")</f>
        <v>BLACK</v>
      </c>
      <c r="G9521" s="20" t="str">
        <f>IFERROR(__xludf.DUMMYFUNCTION("""COMPUTED_VALUE"""),"Uncle Sams Cider (04/04/2023)")</f>
        <v>Uncle Sams Cider (04/04/2023)</v>
      </c>
      <c r="H9521" s="19"/>
    </row>
    <row r="9522">
      <c r="A9522" s="9"/>
      <c r="B9522" s="15"/>
      <c r="C9522" s="9">
        <f>IFERROR(__xludf.DUMMYFUNCTION("""COMPUTED_VALUE"""),45044.1648078819)</f>
        <v>45044.16481</v>
      </c>
      <c r="D9522" s="15">
        <f>IFERROR(__xludf.DUMMYFUNCTION("""COMPUTED_VALUE"""),1.03)</f>
        <v>1.03</v>
      </c>
      <c r="E9522" s="16">
        <f>IFERROR(__xludf.DUMMYFUNCTION("""COMPUTED_VALUE"""),64.0)</f>
        <v>64</v>
      </c>
      <c r="F9522" s="19" t="str">
        <f>IFERROR(__xludf.DUMMYFUNCTION("""COMPUTED_VALUE"""),"BLACK")</f>
        <v>BLACK</v>
      </c>
      <c r="G9522" s="20" t="str">
        <f>IFERROR(__xludf.DUMMYFUNCTION("""COMPUTED_VALUE"""),"Uncle Sams Cider (04/04/2023)")</f>
        <v>Uncle Sams Cider (04/04/2023)</v>
      </c>
      <c r="H9522" s="19"/>
    </row>
    <row r="9523">
      <c r="A9523" s="9"/>
      <c r="B9523" s="15"/>
      <c r="C9523" s="9">
        <f>IFERROR(__xludf.DUMMYFUNCTION("""COMPUTED_VALUE"""),45044.1543862615)</f>
        <v>45044.15439</v>
      </c>
      <c r="D9523" s="15">
        <f>IFERROR(__xludf.DUMMYFUNCTION("""COMPUTED_VALUE"""),1.029)</f>
        <v>1.029</v>
      </c>
      <c r="E9523" s="16">
        <f>IFERROR(__xludf.DUMMYFUNCTION("""COMPUTED_VALUE"""),64.0)</f>
        <v>64</v>
      </c>
      <c r="F9523" s="19" t="str">
        <f>IFERROR(__xludf.DUMMYFUNCTION("""COMPUTED_VALUE"""),"BLACK")</f>
        <v>BLACK</v>
      </c>
      <c r="G9523" s="20" t="str">
        <f>IFERROR(__xludf.DUMMYFUNCTION("""COMPUTED_VALUE"""),"Uncle Sams Cider (04/04/2023)")</f>
        <v>Uncle Sams Cider (04/04/2023)</v>
      </c>
      <c r="H9523" s="19"/>
    </row>
    <row r="9524">
      <c r="A9524" s="9"/>
      <c r="B9524" s="15"/>
      <c r="C9524" s="9">
        <f>IFERROR(__xludf.DUMMYFUNCTION("""COMPUTED_VALUE"""),45044.1439632291)</f>
        <v>45044.14396</v>
      </c>
      <c r="D9524" s="15">
        <f>IFERROR(__xludf.DUMMYFUNCTION("""COMPUTED_VALUE"""),1.03)</f>
        <v>1.03</v>
      </c>
      <c r="E9524" s="16">
        <f>IFERROR(__xludf.DUMMYFUNCTION("""COMPUTED_VALUE"""),64.0)</f>
        <v>64</v>
      </c>
      <c r="F9524" s="19" t="str">
        <f>IFERROR(__xludf.DUMMYFUNCTION("""COMPUTED_VALUE"""),"BLACK")</f>
        <v>BLACK</v>
      </c>
      <c r="G9524" s="20" t="str">
        <f>IFERROR(__xludf.DUMMYFUNCTION("""COMPUTED_VALUE"""),"Uncle Sams Cider (04/04/2023)")</f>
        <v>Uncle Sams Cider (04/04/2023)</v>
      </c>
      <c r="H9524" s="19"/>
    </row>
    <row r="9525">
      <c r="A9525" s="9"/>
      <c r="B9525" s="15"/>
      <c r="C9525" s="9">
        <f>IFERROR(__xludf.DUMMYFUNCTION("""COMPUTED_VALUE"""),45044.1335427546)</f>
        <v>45044.13354</v>
      </c>
      <c r="D9525" s="15">
        <f>IFERROR(__xludf.DUMMYFUNCTION("""COMPUTED_VALUE"""),1.03)</f>
        <v>1.03</v>
      </c>
      <c r="E9525" s="16">
        <f>IFERROR(__xludf.DUMMYFUNCTION("""COMPUTED_VALUE"""),64.0)</f>
        <v>64</v>
      </c>
      <c r="F9525" s="19" t="str">
        <f>IFERROR(__xludf.DUMMYFUNCTION("""COMPUTED_VALUE"""),"BLACK")</f>
        <v>BLACK</v>
      </c>
      <c r="G9525" s="20" t="str">
        <f>IFERROR(__xludf.DUMMYFUNCTION("""COMPUTED_VALUE"""),"Uncle Sams Cider (04/04/2023)")</f>
        <v>Uncle Sams Cider (04/04/2023)</v>
      </c>
      <c r="H9525" s="19"/>
    </row>
    <row r="9526">
      <c r="A9526" s="9"/>
      <c r="B9526" s="15"/>
      <c r="C9526" s="9">
        <f>IFERROR(__xludf.DUMMYFUNCTION("""COMPUTED_VALUE"""),45044.1231225115)</f>
        <v>45044.12312</v>
      </c>
      <c r="D9526" s="15">
        <f>IFERROR(__xludf.DUMMYFUNCTION("""COMPUTED_VALUE"""),1.03)</f>
        <v>1.03</v>
      </c>
      <c r="E9526" s="16">
        <f>IFERROR(__xludf.DUMMYFUNCTION("""COMPUTED_VALUE"""),64.0)</f>
        <v>64</v>
      </c>
      <c r="F9526" s="19" t="str">
        <f>IFERROR(__xludf.DUMMYFUNCTION("""COMPUTED_VALUE"""),"BLACK")</f>
        <v>BLACK</v>
      </c>
      <c r="G9526" s="20" t="str">
        <f>IFERROR(__xludf.DUMMYFUNCTION("""COMPUTED_VALUE"""),"Uncle Sams Cider (04/04/2023)")</f>
        <v>Uncle Sams Cider (04/04/2023)</v>
      </c>
      <c r="H9526" s="19"/>
    </row>
    <row r="9527">
      <c r="A9527" s="9"/>
      <c r="B9527" s="15"/>
      <c r="C9527" s="9">
        <f>IFERROR(__xludf.DUMMYFUNCTION("""COMPUTED_VALUE"""),45044.1127019097)</f>
        <v>45044.1127</v>
      </c>
      <c r="D9527" s="15">
        <f>IFERROR(__xludf.DUMMYFUNCTION("""COMPUTED_VALUE"""),1.03)</f>
        <v>1.03</v>
      </c>
      <c r="E9527" s="16">
        <f>IFERROR(__xludf.DUMMYFUNCTION("""COMPUTED_VALUE"""),64.0)</f>
        <v>64</v>
      </c>
      <c r="F9527" s="19" t="str">
        <f>IFERROR(__xludf.DUMMYFUNCTION("""COMPUTED_VALUE"""),"BLACK")</f>
        <v>BLACK</v>
      </c>
      <c r="G9527" s="20" t="str">
        <f>IFERROR(__xludf.DUMMYFUNCTION("""COMPUTED_VALUE"""),"Uncle Sams Cider (04/04/2023)")</f>
        <v>Uncle Sams Cider (04/04/2023)</v>
      </c>
      <c r="H9527" s="19"/>
    </row>
    <row r="9528">
      <c r="A9528" s="9"/>
      <c r="B9528" s="15"/>
      <c r="C9528" s="9">
        <f>IFERROR(__xludf.DUMMYFUNCTION("""COMPUTED_VALUE"""),45044.1022801273)</f>
        <v>45044.10228</v>
      </c>
      <c r="D9528" s="15">
        <f>IFERROR(__xludf.DUMMYFUNCTION("""COMPUTED_VALUE"""),1.03)</f>
        <v>1.03</v>
      </c>
      <c r="E9528" s="16">
        <f>IFERROR(__xludf.DUMMYFUNCTION("""COMPUTED_VALUE"""),64.0)</f>
        <v>64</v>
      </c>
      <c r="F9528" s="19" t="str">
        <f>IFERROR(__xludf.DUMMYFUNCTION("""COMPUTED_VALUE"""),"BLACK")</f>
        <v>BLACK</v>
      </c>
      <c r="G9528" s="20" t="str">
        <f>IFERROR(__xludf.DUMMYFUNCTION("""COMPUTED_VALUE"""),"Uncle Sams Cider (04/04/2023)")</f>
        <v>Uncle Sams Cider (04/04/2023)</v>
      </c>
      <c r="H9528" s="19"/>
    </row>
    <row r="9529">
      <c r="A9529" s="9"/>
      <c r="B9529" s="15"/>
      <c r="C9529" s="9">
        <f>IFERROR(__xludf.DUMMYFUNCTION("""COMPUTED_VALUE"""),45044.0918587847)</f>
        <v>45044.09186</v>
      </c>
      <c r="D9529" s="15">
        <f>IFERROR(__xludf.DUMMYFUNCTION("""COMPUTED_VALUE"""),1.03)</f>
        <v>1.03</v>
      </c>
      <c r="E9529" s="16">
        <f>IFERROR(__xludf.DUMMYFUNCTION("""COMPUTED_VALUE"""),64.0)</f>
        <v>64</v>
      </c>
      <c r="F9529" s="19" t="str">
        <f>IFERROR(__xludf.DUMMYFUNCTION("""COMPUTED_VALUE"""),"BLACK")</f>
        <v>BLACK</v>
      </c>
      <c r="G9529" s="20" t="str">
        <f>IFERROR(__xludf.DUMMYFUNCTION("""COMPUTED_VALUE"""),"Uncle Sams Cider (04/04/2023)")</f>
        <v>Uncle Sams Cider (04/04/2023)</v>
      </c>
      <c r="H9529" s="19"/>
    </row>
    <row r="9530">
      <c r="A9530" s="9"/>
      <c r="B9530" s="15"/>
      <c r="C9530" s="9">
        <f>IFERROR(__xludf.DUMMYFUNCTION("""COMPUTED_VALUE"""),45044.08142853)</f>
        <v>45044.08143</v>
      </c>
      <c r="D9530" s="15">
        <f>IFERROR(__xludf.DUMMYFUNCTION("""COMPUTED_VALUE"""),1.03)</f>
        <v>1.03</v>
      </c>
      <c r="E9530" s="16">
        <f>IFERROR(__xludf.DUMMYFUNCTION("""COMPUTED_VALUE"""),64.0)</f>
        <v>64</v>
      </c>
      <c r="F9530" s="19" t="str">
        <f>IFERROR(__xludf.DUMMYFUNCTION("""COMPUTED_VALUE"""),"BLACK")</f>
        <v>BLACK</v>
      </c>
      <c r="G9530" s="20" t="str">
        <f>IFERROR(__xludf.DUMMYFUNCTION("""COMPUTED_VALUE"""),"Uncle Sams Cider (04/04/2023)")</f>
        <v>Uncle Sams Cider (04/04/2023)</v>
      </c>
      <c r="H9530" s="19"/>
    </row>
    <row r="9531">
      <c r="A9531" s="9"/>
      <c r="B9531" s="15"/>
      <c r="C9531" s="9">
        <f>IFERROR(__xludf.DUMMYFUNCTION("""COMPUTED_VALUE"""),45044.0710063657)</f>
        <v>45044.07101</v>
      </c>
      <c r="D9531" s="15">
        <f>IFERROR(__xludf.DUMMYFUNCTION("""COMPUTED_VALUE"""),1.03)</f>
        <v>1.03</v>
      </c>
      <c r="E9531" s="16">
        <f>IFERROR(__xludf.DUMMYFUNCTION("""COMPUTED_VALUE"""),64.0)</f>
        <v>64</v>
      </c>
      <c r="F9531" s="19" t="str">
        <f>IFERROR(__xludf.DUMMYFUNCTION("""COMPUTED_VALUE"""),"BLACK")</f>
        <v>BLACK</v>
      </c>
      <c r="G9531" s="20" t="str">
        <f>IFERROR(__xludf.DUMMYFUNCTION("""COMPUTED_VALUE"""),"Uncle Sams Cider (04/04/2023)")</f>
        <v>Uncle Sams Cider (04/04/2023)</v>
      </c>
      <c r="H9531" s="19"/>
    </row>
    <row r="9532">
      <c r="A9532" s="9"/>
      <c r="B9532" s="15"/>
      <c r="C9532" s="9">
        <f>IFERROR(__xludf.DUMMYFUNCTION("""COMPUTED_VALUE"""),45044.0605846759)</f>
        <v>45044.06058</v>
      </c>
      <c r="D9532" s="15">
        <f>IFERROR(__xludf.DUMMYFUNCTION("""COMPUTED_VALUE"""),1.03)</f>
        <v>1.03</v>
      </c>
      <c r="E9532" s="16">
        <f>IFERROR(__xludf.DUMMYFUNCTION("""COMPUTED_VALUE"""),64.0)</f>
        <v>64</v>
      </c>
      <c r="F9532" s="19" t="str">
        <f>IFERROR(__xludf.DUMMYFUNCTION("""COMPUTED_VALUE"""),"BLACK")</f>
        <v>BLACK</v>
      </c>
      <c r="G9532" s="20" t="str">
        <f>IFERROR(__xludf.DUMMYFUNCTION("""COMPUTED_VALUE"""),"Uncle Sams Cider (04/04/2023)")</f>
        <v>Uncle Sams Cider (04/04/2023)</v>
      </c>
      <c r="H9532" s="19"/>
    </row>
    <row r="9533">
      <c r="A9533" s="9"/>
      <c r="B9533" s="15"/>
      <c r="C9533" s="9">
        <f>IFERROR(__xludf.DUMMYFUNCTION("""COMPUTED_VALUE"""),45044.0501515277)</f>
        <v>45044.05015</v>
      </c>
      <c r="D9533" s="15">
        <f>IFERROR(__xludf.DUMMYFUNCTION("""COMPUTED_VALUE"""),1.03)</f>
        <v>1.03</v>
      </c>
      <c r="E9533" s="16">
        <f>IFERROR(__xludf.DUMMYFUNCTION("""COMPUTED_VALUE"""),64.0)</f>
        <v>64</v>
      </c>
      <c r="F9533" s="19" t="str">
        <f>IFERROR(__xludf.DUMMYFUNCTION("""COMPUTED_VALUE"""),"BLACK")</f>
        <v>BLACK</v>
      </c>
      <c r="G9533" s="20" t="str">
        <f>IFERROR(__xludf.DUMMYFUNCTION("""COMPUTED_VALUE"""),"Uncle Sams Cider (04/04/2023)")</f>
        <v>Uncle Sams Cider (04/04/2023)</v>
      </c>
      <c r="H9533" s="19"/>
    </row>
    <row r="9534">
      <c r="A9534" s="9"/>
      <c r="B9534" s="15"/>
      <c r="C9534" s="9">
        <f>IFERROR(__xludf.DUMMYFUNCTION("""COMPUTED_VALUE"""),45044.0397304282)</f>
        <v>45044.03973</v>
      </c>
      <c r="D9534" s="15">
        <f>IFERROR(__xludf.DUMMYFUNCTION("""COMPUTED_VALUE"""),1.03)</f>
        <v>1.03</v>
      </c>
      <c r="E9534" s="16">
        <f>IFERROR(__xludf.DUMMYFUNCTION("""COMPUTED_VALUE"""),64.0)</f>
        <v>64</v>
      </c>
      <c r="F9534" s="19" t="str">
        <f>IFERROR(__xludf.DUMMYFUNCTION("""COMPUTED_VALUE"""),"BLACK")</f>
        <v>BLACK</v>
      </c>
      <c r="G9534" s="20" t="str">
        <f>IFERROR(__xludf.DUMMYFUNCTION("""COMPUTED_VALUE"""),"Uncle Sams Cider (04/04/2023)")</f>
        <v>Uncle Sams Cider (04/04/2023)</v>
      </c>
      <c r="H9534" s="19"/>
    </row>
    <row r="9535">
      <c r="A9535" s="9"/>
      <c r="B9535" s="15"/>
      <c r="C9535" s="9">
        <f>IFERROR(__xludf.DUMMYFUNCTION("""COMPUTED_VALUE"""),45044.0293083101)</f>
        <v>45044.02931</v>
      </c>
      <c r="D9535" s="15">
        <f>IFERROR(__xludf.DUMMYFUNCTION("""COMPUTED_VALUE"""),1.03)</f>
        <v>1.03</v>
      </c>
      <c r="E9535" s="16">
        <f>IFERROR(__xludf.DUMMYFUNCTION("""COMPUTED_VALUE"""),64.0)</f>
        <v>64</v>
      </c>
      <c r="F9535" s="19" t="str">
        <f>IFERROR(__xludf.DUMMYFUNCTION("""COMPUTED_VALUE"""),"BLACK")</f>
        <v>BLACK</v>
      </c>
      <c r="G9535" s="20" t="str">
        <f>IFERROR(__xludf.DUMMYFUNCTION("""COMPUTED_VALUE"""),"Uncle Sams Cider (04/04/2023)")</f>
        <v>Uncle Sams Cider (04/04/2023)</v>
      </c>
      <c r="H9535" s="19"/>
    </row>
    <row r="9536">
      <c r="A9536" s="9"/>
      <c r="B9536" s="15"/>
      <c r="C9536" s="9">
        <f>IFERROR(__xludf.DUMMYFUNCTION("""COMPUTED_VALUE"""),45044.0188745254)</f>
        <v>45044.01887</v>
      </c>
      <c r="D9536" s="15">
        <f>IFERROR(__xludf.DUMMYFUNCTION("""COMPUTED_VALUE"""),1.03)</f>
        <v>1.03</v>
      </c>
      <c r="E9536" s="16">
        <f>IFERROR(__xludf.DUMMYFUNCTION("""COMPUTED_VALUE"""),64.0)</f>
        <v>64</v>
      </c>
      <c r="F9536" s="19" t="str">
        <f>IFERROR(__xludf.DUMMYFUNCTION("""COMPUTED_VALUE"""),"BLACK")</f>
        <v>BLACK</v>
      </c>
      <c r="G9536" s="20" t="str">
        <f>IFERROR(__xludf.DUMMYFUNCTION("""COMPUTED_VALUE"""),"Uncle Sams Cider (04/04/2023)")</f>
        <v>Uncle Sams Cider (04/04/2023)</v>
      </c>
      <c r="H9536" s="19"/>
    </row>
    <row r="9537">
      <c r="A9537" s="9"/>
      <c r="B9537" s="15"/>
      <c r="C9537" s="9">
        <f>IFERROR(__xludf.DUMMYFUNCTION("""COMPUTED_VALUE"""),45044.0084187152)</f>
        <v>45044.00842</v>
      </c>
      <c r="D9537" s="15">
        <f>IFERROR(__xludf.DUMMYFUNCTION("""COMPUTED_VALUE"""),1.03)</f>
        <v>1.03</v>
      </c>
      <c r="E9537" s="16">
        <f>IFERROR(__xludf.DUMMYFUNCTION("""COMPUTED_VALUE"""),64.0)</f>
        <v>64</v>
      </c>
      <c r="F9537" s="19" t="str">
        <f>IFERROR(__xludf.DUMMYFUNCTION("""COMPUTED_VALUE"""),"BLACK")</f>
        <v>BLACK</v>
      </c>
      <c r="G9537" s="20" t="str">
        <f>IFERROR(__xludf.DUMMYFUNCTION("""COMPUTED_VALUE"""),"Uncle Sams Cider (04/04/2023)")</f>
        <v>Uncle Sams Cider (04/04/2023)</v>
      </c>
      <c r="H9537" s="19"/>
    </row>
    <row r="9538">
      <c r="A9538" s="9"/>
      <c r="B9538" s="15"/>
      <c r="C9538" s="9">
        <f>IFERROR(__xludf.DUMMYFUNCTION("""COMPUTED_VALUE"""),45043.9979984375)</f>
        <v>45043.998</v>
      </c>
      <c r="D9538" s="15">
        <f>IFERROR(__xludf.DUMMYFUNCTION("""COMPUTED_VALUE"""),1.03)</f>
        <v>1.03</v>
      </c>
      <c r="E9538" s="16">
        <f>IFERROR(__xludf.DUMMYFUNCTION("""COMPUTED_VALUE"""),64.0)</f>
        <v>64</v>
      </c>
      <c r="F9538" s="19" t="str">
        <f>IFERROR(__xludf.DUMMYFUNCTION("""COMPUTED_VALUE"""),"BLACK")</f>
        <v>BLACK</v>
      </c>
      <c r="G9538" s="20" t="str">
        <f>IFERROR(__xludf.DUMMYFUNCTION("""COMPUTED_VALUE"""),"Uncle Sams Cider (04/04/2023)")</f>
        <v>Uncle Sams Cider (04/04/2023)</v>
      </c>
      <c r="H9538" s="19"/>
    </row>
    <row r="9539">
      <c r="A9539" s="9"/>
      <c r="B9539" s="15"/>
      <c r="C9539" s="9">
        <f>IFERROR(__xludf.DUMMYFUNCTION("""COMPUTED_VALUE"""),45043.9875766088)</f>
        <v>45043.98758</v>
      </c>
      <c r="D9539" s="15">
        <f>IFERROR(__xludf.DUMMYFUNCTION("""COMPUTED_VALUE"""),1.03)</f>
        <v>1.03</v>
      </c>
      <c r="E9539" s="16">
        <f>IFERROR(__xludf.DUMMYFUNCTION("""COMPUTED_VALUE"""),64.0)</f>
        <v>64</v>
      </c>
      <c r="F9539" s="19" t="str">
        <f>IFERROR(__xludf.DUMMYFUNCTION("""COMPUTED_VALUE"""),"BLACK")</f>
        <v>BLACK</v>
      </c>
      <c r="G9539" s="20" t="str">
        <f>IFERROR(__xludf.DUMMYFUNCTION("""COMPUTED_VALUE"""),"Uncle Sams Cider (04/04/2023)")</f>
        <v>Uncle Sams Cider (04/04/2023)</v>
      </c>
      <c r="H9539" s="19"/>
    </row>
    <row r="9540">
      <c r="A9540" s="9"/>
      <c r="B9540" s="15"/>
      <c r="C9540" s="9">
        <f>IFERROR(__xludf.DUMMYFUNCTION("""COMPUTED_VALUE"""),45043.9771443171)</f>
        <v>45043.97714</v>
      </c>
      <c r="D9540" s="15">
        <f>IFERROR(__xludf.DUMMYFUNCTION("""COMPUTED_VALUE"""),1.03)</f>
        <v>1.03</v>
      </c>
      <c r="E9540" s="16">
        <f>IFERROR(__xludf.DUMMYFUNCTION("""COMPUTED_VALUE"""),64.0)</f>
        <v>64</v>
      </c>
      <c r="F9540" s="19" t="str">
        <f>IFERROR(__xludf.DUMMYFUNCTION("""COMPUTED_VALUE"""),"BLACK")</f>
        <v>BLACK</v>
      </c>
      <c r="G9540" s="20" t="str">
        <f>IFERROR(__xludf.DUMMYFUNCTION("""COMPUTED_VALUE"""),"Uncle Sams Cider (04/04/2023)")</f>
        <v>Uncle Sams Cider (04/04/2023)</v>
      </c>
      <c r="H9540" s="19"/>
    </row>
    <row r="9541">
      <c r="A9541" s="9"/>
      <c r="B9541" s="15"/>
      <c r="C9541" s="9">
        <f>IFERROR(__xludf.DUMMYFUNCTION("""COMPUTED_VALUE"""),45043.9667227199)</f>
        <v>45043.96672</v>
      </c>
      <c r="D9541" s="15">
        <f>IFERROR(__xludf.DUMMYFUNCTION("""COMPUTED_VALUE"""),1.03)</f>
        <v>1.03</v>
      </c>
      <c r="E9541" s="16">
        <f>IFERROR(__xludf.DUMMYFUNCTION("""COMPUTED_VALUE"""),64.0)</f>
        <v>64</v>
      </c>
      <c r="F9541" s="19" t="str">
        <f>IFERROR(__xludf.DUMMYFUNCTION("""COMPUTED_VALUE"""),"BLACK")</f>
        <v>BLACK</v>
      </c>
      <c r="G9541" s="20" t="str">
        <f>IFERROR(__xludf.DUMMYFUNCTION("""COMPUTED_VALUE"""),"Uncle Sams Cider (04/04/2023)")</f>
        <v>Uncle Sams Cider (04/04/2023)</v>
      </c>
      <c r="H9541" s="19"/>
    </row>
    <row r="9542">
      <c r="A9542" s="9"/>
      <c r="B9542" s="15"/>
      <c r="C9542" s="9">
        <f>IFERROR(__xludf.DUMMYFUNCTION("""COMPUTED_VALUE"""),45043.9563025925)</f>
        <v>45043.9563</v>
      </c>
      <c r="D9542" s="15">
        <f>IFERROR(__xludf.DUMMYFUNCTION("""COMPUTED_VALUE"""),1.03)</f>
        <v>1.03</v>
      </c>
      <c r="E9542" s="16">
        <f>IFERROR(__xludf.DUMMYFUNCTION("""COMPUTED_VALUE"""),64.0)</f>
        <v>64</v>
      </c>
      <c r="F9542" s="19" t="str">
        <f>IFERROR(__xludf.DUMMYFUNCTION("""COMPUTED_VALUE"""),"BLACK")</f>
        <v>BLACK</v>
      </c>
      <c r="G9542" s="20" t="str">
        <f>IFERROR(__xludf.DUMMYFUNCTION("""COMPUTED_VALUE"""),"Uncle Sams Cider (04/04/2023)")</f>
        <v>Uncle Sams Cider (04/04/2023)</v>
      </c>
      <c r="H9542" s="19"/>
    </row>
    <row r="9543">
      <c r="A9543" s="9"/>
      <c r="B9543" s="15"/>
      <c r="C9543" s="9">
        <f>IFERROR(__xludf.DUMMYFUNCTION("""COMPUTED_VALUE"""),45043.9458830324)</f>
        <v>45043.94588</v>
      </c>
      <c r="D9543" s="15">
        <f>IFERROR(__xludf.DUMMYFUNCTION("""COMPUTED_VALUE"""),1.03)</f>
        <v>1.03</v>
      </c>
      <c r="E9543" s="16">
        <f>IFERROR(__xludf.DUMMYFUNCTION("""COMPUTED_VALUE"""),64.0)</f>
        <v>64</v>
      </c>
      <c r="F9543" s="19" t="str">
        <f>IFERROR(__xludf.DUMMYFUNCTION("""COMPUTED_VALUE"""),"BLACK")</f>
        <v>BLACK</v>
      </c>
      <c r="G9543" s="20" t="str">
        <f>IFERROR(__xludf.DUMMYFUNCTION("""COMPUTED_VALUE"""),"Uncle Sams Cider (04/04/2023)")</f>
        <v>Uncle Sams Cider (04/04/2023)</v>
      </c>
      <c r="H9543" s="19"/>
    </row>
    <row r="9544">
      <c r="A9544" s="9"/>
      <c r="B9544" s="15"/>
      <c r="C9544" s="9">
        <f>IFERROR(__xludf.DUMMYFUNCTION("""COMPUTED_VALUE"""),45043.9354523726)</f>
        <v>45043.93545</v>
      </c>
      <c r="D9544" s="15">
        <f>IFERROR(__xludf.DUMMYFUNCTION("""COMPUTED_VALUE"""),1.03)</f>
        <v>1.03</v>
      </c>
      <c r="E9544" s="16">
        <f>IFERROR(__xludf.DUMMYFUNCTION("""COMPUTED_VALUE"""),64.0)</f>
        <v>64</v>
      </c>
      <c r="F9544" s="19" t="str">
        <f>IFERROR(__xludf.DUMMYFUNCTION("""COMPUTED_VALUE"""),"BLACK")</f>
        <v>BLACK</v>
      </c>
      <c r="G9544" s="20" t="str">
        <f>IFERROR(__xludf.DUMMYFUNCTION("""COMPUTED_VALUE"""),"Uncle Sams Cider (04/04/2023)")</f>
        <v>Uncle Sams Cider (04/04/2023)</v>
      </c>
      <c r="H9544" s="19"/>
    </row>
    <row r="9545">
      <c r="A9545" s="9"/>
      <c r="B9545" s="15"/>
      <c r="C9545" s="9">
        <f>IFERROR(__xludf.DUMMYFUNCTION("""COMPUTED_VALUE"""),45043.9250316551)</f>
        <v>45043.92503</v>
      </c>
      <c r="D9545" s="15">
        <f>IFERROR(__xludf.DUMMYFUNCTION("""COMPUTED_VALUE"""),1.03)</f>
        <v>1.03</v>
      </c>
      <c r="E9545" s="16">
        <f>IFERROR(__xludf.DUMMYFUNCTION("""COMPUTED_VALUE"""),64.0)</f>
        <v>64</v>
      </c>
      <c r="F9545" s="19" t="str">
        <f>IFERROR(__xludf.DUMMYFUNCTION("""COMPUTED_VALUE"""),"BLACK")</f>
        <v>BLACK</v>
      </c>
      <c r="G9545" s="20" t="str">
        <f>IFERROR(__xludf.DUMMYFUNCTION("""COMPUTED_VALUE"""),"Uncle Sams Cider (04/04/2023)")</f>
        <v>Uncle Sams Cider (04/04/2023)</v>
      </c>
      <c r="H9545" s="19"/>
    </row>
    <row r="9546">
      <c r="A9546" s="9"/>
      <c r="B9546" s="15"/>
      <c r="C9546" s="9">
        <f>IFERROR(__xludf.DUMMYFUNCTION("""COMPUTED_VALUE"""),45043.9145982986)</f>
        <v>45043.9146</v>
      </c>
      <c r="D9546" s="15">
        <f>IFERROR(__xludf.DUMMYFUNCTION("""COMPUTED_VALUE"""),1.03)</f>
        <v>1.03</v>
      </c>
      <c r="E9546" s="16">
        <f>IFERROR(__xludf.DUMMYFUNCTION("""COMPUTED_VALUE"""),64.0)</f>
        <v>64</v>
      </c>
      <c r="F9546" s="19" t="str">
        <f>IFERROR(__xludf.DUMMYFUNCTION("""COMPUTED_VALUE"""),"BLACK")</f>
        <v>BLACK</v>
      </c>
      <c r="G9546" s="20" t="str">
        <f>IFERROR(__xludf.DUMMYFUNCTION("""COMPUTED_VALUE"""),"Uncle Sams Cider (04/04/2023)")</f>
        <v>Uncle Sams Cider (04/04/2023)</v>
      </c>
      <c r="H9546" s="19"/>
    </row>
    <row r="9547">
      <c r="A9547" s="9"/>
      <c r="B9547" s="15"/>
      <c r="C9547" s="9">
        <f>IFERROR(__xludf.DUMMYFUNCTION("""COMPUTED_VALUE"""),45043.9041763078)</f>
        <v>45043.90418</v>
      </c>
      <c r="D9547" s="15">
        <f>IFERROR(__xludf.DUMMYFUNCTION("""COMPUTED_VALUE"""),1.03)</f>
        <v>1.03</v>
      </c>
      <c r="E9547" s="16">
        <f>IFERROR(__xludf.DUMMYFUNCTION("""COMPUTED_VALUE"""),64.0)</f>
        <v>64</v>
      </c>
      <c r="F9547" s="19" t="str">
        <f>IFERROR(__xludf.DUMMYFUNCTION("""COMPUTED_VALUE"""),"BLACK")</f>
        <v>BLACK</v>
      </c>
      <c r="G9547" s="20" t="str">
        <f>IFERROR(__xludf.DUMMYFUNCTION("""COMPUTED_VALUE"""),"Uncle Sams Cider (04/04/2023)")</f>
        <v>Uncle Sams Cider (04/04/2023)</v>
      </c>
      <c r="H9547" s="19"/>
    </row>
    <row r="9548">
      <c r="A9548" s="9"/>
      <c r="B9548" s="15"/>
      <c r="C9548" s="9">
        <f>IFERROR(__xludf.DUMMYFUNCTION("""COMPUTED_VALUE"""),45043.8937542129)</f>
        <v>45043.89375</v>
      </c>
      <c r="D9548" s="15">
        <f>IFERROR(__xludf.DUMMYFUNCTION("""COMPUTED_VALUE"""),1.03)</f>
        <v>1.03</v>
      </c>
      <c r="E9548" s="16">
        <f>IFERROR(__xludf.DUMMYFUNCTION("""COMPUTED_VALUE"""),64.0)</f>
        <v>64</v>
      </c>
      <c r="F9548" s="19" t="str">
        <f>IFERROR(__xludf.DUMMYFUNCTION("""COMPUTED_VALUE"""),"BLACK")</f>
        <v>BLACK</v>
      </c>
      <c r="G9548" s="20" t="str">
        <f>IFERROR(__xludf.DUMMYFUNCTION("""COMPUTED_VALUE"""),"Uncle Sams Cider (04/04/2023)")</f>
        <v>Uncle Sams Cider (04/04/2023)</v>
      </c>
      <c r="H9548" s="19"/>
    </row>
    <row r="9549">
      <c r="A9549" s="9"/>
      <c r="B9549" s="15"/>
      <c r="C9549" s="9">
        <f>IFERROR(__xludf.DUMMYFUNCTION("""COMPUTED_VALUE"""),45043.8833327662)</f>
        <v>45043.88333</v>
      </c>
      <c r="D9549" s="15">
        <f>IFERROR(__xludf.DUMMYFUNCTION("""COMPUTED_VALUE"""),1.03)</f>
        <v>1.03</v>
      </c>
      <c r="E9549" s="16">
        <f>IFERROR(__xludf.DUMMYFUNCTION("""COMPUTED_VALUE"""),64.0)</f>
        <v>64</v>
      </c>
      <c r="F9549" s="19" t="str">
        <f>IFERROR(__xludf.DUMMYFUNCTION("""COMPUTED_VALUE"""),"BLACK")</f>
        <v>BLACK</v>
      </c>
      <c r="G9549" s="20" t="str">
        <f>IFERROR(__xludf.DUMMYFUNCTION("""COMPUTED_VALUE"""),"Uncle Sams Cider (04/04/2023)")</f>
        <v>Uncle Sams Cider (04/04/2023)</v>
      </c>
      <c r="H9549" s="19"/>
    </row>
    <row r="9550">
      <c r="A9550" s="9"/>
      <c r="B9550" s="15"/>
      <c r="C9550" s="9">
        <f>IFERROR(__xludf.DUMMYFUNCTION("""COMPUTED_VALUE"""),45043.8729106134)</f>
        <v>45043.87291</v>
      </c>
      <c r="D9550" s="15">
        <f>IFERROR(__xludf.DUMMYFUNCTION("""COMPUTED_VALUE"""),1.03)</f>
        <v>1.03</v>
      </c>
      <c r="E9550" s="16">
        <f>IFERROR(__xludf.DUMMYFUNCTION("""COMPUTED_VALUE"""),64.0)</f>
        <v>64</v>
      </c>
      <c r="F9550" s="19" t="str">
        <f>IFERROR(__xludf.DUMMYFUNCTION("""COMPUTED_VALUE"""),"BLACK")</f>
        <v>BLACK</v>
      </c>
      <c r="G9550" s="20" t="str">
        <f>IFERROR(__xludf.DUMMYFUNCTION("""COMPUTED_VALUE"""),"Uncle Sams Cider (04/04/2023)")</f>
        <v>Uncle Sams Cider (04/04/2023)</v>
      </c>
      <c r="H9550" s="19"/>
    </row>
    <row r="9551">
      <c r="A9551" s="9"/>
      <c r="B9551" s="15"/>
      <c r="C9551" s="9">
        <f>IFERROR(__xludf.DUMMYFUNCTION("""COMPUTED_VALUE"""),45043.8624878587)</f>
        <v>45043.86249</v>
      </c>
      <c r="D9551" s="15">
        <f>IFERROR(__xludf.DUMMYFUNCTION("""COMPUTED_VALUE"""),1.03)</f>
        <v>1.03</v>
      </c>
      <c r="E9551" s="16">
        <f>IFERROR(__xludf.DUMMYFUNCTION("""COMPUTED_VALUE"""),64.0)</f>
        <v>64</v>
      </c>
      <c r="F9551" s="19" t="str">
        <f>IFERROR(__xludf.DUMMYFUNCTION("""COMPUTED_VALUE"""),"BLACK")</f>
        <v>BLACK</v>
      </c>
      <c r="G9551" s="20" t="str">
        <f>IFERROR(__xludf.DUMMYFUNCTION("""COMPUTED_VALUE"""),"Uncle Sams Cider (04/04/2023)")</f>
        <v>Uncle Sams Cider (04/04/2023)</v>
      </c>
      <c r="H9551" s="19"/>
    </row>
    <row r="9552">
      <c r="A9552" s="9"/>
      <c r="B9552" s="15"/>
      <c r="C9552" s="9">
        <f>IFERROR(__xludf.DUMMYFUNCTION("""COMPUTED_VALUE"""),45043.8520561111)</f>
        <v>45043.85206</v>
      </c>
      <c r="D9552" s="15">
        <f>IFERROR(__xludf.DUMMYFUNCTION("""COMPUTED_VALUE"""),1.03)</f>
        <v>1.03</v>
      </c>
      <c r="E9552" s="16">
        <f>IFERROR(__xludf.DUMMYFUNCTION("""COMPUTED_VALUE"""),64.0)</f>
        <v>64</v>
      </c>
      <c r="F9552" s="19" t="str">
        <f>IFERROR(__xludf.DUMMYFUNCTION("""COMPUTED_VALUE"""),"BLACK")</f>
        <v>BLACK</v>
      </c>
      <c r="G9552" s="20" t="str">
        <f>IFERROR(__xludf.DUMMYFUNCTION("""COMPUTED_VALUE"""),"Uncle Sams Cider (04/04/2023)")</f>
        <v>Uncle Sams Cider (04/04/2023)</v>
      </c>
      <c r="H9552" s="19"/>
    </row>
    <row r="9553">
      <c r="A9553" s="9"/>
      <c r="B9553" s="15"/>
      <c r="C9553" s="9">
        <f>IFERROR(__xludf.DUMMYFUNCTION("""COMPUTED_VALUE"""),45043.8416231018)</f>
        <v>45043.84162</v>
      </c>
      <c r="D9553" s="15">
        <f>IFERROR(__xludf.DUMMYFUNCTION("""COMPUTED_VALUE"""),1.03)</f>
        <v>1.03</v>
      </c>
      <c r="E9553" s="16">
        <f>IFERROR(__xludf.DUMMYFUNCTION("""COMPUTED_VALUE"""),64.0)</f>
        <v>64</v>
      </c>
      <c r="F9553" s="19" t="str">
        <f>IFERROR(__xludf.DUMMYFUNCTION("""COMPUTED_VALUE"""),"BLACK")</f>
        <v>BLACK</v>
      </c>
      <c r="G9553" s="20" t="str">
        <f>IFERROR(__xludf.DUMMYFUNCTION("""COMPUTED_VALUE"""),"Uncle Sams Cider (04/04/2023)")</f>
        <v>Uncle Sams Cider (04/04/2023)</v>
      </c>
      <c r="H9553" s="19"/>
    </row>
    <row r="9554">
      <c r="A9554" s="9"/>
      <c r="B9554" s="15"/>
      <c r="C9554" s="9">
        <f>IFERROR(__xludf.DUMMYFUNCTION("""COMPUTED_VALUE"""),45043.8312009606)</f>
        <v>45043.8312</v>
      </c>
      <c r="D9554" s="15">
        <f>IFERROR(__xludf.DUMMYFUNCTION("""COMPUTED_VALUE"""),1.03)</f>
        <v>1.03</v>
      </c>
      <c r="E9554" s="16">
        <f>IFERROR(__xludf.DUMMYFUNCTION("""COMPUTED_VALUE"""),64.0)</f>
        <v>64</v>
      </c>
      <c r="F9554" s="19" t="str">
        <f>IFERROR(__xludf.DUMMYFUNCTION("""COMPUTED_VALUE"""),"BLACK")</f>
        <v>BLACK</v>
      </c>
      <c r="G9554" s="20" t="str">
        <f>IFERROR(__xludf.DUMMYFUNCTION("""COMPUTED_VALUE"""),"Uncle Sams Cider (04/04/2023)")</f>
        <v>Uncle Sams Cider (04/04/2023)</v>
      </c>
      <c r="H9554" s="19"/>
    </row>
    <row r="9555">
      <c r="A9555" s="9"/>
      <c r="B9555" s="15"/>
      <c r="C9555" s="9">
        <f>IFERROR(__xludf.DUMMYFUNCTION("""COMPUTED_VALUE"""),45043.8207786226)</f>
        <v>45043.82078</v>
      </c>
      <c r="D9555" s="15">
        <f>IFERROR(__xludf.DUMMYFUNCTION("""COMPUTED_VALUE"""),1.03)</f>
        <v>1.03</v>
      </c>
      <c r="E9555" s="16">
        <f>IFERROR(__xludf.DUMMYFUNCTION("""COMPUTED_VALUE"""),64.0)</f>
        <v>64</v>
      </c>
      <c r="F9555" s="19" t="str">
        <f>IFERROR(__xludf.DUMMYFUNCTION("""COMPUTED_VALUE"""),"BLACK")</f>
        <v>BLACK</v>
      </c>
      <c r="G9555" s="20" t="str">
        <f>IFERROR(__xludf.DUMMYFUNCTION("""COMPUTED_VALUE"""),"Uncle Sams Cider (04/04/2023)")</f>
        <v>Uncle Sams Cider (04/04/2023)</v>
      </c>
      <c r="H9555" s="19"/>
    </row>
    <row r="9556">
      <c r="A9556" s="9"/>
      <c r="B9556" s="15"/>
      <c r="C9556" s="9">
        <f>IFERROR(__xludf.DUMMYFUNCTION("""COMPUTED_VALUE"""),45043.8103571643)</f>
        <v>45043.81036</v>
      </c>
      <c r="D9556" s="15">
        <f>IFERROR(__xludf.DUMMYFUNCTION("""COMPUTED_VALUE"""),1.03)</f>
        <v>1.03</v>
      </c>
      <c r="E9556" s="16">
        <f>IFERROR(__xludf.DUMMYFUNCTION("""COMPUTED_VALUE"""),64.0)</f>
        <v>64</v>
      </c>
      <c r="F9556" s="19" t="str">
        <f>IFERROR(__xludf.DUMMYFUNCTION("""COMPUTED_VALUE"""),"BLACK")</f>
        <v>BLACK</v>
      </c>
      <c r="G9556" s="20" t="str">
        <f>IFERROR(__xludf.DUMMYFUNCTION("""COMPUTED_VALUE"""),"Uncle Sams Cider (04/04/2023)")</f>
        <v>Uncle Sams Cider (04/04/2023)</v>
      </c>
      <c r="H9556" s="19"/>
    </row>
    <row r="9557">
      <c r="A9557" s="9"/>
      <c r="B9557" s="15"/>
      <c r="C9557" s="9">
        <f>IFERROR(__xludf.DUMMYFUNCTION("""COMPUTED_VALUE"""),45043.7999242245)</f>
        <v>45043.79992</v>
      </c>
      <c r="D9557" s="15">
        <f>IFERROR(__xludf.DUMMYFUNCTION("""COMPUTED_VALUE"""),1.03)</f>
        <v>1.03</v>
      </c>
      <c r="E9557" s="16">
        <f>IFERROR(__xludf.DUMMYFUNCTION("""COMPUTED_VALUE"""),64.0)</f>
        <v>64</v>
      </c>
      <c r="F9557" s="19" t="str">
        <f>IFERROR(__xludf.DUMMYFUNCTION("""COMPUTED_VALUE"""),"BLACK")</f>
        <v>BLACK</v>
      </c>
      <c r="G9557" s="20" t="str">
        <f>IFERROR(__xludf.DUMMYFUNCTION("""COMPUTED_VALUE"""),"Uncle Sams Cider (04/04/2023)")</f>
        <v>Uncle Sams Cider (04/04/2023)</v>
      </c>
      <c r="H9557" s="19"/>
    </row>
    <row r="9558">
      <c r="A9558" s="9"/>
      <c r="B9558" s="15"/>
      <c r="C9558" s="9">
        <f>IFERROR(__xludf.DUMMYFUNCTION("""COMPUTED_VALUE"""),45043.7895032986)</f>
        <v>45043.7895</v>
      </c>
      <c r="D9558" s="15">
        <f>IFERROR(__xludf.DUMMYFUNCTION("""COMPUTED_VALUE"""),1.03)</f>
        <v>1.03</v>
      </c>
      <c r="E9558" s="16">
        <f>IFERROR(__xludf.DUMMYFUNCTION("""COMPUTED_VALUE"""),64.0)</f>
        <v>64</v>
      </c>
      <c r="F9558" s="19" t="str">
        <f>IFERROR(__xludf.DUMMYFUNCTION("""COMPUTED_VALUE"""),"BLACK")</f>
        <v>BLACK</v>
      </c>
      <c r="G9558" s="20" t="str">
        <f>IFERROR(__xludf.DUMMYFUNCTION("""COMPUTED_VALUE"""),"Uncle Sams Cider (04/04/2023)")</f>
        <v>Uncle Sams Cider (04/04/2023)</v>
      </c>
      <c r="H9558" s="19"/>
    </row>
    <row r="9559">
      <c r="A9559" s="9"/>
      <c r="B9559" s="15"/>
      <c r="C9559" s="9">
        <f>IFERROR(__xludf.DUMMYFUNCTION("""COMPUTED_VALUE"""),45043.7790812037)</f>
        <v>45043.77908</v>
      </c>
      <c r="D9559" s="15">
        <f>IFERROR(__xludf.DUMMYFUNCTION("""COMPUTED_VALUE"""),1.03)</f>
        <v>1.03</v>
      </c>
      <c r="E9559" s="16">
        <f>IFERROR(__xludf.DUMMYFUNCTION("""COMPUTED_VALUE"""),64.0)</f>
        <v>64</v>
      </c>
      <c r="F9559" s="19" t="str">
        <f>IFERROR(__xludf.DUMMYFUNCTION("""COMPUTED_VALUE"""),"BLACK")</f>
        <v>BLACK</v>
      </c>
      <c r="G9559" s="20" t="str">
        <f>IFERROR(__xludf.DUMMYFUNCTION("""COMPUTED_VALUE"""),"Uncle Sams Cider (04/04/2023)")</f>
        <v>Uncle Sams Cider (04/04/2023)</v>
      </c>
      <c r="H9559" s="19"/>
    </row>
    <row r="9560">
      <c r="A9560" s="9"/>
      <c r="B9560" s="15"/>
      <c r="C9560" s="9">
        <f>IFERROR(__xludf.DUMMYFUNCTION("""COMPUTED_VALUE"""),45043.7686356134)</f>
        <v>45043.76864</v>
      </c>
      <c r="D9560" s="15">
        <f>IFERROR(__xludf.DUMMYFUNCTION("""COMPUTED_VALUE"""),1.03)</f>
        <v>1.03</v>
      </c>
      <c r="E9560" s="16">
        <f>IFERROR(__xludf.DUMMYFUNCTION("""COMPUTED_VALUE"""),64.0)</f>
        <v>64</v>
      </c>
      <c r="F9560" s="19" t="str">
        <f>IFERROR(__xludf.DUMMYFUNCTION("""COMPUTED_VALUE"""),"BLACK")</f>
        <v>BLACK</v>
      </c>
      <c r="G9560" s="20" t="str">
        <f>IFERROR(__xludf.DUMMYFUNCTION("""COMPUTED_VALUE"""),"Uncle Sams Cider (04/04/2023)")</f>
        <v>Uncle Sams Cider (04/04/2023)</v>
      </c>
      <c r="H9560" s="19"/>
    </row>
    <row r="9561">
      <c r="A9561" s="9"/>
      <c r="B9561" s="15"/>
      <c r="C9561" s="9">
        <f>IFERROR(__xludf.DUMMYFUNCTION("""COMPUTED_VALUE"""),45043.7582143055)</f>
        <v>45043.75821</v>
      </c>
      <c r="D9561" s="15">
        <f>IFERROR(__xludf.DUMMYFUNCTION("""COMPUTED_VALUE"""),1.03)</f>
        <v>1.03</v>
      </c>
      <c r="E9561" s="16">
        <f>IFERROR(__xludf.DUMMYFUNCTION("""COMPUTED_VALUE"""),64.0)</f>
        <v>64</v>
      </c>
      <c r="F9561" s="19" t="str">
        <f>IFERROR(__xludf.DUMMYFUNCTION("""COMPUTED_VALUE"""),"BLACK")</f>
        <v>BLACK</v>
      </c>
      <c r="G9561" s="20" t="str">
        <f>IFERROR(__xludf.DUMMYFUNCTION("""COMPUTED_VALUE"""),"Uncle Sams Cider (04/04/2023)")</f>
        <v>Uncle Sams Cider (04/04/2023)</v>
      </c>
      <c r="H9561" s="19"/>
    </row>
    <row r="9562">
      <c r="A9562" s="9"/>
      <c r="B9562" s="15"/>
      <c r="C9562" s="9">
        <f>IFERROR(__xludf.DUMMYFUNCTION("""COMPUTED_VALUE"""),45043.7477935069)</f>
        <v>45043.74779</v>
      </c>
      <c r="D9562" s="15">
        <f>IFERROR(__xludf.DUMMYFUNCTION("""COMPUTED_VALUE"""),1.03)</f>
        <v>1.03</v>
      </c>
      <c r="E9562" s="16">
        <f>IFERROR(__xludf.DUMMYFUNCTION("""COMPUTED_VALUE"""),64.0)</f>
        <v>64</v>
      </c>
      <c r="F9562" s="19" t="str">
        <f>IFERROR(__xludf.DUMMYFUNCTION("""COMPUTED_VALUE"""),"BLACK")</f>
        <v>BLACK</v>
      </c>
      <c r="G9562" s="20" t="str">
        <f>IFERROR(__xludf.DUMMYFUNCTION("""COMPUTED_VALUE"""),"Uncle Sams Cider (04/04/2023)")</f>
        <v>Uncle Sams Cider (04/04/2023)</v>
      </c>
      <c r="H9562" s="19"/>
    </row>
    <row r="9563">
      <c r="A9563" s="9"/>
      <c r="B9563" s="15"/>
      <c r="C9563" s="9">
        <f>IFERROR(__xludf.DUMMYFUNCTION("""COMPUTED_VALUE"""),45043.7373729398)</f>
        <v>45043.73737</v>
      </c>
      <c r="D9563" s="15">
        <f>IFERROR(__xludf.DUMMYFUNCTION("""COMPUTED_VALUE"""),1.03)</f>
        <v>1.03</v>
      </c>
      <c r="E9563" s="16">
        <f>IFERROR(__xludf.DUMMYFUNCTION("""COMPUTED_VALUE"""),64.0)</f>
        <v>64</v>
      </c>
      <c r="F9563" s="19" t="str">
        <f>IFERROR(__xludf.DUMMYFUNCTION("""COMPUTED_VALUE"""),"BLACK")</f>
        <v>BLACK</v>
      </c>
      <c r="G9563" s="20" t="str">
        <f>IFERROR(__xludf.DUMMYFUNCTION("""COMPUTED_VALUE"""),"Uncle Sams Cider (04/04/2023)")</f>
        <v>Uncle Sams Cider (04/04/2023)</v>
      </c>
      <c r="H9563" s="19"/>
    </row>
    <row r="9564">
      <c r="A9564" s="9"/>
      <c r="B9564" s="15"/>
      <c r="C9564" s="9">
        <f>IFERROR(__xludf.DUMMYFUNCTION("""COMPUTED_VALUE"""),45043.7269528819)</f>
        <v>45043.72695</v>
      </c>
      <c r="D9564" s="15">
        <f>IFERROR(__xludf.DUMMYFUNCTION("""COMPUTED_VALUE"""),1.03)</f>
        <v>1.03</v>
      </c>
      <c r="E9564" s="16">
        <f>IFERROR(__xludf.DUMMYFUNCTION("""COMPUTED_VALUE"""),64.0)</f>
        <v>64</v>
      </c>
      <c r="F9564" s="19" t="str">
        <f>IFERROR(__xludf.DUMMYFUNCTION("""COMPUTED_VALUE"""),"BLACK")</f>
        <v>BLACK</v>
      </c>
      <c r="G9564" s="20" t="str">
        <f>IFERROR(__xludf.DUMMYFUNCTION("""COMPUTED_VALUE"""),"Uncle Sams Cider (04/04/2023)")</f>
        <v>Uncle Sams Cider (04/04/2023)</v>
      </c>
      <c r="H9564" s="19"/>
    </row>
    <row r="9565">
      <c r="A9565" s="9"/>
      <c r="B9565" s="15"/>
      <c r="C9565" s="9">
        <f>IFERROR(__xludf.DUMMYFUNCTION("""COMPUTED_VALUE"""),45043.7165309837)</f>
        <v>45043.71653</v>
      </c>
      <c r="D9565" s="15">
        <f>IFERROR(__xludf.DUMMYFUNCTION("""COMPUTED_VALUE"""),1.03)</f>
        <v>1.03</v>
      </c>
      <c r="E9565" s="16">
        <f>IFERROR(__xludf.DUMMYFUNCTION("""COMPUTED_VALUE"""),64.0)</f>
        <v>64</v>
      </c>
      <c r="F9565" s="19" t="str">
        <f>IFERROR(__xludf.DUMMYFUNCTION("""COMPUTED_VALUE"""),"BLACK")</f>
        <v>BLACK</v>
      </c>
      <c r="G9565" s="20" t="str">
        <f>IFERROR(__xludf.DUMMYFUNCTION("""COMPUTED_VALUE"""),"Uncle Sams Cider (04/04/2023)")</f>
        <v>Uncle Sams Cider (04/04/2023)</v>
      </c>
      <c r="H9565" s="19"/>
    </row>
    <row r="9566">
      <c r="A9566" s="9"/>
      <c r="B9566" s="15"/>
      <c r="C9566" s="9">
        <f>IFERROR(__xludf.DUMMYFUNCTION("""COMPUTED_VALUE"""),45043.7061098726)</f>
        <v>45043.70611</v>
      </c>
      <c r="D9566" s="15">
        <f>IFERROR(__xludf.DUMMYFUNCTION("""COMPUTED_VALUE"""),1.03)</f>
        <v>1.03</v>
      </c>
      <c r="E9566" s="16">
        <f>IFERROR(__xludf.DUMMYFUNCTION("""COMPUTED_VALUE"""),64.0)</f>
        <v>64</v>
      </c>
      <c r="F9566" s="19" t="str">
        <f>IFERROR(__xludf.DUMMYFUNCTION("""COMPUTED_VALUE"""),"BLACK")</f>
        <v>BLACK</v>
      </c>
      <c r="G9566" s="20" t="str">
        <f>IFERROR(__xludf.DUMMYFUNCTION("""COMPUTED_VALUE"""),"Uncle Sams Cider (04/04/2023)")</f>
        <v>Uncle Sams Cider (04/04/2023)</v>
      </c>
      <c r="H9566" s="19"/>
    </row>
    <row r="9567">
      <c r="A9567" s="9"/>
      <c r="B9567" s="15"/>
      <c r="C9567" s="9">
        <f>IFERROR(__xludf.DUMMYFUNCTION("""COMPUTED_VALUE"""),45043.695689537)</f>
        <v>45043.69569</v>
      </c>
      <c r="D9567" s="15">
        <f>IFERROR(__xludf.DUMMYFUNCTION("""COMPUTED_VALUE"""),1.03)</f>
        <v>1.03</v>
      </c>
      <c r="E9567" s="16">
        <f>IFERROR(__xludf.DUMMYFUNCTION("""COMPUTED_VALUE"""),64.0)</f>
        <v>64</v>
      </c>
      <c r="F9567" s="19" t="str">
        <f>IFERROR(__xludf.DUMMYFUNCTION("""COMPUTED_VALUE"""),"BLACK")</f>
        <v>BLACK</v>
      </c>
      <c r="G9567" s="20" t="str">
        <f>IFERROR(__xludf.DUMMYFUNCTION("""COMPUTED_VALUE"""),"Uncle Sams Cider (04/04/2023)")</f>
        <v>Uncle Sams Cider (04/04/2023)</v>
      </c>
      <c r="H9567" s="19"/>
    </row>
    <row r="9568">
      <c r="A9568" s="9"/>
      <c r="B9568" s="15"/>
      <c r="C9568" s="9">
        <f>IFERROR(__xludf.DUMMYFUNCTION("""COMPUTED_VALUE"""),45043.6852674652)</f>
        <v>45043.68527</v>
      </c>
      <c r="D9568" s="15">
        <f>IFERROR(__xludf.DUMMYFUNCTION("""COMPUTED_VALUE"""),1.03)</f>
        <v>1.03</v>
      </c>
      <c r="E9568" s="16">
        <f>IFERROR(__xludf.DUMMYFUNCTION("""COMPUTED_VALUE"""),64.0)</f>
        <v>64</v>
      </c>
      <c r="F9568" s="19" t="str">
        <f>IFERROR(__xludf.DUMMYFUNCTION("""COMPUTED_VALUE"""),"BLACK")</f>
        <v>BLACK</v>
      </c>
      <c r="G9568" s="20" t="str">
        <f>IFERROR(__xludf.DUMMYFUNCTION("""COMPUTED_VALUE"""),"Uncle Sams Cider (04/04/2023)")</f>
        <v>Uncle Sams Cider (04/04/2023)</v>
      </c>
      <c r="H9568" s="19"/>
    </row>
    <row r="9569">
      <c r="A9569" s="9"/>
      <c r="B9569" s="15"/>
      <c r="C9569" s="9">
        <f>IFERROR(__xludf.DUMMYFUNCTION("""COMPUTED_VALUE"""),45043.6748101273)</f>
        <v>45043.67481</v>
      </c>
      <c r="D9569" s="15">
        <f>IFERROR(__xludf.DUMMYFUNCTION("""COMPUTED_VALUE"""),1.03)</f>
        <v>1.03</v>
      </c>
      <c r="E9569" s="16">
        <f>IFERROR(__xludf.DUMMYFUNCTION("""COMPUTED_VALUE"""),64.0)</f>
        <v>64</v>
      </c>
      <c r="F9569" s="19" t="str">
        <f>IFERROR(__xludf.DUMMYFUNCTION("""COMPUTED_VALUE"""),"BLACK")</f>
        <v>BLACK</v>
      </c>
      <c r="G9569" s="20" t="str">
        <f>IFERROR(__xludf.DUMMYFUNCTION("""COMPUTED_VALUE"""),"Uncle Sams Cider (04/04/2023)")</f>
        <v>Uncle Sams Cider (04/04/2023)</v>
      </c>
      <c r="H9569" s="19"/>
    </row>
    <row r="9570">
      <c r="A9570" s="9"/>
      <c r="B9570" s="15"/>
      <c r="C9570" s="9">
        <f>IFERROR(__xludf.DUMMYFUNCTION("""COMPUTED_VALUE"""),45043.6643894791)</f>
        <v>45043.66439</v>
      </c>
      <c r="D9570" s="15">
        <f>IFERROR(__xludf.DUMMYFUNCTION("""COMPUTED_VALUE"""),1.03)</f>
        <v>1.03</v>
      </c>
      <c r="E9570" s="16">
        <f>IFERROR(__xludf.DUMMYFUNCTION("""COMPUTED_VALUE"""),64.0)</f>
        <v>64</v>
      </c>
      <c r="F9570" s="19" t="str">
        <f>IFERROR(__xludf.DUMMYFUNCTION("""COMPUTED_VALUE"""),"BLACK")</f>
        <v>BLACK</v>
      </c>
      <c r="G9570" s="20" t="str">
        <f>IFERROR(__xludf.DUMMYFUNCTION("""COMPUTED_VALUE"""),"Uncle Sams Cider (04/04/2023)")</f>
        <v>Uncle Sams Cider (04/04/2023)</v>
      </c>
      <c r="H9570" s="19"/>
    </row>
    <row r="9571">
      <c r="A9571" s="9"/>
      <c r="B9571" s="15"/>
      <c r="C9571" s="9">
        <f>IFERROR(__xludf.DUMMYFUNCTION("""COMPUTED_VALUE"""),45043.6539698726)</f>
        <v>45043.65397</v>
      </c>
      <c r="D9571" s="15">
        <f>IFERROR(__xludf.DUMMYFUNCTION("""COMPUTED_VALUE"""),1.03)</f>
        <v>1.03</v>
      </c>
      <c r="E9571" s="16">
        <f>IFERROR(__xludf.DUMMYFUNCTION("""COMPUTED_VALUE"""),64.0)</f>
        <v>64</v>
      </c>
      <c r="F9571" s="19" t="str">
        <f>IFERROR(__xludf.DUMMYFUNCTION("""COMPUTED_VALUE"""),"BLACK")</f>
        <v>BLACK</v>
      </c>
      <c r="G9571" s="20" t="str">
        <f>IFERROR(__xludf.DUMMYFUNCTION("""COMPUTED_VALUE"""),"Uncle Sams Cider (04/04/2023)")</f>
        <v>Uncle Sams Cider (04/04/2023)</v>
      </c>
      <c r="H9571" s="19"/>
    </row>
    <row r="9572">
      <c r="A9572" s="9"/>
      <c r="B9572" s="15"/>
      <c r="C9572" s="9">
        <f>IFERROR(__xludf.DUMMYFUNCTION("""COMPUTED_VALUE"""),45043.6435373495)</f>
        <v>45043.64354</v>
      </c>
      <c r="D9572" s="15">
        <f>IFERROR(__xludf.DUMMYFUNCTION("""COMPUTED_VALUE"""),1.03)</f>
        <v>1.03</v>
      </c>
      <c r="E9572" s="16">
        <f>IFERROR(__xludf.DUMMYFUNCTION("""COMPUTED_VALUE"""),64.0)</f>
        <v>64</v>
      </c>
      <c r="F9572" s="19" t="str">
        <f>IFERROR(__xludf.DUMMYFUNCTION("""COMPUTED_VALUE"""),"BLACK")</f>
        <v>BLACK</v>
      </c>
      <c r="G9572" s="20" t="str">
        <f>IFERROR(__xludf.DUMMYFUNCTION("""COMPUTED_VALUE"""),"Uncle Sams Cider (04/04/2023)")</f>
        <v>Uncle Sams Cider (04/04/2023)</v>
      </c>
      <c r="H9572" s="19"/>
    </row>
    <row r="9573">
      <c r="A9573" s="9"/>
      <c r="B9573" s="15"/>
      <c r="C9573" s="9">
        <f>IFERROR(__xludf.DUMMYFUNCTION("""COMPUTED_VALUE"""),45043.6331156481)</f>
        <v>45043.63312</v>
      </c>
      <c r="D9573" s="15">
        <f>IFERROR(__xludf.DUMMYFUNCTION("""COMPUTED_VALUE"""),1.03)</f>
        <v>1.03</v>
      </c>
      <c r="E9573" s="16">
        <f>IFERROR(__xludf.DUMMYFUNCTION("""COMPUTED_VALUE"""),64.0)</f>
        <v>64</v>
      </c>
      <c r="F9573" s="19" t="str">
        <f>IFERROR(__xludf.DUMMYFUNCTION("""COMPUTED_VALUE"""),"BLACK")</f>
        <v>BLACK</v>
      </c>
      <c r="G9573" s="20" t="str">
        <f>IFERROR(__xludf.DUMMYFUNCTION("""COMPUTED_VALUE"""),"Uncle Sams Cider (04/04/2023)")</f>
        <v>Uncle Sams Cider (04/04/2023)</v>
      </c>
      <c r="H9573" s="19"/>
    </row>
    <row r="9574">
      <c r="A9574" s="9"/>
      <c r="B9574" s="15"/>
      <c r="C9574" s="9">
        <f>IFERROR(__xludf.DUMMYFUNCTION("""COMPUTED_VALUE"""),45043.6226467476)</f>
        <v>45043.62265</v>
      </c>
      <c r="D9574" s="15">
        <f>IFERROR(__xludf.DUMMYFUNCTION("""COMPUTED_VALUE"""),1.03)</f>
        <v>1.03</v>
      </c>
      <c r="E9574" s="16">
        <f>IFERROR(__xludf.DUMMYFUNCTION("""COMPUTED_VALUE"""),64.0)</f>
        <v>64</v>
      </c>
      <c r="F9574" s="19" t="str">
        <f>IFERROR(__xludf.DUMMYFUNCTION("""COMPUTED_VALUE"""),"BLACK")</f>
        <v>BLACK</v>
      </c>
      <c r="G9574" s="20" t="str">
        <f>IFERROR(__xludf.DUMMYFUNCTION("""COMPUTED_VALUE"""),"Uncle Sams Cider (04/04/2023)")</f>
        <v>Uncle Sams Cider (04/04/2023)</v>
      </c>
      <c r="H9574" s="19"/>
    </row>
    <row r="9575">
      <c r="A9575" s="9"/>
      <c r="B9575" s="15"/>
      <c r="C9575" s="9">
        <f>IFERROR(__xludf.DUMMYFUNCTION("""COMPUTED_VALUE"""),45043.6122246064)</f>
        <v>45043.61222</v>
      </c>
      <c r="D9575" s="15">
        <f>IFERROR(__xludf.DUMMYFUNCTION("""COMPUTED_VALUE"""),1.03)</f>
        <v>1.03</v>
      </c>
      <c r="E9575" s="16">
        <f>IFERROR(__xludf.DUMMYFUNCTION("""COMPUTED_VALUE"""),64.0)</f>
        <v>64</v>
      </c>
      <c r="F9575" s="19" t="str">
        <f>IFERROR(__xludf.DUMMYFUNCTION("""COMPUTED_VALUE"""),"BLACK")</f>
        <v>BLACK</v>
      </c>
      <c r="G9575" s="20" t="str">
        <f>IFERROR(__xludf.DUMMYFUNCTION("""COMPUTED_VALUE"""),"Uncle Sams Cider (04/04/2023)")</f>
        <v>Uncle Sams Cider (04/04/2023)</v>
      </c>
      <c r="H9575" s="19"/>
    </row>
    <row r="9576">
      <c r="A9576" s="9"/>
      <c r="B9576" s="15"/>
      <c r="C9576" s="9">
        <f>IFERROR(__xludf.DUMMYFUNCTION("""COMPUTED_VALUE"""),45043.6017810648)</f>
        <v>45043.60178</v>
      </c>
      <c r="D9576" s="15">
        <f>IFERROR(__xludf.DUMMYFUNCTION("""COMPUTED_VALUE"""),1.03)</f>
        <v>1.03</v>
      </c>
      <c r="E9576" s="16">
        <f>IFERROR(__xludf.DUMMYFUNCTION("""COMPUTED_VALUE"""),64.0)</f>
        <v>64</v>
      </c>
      <c r="F9576" s="19" t="str">
        <f>IFERROR(__xludf.DUMMYFUNCTION("""COMPUTED_VALUE"""),"BLACK")</f>
        <v>BLACK</v>
      </c>
      <c r="G9576" s="20" t="str">
        <f>IFERROR(__xludf.DUMMYFUNCTION("""COMPUTED_VALUE"""),"Uncle Sams Cider (04/04/2023)")</f>
        <v>Uncle Sams Cider (04/04/2023)</v>
      </c>
      <c r="H9576" s="19"/>
    </row>
    <row r="9577">
      <c r="A9577" s="9"/>
      <c r="B9577" s="15"/>
      <c r="C9577" s="9">
        <f>IFERROR(__xludf.DUMMYFUNCTION("""COMPUTED_VALUE"""),45043.5913491666)</f>
        <v>45043.59135</v>
      </c>
      <c r="D9577" s="15">
        <f>IFERROR(__xludf.DUMMYFUNCTION("""COMPUTED_VALUE"""),1.03)</f>
        <v>1.03</v>
      </c>
      <c r="E9577" s="16">
        <f>IFERROR(__xludf.DUMMYFUNCTION("""COMPUTED_VALUE"""),64.0)</f>
        <v>64</v>
      </c>
      <c r="F9577" s="19" t="str">
        <f>IFERROR(__xludf.DUMMYFUNCTION("""COMPUTED_VALUE"""),"BLACK")</f>
        <v>BLACK</v>
      </c>
      <c r="G9577" s="20" t="str">
        <f>IFERROR(__xludf.DUMMYFUNCTION("""COMPUTED_VALUE"""),"Uncle Sams Cider (04/04/2023)")</f>
        <v>Uncle Sams Cider (04/04/2023)</v>
      </c>
      <c r="H9577" s="19"/>
    </row>
    <row r="9578">
      <c r="A9578" s="9"/>
      <c r="B9578" s="15"/>
      <c r="C9578" s="9">
        <f>IFERROR(__xludf.DUMMYFUNCTION("""COMPUTED_VALUE"""),45043.5809288194)</f>
        <v>45043.58093</v>
      </c>
      <c r="D9578" s="15">
        <f>IFERROR(__xludf.DUMMYFUNCTION("""COMPUTED_VALUE"""),1.03)</f>
        <v>1.03</v>
      </c>
      <c r="E9578" s="16">
        <f>IFERROR(__xludf.DUMMYFUNCTION("""COMPUTED_VALUE"""),64.0)</f>
        <v>64</v>
      </c>
      <c r="F9578" s="19" t="str">
        <f>IFERROR(__xludf.DUMMYFUNCTION("""COMPUTED_VALUE"""),"BLACK")</f>
        <v>BLACK</v>
      </c>
      <c r="G9578" s="20" t="str">
        <f>IFERROR(__xludf.DUMMYFUNCTION("""COMPUTED_VALUE"""),"Uncle Sams Cider (04/04/2023)")</f>
        <v>Uncle Sams Cider (04/04/2023)</v>
      </c>
      <c r="H9578" s="19"/>
    </row>
    <row r="9579">
      <c r="A9579" s="9"/>
      <c r="B9579" s="15"/>
      <c r="C9579" s="9">
        <f>IFERROR(__xludf.DUMMYFUNCTION("""COMPUTED_VALUE"""),45043.5704964814)</f>
        <v>45043.5705</v>
      </c>
      <c r="D9579" s="15">
        <f>IFERROR(__xludf.DUMMYFUNCTION("""COMPUTED_VALUE"""),1.03)</f>
        <v>1.03</v>
      </c>
      <c r="E9579" s="16">
        <f>IFERROR(__xludf.DUMMYFUNCTION("""COMPUTED_VALUE"""),64.0)</f>
        <v>64</v>
      </c>
      <c r="F9579" s="19" t="str">
        <f>IFERROR(__xludf.DUMMYFUNCTION("""COMPUTED_VALUE"""),"BLACK")</f>
        <v>BLACK</v>
      </c>
      <c r="G9579" s="20" t="str">
        <f>IFERROR(__xludf.DUMMYFUNCTION("""COMPUTED_VALUE"""),"Uncle Sams Cider (04/04/2023)")</f>
        <v>Uncle Sams Cider (04/04/2023)</v>
      </c>
      <c r="H9579" s="19"/>
    </row>
    <row r="9580">
      <c r="A9580" s="9"/>
      <c r="B9580" s="15"/>
      <c r="C9580" s="9">
        <f>IFERROR(__xludf.DUMMYFUNCTION("""COMPUTED_VALUE"""),45043.5600636342)</f>
        <v>45043.56006</v>
      </c>
      <c r="D9580" s="15">
        <f>IFERROR(__xludf.DUMMYFUNCTION("""COMPUTED_VALUE"""),1.03)</f>
        <v>1.03</v>
      </c>
      <c r="E9580" s="16">
        <f>IFERROR(__xludf.DUMMYFUNCTION("""COMPUTED_VALUE"""),64.0)</f>
        <v>64</v>
      </c>
      <c r="F9580" s="19" t="str">
        <f>IFERROR(__xludf.DUMMYFUNCTION("""COMPUTED_VALUE"""),"BLACK")</f>
        <v>BLACK</v>
      </c>
      <c r="G9580" s="20" t="str">
        <f>IFERROR(__xludf.DUMMYFUNCTION("""COMPUTED_VALUE"""),"Uncle Sams Cider (04/04/2023)")</f>
        <v>Uncle Sams Cider (04/04/2023)</v>
      </c>
      <c r="H9580" s="19"/>
    </row>
    <row r="9581">
      <c r="A9581" s="9"/>
      <c r="B9581" s="15"/>
      <c r="C9581" s="9">
        <f>IFERROR(__xludf.DUMMYFUNCTION("""COMPUTED_VALUE"""),45043.5496431828)</f>
        <v>45043.54964</v>
      </c>
      <c r="D9581" s="15">
        <f>IFERROR(__xludf.DUMMYFUNCTION("""COMPUTED_VALUE"""),1.03)</f>
        <v>1.03</v>
      </c>
      <c r="E9581" s="16">
        <f>IFERROR(__xludf.DUMMYFUNCTION("""COMPUTED_VALUE"""),64.0)</f>
        <v>64</v>
      </c>
      <c r="F9581" s="19" t="str">
        <f>IFERROR(__xludf.DUMMYFUNCTION("""COMPUTED_VALUE"""),"BLACK")</f>
        <v>BLACK</v>
      </c>
      <c r="G9581" s="20" t="str">
        <f>IFERROR(__xludf.DUMMYFUNCTION("""COMPUTED_VALUE"""),"Uncle Sams Cider (04/04/2023)")</f>
        <v>Uncle Sams Cider (04/04/2023)</v>
      </c>
      <c r="H9581" s="19"/>
    </row>
    <row r="9582">
      <c r="A9582" s="9"/>
      <c r="B9582" s="15"/>
      <c r="C9582" s="9">
        <f>IFERROR(__xludf.DUMMYFUNCTION("""COMPUTED_VALUE"""),45043.5392227662)</f>
        <v>45043.53922</v>
      </c>
      <c r="D9582" s="15">
        <f>IFERROR(__xludf.DUMMYFUNCTION("""COMPUTED_VALUE"""),1.03)</f>
        <v>1.03</v>
      </c>
      <c r="E9582" s="16">
        <f>IFERROR(__xludf.DUMMYFUNCTION("""COMPUTED_VALUE"""),64.0)</f>
        <v>64</v>
      </c>
      <c r="F9582" s="19" t="str">
        <f>IFERROR(__xludf.DUMMYFUNCTION("""COMPUTED_VALUE"""),"BLACK")</f>
        <v>BLACK</v>
      </c>
      <c r="G9582" s="20" t="str">
        <f>IFERROR(__xludf.DUMMYFUNCTION("""COMPUTED_VALUE"""),"Uncle Sams Cider (04/04/2023)")</f>
        <v>Uncle Sams Cider (04/04/2023)</v>
      </c>
      <c r="H9582" s="19"/>
    </row>
    <row r="9583">
      <c r="A9583" s="9"/>
      <c r="B9583" s="15"/>
      <c r="C9583" s="9">
        <f>IFERROR(__xludf.DUMMYFUNCTION("""COMPUTED_VALUE"""),45043.528766875)</f>
        <v>45043.52877</v>
      </c>
      <c r="D9583" s="15">
        <f>IFERROR(__xludf.DUMMYFUNCTION("""COMPUTED_VALUE"""),1.03)</f>
        <v>1.03</v>
      </c>
      <c r="E9583" s="16">
        <f>IFERROR(__xludf.DUMMYFUNCTION("""COMPUTED_VALUE"""),64.0)</f>
        <v>64</v>
      </c>
      <c r="F9583" s="19" t="str">
        <f>IFERROR(__xludf.DUMMYFUNCTION("""COMPUTED_VALUE"""),"BLACK")</f>
        <v>BLACK</v>
      </c>
      <c r="G9583" s="20" t="str">
        <f>IFERROR(__xludf.DUMMYFUNCTION("""COMPUTED_VALUE"""),"Uncle Sams Cider (04/04/2023)")</f>
        <v>Uncle Sams Cider (04/04/2023)</v>
      </c>
      <c r="H9583" s="19"/>
    </row>
    <row r="9584">
      <c r="A9584" s="9"/>
      <c r="B9584" s="15"/>
      <c r="C9584" s="9">
        <f>IFERROR(__xludf.DUMMYFUNCTION("""COMPUTED_VALUE"""),45043.5183219791)</f>
        <v>45043.51832</v>
      </c>
      <c r="D9584" s="15">
        <f>IFERROR(__xludf.DUMMYFUNCTION("""COMPUTED_VALUE"""),1.03)</f>
        <v>1.03</v>
      </c>
      <c r="E9584" s="16">
        <f>IFERROR(__xludf.DUMMYFUNCTION("""COMPUTED_VALUE"""),64.0)</f>
        <v>64</v>
      </c>
      <c r="F9584" s="19" t="str">
        <f>IFERROR(__xludf.DUMMYFUNCTION("""COMPUTED_VALUE"""),"BLACK")</f>
        <v>BLACK</v>
      </c>
      <c r="G9584" s="20" t="str">
        <f>IFERROR(__xludf.DUMMYFUNCTION("""COMPUTED_VALUE"""),"Uncle Sams Cider (04/04/2023)")</f>
        <v>Uncle Sams Cider (04/04/2023)</v>
      </c>
      <c r="H9584" s="19"/>
    </row>
    <row r="9585">
      <c r="A9585" s="9"/>
      <c r="B9585" s="15"/>
      <c r="C9585" s="9">
        <f>IFERROR(__xludf.DUMMYFUNCTION("""COMPUTED_VALUE"""),45043.5078406828)</f>
        <v>45043.50784</v>
      </c>
      <c r="D9585" s="15">
        <f>IFERROR(__xludf.DUMMYFUNCTION("""COMPUTED_VALUE"""),1.03)</f>
        <v>1.03</v>
      </c>
      <c r="E9585" s="16">
        <f>IFERROR(__xludf.DUMMYFUNCTION("""COMPUTED_VALUE"""),64.0)</f>
        <v>64</v>
      </c>
      <c r="F9585" s="19" t="str">
        <f>IFERROR(__xludf.DUMMYFUNCTION("""COMPUTED_VALUE"""),"BLACK")</f>
        <v>BLACK</v>
      </c>
      <c r="G9585" s="20" t="str">
        <f>IFERROR(__xludf.DUMMYFUNCTION("""COMPUTED_VALUE"""),"Uncle Sams Cider (04/04/2023)")</f>
        <v>Uncle Sams Cider (04/04/2023)</v>
      </c>
      <c r="H9585" s="19"/>
    </row>
    <row r="9586">
      <c r="A9586" s="9"/>
      <c r="B9586" s="15"/>
      <c r="C9586" s="9">
        <f>IFERROR(__xludf.DUMMYFUNCTION("""COMPUTED_VALUE"""),45043.4974092708)</f>
        <v>45043.49741</v>
      </c>
      <c r="D9586" s="15">
        <f>IFERROR(__xludf.DUMMYFUNCTION("""COMPUTED_VALUE"""),1.03)</f>
        <v>1.03</v>
      </c>
      <c r="E9586" s="16">
        <f>IFERROR(__xludf.DUMMYFUNCTION("""COMPUTED_VALUE"""),64.0)</f>
        <v>64</v>
      </c>
      <c r="F9586" s="19" t="str">
        <f>IFERROR(__xludf.DUMMYFUNCTION("""COMPUTED_VALUE"""),"BLACK")</f>
        <v>BLACK</v>
      </c>
      <c r="G9586" s="20" t="str">
        <f>IFERROR(__xludf.DUMMYFUNCTION("""COMPUTED_VALUE"""),"Uncle Sams Cider (04/04/2023)")</f>
        <v>Uncle Sams Cider (04/04/2023)</v>
      </c>
      <c r="H9586" s="19"/>
    </row>
    <row r="9587">
      <c r="A9587" s="9"/>
      <c r="B9587" s="15"/>
      <c r="C9587" s="9">
        <f>IFERROR(__xludf.DUMMYFUNCTION("""COMPUTED_VALUE"""),45043.4869876851)</f>
        <v>45043.48699</v>
      </c>
      <c r="D9587" s="15">
        <f>IFERROR(__xludf.DUMMYFUNCTION("""COMPUTED_VALUE"""),1.03)</f>
        <v>1.03</v>
      </c>
      <c r="E9587" s="16">
        <f>IFERROR(__xludf.DUMMYFUNCTION("""COMPUTED_VALUE"""),64.0)</f>
        <v>64</v>
      </c>
      <c r="F9587" s="19" t="str">
        <f>IFERROR(__xludf.DUMMYFUNCTION("""COMPUTED_VALUE"""),"BLACK")</f>
        <v>BLACK</v>
      </c>
      <c r="G9587" s="20" t="str">
        <f>IFERROR(__xludf.DUMMYFUNCTION("""COMPUTED_VALUE"""),"Uncle Sams Cider (04/04/2023)")</f>
        <v>Uncle Sams Cider (04/04/2023)</v>
      </c>
      <c r="H9587" s="19"/>
    </row>
    <row r="9588">
      <c r="A9588" s="9"/>
      <c r="B9588" s="15"/>
      <c r="C9588" s="9">
        <f>IFERROR(__xludf.DUMMYFUNCTION("""COMPUTED_VALUE"""),45043.4765661458)</f>
        <v>45043.47657</v>
      </c>
      <c r="D9588" s="15">
        <f>IFERROR(__xludf.DUMMYFUNCTION("""COMPUTED_VALUE"""),1.03)</f>
        <v>1.03</v>
      </c>
      <c r="E9588" s="16">
        <f>IFERROR(__xludf.DUMMYFUNCTION("""COMPUTED_VALUE"""),64.0)</f>
        <v>64</v>
      </c>
      <c r="F9588" s="19" t="str">
        <f>IFERROR(__xludf.DUMMYFUNCTION("""COMPUTED_VALUE"""),"BLACK")</f>
        <v>BLACK</v>
      </c>
      <c r="G9588" s="20" t="str">
        <f>IFERROR(__xludf.DUMMYFUNCTION("""COMPUTED_VALUE"""),"Uncle Sams Cider (04/04/2023)")</f>
        <v>Uncle Sams Cider (04/04/2023)</v>
      </c>
      <c r="H9588" s="19"/>
    </row>
    <row r="9589">
      <c r="A9589" s="9"/>
      <c r="B9589" s="15"/>
      <c r="C9589" s="9">
        <f>IFERROR(__xludf.DUMMYFUNCTION("""COMPUTED_VALUE"""),45043.466144456)</f>
        <v>45043.46614</v>
      </c>
      <c r="D9589" s="15">
        <f>IFERROR(__xludf.DUMMYFUNCTION("""COMPUTED_VALUE"""),1.03)</f>
        <v>1.03</v>
      </c>
      <c r="E9589" s="16">
        <f>IFERROR(__xludf.DUMMYFUNCTION("""COMPUTED_VALUE"""),64.0)</f>
        <v>64</v>
      </c>
      <c r="F9589" s="19" t="str">
        <f>IFERROR(__xludf.DUMMYFUNCTION("""COMPUTED_VALUE"""),"BLACK")</f>
        <v>BLACK</v>
      </c>
      <c r="G9589" s="20" t="str">
        <f>IFERROR(__xludf.DUMMYFUNCTION("""COMPUTED_VALUE"""),"Uncle Sams Cider (04/04/2023)")</f>
        <v>Uncle Sams Cider (04/04/2023)</v>
      </c>
      <c r="H9589" s="19"/>
    </row>
    <row r="9590">
      <c r="A9590" s="9"/>
      <c r="B9590" s="15"/>
      <c r="C9590" s="9">
        <f>IFERROR(__xludf.DUMMYFUNCTION("""COMPUTED_VALUE"""),45043.4557233796)</f>
        <v>45043.45572</v>
      </c>
      <c r="D9590" s="15">
        <f>IFERROR(__xludf.DUMMYFUNCTION("""COMPUTED_VALUE"""),1.03)</f>
        <v>1.03</v>
      </c>
      <c r="E9590" s="16">
        <f>IFERROR(__xludf.DUMMYFUNCTION("""COMPUTED_VALUE"""),64.0)</f>
        <v>64</v>
      </c>
      <c r="F9590" s="19" t="str">
        <f>IFERROR(__xludf.DUMMYFUNCTION("""COMPUTED_VALUE"""),"BLACK")</f>
        <v>BLACK</v>
      </c>
      <c r="G9590" s="20" t="str">
        <f>IFERROR(__xludf.DUMMYFUNCTION("""COMPUTED_VALUE"""),"Uncle Sams Cider (04/04/2023)")</f>
        <v>Uncle Sams Cider (04/04/2023)</v>
      </c>
      <c r="H9590" s="19"/>
    </row>
    <row r="9591">
      <c r="A9591" s="9"/>
      <c r="B9591" s="15"/>
      <c r="C9591" s="9">
        <f>IFERROR(__xludf.DUMMYFUNCTION("""COMPUTED_VALUE"""),45043.445303368)</f>
        <v>45043.4453</v>
      </c>
      <c r="D9591" s="15">
        <f>IFERROR(__xludf.DUMMYFUNCTION("""COMPUTED_VALUE"""),1.03)</f>
        <v>1.03</v>
      </c>
      <c r="E9591" s="16">
        <f>IFERROR(__xludf.DUMMYFUNCTION("""COMPUTED_VALUE"""),64.0)</f>
        <v>64</v>
      </c>
      <c r="F9591" s="19" t="str">
        <f>IFERROR(__xludf.DUMMYFUNCTION("""COMPUTED_VALUE"""),"BLACK")</f>
        <v>BLACK</v>
      </c>
      <c r="G9591" s="20" t="str">
        <f>IFERROR(__xludf.DUMMYFUNCTION("""COMPUTED_VALUE"""),"Uncle Sams Cider (04/04/2023)")</f>
        <v>Uncle Sams Cider (04/04/2023)</v>
      </c>
      <c r="H9591" s="19"/>
    </row>
    <row r="9592">
      <c r="A9592" s="9"/>
      <c r="B9592" s="15"/>
      <c r="C9592" s="9">
        <f>IFERROR(__xludf.DUMMYFUNCTION("""COMPUTED_VALUE"""),45043.4348836921)</f>
        <v>45043.43488</v>
      </c>
      <c r="D9592" s="15">
        <f>IFERROR(__xludf.DUMMYFUNCTION("""COMPUTED_VALUE"""),1.03)</f>
        <v>1.03</v>
      </c>
      <c r="E9592" s="16">
        <f>IFERROR(__xludf.DUMMYFUNCTION("""COMPUTED_VALUE"""),64.0)</f>
        <v>64</v>
      </c>
      <c r="F9592" s="19" t="str">
        <f>IFERROR(__xludf.DUMMYFUNCTION("""COMPUTED_VALUE"""),"BLACK")</f>
        <v>BLACK</v>
      </c>
      <c r="G9592" s="20" t="str">
        <f>IFERROR(__xludf.DUMMYFUNCTION("""COMPUTED_VALUE"""),"Uncle Sams Cider (04/04/2023)")</f>
        <v>Uncle Sams Cider (04/04/2023)</v>
      </c>
      <c r="H9592" s="19"/>
    </row>
    <row r="9593">
      <c r="A9593" s="9"/>
      <c r="B9593" s="15"/>
      <c r="C9593" s="9">
        <f>IFERROR(__xludf.DUMMYFUNCTION("""COMPUTED_VALUE"""),45043.4244627546)</f>
        <v>45043.42446</v>
      </c>
      <c r="D9593" s="15">
        <f>IFERROR(__xludf.DUMMYFUNCTION("""COMPUTED_VALUE"""),1.03)</f>
        <v>1.03</v>
      </c>
      <c r="E9593" s="16">
        <f>IFERROR(__xludf.DUMMYFUNCTION("""COMPUTED_VALUE"""),64.0)</f>
        <v>64</v>
      </c>
      <c r="F9593" s="19" t="str">
        <f>IFERROR(__xludf.DUMMYFUNCTION("""COMPUTED_VALUE"""),"BLACK")</f>
        <v>BLACK</v>
      </c>
      <c r="G9593" s="20" t="str">
        <f>IFERROR(__xludf.DUMMYFUNCTION("""COMPUTED_VALUE"""),"Uncle Sams Cider (04/04/2023)")</f>
        <v>Uncle Sams Cider (04/04/2023)</v>
      </c>
      <c r="H9593" s="19"/>
    </row>
    <row r="9594">
      <c r="A9594" s="9"/>
      <c r="B9594" s="15"/>
      <c r="C9594" s="9">
        <f>IFERROR(__xludf.DUMMYFUNCTION("""COMPUTED_VALUE"""),45043.414042824)</f>
        <v>45043.41404</v>
      </c>
      <c r="D9594" s="15">
        <f>IFERROR(__xludf.DUMMYFUNCTION("""COMPUTED_VALUE"""),1.03)</f>
        <v>1.03</v>
      </c>
      <c r="E9594" s="16">
        <f>IFERROR(__xludf.DUMMYFUNCTION("""COMPUTED_VALUE"""),64.0)</f>
        <v>64</v>
      </c>
      <c r="F9594" s="19" t="str">
        <f>IFERROR(__xludf.DUMMYFUNCTION("""COMPUTED_VALUE"""),"BLACK")</f>
        <v>BLACK</v>
      </c>
      <c r="G9594" s="20" t="str">
        <f>IFERROR(__xludf.DUMMYFUNCTION("""COMPUTED_VALUE"""),"Uncle Sams Cider (04/04/2023)")</f>
        <v>Uncle Sams Cider (04/04/2023)</v>
      </c>
      <c r="H9594" s="19"/>
    </row>
    <row r="9595">
      <c r="A9595" s="9"/>
      <c r="B9595" s="15"/>
      <c r="C9595" s="9">
        <f>IFERROR(__xludf.DUMMYFUNCTION("""COMPUTED_VALUE"""),45043.4035653009)</f>
        <v>45043.40357</v>
      </c>
      <c r="D9595" s="15">
        <f>IFERROR(__xludf.DUMMYFUNCTION("""COMPUTED_VALUE"""),1.03)</f>
        <v>1.03</v>
      </c>
      <c r="E9595" s="16">
        <f>IFERROR(__xludf.DUMMYFUNCTION("""COMPUTED_VALUE"""),64.0)</f>
        <v>64</v>
      </c>
      <c r="F9595" s="19" t="str">
        <f>IFERROR(__xludf.DUMMYFUNCTION("""COMPUTED_VALUE"""),"BLACK")</f>
        <v>BLACK</v>
      </c>
      <c r="G9595" s="20" t="str">
        <f>IFERROR(__xludf.DUMMYFUNCTION("""COMPUTED_VALUE"""),"Uncle Sams Cider (04/04/2023)")</f>
        <v>Uncle Sams Cider (04/04/2023)</v>
      </c>
      <c r="H9595" s="19"/>
    </row>
    <row r="9596">
      <c r="A9596" s="9"/>
      <c r="B9596" s="15"/>
      <c r="C9596" s="9">
        <f>IFERROR(__xludf.DUMMYFUNCTION("""COMPUTED_VALUE"""),45043.3931435185)</f>
        <v>45043.39314</v>
      </c>
      <c r="D9596" s="15">
        <f>IFERROR(__xludf.DUMMYFUNCTION("""COMPUTED_VALUE"""),1.031)</f>
        <v>1.031</v>
      </c>
      <c r="E9596" s="16">
        <f>IFERROR(__xludf.DUMMYFUNCTION("""COMPUTED_VALUE"""),64.0)</f>
        <v>64</v>
      </c>
      <c r="F9596" s="19" t="str">
        <f>IFERROR(__xludf.DUMMYFUNCTION("""COMPUTED_VALUE"""),"BLACK")</f>
        <v>BLACK</v>
      </c>
      <c r="G9596" s="20" t="str">
        <f>IFERROR(__xludf.DUMMYFUNCTION("""COMPUTED_VALUE"""),"Uncle Sams Cider (04/04/2023)")</f>
        <v>Uncle Sams Cider (04/04/2023)</v>
      </c>
      <c r="H9596" s="19"/>
    </row>
    <row r="9597">
      <c r="A9597" s="9"/>
      <c r="B9597" s="15"/>
      <c r="C9597" s="9">
        <f>IFERROR(__xludf.DUMMYFUNCTION("""COMPUTED_VALUE"""),45043.3827212615)</f>
        <v>45043.38272</v>
      </c>
      <c r="D9597" s="15">
        <f>IFERROR(__xludf.DUMMYFUNCTION("""COMPUTED_VALUE"""),1.03)</f>
        <v>1.03</v>
      </c>
      <c r="E9597" s="16">
        <f>IFERROR(__xludf.DUMMYFUNCTION("""COMPUTED_VALUE"""),64.0)</f>
        <v>64</v>
      </c>
      <c r="F9597" s="19" t="str">
        <f>IFERROR(__xludf.DUMMYFUNCTION("""COMPUTED_VALUE"""),"BLACK")</f>
        <v>BLACK</v>
      </c>
      <c r="G9597" s="20" t="str">
        <f>IFERROR(__xludf.DUMMYFUNCTION("""COMPUTED_VALUE"""),"Uncle Sams Cider (04/04/2023)")</f>
        <v>Uncle Sams Cider (04/04/2023)</v>
      </c>
      <c r="H9597" s="19"/>
    </row>
    <row r="9598">
      <c r="A9598" s="9"/>
      <c r="B9598" s="15"/>
      <c r="C9598" s="9">
        <f>IFERROR(__xludf.DUMMYFUNCTION("""COMPUTED_VALUE"""),45043.3722537268)</f>
        <v>45043.37225</v>
      </c>
      <c r="D9598" s="15">
        <f>IFERROR(__xludf.DUMMYFUNCTION("""COMPUTED_VALUE"""),1.03)</f>
        <v>1.03</v>
      </c>
      <c r="E9598" s="16">
        <f>IFERROR(__xludf.DUMMYFUNCTION("""COMPUTED_VALUE"""),64.0)</f>
        <v>64</v>
      </c>
      <c r="F9598" s="19" t="str">
        <f>IFERROR(__xludf.DUMMYFUNCTION("""COMPUTED_VALUE"""),"BLACK")</f>
        <v>BLACK</v>
      </c>
      <c r="G9598" s="20" t="str">
        <f>IFERROR(__xludf.DUMMYFUNCTION("""COMPUTED_VALUE"""),"Uncle Sams Cider (04/04/2023)")</f>
        <v>Uncle Sams Cider (04/04/2023)</v>
      </c>
      <c r="H9598" s="19"/>
    </row>
    <row r="9599">
      <c r="A9599" s="9"/>
      <c r="B9599" s="15"/>
      <c r="C9599" s="9">
        <f>IFERROR(__xludf.DUMMYFUNCTION("""COMPUTED_VALUE"""),45043.3618227546)</f>
        <v>45043.36182</v>
      </c>
      <c r="D9599" s="15">
        <f>IFERROR(__xludf.DUMMYFUNCTION("""COMPUTED_VALUE"""),1.03)</f>
        <v>1.03</v>
      </c>
      <c r="E9599" s="16">
        <f>IFERROR(__xludf.DUMMYFUNCTION("""COMPUTED_VALUE"""),64.0)</f>
        <v>64</v>
      </c>
      <c r="F9599" s="19" t="str">
        <f>IFERROR(__xludf.DUMMYFUNCTION("""COMPUTED_VALUE"""),"BLACK")</f>
        <v>BLACK</v>
      </c>
      <c r="G9599" s="20" t="str">
        <f>IFERROR(__xludf.DUMMYFUNCTION("""COMPUTED_VALUE"""),"Uncle Sams Cider (04/04/2023)")</f>
        <v>Uncle Sams Cider (04/04/2023)</v>
      </c>
      <c r="H9599" s="19"/>
    </row>
    <row r="9600">
      <c r="A9600" s="9"/>
      <c r="B9600" s="15"/>
      <c r="C9600" s="9">
        <f>IFERROR(__xludf.DUMMYFUNCTION("""COMPUTED_VALUE"""),45043.3513886111)</f>
        <v>45043.35139</v>
      </c>
      <c r="D9600" s="15">
        <f>IFERROR(__xludf.DUMMYFUNCTION("""COMPUTED_VALUE"""),1.03)</f>
        <v>1.03</v>
      </c>
      <c r="E9600" s="16">
        <f>IFERROR(__xludf.DUMMYFUNCTION("""COMPUTED_VALUE"""),64.0)</f>
        <v>64</v>
      </c>
      <c r="F9600" s="19" t="str">
        <f>IFERROR(__xludf.DUMMYFUNCTION("""COMPUTED_VALUE"""),"BLACK")</f>
        <v>BLACK</v>
      </c>
      <c r="G9600" s="20" t="str">
        <f>IFERROR(__xludf.DUMMYFUNCTION("""COMPUTED_VALUE"""),"Uncle Sams Cider (04/04/2023)")</f>
        <v>Uncle Sams Cider (04/04/2023)</v>
      </c>
      <c r="H9600" s="19"/>
    </row>
    <row r="9601">
      <c r="A9601" s="9"/>
      <c r="B9601" s="15"/>
      <c r="C9601" s="9">
        <f>IFERROR(__xludf.DUMMYFUNCTION("""COMPUTED_VALUE"""),45043.3409663657)</f>
        <v>45043.34097</v>
      </c>
      <c r="D9601" s="15">
        <f>IFERROR(__xludf.DUMMYFUNCTION("""COMPUTED_VALUE"""),1.03)</f>
        <v>1.03</v>
      </c>
      <c r="E9601" s="16">
        <f>IFERROR(__xludf.DUMMYFUNCTION("""COMPUTED_VALUE"""),64.0)</f>
        <v>64</v>
      </c>
      <c r="F9601" s="19" t="str">
        <f>IFERROR(__xludf.DUMMYFUNCTION("""COMPUTED_VALUE"""),"BLACK")</f>
        <v>BLACK</v>
      </c>
      <c r="G9601" s="20" t="str">
        <f>IFERROR(__xludf.DUMMYFUNCTION("""COMPUTED_VALUE"""),"Uncle Sams Cider (04/04/2023)")</f>
        <v>Uncle Sams Cider (04/04/2023)</v>
      </c>
      <c r="H9601" s="19"/>
    </row>
    <row r="9602">
      <c r="A9602" s="9"/>
      <c r="B9602" s="15"/>
      <c r="C9602" s="9">
        <f>IFERROR(__xludf.DUMMYFUNCTION("""COMPUTED_VALUE"""),45043.3305099537)</f>
        <v>45043.33051</v>
      </c>
      <c r="D9602" s="15">
        <f>IFERROR(__xludf.DUMMYFUNCTION("""COMPUTED_VALUE"""),1.031)</f>
        <v>1.031</v>
      </c>
      <c r="E9602" s="16">
        <f>IFERROR(__xludf.DUMMYFUNCTION("""COMPUTED_VALUE"""),64.0)</f>
        <v>64</v>
      </c>
      <c r="F9602" s="19" t="str">
        <f>IFERROR(__xludf.DUMMYFUNCTION("""COMPUTED_VALUE"""),"BLACK")</f>
        <v>BLACK</v>
      </c>
      <c r="G9602" s="20" t="str">
        <f>IFERROR(__xludf.DUMMYFUNCTION("""COMPUTED_VALUE"""),"Uncle Sams Cider (04/04/2023)")</f>
        <v>Uncle Sams Cider (04/04/2023)</v>
      </c>
      <c r="H9602" s="19"/>
    </row>
    <row r="9603">
      <c r="A9603" s="9"/>
      <c r="B9603" s="15"/>
      <c r="C9603" s="9">
        <f>IFERROR(__xludf.DUMMYFUNCTION("""COMPUTED_VALUE"""),45043.3200551041)</f>
        <v>45043.32006</v>
      </c>
      <c r="D9603" s="15">
        <f>IFERROR(__xludf.DUMMYFUNCTION("""COMPUTED_VALUE"""),1.03)</f>
        <v>1.03</v>
      </c>
      <c r="E9603" s="16">
        <f>IFERROR(__xludf.DUMMYFUNCTION("""COMPUTED_VALUE"""),64.0)</f>
        <v>64</v>
      </c>
      <c r="F9603" s="19" t="str">
        <f>IFERROR(__xludf.DUMMYFUNCTION("""COMPUTED_VALUE"""),"BLACK")</f>
        <v>BLACK</v>
      </c>
      <c r="G9603" s="20" t="str">
        <f>IFERROR(__xludf.DUMMYFUNCTION("""COMPUTED_VALUE"""),"Uncle Sams Cider (04/04/2023)")</f>
        <v>Uncle Sams Cider (04/04/2023)</v>
      </c>
      <c r="H9603" s="19"/>
    </row>
    <row r="9604">
      <c r="A9604" s="9"/>
      <c r="B9604" s="15"/>
      <c r="C9604" s="9">
        <f>IFERROR(__xludf.DUMMYFUNCTION("""COMPUTED_VALUE"""),45043.3096237731)</f>
        <v>45043.30962</v>
      </c>
      <c r="D9604" s="15">
        <f>IFERROR(__xludf.DUMMYFUNCTION("""COMPUTED_VALUE"""),1.03)</f>
        <v>1.03</v>
      </c>
      <c r="E9604" s="16">
        <f>IFERROR(__xludf.DUMMYFUNCTION("""COMPUTED_VALUE"""),64.0)</f>
        <v>64</v>
      </c>
      <c r="F9604" s="19" t="str">
        <f>IFERROR(__xludf.DUMMYFUNCTION("""COMPUTED_VALUE"""),"BLACK")</f>
        <v>BLACK</v>
      </c>
      <c r="G9604" s="20" t="str">
        <f>IFERROR(__xludf.DUMMYFUNCTION("""COMPUTED_VALUE"""),"Uncle Sams Cider (04/04/2023)")</f>
        <v>Uncle Sams Cider (04/04/2023)</v>
      </c>
      <c r="H9604" s="19"/>
    </row>
    <row r="9605">
      <c r="A9605" s="9"/>
      <c r="B9605" s="15"/>
      <c r="C9605" s="9">
        <f>IFERROR(__xludf.DUMMYFUNCTION("""COMPUTED_VALUE"""),45043.2991897916)</f>
        <v>45043.29919</v>
      </c>
      <c r="D9605" s="15">
        <f>IFERROR(__xludf.DUMMYFUNCTION("""COMPUTED_VALUE"""),1.031)</f>
        <v>1.031</v>
      </c>
      <c r="E9605" s="16">
        <f>IFERROR(__xludf.DUMMYFUNCTION("""COMPUTED_VALUE"""),64.0)</f>
        <v>64</v>
      </c>
      <c r="F9605" s="19" t="str">
        <f>IFERROR(__xludf.DUMMYFUNCTION("""COMPUTED_VALUE"""),"BLACK")</f>
        <v>BLACK</v>
      </c>
      <c r="G9605" s="20" t="str">
        <f>IFERROR(__xludf.DUMMYFUNCTION("""COMPUTED_VALUE"""),"Uncle Sams Cider (04/04/2023)")</f>
        <v>Uncle Sams Cider (04/04/2023)</v>
      </c>
      <c r="H9605" s="19"/>
    </row>
    <row r="9606">
      <c r="A9606" s="9"/>
      <c r="B9606" s="15"/>
      <c r="C9606" s="9">
        <f>IFERROR(__xludf.DUMMYFUNCTION("""COMPUTED_VALUE"""),45043.2887584837)</f>
        <v>45043.28876</v>
      </c>
      <c r="D9606" s="15">
        <f>IFERROR(__xludf.DUMMYFUNCTION("""COMPUTED_VALUE"""),1.031)</f>
        <v>1.031</v>
      </c>
      <c r="E9606" s="16">
        <f>IFERROR(__xludf.DUMMYFUNCTION("""COMPUTED_VALUE"""),64.0)</f>
        <v>64</v>
      </c>
      <c r="F9606" s="19" t="str">
        <f>IFERROR(__xludf.DUMMYFUNCTION("""COMPUTED_VALUE"""),"BLACK")</f>
        <v>BLACK</v>
      </c>
      <c r="G9606" s="20" t="str">
        <f>IFERROR(__xludf.DUMMYFUNCTION("""COMPUTED_VALUE"""),"Uncle Sams Cider (04/04/2023)")</f>
        <v>Uncle Sams Cider (04/04/2023)</v>
      </c>
      <c r="H9606" s="19"/>
    </row>
    <row r="9607">
      <c r="A9607" s="9"/>
      <c r="B9607" s="15"/>
      <c r="C9607" s="9">
        <f>IFERROR(__xludf.DUMMYFUNCTION("""COMPUTED_VALUE"""),45043.2783364467)</f>
        <v>45043.27834</v>
      </c>
      <c r="D9607" s="15">
        <f>IFERROR(__xludf.DUMMYFUNCTION("""COMPUTED_VALUE"""),1.031)</f>
        <v>1.031</v>
      </c>
      <c r="E9607" s="16">
        <f>IFERROR(__xludf.DUMMYFUNCTION("""COMPUTED_VALUE"""),64.0)</f>
        <v>64</v>
      </c>
      <c r="F9607" s="19" t="str">
        <f>IFERROR(__xludf.DUMMYFUNCTION("""COMPUTED_VALUE"""),"BLACK")</f>
        <v>BLACK</v>
      </c>
      <c r="G9607" s="20" t="str">
        <f>IFERROR(__xludf.DUMMYFUNCTION("""COMPUTED_VALUE"""),"Uncle Sams Cider (04/04/2023)")</f>
        <v>Uncle Sams Cider (04/04/2023)</v>
      </c>
      <c r="H9607" s="19"/>
    </row>
    <row r="9608">
      <c r="A9608" s="9"/>
      <c r="B9608" s="15"/>
      <c r="C9608" s="9">
        <f>IFERROR(__xludf.DUMMYFUNCTION("""COMPUTED_VALUE"""),45043.2678910648)</f>
        <v>45043.26789</v>
      </c>
      <c r="D9608" s="15">
        <f>IFERROR(__xludf.DUMMYFUNCTION("""COMPUTED_VALUE"""),1.031)</f>
        <v>1.031</v>
      </c>
      <c r="E9608" s="16">
        <f>IFERROR(__xludf.DUMMYFUNCTION("""COMPUTED_VALUE"""),64.0)</f>
        <v>64</v>
      </c>
      <c r="F9608" s="19" t="str">
        <f>IFERROR(__xludf.DUMMYFUNCTION("""COMPUTED_VALUE"""),"BLACK")</f>
        <v>BLACK</v>
      </c>
      <c r="G9608" s="20" t="str">
        <f>IFERROR(__xludf.DUMMYFUNCTION("""COMPUTED_VALUE"""),"Uncle Sams Cider (04/04/2023)")</f>
        <v>Uncle Sams Cider (04/04/2023)</v>
      </c>
      <c r="H9608" s="19"/>
    </row>
    <row r="9609">
      <c r="A9609" s="9"/>
      <c r="B9609" s="15"/>
      <c r="C9609" s="9">
        <f>IFERROR(__xludf.DUMMYFUNCTION("""COMPUTED_VALUE"""),45043.2574697338)</f>
        <v>45043.25747</v>
      </c>
      <c r="D9609" s="15">
        <f>IFERROR(__xludf.DUMMYFUNCTION("""COMPUTED_VALUE"""),1.031)</f>
        <v>1.031</v>
      </c>
      <c r="E9609" s="16">
        <f>IFERROR(__xludf.DUMMYFUNCTION("""COMPUTED_VALUE"""),64.0)</f>
        <v>64</v>
      </c>
      <c r="F9609" s="19" t="str">
        <f>IFERROR(__xludf.DUMMYFUNCTION("""COMPUTED_VALUE"""),"BLACK")</f>
        <v>BLACK</v>
      </c>
      <c r="G9609" s="20" t="str">
        <f>IFERROR(__xludf.DUMMYFUNCTION("""COMPUTED_VALUE"""),"Uncle Sams Cider (04/04/2023)")</f>
        <v>Uncle Sams Cider (04/04/2023)</v>
      </c>
      <c r="H9609" s="19"/>
    </row>
    <row r="9610">
      <c r="A9610" s="9"/>
      <c r="B9610" s="15"/>
      <c r="C9610" s="9">
        <f>IFERROR(__xludf.DUMMYFUNCTION("""COMPUTED_VALUE"""),45043.2470475925)</f>
        <v>45043.24705</v>
      </c>
      <c r="D9610" s="15">
        <f>IFERROR(__xludf.DUMMYFUNCTION("""COMPUTED_VALUE"""),1.031)</f>
        <v>1.031</v>
      </c>
      <c r="E9610" s="16">
        <f>IFERROR(__xludf.DUMMYFUNCTION("""COMPUTED_VALUE"""),64.0)</f>
        <v>64</v>
      </c>
      <c r="F9610" s="19" t="str">
        <f>IFERROR(__xludf.DUMMYFUNCTION("""COMPUTED_VALUE"""),"BLACK")</f>
        <v>BLACK</v>
      </c>
      <c r="G9610" s="20" t="str">
        <f>IFERROR(__xludf.DUMMYFUNCTION("""COMPUTED_VALUE"""),"Uncle Sams Cider (04/04/2023)")</f>
        <v>Uncle Sams Cider (04/04/2023)</v>
      </c>
      <c r="H9610" s="19"/>
    </row>
    <row r="9611">
      <c r="A9611" s="9"/>
      <c r="B9611" s="15"/>
      <c r="C9611" s="9">
        <f>IFERROR(__xludf.DUMMYFUNCTION("""COMPUTED_VALUE"""),45043.2366266203)</f>
        <v>45043.23663</v>
      </c>
      <c r="D9611" s="15">
        <f>IFERROR(__xludf.DUMMYFUNCTION("""COMPUTED_VALUE"""),1.031)</f>
        <v>1.031</v>
      </c>
      <c r="E9611" s="16">
        <f>IFERROR(__xludf.DUMMYFUNCTION("""COMPUTED_VALUE"""),64.0)</f>
        <v>64</v>
      </c>
      <c r="F9611" s="19" t="str">
        <f>IFERROR(__xludf.DUMMYFUNCTION("""COMPUTED_VALUE"""),"BLACK")</f>
        <v>BLACK</v>
      </c>
      <c r="G9611" s="20" t="str">
        <f>IFERROR(__xludf.DUMMYFUNCTION("""COMPUTED_VALUE"""),"Uncle Sams Cider (04/04/2023)")</f>
        <v>Uncle Sams Cider (04/04/2023)</v>
      </c>
      <c r="H9611" s="19"/>
    </row>
    <row r="9612">
      <c r="A9612" s="9"/>
      <c r="B9612" s="15"/>
      <c r="C9612" s="9">
        <f>IFERROR(__xludf.DUMMYFUNCTION("""COMPUTED_VALUE"""),45043.2261366319)</f>
        <v>45043.22614</v>
      </c>
      <c r="D9612" s="15">
        <f>IFERROR(__xludf.DUMMYFUNCTION("""COMPUTED_VALUE"""),1.031)</f>
        <v>1.031</v>
      </c>
      <c r="E9612" s="16">
        <f>IFERROR(__xludf.DUMMYFUNCTION("""COMPUTED_VALUE"""),64.0)</f>
        <v>64</v>
      </c>
      <c r="F9612" s="19" t="str">
        <f>IFERROR(__xludf.DUMMYFUNCTION("""COMPUTED_VALUE"""),"BLACK")</f>
        <v>BLACK</v>
      </c>
      <c r="G9612" s="20" t="str">
        <f>IFERROR(__xludf.DUMMYFUNCTION("""COMPUTED_VALUE"""),"Uncle Sams Cider (04/04/2023)")</f>
        <v>Uncle Sams Cider (04/04/2023)</v>
      </c>
      <c r="H9612" s="19"/>
    </row>
    <row r="9613">
      <c r="A9613" s="9"/>
      <c r="B9613" s="15"/>
      <c r="C9613" s="9">
        <f>IFERROR(__xludf.DUMMYFUNCTION("""COMPUTED_VALUE"""),45043.2157159259)</f>
        <v>45043.21572</v>
      </c>
      <c r="D9613" s="15">
        <f>IFERROR(__xludf.DUMMYFUNCTION("""COMPUTED_VALUE"""),1.031)</f>
        <v>1.031</v>
      </c>
      <c r="E9613" s="16">
        <f>IFERROR(__xludf.DUMMYFUNCTION("""COMPUTED_VALUE"""),64.0)</f>
        <v>64</v>
      </c>
      <c r="F9613" s="19" t="str">
        <f>IFERROR(__xludf.DUMMYFUNCTION("""COMPUTED_VALUE"""),"BLACK")</f>
        <v>BLACK</v>
      </c>
      <c r="G9613" s="20" t="str">
        <f>IFERROR(__xludf.DUMMYFUNCTION("""COMPUTED_VALUE"""),"Uncle Sams Cider (04/04/2023)")</f>
        <v>Uncle Sams Cider (04/04/2023)</v>
      </c>
      <c r="H9613" s="19"/>
    </row>
    <row r="9614">
      <c r="A9614" s="9"/>
      <c r="B9614" s="15"/>
      <c r="C9614" s="9">
        <f>IFERROR(__xludf.DUMMYFUNCTION("""COMPUTED_VALUE"""),45043.2052955555)</f>
        <v>45043.2053</v>
      </c>
      <c r="D9614" s="15">
        <f>IFERROR(__xludf.DUMMYFUNCTION("""COMPUTED_VALUE"""),1.031)</f>
        <v>1.031</v>
      </c>
      <c r="E9614" s="16">
        <f>IFERROR(__xludf.DUMMYFUNCTION("""COMPUTED_VALUE"""),64.0)</f>
        <v>64</v>
      </c>
      <c r="F9614" s="19" t="str">
        <f>IFERROR(__xludf.DUMMYFUNCTION("""COMPUTED_VALUE"""),"BLACK")</f>
        <v>BLACK</v>
      </c>
      <c r="G9614" s="20" t="str">
        <f>IFERROR(__xludf.DUMMYFUNCTION("""COMPUTED_VALUE"""),"Uncle Sams Cider (04/04/2023)")</f>
        <v>Uncle Sams Cider (04/04/2023)</v>
      </c>
      <c r="H9614" s="19"/>
    </row>
    <row r="9615">
      <c r="A9615" s="9"/>
      <c r="B9615" s="15"/>
      <c r="C9615" s="9">
        <f>IFERROR(__xludf.DUMMYFUNCTION("""COMPUTED_VALUE"""),45043.1948734259)</f>
        <v>45043.19487</v>
      </c>
      <c r="D9615" s="15">
        <f>IFERROR(__xludf.DUMMYFUNCTION("""COMPUTED_VALUE"""),1.031)</f>
        <v>1.031</v>
      </c>
      <c r="E9615" s="16">
        <f>IFERROR(__xludf.DUMMYFUNCTION("""COMPUTED_VALUE"""),64.0)</f>
        <v>64</v>
      </c>
      <c r="F9615" s="19" t="str">
        <f>IFERROR(__xludf.DUMMYFUNCTION("""COMPUTED_VALUE"""),"BLACK")</f>
        <v>BLACK</v>
      </c>
      <c r="G9615" s="20" t="str">
        <f>IFERROR(__xludf.DUMMYFUNCTION("""COMPUTED_VALUE"""),"Uncle Sams Cider (04/04/2023)")</f>
        <v>Uncle Sams Cider (04/04/2023)</v>
      </c>
      <c r="H9615" s="19"/>
    </row>
    <row r="9616">
      <c r="A9616" s="9"/>
      <c r="B9616" s="15"/>
      <c r="C9616" s="9">
        <f>IFERROR(__xludf.DUMMYFUNCTION("""COMPUTED_VALUE"""),45043.1844530555)</f>
        <v>45043.18445</v>
      </c>
      <c r="D9616" s="15">
        <f>IFERROR(__xludf.DUMMYFUNCTION("""COMPUTED_VALUE"""),1.031)</f>
        <v>1.031</v>
      </c>
      <c r="E9616" s="16">
        <f>IFERROR(__xludf.DUMMYFUNCTION("""COMPUTED_VALUE"""),64.0)</f>
        <v>64</v>
      </c>
      <c r="F9616" s="19" t="str">
        <f>IFERROR(__xludf.DUMMYFUNCTION("""COMPUTED_VALUE"""),"BLACK")</f>
        <v>BLACK</v>
      </c>
      <c r="G9616" s="20" t="str">
        <f>IFERROR(__xludf.DUMMYFUNCTION("""COMPUTED_VALUE"""),"Uncle Sams Cider (04/04/2023)")</f>
        <v>Uncle Sams Cider (04/04/2023)</v>
      </c>
      <c r="H9616" s="19"/>
    </row>
    <row r="9617">
      <c r="A9617" s="9"/>
      <c r="B9617" s="15"/>
      <c r="C9617" s="9">
        <f>IFERROR(__xludf.DUMMYFUNCTION("""COMPUTED_VALUE"""),45043.174021412)</f>
        <v>45043.17402</v>
      </c>
      <c r="D9617" s="15">
        <f>IFERROR(__xludf.DUMMYFUNCTION("""COMPUTED_VALUE"""),1.031)</f>
        <v>1.031</v>
      </c>
      <c r="E9617" s="16">
        <f>IFERROR(__xludf.DUMMYFUNCTION("""COMPUTED_VALUE"""),64.0)</f>
        <v>64</v>
      </c>
      <c r="F9617" s="19" t="str">
        <f>IFERROR(__xludf.DUMMYFUNCTION("""COMPUTED_VALUE"""),"BLACK")</f>
        <v>BLACK</v>
      </c>
      <c r="G9617" s="20" t="str">
        <f>IFERROR(__xludf.DUMMYFUNCTION("""COMPUTED_VALUE"""),"Uncle Sams Cider (04/04/2023)")</f>
        <v>Uncle Sams Cider (04/04/2023)</v>
      </c>
      <c r="H9617" s="19"/>
    </row>
    <row r="9618">
      <c r="A9618" s="9"/>
      <c r="B9618" s="15"/>
      <c r="C9618" s="9">
        <f>IFERROR(__xludf.DUMMYFUNCTION("""COMPUTED_VALUE"""),45043.163554074)</f>
        <v>45043.16355</v>
      </c>
      <c r="D9618" s="15">
        <f>IFERROR(__xludf.DUMMYFUNCTION("""COMPUTED_VALUE"""),1.031)</f>
        <v>1.031</v>
      </c>
      <c r="E9618" s="16">
        <f>IFERROR(__xludf.DUMMYFUNCTION("""COMPUTED_VALUE"""),64.0)</f>
        <v>64</v>
      </c>
      <c r="F9618" s="19" t="str">
        <f>IFERROR(__xludf.DUMMYFUNCTION("""COMPUTED_VALUE"""),"BLACK")</f>
        <v>BLACK</v>
      </c>
      <c r="G9618" s="20" t="str">
        <f>IFERROR(__xludf.DUMMYFUNCTION("""COMPUTED_VALUE"""),"Uncle Sams Cider (04/04/2023)")</f>
        <v>Uncle Sams Cider (04/04/2023)</v>
      </c>
      <c r="H9618" s="19"/>
    </row>
    <row r="9619">
      <c r="A9619" s="9"/>
      <c r="B9619" s="15"/>
      <c r="C9619" s="9">
        <f>IFERROR(__xludf.DUMMYFUNCTION("""COMPUTED_VALUE"""),45043.1531323148)</f>
        <v>45043.15313</v>
      </c>
      <c r="D9619" s="15">
        <f>IFERROR(__xludf.DUMMYFUNCTION("""COMPUTED_VALUE"""),1.031)</f>
        <v>1.031</v>
      </c>
      <c r="E9619" s="16">
        <f>IFERROR(__xludf.DUMMYFUNCTION("""COMPUTED_VALUE"""),64.0)</f>
        <v>64</v>
      </c>
      <c r="F9619" s="19" t="str">
        <f>IFERROR(__xludf.DUMMYFUNCTION("""COMPUTED_VALUE"""),"BLACK")</f>
        <v>BLACK</v>
      </c>
      <c r="G9619" s="20" t="str">
        <f>IFERROR(__xludf.DUMMYFUNCTION("""COMPUTED_VALUE"""),"Uncle Sams Cider (04/04/2023)")</f>
        <v>Uncle Sams Cider (04/04/2023)</v>
      </c>
      <c r="H9619" s="19"/>
    </row>
    <row r="9620">
      <c r="A9620" s="9"/>
      <c r="B9620" s="15"/>
      <c r="C9620" s="9">
        <f>IFERROR(__xludf.DUMMYFUNCTION("""COMPUTED_VALUE"""),45043.1427118287)</f>
        <v>45043.14271</v>
      </c>
      <c r="D9620" s="15">
        <f>IFERROR(__xludf.DUMMYFUNCTION("""COMPUTED_VALUE"""),1.031)</f>
        <v>1.031</v>
      </c>
      <c r="E9620" s="16">
        <f>IFERROR(__xludf.DUMMYFUNCTION("""COMPUTED_VALUE"""),64.0)</f>
        <v>64</v>
      </c>
      <c r="F9620" s="19" t="str">
        <f>IFERROR(__xludf.DUMMYFUNCTION("""COMPUTED_VALUE"""),"BLACK")</f>
        <v>BLACK</v>
      </c>
      <c r="G9620" s="20" t="str">
        <f>IFERROR(__xludf.DUMMYFUNCTION("""COMPUTED_VALUE"""),"Uncle Sams Cider (04/04/2023)")</f>
        <v>Uncle Sams Cider (04/04/2023)</v>
      </c>
      <c r="H9620" s="19"/>
    </row>
    <row r="9621">
      <c r="A9621" s="9"/>
      <c r="B9621" s="15"/>
      <c r="C9621" s="9">
        <f>IFERROR(__xludf.DUMMYFUNCTION("""COMPUTED_VALUE"""),45043.1322903009)</f>
        <v>45043.13229</v>
      </c>
      <c r="D9621" s="15">
        <f>IFERROR(__xludf.DUMMYFUNCTION("""COMPUTED_VALUE"""),1.031)</f>
        <v>1.031</v>
      </c>
      <c r="E9621" s="16">
        <f>IFERROR(__xludf.DUMMYFUNCTION("""COMPUTED_VALUE"""),64.0)</f>
        <v>64</v>
      </c>
      <c r="F9621" s="19" t="str">
        <f>IFERROR(__xludf.DUMMYFUNCTION("""COMPUTED_VALUE"""),"BLACK")</f>
        <v>BLACK</v>
      </c>
      <c r="G9621" s="20" t="str">
        <f>IFERROR(__xludf.DUMMYFUNCTION("""COMPUTED_VALUE"""),"Uncle Sams Cider (04/04/2023)")</f>
        <v>Uncle Sams Cider (04/04/2023)</v>
      </c>
      <c r="H9621" s="19"/>
    </row>
    <row r="9622">
      <c r="A9622" s="9"/>
      <c r="B9622" s="15"/>
      <c r="C9622" s="9">
        <f>IFERROR(__xludf.DUMMYFUNCTION("""COMPUTED_VALUE"""),45043.1218455555)</f>
        <v>45043.12185</v>
      </c>
      <c r="D9622" s="15">
        <f>IFERROR(__xludf.DUMMYFUNCTION("""COMPUTED_VALUE"""),1.031)</f>
        <v>1.031</v>
      </c>
      <c r="E9622" s="16">
        <f>IFERROR(__xludf.DUMMYFUNCTION("""COMPUTED_VALUE"""),64.0)</f>
        <v>64</v>
      </c>
      <c r="F9622" s="19" t="str">
        <f>IFERROR(__xludf.DUMMYFUNCTION("""COMPUTED_VALUE"""),"BLACK")</f>
        <v>BLACK</v>
      </c>
      <c r="G9622" s="20" t="str">
        <f>IFERROR(__xludf.DUMMYFUNCTION("""COMPUTED_VALUE"""),"Uncle Sams Cider (04/04/2023)")</f>
        <v>Uncle Sams Cider (04/04/2023)</v>
      </c>
      <c r="H9622" s="19"/>
    </row>
    <row r="9623">
      <c r="A9623" s="9"/>
      <c r="B9623" s="15"/>
      <c r="C9623" s="9">
        <f>IFERROR(__xludf.DUMMYFUNCTION("""COMPUTED_VALUE"""),45043.111425081)</f>
        <v>45043.11143</v>
      </c>
      <c r="D9623" s="15">
        <f>IFERROR(__xludf.DUMMYFUNCTION("""COMPUTED_VALUE"""),1.031)</f>
        <v>1.031</v>
      </c>
      <c r="E9623" s="16">
        <f>IFERROR(__xludf.DUMMYFUNCTION("""COMPUTED_VALUE"""),64.0)</f>
        <v>64</v>
      </c>
      <c r="F9623" s="19" t="str">
        <f>IFERROR(__xludf.DUMMYFUNCTION("""COMPUTED_VALUE"""),"BLACK")</f>
        <v>BLACK</v>
      </c>
      <c r="G9623" s="20" t="str">
        <f>IFERROR(__xludf.DUMMYFUNCTION("""COMPUTED_VALUE"""),"Uncle Sams Cider (04/04/2023)")</f>
        <v>Uncle Sams Cider (04/04/2023)</v>
      </c>
      <c r="H9623" s="19"/>
    </row>
    <row r="9624">
      <c r="A9624" s="9"/>
      <c r="B9624" s="15"/>
      <c r="C9624" s="9">
        <f>IFERROR(__xludf.DUMMYFUNCTION("""COMPUTED_VALUE"""),45043.1009802662)</f>
        <v>45043.10098</v>
      </c>
      <c r="D9624" s="15">
        <f>IFERROR(__xludf.DUMMYFUNCTION("""COMPUTED_VALUE"""),1.031)</f>
        <v>1.031</v>
      </c>
      <c r="E9624" s="16">
        <f>IFERROR(__xludf.DUMMYFUNCTION("""COMPUTED_VALUE"""),64.0)</f>
        <v>64</v>
      </c>
      <c r="F9624" s="19" t="str">
        <f>IFERROR(__xludf.DUMMYFUNCTION("""COMPUTED_VALUE"""),"BLACK")</f>
        <v>BLACK</v>
      </c>
      <c r="G9624" s="20" t="str">
        <f>IFERROR(__xludf.DUMMYFUNCTION("""COMPUTED_VALUE"""),"Uncle Sams Cider (04/04/2023)")</f>
        <v>Uncle Sams Cider (04/04/2023)</v>
      </c>
      <c r="H9624" s="19"/>
    </row>
    <row r="9625">
      <c r="A9625" s="9"/>
      <c r="B9625" s="15"/>
      <c r="C9625" s="9">
        <f>IFERROR(__xludf.DUMMYFUNCTION("""COMPUTED_VALUE"""),45043.0905585648)</f>
        <v>45043.09056</v>
      </c>
      <c r="D9625" s="15">
        <f>IFERROR(__xludf.DUMMYFUNCTION("""COMPUTED_VALUE"""),1.031)</f>
        <v>1.031</v>
      </c>
      <c r="E9625" s="16">
        <f>IFERROR(__xludf.DUMMYFUNCTION("""COMPUTED_VALUE"""),64.0)</f>
        <v>64</v>
      </c>
      <c r="F9625" s="19" t="str">
        <f>IFERROR(__xludf.DUMMYFUNCTION("""COMPUTED_VALUE"""),"BLACK")</f>
        <v>BLACK</v>
      </c>
      <c r="G9625" s="20" t="str">
        <f>IFERROR(__xludf.DUMMYFUNCTION("""COMPUTED_VALUE"""),"Uncle Sams Cider (04/04/2023)")</f>
        <v>Uncle Sams Cider (04/04/2023)</v>
      </c>
      <c r="H9625" s="19"/>
    </row>
    <row r="9626">
      <c r="A9626" s="9"/>
      <c r="B9626" s="15"/>
      <c r="C9626" s="9">
        <f>IFERROR(__xludf.DUMMYFUNCTION("""COMPUTED_VALUE"""),45043.080136956)</f>
        <v>45043.08014</v>
      </c>
      <c r="D9626" s="15">
        <f>IFERROR(__xludf.DUMMYFUNCTION("""COMPUTED_VALUE"""),1.031)</f>
        <v>1.031</v>
      </c>
      <c r="E9626" s="16">
        <f>IFERROR(__xludf.DUMMYFUNCTION("""COMPUTED_VALUE"""),64.0)</f>
        <v>64</v>
      </c>
      <c r="F9626" s="19" t="str">
        <f>IFERROR(__xludf.DUMMYFUNCTION("""COMPUTED_VALUE"""),"BLACK")</f>
        <v>BLACK</v>
      </c>
      <c r="G9626" s="20" t="str">
        <f>IFERROR(__xludf.DUMMYFUNCTION("""COMPUTED_VALUE"""),"Uncle Sams Cider (04/04/2023)")</f>
        <v>Uncle Sams Cider (04/04/2023)</v>
      </c>
      <c r="H9626" s="19"/>
    </row>
    <row r="9627">
      <c r="A9627" s="9"/>
      <c r="B9627" s="15"/>
      <c r="C9627" s="9">
        <f>IFERROR(__xludf.DUMMYFUNCTION("""COMPUTED_VALUE"""),45043.069717118)</f>
        <v>45043.06972</v>
      </c>
      <c r="D9627" s="15">
        <f>IFERROR(__xludf.DUMMYFUNCTION("""COMPUTED_VALUE"""),1.031)</f>
        <v>1.031</v>
      </c>
      <c r="E9627" s="16">
        <f>IFERROR(__xludf.DUMMYFUNCTION("""COMPUTED_VALUE"""),64.0)</f>
        <v>64</v>
      </c>
      <c r="F9627" s="19" t="str">
        <f>IFERROR(__xludf.DUMMYFUNCTION("""COMPUTED_VALUE"""),"BLACK")</f>
        <v>BLACK</v>
      </c>
      <c r="G9627" s="20" t="str">
        <f>IFERROR(__xludf.DUMMYFUNCTION("""COMPUTED_VALUE"""),"Uncle Sams Cider (04/04/2023)")</f>
        <v>Uncle Sams Cider (04/04/2023)</v>
      </c>
      <c r="H9627" s="19"/>
    </row>
    <row r="9628">
      <c r="A9628" s="9"/>
      <c r="B9628" s="15"/>
      <c r="C9628" s="9">
        <f>IFERROR(__xludf.DUMMYFUNCTION("""COMPUTED_VALUE"""),45043.0592621527)</f>
        <v>45043.05926</v>
      </c>
      <c r="D9628" s="15">
        <f>IFERROR(__xludf.DUMMYFUNCTION("""COMPUTED_VALUE"""),1.031)</f>
        <v>1.031</v>
      </c>
      <c r="E9628" s="16">
        <f>IFERROR(__xludf.DUMMYFUNCTION("""COMPUTED_VALUE"""),64.0)</f>
        <v>64</v>
      </c>
      <c r="F9628" s="19" t="str">
        <f>IFERROR(__xludf.DUMMYFUNCTION("""COMPUTED_VALUE"""),"BLACK")</f>
        <v>BLACK</v>
      </c>
      <c r="G9628" s="20" t="str">
        <f>IFERROR(__xludf.DUMMYFUNCTION("""COMPUTED_VALUE"""),"Uncle Sams Cider (04/04/2023)")</f>
        <v>Uncle Sams Cider (04/04/2023)</v>
      </c>
      <c r="H9628" s="19"/>
    </row>
    <row r="9629">
      <c r="A9629" s="9"/>
      <c r="B9629" s="15"/>
      <c r="C9629" s="9">
        <f>IFERROR(__xludf.DUMMYFUNCTION("""COMPUTED_VALUE"""),45043.0488404976)</f>
        <v>45043.04884</v>
      </c>
      <c r="D9629" s="15">
        <f>IFERROR(__xludf.DUMMYFUNCTION("""COMPUTED_VALUE"""),1.031)</f>
        <v>1.031</v>
      </c>
      <c r="E9629" s="16">
        <f>IFERROR(__xludf.DUMMYFUNCTION("""COMPUTED_VALUE"""),64.0)</f>
        <v>64</v>
      </c>
      <c r="F9629" s="19" t="str">
        <f>IFERROR(__xludf.DUMMYFUNCTION("""COMPUTED_VALUE"""),"BLACK")</f>
        <v>BLACK</v>
      </c>
      <c r="G9629" s="20" t="str">
        <f>IFERROR(__xludf.DUMMYFUNCTION("""COMPUTED_VALUE"""),"Uncle Sams Cider (04/04/2023)")</f>
        <v>Uncle Sams Cider (04/04/2023)</v>
      </c>
      <c r="H9629" s="19"/>
    </row>
    <row r="9630">
      <c r="A9630" s="9"/>
      <c r="B9630" s="15"/>
      <c r="C9630" s="9">
        <f>IFERROR(__xludf.DUMMYFUNCTION("""COMPUTED_VALUE"""),45043.038420243)</f>
        <v>45043.03842</v>
      </c>
      <c r="D9630" s="15">
        <f>IFERROR(__xludf.DUMMYFUNCTION("""COMPUTED_VALUE"""),1.031)</f>
        <v>1.031</v>
      </c>
      <c r="E9630" s="16">
        <f>IFERROR(__xludf.DUMMYFUNCTION("""COMPUTED_VALUE"""),64.0)</f>
        <v>64</v>
      </c>
      <c r="F9630" s="19" t="str">
        <f>IFERROR(__xludf.DUMMYFUNCTION("""COMPUTED_VALUE"""),"BLACK")</f>
        <v>BLACK</v>
      </c>
      <c r="G9630" s="20" t="str">
        <f>IFERROR(__xludf.DUMMYFUNCTION("""COMPUTED_VALUE"""),"Uncle Sams Cider (04/04/2023)")</f>
        <v>Uncle Sams Cider (04/04/2023)</v>
      </c>
      <c r="H9630" s="19"/>
    </row>
    <row r="9631">
      <c r="A9631" s="9"/>
      <c r="B9631" s="15"/>
      <c r="C9631" s="9">
        <f>IFERROR(__xludf.DUMMYFUNCTION("""COMPUTED_VALUE"""),45043.0279973495)</f>
        <v>45043.028</v>
      </c>
      <c r="D9631" s="15">
        <f>IFERROR(__xludf.DUMMYFUNCTION("""COMPUTED_VALUE"""),1.031)</f>
        <v>1.031</v>
      </c>
      <c r="E9631" s="16">
        <f>IFERROR(__xludf.DUMMYFUNCTION("""COMPUTED_VALUE"""),64.0)</f>
        <v>64</v>
      </c>
      <c r="F9631" s="19" t="str">
        <f>IFERROR(__xludf.DUMMYFUNCTION("""COMPUTED_VALUE"""),"BLACK")</f>
        <v>BLACK</v>
      </c>
      <c r="G9631" s="20" t="str">
        <f>IFERROR(__xludf.DUMMYFUNCTION("""COMPUTED_VALUE"""),"Uncle Sams Cider (04/04/2023)")</f>
        <v>Uncle Sams Cider (04/04/2023)</v>
      </c>
      <c r="H9631" s="19"/>
    </row>
    <row r="9632">
      <c r="A9632" s="9"/>
      <c r="B9632" s="15"/>
      <c r="C9632" s="9">
        <f>IFERROR(__xludf.DUMMYFUNCTION("""COMPUTED_VALUE"""),45043.0175644444)</f>
        <v>45043.01756</v>
      </c>
      <c r="D9632" s="15">
        <f>IFERROR(__xludf.DUMMYFUNCTION("""COMPUTED_VALUE"""),1.031)</f>
        <v>1.031</v>
      </c>
      <c r="E9632" s="16">
        <f>IFERROR(__xludf.DUMMYFUNCTION("""COMPUTED_VALUE"""),64.0)</f>
        <v>64</v>
      </c>
      <c r="F9632" s="19" t="str">
        <f>IFERROR(__xludf.DUMMYFUNCTION("""COMPUTED_VALUE"""),"BLACK")</f>
        <v>BLACK</v>
      </c>
      <c r="G9632" s="20" t="str">
        <f>IFERROR(__xludf.DUMMYFUNCTION("""COMPUTED_VALUE"""),"Uncle Sams Cider (04/04/2023)")</f>
        <v>Uncle Sams Cider (04/04/2023)</v>
      </c>
      <c r="H9632" s="19"/>
    </row>
    <row r="9633">
      <c r="A9633" s="9"/>
      <c r="B9633" s="15"/>
      <c r="C9633" s="9">
        <f>IFERROR(__xludf.DUMMYFUNCTION("""COMPUTED_VALUE"""),45043.0071439814)</f>
        <v>45043.00714</v>
      </c>
      <c r="D9633" s="15">
        <f>IFERROR(__xludf.DUMMYFUNCTION("""COMPUTED_VALUE"""),1.031)</f>
        <v>1.031</v>
      </c>
      <c r="E9633" s="16">
        <f>IFERROR(__xludf.DUMMYFUNCTION("""COMPUTED_VALUE"""),64.0)</f>
        <v>64</v>
      </c>
      <c r="F9633" s="19" t="str">
        <f>IFERROR(__xludf.DUMMYFUNCTION("""COMPUTED_VALUE"""),"BLACK")</f>
        <v>BLACK</v>
      </c>
      <c r="G9633" s="20" t="str">
        <f>IFERROR(__xludf.DUMMYFUNCTION("""COMPUTED_VALUE"""),"Uncle Sams Cider (04/04/2023)")</f>
        <v>Uncle Sams Cider (04/04/2023)</v>
      </c>
      <c r="H9633" s="19"/>
    </row>
    <row r="9634">
      <c r="A9634" s="9"/>
      <c r="B9634" s="15"/>
      <c r="C9634" s="9">
        <f>IFERROR(__xludf.DUMMYFUNCTION("""COMPUTED_VALUE"""),45042.9967217361)</f>
        <v>45042.99672</v>
      </c>
      <c r="D9634" s="15">
        <f>IFERROR(__xludf.DUMMYFUNCTION("""COMPUTED_VALUE"""),1.031)</f>
        <v>1.031</v>
      </c>
      <c r="E9634" s="16">
        <f>IFERROR(__xludf.DUMMYFUNCTION("""COMPUTED_VALUE"""),64.0)</f>
        <v>64</v>
      </c>
      <c r="F9634" s="19" t="str">
        <f>IFERROR(__xludf.DUMMYFUNCTION("""COMPUTED_VALUE"""),"BLACK")</f>
        <v>BLACK</v>
      </c>
      <c r="G9634" s="20" t="str">
        <f>IFERROR(__xludf.DUMMYFUNCTION("""COMPUTED_VALUE"""),"Uncle Sams Cider (04/04/2023)")</f>
        <v>Uncle Sams Cider (04/04/2023)</v>
      </c>
      <c r="H9634" s="19"/>
    </row>
    <row r="9635">
      <c r="A9635" s="9"/>
      <c r="B9635" s="15"/>
      <c r="C9635" s="9">
        <f>IFERROR(__xludf.DUMMYFUNCTION("""COMPUTED_VALUE"""),45042.9862658796)</f>
        <v>45042.98627</v>
      </c>
      <c r="D9635" s="15">
        <f>IFERROR(__xludf.DUMMYFUNCTION("""COMPUTED_VALUE"""),1.031)</f>
        <v>1.031</v>
      </c>
      <c r="E9635" s="16">
        <f>IFERROR(__xludf.DUMMYFUNCTION("""COMPUTED_VALUE"""),64.0)</f>
        <v>64</v>
      </c>
      <c r="F9635" s="19" t="str">
        <f>IFERROR(__xludf.DUMMYFUNCTION("""COMPUTED_VALUE"""),"BLACK")</f>
        <v>BLACK</v>
      </c>
      <c r="G9635" s="20" t="str">
        <f>IFERROR(__xludf.DUMMYFUNCTION("""COMPUTED_VALUE"""),"Uncle Sams Cider (04/04/2023)")</f>
        <v>Uncle Sams Cider (04/04/2023)</v>
      </c>
      <c r="H9635" s="19"/>
    </row>
    <row r="9636">
      <c r="A9636" s="9"/>
      <c r="B9636" s="15"/>
      <c r="C9636" s="9">
        <f>IFERROR(__xludf.DUMMYFUNCTION("""COMPUTED_VALUE"""),45042.9758226736)</f>
        <v>45042.97582</v>
      </c>
      <c r="D9636" s="15">
        <f>IFERROR(__xludf.DUMMYFUNCTION("""COMPUTED_VALUE"""),1.031)</f>
        <v>1.031</v>
      </c>
      <c r="E9636" s="16">
        <f>IFERROR(__xludf.DUMMYFUNCTION("""COMPUTED_VALUE"""),64.0)</f>
        <v>64</v>
      </c>
      <c r="F9636" s="19" t="str">
        <f>IFERROR(__xludf.DUMMYFUNCTION("""COMPUTED_VALUE"""),"BLACK")</f>
        <v>BLACK</v>
      </c>
      <c r="G9636" s="20" t="str">
        <f>IFERROR(__xludf.DUMMYFUNCTION("""COMPUTED_VALUE"""),"Uncle Sams Cider (04/04/2023)")</f>
        <v>Uncle Sams Cider (04/04/2023)</v>
      </c>
      <c r="H9636" s="19"/>
    </row>
    <row r="9637">
      <c r="A9637" s="9"/>
      <c r="B9637" s="15"/>
      <c r="C9637" s="9">
        <f>IFERROR(__xludf.DUMMYFUNCTION("""COMPUTED_VALUE"""),45042.9654003009)</f>
        <v>45042.9654</v>
      </c>
      <c r="D9637" s="15">
        <f>IFERROR(__xludf.DUMMYFUNCTION("""COMPUTED_VALUE"""),1.031)</f>
        <v>1.031</v>
      </c>
      <c r="E9637" s="16">
        <f>IFERROR(__xludf.DUMMYFUNCTION("""COMPUTED_VALUE"""),64.0)</f>
        <v>64</v>
      </c>
      <c r="F9637" s="19" t="str">
        <f>IFERROR(__xludf.DUMMYFUNCTION("""COMPUTED_VALUE"""),"BLACK")</f>
        <v>BLACK</v>
      </c>
      <c r="G9637" s="20" t="str">
        <f>IFERROR(__xludf.DUMMYFUNCTION("""COMPUTED_VALUE"""),"Uncle Sams Cider (04/04/2023)")</f>
        <v>Uncle Sams Cider (04/04/2023)</v>
      </c>
      <c r="H9637" s="19"/>
    </row>
    <row r="9638">
      <c r="A9638" s="9"/>
      <c r="B9638" s="15"/>
      <c r="C9638" s="9">
        <f>IFERROR(__xludf.DUMMYFUNCTION("""COMPUTED_VALUE"""),45042.9549785532)</f>
        <v>45042.95498</v>
      </c>
      <c r="D9638" s="15">
        <f>IFERROR(__xludf.DUMMYFUNCTION("""COMPUTED_VALUE"""),1.031)</f>
        <v>1.031</v>
      </c>
      <c r="E9638" s="16">
        <f>IFERROR(__xludf.DUMMYFUNCTION("""COMPUTED_VALUE"""),64.0)</f>
        <v>64</v>
      </c>
      <c r="F9638" s="19" t="str">
        <f>IFERROR(__xludf.DUMMYFUNCTION("""COMPUTED_VALUE"""),"BLACK")</f>
        <v>BLACK</v>
      </c>
      <c r="G9638" s="20" t="str">
        <f>IFERROR(__xludf.DUMMYFUNCTION("""COMPUTED_VALUE"""),"Uncle Sams Cider (04/04/2023)")</f>
        <v>Uncle Sams Cider (04/04/2023)</v>
      </c>
      <c r="H9638" s="19"/>
    </row>
    <row r="9639">
      <c r="A9639" s="9"/>
      <c r="B9639" s="15"/>
      <c r="C9639" s="9">
        <f>IFERROR(__xludf.DUMMYFUNCTION("""COMPUTED_VALUE"""),45042.9445584375)</f>
        <v>45042.94456</v>
      </c>
      <c r="D9639" s="15">
        <f>IFERROR(__xludf.DUMMYFUNCTION("""COMPUTED_VALUE"""),1.031)</f>
        <v>1.031</v>
      </c>
      <c r="E9639" s="16">
        <f>IFERROR(__xludf.DUMMYFUNCTION("""COMPUTED_VALUE"""),64.0)</f>
        <v>64</v>
      </c>
      <c r="F9639" s="19" t="str">
        <f>IFERROR(__xludf.DUMMYFUNCTION("""COMPUTED_VALUE"""),"BLACK")</f>
        <v>BLACK</v>
      </c>
      <c r="G9639" s="20" t="str">
        <f>IFERROR(__xludf.DUMMYFUNCTION("""COMPUTED_VALUE"""),"Uncle Sams Cider (04/04/2023)")</f>
        <v>Uncle Sams Cider (04/04/2023)</v>
      </c>
      <c r="H9639" s="19"/>
    </row>
    <row r="9640">
      <c r="A9640" s="9"/>
      <c r="B9640" s="15"/>
      <c r="C9640" s="9">
        <f>IFERROR(__xludf.DUMMYFUNCTION("""COMPUTED_VALUE"""),45042.9341031018)</f>
        <v>45042.9341</v>
      </c>
      <c r="D9640" s="15">
        <f>IFERROR(__xludf.DUMMYFUNCTION("""COMPUTED_VALUE"""),1.031)</f>
        <v>1.031</v>
      </c>
      <c r="E9640" s="16">
        <f>IFERROR(__xludf.DUMMYFUNCTION("""COMPUTED_VALUE"""),64.0)</f>
        <v>64</v>
      </c>
      <c r="F9640" s="19" t="str">
        <f>IFERROR(__xludf.DUMMYFUNCTION("""COMPUTED_VALUE"""),"BLACK")</f>
        <v>BLACK</v>
      </c>
      <c r="G9640" s="20" t="str">
        <f>IFERROR(__xludf.DUMMYFUNCTION("""COMPUTED_VALUE"""),"Uncle Sams Cider (04/04/2023)")</f>
        <v>Uncle Sams Cider (04/04/2023)</v>
      </c>
      <c r="H9640" s="19"/>
    </row>
    <row r="9641">
      <c r="A9641" s="9"/>
      <c r="B9641" s="15"/>
      <c r="C9641" s="9">
        <f>IFERROR(__xludf.DUMMYFUNCTION("""COMPUTED_VALUE"""),45042.9236484838)</f>
        <v>45042.92365</v>
      </c>
      <c r="D9641" s="15">
        <f>IFERROR(__xludf.DUMMYFUNCTION("""COMPUTED_VALUE"""),1.031)</f>
        <v>1.031</v>
      </c>
      <c r="E9641" s="16">
        <f>IFERROR(__xludf.DUMMYFUNCTION("""COMPUTED_VALUE"""),64.0)</f>
        <v>64</v>
      </c>
      <c r="F9641" s="19" t="str">
        <f>IFERROR(__xludf.DUMMYFUNCTION("""COMPUTED_VALUE"""),"BLACK")</f>
        <v>BLACK</v>
      </c>
      <c r="G9641" s="20" t="str">
        <f>IFERROR(__xludf.DUMMYFUNCTION("""COMPUTED_VALUE"""),"Uncle Sams Cider (04/04/2023)")</f>
        <v>Uncle Sams Cider (04/04/2023)</v>
      </c>
      <c r="H9641" s="19"/>
    </row>
    <row r="9642">
      <c r="A9642" s="9"/>
      <c r="B9642" s="15"/>
      <c r="C9642" s="9">
        <f>IFERROR(__xludf.DUMMYFUNCTION("""COMPUTED_VALUE"""),45042.9132040393)</f>
        <v>45042.9132</v>
      </c>
      <c r="D9642" s="15">
        <f>IFERROR(__xludf.DUMMYFUNCTION("""COMPUTED_VALUE"""),1.031)</f>
        <v>1.031</v>
      </c>
      <c r="E9642" s="16">
        <f>IFERROR(__xludf.DUMMYFUNCTION("""COMPUTED_VALUE"""),64.0)</f>
        <v>64</v>
      </c>
      <c r="F9642" s="19" t="str">
        <f>IFERROR(__xludf.DUMMYFUNCTION("""COMPUTED_VALUE"""),"BLACK")</f>
        <v>BLACK</v>
      </c>
      <c r="G9642" s="20" t="str">
        <f>IFERROR(__xludf.DUMMYFUNCTION("""COMPUTED_VALUE"""),"Uncle Sams Cider (04/04/2023)")</f>
        <v>Uncle Sams Cider (04/04/2023)</v>
      </c>
      <c r="H9642" s="19"/>
    </row>
    <row r="9643">
      <c r="A9643" s="9"/>
      <c r="B9643" s="15"/>
      <c r="C9643" s="9">
        <f>IFERROR(__xludf.DUMMYFUNCTION("""COMPUTED_VALUE"""),45042.9027826389)</f>
        <v>45042.90278</v>
      </c>
      <c r="D9643" s="15">
        <f>IFERROR(__xludf.DUMMYFUNCTION("""COMPUTED_VALUE"""),1.031)</f>
        <v>1.031</v>
      </c>
      <c r="E9643" s="16">
        <f>IFERROR(__xludf.DUMMYFUNCTION("""COMPUTED_VALUE"""),64.0)</f>
        <v>64</v>
      </c>
      <c r="F9643" s="19" t="str">
        <f>IFERROR(__xludf.DUMMYFUNCTION("""COMPUTED_VALUE"""),"BLACK")</f>
        <v>BLACK</v>
      </c>
      <c r="G9643" s="20" t="str">
        <f>IFERROR(__xludf.DUMMYFUNCTION("""COMPUTED_VALUE"""),"Uncle Sams Cider (04/04/2023)")</f>
        <v>Uncle Sams Cider (04/04/2023)</v>
      </c>
      <c r="H9643" s="19"/>
    </row>
    <row r="9644">
      <c r="A9644" s="9"/>
      <c r="B9644" s="15"/>
      <c r="C9644" s="9">
        <f>IFERROR(__xludf.DUMMYFUNCTION("""COMPUTED_VALUE"""),45042.892362037)</f>
        <v>45042.89236</v>
      </c>
      <c r="D9644" s="15">
        <f>IFERROR(__xludf.DUMMYFUNCTION("""COMPUTED_VALUE"""),1.031)</f>
        <v>1.031</v>
      </c>
      <c r="E9644" s="16">
        <f>IFERROR(__xludf.DUMMYFUNCTION("""COMPUTED_VALUE"""),64.0)</f>
        <v>64</v>
      </c>
      <c r="F9644" s="19" t="str">
        <f>IFERROR(__xludf.DUMMYFUNCTION("""COMPUTED_VALUE"""),"BLACK")</f>
        <v>BLACK</v>
      </c>
      <c r="G9644" s="20" t="str">
        <f>IFERROR(__xludf.DUMMYFUNCTION("""COMPUTED_VALUE"""),"Uncle Sams Cider (04/04/2023)")</f>
        <v>Uncle Sams Cider (04/04/2023)</v>
      </c>
      <c r="H9644" s="19"/>
    </row>
    <row r="9645">
      <c r="A9645" s="9"/>
      <c r="B9645" s="15"/>
      <c r="C9645" s="9">
        <f>IFERROR(__xludf.DUMMYFUNCTION("""COMPUTED_VALUE"""),45042.8819188657)</f>
        <v>45042.88192</v>
      </c>
      <c r="D9645" s="15">
        <f>IFERROR(__xludf.DUMMYFUNCTION("""COMPUTED_VALUE"""),1.031)</f>
        <v>1.031</v>
      </c>
      <c r="E9645" s="16">
        <f>IFERROR(__xludf.DUMMYFUNCTION("""COMPUTED_VALUE"""),64.0)</f>
        <v>64</v>
      </c>
      <c r="F9645" s="19" t="str">
        <f>IFERROR(__xludf.DUMMYFUNCTION("""COMPUTED_VALUE"""),"BLACK")</f>
        <v>BLACK</v>
      </c>
      <c r="G9645" s="20" t="str">
        <f>IFERROR(__xludf.DUMMYFUNCTION("""COMPUTED_VALUE"""),"Uncle Sams Cider (04/04/2023)")</f>
        <v>Uncle Sams Cider (04/04/2023)</v>
      </c>
      <c r="H9645" s="19"/>
    </row>
    <row r="9646">
      <c r="A9646" s="9"/>
      <c r="B9646" s="15"/>
      <c r="C9646" s="9">
        <f>IFERROR(__xludf.DUMMYFUNCTION("""COMPUTED_VALUE"""),45042.8714863657)</f>
        <v>45042.87149</v>
      </c>
      <c r="D9646" s="15">
        <f>IFERROR(__xludf.DUMMYFUNCTION("""COMPUTED_VALUE"""),1.031)</f>
        <v>1.031</v>
      </c>
      <c r="E9646" s="16">
        <f>IFERROR(__xludf.DUMMYFUNCTION("""COMPUTED_VALUE"""),64.0)</f>
        <v>64</v>
      </c>
      <c r="F9646" s="19" t="str">
        <f>IFERROR(__xludf.DUMMYFUNCTION("""COMPUTED_VALUE"""),"BLACK")</f>
        <v>BLACK</v>
      </c>
      <c r="G9646" s="20" t="str">
        <f>IFERROR(__xludf.DUMMYFUNCTION("""COMPUTED_VALUE"""),"Uncle Sams Cider (04/04/2023)")</f>
        <v>Uncle Sams Cider (04/04/2023)</v>
      </c>
      <c r="H9646" s="19"/>
    </row>
    <row r="9647">
      <c r="A9647" s="9"/>
      <c r="B9647" s="15"/>
      <c r="C9647" s="9">
        <f>IFERROR(__xludf.DUMMYFUNCTION("""COMPUTED_VALUE"""),45042.8610650115)</f>
        <v>45042.86107</v>
      </c>
      <c r="D9647" s="15">
        <f>IFERROR(__xludf.DUMMYFUNCTION("""COMPUTED_VALUE"""),1.031)</f>
        <v>1.031</v>
      </c>
      <c r="E9647" s="16">
        <f>IFERROR(__xludf.DUMMYFUNCTION("""COMPUTED_VALUE"""),64.0)</f>
        <v>64</v>
      </c>
      <c r="F9647" s="19" t="str">
        <f>IFERROR(__xludf.DUMMYFUNCTION("""COMPUTED_VALUE"""),"BLACK")</f>
        <v>BLACK</v>
      </c>
      <c r="G9647" s="20" t="str">
        <f>IFERROR(__xludf.DUMMYFUNCTION("""COMPUTED_VALUE"""),"Uncle Sams Cider (04/04/2023)")</f>
        <v>Uncle Sams Cider (04/04/2023)</v>
      </c>
      <c r="H9647" s="19"/>
    </row>
    <row r="9648">
      <c r="A9648" s="9"/>
      <c r="B9648" s="15"/>
      <c r="C9648" s="9">
        <f>IFERROR(__xludf.DUMMYFUNCTION("""COMPUTED_VALUE"""),45042.8506442476)</f>
        <v>45042.85064</v>
      </c>
      <c r="D9648" s="15">
        <f>IFERROR(__xludf.DUMMYFUNCTION("""COMPUTED_VALUE"""),1.031)</f>
        <v>1.031</v>
      </c>
      <c r="E9648" s="16">
        <f>IFERROR(__xludf.DUMMYFUNCTION("""COMPUTED_VALUE"""),64.0)</f>
        <v>64</v>
      </c>
      <c r="F9648" s="19" t="str">
        <f>IFERROR(__xludf.DUMMYFUNCTION("""COMPUTED_VALUE"""),"BLACK")</f>
        <v>BLACK</v>
      </c>
      <c r="G9648" s="20" t="str">
        <f>IFERROR(__xludf.DUMMYFUNCTION("""COMPUTED_VALUE"""),"Uncle Sams Cider (04/04/2023)")</f>
        <v>Uncle Sams Cider (04/04/2023)</v>
      </c>
      <c r="H9648" s="19"/>
    </row>
    <row r="9649">
      <c r="A9649" s="9"/>
      <c r="B9649" s="15"/>
      <c r="C9649" s="9">
        <f>IFERROR(__xludf.DUMMYFUNCTION("""COMPUTED_VALUE"""),45042.8402117824)</f>
        <v>45042.84021</v>
      </c>
      <c r="D9649" s="15">
        <f>IFERROR(__xludf.DUMMYFUNCTION("""COMPUTED_VALUE"""),1.031)</f>
        <v>1.031</v>
      </c>
      <c r="E9649" s="16">
        <f>IFERROR(__xludf.DUMMYFUNCTION("""COMPUTED_VALUE"""),64.0)</f>
        <v>64</v>
      </c>
      <c r="F9649" s="19" t="str">
        <f>IFERROR(__xludf.DUMMYFUNCTION("""COMPUTED_VALUE"""),"BLACK")</f>
        <v>BLACK</v>
      </c>
      <c r="G9649" s="20" t="str">
        <f>IFERROR(__xludf.DUMMYFUNCTION("""COMPUTED_VALUE"""),"Uncle Sams Cider (04/04/2023)")</f>
        <v>Uncle Sams Cider (04/04/2023)</v>
      </c>
      <c r="H9649" s="19"/>
    </row>
    <row r="9650">
      <c r="A9650" s="9"/>
      <c r="B9650" s="15"/>
      <c r="C9650" s="9">
        <f>IFERROR(__xludf.DUMMYFUNCTION("""COMPUTED_VALUE"""),45042.8297798958)</f>
        <v>45042.82978</v>
      </c>
      <c r="D9650" s="15">
        <f>IFERROR(__xludf.DUMMYFUNCTION("""COMPUTED_VALUE"""),1.031)</f>
        <v>1.031</v>
      </c>
      <c r="E9650" s="16">
        <f>IFERROR(__xludf.DUMMYFUNCTION("""COMPUTED_VALUE"""),64.0)</f>
        <v>64</v>
      </c>
      <c r="F9650" s="19" t="str">
        <f>IFERROR(__xludf.DUMMYFUNCTION("""COMPUTED_VALUE"""),"BLACK")</f>
        <v>BLACK</v>
      </c>
      <c r="G9650" s="20" t="str">
        <f>IFERROR(__xludf.DUMMYFUNCTION("""COMPUTED_VALUE"""),"Uncle Sams Cider (04/04/2023)")</f>
        <v>Uncle Sams Cider (04/04/2023)</v>
      </c>
      <c r="H9650" s="19"/>
    </row>
    <row r="9651">
      <c r="A9651" s="9"/>
      <c r="B9651" s="15"/>
      <c r="C9651" s="9">
        <f>IFERROR(__xludf.DUMMYFUNCTION("""COMPUTED_VALUE"""),45042.8193593981)</f>
        <v>45042.81936</v>
      </c>
      <c r="D9651" s="15">
        <f>IFERROR(__xludf.DUMMYFUNCTION("""COMPUTED_VALUE"""),1.031)</f>
        <v>1.031</v>
      </c>
      <c r="E9651" s="16">
        <f>IFERROR(__xludf.DUMMYFUNCTION("""COMPUTED_VALUE"""),64.0)</f>
        <v>64</v>
      </c>
      <c r="F9651" s="19" t="str">
        <f>IFERROR(__xludf.DUMMYFUNCTION("""COMPUTED_VALUE"""),"BLACK")</f>
        <v>BLACK</v>
      </c>
      <c r="G9651" s="20" t="str">
        <f>IFERROR(__xludf.DUMMYFUNCTION("""COMPUTED_VALUE"""),"Uncle Sams Cider (04/04/2023)")</f>
        <v>Uncle Sams Cider (04/04/2023)</v>
      </c>
      <c r="H9651" s="19"/>
    </row>
    <row r="9652">
      <c r="A9652" s="9"/>
      <c r="B9652" s="15"/>
      <c r="C9652" s="9">
        <f>IFERROR(__xludf.DUMMYFUNCTION("""COMPUTED_VALUE"""),45042.8089258449)</f>
        <v>45042.80893</v>
      </c>
      <c r="D9652" s="15">
        <f>IFERROR(__xludf.DUMMYFUNCTION("""COMPUTED_VALUE"""),1.031)</f>
        <v>1.031</v>
      </c>
      <c r="E9652" s="16">
        <f>IFERROR(__xludf.DUMMYFUNCTION("""COMPUTED_VALUE"""),64.0)</f>
        <v>64</v>
      </c>
      <c r="F9652" s="19" t="str">
        <f>IFERROR(__xludf.DUMMYFUNCTION("""COMPUTED_VALUE"""),"BLACK")</f>
        <v>BLACK</v>
      </c>
      <c r="G9652" s="20" t="str">
        <f>IFERROR(__xludf.DUMMYFUNCTION("""COMPUTED_VALUE"""),"Uncle Sams Cider (04/04/2023)")</f>
        <v>Uncle Sams Cider (04/04/2023)</v>
      </c>
      <c r="H9652" s="19"/>
    </row>
    <row r="9653">
      <c r="A9653" s="9"/>
      <c r="B9653" s="15"/>
      <c r="C9653" s="9">
        <f>IFERROR(__xludf.DUMMYFUNCTION("""COMPUTED_VALUE"""),45042.7985064236)</f>
        <v>45042.79851</v>
      </c>
      <c r="D9653" s="15">
        <f>IFERROR(__xludf.DUMMYFUNCTION("""COMPUTED_VALUE"""),1.031)</f>
        <v>1.031</v>
      </c>
      <c r="E9653" s="16">
        <f>IFERROR(__xludf.DUMMYFUNCTION("""COMPUTED_VALUE"""),64.0)</f>
        <v>64</v>
      </c>
      <c r="F9653" s="19" t="str">
        <f>IFERROR(__xludf.DUMMYFUNCTION("""COMPUTED_VALUE"""),"BLACK")</f>
        <v>BLACK</v>
      </c>
      <c r="G9653" s="20" t="str">
        <f>IFERROR(__xludf.DUMMYFUNCTION("""COMPUTED_VALUE"""),"Uncle Sams Cider (04/04/2023)")</f>
        <v>Uncle Sams Cider (04/04/2023)</v>
      </c>
      <c r="H9653" s="19"/>
    </row>
    <row r="9654">
      <c r="A9654" s="9"/>
      <c r="B9654" s="15"/>
      <c r="C9654" s="9">
        <f>IFERROR(__xludf.DUMMYFUNCTION("""COMPUTED_VALUE"""),45042.788071956)</f>
        <v>45042.78807</v>
      </c>
      <c r="D9654" s="15">
        <f>IFERROR(__xludf.DUMMYFUNCTION("""COMPUTED_VALUE"""),1.031)</f>
        <v>1.031</v>
      </c>
      <c r="E9654" s="16">
        <f>IFERROR(__xludf.DUMMYFUNCTION("""COMPUTED_VALUE"""),64.0)</f>
        <v>64</v>
      </c>
      <c r="F9654" s="19" t="str">
        <f>IFERROR(__xludf.DUMMYFUNCTION("""COMPUTED_VALUE"""),"BLACK")</f>
        <v>BLACK</v>
      </c>
      <c r="G9654" s="20" t="str">
        <f>IFERROR(__xludf.DUMMYFUNCTION("""COMPUTED_VALUE"""),"Uncle Sams Cider (04/04/2023)")</f>
        <v>Uncle Sams Cider (04/04/2023)</v>
      </c>
      <c r="H9654" s="19"/>
    </row>
    <row r="9655">
      <c r="A9655" s="9"/>
      <c r="B9655" s="15"/>
      <c r="C9655" s="9">
        <f>IFERROR(__xludf.DUMMYFUNCTION("""COMPUTED_VALUE"""),45042.7776506018)</f>
        <v>45042.77765</v>
      </c>
      <c r="D9655" s="15">
        <f>IFERROR(__xludf.DUMMYFUNCTION("""COMPUTED_VALUE"""),1.031)</f>
        <v>1.031</v>
      </c>
      <c r="E9655" s="16">
        <f>IFERROR(__xludf.DUMMYFUNCTION("""COMPUTED_VALUE"""),64.0)</f>
        <v>64</v>
      </c>
      <c r="F9655" s="19" t="str">
        <f>IFERROR(__xludf.DUMMYFUNCTION("""COMPUTED_VALUE"""),"BLACK")</f>
        <v>BLACK</v>
      </c>
      <c r="G9655" s="20" t="str">
        <f>IFERROR(__xludf.DUMMYFUNCTION("""COMPUTED_VALUE"""),"Uncle Sams Cider (04/04/2023)")</f>
        <v>Uncle Sams Cider (04/04/2023)</v>
      </c>
      <c r="H9655" s="19"/>
    </row>
    <row r="9656">
      <c r="A9656" s="9"/>
      <c r="B9656" s="15"/>
      <c r="C9656" s="9">
        <f>IFERROR(__xludf.DUMMYFUNCTION("""COMPUTED_VALUE"""),45042.7672187615)</f>
        <v>45042.76722</v>
      </c>
      <c r="D9656" s="15">
        <f>IFERROR(__xludf.DUMMYFUNCTION("""COMPUTED_VALUE"""),1.031)</f>
        <v>1.031</v>
      </c>
      <c r="E9656" s="16">
        <f>IFERROR(__xludf.DUMMYFUNCTION("""COMPUTED_VALUE"""),64.0)</f>
        <v>64</v>
      </c>
      <c r="F9656" s="19" t="str">
        <f>IFERROR(__xludf.DUMMYFUNCTION("""COMPUTED_VALUE"""),"BLACK")</f>
        <v>BLACK</v>
      </c>
      <c r="G9656" s="20" t="str">
        <f>IFERROR(__xludf.DUMMYFUNCTION("""COMPUTED_VALUE"""),"Uncle Sams Cider (04/04/2023)")</f>
        <v>Uncle Sams Cider (04/04/2023)</v>
      </c>
      <c r="H9656" s="19"/>
    </row>
    <row r="9657">
      <c r="A9657" s="9"/>
      <c r="B9657" s="15"/>
      <c r="C9657" s="9">
        <f>IFERROR(__xludf.DUMMYFUNCTION("""COMPUTED_VALUE"""),45042.7567978009)</f>
        <v>45042.7568</v>
      </c>
      <c r="D9657" s="15">
        <f>IFERROR(__xludf.DUMMYFUNCTION("""COMPUTED_VALUE"""),1.031)</f>
        <v>1.031</v>
      </c>
      <c r="E9657" s="16">
        <f>IFERROR(__xludf.DUMMYFUNCTION("""COMPUTED_VALUE"""),64.0)</f>
        <v>64</v>
      </c>
      <c r="F9657" s="19" t="str">
        <f>IFERROR(__xludf.DUMMYFUNCTION("""COMPUTED_VALUE"""),"BLACK")</f>
        <v>BLACK</v>
      </c>
      <c r="G9657" s="20" t="str">
        <f>IFERROR(__xludf.DUMMYFUNCTION("""COMPUTED_VALUE"""),"Uncle Sams Cider (04/04/2023)")</f>
        <v>Uncle Sams Cider (04/04/2023)</v>
      </c>
      <c r="H9657" s="19"/>
    </row>
    <row r="9658">
      <c r="A9658" s="9"/>
      <c r="B9658" s="15"/>
      <c r="C9658" s="9">
        <f>IFERROR(__xludf.DUMMYFUNCTION("""COMPUTED_VALUE"""),45042.7463755555)</f>
        <v>45042.74638</v>
      </c>
      <c r="D9658" s="15">
        <f>IFERROR(__xludf.DUMMYFUNCTION("""COMPUTED_VALUE"""),1.031)</f>
        <v>1.031</v>
      </c>
      <c r="E9658" s="16">
        <f>IFERROR(__xludf.DUMMYFUNCTION("""COMPUTED_VALUE"""),64.0)</f>
        <v>64</v>
      </c>
      <c r="F9658" s="19" t="str">
        <f>IFERROR(__xludf.DUMMYFUNCTION("""COMPUTED_VALUE"""),"BLACK")</f>
        <v>BLACK</v>
      </c>
      <c r="G9658" s="20" t="str">
        <f>IFERROR(__xludf.DUMMYFUNCTION("""COMPUTED_VALUE"""),"Uncle Sams Cider (04/04/2023)")</f>
        <v>Uncle Sams Cider (04/04/2023)</v>
      </c>
      <c r="H9658" s="19"/>
    </row>
    <row r="9659">
      <c r="A9659" s="9"/>
      <c r="B9659" s="15"/>
      <c r="C9659" s="9">
        <f>IFERROR(__xludf.DUMMYFUNCTION("""COMPUTED_VALUE"""),45042.7359523495)</f>
        <v>45042.73595</v>
      </c>
      <c r="D9659" s="15">
        <f>IFERROR(__xludf.DUMMYFUNCTION("""COMPUTED_VALUE"""),1.031)</f>
        <v>1.031</v>
      </c>
      <c r="E9659" s="16">
        <f>IFERROR(__xludf.DUMMYFUNCTION("""COMPUTED_VALUE"""),64.0)</f>
        <v>64</v>
      </c>
      <c r="F9659" s="19" t="str">
        <f>IFERROR(__xludf.DUMMYFUNCTION("""COMPUTED_VALUE"""),"BLACK")</f>
        <v>BLACK</v>
      </c>
      <c r="G9659" s="20" t="str">
        <f>IFERROR(__xludf.DUMMYFUNCTION("""COMPUTED_VALUE"""),"Uncle Sams Cider (04/04/2023)")</f>
        <v>Uncle Sams Cider (04/04/2023)</v>
      </c>
      <c r="H9659" s="19"/>
    </row>
    <row r="9660">
      <c r="A9660" s="9"/>
      <c r="B9660" s="15"/>
      <c r="C9660" s="9">
        <f>IFERROR(__xludf.DUMMYFUNCTION("""COMPUTED_VALUE"""),45042.7254825)</f>
        <v>45042.72548</v>
      </c>
      <c r="D9660" s="15">
        <f>IFERROR(__xludf.DUMMYFUNCTION("""COMPUTED_VALUE"""),1.031)</f>
        <v>1.031</v>
      </c>
      <c r="E9660" s="16">
        <f>IFERROR(__xludf.DUMMYFUNCTION("""COMPUTED_VALUE"""),64.0)</f>
        <v>64</v>
      </c>
      <c r="F9660" s="19" t="str">
        <f>IFERROR(__xludf.DUMMYFUNCTION("""COMPUTED_VALUE"""),"BLACK")</f>
        <v>BLACK</v>
      </c>
      <c r="G9660" s="20" t="str">
        <f>IFERROR(__xludf.DUMMYFUNCTION("""COMPUTED_VALUE"""),"Uncle Sams Cider (04/04/2023)")</f>
        <v>Uncle Sams Cider (04/04/2023)</v>
      </c>
      <c r="H9660" s="19"/>
    </row>
    <row r="9661">
      <c r="A9661" s="9"/>
      <c r="B9661" s="15"/>
      <c r="C9661" s="9">
        <f>IFERROR(__xludf.DUMMYFUNCTION("""COMPUTED_VALUE"""),45042.7150611458)</f>
        <v>45042.71506</v>
      </c>
      <c r="D9661" s="15">
        <f>IFERROR(__xludf.DUMMYFUNCTION("""COMPUTED_VALUE"""),1.031)</f>
        <v>1.031</v>
      </c>
      <c r="E9661" s="16">
        <f>IFERROR(__xludf.DUMMYFUNCTION("""COMPUTED_VALUE"""),64.0)</f>
        <v>64</v>
      </c>
      <c r="F9661" s="19" t="str">
        <f>IFERROR(__xludf.DUMMYFUNCTION("""COMPUTED_VALUE"""),"BLACK")</f>
        <v>BLACK</v>
      </c>
      <c r="G9661" s="20" t="str">
        <f>IFERROR(__xludf.DUMMYFUNCTION("""COMPUTED_VALUE"""),"Uncle Sams Cider (04/04/2023)")</f>
        <v>Uncle Sams Cider (04/04/2023)</v>
      </c>
      <c r="H9661" s="19"/>
    </row>
    <row r="9662">
      <c r="A9662" s="9"/>
      <c r="B9662" s="15"/>
      <c r="C9662" s="9">
        <f>IFERROR(__xludf.DUMMYFUNCTION("""COMPUTED_VALUE"""),45042.704640868)</f>
        <v>45042.70464</v>
      </c>
      <c r="D9662" s="15">
        <f>IFERROR(__xludf.DUMMYFUNCTION("""COMPUTED_VALUE"""),1.031)</f>
        <v>1.031</v>
      </c>
      <c r="E9662" s="16">
        <f>IFERROR(__xludf.DUMMYFUNCTION("""COMPUTED_VALUE"""),64.0)</f>
        <v>64</v>
      </c>
      <c r="F9662" s="19" t="str">
        <f>IFERROR(__xludf.DUMMYFUNCTION("""COMPUTED_VALUE"""),"BLACK")</f>
        <v>BLACK</v>
      </c>
      <c r="G9662" s="20" t="str">
        <f>IFERROR(__xludf.DUMMYFUNCTION("""COMPUTED_VALUE"""),"Uncle Sams Cider (04/04/2023)")</f>
        <v>Uncle Sams Cider (04/04/2023)</v>
      </c>
      <c r="H9662" s="19"/>
    </row>
    <row r="9663">
      <c r="A9663" s="9"/>
      <c r="B9663" s="15"/>
      <c r="C9663" s="9">
        <f>IFERROR(__xludf.DUMMYFUNCTION("""COMPUTED_VALUE"""),45042.6942081134)</f>
        <v>45042.69421</v>
      </c>
      <c r="D9663" s="15">
        <f>IFERROR(__xludf.DUMMYFUNCTION("""COMPUTED_VALUE"""),1.031)</f>
        <v>1.031</v>
      </c>
      <c r="E9663" s="16">
        <f>IFERROR(__xludf.DUMMYFUNCTION("""COMPUTED_VALUE"""),64.0)</f>
        <v>64</v>
      </c>
      <c r="F9663" s="19" t="str">
        <f>IFERROR(__xludf.DUMMYFUNCTION("""COMPUTED_VALUE"""),"BLACK")</f>
        <v>BLACK</v>
      </c>
      <c r="G9663" s="20" t="str">
        <f>IFERROR(__xludf.DUMMYFUNCTION("""COMPUTED_VALUE"""),"Uncle Sams Cider (04/04/2023)")</f>
        <v>Uncle Sams Cider (04/04/2023)</v>
      </c>
      <c r="H9663" s="19"/>
    </row>
    <row r="9664">
      <c r="A9664" s="9"/>
      <c r="B9664" s="15"/>
      <c r="C9664" s="9">
        <f>IFERROR(__xludf.DUMMYFUNCTION("""COMPUTED_VALUE"""),45042.683786331)</f>
        <v>45042.68379</v>
      </c>
      <c r="D9664" s="15">
        <f>IFERROR(__xludf.DUMMYFUNCTION("""COMPUTED_VALUE"""),1.031)</f>
        <v>1.031</v>
      </c>
      <c r="E9664" s="16">
        <f>IFERROR(__xludf.DUMMYFUNCTION("""COMPUTED_VALUE"""),64.0)</f>
        <v>64</v>
      </c>
      <c r="F9664" s="19" t="str">
        <f>IFERROR(__xludf.DUMMYFUNCTION("""COMPUTED_VALUE"""),"BLACK")</f>
        <v>BLACK</v>
      </c>
      <c r="G9664" s="20" t="str">
        <f>IFERROR(__xludf.DUMMYFUNCTION("""COMPUTED_VALUE"""),"Uncle Sams Cider (04/04/2023)")</f>
        <v>Uncle Sams Cider (04/04/2023)</v>
      </c>
      <c r="H9664" s="19"/>
    </row>
    <row r="9665">
      <c r="A9665" s="9"/>
      <c r="B9665" s="15"/>
      <c r="C9665" s="9">
        <f>IFERROR(__xludf.DUMMYFUNCTION("""COMPUTED_VALUE"""),45042.6733643402)</f>
        <v>45042.67336</v>
      </c>
      <c r="D9665" s="15">
        <f>IFERROR(__xludf.DUMMYFUNCTION("""COMPUTED_VALUE"""),1.031)</f>
        <v>1.031</v>
      </c>
      <c r="E9665" s="16">
        <f>IFERROR(__xludf.DUMMYFUNCTION("""COMPUTED_VALUE"""),64.0)</f>
        <v>64</v>
      </c>
      <c r="F9665" s="19" t="str">
        <f>IFERROR(__xludf.DUMMYFUNCTION("""COMPUTED_VALUE"""),"BLACK")</f>
        <v>BLACK</v>
      </c>
      <c r="G9665" s="20" t="str">
        <f>IFERROR(__xludf.DUMMYFUNCTION("""COMPUTED_VALUE"""),"Uncle Sams Cider (04/04/2023)")</f>
        <v>Uncle Sams Cider (04/04/2023)</v>
      </c>
      <c r="H9665" s="19"/>
    </row>
    <row r="9666">
      <c r="A9666" s="9"/>
      <c r="B9666" s="15"/>
      <c r="C9666" s="9">
        <f>IFERROR(__xludf.DUMMYFUNCTION("""COMPUTED_VALUE"""),45042.6629447338)</f>
        <v>45042.66294</v>
      </c>
      <c r="D9666" s="15">
        <f>IFERROR(__xludf.DUMMYFUNCTION("""COMPUTED_VALUE"""),1.031)</f>
        <v>1.031</v>
      </c>
      <c r="E9666" s="16">
        <f>IFERROR(__xludf.DUMMYFUNCTION("""COMPUTED_VALUE"""),64.0)</f>
        <v>64</v>
      </c>
      <c r="F9666" s="19" t="str">
        <f>IFERROR(__xludf.DUMMYFUNCTION("""COMPUTED_VALUE"""),"BLACK")</f>
        <v>BLACK</v>
      </c>
      <c r="G9666" s="20" t="str">
        <f>IFERROR(__xludf.DUMMYFUNCTION("""COMPUTED_VALUE"""),"Uncle Sams Cider (04/04/2023)")</f>
        <v>Uncle Sams Cider (04/04/2023)</v>
      </c>
      <c r="H9666" s="19"/>
    </row>
    <row r="9667">
      <c r="A9667" s="9"/>
      <c r="B9667" s="15"/>
      <c r="C9667" s="9">
        <f>IFERROR(__xludf.DUMMYFUNCTION("""COMPUTED_VALUE"""),45042.6524648148)</f>
        <v>45042.65246</v>
      </c>
      <c r="D9667" s="15">
        <f>IFERROR(__xludf.DUMMYFUNCTION("""COMPUTED_VALUE"""),1.031)</f>
        <v>1.031</v>
      </c>
      <c r="E9667" s="16">
        <f>IFERROR(__xludf.DUMMYFUNCTION("""COMPUTED_VALUE"""),64.0)</f>
        <v>64</v>
      </c>
      <c r="F9667" s="19" t="str">
        <f>IFERROR(__xludf.DUMMYFUNCTION("""COMPUTED_VALUE"""),"BLACK")</f>
        <v>BLACK</v>
      </c>
      <c r="G9667" s="20" t="str">
        <f>IFERROR(__xludf.DUMMYFUNCTION("""COMPUTED_VALUE"""),"Uncle Sams Cider (04/04/2023)")</f>
        <v>Uncle Sams Cider (04/04/2023)</v>
      </c>
      <c r="H9667" s="19"/>
    </row>
    <row r="9668">
      <c r="A9668" s="9"/>
      <c r="B9668" s="15"/>
      <c r="C9668" s="9">
        <f>IFERROR(__xludf.DUMMYFUNCTION("""COMPUTED_VALUE"""),45042.642030243)</f>
        <v>45042.64203</v>
      </c>
      <c r="D9668" s="15">
        <f>IFERROR(__xludf.DUMMYFUNCTION("""COMPUTED_VALUE"""),1.031)</f>
        <v>1.031</v>
      </c>
      <c r="E9668" s="16">
        <f>IFERROR(__xludf.DUMMYFUNCTION("""COMPUTED_VALUE"""),64.0)</f>
        <v>64</v>
      </c>
      <c r="F9668" s="19" t="str">
        <f>IFERROR(__xludf.DUMMYFUNCTION("""COMPUTED_VALUE"""),"BLACK")</f>
        <v>BLACK</v>
      </c>
      <c r="G9668" s="20" t="str">
        <f>IFERROR(__xludf.DUMMYFUNCTION("""COMPUTED_VALUE"""),"Uncle Sams Cider (04/04/2023)")</f>
        <v>Uncle Sams Cider (04/04/2023)</v>
      </c>
      <c r="H9668" s="19"/>
    </row>
    <row r="9669">
      <c r="A9669" s="9"/>
      <c r="B9669" s="15"/>
      <c r="C9669" s="9">
        <f>IFERROR(__xludf.DUMMYFUNCTION("""COMPUTED_VALUE"""),45042.6315501504)</f>
        <v>45042.63155</v>
      </c>
      <c r="D9669" s="15">
        <f>IFERROR(__xludf.DUMMYFUNCTION("""COMPUTED_VALUE"""),1.031)</f>
        <v>1.031</v>
      </c>
      <c r="E9669" s="16">
        <f>IFERROR(__xludf.DUMMYFUNCTION("""COMPUTED_VALUE"""),64.0)</f>
        <v>64</v>
      </c>
      <c r="F9669" s="19" t="str">
        <f>IFERROR(__xludf.DUMMYFUNCTION("""COMPUTED_VALUE"""),"BLACK")</f>
        <v>BLACK</v>
      </c>
      <c r="G9669" s="20" t="str">
        <f>IFERROR(__xludf.DUMMYFUNCTION("""COMPUTED_VALUE"""),"Uncle Sams Cider (04/04/2023)")</f>
        <v>Uncle Sams Cider (04/04/2023)</v>
      </c>
      <c r="H9669" s="19"/>
    </row>
    <row r="9670">
      <c r="A9670" s="9"/>
      <c r="B9670" s="15"/>
      <c r="C9670" s="9">
        <f>IFERROR(__xludf.DUMMYFUNCTION("""COMPUTED_VALUE"""),45042.6211279861)</f>
        <v>45042.62113</v>
      </c>
      <c r="D9670" s="15">
        <f>IFERROR(__xludf.DUMMYFUNCTION("""COMPUTED_VALUE"""),1.031)</f>
        <v>1.031</v>
      </c>
      <c r="E9670" s="16">
        <f>IFERROR(__xludf.DUMMYFUNCTION("""COMPUTED_VALUE"""),64.0)</f>
        <v>64</v>
      </c>
      <c r="F9670" s="19" t="str">
        <f>IFERROR(__xludf.DUMMYFUNCTION("""COMPUTED_VALUE"""),"BLACK")</f>
        <v>BLACK</v>
      </c>
      <c r="G9670" s="20" t="str">
        <f>IFERROR(__xludf.DUMMYFUNCTION("""COMPUTED_VALUE"""),"Uncle Sams Cider (04/04/2023)")</f>
        <v>Uncle Sams Cider (04/04/2023)</v>
      </c>
      <c r="H9670" s="19"/>
    </row>
    <row r="9671">
      <c r="A9671" s="9"/>
      <c r="B9671" s="15"/>
      <c r="C9671" s="9">
        <f>IFERROR(__xludf.DUMMYFUNCTION("""COMPUTED_VALUE"""),45042.6107073263)</f>
        <v>45042.61071</v>
      </c>
      <c r="D9671" s="15">
        <f>IFERROR(__xludf.DUMMYFUNCTION("""COMPUTED_VALUE"""),1.031)</f>
        <v>1.031</v>
      </c>
      <c r="E9671" s="16">
        <f>IFERROR(__xludf.DUMMYFUNCTION("""COMPUTED_VALUE"""),64.0)</f>
        <v>64</v>
      </c>
      <c r="F9671" s="19" t="str">
        <f>IFERROR(__xludf.DUMMYFUNCTION("""COMPUTED_VALUE"""),"BLACK")</f>
        <v>BLACK</v>
      </c>
      <c r="G9671" s="20" t="str">
        <f>IFERROR(__xludf.DUMMYFUNCTION("""COMPUTED_VALUE"""),"Uncle Sams Cider (04/04/2023)")</f>
        <v>Uncle Sams Cider (04/04/2023)</v>
      </c>
      <c r="H9671" s="19"/>
    </row>
    <row r="9672">
      <c r="A9672" s="9"/>
      <c r="B9672" s="15"/>
      <c r="C9672" s="9">
        <f>IFERROR(__xludf.DUMMYFUNCTION("""COMPUTED_VALUE"""),45042.6002633912)</f>
        <v>45042.60026</v>
      </c>
      <c r="D9672" s="15">
        <f>IFERROR(__xludf.DUMMYFUNCTION("""COMPUTED_VALUE"""),1.031)</f>
        <v>1.031</v>
      </c>
      <c r="E9672" s="16">
        <f>IFERROR(__xludf.DUMMYFUNCTION("""COMPUTED_VALUE"""),64.0)</f>
        <v>64</v>
      </c>
      <c r="F9672" s="19" t="str">
        <f>IFERROR(__xludf.DUMMYFUNCTION("""COMPUTED_VALUE"""),"BLACK")</f>
        <v>BLACK</v>
      </c>
      <c r="G9672" s="20" t="str">
        <f>IFERROR(__xludf.DUMMYFUNCTION("""COMPUTED_VALUE"""),"Uncle Sams Cider (04/04/2023)")</f>
        <v>Uncle Sams Cider (04/04/2023)</v>
      </c>
      <c r="H9672" s="19"/>
    </row>
    <row r="9673">
      <c r="A9673" s="9"/>
      <c r="B9673" s="15"/>
      <c r="C9673" s="9">
        <f>IFERROR(__xludf.DUMMYFUNCTION("""COMPUTED_VALUE"""),45042.589819618)</f>
        <v>45042.58982</v>
      </c>
      <c r="D9673" s="15">
        <f>IFERROR(__xludf.DUMMYFUNCTION("""COMPUTED_VALUE"""),1.031)</f>
        <v>1.031</v>
      </c>
      <c r="E9673" s="16">
        <f>IFERROR(__xludf.DUMMYFUNCTION("""COMPUTED_VALUE"""),64.0)</f>
        <v>64</v>
      </c>
      <c r="F9673" s="19" t="str">
        <f>IFERROR(__xludf.DUMMYFUNCTION("""COMPUTED_VALUE"""),"BLACK")</f>
        <v>BLACK</v>
      </c>
      <c r="G9673" s="20" t="str">
        <f>IFERROR(__xludf.DUMMYFUNCTION("""COMPUTED_VALUE"""),"Uncle Sams Cider (04/04/2023)")</f>
        <v>Uncle Sams Cider (04/04/2023)</v>
      </c>
      <c r="H9673" s="19"/>
    </row>
    <row r="9674">
      <c r="A9674" s="9"/>
      <c r="B9674" s="15"/>
      <c r="C9674" s="9">
        <f>IFERROR(__xludf.DUMMYFUNCTION("""COMPUTED_VALUE"""),45042.5793973148)</f>
        <v>45042.5794</v>
      </c>
      <c r="D9674" s="15">
        <f>IFERROR(__xludf.DUMMYFUNCTION("""COMPUTED_VALUE"""),1.032)</f>
        <v>1.032</v>
      </c>
      <c r="E9674" s="16">
        <f>IFERROR(__xludf.DUMMYFUNCTION("""COMPUTED_VALUE"""),64.0)</f>
        <v>64</v>
      </c>
      <c r="F9674" s="19" t="str">
        <f>IFERROR(__xludf.DUMMYFUNCTION("""COMPUTED_VALUE"""),"BLACK")</f>
        <v>BLACK</v>
      </c>
      <c r="G9674" s="20" t="str">
        <f>IFERROR(__xludf.DUMMYFUNCTION("""COMPUTED_VALUE"""),"Uncle Sams Cider (04/04/2023)")</f>
        <v>Uncle Sams Cider (04/04/2023)</v>
      </c>
      <c r="H9674" s="19"/>
    </row>
    <row r="9675">
      <c r="A9675" s="9"/>
      <c r="B9675" s="15"/>
      <c r="C9675" s="9">
        <f>IFERROR(__xludf.DUMMYFUNCTION("""COMPUTED_VALUE"""),45042.5689655555)</f>
        <v>45042.56897</v>
      </c>
      <c r="D9675" s="15">
        <f>IFERROR(__xludf.DUMMYFUNCTION("""COMPUTED_VALUE"""),1.031)</f>
        <v>1.031</v>
      </c>
      <c r="E9675" s="16">
        <f>IFERROR(__xludf.DUMMYFUNCTION("""COMPUTED_VALUE"""),64.0)</f>
        <v>64</v>
      </c>
      <c r="F9675" s="19" t="str">
        <f>IFERROR(__xludf.DUMMYFUNCTION("""COMPUTED_VALUE"""),"BLACK")</f>
        <v>BLACK</v>
      </c>
      <c r="G9675" s="20" t="str">
        <f>IFERROR(__xludf.DUMMYFUNCTION("""COMPUTED_VALUE"""),"Uncle Sams Cider (04/04/2023)")</f>
        <v>Uncle Sams Cider (04/04/2023)</v>
      </c>
      <c r="H9675" s="19"/>
    </row>
    <row r="9676">
      <c r="A9676" s="9"/>
      <c r="B9676" s="15"/>
      <c r="C9676" s="9">
        <f>IFERROR(__xludf.DUMMYFUNCTION("""COMPUTED_VALUE"""),45042.5585438426)</f>
        <v>45042.55854</v>
      </c>
      <c r="D9676" s="15">
        <f>IFERROR(__xludf.DUMMYFUNCTION("""COMPUTED_VALUE"""),1.031)</f>
        <v>1.031</v>
      </c>
      <c r="E9676" s="16">
        <f>IFERROR(__xludf.DUMMYFUNCTION("""COMPUTED_VALUE"""),64.0)</f>
        <v>64</v>
      </c>
      <c r="F9676" s="19" t="str">
        <f>IFERROR(__xludf.DUMMYFUNCTION("""COMPUTED_VALUE"""),"BLACK")</f>
        <v>BLACK</v>
      </c>
      <c r="G9676" s="20" t="str">
        <f>IFERROR(__xludf.DUMMYFUNCTION("""COMPUTED_VALUE"""),"Uncle Sams Cider (04/04/2023)")</f>
        <v>Uncle Sams Cider (04/04/2023)</v>
      </c>
      <c r="H9676" s="19"/>
    </row>
    <row r="9677">
      <c r="A9677" s="9"/>
      <c r="B9677" s="15"/>
      <c r="C9677" s="9">
        <f>IFERROR(__xludf.DUMMYFUNCTION("""COMPUTED_VALUE"""),45042.548123368)</f>
        <v>45042.54812</v>
      </c>
      <c r="D9677" s="15">
        <f>IFERROR(__xludf.DUMMYFUNCTION("""COMPUTED_VALUE"""),1.031)</f>
        <v>1.031</v>
      </c>
      <c r="E9677" s="16">
        <f>IFERROR(__xludf.DUMMYFUNCTION("""COMPUTED_VALUE"""),64.0)</f>
        <v>64</v>
      </c>
      <c r="F9677" s="19" t="str">
        <f>IFERROR(__xludf.DUMMYFUNCTION("""COMPUTED_VALUE"""),"BLACK")</f>
        <v>BLACK</v>
      </c>
      <c r="G9677" s="20" t="str">
        <f>IFERROR(__xludf.DUMMYFUNCTION("""COMPUTED_VALUE"""),"Uncle Sams Cider (04/04/2023)")</f>
        <v>Uncle Sams Cider (04/04/2023)</v>
      </c>
      <c r="H9677" s="19"/>
    </row>
    <row r="9678">
      <c r="A9678" s="9"/>
      <c r="B9678" s="15"/>
      <c r="C9678" s="9">
        <f>IFERROR(__xludf.DUMMYFUNCTION("""COMPUTED_VALUE"""),45042.5376912268)</f>
        <v>45042.53769</v>
      </c>
      <c r="D9678" s="15">
        <f>IFERROR(__xludf.DUMMYFUNCTION("""COMPUTED_VALUE"""),1.031)</f>
        <v>1.031</v>
      </c>
      <c r="E9678" s="16">
        <f>IFERROR(__xludf.DUMMYFUNCTION("""COMPUTED_VALUE"""),64.0)</f>
        <v>64</v>
      </c>
      <c r="F9678" s="19" t="str">
        <f>IFERROR(__xludf.DUMMYFUNCTION("""COMPUTED_VALUE"""),"BLACK")</f>
        <v>BLACK</v>
      </c>
      <c r="G9678" s="20" t="str">
        <f>IFERROR(__xludf.DUMMYFUNCTION("""COMPUTED_VALUE"""),"Uncle Sams Cider (04/04/2023)")</f>
        <v>Uncle Sams Cider (04/04/2023)</v>
      </c>
      <c r="H9678" s="19"/>
    </row>
    <row r="9679">
      <c r="A9679" s="9"/>
      <c r="B9679" s="15"/>
      <c r="C9679" s="9">
        <f>IFERROR(__xludf.DUMMYFUNCTION("""COMPUTED_VALUE"""),45042.5272457291)</f>
        <v>45042.52725</v>
      </c>
      <c r="D9679" s="15">
        <f>IFERROR(__xludf.DUMMYFUNCTION("""COMPUTED_VALUE"""),1.031)</f>
        <v>1.031</v>
      </c>
      <c r="E9679" s="16">
        <f>IFERROR(__xludf.DUMMYFUNCTION("""COMPUTED_VALUE"""),64.0)</f>
        <v>64</v>
      </c>
      <c r="F9679" s="19" t="str">
        <f>IFERROR(__xludf.DUMMYFUNCTION("""COMPUTED_VALUE"""),"BLACK")</f>
        <v>BLACK</v>
      </c>
      <c r="G9679" s="20" t="str">
        <f>IFERROR(__xludf.DUMMYFUNCTION("""COMPUTED_VALUE"""),"Uncle Sams Cider (04/04/2023)")</f>
        <v>Uncle Sams Cider (04/04/2023)</v>
      </c>
      <c r="H9679" s="19"/>
    </row>
    <row r="9680">
      <c r="A9680" s="9"/>
      <c r="B9680" s="15"/>
      <c r="C9680" s="9">
        <f>IFERROR(__xludf.DUMMYFUNCTION("""COMPUTED_VALUE"""),45042.5167914351)</f>
        <v>45042.51679</v>
      </c>
      <c r="D9680" s="15">
        <f>IFERROR(__xludf.DUMMYFUNCTION("""COMPUTED_VALUE"""),1.031)</f>
        <v>1.031</v>
      </c>
      <c r="E9680" s="16">
        <f>IFERROR(__xludf.DUMMYFUNCTION("""COMPUTED_VALUE"""),64.0)</f>
        <v>64</v>
      </c>
      <c r="F9680" s="19" t="str">
        <f>IFERROR(__xludf.DUMMYFUNCTION("""COMPUTED_VALUE"""),"BLACK")</f>
        <v>BLACK</v>
      </c>
      <c r="G9680" s="20" t="str">
        <f>IFERROR(__xludf.DUMMYFUNCTION("""COMPUTED_VALUE"""),"Uncle Sams Cider (04/04/2023)")</f>
        <v>Uncle Sams Cider (04/04/2023)</v>
      </c>
      <c r="H9680" s="19"/>
    </row>
    <row r="9681">
      <c r="A9681" s="9"/>
      <c r="B9681" s="15"/>
      <c r="C9681" s="9">
        <f>IFERROR(__xludf.DUMMYFUNCTION("""COMPUTED_VALUE"""),45042.5063462384)</f>
        <v>45042.50635</v>
      </c>
      <c r="D9681" s="15">
        <f>IFERROR(__xludf.DUMMYFUNCTION("""COMPUTED_VALUE"""),1.032)</f>
        <v>1.032</v>
      </c>
      <c r="E9681" s="16">
        <f>IFERROR(__xludf.DUMMYFUNCTION("""COMPUTED_VALUE"""),64.0)</f>
        <v>64</v>
      </c>
      <c r="F9681" s="19" t="str">
        <f>IFERROR(__xludf.DUMMYFUNCTION("""COMPUTED_VALUE"""),"BLACK")</f>
        <v>BLACK</v>
      </c>
      <c r="G9681" s="20" t="str">
        <f>IFERROR(__xludf.DUMMYFUNCTION("""COMPUTED_VALUE"""),"Uncle Sams Cider (04/04/2023)")</f>
        <v>Uncle Sams Cider (04/04/2023)</v>
      </c>
      <c r="H9681" s="19"/>
    </row>
    <row r="9682">
      <c r="A9682" s="9"/>
      <c r="B9682" s="15"/>
      <c r="C9682" s="9">
        <f>IFERROR(__xludf.DUMMYFUNCTION("""COMPUTED_VALUE"""),45042.4959245949)</f>
        <v>45042.49592</v>
      </c>
      <c r="D9682" s="15">
        <f>IFERROR(__xludf.DUMMYFUNCTION("""COMPUTED_VALUE"""),1.031)</f>
        <v>1.031</v>
      </c>
      <c r="E9682" s="16">
        <f>IFERROR(__xludf.DUMMYFUNCTION("""COMPUTED_VALUE"""),64.0)</f>
        <v>64</v>
      </c>
      <c r="F9682" s="19" t="str">
        <f>IFERROR(__xludf.DUMMYFUNCTION("""COMPUTED_VALUE"""),"BLACK")</f>
        <v>BLACK</v>
      </c>
      <c r="G9682" s="20" t="str">
        <f>IFERROR(__xludf.DUMMYFUNCTION("""COMPUTED_VALUE"""),"Uncle Sams Cider (04/04/2023)")</f>
        <v>Uncle Sams Cider (04/04/2023)</v>
      </c>
      <c r="H9682" s="19"/>
    </row>
    <row r="9683">
      <c r="A9683" s="9"/>
      <c r="B9683" s="15"/>
      <c r="C9683" s="9">
        <f>IFERROR(__xludf.DUMMYFUNCTION("""COMPUTED_VALUE"""),45042.4855026851)</f>
        <v>45042.4855</v>
      </c>
      <c r="D9683" s="15">
        <f>IFERROR(__xludf.DUMMYFUNCTION("""COMPUTED_VALUE"""),1.031)</f>
        <v>1.031</v>
      </c>
      <c r="E9683" s="16">
        <f>IFERROR(__xludf.DUMMYFUNCTION("""COMPUTED_VALUE"""),64.0)</f>
        <v>64</v>
      </c>
      <c r="F9683" s="19" t="str">
        <f>IFERROR(__xludf.DUMMYFUNCTION("""COMPUTED_VALUE"""),"BLACK")</f>
        <v>BLACK</v>
      </c>
      <c r="G9683" s="20" t="str">
        <f>IFERROR(__xludf.DUMMYFUNCTION("""COMPUTED_VALUE"""),"Uncle Sams Cider (04/04/2023)")</f>
        <v>Uncle Sams Cider (04/04/2023)</v>
      </c>
      <c r="H9683" s="19"/>
    </row>
    <row r="9684">
      <c r="A9684" s="9"/>
      <c r="B9684" s="15"/>
      <c r="C9684" s="9">
        <f>IFERROR(__xludf.DUMMYFUNCTION("""COMPUTED_VALUE"""),45042.4750810185)</f>
        <v>45042.47508</v>
      </c>
      <c r="D9684" s="15">
        <f>IFERROR(__xludf.DUMMYFUNCTION("""COMPUTED_VALUE"""),1.031)</f>
        <v>1.031</v>
      </c>
      <c r="E9684" s="16">
        <f>IFERROR(__xludf.DUMMYFUNCTION("""COMPUTED_VALUE"""),64.0)</f>
        <v>64</v>
      </c>
      <c r="F9684" s="19" t="str">
        <f>IFERROR(__xludf.DUMMYFUNCTION("""COMPUTED_VALUE"""),"BLACK")</f>
        <v>BLACK</v>
      </c>
      <c r="G9684" s="20" t="str">
        <f>IFERROR(__xludf.DUMMYFUNCTION("""COMPUTED_VALUE"""),"Uncle Sams Cider (04/04/2023)")</f>
        <v>Uncle Sams Cider (04/04/2023)</v>
      </c>
      <c r="H9684" s="19"/>
    </row>
    <row r="9685">
      <c r="A9685" s="9"/>
      <c r="B9685" s="15"/>
      <c r="C9685" s="9">
        <f>IFERROR(__xludf.DUMMYFUNCTION("""COMPUTED_VALUE"""),45042.4646138425)</f>
        <v>45042.46461</v>
      </c>
      <c r="D9685" s="15">
        <f>IFERROR(__xludf.DUMMYFUNCTION("""COMPUTED_VALUE"""),1.031)</f>
        <v>1.031</v>
      </c>
      <c r="E9685" s="16">
        <f>IFERROR(__xludf.DUMMYFUNCTION("""COMPUTED_VALUE"""),64.0)</f>
        <v>64</v>
      </c>
      <c r="F9685" s="19" t="str">
        <f>IFERROR(__xludf.DUMMYFUNCTION("""COMPUTED_VALUE"""),"BLACK")</f>
        <v>BLACK</v>
      </c>
      <c r="G9685" s="20" t="str">
        <f>IFERROR(__xludf.DUMMYFUNCTION("""COMPUTED_VALUE"""),"Uncle Sams Cider (04/04/2023)")</f>
        <v>Uncle Sams Cider (04/04/2023)</v>
      </c>
      <c r="H9685" s="19"/>
    </row>
    <row r="9686">
      <c r="A9686" s="9"/>
      <c r="B9686" s="15"/>
      <c r="C9686" s="9">
        <f>IFERROR(__xludf.DUMMYFUNCTION("""COMPUTED_VALUE"""),45042.4541354166)</f>
        <v>45042.45414</v>
      </c>
      <c r="D9686" s="15">
        <f>IFERROR(__xludf.DUMMYFUNCTION("""COMPUTED_VALUE"""),1.031)</f>
        <v>1.031</v>
      </c>
      <c r="E9686" s="16">
        <f>IFERROR(__xludf.DUMMYFUNCTION("""COMPUTED_VALUE"""),64.0)</f>
        <v>64</v>
      </c>
      <c r="F9686" s="19" t="str">
        <f>IFERROR(__xludf.DUMMYFUNCTION("""COMPUTED_VALUE"""),"BLACK")</f>
        <v>BLACK</v>
      </c>
      <c r="G9686" s="20" t="str">
        <f>IFERROR(__xludf.DUMMYFUNCTION("""COMPUTED_VALUE"""),"Uncle Sams Cider (04/04/2023)")</f>
        <v>Uncle Sams Cider (04/04/2023)</v>
      </c>
      <c r="H9686" s="19"/>
    </row>
    <row r="9687">
      <c r="A9687" s="9"/>
      <c r="B9687" s="15"/>
      <c r="C9687" s="9">
        <f>IFERROR(__xludf.DUMMYFUNCTION("""COMPUTED_VALUE"""),45042.4437140856)</f>
        <v>45042.44371</v>
      </c>
      <c r="D9687" s="15">
        <f>IFERROR(__xludf.DUMMYFUNCTION("""COMPUTED_VALUE"""),1.031)</f>
        <v>1.031</v>
      </c>
      <c r="E9687" s="16">
        <f>IFERROR(__xludf.DUMMYFUNCTION("""COMPUTED_VALUE"""),64.0)</f>
        <v>64</v>
      </c>
      <c r="F9687" s="19" t="str">
        <f>IFERROR(__xludf.DUMMYFUNCTION("""COMPUTED_VALUE"""),"BLACK")</f>
        <v>BLACK</v>
      </c>
      <c r="G9687" s="20" t="str">
        <f>IFERROR(__xludf.DUMMYFUNCTION("""COMPUTED_VALUE"""),"Uncle Sams Cider (04/04/2023)")</f>
        <v>Uncle Sams Cider (04/04/2023)</v>
      </c>
      <c r="H9687" s="19"/>
    </row>
    <row r="9688">
      <c r="A9688" s="9"/>
      <c r="B9688" s="15"/>
      <c r="C9688" s="9">
        <f>IFERROR(__xludf.DUMMYFUNCTION("""COMPUTED_VALUE"""),45042.4332933333)</f>
        <v>45042.43329</v>
      </c>
      <c r="D9688" s="15">
        <f>IFERROR(__xludf.DUMMYFUNCTION("""COMPUTED_VALUE"""),1.031)</f>
        <v>1.031</v>
      </c>
      <c r="E9688" s="16">
        <f>IFERROR(__xludf.DUMMYFUNCTION("""COMPUTED_VALUE"""),64.0)</f>
        <v>64</v>
      </c>
      <c r="F9688" s="19" t="str">
        <f>IFERROR(__xludf.DUMMYFUNCTION("""COMPUTED_VALUE"""),"BLACK")</f>
        <v>BLACK</v>
      </c>
      <c r="G9688" s="20" t="str">
        <f>IFERROR(__xludf.DUMMYFUNCTION("""COMPUTED_VALUE"""),"Uncle Sams Cider (04/04/2023)")</f>
        <v>Uncle Sams Cider (04/04/2023)</v>
      </c>
      <c r="H9688" s="19"/>
    </row>
    <row r="9689">
      <c r="A9689" s="9"/>
      <c r="B9689" s="15"/>
      <c r="C9689" s="9">
        <f>IFERROR(__xludf.DUMMYFUNCTION("""COMPUTED_VALUE"""),45042.4228727199)</f>
        <v>45042.42287</v>
      </c>
      <c r="D9689" s="15">
        <f>IFERROR(__xludf.DUMMYFUNCTION("""COMPUTED_VALUE"""),1.031)</f>
        <v>1.031</v>
      </c>
      <c r="E9689" s="16">
        <f>IFERROR(__xludf.DUMMYFUNCTION("""COMPUTED_VALUE"""),64.0)</f>
        <v>64</v>
      </c>
      <c r="F9689" s="19" t="str">
        <f>IFERROR(__xludf.DUMMYFUNCTION("""COMPUTED_VALUE"""),"BLACK")</f>
        <v>BLACK</v>
      </c>
      <c r="G9689" s="20" t="str">
        <f>IFERROR(__xludf.DUMMYFUNCTION("""COMPUTED_VALUE"""),"Uncle Sams Cider (04/04/2023)")</f>
        <v>Uncle Sams Cider (04/04/2023)</v>
      </c>
      <c r="H9689" s="19"/>
    </row>
    <row r="9690">
      <c r="A9690" s="9"/>
      <c r="B9690" s="15"/>
      <c r="C9690" s="9">
        <f>IFERROR(__xludf.DUMMYFUNCTION("""COMPUTED_VALUE"""),45042.4124510532)</f>
        <v>45042.41245</v>
      </c>
      <c r="D9690" s="15">
        <f>IFERROR(__xludf.DUMMYFUNCTION("""COMPUTED_VALUE"""),1.032)</f>
        <v>1.032</v>
      </c>
      <c r="E9690" s="16">
        <f>IFERROR(__xludf.DUMMYFUNCTION("""COMPUTED_VALUE"""),64.0)</f>
        <v>64</v>
      </c>
      <c r="F9690" s="19" t="str">
        <f>IFERROR(__xludf.DUMMYFUNCTION("""COMPUTED_VALUE"""),"BLACK")</f>
        <v>BLACK</v>
      </c>
      <c r="G9690" s="20" t="str">
        <f>IFERROR(__xludf.DUMMYFUNCTION("""COMPUTED_VALUE"""),"Uncle Sams Cider (04/04/2023)")</f>
        <v>Uncle Sams Cider (04/04/2023)</v>
      </c>
      <c r="H9690" s="19"/>
    </row>
    <row r="9691">
      <c r="A9691" s="9"/>
      <c r="B9691" s="15"/>
      <c r="C9691" s="9">
        <f>IFERROR(__xludf.DUMMYFUNCTION("""COMPUTED_VALUE"""),45042.402020949)</f>
        <v>45042.40202</v>
      </c>
      <c r="D9691" s="15">
        <f>IFERROR(__xludf.DUMMYFUNCTION("""COMPUTED_VALUE"""),1.032)</f>
        <v>1.032</v>
      </c>
      <c r="E9691" s="16">
        <f>IFERROR(__xludf.DUMMYFUNCTION("""COMPUTED_VALUE"""),64.0)</f>
        <v>64</v>
      </c>
      <c r="F9691" s="19" t="str">
        <f>IFERROR(__xludf.DUMMYFUNCTION("""COMPUTED_VALUE"""),"BLACK")</f>
        <v>BLACK</v>
      </c>
      <c r="G9691" s="20" t="str">
        <f>IFERROR(__xludf.DUMMYFUNCTION("""COMPUTED_VALUE"""),"Uncle Sams Cider (04/04/2023)")</f>
        <v>Uncle Sams Cider (04/04/2023)</v>
      </c>
      <c r="H9691" s="19"/>
    </row>
    <row r="9692">
      <c r="A9692" s="9"/>
      <c r="B9692" s="15"/>
      <c r="C9692" s="9">
        <f>IFERROR(__xludf.DUMMYFUNCTION("""COMPUTED_VALUE"""),45042.391575625)</f>
        <v>45042.39158</v>
      </c>
      <c r="D9692" s="15">
        <f>IFERROR(__xludf.DUMMYFUNCTION("""COMPUTED_VALUE"""),1.031)</f>
        <v>1.031</v>
      </c>
      <c r="E9692" s="16">
        <f>IFERROR(__xludf.DUMMYFUNCTION("""COMPUTED_VALUE"""),64.0)</f>
        <v>64</v>
      </c>
      <c r="F9692" s="19" t="str">
        <f>IFERROR(__xludf.DUMMYFUNCTION("""COMPUTED_VALUE"""),"BLACK")</f>
        <v>BLACK</v>
      </c>
      <c r="G9692" s="20" t="str">
        <f>IFERROR(__xludf.DUMMYFUNCTION("""COMPUTED_VALUE"""),"Uncle Sams Cider (04/04/2023)")</f>
        <v>Uncle Sams Cider (04/04/2023)</v>
      </c>
      <c r="H9692" s="19"/>
    </row>
    <row r="9693">
      <c r="A9693" s="9"/>
      <c r="B9693" s="15"/>
      <c r="C9693" s="9">
        <f>IFERROR(__xludf.DUMMYFUNCTION("""COMPUTED_VALUE"""),45042.3811564351)</f>
        <v>45042.38116</v>
      </c>
      <c r="D9693" s="15">
        <f>IFERROR(__xludf.DUMMYFUNCTION("""COMPUTED_VALUE"""),1.032)</f>
        <v>1.032</v>
      </c>
      <c r="E9693" s="16">
        <f>IFERROR(__xludf.DUMMYFUNCTION("""COMPUTED_VALUE"""),65.0)</f>
        <v>65</v>
      </c>
      <c r="F9693" s="19" t="str">
        <f>IFERROR(__xludf.DUMMYFUNCTION("""COMPUTED_VALUE"""),"BLACK")</f>
        <v>BLACK</v>
      </c>
      <c r="G9693" s="20" t="str">
        <f>IFERROR(__xludf.DUMMYFUNCTION("""COMPUTED_VALUE"""),"Uncle Sams Cider (04/04/2023)")</f>
        <v>Uncle Sams Cider (04/04/2023)</v>
      </c>
      <c r="H9693" s="19"/>
    </row>
    <row r="9694">
      <c r="A9694" s="9"/>
      <c r="B9694" s="15"/>
      <c r="C9694" s="9">
        <f>IFERROR(__xludf.DUMMYFUNCTION("""COMPUTED_VALUE"""),45042.3707108333)</f>
        <v>45042.37071</v>
      </c>
      <c r="D9694" s="15">
        <f>IFERROR(__xludf.DUMMYFUNCTION("""COMPUTED_VALUE"""),1.032)</f>
        <v>1.032</v>
      </c>
      <c r="E9694" s="16">
        <f>IFERROR(__xludf.DUMMYFUNCTION("""COMPUTED_VALUE"""),64.0)</f>
        <v>64</v>
      </c>
      <c r="F9694" s="19" t="str">
        <f>IFERROR(__xludf.DUMMYFUNCTION("""COMPUTED_VALUE"""),"BLACK")</f>
        <v>BLACK</v>
      </c>
      <c r="G9694" s="20" t="str">
        <f>IFERROR(__xludf.DUMMYFUNCTION("""COMPUTED_VALUE"""),"Uncle Sams Cider (04/04/2023)")</f>
        <v>Uncle Sams Cider (04/04/2023)</v>
      </c>
      <c r="H9694" s="19"/>
    </row>
    <row r="9695">
      <c r="A9695" s="9"/>
      <c r="B9695" s="15"/>
      <c r="C9695" s="9">
        <f>IFERROR(__xludf.DUMMYFUNCTION("""COMPUTED_VALUE"""),45042.3601744675)</f>
        <v>45042.36017</v>
      </c>
      <c r="D9695" s="15">
        <f>IFERROR(__xludf.DUMMYFUNCTION("""COMPUTED_VALUE"""),1.032)</f>
        <v>1.032</v>
      </c>
      <c r="E9695" s="16">
        <f>IFERROR(__xludf.DUMMYFUNCTION("""COMPUTED_VALUE"""),65.0)</f>
        <v>65</v>
      </c>
      <c r="F9695" s="19" t="str">
        <f>IFERROR(__xludf.DUMMYFUNCTION("""COMPUTED_VALUE"""),"BLACK")</f>
        <v>BLACK</v>
      </c>
      <c r="G9695" s="20" t="str">
        <f>IFERROR(__xludf.DUMMYFUNCTION("""COMPUTED_VALUE"""),"Uncle Sams Cider (04/04/2023)")</f>
        <v>Uncle Sams Cider (04/04/2023)</v>
      </c>
      <c r="H9695" s="19"/>
    </row>
    <row r="9696">
      <c r="A9696" s="9"/>
      <c r="B9696" s="15"/>
      <c r="C9696" s="9">
        <f>IFERROR(__xludf.DUMMYFUNCTION("""COMPUTED_VALUE"""),45042.3497534838)</f>
        <v>45042.34975</v>
      </c>
      <c r="D9696" s="15">
        <f>IFERROR(__xludf.DUMMYFUNCTION("""COMPUTED_VALUE"""),1.032)</f>
        <v>1.032</v>
      </c>
      <c r="E9696" s="16">
        <f>IFERROR(__xludf.DUMMYFUNCTION("""COMPUTED_VALUE"""),65.0)</f>
        <v>65</v>
      </c>
      <c r="F9696" s="19" t="str">
        <f>IFERROR(__xludf.DUMMYFUNCTION("""COMPUTED_VALUE"""),"BLACK")</f>
        <v>BLACK</v>
      </c>
      <c r="G9696" s="20" t="str">
        <f>IFERROR(__xludf.DUMMYFUNCTION("""COMPUTED_VALUE"""),"Uncle Sams Cider (04/04/2023)")</f>
        <v>Uncle Sams Cider (04/04/2023)</v>
      </c>
      <c r="H9696" s="19"/>
    </row>
    <row r="9697">
      <c r="A9697" s="9"/>
      <c r="B9697" s="15"/>
      <c r="C9697" s="9">
        <f>IFERROR(__xludf.DUMMYFUNCTION("""COMPUTED_VALUE"""),45042.3393314699)</f>
        <v>45042.33933</v>
      </c>
      <c r="D9697" s="15">
        <f>IFERROR(__xludf.DUMMYFUNCTION("""COMPUTED_VALUE"""),1.032)</f>
        <v>1.032</v>
      </c>
      <c r="E9697" s="16">
        <f>IFERROR(__xludf.DUMMYFUNCTION("""COMPUTED_VALUE"""),65.0)</f>
        <v>65</v>
      </c>
      <c r="F9697" s="19" t="str">
        <f>IFERROR(__xludf.DUMMYFUNCTION("""COMPUTED_VALUE"""),"BLACK")</f>
        <v>BLACK</v>
      </c>
      <c r="G9697" s="20" t="str">
        <f>IFERROR(__xludf.DUMMYFUNCTION("""COMPUTED_VALUE"""),"Uncle Sams Cider (04/04/2023)")</f>
        <v>Uncle Sams Cider (04/04/2023)</v>
      </c>
      <c r="H9697" s="19"/>
    </row>
    <row r="9698">
      <c r="A9698" s="9"/>
      <c r="B9698" s="15"/>
      <c r="C9698" s="9">
        <f>IFERROR(__xludf.DUMMYFUNCTION("""COMPUTED_VALUE"""),45042.3288877083)</f>
        <v>45042.32889</v>
      </c>
      <c r="D9698" s="15">
        <f>IFERROR(__xludf.DUMMYFUNCTION("""COMPUTED_VALUE"""),1.032)</f>
        <v>1.032</v>
      </c>
      <c r="E9698" s="16">
        <f>IFERROR(__xludf.DUMMYFUNCTION("""COMPUTED_VALUE"""),65.0)</f>
        <v>65</v>
      </c>
      <c r="F9698" s="19" t="str">
        <f>IFERROR(__xludf.DUMMYFUNCTION("""COMPUTED_VALUE"""),"BLACK")</f>
        <v>BLACK</v>
      </c>
      <c r="G9698" s="20" t="str">
        <f>IFERROR(__xludf.DUMMYFUNCTION("""COMPUTED_VALUE"""),"Uncle Sams Cider (04/04/2023)")</f>
        <v>Uncle Sams Cider (04/04/2023)</v>
      </c>
      <c r="H9698" s="19"/>
    </row>
    <row r="9699">
      <c r="A9699" s="9"/>
      <c r="B9699" s="15"/>
      <c r="C9699" s="9">
        <f>IFERROR(__xludf.DUMMYFUNCTION("""COMPUTED_VALUE"""),45042.3184665972)</f>
        <v>45042.31847</v>
      </c>
      <c r="D9699" s="15">
        <f>IFERROR(__xludf.DUMMYFUNCTION("""COMPUTED_VALUE"""),1.032)</f>
        <v>1.032</v>
      </c>
      <c r="E9699" s="16">
        <f>IFERROR(__xludf.DUMMYFUNCTION("""COMPUTED_VALUE"""),64.0)</f>
        <v>64</v>
      </c>
      <c r="F9699" s="19" t="str">
        <f>IFERROR(__xludf.DUMMYFUNCTION("""COMPUTED_VALUE"""),"BLACK")</f>
        <v>BLACK</v>
      </c>
      <c r="G9699" s="20" t="str">
        <f>IFERROR(__xludf.DUMMYFUNCTION("""COMPUTED_VALUE"""),"Uncle Sams Cider (04/04/2023)")</f>
        <v>Uncle Sams Cider (04/04/2023)</v>
      </c>
      <c r="H9699" s="19"/>
    </row>
    <row r="9700">
      <c r="A9700" s="9"/>
      <c r="B9700" s="15"/>
      <c r="C9700" s="9">
        <f>IFERROR(__xludf.DUMMYFUNCTION("""COMPUTED_VALUE"""),45042.3080444675)</f>
        <v>45042.30804</v>
      </c>
      <c r="D9700" s="15">
        <f>IFERROR(__xludf.DUMMYFUNCTION("""COMPUTED_VALUE"""),1.031)</f>
        <v>1.031</v>
      </c>
      <c r="E9700" s="16">
        <f>IFERROR(__xludf.DUMMYFUNCTION("""COMPUTED_VALUE"""),65.0)</f>
        <v>65</v>
      </c>
      <c r="F9700" s="19" t="str">
        <f>IFERROR(__xludf.DUMMYFUNCTION("""COMPUTED_VALUE"""),"BLACK")</f>
        <v>BLACK</v>
      </c>
      <c r="G9700" s="20" t="str">
        <f>IFERROR(__xludf.DUMMYFUNCTION("""COMPUTED_VALUE"""),"Uncle Sams Cider (04/04/2023)")</f>
        <v>Uncle Sams Cider (04/04/2023)</v>
      </c>
      <c r="H9700" s="19"/>
    </row>
    <row r="9701">
      <c r="A9701" s="9"/>
      <c r="B9701" s="15"/>
      <c r="C9701" s="9">
        <f>IFERROR(__xludf.DUMMYFUNCTION("""COMPUTED_VALUE"""),45042.2975426157)</f>
        <v>45042.29754</v>
      </c>
      <c r="D9701" s="15">
        <f>IFERROR(__xludf.DUMMYFUNCTION("""COMPUTED_VALUE"""),1.032)</f>
        <v>1.032</v>
      </c>
      <c r="E9701" s="16">
        <f>IFERROR(__xludf.DUMMYFUNCTION("""COMPUTED_VALUE"""),65.0)</f>
        <v>65</v>
      </c>
      <c r="F9701" s="19" t="str">
        <f>IFERROR(__xludf.DUMMYFUNCTION("""COMPUTED_VALUE"""),"BLACK")</f>
        <v>BLACK</v>
      </c>
      <c r="G9701" s="20" t="str">
        <f>IFERROR(__xludf.DUMMYFUNCTION("""COMPUTED_VALUE"""),"Uncle Sams Cider (04/04/2023)")</f>
        <v>Uncle Sams Cider (04/04/2023)</v>
      </c>
      <c r="H9701" s="19"/>
    </row>
    <row r="9702">
      <c r="A9702" s="9"/>
      <c r="B9702" s="15"/>
      <c r="C9702" s="9">
        <f>IFERROR(__xludf.DUMMYFUNCTION("""COMPUTED_VALUE"""),45042.2871223263)</f>
        <v>45042.28712</v>
      </c>
      <c r="D9702" s="15">
        <f>IFERROR(__xludf.DUMMYFUNCTION("""COMPUTED_VALUE"""),1.032)</f>
        <v>1.032</v>
      </c>
      <c r="E9702" s="16">
        <f>IFERROR(__xludf.DUMMYFUNCTION("""COMPUTED_VALUE"""),64.0)</f>
        <v>64</v>
      </c>
      <c r="F9702" s="19" t="str">
        <f>IFERROR(__xludf.DUMMYFUNCTION("""COMPUTED_VALUE"""),"BLACK")</f>
        <v>BLACK</v>
      </c>
      <c r="G9702" s="20" t="str">
        <f>IFERROR(__xludf.DUMMYFUNCTION("""COMPUTED_VALUE"""),"Uncle Sams Cider (04/04/2023)")</f>
        <v>Uncle Sams Cider (04/04/2023)</v>
      </c>
      <c r="H9702" s="19"/>
    </row>
    <row r="9703">
      <c r="A9703" s="9"/>
      <c r="B9703" s="15"/>
      <c r="C9703" s="9">
        <f>IFERROR(__xludf.DUMMYFUNCTION("""COMPUTED_VALUE"""),45042.2766899074)</f>
        <v>45042.27669</v>
      </c>
      <c r="D9703" s="15">
        <f>IFERROR(__xludf.DUMMYFUNCTION("""COMPUTED_VALUE"""),1.031)</f>
        <v>1.031</v>
      </c>
      <c r="E9703" s="16">
        <f>IFERROR(__xludf.DUMMYFUNCTION("""COMPUTED_VALUE"""),65.0)</f>
        <v>65</v>
      </c>
      <c r="F9703" s="19" t="str">
        <f>IFERROR(__xludf.DUMMYFUNCTION("""COMPUTED_VALUE"""),"BLACK")</f>
        <v>BLACK</v>
      </c>
      <c r="G9703" s="20" t="str">
        <f>IFERROR(__xludf.DUMMYFUNCTION("""COMPUTED_VALUE"""),"Uncle Sams Cider (04/04/2023)")</f>
        <v>Uncle Sams Cider (04/04/2023)</v>
      </c>
      <c r="H9703" s="19"/>
    </row>
    <row r="9704">
      <c r="A9704" s="9"/>
      <c r="B9704" s="15"/>
      <c r="C9704" s="9">
        <f>IFERROR(__xludf.DUMMYFUNCTION("""COMPUTED_VALUE"""),45042.2662683101)</f>
        <v>45042.26627</v>
      </c>
      <c r="D9704" s="15">
        <f>IFERROR(__xludf.DUMMYFUNCTION("""COMPUTED_VALUE"""),1.032)</f>
        <v>1.032</v>
      </c>
      <c r="E9704" s="16">
        <f>IFERROR(__xludf.DUMMYFUNCTION("""COMPUTED_VALUE"""),65.0)</f>
        <v>65</v>
      </c>
      <c r="F9704" s="19" t="str">
        <f>IFERROR(__xludf.DUMMYFUNCTION("""COMPUTED_VALUE"""),"BLACK")</f>
        <v>BLACK</v>
      </c>
      <c r="G9704" s="20" t="str">
        <f>IFERROR(__xludf.DUMMYFUNCTION("""COMPUTED_VALUE"""),"Uncle Sams Cider (04/04/2023)")</f>
        <v>Uncle Sams Cider (04/04/2023)</v>
      </c>
      <c r="H9704" s="19"/>
    </row>
    <row r="9705">
      <c r="A9705" s="9"/>
      <c r="B9705" s="15"/>
      <c r="C9705" s="9">
        <f>IFERROR(__xludf.DUMMYFUNCTION("""COMPUTED_VALUE"""),45042.2558473726)</f>
        <v>45042.25585</v>
      </c>
      <c r="D9705" s="15">
        <f>IFERROR(__xludf.DUMMYFUNCTION("""COMPUTED_VALUE"""),1.032)</f>
        <v>1.032</v>
      </c>
      <c r="E9705" s="16">
        <f>IFERROR(__xludf.DUMMYFUNCTION("""COMPUTED_VALUE"""),65.0)</f>
        <v>65</v>
      </c>
      <c r="F9705" s="19" t="str">
        <f>IFERROR(__xludf.DUMMYFUNCTION("""COMPUTED_VALUE"""),"BLACK")</f>
        <v>BLACK</v>
      </c>
      <c r="G9705" s="20" t="str">
        <f>IFERROR(__xludf.DUMMYFUNCTION("""COMPUTED_VALUE"""),"Uncle Sams Cider (04/04/2023)")</f>
        <v>Uncle Sams Cider (04/04/2023)</v>
      </c>
      <c r="H9705" s="19"/>
    </row>
    <row r="9706">
      <c r="A9706" s="9"/>
      <c r="B9706" s="15"/>
      <c r="C9706" s="9">
        <f>IFERROR(__xludf.DUMMYFUNCTION("""COMPUTED_VALUE"""),45042.245427037)</f>
        <v>45042.24543</v>
      </c>
      <c r="D9706" s="15">
        <f>IFERROR(__xludf.DUMMYFUNCTION("""COMPUTED_VALUE"""),1.032)</f>
        <v>1.032</v>
      </c>
      <c r="E9706" s="16">
        <f>IFERROR(__xludf.DUMMYFUNCTION("""COMPUTED_VALUE"""),65.0)</f>
        <v>65</v>
      </c>
      <c r="F9706" s="19" t="str">
        <f>IFERROR(__xludf.DUMMYFUNCTION("""COMPUTED_VALUE"""),"BLACK")</f>
        <v>BLACK</v>
      </c>
      <c r="G9706" s="20" t="str">
        <f>IFERROR(__xludf.DUMMYFUNCTION("""COMPUTED_VALUE"""),"Uncle Sams Cider (04/04/2023)")</f>
        <v>Uncle Sams Cider (04/04/2023)</v>
      </c>
      <c r="H9706" s="19"/>
    </row>
    <row r="9707">
      <c r="A9707" s="9"/>
      <c r="B9707" s="15"/>
      <c r="C9707" s="9">
        <f>IFERROR(__xludf.DUMMYFUNCTION("""COMPUTED_VALUE"""),45042.2350041435)</f>
        <v>45042.235</v>
      </c>
      <c r="D9707" s="15">
        <f>IFERROR(__xludf.DUMMYFUNCTION("""COMPUTED_VALUE"""),1.032)</f>
        <v>1.032</v>
      </c>
      <c r="E9707" s="16">
        <f>IFERROR(__xludf.DUMMYFUNCTION("""COMPUTED_VALUE"""),65.0)</f>
        <v>65</v>
      </c>
      <c r="F9707" s="19" t="str">
        <f>IFERROR(__xludf.DUMMYFUNCTION("""COMPUTED_VALUE"""),"BLACK")</f>
        <v>BLACK</v>
      </c>
      <c r="G9707" s="20" t="str">
        <f>IFERROR(__xludf.DUMMYFUNCTION("""COMPUTED_VALUE"""),"Uncle Sams Cider (04/04/2023)")</f>
        <v>Uncle Sams Cider (04/04/2023)</v>
      </c>
      <c r="H9707" s="19"/>
    </row>
    <row r="9708">
      <c r="A9708" s="9"/>
      <c r="B9708" s="15"/>
      <c r="C9708" s="9">
        <f>IFERROR(__xludf.DUMMYFUNCTION("""COMPUTED_VALUE"""),45042.2245845833)</f>
        <v>45042.22458</v>
      </c>
      <c r="D9708" s="15">
        <f>IFERROR(__xludf.DUMMYFUNCTION("""COMPUTED_VALUE"""),1.032)</f>
        <v>1.032</v>
      </c>
      <c r="E9708" s="16">
        <f>IFERROR(__xludf.DUMMYFUNCTION("""COMPUTED_VALUE"""),65.0)</f>
        <v>65</v>
      </c>
      <c r="F9708" s="19" t="str">
        <f>IFERROR(__xludf.DUMMYFUNCTION("""COMPUTED_VALUE"""),"BLACK")</f>
        <v>BLACK</v>
      </c>
      <c r="G9708" s="20" t="str">
        <f>IFERROR(__xludf.DUMMYFUNCTION("""COMPUTED_VALUE"""),"Uncle Sams Cider (04/04/2023)")</f>
        <v>Uncle Sams Cider (04/04/2023)</v>
      </c>
      <c r="H9708" s="19"/>
    </row>
    <row r="9709">
      <c r="A9709" s="9"/>
      <c r="B9709" s="15"/>
      <c r="C9709" s="9">
        <f>IFERROR(__xludf.DUMMYFUNCTION("""COMPUTED_VALUE"""),45042.2141183217)</f>
        <v>45042.21412</v>
      </c>
      <c r="D9709" s="15">
        <f>IFERROR(__xludf.DUMMYFUNCTION("""COMPUTED_VALUE"""),1.032)</f>
        <v>1.032</v>
      </c>
      <c r="E9709" s="16">
        <f>IFERROR(__xludf.DUMMYFUNCTION("""COMPUTED_VALUE"""),65.0)</f>
        <v>65</v>
      </c>
      <c r="F9709" s="19" t="str">
        <f>IFERROR(__xludf.DUMMYFUNCTION("""COMPUTED_VALUE"""),"BLACK")</f>
        <v>BLACK</v>
      </c>
      <c r="G9709" s="20" t="str">
        <f>IFERROR(__xludf.DUMMYFUNCTION("""COMPUTED_VALUE"""),"Uncle Sams Cider (04/04/2023)")</f>
        <v>Uncle Sams Cider (04/04/2023)</v>
      </c>
      <c r="H9709" s="19"/>
    </row>
    <row r="9710">
      <c r="A9710" s="9"/>
      <c r="B9710" s="15"/>
      <c r="C9710" s="9">
        <f>IFERROR(__xludf.DUMMYFUNCTION("""COMPUTED_VALUE"""),45042.2036370833)</f>
        <v>45042.20364</v>
      </c>
      <c r="D9710" s="15">
        <f>IFERROR(__xludf.DUMMYFUNCTION("""COMPUTED_VALUE"""),1.032)</f>
        <v>1.032</v>
      </c>
      <c r="E9710" s="16">
        <f>IFERROR(__xludf.DUMMYFUNCTION("""COMPUTED_VALUE"""),65.0)</f>
        <v>65</v>
      </c>
      <c r="F9710" s="19" t="str">
        <f>IFERROR(__xludf.DUMMYFUNCTION("""COMPUTED_VALUE"""),"BLACK")</f>
        <v>BLACK</v>
      </c>
      <c r="G9710" s="20" t="str">
        <f>IFERROR(__xludf.DUMMYFUNCTION("""COMPUTED_VALUE"""),"Uncle Sams Cider (04/04/2023)")</f>
        <v>Uncle Sams Cider (04/04/2023)</v>
      </c>
      <c r="H9710" s="19"/>
    </row>
    <row r="9711">
      <c r="A9711" s="9"/>
      <c r="B9711" s="15"/>
      <c r="C9711" s="9">
        <f>IFERROR(__xludf.DUMMYFUNCTION("""COMPUTED_VALUE"""),45042.1932170139)</f>
        <v>45042.19322</v>
      </c>
      <c r="D9711" s="15">
        <f>IFERROR(__xludf.DUMMYFUNCTION("""COMPUTED_VALUE"""),1.032)</f>
        <v>1.032</v>
      </c>
      <c r="E9711" s="16">
        <f>IFERROR(__xludf.DUMMYFUNCTION("""COMPUTED_VALUE"""),65.0)</f>
        <v>65</v>
      </c>
      <c r="F9711" s="19" t="str">
        <f>IFERROR(__xludf.DUMMYFUNCTION("""COMPUTED_VALUE"""),"BLACK")</f>
        <v>BLACK</v>
      </c>
      <c r="G9711" s="20" t="str">
        <f>IFERROR(__xludf.DUMMYFUNCTION("""COMPUTED_VALUE"""),"Uncle Sams Cider (04/04/2023)")</f>
        <v>Uncle Sams Cider (04/04/2023)</v>
      </c>
      <c r="H9711" s="19"/>
    </row>
    <row r="9712">
      <c r="A9712" s="9"/>
      <c r="B9712" s="15"/>
      <c r="C9712" s="9">
        <f>IFERROR(__xludf.DUMMYFUNCTION("""COMPUTED_VALUE"""),45042.1827948263)</f>
        <v>45042.18279</v>
      </c>
      <c r="D9712" s="15">
        <f>IFERROR(__xludf.DUMMYFUNCTION("""COMPUTED_VALUE"""),1.032)</f>
        <v>1.032</v>
      </c>
      <c r="E9712" s="16">
        <f>IFERROR(__xludf.DUMMYFUNCTION("""COMPUTED_VALUE"""),65.0)</f>
        <v>65</v>
      </c>
      <c r="F9712" s="19" t="str">
        <f>IFERROR(__xludf.DUMMYFUNCTION("""COMPUTED_VALUE"""),"BLACK")</f>
        <v>BLACK</v>
      </c>
      <c r="G9712" s="20" t="str">
        <f>IFERROR(__xludf.DUMMYFUNCTION("""COMPUTED_VALUE"""),"Uncle Sams Cider (04/04/2023)")</f>
        <v>Uncle Sams Cider (04/04/2023)</v>
      </c>
      <c r="H9712" s="19"/>
    </row>
    <row r="9713">
      <c r="A9713" s="9"/>
      <c r="B9713" s="15"/>
      <c r="C9713" s="9">
        <f>IFERROR(__xludf.DUMMYFUNCTION("""COMPUTED_VALUE"""),45042.172373368)</f>
        <v>45042.17237</v>
      </c>
      <c r="D9713" s="15">
        <f>IFERROR(__xludf.DUMMYFUNCTION("""COMPUTED_VALUE"""),1.032)</f>
        <v>1.032</v>
      </c>
      <c r="E9713" s="16">
        <f>IFERROR(__xludf.DUMMYFUNCTION("""COMPUTED_VALUE"""),65.0)</f>
        <v>65</v>
      </c>
      <c r="F9713" s="19" t="str">
        <f>IFERROR(__xludf.DUMMYFUNCTION("""COMPUTED_VALUE"""),"BLACK")</f>
        <v>BLACK</v>
      </c>
      <c r="G9713" s="20" t="str">
        <f>IFERROR(__xludf.DUMMYFUNCTION("""COMPUTED_VALUE"""),"Uncle Sams Cider (04/04/2023)")</f>
        <v>Uncle Sams Cider (04/04/2023)</v>
      </c>
      <c r="H9713" s="19"/>
    </row>
    <row r="9714">
      <c r="A9714" s="9"/>
      <c r="B9714" s="15"/>
      <c r="C9714" s="9">
        <f>IFERROR(__xludf.DUMMYFUNCTION("""COMPUTED_VALUE"""),45042.1619036805)</f>
        <v>45042.1619</v>
      </c>
      <c r="D9714" s="15">
        <f>IFERROR(__xludf.DUMMYFUNCTION("""COMPUTED_VALUE"""),1.032)</f>
        <v>1.032</v>
      </c>
      <c r="E9714" s="16">
        <f>IFERROR(__xludf.DUMMYFUNCTION("""COMPUTED_VALUE"""),65.0)</f>
        <v>65</v>
      </c>
      <c r="F9714" s="19" t="str">
        <f>IFERROR(__xludf.DUMMYFUNCTION("""COMPUTED_VALUE"""),"BLACK")</f>
        <v>BLACK</v>
      </c>
      <c r="G9714" s="20" t="str">
        <f>IFERROR(__xludf.DUMMYFUNCTION("""COMPUTED_VALUE"""),"Uncle Sams Cider (04/04/2023)")</f>
        <v>Uncle Sams Cider (04/04/2023)</v>
      </c>
      <c r="H9714" s="19"/>
    </row>
    <row r="9715">
      <c r="A9715" s="9"/>
      <c r="B9715" s="15"/>
      <c r="C9715" s="9">
        <f>IFERROR(__xludf.DUMMYFUNCTION("""COMPUTED_VALUE"""),45042.1514616203)</f>
        <v>45042.15146</v>
      </c>
      <c r="D9715" s="15">
        <f>IFERROR(__xludf.DUMMYFUNCTION("""COMPUTED_VALUE"""),1.032)</f>
        <v>1.032</v>
      </c>
      <c r="E9715" s="16">
        <f>IFERROR(__xludf.DUMMYFUNCTION("""COMPUTED_VALUE"""),65.0)</f>
        <v>65</v>
      </c>
      <c r="F9715" s="19" t="str">
        <f>IFERROR(__xludf.DUMMYFUNCTION("""COMPUTED_VALUE"""),"BLACK")</f>
        <v>BLACK</v>
      </c>
      <c r="G9715" s="20" t="str">
        <f>IFERROR(__xludf.DUMMYFUNCTION("""COMPUTED_VALUE"""),"Uncle Sams Cider (04/04/2023)")</f>
        <v>Uncle Sams Cider (04/04/2023)</v>
      </c>
      <c r="H9715" s="19"/>
    </row>
    <row r="9716">
      <c r="A9716" s="9"/>
      <c r="B9716" s="15"/>
      <c r="C9716" s="9">
        <f>IFERROR(__xludf.DUMMYFUNCTION("""COMPUTED_VALUE"""),45042.1410286458)</f>
        <v>45042.14103</v>
      </c>
      <c r="D9716" s="15">
        <f>IFERROR(__xludf.DUMMYFUNCTION("""COMPUTED_VALUE"""),1.032)</f>
        <v>1.032</v>
      </c>
      <c r="E9716" s="16">
        <f>IFERROR(__xludf.DUMMYFUNCTION("""COMPUTED_VALUE"""),65.0)</f>
        <v>65</v>
      </c>
      <c r="F9716" s="19" t="str">
        <f>IFERROR(__xludf.DUMMYFUNCTION("""COMPUTED_VALUE"""),"BLACK")</f>
        <v>BLACK</v>
      </c>
      <c r="G9716" s="20" t="str">
        <f>IFERROR(__xludf.DUMMYFUNCTION("""COMPUTED_VALUE"""),"Uncle Sams Cider (04/04/2023)")</f>
        <v>Uncle Sams Cider (04/04/2023)</v>
      </c>
      <c r="H9716" s="19"/>
    </row>
    <row r="9717">
      <c r="A9717" s="9"/>
      <c r="B9717" s="15"/>
      <c r="C9717" s="9">
        <f>IFERROR(__xludf.DUMMYFUNCTION("""COMPUTED_VALUE"""),45042.1305946412)</f>
        <v>45042.13059</v>
      </c>
      <c r="D9717" s="15">
        <f>IFERROR(__xludf.DUMMYFUNCTION("""COMPUTED_VALUE"""),1.032)</f>
        <v>1.032</v>
      </c>
      <c r="E9717" s="16">
        <f>IFERROR(__xludf.DUMMYFUNCTION("""COMPUTED_VALUE"""),65.0)</f>
        <v>65</v>
      </c>
      <c r="F9717" s="19" t="str">
        <f>IFERROR(__xludf.DUMMYFUNCTION("""COMPUTED_VALUE"""),"BLACK")</f>
        <v>BLACK</v>
      </c>
      <c r="G9717" s="20" t="str">
        <f>IFERROR(__xludf.DUMMYFUNCTION("""COMPUTED_VALUE"""),"Uncle Sams Cider (04/04/2023)")</f>
        <v>Uncle Sams Cider (04/04/2023)</v>
      </c>
      <c r="H9717" s="19"/>
    </row>
    <row r="9718">
      <c r="A9718" s="9"/>
      <c r="B9718" s="15"/>
      <c r="C9718" s="9">
        <f>IFERROR(__xludf.DUMMYFUNCTION("""COMPUTED_VALUE"""),45042.1201733564)</f>
        <v>45042.12017</v>
      </c>
      <c r="D9718" s="15">
        <f>IFERROR(__xludf.DUMMYFUNCTION("""COMPUTED_VALUE"""),1.032)</f>
        <v>1.032</v>
      </c>
      <c r="E9718" s="16">
        <f>IFERROR(__xludf.DUMMYFUNCTION("""COMPUTED_VALUE"""),65.0)</f>
        <v>65</v>
      </c>
      <c r="F9718" s="19" t="str">
        <f>IFERROR(__xludf.DUMMYFUNCTION("""COMPUTED_VALUE"""),"BLACK")</f>
        <v>BLACK</v>
      </c>
      <c r="G9718" s="20" t="str">
        <f>IFERROR(__xludf.DUMMYFUNCTION("""COMPUTED_VALUE"""),"Uncle Sams Cider (04/04/2023)")</f>
        <v>Uncle Sams Cider (04/04/2023)</v>
      </c>
      <c r="H9718" s="19"/>
    </row>
    <row r="9719">
      <c r="A9719" s="9"/>
      <c r="B9719" s="15"/>
      <c r="C9719" s="9">
        <f>IFERROR(__xludf.DUMMYFUNCTION("""COMPUTED_VALUE"""),45042.1097528009)</f>
        <v>45042.10975</v>
      </c>
      <c r="D9719" s="15">
        <f>IFERROR(__xludf.DUMMYFUNCTION("""COMPUTED_VALUE"""),1.032)</f>
        <v>1.032</v>
      </c>
      <c r="E9719" s="16">
        <f>IFERROR(__xludf.DUMMYFUNCTION("""COMPUTED_VALUE"""),65.0)</f>
        <v>65</v>
      </c>
      <c r="F9719" s="19" t="str">
        <f>IFERROR(__xludf.DUMMYFUNCTION("""COMPUTED_VALUE"""),"BLACK")</f>
        <v>BLACK</v>
      </c>
      <c r="G9719" s="20" t="str">
        <f>IFERROR(__xludf.DUMMYFUNCTION("""COMPUTED_VALUE"""),"Uncle Sams Cider (04/04/2023)")</f>
        <v>Uncle Sams Cider (04/04/2023)</v>
      </c>
      <c r="H9719" s="19"/>
    </row>
    <row r="9720">
      <c r="A9720" s="9"/>
      <c r="B9720" s="15"/>
      <c r="C9720" s="9">
        <f>IFERROR(__xludf.DUMMYFUNCTION("""COMPUTED_VALUE"""),45042.0993320833)</f>
        <v>45042.09933</v>
      </c>
      <c r="D9720" s="15">
        <f>IFERROR(__xludf.DUMMYFUNCTION("""COMPUTED_VALUE"""),1.032)</f>
        <v>1.032</v>
      </c>
      <c r="E9720" s="16">
        <f>IFERROR(__xludf.DUMMYFUNCTION("""COMPUTED_VALUE"""),65.0)</f>
        <v>65</v>
      </c>
      <c r="F9720" s="19" t="str">
        <f>IFERROR(__xludf.DUMMYFUNCTION("""COMPUTED_VALUE"""),"BLACK")</f>
        <v>BLACK</v>
      </c>
      <c r="G9720" s="20" t="str">
        <f>IFERROR(__xludf.DUMMYFUNCTION("""COMPUTED_VALUE"""),"Uncle Sams Cider (04/04/2023)")</f>
        <v>Uncle Sams Cider (04/04/2023)</v>
      </c>
      <c r="H9720" s="19"/>
    </row>
    <row r="9721">
      <c r="A9721" s="9"/>
      <c r="B9721" s="15"/>
      <c r="C9721" s="9">
        <f>IFERROR(__xludf.DUMMYFUNCTION("""COMPUTED_VALUE"""),45042.0888988773)</f>
        <v>45042.0889</v>
      </c>
      <c r="D9721" s="15">
        <f>IFERROR(__xludf.DUMMYFUNCTION("""COMPUTED_VALUE"""),1.032)</f>
        <v>1.032</v>
      </c>
      <c r="E9721" s="16">
        <f>IFERROR(__xludf.DUMMYFUNCTION("""COMPUTED_VALUE"""),65.0)</f>
        <v>65</v>
      </c>
      <c r="F9721" s="19" t="str">
        <f>IFERROR(__xludf.DUMMYFUNCTION("""COMPUTED_VALUE"""),"BLACK")</f>
        <v>BLACK</v>
      </c>
      <c r="G9721" s="20" t="str">
        <f>IFERROR(__xludf.DUMMYFUNCTION("""COMPUTED_VALUE"""),"Uncle Sams Cider (04/04/2023)")</f>
        <v>Uncle Sams Cider (04/04/2023)</v>
      </c>
      <c r="H9721" s="19"/>
    </row>
    <row r="9722">
      <c r="A9722" s="9"/>
      <c r="B9722" s="15"/>
      <c r="C9722" s="9">
        <f>IFERROR(__xludf.DUMMYFUNCTION("""COMPUTED_VALUE"""),45042.0784755092)</f>
        <v>45042.07848</v>
      </c>
      <c r="D9722" s="15">
        <f>IFERROR(__xludf.DUMMYFUNCTION("""COMPUTED_VALUE"""),1.032)</f>
        <v>1.032</v>
      </c>
      <c r="E9722" s="16">
        <f>IFERROR(__xludf.DUMMYFUNCTION("""COMPUTED_VALUE"""),65.0)</f>
        <v>65</v>
      </c>
      <c r="F9722" s="19" t="str">
        <f>IFERROR(__xludf.DUMMYFUNCTION("""COMPUTED_VALUE"""),"BLACK")</f>
        <v>BLACK</v>
      </c>
      <c r="G9722" s="20" t="str">
        <f>IFERROR(__xludf.DUMMYFUNCTION("""COMPUTED_VALUE"""),"Uncle Sams Cider (04/04/2023)")</f>
        <v>Uncle Sams Cider (04/04/2023)</v>
      </c>
      <c r="H9722" s="19"/>
    </row>
    <row r="9723">
      <c r="A9723" s="9"/>
      <c r="B9723" s="15"/>
      <c r="C9723" s="9">
        <f>IFERROR(__xludf.DUMMYFUNCTION("""COMPUTED_VALUE"""),45042.0680551041)</f>
        <v>45042.06806</v>
      </c>
      <c r="D9723" s="15">
        <f>IFERROR(__xludf.DUMMYFUNCTION("""COMPUTED_VALUE"""),1.032)</f>
        <v>1.032</v>
      </c>
      <c r="E9723" s="16">
        <f>IFERROR(__xludf.DUMMYFUNCTION("""COMPUTED_VALUE"""),65.0)</f>
        <v>65</v>
      </c>
      <c r="F9723" s="19" t="str">
        <f>IFERROR(__xludf.DUMMYFUNCTION("""COMPUTED_VALUE"""),"BLACK")</f>
        <v>BLACK</v>
      </c>
      <c r="G9723" s="20" t="str">
        <f>IFERROR(__xludf.DUMMYFUNCTION("""COMPUTED_VALUE"""),"Uncle Sams Cider (04/04/2023)")</f>
        <v>Uncle Sams Cider (04/04/2023)</v>
      </c>
      <c r="H9723" s="19"/>
    </row>
    <row r="9724">
      <c r="A9724" s="9"/>
      <c r="B9724" s="15"/>
      <c r="C9724" s="9">
        <f>IFERROR(__xludf.DUMMYFUNCTION("""COMPUTED_VALUE"""),45042.0576205208)</f>
        <v>45042.05762</v>
      </c>
      <c r="D9724" s="15">
        <f>IFERROR(__xludf.DUMMYFUNCTION("""COMPUTED_VALUE"""),1.032)</f>
        <v>1.032</v>
      </c>
      <c r="E9724" s="16">
        <f>IFERROR(__xludf.DUMMYFUNCTION("""COMPUTED_VALUE"""),65.0)</f>
        <v>65</v>
      </c>
      <c r="F9724" s="19" t="str">
        <f>IFERROR(__xludf.DUMMYFUNCTION("""COMPUTED_VALUE"""),"BLACK")</f>
        <v>BLACK</v>
      </c>
      <c r="G9724" s="20" t="str">
        <f>IFERROR(__xludf.DUMMYFUNCTION("""COMPUTED_VALUE"""),"Uncle Sams Cider (04/04/2023)")</f>
        <v>Uncle Sams Cider (04/04/2023)</v>
      </c>
      <c r="H9724" s="19"/>
    </row>
    <row r="9725">
      <c r="A9725" s="9"/>
      <c r="B9725" s="15"/>
      <c r="C9725" s="9">
        <f>IFERROR(__xludf.DUMMYFUNCTION("""COMPUTED_VALUE"""),45042.0471892708)</f>
        <v>45042.04719</v>
      </c>
      <c r="D9725" s="15">
        <f>IFERROR(__xludf.DUMMYFUNCTION("""COMPUTED_VALUE"""),1.032)</f>
        <v>1.032</v>
      </c>
      <c r="E9725" s="16">
        <f>IFERROR(__xludf.DUMMYFUNCTION("""COMPUTED_VALUE"""),65.0)</f>
        <v>65</v>
      </c>
      <c r="F9725" s="19" t="str">
        <f>IFERROR(__xludf.DUMMYFUNCTION("""COMPUTED_VALUE"""),"BLACK")</f>
        <v>BLACK</v>
      </c>
      <c r="G9725" s="20" t="str">
        <f>IFERROR(__xludf.DUMMYFUNCTION("""COMPUTED_VALUE"""),"Uncle Sams Cider (04/04/2023)")</f>
        <v>Uncle Sams Cider (04/04/2023)</v>
      </c>
      <c r="H9725" s="19"/>
    </row>
    <row r="9726">
      <c r="A9726" s="9"/>
      <c r="B9726" s="15"/>
      <c r="C9726" s="9">
        <f>IFERROR(__xludf.DUMMYFUNCTION("""COMPUTED_VALUE"""),45042.036770081)</f>
        <v>45042.03677</v>
      </c>
      <c r="D9726" s="15">
        <f>IFERROR(__xludf.DUMMYFUNCTION("""COMPUTED_VALUE"""),1.032)</f>
        <v>1.032</v>
      </c>
      <c r="E9726" s="16">
        <f>IFERROR(__xludf.DUMMYFUNCTION("""COMPUTED_VALUE"""),65.0)</f>
        <v>65</v>
      </c>
      <c r="F9726" s="19" t="str">
        <f>IFERROR(__xludf.DUMMYFUNCTION("""COMPUTED_VALUE"""),"BLACK")</f>
        <v>BLACK</v>
      </c>
      <c r="G9726" s="20" t="str">
        <f>IFERROR(__xludf.DUMMYFUNCTION("""COMPUTED_VALUE"""),"Uncle Sams Cider (04/04/2023)")</f>
        <v>Uncle Sams Cider (04/04/2023)</v>
      </c>
      <c r="H9726" s="19"/>
    </row>
    <row r="9727">
      <c r="A9727" s="9"/>
      <c r="B9727" s="15"/>
      <c r="C9727" s="9">
        <f>IFERROR(__xludf.DUMMYFUNCTION("""COMPUTED_VALUE"""),45042.0263489467)</f>
        <v>45042.02635</v>
      </c>
      <c r="D9727" s="15">
        <f>IFERROR(__xludf.DUMMYFUNCTION("""COMPUTED_VALUE"""),1.032)</f>
        <v>1.032</v>
      </c>
      <c r="E9727" s="16">
        <f>IFERROR(__xludf.DUMMYFUNCTION("""COMPUTED_VALUE"""),65.0)</f>
        <v>65</v>
      </c>
      <c r="F9727" s="19" t="str">
        <f>IFERROR(__xludf.DUMMYFUNCTION("""COMPUTED_VALUE"""),"BLACK")</f>
        <v>BLACK</v>
      </c>
      <c r="G9727" s="20" t="str">
        <f>IFERROR(__xludf.DUMMYFUNCTION("""COMPUTED_VALUE"""),"Uncle Sams Cider (04/04/2023)")</f>
        <v>Uncle Sams Cider (04/04/2023)</v>
      </c>
      <c r="H9727" s="19"/>
    </row>
    <row r="9728">
      <c r="A9728" s="9"/>
      <c r="B9728" s="15"/>
      <c r="C9728" s="9">
        <f>IFERROR(__xludf.DUMMYFUNCTION("""COMPUTED_VALUE"""),45042.0159276157)</f>
        <v>45042.01593</v>
      </c>
      <c r="D9728" s="15">
        <f>IFERROR(__xludf.DUMMYFUNCTION("""COMPUTED_VALUE"""),1.032)</f>
        <v>1.032</v>
      </c>
      <c r="E9728" s="16">
        <f>IFERROR(__xludf.DUMMYFUNCTION("""COMPUTED_VALUE"""),65.0)</f>
        <v>65</v>
      </c>
      <c r="F9728" s="19" t="str">
        <f>IFERROR(__xludf.DUMMYFUNCTION("""COMPUTED_VALUE"""),"BLACK")</f>
        <v>BLACK</v>
      </c>
      <c r="G9728" s="20" t="str">
        <f>IFERROR(__xludf.DUMMYFUNCTION("""COMPUTED_VALUE"""),"Uncle Sams Cider (04/04/2023)")</f>
        <v>Uncle Sams Cider (04/04/2023)</v>
      </c>
      <c r="H9728" s="19"/>
    </row>
    <row r="9729">
      <c r="A9729" s="9"/>
      <c r="B9729" s="15"/>
      <c r="C9729" s="9">
        <f>IFERROR(__xludf.DUMMYFUNCTION("""COMPUTED_VALUE"""),45042.0054947106)</f>
        <v>45042.00549</v>
      </c>
      <c r="D9729" s="15">
        <f>IFERROR(__xludf.DUMMYFUNCTION("""COMPUTED_VALUE"""),1.032)</f>
        <v>1.032</v>
      </c>
      <c r="E9729" s="16">
        <f>IFERROR(__xludf.DUMMYFUNCTION("""COMPUTED_VALUE"""),65.0)</f>
        <v>65</v>
      </c>
      <c r="F9729" s="19" t="str">
        <f>IFERROR(__xludf.DUMMYFUNCTION("""COMPUTED_VALUE"""),"BLACK")</f>
        <v>BLACK</v>
      </c>
      <c r="G9729" s="20" t="str">
        <f>IFERROR(__xludf.DUMMYFUNCTION("""COMPUTED_VALUE"""),"Uncle Sams Cider (04/04/2023)")</f>
        <v>Uncle Sams Cider (04/04/2023)</v>
      </c>
      <c r="H9729" s="19"/>
    </row>
    <row r="9730">
      <c r="A9730" s="9"/>
      <c r="B9730" s="15"/>
      <c r="C9730" s="9">
        <f>IFERROR(__xludf.DUMMYFUNCTION("""COMPUTED_VALUE"""),45041.9950497916)</f>
        <v>45041.99505</v>
      </c>
      <c r="D9730" s="15">
        <f>IFERROR(__xludf.DUMMYFUNCTION("""COMPUTED_VALUE"""),1.032)</f>
        <v>1.032</v>
      </c>
      <c r="E9730" s="16">
        <f>IFERROR(__xludf.DUMMYFUNCTION("""COMPUTED_VALUE"""),65.0)</f>
        <v>65</v>
      </c>
      <c r="F9730" s="19" t="str">
        <f>IFERROR(__xludf.DUMMYFUNCTION("""COMPUTED_VALUE"""),"BLACK")</f>
        <v>BLACK</v>
      </c>
      <c r="G9730" s="20" t="str">
        <f>IFERROR(__xludf.DUMMYFUNCTION("""COMPUTED_VALUE"""),"Uncle Sams Cider (04/04/2023)")</f>
        <v>Uncle Sams Cider (04/04/2023)</v>
      </c>
      <c r="H9730" s="19"/>
    </row>
    <row r="9731">
      <c r="A9731" s="9"/>
      <c r="B9731" s="15"/>
      <c r="C9731" s="9">
        <f>IFERROR(__xludf.DUMMYFUNCTION("""COMPUTED_VALUE"""),45041.9846172916)</f>
        <v>45041.98462</v>
      </c>
      <c r="D9731" s="15">
        <f>IFERROR(__xludf.DUMMYFUNCTION("""COMPUTED_VALUE"""),1.032)</f>
        <v>1.032</v>
      </c>
      <c r="E9731" s="16">
        <f>IFERROR(__xludf.DUMMYFUNCTION("""COMPUTED_VALUE"""),65.0)</f>
        <v>65</v>
      </c>
      <c r="F9731" s="19" t="str">
        <f>IFERROR(__xludf.DUMMYFUNCTION("""COMPUTED_VALUE"""),"BLACK")</f>
        <v>BLACK</v>
      </c>
      <c r="G9731" s="20" t="str">
        <f>IFERROR(__xludf.DUMMYFUNCTION("""COMPUTED_VALUE"""),"Uncle Sams Cider (04/04/2023)")</f>
        <v>Uncle Sams Cider (04/04/2023)</v>
      </c>
      <c r="H9731" s="19"/>
    </row>
    <row r="9732">
      <c r="A9732" s="9"/>
      <c r="B9732" s="15"/>
      <c r="C9732" s="9">
        <f>IFERROR(__xludf.DUMMYFUNCTION("""COMPUTED_VALUE"""),45041.9741969097)</f>
        <v>45041.9742</v>
      </c>
      <c r="D9732" s="15">
        <f>IFERROR(__xludf.DUMMYFUNCTION("""COMPUTED_VALUE"""),1.032)</f>
        <v>1.032</v>
      </c>
      <c r="E9732" s="16">
        <f>IFERROR(__xludf.DUMMYFUNCTION("""COMPUTED_VALUE"""),65.0)</f>
        <v>65</v>
      </c>
      <c r="F9732" s="19" t="str">
        <f>IFERROR(__xludf.DUMMYFUNCTION("""COMPUTED_VALUE"""),"BLACK")</f>
        <v>BLACK</v>
      </c>
      <c r="G9732" s="20" t="str">
        <f>IFERROR(__xludf.DUMMYFUNCTION("""COMPUTED_VALUE"""),"Uncle Sams Cider (04/04/2023)")</f>
        <v>Uncle Sams Cider (04/04/2023)</v>
      </c>
      <c r="H9732" s="19"/>
    </row>
    <row r="9733">
      <c r="A9733" s="9"/>
      <c r="B9733" s="15"/>
      <c r="C9733" s="9">
        <f>IFERROR(__xludf.DUMMYFUNCTION("""COMPUTED_VALUE"""),45041.9637424537)</f>
        <v>45041.96374</v>
      </c>
      <c r="D9733" s="15">
        <f>IFERROR(__xludf.DUMMYFUNCTION("""COMPUTED_VALUE"""),1.032)</f>
        <v>1.032</v>
      </c>
      <c r="E9733" s="16">
        <f>IFERROR(__xludf.DUMMYFUNCTION("""COMPUTED_VALUE"""),65.0)</f>
        <v>65</v>
      </c>
      <c r="F9733" s="19" t="str">
        <f>IFERROR(__xludf.DUMMYFUNCTION("""COMPUTED_VALUE"""),"BLACK")</f>
        <v>BLACK</v>
      </c>
      <c r="G9733" s="20" t="str">
        <f>IFERROR(__xludf.DUMMYFUNCTION("""COMPUTED_VALUE"""),"Uncle Sams Cider (04/04/2023)")</f>
        <v>Uncle Sams Cider (04/04/2023)</v>
      </c>
      <c r="H9733" s="19"/>
    </row>
    <row r="9734">
      <c r="A9734" s="9"/>
      <c r="B9734" s="15"/>
      <c r="C9734" s="9">
        <f>IFERROR(__xludf.DUMMYFUNCTION("""COMPUTED_VALUE"""),45041.953321412)</f>
        <v>45041.95332</v>
      </c>
      <c r="D9734" s="15">
        <f>IFERROR(__xludf.DUMMYFUNCTION("""COMPUTED_VALUE"""),1.032)</f>
        <v>1.032</v>
      </c>
      <c r="E9734" s="16">
        <f>IFERROR(__xludf.DUMMYFUNCTION("""COMPUTED_VALUE"""),65.0)</f>
        <v>65</v>
      </c>
      <c r="F9734" s="19" t="str">
        <f>IFERROR(__xludf.DUMMYFUNCTION("""COMPUTED_VALUE"""),"BLACK")</f>
        <v>BLACK</v>
      </c>
      <c r="G9734" s="20" t="str">
        <f>IFERROR(__xludf.DUMMYFUNCTION("""COMPUTED_VALUE"""),"Uncle Sams Cider (04/04/2023)")</f>
        <v>Uncle Sams Cider (04/04/2023)</v>
      </c>
      <c r="H9734" s="19"/>
    </row>
    <row r="9735">
      <c r="A9735" s="9"/>
      <c r="B9735" s="15"/>
      <c r="C9735" s="9">
        <f>IFERROR(__xludf.DUMMYFUNCTION("""COMPUTED_VALUE"""),45041.9428909259)</f>
        <v>45041.94289</v>
      </c>
      <c r="D9735" s="15">
        <f>IFERROR(__xludf.DUMMYFUNCTION("""COMPUTED_VALUE"""),1.032)</f>
        <v>1.032</v>
      </c>
      <c r="E9735" s="16">
        <f>IFERROR(__xludf.DUMMYFUNCTION("""COMPUTED_VALUE"""),65.0)</f>
        <v>65</v>
      </c>
      <c r="F9735" s="19" t="str">
        <f>IFERROR(__xludf.DUMMYFUNCTION("""COMPUTED_VALUE"""),"BLACK")</f>
        <v>BLACK</v>
      </c>
      <c r="G9735" s="20" t="str">
        <f>IFERROR(__xludf.DUMMYFUNCTION("""COMPUTED_VALUE"""),"Uncle Sams Cider (04/04/2023)")</f>
        <v>Uncle Sams Cider (04/04/2023)</v>
      </c>
      <c r="H9735" s="19"/>
    </row>
    <row r="9736">
      <c r="A9736" s="9"/>
      <c r="B9736" s="15"/>
      <c r="C9736" s="9">
        <f>IFERROR(__xludf.DUMMYFUNCTION("""COMPUTED_VALUE"""),45041.932470405)</f>
        <v>45041.93247</v>
      </c>
      <c r="D9736" s="15">
        <f>IFERROR(__xludf.DUMMYFUNCTION("""COMPUTED_VALUE"""),1.032)</f>
        <v>1.032</v>
      </c>
      <c r="E9736" s="16">
        <f>IFERROR(__xludf.DUMMYFUNCTION("""COMPUTED_VALUE"""),65.0)</f>
        <v>65</v>
      </c>
      <c r="F9736" s="19" t="str">
        <f>IFERROR(__xludf.DUMMYFUNCTION("""COMPUTED_VALUE"""),"BLACK")</f>
        <v>BLACK</v>
      </c>
      <c r="G9736" s="20" t="str">
        <f>IFERROR(__xludf.DUMMYFUNCTION("""COMPUTED_VALUE"""),"Uncle Sams Cider (04/04/2023)")</f>
        <v>Uncle Sams Cider (04/04/2023)</v>
      </c>
      <c r="H9736" s="19"/>
    </row>
    <row r="9737">
      <c r="A9737" s="9"/>
      <c r="B9737" s="15"/>
      <c r="C9737" s="9">
        <f>IFERROR(__xludf.DUMMYFUNCTION("""COMPUTED_VALUE"""),45041.9220478703)</f>
        <v>45041.92205</v>
      </c>
      <c r="D9737" s="15">
        <f>IFERROR(__xludf.DUMMYFUNCTION("""COMPUTED_VALUE"""),1.032)</f>
        <v>1.032</v>
      </c>
      <c r="E9737" s="16">
        <f>IFERROR(__xludf.DUMMYFUNCTION("""COMPUTED_VALUE"""),65.0)</f>
        <v>65</v>
      </c>
      <c r="F9737" s="19" t="str">
        <f>IFERROR(__xludf.DUMMYFUNCTION("""COMPUTED_VALUE"""),"BLACK")</f>
        <v>BLACK</v>
      </c>
      <c r="G9737" s="20" t="str">
        <f>IFERROR(__xludf.DUMMYFUNCTION("""COMPUTED_VALUE"""),"Uncle Sams Cider (04/04/2023)")</f>
        <v>Uncle Sams Cider (04/04/2023)</v>
      </c>
      <c r="H9737" s="19"/>
    </row>
    <row r="9738">
      <c r="A9738" s="9"/>
      <c r="B9738" s="15"/>
      <c r="C9738" s="9">
        <f>IFERROR(__xludf.DUMMYFUNCTION("""COMPUTED_VALUE"""),45041.9116144907)</f>
        <v>45041.91161</v>
      </c>
      <c r="D9738" s="15">
        <f>IFERROR(__xludf.DUMMYFUNCTION("""COMPUTED_VALUE"""),1.032)</f>
        <v>1.032</v>
      </c>
      <c r="E9738" s="16">
        <f>IFERROR(__xludf.DUMMYFUNCTION("""COMPUTED_VALUE"""),65.0)</f>
        <v>65</v>
      </c>
      <c r="F9738" s="19" t="str">
        <f>IFERROR(__xludf.DUMMYFUNCTION("""COMPUTED_VALUE"""),"BLACK")</f>
        <v>BLACK</v>
      </c>
      <c r="G9738" s="20" t="str">
        <f>IFERROR(__xludf.DUMMYFUNCTION("""COMPUTED_VALUE"""),"Uncle Sams Cider (04/04/2023)")</f>
        <v>Uncle Sams Cider (04/04/2023)</v>
      </c>
      <c r="H9738" s="19"/>
    </row>
    <row r="9739">
      <c r="A9739" s="9"/>
      <c r="B9739" s="15"/>
      <c r="C9739" s="9">
        <f>IFERROR(__xludf.DUMMYFUNCTION("""COMPUTED_VALUE"""),45041.9011705555)</f>
        <v>45041.90117</v>
      </c>
      <c r="D9739" s="15">
        <f>IFERROR(__xludf.DUMMYFUNCTION("""COMPUTED_VALUE"""),1.032)</f>
        <v>1.032</v>
      </c>
      <c r="E9739" s="16">
        <f>IFERROR(__xludf.DUMMYFUNCTION("""COMPUTED_VALUE"""),65.0)</f>
        <v>65</v>
      </c>
      <c r="F9739" s="19" t="str">
        <f>IFERROR(__xludf.DUMMYFUNCTION("""COMPUTED_VALUE"""),"BLACK")</f>
        <v>BLACK</v>
      </c>
      <c r="G9739" s="20" t="str">
        <f>IFERROR(__xludf.DUMMYFUNCTION("""COMPUTED_VALUE"""),"Uncle Sams Cider (04/04/2023)")</f>
        <v>Uncle Sams Cider (04/04/2023)</v>
      </c>
      <c r="H9739" s="19"/>
    </row>
    <row r="9740">
      <c r="A9740" s="9"/>
      <c r="B9740" s="15"/>
      <c r="C9740" s="9">
        <f>IFERROR(__xludf.DUMMYFUNCTION("""COMPUTED_VALUE"""),45041.8907491898)</f>
        <v>45041.89075</v>
      </c>
      <c r="D9740" s="15">
        <f>IFERROR(__xludf.DUMMYFUNCTION("""COMPUTED_VALUE"""),1.032)</f>
        <v>1.032</v>
      </c>
      <c r="E9740" s="16">
        <f>IFERROR(__xludf.DUMMYFUNCTION("""COMPUTED_VALUE"""),65.0)</f>
        <v>65</v>
      </c>
      <c r="F9740" s="19" t="str">
        <f>IFERROR(__xludf.DUMMYFUNCTION("""COMPUTED_VALUE"""),"BLACK")</f>
        <v>BLACK</v>
      </c>
      <c r="G9740" s="20" t="str">
        <f>IFERROR(__xludf.DUMMYFUNCTION("""COMPUTED_VALUE"""),"Uncle Sams Cider (04/04/2023)")</f>
        <v>Uncle Sams Cider (04/04/2023)</v>
      </c>
      <c r="H9740" s="19"/>
    </row>
    <row r="9741">
      <c r="A9741" s="9"/>
      <c r="B9741" s="15"/>
      <c r="C9741" s="9">
        <f>IFERROR(__xludf.DUMMYFUNCTION("""COMPUTED_VALUE"""),45041.880305949)</f>
        <v>45041.88031</v>
      </c>
      <c r="D9741" s="15">
        <f>IFERROR(__xludf.DUMMYFUNCTION("""COMPUTED_VALUE"""),1.032)</f>
        <v>1.032</v>
      </c>
      <c r="E9741" s="16">
        <f>IFERROR(__xludf.DUMMYFUNCTION("""COMPUTED_VALUE"""),65.0)</f>
        <v>65</v>
      </c>
      <c r="F9741" s="19" t="str">
        <f>IFERROR(__xludf.DUMMYFUNCTION("""COMPUTED_VALUE"""),"BLACK")</f>
        <v>BLACK</v>
      </c>
      <c r="G9741" s="20" t="str">
        <f>IFERROR(__xludf.DUMMYFUNCTION("""COMPUTED_VALUE"""),"Uncle Sams Cider (04/04/2023)")</f>
        <v>Uncle Sams Cider (04/04/2023)</v>
      </c>
      <c r="H9741" s="19"/>
    </row>
    <row r="9742">
      <c r="A9742" s="9"/>
      <c r="B9742" s="15"/>
      <c r="C9742" s="9">
        <f>IFERROR(__xludf.DUMMYFUNCTION("""COMPUTED_VALUE"""),45041.869885162)</f>
        <v>45041.86989</v>
      </c>
      <c r="D9742" s="15">
        <f>IFERROR(__xludf.DUMMYFUNCTION("""COMPUTED_VALUE"""),1.032)</f>
        <v>1.032</v>
      </c>
      <c r="E9742" s="16">
        <f>IFERROR(__xludf.DUMMYFUNCTION("""COMPUTED_VALUE"""),65.0)</f>
        <v>65</v>
      </c>
      <c r="F9742" s="19" t="str">
        <f>IFERROR(__xludf.DUMMYFUNCTION("""COMPUTED_VALUE"""),"BLACK")</f>
        <v>BLACK</v>
      </c>
      <c r="G9742" s="20" t="str">
        <f>IFERROR(__xludf.DUMMYFUNCTION("""COMPUTED_VALUE"""),"Uncle Sams Cider (04/04/2023)")</f>
        <v>Uncle Sams Cider (04/04/2023)</v>
      </c>
      <c r="H9742" s="19"/>
    </row>
    <row r="9743">
      <c r="A9743" s="9"/>
      <c r="B9743" s="15"/>
      <c r="C9743" s="9">
        <f>IFERROR(__xludf.DUMMYFUNCTION("""COMPUTED_VALUE"""),45041.8594652314)</f>
        <v>45041.85947</v>
      </c>
      <c r="D9743" s="15">
        <f>IFERROR(__xludf.DUMMYFUNCTION("""COMPUTED_VALUE"""),1.032)</f>
        <v>1.032</v>
      </c>
      <c r="E9743" s="16">
        <f>IFERROR(__xludf.DUMMYFUNCTION("""COMPUTED_VALUE"""),65.0)</f>
        <v>65</v>
      </c>
      <c r="F9743" s="19" t="str">
        <f>IFERROR(__xludf.DUMMYFUNCTION("""COMPUTED_VALUE"""),"BLACK")</f>
        <v>BLACK</v>
      </c>
      <c r="G9743" s="20" t="str">
        <f>IFERROR(__xludf.DUMMYFUNCTION("""COMPUTED_VALUE"""),"Uncle Sams Cider (04/04/2023)")</f>
        <v>Uncle Sams Cider (04/04/2023)</v>
      </c>
      <c r="H9743" s="19"/>
    </row>
    <row r="9744">
      <c r="A9744" s="9"/>
      <c r="B9744" s="15"/>
      <c r="C9744" s="9">
        <f>IFERROR(__xludf.DUMMYFUNCTION("""COMPUTED_VALUE"""),45041.849043287)</f>
        <v>45041.84904</v>
      </c>
      <c r="D9744" s="15">
        <f>IFERROR(__xludf.DUMMYFUNCTION("""COMPUTED_VALUE"""),1.032)</f>
        <v>1.032</v>
      </c>
      <c r="E9744" s="16">
        <f>IFERROR(__xludf.DUMMYFUNCTION("""COMPUTED_VALUE"""),65.0)</f>
        <v>65</v>
      </c>
      <c r="F9744" s="19" t="str">
        <f>IFERROR(__xludf.DUMMYFUNCTION("""COMPUTED_VALUE"""),"BLACK")</f>
        <v>BLACK</v>
      </c>
      <c r="G9744" s="20" t="str">
        <f>IFERROR(__xludf.DUMMYFUNCTION("""COMPUTED_VALUE"""),"Uncle Sams Cider (04/04/2023)")</f>
        <v>Uncle Sams Cider (04/04/2023)</v>
      </c>
      <c r="H9744" s="19"/>
    </row>
    <row r="9745">
      <c r="A9745" s="9"/>
      <c r="B9745" s="15"/>
      <c r="C9745" s="9">
        <f>IFERROR(__xludf.DUMMYFUNCTION("""COMPUTED_VALUE"""),45041.8386211458)</f>
        <v>45041.83862</v>
      </c>
      <c r="D9745" s="15">
        <f>IFERROR(__xludf.DUMMYFUNCTION("""COMPUTED_VALUE"""),1.032)</f>
        <v>1.032</v>
      </c>
      <c r="E9745" s="16">
        <f>IFERROR(__xludf.DUMMYFUNCTION("""COMPUTED_VALUE"""),65.0)</f>
        <v>65</v>
      </c>
      <c r="F9745" s="19" t="str">
        <f>IFERROR(__xludf.DUMMYFUNCTION("""COMPUTED_VALUE"""),"BLACK")</f>
        <v>BLACK</v>
      </c>
      <c r="G9745" s="20" t="str">
        <f>IFERROR(__xludf.DUMMYFUNCTION("""COMPUTED_VALUE"""),"Uncle Sams Cider (04/04/2023)")</f>
        <v>Uncle Sams Cider (04/04/2023)</v>
      </c>
      <c r="H9745" s="19"/>
    </row>
    <row r="9746">
      <c r="A9746" s="9"/>
      <c r="B9746" s="15"/>
      <c r="C9746" s="9">
        <f>IFERROR(__xludf.DUMMYFUNCTION("""COMPUTED_VALUE"""),45041.8281992708)</f>
        <v>45041.8282</v>
      </c>
      <c r="D9746" s="15">
        <f>IFERROR(__xludf.DUMMYFUNCTION("""COMPUTED_VALUE"""),1.032)</f>
        <v>1.032</v>
      </c>
      <c r="E9746" s="16">
        <f>IFERROR(__xludf.DUMMYFUNCTION("""COMPUTED_VALUE"""),65.0)</f>
        <v>65</v>
      </c>
      <c r="F9746" s="19" t="str">
        <f>IFERROR(__xludf.DUMMYFUNCTION("""COMPUTED_VALUE"""),"BLACK")</f>
        <v>BLACK</v>
      </c>
      <c r="G9746" s="20" t="str">
        <f>IFERROR(__xludf.DUMMYFUNCTION("""COMPUTED_VALUE"""),"Uncle Sams Cider (04/04/2023)")</f>
        <v>Uncle Sams Cider (04/04/2023)</v>
      </c>
      <c r="H9746" s="19"/>
    </row>
    <row r="9747">
      <c r="A9747" s="9"/>
      <c r="B9747" s="15"/>
      <c r="C9747" s="9">
        <f>IFERROR(__xludf.DUMMYFUNCTION("""COMPUTED_VALUE"""),45041.8177794097)</f>
        <v>45041.81778</v>
      </c>
      <c r="D9747" s="15">
        <f>IFERROR(__xludf.DUMMYFUNCTION("""COMPUTED_VALUE"""),1.032)</f>
        <v>1.032</v>
      </c>
      <c r="E9747" s="16">
        <f>IFERROR(__xludf.DUMMYFUNCTION("""COMPUTED_VALUE"""),65.0)</f>
        <v>65</v>
      </c>
      <c r="F9747" s="19" t="str">
        <f>IFERROR(__xludf.DUMMYFUNCTION("""COMPUTED_VALUE"""),"BLACK")</f>
        <v>BLACK</v>
      </c>
      <c r="G9747" s="20" t="str">
        <f>IFERROR(__xludf.DUMMYFUNCTION("""COMPUTED_VALUE"""),"Uncle Sams Cider (04/04/2023)")</f>
        <v>Uncle Sams Cider (04/04/2023)</v>
      </c>
      <c r="H9747" s="19"/>
    </row>
    <row r="9748">
      <c r="A9748" s="9"/>
      <c r="B9748" s="15"/>
      <c r="C9748" s="9">
        <f>IFERROR(__xludf.DUMMYFUNCTION("""COMPUTED_VALUE"""),45041.8073584953)</f>
        <v>45041.80736</v>
      </c>
      <c r="D9748" s="15">
        <f>IFERROR(__xludf.DUMMYFUNCTION("""COMPUTED_VALUE"""),1.032)</f>
        <v>1.032</v>
      </c>
      <c r="E9748" s="16">
        <f>IFERROR(__xludf.DUMMYFUNCTION("""COMPUTED_VALUE"""),65.0)</f>
        <v>65</v>
      </c>
      <c r="F9748" s="19" t="str">
        <f>IFERROR(__xludf.DUMMYFUNCTION("""COMPUTED_VALUE"""),"BLACK")</f>
        <v>BLACK</v>
      </c>
      <c r="G9748" s="20" t="str">
        <f>IFERROR(__xludf.DUMMYFUNCTION("""COMPUTED_VALUE"""),"Uncle Sams Cider (04/04/2023)")</f>
        <v>Uncle Sams Cider (04/04/2023)</v>
      </c>
      <c r="H9748" s="19"/>
    </row>
    <row r="9749">
      <c r="A9749" s="9"/>
      <c r="B9749" s="15"/>
      <c r="C9749" s="9">
        <f>IFERROR(__xludf.DUMMYFUNCTION("""COMPUTED_VALUE"""),45041.7969381365)</f>
        <v>45041.79694</v>
      </c>
      <c r="D9749" s="15">
        <f>IFERROR(__xludf.DUMMYFUNCTION("""COMPUTED_VALUE"""),1.032)</f>
        <v>1.032</v>
      </c>
      <c r="E9749" s="16">
        <f>IFERROR(__xludf.DUMMYFUNCTION("""COMPUTED_VALUE"""),65.0)</f>
        <v>65</v>
      </c>
      <c r="F9749" s="19" t="str">
        <f>IFERROR(__xludf.DUMMYFUNCTION("""COMPUTED_VALUE"""),"BLACK")</f>
        <v>BLACK</v>
      </c>
      <c r="G9749" s="20" t="str">
        <f>IFERROR(__xludf.DUMMYFUNCTION("""COMPUTED_VALUE"""),"Uncle Sams Cider (04/04/2023)")</f>
        <v>Uncle Sams Cider (04/04/2023)</v>
      </c>
      <c r="H9749" s="19"/>
    </row>
    <row r="9750">
      <c r="A9750" s="9"/>
      <c r="B9750" s="15"/>
      <c r="C9750" s="9">
        <f>IFERROR(__xludf.DUMMYFUNCTION("""COMPUTED_VALUE"""),45041.78650603)</f>
        <v>45041.78651</v>
      </c>
      <c r="D9750" s="15">
        <f>IFERROR(__xludf.DUMMYFUNCTION("""COMPUTED_VALUE"""),1.032)</f>
        <v>1.032</v>
      </c>
      <c r="E9750" s="16">
        <f>IFERROR(__xludf.DUMMYFUNCTION("""COMPUTED_VALUE"""),65.0)</f>
        <v>65</v>
      </c>
      <c r="F9750" s="19" t="str">
        <f>IFERROR(__xludf.DUMMYFUNCTION("""COMPUTED_VALUE"""),"BLACK")</f>
        <v>BLACK</v>
      </c>
      <c r="G9750" s="20" t="str">
        <f>IFERROR(__xludf.DUMMYFUNCTION("""COMPUTED_VALUE"""),"Uncle Sams Cider (04/04/2023)")</f>
        <v>Uncle Sams Cider (04/04/2023)</v>
      </c>
      <c r="H9750" s="19"/>
    </row>
    <row r="9751">
      <c r="A9751" s="9"/>
      <c r="B9751" s="15"/>
      <c r="C9751" s="9">
        <f>IFERROR(__xludf.DUMMYFUNCTION("""COMPUTED_VALUE"""),45041.7760843171)</f>
        <v>45041.77608</v>
      </c>
      <c r="D9751" s="15">
        <f>IFERROR(__xludf.DUMMYFUNCTION("""COMPUTED_VALUE"""),1.032)</f>
        <v>1.032</v>
      </c>
      <c r="E9751" s="16">
        <f>IFERROR(__xludf.DUMMYFUNCTION("""COMPUTED_VALUE"""),65.0)</f>
        <v>65</v>
      </c>
      <c r="F9751" s="19" t="str">
        <f>IFERROR(__xludf.DUMMYFUNCTION("""COMPUTED_VALUE"""),"BLACK")</f>
        <v>BLACK</v>
      </c>
      <c r="G9751" s="20" t="str">
        <f>IFERROR(__xludf.DUMMYFUNCTION("""COMPUTED_VALUE"""),"Uncle Sams Cider (04/04/2023)")</f>
        <v>Uncle Sams Cider (04/04/2023)</v>
      </c>
      <c r="H9751" s="19"/>
    </row>
    <row r="9752">
      <c r="A9752" s="9"/>
      <c r="B9752" s="15"/>
      <c r="C9752" s="9">
        <f>IFERROR(__xludf.DUMMYFUNCTION("""COMPUTED_VALUE"""),45041.7656622916)</f>
        <v>45041.76566</v>
      </c>
      <c r="D9752" s="15">
        <f>IFERROR(__xludf.DUMMYFUNCTION("""COMPUTED_VALUE"""),1.032)</f>
        <v>1.032</v>
      </c>
      <c r="E9752" s="16">
        <f>IFERROR(__xludf.DUMMYFUNCTION("""COMPUTED_VALUE"""),65.0)</f>
        <v>65</v>
      </c>
      <c r="F9752" s="19" t="str">
        <f>IFERROR(__xludf.DUMMYFUNCTION("""COMPUTED_VALUE"""),"BLACK")</f>
        <v>BLACK</v>
      </c>
      <c r="G9752" s="20" t="str">
        <f>IFERROR(__xludf.DUMMYFUNCTION("""COMPUTED_VALUE"""),"Uncle Sams Cider (04/04/2023)")</f>
        <v>Uncle Sams Cider (04/04/2023)</v>
      </c>
      <c r="H9752" s="19"/>
    </row>
    <row r="9753">
      <c r="A9753" s="9"/>
      <c r="B9753" s="15"/>
      <c r="C9753" s="9">
        <f>IFERROR(__xludf.DUMMYFUNCTION("""COMPUTED_VALUE"""),45041.7552407986)</f>
        <v>45041.75524</v>
      </c>
      <c r="D9753" s="15">
        <f>IFERROR(__xludf.DUMMYFUNCTION("""COMPUTED_VALUE"""),1.032)</f>
        <v>1.032</v>
      </c>
      <c r="E9753" s="16">
        <f>IFERROR(__xludf.DUMMYFUNCTION("""COMPUTED_VALUE"""),65.0)</f>
        <v>65</v>
      </c>
      <c r="F9753" s="19" t="str">
        <f>IFERROR(__xludf.DUMMYFUNCTION("""COMPUTED_VALUE"""),"BLACK")</f>
        <v>BLACK</v>
      </c>
      <c r="G9753" s="20" t="str">
        <f>IFERROR(__xludf.DUMMYFUNCTION("""COMPUTED_VALUE"""),"Uncle Sams Cider (04/04/2023)")</f>
        <v>Uncle Sams Cider (04/04/2023)</v>
      </c>
      <c r="H9753" s="19"/>
    </row>
    <row r="9754">
      <c r="A9754" s="9"/>
      <c r="B9754" s="15"/>
      <c r="C9754" s="9">
        <f>IFERROR(__xludf.DUMMYFUNCTION("""COMPUTED_VALUE"""),45041.7448198379)</f>
        <v>45041.74482</v>
      </c>
      <c r="D9754" s="15">
        <f>IFERROR(__xludf.DUMMYFUNCTION("""COMPUTED_VALUE"""),1.032)</f>
        <v>1.032</v>
      </c>
      <c r="E9754" s="16">
        <f>IFERROR(__xludf.DUMMYFUNCTION("""COMPUTED_VALUE"""),65.0)</f>
        <v>65</v>
      </c>
      <c r="F9754" s="19" t="str">
        <f>IFERROR(__xludf.DUMMYFUNCTION("""COMPUTED_VALUE"""),"BLACK")</f>
        <v>BLACK</v>
      </c>
      <c r="G9754" s="20" t="str">
        <f>IFERROR(__xludf.DUMMYFUNCTION("""COMPUTED_VALUE"""),"Uncle Sams Cider (04/04/2023)")</f>
        <v>Uncle Sams Cider (04/04/2023)</v>
      </c>
      <c r="H9754" s="19"/>
    </row>
    <row r="9755">
      <c r="A9755" s="9"/>
      <c r="B9755" s="15"/>
      <c r="C9755" s="9">
        <f>IFERROR(__xludf.DUMMYFUNCTION("""COMPUTED_VALUE"""),45041.7343855671)</f>
        <v>45041.73439</v>
      </c>
      <c r="D9755" s="15">
        <f>IFERROR(__xludf.DUMMYFUNCTION("""COMPUTED_VALUE"""),1.032)</f>
        <v>1.032</v>
      </c>
      <c r="E9755" s="16">
        <f>IFERROR(__xludf.DUMMYFUNCTION("""COMPUTED_VALUE"""),65.0)</f>
        <v>65</v>
      </c>
      <c r="F9755" s="19" t="str">
        <f>IFERROR(__xludf.DUMMYFUNCTION("""COMPUTED_VALUE"""),"BLACK")</f>
        <v>BLACK</v>
      </c>
      <c r="G9755" s="20" t="str">
        <f>IFERROR(__xludf.DUMMYFUNCTION("""COMPUTED_VALUE"""),"Uncle Sams Cider (04/04/2023)")</f>
        <v>Uncle Sams Cider (04/04/2023)</v>
      </c>
      <c r="H9755" s="19"/>
    </row>
    <row r="9756">
      <c r="A9756" s="9"/>
      <c r="B9756" s="15"/>
      <c r="C9756" s="9">
        <f>IFERROR(__xludf.DUMMYFUNCTION("""COMPUTED_VALUE"""),45041.7239518981)</f>
        <v>45041.72395</v>
      </c>
      <c r="D9756" s="15">
        <f>IFERROR(__xludf.DUMMYFUNCTION("""COMPUTED_VALUE"""),1.032)</f>
        <v>1.032</v>
      </c>
      <c r="E9756" s="16">
        <f>IFERROR(__xludf.DUMMYFUNCTION("""COMPUTED_VALUE"""),65.0)</f>
        <v>65</v>
      </c>
      <c r="F9756" s="19" t="str">
        <f>IFERROR(__xludf.DUMMYFUNCTION("""COMPUTED_VALUE"""),"BLACK")</f>
        <v>BLACK</v>
      </c>
      <c r="G9756" s="20" t="str">
        <f>IFERROR(__xludf.DUMMYFUNCTION("""COMPUTED_VALUE"""),"Uncle Sams Cider (04/04/2023)")</f>
        <v>Uncle Sams Cider (04/04/2023)</v>
      </c>
      <c r="H9756" s="19"/>
    </row>
    <row r="9757">
      <c r="A9757" s="9"/>
      <c r="B9757" s="15"/>
      <c r="C9757" s="9">
        <f>IFERROR(__xludf.DUMMYFUNCTION("""COMPUTED_VALUE"""),45041.7135336689)</f>
        <v>45041.71353</v>
      </c>
      <c r="D9757" s="15">
        <f>IFERROR(__xludf.DUMMYFUNCTION("""COMPUTED_VALUE"""),1.032)</f>
        <v>1.032</v>
      </c>
      <c r="E9757" s="16">
        <f>IFERROR(__xludf.DUMMYFUNCTION("""COMPUTED_VALUE"""),65.0)</f>
        <v>65</v>
      </c>
      <c r="F9757" s="19" t="str">
        <f>IFERROR(__xludf.DUMMYFUNCTION("""COMPUTED_VALUE"""),"BLACK")</f>
        <v>BLACK</v>
      </c>
      <c r="G9757" s="20" t="str">
        <f>IFERROR(__xludf.DUMMYFUNCTION("""COMPUTED_VALUE"""),"Uncle Sams Cider (04/04/2023)")</f>
        <v>Uncle Sams Cider (04/04/2023)</v>
      </c>
      <c r="H9757" s="19"/>
    </row>
    <row r="9758">
      <c r="A9758" s="9"/>
      <c r="B9758" s="15"/>
      <c r="C9758" s="9">
        <f>IFERROR(__xludf.DUMMYFUNCTION("""COMPUTED_VALUE"""),45041.7031130787)</f>
        <v>45041.70311</v>
      </c>
      <c r="D9758" s="15">
        <f>IFERROR(__xludf.DUMMYFUNCTION("""COMPUTED_VALUE"""),1.032)</f>
        <v>1.032</v>
      </c>
      <c r="E9758" s="16">
        <f>IFERROR(__xludf.DUMMYFUNCTION("""COMPUTED_VALUE"""),65.0)</f>
        <v>65</v>
      </c>
      <c r="F9758" s="19" t="str">
        <f>IFERROR(__xludf.DUMMYFUNCTION("""COMPUTED_VALUE"""),"BLACK")</f>
        <v>BLACK</v>
      </c>
      <c r="G9758" s="20" t="str">
        <f>IFERROR(__xludf.DUMMYFUNCTION("""COMPUTED_VALUE"""),"Uncle Sams Cider (04/04/2023)")</f>
        <v>Uncle Sams Cider (04/04/2023)</v>
      </c>
      <c r="H9758" s="19"/>
    </row>
    <row r="9759">
      <c r="A9759" s="9"/>
      <c r="B9759" s="15"/>
      <c r="C9759" s="9">
        <f>IFERROR(__xludf.DUMMYFUNCTION("""COMPUTED_VALUE"""),45041.6926912615)</f>
        <v>45041.69269</v>
      </c>
      <c r="D9759" s="15">
        <f>IFERROR(__xludf.DUMMYFUNCTION("""COMPUTED_VALUE"""),1.033)</f>
        <v>1.033</v>
      </c>
      <c r="E9759" s="16">
        <f>IFERROR(__xludf.DUMMYFUNCTION("""COMPUTED_VALUE"""),65.0)</f>
        <v>65</v>
      </c>
      <c r="F9759" s="19" t="str">
        <f>IFERROR(__xludf.DUMMYFUNCTION("""COMPUTED_VALUE"""),"BLACK")</f>
        <v>BLACK</v>
      </c>
      <c r="G9759" s="20" t="str">
        <f>IFERROR(__xludf.DUMMYFUNCTION("""COMPUTED_VALUE"""),"Uncle Sams Cider (04/04/2023)")</f>
        <v>Uncle Sams Cider (04/04/2023)</v>
      </c>
      <c r="H9759" s="19"/>
    </row>
    <row r="9760">
      <c r="A9760" s="9"/>
      <c r="B9760" s="15"/>
      <c r="C9760" s="9">
        <f>IFERROR(__xludf.DUMMYFUNCTION("""COMPUTED_VALUE"""),45041.682271331)</f>
        <v>45041.68227</v>
      </c>
      <c r="D9760" s="15">
        <f>IFERROR(__xludf.DUMMYFUNCTION("""COMPUTED_VALUE"""),1.032)</f>
        <v>1.032</v>
      </c>
      <c r="E9760" s="16">
        <f>IFERROR(__xludf.DUMMYFUNCTION("""COMPUTED_VALUE"""),65.0)</f>
        <v>65</v>
      </c>
      <c r="F9760" s="19" t="str">
        <f>IFERROR(__xludf.DUMMYFUNCTION("""COMPUTED_VALUE"""),"BLACK")</f>
        <v>BLACK</v>
      </c>
      <c r="G9760" s="20" t="str">
        <f>IFERROR(__xludf.DUMMYFUNCTION("""COMPUTED_VALUE"""),"Uncle Sams Cider (04/04/2023)")</f>
        <v>Uncle Sams Cider (04/04/2023)</v>
      </c>
      <c r="H9760" s="19"/>
    </row>
    <row r="9761">
      <c r="A9761" s="9"/>
      <c r="B9761" s="15"/>
      <c r="C9761" s="9">
        <f>IFERROR(__xludf.DUMMYFUNCTION("""COMPUTED_VALUE"""),45041.6718043402)</f>
        <v>45041.6718</v>
      </c>
      <c r="D9761" s="15">
        <f>IFERROR(__xludf.DUMMYFUNCTION("""COMPUTED_VALUE"""),1.032)</f>
        <v>1.032</v>
      </c>
      <c r="E9761" s="16">
        <f>IFERROR(__xludf.DUMMYFUNCTION("""COMPUTED_VALUE"""),65.0)</f>
        <v>65</v>
      </c>
      <c r="F9761" s="19" t="str">
        <f>IFERROR(__xludf.DUMMYFUNCTION("""COMPUTED_VALUE"""),"BLACK")</f>
        <v>BLACK</v>
      </c>
      <c r="G9761" s="20" t="str">
        <f>IFERROR(__xludf.DUMMYFUNCTION("""COMPUTED_VALUE"""),"Uncle Sams Cider (04/04/2023)")</f>
        <v>Uncle Sams Cider (04/04/2023)</v>
      </c>
      <c r="H9761" s="19"/>
    </row>
    <row r="9762">
      <c r="A9762" s="9"/>
      <c r="B9762" s="15"/>
      <c r="C9762" s="9">
        <f>IFERROR(__xludf.DUMMYFUNCTION("""COMPUTED_VALUE"""),45041.6613824305)</f>
        <v>45041.66138</v>
      </c>
      <c r="D9762" s="15">
        <f>IFERROR(__xludf.DUMMYFUNCTION("""COMPUTED_VALUE"""),1.032)</f>
        <v>1.032</v>
      </c>
      <c r="E9762" s="16">
        <f>IFERROR(__xludf.DUMMYFUNCTION("""COMPUTED_VALUE"""),65.0)</f>
        <v>65</v>
      </c>
      <c r="F9762" s="19" t="str">
        <f>IFERROR(__xludf.DUMMYFUNCTION("""COMPUTED_VALUE"""),"BLACK")</f>
        <v>BLACK</v>
      </c>
      <c r="G9762" s="20" t="str">
        <f>IFERROR(__xludf.DUMMYFUNCTION("""COMPUTED_VALUE"""),"Uncle Sams Cider (04/04/2023)")</f>
        <v>Uncle Sams Cider (04/04/2023)</v>
      </c>
      <c r="H9762" s="19"/>
    </row>
    <row r="9763">
      <c r="A9763" s="9"/>
      <c r="B9763" s="15"/>
      <c r="C9763" s="9">
        <f>IFERROR(__xludf.DUMMYFUNCTION("""COMPUTED_VALUE"""),45041.6509511921)</f>
        <v>45041.65095</v>
      </c>
      <c r="D9763" s="15">
        <f>IFERROR(__xludf.DUMMYFUNCTION("""COMPUTED_VALUE"""),1.033)</f>
        <v>1.033</v>
      </c>
      <c r="E9763" s="16">
        <f>IFERROR(__xludf.DUMMYFUNCTION("""COMPUTED_VALUE"""),65.0)</f>
        <v>65</v>
      </c>
      <c r="F9763" s="19" t="str">
        <f>IFERROR(__xludf.DUMMYFUNCTION("""COMPUTED_VALUE"""),"BLACK")</f>
        <v>BLACK</v>
      </c>
      <c r="G9763" s="20" t="str">
        <f>IFERROR(__xludf.DUMMYFUNCTION("""COMPUTED_VALUE"""),"Uncle Sams Cider (04/04/2023)")</f>
        <v>Uncle Sams Cider (04/04/2023)</v>
      </c>
      <c r="H9763" s="19"/>
    </row>
    <row r="9764">
      <c r="A9764" s="9"/>
      <c r="B9764" s="15"/>
      <c r="C9764" s="9">
        <f>IFERROR(__xludf.DUMMYFUNCTION("""COMPUTED_VALUE"""),45041.6405181944)</f>
        <v>45041.64052</v>
      </c>
      <c r="D9764" s="15">
        <f>IFERROR(__xludf.DUMMYFUNCTION("""COMPUTED_VALUE"""),1.033)</f>
        <v>1.033</v>
      </c>
      <c r="E9764" s="16">
        <f>IFERROR(__xludf.DUMMYFUNCTION("""COMPUTED_VALUE"""),65.0)</f>
        <v>65</v>
      </c>
      <c r="F9764" s="19" t="str">
        <f>IFERROR(__xludf.DUMMYFUNCTION("""COMPUTED_VALUE"""),"BLACK")</f>
        <v>BLACK</v>
      </c>
      <c r="G9764" s="20" t="str">
        <f>IFERROR(__xludf.DUMMYFUNCTION("""COMPUTED_VALUE"""),"Uncle Sams Cider (04/04/2023)")</f>
        <v>Uncle Sams Cider (04/04/2023)</v>
      </c>
      <c r="H9764" s="19"/>
    </row>
    <row r="9765">
      <c r="A9765" s="9"/>
      <c r="B9765" s="15"/>
      <c r="C9765" s="9">
        <f>IFERROR(__xludf.DUMMYFUNCTION("""COMPUTED_VALUE"""),45041.6300967592)</f>
        <v>45041.6301</v>
      </c>
      <c r="D9765" s="15">
        <f>IFERROR(__xludf.DUMMYFUNCTION("""COMPUTED_VALUE"""),1.033)</f>
        <v>1.033</v>
      </c>
      <c r="E9765" s="16">
        <f>IFERROR(__xludf.DUMMYFUNCTION("""COMPUTED_VALUE"""),65.0)</f>
        <v>65</v>
      </c>
      <c r="F9765" s="19" t="str">
        <f>IFERROR(__xludf.DUMMYFUNCTION("""COMPUTED_VALUE"""),"BLACK")</f>
        <v>BLACK</v>
      </c>
      <c r="G9765" s="20" t="str">
        <f>IFERROR(__xludf.DUMMYFUNCTION("""COMPUTED_VALUE"""),"Uncle Sams Cider (04/04/2023)")</f>
        <v>Uncle Sams Cider (04/04/2023)</v>
      </c>
      <c r="H9765" s="19"/>
    </row>
    <row r="9766">
      <c r="A9766" s="9"/>
      <c r="B9766" s="15"/>
      <c r="C9766" s="9">
        <f>IFERROR(__xludf.DUMMYFUNCTION("""COMPUTED_VALUE"""),45041.6196638888)</f>
        <v>45041.61966</v>
      </c>
      <c r="D9766" s="15">
        <f>IFERROR(__xludf.DUMMYFUNCTION("""COMPUTED_VALUE"""),1.032)</f>
        <v>1.032</v>
      </c>
      <c r="E9766" s="16">
        <f>IFERROR(__xludf.DUMMYFUNCTION("""COMPUTED_VALUE"""),65.0)</f>
        <v>65</v>
      </c>
      <c r="F9766" s="19" t="str">
        <f>IFERROR(__xludf.DUMMYFUNCTION("""COMPUTED_VALUE"""),"BLACK")</f>
        <v>BLACK</v>
      </c>
      <c r="G9766" s="20" t="str">
        <f>IFERROR(__xludf.DUMMYFUNCTION("""COMPUTED_VALUE"""),"Uncle Sams Cider (04/04/2023)")</f>
        <v>Uncle Sams Cider (04/04/2023)</v>
      </c>
      <c r="H9766" s="19"/>
    </row>
    <row r="9767">
      <c r="A9767" s="9"/>
      <c r="B9767" s="15"/>
      <c r="C9767" s="9">
        <f>IFERROR(__xludf.DUMMYFUNCTION("""COMPUTED_VALUE"""),45041.6092420601)</f>
        <v>45041.60924</v>
      </c>
      <c r="D9767" s="15">
        <f>IFERROR(__xludf.DUMMYFUNCTION("""COMPUTED_VALUE"""),1.032)</f>
        <v>1.032</v>
      </c>
      <c r="E9767" s="16">
        <f>IFERROR(__xludf.DUMMYFUNCTION("""COMPUTED_VALUE"""),65.0)</f>
        <v>65</v>
      </c>
      <c r="F9767" s="19" t="str">
        <f>IFERROR(__xludf.DUMMYFUNCTION("""COMPUTED_VALUE"""),"BLACK")</f>
        <v>BLACK</v>
      </c>
      <c r="G9767" s="20" t="str">
        <f>IFERROR(__xludf.DUMMYFUNCTION("""COMPUTED_VALUE"""),"Uncle Sams Cider (04/04/2023)")</f>
        <v>Uncle Sams Cider (04/04/2023)</v>
      </c>
      <c r="H9767" s="19"/>
    </row>
    <row r="9768">
      <c r="A9768" s="9"/>
      <c r="B9768" s="15"/>
      <c r="C9768" s="9">
        <f>IFERROR(__xludf.DUMMYFUNCTION("""COMPUTED_VALUE"""),45041.5988087963)</f>
        <v>45041.59881</v>
      </c>
      <c r="D9768" s="15">
        <f>IFERROR(__xludf.DUMMYFUNCTION("""COMPUTED_VALUE"""),1.033)</f>
        <v>1.033</v>
      </c>
      <c r="E9768" s="16">
        <f>IFERROR(__xludf.DUMMYFUNCTION("""COMPUTED_VALUE"""),65.0)</f>
        <v>65</v>
      </c>
      <c r="F9768" s="19" t="str">
        <f>IFERROR(__xludf.DUMMYFUNCTION("""COMPUTED_VALUE"""),"BLACK")</f>
        <v>BLACK</v>
      </c>
      <c r="G9768" s="20" t="str">
        <f>IFERROR(__xludf.DUMMYFUNCTION("""COMPUTED_VALUE"""),"Uncle Sams Cider (04/04/2023)")</f>
        <v>Uncle Sams Cider (04/04/2023)</v>
      </c>
      <c r="H9768" s="19"/>
    </row>
    <row r="9769">
      <c r="A9769" s="9"/>
      <c r="B9769" s="15"/>
      <c r="C9769" s="9">
        <f>IFERROR(__xludf.DUMMYFUNCTION("""COMPUTED_VALUE"""),45041.5883644212)</f>
        <v>45041.58836</v>
      </c>
      <c r="D9769" s="15">
        <f>IFERROR(__xludf.DUMMYFUNCTION("""COMPUTED_VALUE"""),1.033)</f>
        <v>1.033</v>
      </c>
      <c r="E9769" s="16">
        <f>IFERROR(__xludf.DUMMYFUNCTION("""COMPUTED_VALUE"""),65.0)</f>
        <v>65</v>
      </c>
      <c r="F9769" s="19" t="str">
        <f>IFERROR(__xludf.DUMMYFUNCTION("""COMPUTED_VALUE"""),"BLACK")</f>
        <v>BLACK</v>
      </c>
      <c r="G9769" s="20" t="str">
        <f>IFERROR(__xludf.DUMMYFUNCTION("""COMPUTED_VALUE"""),"Uncle Sams Cider (04/04/2023)")</f>
        <v>Uncle Sams Cider (04/04/2023)</v>
      </c>
      <c r="H9769" s="19"/>
    </row>
    <row r="9770">
      <c r="A9770" s="9"/>
      <c r="B9770" s="15"/>
      <c r="C9770" s="9">
        <f>IFERROR(__xludf.DUMMYFUNCTION("""COMPUTED_VALUE"""),45041.5779442824)</f>
        <v>45041.57794</v>
      </c>
      <c r="D9770" s="15">
        <f>IFERROR(__xludf.DUMMYFUNCTION("""COMPUTED_VALUE"""),1.033)</f>
        <v>1.033</v>
      </c>
      <c r="E9770" s="16">
        <f>IFERROR(__xludf.DUMMYFUNCTION("""COMPUTED_VALUE"""),65.0)</f>
        <v>65</v>
      </c>
      <c r="F9770" s="19" t="str">
        <f>IFERROR(__xludf.DUMMYFUNCTION("""COMPUTED_VALUE"""),"BLACK")</f>
        <v>BLACK</v>
      </c>
      <c r="G9770" s="20" t="str">
        <f>IFERROR(__xludf.DUMMYFUNCTION("""COMPUTED_VALUE"""),"Uncle Sams Cider (04/04/2023)")</f>
        <v>Uncle Sams Cider (04/04/2023)</v>
      </c>
      <c r="H9770" s="19"/>
    </row>
    <row r="9771">
      <c r="A9771" s="9"/>
      <c r="B9771" s="15"/>
      <c r="C9771" s="9">
        <f>IFERROR(__xludf.DUMMYFUNCTION("""COMPUTED_VALUE"""),45041.5674896296)</f>
        <v>45041.56749</v>
      </c>
      <c r="D9771" s="15">
        <f>IFERROR(__xludf.DUMMYFUNCTION("""COMPUTED_VALUE"""),1.032)</f>
        <v>1.032</v>
      </c>
      <c r="E9771" s="16">
        <f>IFERROR(__xludf.DUMMYFUNCTION("""COMPUTED_VALUE"""),65.0)</f>
        <v>65</v>
      </c>
      <c r="F9771" s="19" t="str">
        <f>IFERROR(__xludf.DUMMYFUNCTION("""COMPUTED_VALUE"""),"BLACK")</f>
        <v>BLACK</v>
      </c>
      <c r="G9771" s="20" t="str">
        <f>IFERROR(__xludf.DUMMYFUNCTION("""COMPUTED_VALUE"""),"Uncle Sams Cider (04/04/2023)")</f>
        <v>Uncle Sams Cider (04/04/2023)</v>
      </c>
      <c r="H9771" s="19"/>
    </row>
    <row r="9772">
      <c r="A9772" s="9"/>
      <c r="B9772" s="15"/>
      <c r="C9772" s="9">
        <f>IFERROR(__xludf.DUMMYFUNCTION("""COMPUTED_VALUE"""),45041.5570562037)</f>
        <v>45041.55706</v>
      </c>
      <c r="D9772" s="15">
        <f>IFERROR(__xludf.DUMMYFUNCTION("""COMPUTED_VALUE"""),1.033)</f>
        <v>1.033</v>
      </c>
      <c r="E9772" s="16">
        <f>IFERROR(__xludf.DUMMYFUNCTION("""COMPUTED_VALUE"""),65.0)</f>
        <v>65</v>
      </c>
      <c r="F9772" s="19" t="str">
        <f>IFERROR(__xludf.DUMMYFUNCTION("""COMPUTED_VALUE"""),"BLACK")</f>
        <v>BLACK</v>
      </c>
      <c r="G9772" s="20" t="str">
        <f>IFERROR(__xludf.DUMMYFUNCTION("""COMPUTED_VALUE"""),"Uncle Sams Cider (04/04/2023)")</f>
        <v>Uncle Sams Cider (04/04/2023)</v>
      </c>
      <c r="H9772" s="19"/>
    </row>
    <row r="9773">
      <c r="A9773" s="9"/>
      <c r="B9773" s="15"/>
      <c r="C9773" s="9">
        <f>IFERROR(__xludf.DUMMYFUNCTION("""COMPUTED_VALUE"""),45041.5466352662)</f>
        <v>45041.54664</v>
      </c>
      <c r="D9773" s="15">
        <f>IFERROR(__xludf.DUMMYFUNCTION("""COMPUTED_VALUE"""),1.033)</f>
        <v>1.033</v>
      </c>
      <c r="E9773" s="16">
        <f>IFERROR(__xludf.DUMMYFUNCTION("""COMPUTED_VALUE"""),65.0)</f>
        <v>65</v>
      </c>
      <c r="F9773" s="19" t="str">
        <f>IFERROR(__xludf.DUMMYFUNCTION("""COMPUTED_VALUE"""),"BLACK")</f>
        <v>BLACK</v>
      </c>
      <c r="G9773" s="20" t="str">
        <f>IFERROR(__xludf.DUMMYFUNCTION("""COMPUTED_VALUE"""),"Uncle Sams Cider (04/04/2023)")</f>
        <v>Uncle Sams Cider (04/04/2023)</v>
      </c>
      <c r="H9773" s="19"/>
    </row>
    <row r="9774">
      <c r="A9774" s="9"/>
      <c r="B9774" s="15"/>
      <c r="C9774" s="9">
        <f>IFERROR(__xludf.DUMMYFUNCTION("""COMPUTED_VALUE"""),45041.5362010532)</f>
        <v>45041.5362</v>
      </c>
      <c r="D9774" s="15">
        <f>IFERROR(__xludf.DUMMYFUNCTION("""COMPUTED_VALUE"""),1.033)</f>
        <v>1.033</v>
      </c>
      <c r="E9774" s="16">
        <f>IFERROR(__xludf.DUMMYFUNCTION("""COMPUTED_VALUE"""),65.0)</f>
        <v>65</v>
      </c>
      <c r="F9774" s="19" t="str">
        <f>IFERROR(__xludf.DUMMYFUNCTION("""COMPUTED_VALUE"""),"BLACK")</f>
        <v>BLACK</v>
      </c>
      <c r="G9774" s="20" t="str">
        <f>IFERROR(__xludf.DUMMYFUNCTION("""COMPUTED_VALUE"""),"Uncle Sams Cider (04/04/2023)")</f>
        <v>Uncle Sams Cider (04/04/2023)</v>
      </c>
      <c r="H9774" s="19"/>
    </row>
    <row r="9775">
      <c r="A9775" s="9"/>
      <c r="B9775" s="15"/>
      <c r="C9775" s="9">
        <f>IFERROR(__xludf.DUMMYFUNCTION("""COMPUTED_VALUE"""),45041.5257326273)</f>
        <v>45041.52573</v>
      </c>
      <c r="D9775" s="15">
        <f>IFERROR(__xludf.DUMMYFUNCTION("""COMPUTED_VALUE"""),1.033)</f>
        <v>1.033</v>
      </c>
      <c r="E9775" s="16">
        <f>IFERROR(__xludf.DUMMYFUNCTION("""COMPUTED_VALUE"""),65.0)</f>
        <v>65</v>
      </c>
      <c r="F9775" s="19" t="str">
        <f>IFERROR(__xludf.DUMMYFUNCTION("""COMPUTED_VALUE"""),"BLACK")</f>
        <v>BLACK</v>
      </c>
      <c r="G9775" s="20" t="str">
        <f>IFERROR(__xludf.DUMMYFUNCTION("""COMPUTED_VALUE"""),"Uncle Sams Cider (04/04/2023)")</f>
        <v>Uncle Sams Cider (04/04/2023)</v>
      </c>
      <c r="H9775" s="19"/>
    </row>
    <row r="9776">
      <c r="A9776" s="9"/>
      <c r="B9776" s="15"/>
      <c r="C9776" s="9">
        <f>IFERROR(__xludf.DUMMYFUNCTION("""COMPUTED_VALUE"""),45041.5152987963)</f>
        <v>45041.5153</v>
      </c>
      <c r="D9776" s="15">
        <f>IFERROR(__xludf.DUMMYFUNCTION("""COMPUTED_VALUE"""),1.033)</f>
        <v>1.033</v>
      </c>
      <c r="E9776" s="16">
        <f>IFERROR(__xludf.DUMMYFUNCTION("""COMPUTED_VALUE"""),65.0)</f>
        <v>65</v>
      </c>
      <c r="F9776" s="19" t="str">
        <f>IFERROR(__xludf.DUMMYFUNCTION("""COMPUTED_VALUE"""),"BLACK")</f>
        <v>BLACK</v>
      </c>
      <c r="G9776" s="20" t="str">
        <f>IFERROR(__xludf.DUMMYFUNCTION("""COMPUTED_VALUE"""),"Uncle Sams Cider (04/04/2023)")</f>
        <v>Uncle Sams Cider (04/04/2023)</v>
      </c>
      <c r="H9776" s="19"/>
    </row>
    <row r="9777">
      <c r="A9777" s="9"/>
      <c r="B9777" s="15"/>
      <c r="C9777" s="9">
        <f>IFERROR(__xludf.DUMMYFUNCTION("""COMPUTED_VALUE"""),45041.5048529282)</f>
        <v>45041.50485</v>
      </c>
      <c r="D9777" s="15">
        <f>IFERROR(__xludf.DUMMYFUNCTION("""COMPUTED_VALUE"""),1.033)</f>
        <v>1.033</v>
      </c>
      <c r="E9777" s="16">
        <f>IFERROR(__xludf.DUMMYFUNCTION("""COMPUTED_VALUE"""),65.0)</f>
        <v>65</v>
      </c>
      <c r="F9777" s="19" t="str">
        <f>IFERROR(__xludf.DUMMYFUNCTION("""COMPUTED_VALUE"""),"BLACK")</f>
        <v>BLACK</v>
      </c>
      <c r="G9777" s="20" t="str">
        <f>IFERROR(__xludf.DUMMYFUNCTION("""COMPUTED_VALUE"""),"Uncle Sams Cider (04/04/2023)")</f>
        <v>Uncle Sams Cider (04/04/2023)</v>
      </c>
      <c r="H9777" s="19"/>
    </row>
    <row r="9778">
      <c r="A9778" s="9"/>
      <c r="B9778" s="15"/>
      <c r="C9778" s="9">
        <f>IFERROR(__xludf.DUMMYFUNCTION("""COMPUTED_VALUE"""),45041.4944336342)</f>
        <v>45041.49443</v>
      </c>
      <c r="D9778" s="15">
        <f>IFERROR(__xludf.DUMMYFUNCTION("""COMPUTED_VALUE"""),1.033)</f>
        <v>1.033</v>
      </c>
      <c r="E9778" s="16">
        <f>IFERROR(__xludf.DUMMYFUNCTION("""COMPUTED_VALUE"""),65.0)</f>
        <v>65</v>
      </c>
      <c r="F9778" s="19" t="str">
        <f>IFERROR(__xludf.DUMMYFUNCTION("""COMPUTED_VALUE"""),"BLACK")</f>
        <v>BLACK</v>
      </c>
      <c r="G9778" s="20" t="str">
        <f>IFERROR(__xludf.DUMMYFUNCTION("""COMPUTED_VALUE"""),"Uncle Sams Cider (04/04/2023)")</f>
        <v>Uncle Sams Cider (04/04/2023)</v>
      </c>
      <c r="H9778" s="19"/>
    </row>
    <row r="9779">
      <c r="A9779" s="9"/>
      <c r="B9779" s="15"/>
      <c r="C9779" s="9">
        <f>IFERROR(__xludf.DUMMYFUNCTION("""COMPUTED_VALUE"""),45041.4839893055)</f>
        <v>45041.48399</v>
      </c>
      <c r="D9779" s="15">
        <f>IFERROR(__xludf.DUMMYFUNCTION("""COMPUTED_VALUE"""),1.033)</f>
        <v>1.033</v>
      </c>
      <c r="E9779" s="16">
        <f>IFERROR(__xludf.DUMMYFUNCTION("""COMPUTED_VALUE"""),65.0)</f>
        <v>65</v>
      </c>
      <c r="F9779" s="19" t="str">
        <f>IFERROR(__xludf.DUMMYFUNCTION("""COMPUTED_VALUE"""),"BLACK")</f>
        <v>BLACK</v>
      </c>
      <c r="G9779" s="20" t="str">
        <f>IFERROR(__xludf.DUMMYFUNCTION("""COMPUTED_VALUE"""),"Uncle Sams Cider (04/04/2023)")</f>
        <v>Uncle Sams Cider (04/04/2023)</v>
      </c>
      <c r="H9779" s="19"/>
    </row>
    <row r="9780">
      <c r="A9780" s="9"/>
      <c r="B9780" s="15"/>
      <c r="C9780" s="9">
        <f>IFERROR(__xludf.DUMMYFUNCTION("""COMPUTED_VALUE"""),45041.4735551504)</f>
        <v>45041.47356</v>
      </c>
      <c r="D9780" s="15">
        <f>IFERROR(__xludf.DUMMYFUNCTION("""COMPUTED_VALUE"""),1.033)</f>
        <v>1.033</v>
      </c>
      <c r="E9780" s="16">
        <f>IFERROR(__xludf.DUMMYFUNCTION("""COMPUTED_VALUE"""),65.0)</f>
        <v>65</v>
      </c>
      <c r="F9780" s="19" t="str">
        <f>IFERROR(__xludf.DUMMYFUNCTION("""COMPUTED_VALUE"""),"BLACK")</f>
        <v>BLACK</v>
      </c>
      <c r="G9780" s="20" t="str">
        <f>IFERROR(__xludf.DUMMYFUNCTION("""COMPUTED_VALUE"""),"Uncle Sams Cider (04/04/2023)")</f>
        <v>Uncle Sams Cider (04/04/2023)</v>
      </c>
      <c r="H9780" s="19"/>
    </row>
    <row r="9781">
      <c r="A9781" s="9"/>
      <c r="B9781" s="15"/>
      <c r="C9781" s="9">
        <f>IFERROR(__xludf.DUMMYFUNCTION("""COMPUTED_VALUE"""),45041.4631114814)</f>
        <v>45041.46311</v>
      </c>
      <c r="D9781" s="15">
        <f>IFERROR(__xludf.DUMMYFUNCTION("""COMPUTED_VALUE"""),1.033)</f>
        <v>1.033</v>
      </c>
      <c r="E9781" s="16">
        <f>IFERROR(__xludf.DUMMYFUNCTION("""COMPUTED_VALUE"""),65.0)</f>
        <v>65</v>
      </c>
      <c r="F9781" s="19" t="str">
        <f>IFERROR(__xludf.DUMMYFUNCTION("""COMPUTED_VALUE"""),"BLACK")</f>
        <v>BLACK</v>
      </c>
      <c r="G9781" s="20" t="str">
        <f>IFERROR(__xludf.DUMMYFUNCTION("""COMPUTED_VALUE"""),"Uncle Sams Cider (04/04/2023)")</f>
        <v>Uncle Sams Cider (04/04/2023)</v>
      </c>
      <c r="H9781" s="19"/>
    </row>
    <row r="9782">
      <c r="A9782" s="9"/>
      <c r="B9782" s="15"/>
      <c r="C9782" s="9">
        <f>IFERROR(__xludf.DUMMYFUNCTION("""COMPUTED_VALUE"""),45041.4526908449)</f>
        <v>45041.45269</v>
      </c>
      <c r="D9782" s="15">
        <f>IFERROR(__xludf.DUMMYFUNCTION("""COMPUTED_VALUE"""),1.033)</f>
        <v>1.033</v>
      </c>
      <c r="E9782" s="16">
        <f>IFERROR(__xludf.DUMMYFUNCTION("""COMPUTED_VALUE"""),65.0)</f>
        <v>65</v>
      </c>
      <c r="F9782" s="19" t="str">
        <f>IFERROR(__xludf.DUMMYFUNCTION("""COMPUTED_VALUE"""),"BLACK")</f>
        <v>BLACK</v>
      </c>
      <c r="G9782" s="20" t="str">
        <f>IFERROR(__xludf.DUMMYFUNCTION("""COMPUTED_VALUE"""),"Uncle Sams Cider (04/04/2023)")</f>
        <v>Uncle Sams Cider (04/04/2023)</v>
      </c>
      <c r="H9782" s="19"/>
    </row>
    <row r="9783">
      <c r="A9783" s="9"/>
      <c r="B9783" s="15"/>
      <c r="C9783" s="9">
        <f>IFERROR(__xludf.DUMMYFUNCTION("""COMPUTED_VALUE"""),45041.4422471875)</f>
        <v>45041.44225</v>
      </c>
      <c r="D9783" s="15">
        <f>IFERROR(__xludf.DUMMYFUNCTION("""COMPUTED_VALUE"""),1.033)</f>
        <v>1.033</v>
      </c>
      <c r="E9783" s="16">
        <f>IFERROR(__xludf.DUMMYFUNCTION("""COMPUTED_VALUE"""),65.0)</f>
        <v>65</v>
      </c>
      <c r="F9783" s="19" t="str">
        <f>IFERROR(__xludf.DUMMYFUNCTION("""COMPUTED_VALUE"""),"BLACK")</f>
        <v>BLACK</v>
      </c>
      <c r="G9783" s="20" t="str">
        <f>IFERROR(__xludf.DUMMYFUNCTION("""COMPUTED_VALUE"""),"Uncle Sams Cider (04/04/2023)")</f>
        <v>Uncle Sams Cider (04/04/2023)</v>
      </c>
      <c r="H9783" s="19"/>
    </row>
    <row r="9784">
      <c r="A9784" s="9"/>
      <c r="B9784" s="15"/>
      <c r="C9784" s="9">
        <f>IFERROR(__xludf.DUMMYFUNCTION("""COMPUTED_VALUE"""),45041.4318270139)</f>
        <v>45041.43183</v>
      </c>
      <c r="D9784" s="15">
        <f>IFERROR(__xludf.DUMMYFUNCTION("""COMPUTED_VALUE"""),1.033)</f>
        <v>1.033</v>
      </c>
      <c r="E9784" s="16">
        <f>IFERROR(__xludf.DUMMYFUNCTION("""COMPUTED_VALUE"""),65.0)</f>
        <v>65</v>
      </c>
      <c r="F9784" s="19" t="str">
        <f>IFERROR(__xludf.DUMMYFUNCTION("""COMPUTED_VALUE"""),"BLACK")</f>
        <v>BLACK</v>
      </c>
      <c r="G9784" s="20" t="str">
        <f>IFERROR(__xludf.DUMMYFUNCTION("""COMPUTED_VALUE"""),"Uncle Sams Cider (04/04/2023)")</f>
        <v>Uncle Sams Cider (04/04/2023)</v>
      </c>
      <c r="H9784" s="19"/>
    </row>
    <row r="9785">
      <c r="A9785" s="9"/>
      <c r="B9785" s="15"/>
      <c r="C9785" s="9">
        <f>IFERROR(__xludf.DUMMYFUNCTION("""COMPUTED_VALUE"""),45041.4213586574)</f>
        <v>45041.42136</v>
      </c>
      <c r="D9785" s="15">
        <f>IFERROR(__xludf.DUMMYFUNCTION("""COMPUTED_VALUE"""),1.033)</f>
        <v>1.033</v>
      </c>
      <c r="E9785" s="16">
        <f>IFERROR(__xludf.DUMMYFUNCTION("""COMPUTED_VALUE"""),65.0)</f>
        <v>65</v>
      </c>
      <c r="F9785" s="19" t="str">
        <f>IFERROR(__xludf.DUMMYFUNCTION("""COMPUTED_VALUE"""),"BLACK")</f>
        <v>BLACK</v>
      </c>
      <c r="G9785" s="20" t="str">
        <f>IFERROR(__xludf.DUMMYFUNCTION("""COMPUTED_VALUE"""),"Uncle Sams Cider (04/04/2023)")</f>
        <v>Uncle Sams Cider (04/04/2023)</v>
      </c>
      <c r="H9785" s="19"/>
    </row>
    <row r="9786">
      <c r="A9786" s="9"/>
      <c r="B9786" s="15"/>
      <c r="C9786" s="9">
        <f>IFERROR(__xludf.DUMMYFUNCTION("""COMPUTED_VALUE"""),45041.4109144907)</f>
        <v>45041.41091</v>
      </c>
      <c r="D9786" s="15">
        <f>IFERROR(__xludf.DUMMYFUNCTION("""COMPUTED_VALUE"""),1.033)</f>
        <v>1.033</v>
      </c>
      <c r="E9786" s="16">
        <f>IFERROR(__xludf.DUMMYFUNCTION("""COMPUTED_VALUE"""),65.0)</f>
        <v>65</v>
      </c>
      <c r="F9786" s="19" t="str">
        <f>IFERROR(__xludf.DUMMYFUNCTION("""COMPUTED_VALUE"""),"BLACK")</f>
        <v>BLACK</v>
      </c>
      <c r="G9786" s="20" t="str">
        <f>IFERROR(__xludf.DUMMYFUNCTION("""COMPUTED_VALUE"""),"Uncle Sams Cider (04/04/2023)")</f>
        <v>Uncle Sams Cider (04/04/2023)</v>
      </c>
      <c r="H9786" s="19"/>
    </row>
    <row r="9787">
      <c r="A9787" s="9"/>
      <c r="B9787" s="15"/>
      <c r="C9787" s="9">
        <f>IFERROR(__xludf.DUMMYFUNCTION("""COMPUTED_VALUE"""),45041.4004941666)</f>
        <v>45041.40049</v>
      </c>
      <c r="D9787" s="15">
        <f>IFERROR(__xludf.DUMMYFUNCTION("""COMPUTED_VALUE"""),1.033)</f>
        <v>1.033</v>
      </c>
      <c r="E9787" s="16">
        <f>IFERROR(__xludf.DUMMYFUNCTION("""COMPUTED_VALUE"""),65.0)</f>
        <v>65</v>
      </c>
      <c r="F9787" s="19" t="str">
        <f>IFERROR(__xludf.DUMMYFUNCTION("""COMPUTED_VALUE"""),"BLACK")</f>
        <v>BLACK</v>
      </c>
      <c r="G9787" s="20" t="str">
        <f>IFERROR(__xludf.DUMMYFUNCTION("""COMPUTED_VALUE"""),"Uncle Sams Cider (04/04/2023)")</f>
        <v>Uncle Sams Cider (04/04/2023)</v>
      </c>
      <c r="H9787" s="19"/>
    </row>
    <row r="9788">
      <c r="A9788" s="9"/>
      <c r="B9788" s="15"/>
      <c r="C9788" s="9">
        <f>IFERROR(__xludf.DUMMYFUNCTION("""COMPUTED_VALUE"""),45041.390073125)</f>
        <v>45041.39007</v>
      </c>
      <c r="D9788" s="15">
        <f>IFERROR(__xludf.DUMMYFUNCTION("""COMPUTED_VALUE"""),1.033)</f>
        <v>1.033</v>
      </c>
      <c r="E9788" s="16">
        <f>IFERROR(__xludf.DUMMYFUNCTION("""COMPUTED_VALUE"""),65.0)</f>
        <v>65</v>
      </c>
      <c r="F9788" s="19" t="str">
        <f>IFERROR(__xludf.DUMMYFUNCTION("""COMPUTED_VALUE"""),"BLACK")</f>
        <v>BLACK</v>
      </c>
      <c r="G9788" s="20" t="str">
        <f>IFERROR(__xludf.DUMMYFUNCTION("""COMPUTED_VALUE"""),"Uncle Sams Cider (04/04/2023)")</f>
        <v>Uncle Sams Cider (04/04/2023)</v>
      </c>
      <c r="H9788" s="19"/>
    </row>
    <row r="9789">
      <c r="A9789" s="9"/>
      <c r="B9789" s="15"/>
      <c r="C9789" s="9">
        <f>IFERROR(__xludf.DUMMYFUNCTION("""COMPUTED_VALUE"""),45041.3796528472)</f>
        <v>45041.37965</v>
      </c>
      <c r="D9789" s="15">
        <f>IFERROR(__xludf.DUMMYFUNCTION("""COMPUTED_VALUE"""),1.033)</f>
        <v>1.033</v>
      </c>
      <c r="E9789" s="16">
        <f>IFERROR(__xludf.DUMMYFUNCTION("""COMPUTED_VALUE"""),65.0)</f>
        <v>65</v>
      </c>
      <c r="F9789" s="19" t="str">
        <f>IFERROR(__xludf.DUMMYFUNCTION("""COMPUTED_VALUE"""),"BLACK")</f>
        <v>BLACK</v>
      </c>
      <c r="G9789" s="20" t="str">
        <f>IFERROR(__xludf.DUMMYFUNCTION("""COMPUTED_VALUE"""),"Uncle Sams Cider (04/04/2023)")</f>
        <v>Uncle Sams Cider (04/04/2023)</v>
      </c>
      <c r="H9789" s="19"/>
    </row>
    <row r="9790">
      <c r="A9790" s="9"/>
      <c r="B9790" s="15"/>
      <c r="C9790" s="9">
        <f>IFERROR(__xludf.DUMMYFUNCTION("""COMPUTED_VALUE"""),45041.369231412)</f>
        <v>45041.36923</v>
      </c>
      <c r="D9790" s="15">
        <f>IFERROR(__xludf.DUMMYFUNCTION("""COMPUTED_VALUE"""),1.033)</f>
        <v>1.033</v>
      </c>
      <c r="E9790" s="16">
        <f>IFERROR(__xludf.DUMMYFUNCTION("""COMPUTED_VALUE"""),65.0)</f>
        <v>65</v>
      </c>
      <c r="F9790" s="19" t="str">
        <f>IFERROR(__xludf.DUMMYFUNCTION("""COMPUTED_VALUE"""),"BLACK")</f>
        <v>BLACK</v>
      </c>
      <c r="G9790" s="20" t="str">
        <f>IFERROR(__xludf.DUMMYFUNCTION("""COMPUTED_VALUE"""),"Uncle Sams Cider (04/04/2023)")</f>
        <v>Uncle Sams Cider (04/04/2023)</v>
      </c>
      <c r="H9790" s="19"/>
    </row>
    <row r="9791">
      <c r="A9791" s="9"/>
      <c r="B9791" s="15"/>
      <c r="C9791" s="9">
        <f>IFERROR(__xludf.DUMMYFUNCTION("""COMPUTED_VALUE"""),45041.3587989236)</f>
        <v>45041.3588</v>
      </c>
      <c r="D9791" s="15">
        <f>IFERROR(__xludf.DUMMYFUNCTION("""COMPUTED_VALUE"""),1.033)</f>
        <v>1.033</v>
      </c>
      <c r="E9791" s="16">
        <f>IFERROR(__xludf.DUMMYFUNCTION("""COMPUTED_VALUE"""),65.0)</f>
        <v>65</v>
      </c>
      <c r="F9791" s="19" t="str">
        <f>IFERROR(__xludf.DUMMYFUNCTION("""COMPUTED_VALUE"""),"BLACK")</f>
        <v>BLACK</v>
      </c>
      <c r="G9791" s="20" t="str">
        <f>IFERROR(__xludf.DUMMYFUNCTION("""COMPUTED_VALUE"""),"Uncle Sams Cider (04/04/2023)")</f>
        <v>Uncle Sams Cider (04/04/2023)</v>
      </c>
      <c r="H9791" s="19"/>
    </row>
    <row r="9792">
      <c r="A9792" s="9"/>
      <c r="B9792" s="15"/>
      <c r="C9792" s="9">
        <f>IFERROR(__xludf.DUMMYFUNCTION("""COMPUTED_VALUE"""),45041.3483654282)</f>
        <v>45041.34837</v>
      </c>
      <c r="D9792" s="15">
        <f>IFERROR(__xludf.DUMMYFUNCTION("""COMPUTED_VALUE"""),1.033)</f>
        <v>1.033</v>
      </c>
      <c r="E9792" s="16">
        <f>IFERROR(__xludf.DUMMYFUNCTION("""COMPUTED_VALUE"""),65.0)</f>
        <v>65</v>
      </c>
      <c r="F9792" s="19" t="str">
        <f>IFERROR(__xludf.DUMMYFUNCTION("""COMPUTED_VALUE"""),"BLACK")</f>
        <v>BLACK</v>
      </c>
      <c r="G9792" s="20" t="str">
        <f>IFERROR(__xludf.DUMMYFUNCTION("""COMPUTED_VALUE"""),"Uncle Sams Cider (04/04/2023)")</f>
        <v>Uncle Sams Cider (04/04/2023)</v>
      </c>
      <c r="H9792" s="19"/>
    </row>
    <row r="9793">
      <c r="A9793" s="9"/>
      <c r="B9793" s="15"/>
      <c r="C9793" s="9">
        <f>IFERROR(__xludf.DUMMYFUNCTION("""COMPUTED_VALUE"""),45041.3379221296)</f>
        <v>45041.33792</v>
      </c>
      <c r="D9793" s="15">
        <f>IFERROR(__xludf.DUMMYFUNCTION("""COMPUTED_VALUE"""),1.033)</f>
        <v>1.033</v>
      </c>
      <c r="E9793" s="16">
        <f>IFERROR(__xludf.DUMMYFUNCTION("""COMPUTED_VALUE"""),66.0)</f>
        <v>66</v>
      </c>
      <c r="F9793" s="19" t="str">
        <f>IFERROR(__xludf.DUMMYFUNCTION("""COMPUTED_VALUE"""),"BLACK")</f>
        <v>BLACK</v>
      </c>
      <c r="G9793" s="20" t="str">
        <f>IFERROR(__xludf.DUMMYFUNCTION("""COMPUTED_VALUE"""),"Uncle Sams Cider (04/04/2023)")</f>
        <v>Uncle Sams Cider (04/04/2023)</v>
      </c>
      <c r="H9793" s="19"/>
    </row>
    <row r="9794">
      <c r="A9794" s="9"/>
      <c r="B9794" s="15"/>
      <c r="C9794" s="9">
        <f>IFERROR(__xludf.DUMMYFUNCTION("""COMPUTED_VALUE"""),45041.3274770833)</f>
        <v>45041.32748</v>
      </c>
      <c r="D9794" s="15">
        <f>IFERROR(__xludf.DUMMYFUNCTION("""COMPUTED_VALUE"""),1.033)</f>
        <v>1.033</v>
      </c>
      <c r="E9794" s="16">
        <f>IFERROR(__xludf.DUMMYFUNCTION("""COMPUTED_VALUE"""),66.0)</f>
        <v>66</v>
      </c>
      <c r="F9794" s="19" t="str">
        <f>IFERROR(__xludf.DUMMYFUNCTION("""COMPUTED_VALUE"""),"BLACK")</f>
        <v>BLACK</v>
      </c>
      <c r="G9794" s="20" t="str">
        <f>IFERROR(__xludf.DUMMYFUNCTION("""COMPUTED_VALUE"""),"Uncle Sams Cider (04/04/2023)")</f>
        <v>Uncle Sams Cider (04/04/2023)</v>
      </c>
      <c r="H9794" s="19"/>
    </row>
    <row r="9795">
      <c r="A9795" s="9"/>
      <c r="B9795" s="15"/>
      <c r="C9795" s="9">
        <f>IFERROR(__xludf.DUMMYFUNCTION("""COMPUTED_VALUE"""),45041.3170211574)</f>
        <v>45041.31702</v>
      </c>
      <c r="D9795" s="15">
        <f>IFERROR(__xludf.DUMMYFUNCTION("""COMPUTED_VALUE"""),1.033)</f>
        <v>1.033</v>
      </c>
      <c r="E9795" s="16">
        <f>IFERROR(__xludf.DUMMYFUNCTION("""COMPUTED_VALUE"""),66.0)</f>
        <v>66</v>
      </c>
      <c r="F9795" s="19" t="str">
        <f>IFERROR(__xludf.DUMMYFUNCTION("""COMPUTED_VALUE"""),"BLACK")</f>
        <v>BLACK</v>
      </c>
      <c r="G9795" s="20" t="str">
        <f>IFERROR(__xludf.DUMMYFUNCTION("""COMPUTED_VALUE"""),"Uncle Sams Cider (04/04/2023)")</f>
        <v>Uncle Sams Cider (04/04/2023)</v>
      </c>
      <c r="H9795" s="19"/>
    </row>
    <row r="9796">
      <c r="A9796" s="9"/>
      <c r="B9796" s="15"/>
      <c r="C9796" s="9">
        <f>IFERROR(__xludf.DUMMYFUNCTION("""COMPUTED_VALUE"""),45041.3065879398)</f>
        <v>45041.30659</v>
      </c>
      <c r="D9796" s="15">
        <f>IFERROR(__xludf.DUMMYFUNCTION("""COMPUTED_VALUE"""),1.033)</f>
        <v>1.033</v>
      </c>
      <c r="E9796" s="16">
        <f>IFERROR(__xludf.DUMMYFUNCTION("""COMPUTED_VALUE"""),65.0)</f>
        <v>65</v>
      </c>
      <c r="F9796" s="19" t="str">
        <f>IFERROR(__xludf.DUMMYFUNCTION("""COMPUTED_VALUE"""),"BLACK")</f>
        <v>BLACK</v>
      </c>
      <c r="G9796" s="20" t="str">
        <f>IFERROR(__xludf.DUMMYFUNCTION("""COMPUTED_VALUE"""),"Uncle Sams Cider (04/04/2023)")</f>
        <v>Uncle Sams Cider (04/04/2023)</v>
      </c>
      <c r="H9796" s="19"/>
    </row>
    <row r="9797">
      <c r="A9797" s="9"/>
      <c r="B9797" s="15"/>
      <c r="C9797" s="9">
        <f>IFERROR(__xludf.DUMMYFUNCTION("""COMPUTED_VALUE"""),45041.2961558796)</f>
        <v>45041.29616</v>
      </c>
      <c r="D9797" s="15">
        <f>IFERROR(__xludf.DUMMYFUNCTION("""COMPUTED_VALUE"""),1.033)</f>
        <v>1.033</v>
      </c>
      <c r="E9797" s="16">
        <f>IFERROR(__xludf.DUMMYFUNCTION("""COMPUTED_VALUE"""),65.0)</f>
        <v>65</v>
      </c>
      <c r="F9797" s="19" t="str">
        <f>IFERROR(__xludf.DUMMYFUNCTION("""COMPUTED_VALUE"""),"BLACK")</f>
        <v>BLACK</v>
      </c>
      <c r="G9797" s="20" t="str">
        <f>IFERROR(__xludf.DUMMYFUNCTION("""COMPUTED_VALUE"""),"Uncle Sams Cider (04/04/2023)")</f>
        <v>Uncle Sams Cider (04/04/2023)</v>
      </c>
      <c r="H9797" s="19"/>
    </row>
    <row r="9798">
      <c r="A9798" s="9"/>
      <c r="B9798" s="15"/>
      <c r="C9798" s="9">
        <f>IFERROR(__xludf.DUMMYFUNCTION("""COMPUTED_VALUE"""),45041.285735)</f>
        <v>45041.28574</v>
      </c>
      <c r="D9798" s="15">
        <f>IFERROR(__xludf.DUMMYFUNCTION("""COMPUTED_VALUE"""),1.033)</f>
        <v>1.033</v>
      </c>
      <c r="E9798" s="16">
        <f>IFERROR(__xludf.DUMMYFUNCTION("""COMPUTED_VALUE"""),66.0)</f>
        <v>66</v>
      </c>
      <c r="F9798" s="19" t="str">
        <f>IFERROR(__xludf.DUMMYFUNCTION("""COMPUTED_VALUE"""),"BLACK")</f>
        <v>BLACK</v>
      </c>
      <c r="G9798" s="20" t="str">
        <f>IFERROR(__xludf.DUMMYFUNCTION("""COMPUTED_VALUE"""),"Uncle Sams Cider (04/04/2023)")</f>
        <v>Uncle Sams Cider (04/04/2023)</v>
      </c>
      <c r="H9798" s="19"/>
    </row>
    <row r="9799">
      <c r="A9799" s="9"/>
      <c r="B9799" s="15"/>
      <c r="C9799" s="9">
        <f>IFERROR(__xludf.DUMMYFUNCTION("""COMPUTED_VALUE"""),45041.2753006018)</f>
        <v>45041.2753</v>
      </c>
      <c r="D9799" s="15">
        <f>IFERROR(__xludf.DUMMYFUNCTION("""COMPUTED_VALUE"""),1.033)</f>
        <v>1.033</v>
      </c>
      <c r="E9799" s="16">
        <f>IFERROR(__xludf.DUMMYFUNCTION("""COMPUTED_VALUE"""),66.0)</f>
        <v>66</v>
      </c>
      <c r="F9799" s="19" t="str">
        <f>IFERROR(__xludf.DUMMYFUNCTION("""COMPUTED_VALUE"""),"BLACK")</f>
        <v>BLACK</v>
      </c>
      <c r="G9799" s="20" t="str">
        <f>IFERROR(__xludf.DUMMYFUNCTION("""COMPUTED_VALUE"""),"Uncle Sams Cider (04/04/2023)")</f>
        <v>Uncle Sams Cider (04/04/2023)</v>
      </c>
      <c r="H9799" s="19"/>
    </row>
    <row r="9800">
      <c r="A9800" s="9"/>
      <c r="B9800" s="15"/>
      <c r="C9800" s="9">
        <f>IFERROR(__xludf.DUMMYFUNCTION("""COMPUTED_VALUE"""),45041.2648557291)</f>
        <v>45041.26486</v>
      </c>
      <c r="D9800" s="15">
        <f>IFERROR(__xludf.DUMMYFUNCTION("""COMPUTED_VALUE"""),1.033)</f>
        <v>1.033</v>
      </c>
      <c r="E9800" s="16">
        <f>IFERROR(__xludf.DUMMYFUNCTION("""COMPUTED_VALUE"""),66.0)</f>
        <v>66</v>
      </c>
      <c r="F9800" s="19" t="str">
        <f>IFERROR(__xludf.DUMMYFUNCTION("""COMPUTED_VALUE"""),"BLACK")</f>
        <v>BLACK</v>
      </c>
      <c r="G9800" s="20" t="str">
        <f>IFERROR(__xludf.DUMMYFUNCTION("""COMPUTED_VALUE"""),"Uncle Sams Cider (04/04/2023)")</f>
        <v>Uncle Sams Cider (04/04/2023)</v>
      </c>
      <c r="H9800" s="19"/>
    </row>
    <row r="9801">
      <c r="A9801" s="9"/>
      <c r="B9801" s="15"/>
      <c r="C9801" s="9">
        <f>IFERROR(__xludf.DUMMYFUNCTION("""COMPUTED_VALUE"""),45041.2544343055)</f>
        <v>45041.25443</v>
      </c>
      <c r="D9801" s="15">
        <f>IFERROR(__xludf.DUMMYFUNCTION("""COMPUTED_VALUE"""),1.033)</f>
        <v>1.033</v>
      </c>
      <c r="E9801" s="16">
        <f>IFERROR(__xludf.DUMMYFUNCTION("""COMPUTED_VALUE"""),66.0)</f>
        <v>66</v>
      </c>
      <c r="F9801" s="19" t="str">
        <f>IFERROR(__xludf.DUMMYFUNCTION("""COMPUTED_VALUE"""),"BLACK")</f>
        <v>BLACK</v>
      </c>
      <c r="G9801" s="20" t="str">
        <f>IFERROR(__xludf.DUMMYFUNCTION("""COMPUTED_VALUE"""),"Uncle Sams Cider (04/04/2023)")</f>
        <v>Uncle Sams Cider (04/04/2023)</v>
      </c>
      <c r="H9801" s="19"/>
    </row>
    <row r="9802">
      <c r="A9802" s="9"/>
      <c r="B9802" s="15"/>
      <c r="C9802" s="9">
        <f>IFERROR(__xludf.DUMMYFUNCTION("""COMPUTED_VALUE"""),45041.2440133333)</f>
        <v>45041.24401</v>
      </c>
      <c r="D9802" s="15">
        <f>IFERROR(__xludf.DUMMYFUNCTION("""COMPUTED_VALUE"""),1.033)</f>
        <v>1.033</v>
      </c>
      <c r="E9802" s="16">
        <f>IFERROR(__xludf.DUMMYFUNCTION("""COMPUTED_VALUE"""),66.0)</f>
        <v>66</v>
      </c>
      <c r="F9802" s="19" t="str">
        <f>IFERROR(__xludf.DUMMYFUNCTION("""COMPUTED_VALUE"""),"BLACK")</f>
        <v>BLACK</v>
      </c>
      <c r="G9802" s="20" t="str">
        <f>IFERROR(__xludf.DUMMYFUNCTION("""COMPUTED_VALUE"""),"Uncle Sams Cider (04/04/2023)")</f>
        <v>Uncle Sams Cider (04/04/2023)</v>
      </c>
      <c r="H9802" s="19"/>
    </row>
    <row r="9803">
      <c r="A9803" s="9"/>
      <c r="B9803" s="15"/>
      <c r="C9803" s="9">
        <f>IFERROR(__xludf.DUMMYFUNCTION("""COMPUTED_VALUE"""),45041.2335950926)</f>
        <v>45041.2336</v>
      </c>
      <c r="D9803" s="15">
        <f>IFERROR(__xludf.DUMMYFUNCTION("""COMPUTED_VALUE"""),1.033)</f>
        <v>1.033</v>
      </c>
      <c r="E9803" s="16">
        <f>IFERROR(__xludf.DUMMYFUNCTION("""COMPUTED_VALUE"""),66.0)</f>
        <v>66</v>
      </c>
      <c r="F9803" s="19" t="str">
        <f>IFERROR(__xludf.DUMMYFUNCTION("""COMPUTED_VALUE"""),"BLACK")</f>
        <v>BLACK</v>
      </c>
      <c r="G9803" s="20" t="str">
        <f>IFERROR(__xludf.DUMMYFUNCTION("""COMPUTED_VALUE"""),"Uncle Sams Cider (04/04/2023)")</f>
        <v>Uncle Sams Cider (04/04/2023)</v>
      </c>
      <c r="H9803" s="19"/>
    </row>
    <row r="9804">
      <c r="A9804" s="9"/>
      <c r="B9804" s="15"/>
      <c r="C9804" s="9">
        <f>IFERROR(__xludf.DUMMYFUNCTION("""COMPUTED_VALUE"""),45041.2231634143)</f>
        <v>45041.22316</v>
      </c>
      <c r="D9804" s="15">
        <f>IFERROR(__xludf.DUMMYFUNCTION("""COMPUTED_VALUE"""),1.033)</f>
        <v>1.033</v>
      </c>
      <c r="E9804" s="16">
        <f>IFERROR(__xludf.DUMMYFUNCTION("""COMPUTED_VALUE"""),66.0)</f>
        <v>66</v>
      </c>
      <c r="F9804" s="19" t="str">
        <f>IFERROR(__xludf.DUMMYFUNCTION("""COMPUTED_VALUE"""),"BLACK")</f>
        <v>BLACK</v>
      </c>
      <c r="G9804" s="20" t="str">
        <f>IFERROR(__xludf.DUMMYFUNCTION("""COMPUTED_VALUE"""),"Uncle Sams Cider (04/04/2023)")</f>
        <v>Uncle Sams Cider (04/04/2023)</v>
      </c>
      <c r="H9804" s="19"/>
    </row>
    <row r="9805">
      <c r="A9805" s="9"/>
      <c r="B9805" s="15"/>
      <c r="C9805" s="9">
        <f>IFERROR(__xludf.DUMMYFUNCTION("""COMPUTED_VALUE"""),45041.2127075578)</f>
        <v>45041.21271</v>
      </c>
      <c r="D9805" s="15">
        <f>IFERROR(__xludf.DUMMYFUNCTION("""COMPUTED_VALUE"""),1.033)</f>
        <v>1.033</v>
      </c>
      <c r="E9805" s="16">
        <f>IFERROR(__xludf.DUMMYFUNCTION("""COMPUTED_VALUE"""),66.0)</f>
        <v>66</v>
      </c>
      <c r="F9805" s="19" t="str">
        <f>IFERROR(__xludf.DUMMYFUNCTION("""COMPUTED_VALUE"""),"BLACK")</f>
        <v>BLACK</v>
      </c>
      <c r="G9805" s="20" t="str">
        <f>IFERROR(__xludf.DUMMYFUNCTION("""COMPUTED_VALUE"""),"Uncle Sams Cider (04/04/2023)")</f>
        <v>Uncle Sams Cider (04/04/2023)</v>
      </c>
      <c r="H9805" s="19"/>
    </row>
    <row r="9806">
      <c r="A9806" s="9"/>
      <c r="B9806" s="15"/>
      <c r="C9806" s="9">
        <f>IFERROR(__xludf.DUMMYFUNCTION("""COMPUTED_VALUE"""),45041.2022870833)</f>
        <v>45041.20229</v>
      </c>
      <c r="D9806" s="15">
        <f>IFERROR(__xludf.DUMMYFUNCTION("""COMPUTED_VALUE"""),1.033)</f>
        <v>1.033</v>
      </c>
      <c r="E9806" s="16">
        <f>IFERROR(__xludf.DUMMYFUNCTION("""COMPUTED_VALUE"""),66.0)</f>
        <v>66</v>
      </c>
      <c r="F9806" s="19" t="str">
        <f>IFERROR(__xludf.DUMMYFUNCTION("""COMPUTED_VALUE"""),"BLACK")</f>
        <v>BLACK</v>
      </c>
      <c r="G9806" s="20" t="str">
        <f>IFERROR(__xludf.DUMMYFUNCTION("""COMPUTED_VALUE"""),"Uncle Sams Cider (04/04/2023)")</f>
        <v>Uncle Sams Cider (04/04/2023)</v>
      </c>
      <c r="H9806" s="19"/>
    </row>
    <row r="9807">
      <c r="A9807" s="9"/>
      <c r="B9807" s="15"/>
      <c r="C9807" s="9">
        <f>IFERROR(__xludf.DUMMYFUNCTION("""COMPUTED_VALUE"""),45041.1918639583)</f>
        <v>45041.19186</v>
      </c>
      <c r="D9807" s="15">
        <f>IFERROR(__xludf.DUMMYFUNCTION("""COMPUTED_VALUE"""),1.033)</f>
        <v>1.033</v>
      </c>
      <c r="E9807" s="16">
        <f>IFERROR(__xludf.DUMMYFUNCTION("""COMPUTED_VALUE"""),66.0)</f>
        <v>66</v>
      </c>
      <c r="F9807" s="19" t="str">
        <f>IFERROR(__xludf.DUMMYFUNCTION("""COMPUTED_VALUE"""),"BLACK")</f>
        <v>BLACK</v>
      </c>
      <c r="G9807" s="20" t="str">
        <f>IFERROR(__xludf.DUMMYFUNCTION("""COMPUTED_VALUE"""),"Uncle Sams Cider (04/04/2023)")</f>
        <v>Uncle Sams Cider (04/04/2023)</v>
      </c>
      <c r="H9807" s="19"/>
    </row>
    <row r="9808">
      <c r="A9808" s="9"/>
      <c r="B9808" s="15"/>
      <c r="C9808" s="9">
        <f>IFERROR(__xludf.DUMMYFUNCTION("""COMPUTED_VALUE"""),45041.1814433912)</f>
        <v>45041.18144</v>
      </c>
      <c r="D9808" s="15">
        <f>IFERROR(__xludf.DUMMYFUNCTION("""COMPUTED_VALUE"""),1.033)</f>
        <v>1.033</v>
      </c>
      <c r="E9808" s="16">
        <f>IFERROR(__xludf.DUMMYFUNCTION("""COMPUTED_VALUE"""),66.0)</f>
        <v>66</v>
      </c>
      <c r="F9808" s="19" t="str">
        <f>IFERROR(__xludf.DUMMYFUNCTION("""COMPUTED_VALUE"""),"BLACK")</f>
        <v>BLACK</v>
      </c>
      <c r="G9808" s="20" t="str">
        <f>IFERROR(__xludf.DUMMYFUNCTION("""COMPUTED_VALUE"""),"Uncle Sams Cider (04/04/2023)")</f>
        <v>Uncle Sams Cider (04/04/2023)</v>
      </c>
      <c r="H9808" s="19"/>
    </row>
    <row r="9809">
      <c r="A9809" s="9"/>
      <c r="B9809" s="15"/>
      <c r="C9809" s="9">
        <f>IFERROR(__xludf.DUMMYFUNCTION("""COMPUTED_VALUE"""),45041.1710216319)</f>
        <v>45041.17102</v>
      </c>
      <c r="D9809" s="15">
        <f>IFERROR(__xludf.DUMMYFUNCTION("""COMPUTED_VALUE"""),1.033)</f>
        <v>1.033</v>
      </c>
      <c r="E9809" s="16">
        <f>IFERROR(__xludf.DUMMYFUNCTION("""COMPUTED_VALUE"""),66.0)</f>
        <v>66</v>
      </c>
      <c r="F9809" s="19" t="str">
        <f>IFERROR(__xludf.DUMMYFUNCTION("""COMPUTED_VALUE"""),"BLACK")</f>
        <v>BLACK</v>
      </c>
      <c r="G9809" s="20" t="str">
        <f>IFERROR(__xludf.DUMMYFUNCTION("""COMPUTED_VALUE"""),"Uncle Sams Cider (04/04/2023)")</f>
        <v>Uncle Sams Cider (04/04/2023)</v>
      </c>
      <c r="H9809" s="19"/>
    </row>
    <row r="9810">
      <c r="A9810" s="9"/>
      <c r="B9810" s="15"/>
      <c r="C9810" s="9">
        <f>IFERROR(__xludf.DUMMYFUNCTION("""COMPUTED_VALUE"""),45041.1605874884)</f>
        <v>45041.16059</v>
      </c>
      <c r="D9810" s="15">
        <f>IFERROR(__xludf.DUMMYFUNCTION("""COMPUTED_VALUE"""),1.033)</f>
        <v>1.033</v>
      </c>
      <c r="E9810" s="16">
        <f>IFERROR(__xludf.DUMMYFUNCTION("""COMPUTED_VALUE"""),66.0)</f>
        <v>66</v>
      </c>
      <c r="F9810" s="19" t="str">
        <f>IFERROR(__xludf.DUMMYFUNCTION("""COMPUTED_VALUE"""),"BLACK")</f>
        <v>BLACK</v>
      </c>
      <c r="G9810" s="20" t="str">
        <f>IFERROR(__xludf.DUMMYFUNCTION("""COMPUTED_VALUE"""),"Uncle Sams Cider (04/04/2023)")</f>
        <v>Uncle Sams Cider (04/04/2023)</v>
      </c>
      <c r="H9810" s="19"/>
    </row>
    <row r="9811">
      <c r="A9811" s="9"/>
      <c r="B9811" s="15"/>
      <c r="C9811" s="9">
        <f>IFERROR(__xludf.DUMMYFUNCTION("""COMPUTED_VALUE"""),45041.1501548263)</f>
        <v>45041.15015</v>
      </c>
      <c r="D9811" s="15">
        <f>IFERROR(__xludf.DUMMYFUNCTION("""COMPUTED_VALUE"""),1.033)</f>
        <v>1.033</v>
      </c>
      <c r="E9811" s="16">
        <f>IFERROR(__xludf.DUMMYFUNCTION("""COMPUTED_VALUE"""),66.0)</f>
        <v>66</v>
      </c>
      <c r="F9811" s="19" t="str">
        <f>IFERROR(__xludf.DUMMYFUNCTION("""COMPUTED_VALUE"""),"BLACK")</f>
        <v>BLACK</v>
      </c>
      <c r="G9811" s="20" t="str">
        <f>IFERROR(__xludf.DUMMYFUNCTION("""COMPUTED_VALUE"""),"Uncle Sams Cider (04/04/2023)")</f>
        <v>Uncle Sams Cider (04/04/2023)</v>
      </c>
      <c r="H9811" s="19"/>
    </row>
    <row r="9812">
      <c r="A9812" s="9"/>
      <c r="B9812" s="15"/>
      <c r="C9812" s="9">
        <f>IFERROR(__xludf.DUMMYFUNCTION("""COMPUTED_VALUE"""),45041.139720625)</f>
        <v>45041.13972</v>
      </c>
      <c r="D9812" s="15">
        <f>IFERROR(__xludf.DUMMYFUNCTION("""COMPUTED_VALUE"""),1.033)</f>
        <v>1.033</v>
      </c>
      <c r="E9812" s="16">
        <f>IFERROR(__xludf.DUMMYFUNCTION("""COMPUTED_VALUE"""),66.0)</f>
        <v>66</v>
      </c>
      <c r="F9812" s="19" t="str">
        <f>IFERROR(__xludf.DUMMYFUNCTION("""COMPUTED_VALUE"""),"BLACK")</f>
        <v>BLACK</v>
      </c>
      <c r="G9812" s="20" t="str">
        <f>IFERROR(__xludf.DUMMYFUNCTION("""COMPUTED_VALUE"""),"Uncle Sams Cider (04/04/2023)")</f>
        <v>Uncle Sams Cider (04/04/2023)</v>
      </c>
      <c r="H9812" s="19"/>
    </row>
    <row r="9813">
      <c r="A9813" s="9"/>
      <c r="B9813" s="15"/>
      <c r="C9813" s="9">
        <f>IFERROR(__xludf.DUMMYFUNCTION("""COMPUTED_VALUE"""),45041.1292976504)</f>
        <v>45041.1293</v>
      </c>
      <c r="D9813" s="15">
        <f>IFERROR(__xludf.DUMMYFUNCTION("""COMPUTED_VALUE"""),1.033)</f>
        <v>1.033</v>
      </c>
      <c r="E9813" s="16">
        <f>IFERROR(__xludf.DUMMYFUNCTION("""COMPUTED_VALUE"""),66.0)</f>
        <v>66</v>
      </c>
      <c r="F9813" s="19" t="str">
        <f>IFERROR(__xludf.DUMMYFUNCTION("""COMPUTED_VALUE"""),"BLACK")</f>
        <v>BLACK</v>
      </c>
      <c r="G9813" s="20" t="str">
        <f>IFERROR(__xludf.DUMMYFUNCTION("""COMPUTED_VALUE"""),"Uncle Sams Cider (04/04/2023)")</f>
        <v>Uncle Sams Cider (04/04/2023)</v>
      </c>
      <c r="H9813" s="19"/>
    </row>
    <row r="9814">
      <c r="A9814" s="9"/>
      <c r="B9814" s="15"/>
      <c r="C9814" s="9">
        <f>IFERROR(__xludf.DUMMYFUNCTION("""COMPUTED_VALUE"""),45041.1188776041)</f>
        <v>45041.11888</v>
      </c>
      <c r="D9814" s="15">
        <f>IFERROR(__xludf.DUMMYFUNCTION("""COMPUTED_VALUE"""),1.033)</f>
        <v>1.033</v>
      </c>
      <c r="E9814" s="16">
        <f>IFERROR(__xludf.DUMMYFUNCTION("""COMPUTED_VALUE"""),66.0)</f>
        <v>66</v>
      </c>
      <c r="F9814" s="19" t="str">
        <f>IFERROR(__xludf.DUMMYFUNCTION("""COMPUTED_VALUE"""),"BLACK")</f>
        <v>BLACK</v>
      </c>
      <c r="G9814" s="20" t="str">
        <f>IFERROR(__xludf.DUMMYFUNCTION("""COMPUTED_VALUE"""),"Uncle Sams Cider (04/04/2023)")</f>
        <v>Uncle Sams Cider (04/04/2023)</v>
      </c>
      <c r="H9814" s="19"/>
    </row>
    <row r="9815">
      <c r="A9815" s="9"/>
      <c r="B9815" s="15"/>
      <c r="C9815" s="9">
        <f>IFERROR(__xludf.DUMMYFUNCTION("""COMPUTED_VALUE"""),45041.1084574421)</f>
        <v>45041.10846</v>
      </c>
      <c r="D9815" s="15">
        <f>IFERROR(__xludf.DUMMYFUNCTION("""COMPUTED_VALUE"""),1.033)</f>
        <v>1.033</v>
      </c>
      <c r="E9815" s="16">
        <f>IFERROR(__xludf.DUMMYFUNCTION("""COMPUTED_VALUE"""),66.0)</f>
        <v>66</v>
      </c>
      <c r="F9815" s="19" t="str">
        <f>IFERROR(__xludf.DUMMYFUNCTION("""COMPUTED_VALUE"""),"BLACK")</f>
        <v>BLACK</v>
      </c>
      <c r="G9815" s="20" t="str">
        <f>IFERROR(__xludf.DUMMYFUNCTION("""COMPUTED_VALUE"""),"Uncle Sams Cider (04/04/2023)")</f>
        <v>Uncle Sams Cider (04/04/2023)</v>
      </c>
      <c r="H9815" s="19"/>
    </row>
    <row r="9816">
      <c r="A9816" s="9"/>
      <c r="B9816" s="15"/>
      <c r="C9816" s="9">
        <f>IFERROR(__xludf.DUMMYFUNCTION("""COMPUTED_VALUE"""),45041.0980357523)</f>
        <v>45041.09804</v>
      </c>
      <c r="D9816" s="15">
        <f>IFERROR(__xludf.DUMMYFUNCTION("""COMPUTED_VALUE"""),1.033)</f>
        <v>1.033</v>
      </c>
      <c r="E9816" s="16">
        <f>IFERROR(__xludf.DUMMYFUNCTION("""COMPUTED_VALUE"""),66.0)</f>
        <v>66</v>
      </c>
      <c r="F9816" s="19" t="str">
        <f>IFERROR(__xludf.DUMMYFUNCTION("""COMPUTED_VALUE"""),"BLACK")</f>
        <v>BLACK</v>
      </c>
      <c r="G9816" s="20" t="str">
        <f>IFERROR(__xludf.DUMMYFUNCTION("""COMPUTED_VALUE"""),"Uncle Sams Cider (04/04/2023)")</f>
        <v>Uncle Sams Cider (04/04/2023)</v>
      </c>
      <c r="H9816" s="19"/>
    </row>
    <row r="9817">
      <c r="A9817" s="9"/>
      <c r="B9817" s="15"/>
      <c r="C9817" s="9">
        <f>IFERROR(__xludf.DUMMYFUNCTION("""COMPUTED_VALUE"""),45041.087602824)</f>
        <v>45041.0876</v>
      </c>
      <c r="D9817" s="15">
        <f>IFERROR(__xludf.DUMMYFUNCTION("""COMPUTED_VALUE"""),1.033)</f>
        <v>1.033</v>
      </c>
      <c r="E9817" s="16">
        <f>IFERROR(__xludf.DUMMYFUNCTION("""COMPUTED_VALUE"""),66.0)</f>
        <v>66</v>
      </c>
      <c r="F9817" s="19" t="str">
        <f>IFERROR(__xludf.DUMMYFUNCTION("""COMPUTED_VALUE"""),"BLACK")</f>
        <v>BLACK</v>
      </c>
      <c r="G9817" s="20" t="str">
        <f>IFERROR(__xludf.DUMMYFUNCTION("""COMPUTED_VALUE"""),"Uncle Sams Cider (04/04/2023)")</f>
        <v>Uncle Sams Cider (04/04/2023)</v>
      </c>
      <c r="H9817" s="19"/>
    </row>
    <row r="9818">
      <c r="A9818" s="9"/>
      <c r="B9818" s="15"/>
      <c r="C9818" s="9">
        <f>IFERROR(__xludf.DUMMYFUNCTION("""COMPUTED_VALUE"""),45041.0771603819)</f>
        <v>45041.07716</v>
      </c>
      <c r="D9818" s="15">
        <f>IFERROR(__xludf.DUMMYFUNCTION("""COMPUTED_VALUE"""),1.033)</f>
        <v>1.033</v>
      </c>
      <c r="E9818" s="16">
        <f>IFERROR(__xludf.DUMMYFUNCTION("""COMPUTED_VALUE"""),66.0)</f>
        <v>66</v>
      </c>
      <c r="F9818" s="19" t="str">
        <f>IFERROR(__xludf.DUMMYFUNCTION("""COMPUTED_VALUE"""),"BLACK")</f>
        <v>BLACK</v>
      </c>
      <c r="G9818" s="20" t="str">
        <f>IFERROR(__xludf.DUMMYFUNCTION("""COMPUTED_VALUE"""),"Uncle Sams Cider (04/04/2023)")</f>
        <v>Uncle Sams Cider (04/04/2023)</v>
      </c>
      <c r="H9818" s="19"/>
    </row>
    <row r="9819">
      <c r="A9819" s="9"/>
      <c r="B9819" s="15"/>
      <c r="C9819" s="9">
        <f>IFERROR(__xludf.DUMMYFUNCTION("""COMPUTED_VALUE"""),45041.0667383333)</f>
        <v>45041.06674</v>
      </c>
      <c r="D9819" s="15">
        <f>IFERROR(__xludf.DUMMYFUNCTION("""COMPUTED_VALUE"""),1.033)</f>
        <v>1.033</v>
      </c>
      <c r="E9819" s="16">
        <f>IFERROR(__xludf.DUMMYFUNCTION("""COMPUTED_VALUE"""),66.0)</f>
        <v>66</v>
      </c>
      <c r="F9819" s="19" t="str">
        <f>IFERROR(__xludf.DUMMYFUNCTION("""COMPUTED_VALUE"""),"BLACK")</f>
        <v>BLACK</v>
      </c>
      <c r="G9819" s="20" t="str">
        <f>IFERROR(__xludf.DUMMYFUNCTION("""COMPUTED_VALUE"""),"Uncle Sams Cider (04/04/2023)")</f>
        <v>Uncle Sams Cider (04/04/2023)</v>
      </c>
      <c r="H9819" s="19"/>
    </row>
    <row r="9820">
      <c r="A9820" s="9"/>
      <c r="B9820" s="15"/>
      <c r="C9820" s="9">
        <f>IFERROR(__xludf.DUMMYFUNCTION("""COMPUTED_VALUE"""),45041.0563173842)</f>
        <v>45041.05632</v>
      </c>
      <c r="D9820" s="15">
        <f>IFERROR(__xludf.DUMMYFUNCTION("""COMPUTED_VALUE"""),1.033)</f>
        <v>1.033</v>
      </c>
      <c r="E9820" s="16">
        <f>IFERROR(__xludf.DUMMYFUNCTION("""COMPUTED_VALUE"""),66.0)</f>
        <v>66</v>
      </c>
      <c r="F9820" s="19" t="str">
        <f>IFERROR(__xludf.DUMMYFUNCTION("""COMPUTED_VALUE"""),"BLACK")</f>
        <v>BLACK</v>
      </c>
      <c r="G9820" s="20" t="str">
        <f>IFERROR(__xludf.DUMMYFUNCTION("""COMPUTED_VALUE"""),"Uncle Sams Cider (04/04/2023)")</f>
        <v>Uncle Sams Cider (04/04/2023)</v>
      </c>
      <c r="H9820" s="19"/>
    </row>
    <row r="9821">
      <c r="A9821" s="9"/>
      <c r="B9821" s="15"/>
      <c r="C9821" s="9">
        <f>IFERROR(__xludf.DUMMYFUNCTION("""COMPUTED_VALUE"""),45041.0458971875)</f>
        <v>45041.0459</v>
      </c>
      <c r="D9821" s="15">
        <f>IFERROR(__xludf.DUMMYFUNCTION("""COMPUTED_VALUE"""),1.033)</f>
        <v>1.033</v>
      </c>
      <c r="E9821" s="16">
        <f>IFERROR(__xludf.DUMMYFUNCTION("""COMPUTED_VALUE"""),66.0)</f>
        <v>66</v>
      </c>
      <c r="F9821" s="19" t="str">
        <f>IFERROR(__xludf.DUMMYFUNCTION("""COMPUTED_VALUE"""),"BLACK")</f>
        <v>BLACK</v>
      </c>
      <c r="G9821" s="20" t="str">
        <f>IFERROR(__xludf.DUMMYFUNCTION("""COMPUTED_VALUE"""),"Uncle Sams Cider (04/04/2023)")</f>
        <v>Uncle Sams Cider (04/04/2023)</v>
      </c>
      <c r="H9821" s="19"/>
    </row>
    <row r="9822">
      <c r="A9822" s="9"/>
      <c r="B9822" s="15"/>
      <c r="C9822" s="9">
        <f>IFERROR(__xludf.DUMMYFUNCTION("""COMPUTED_VALUE"""),45041.0354750231)</f>
        <v>45041.03548</v>
      </c>
      <c r="D9822" s="15">
        <f>IFERROR(__xludf.DUMMYFUNCTION("""COMPUTED_VALUE"""),1.033)</f>
        <v>1.033</v>
      </c>
      <c r="E9822" s="16">
        <f>IFERROR(__xludf.DUMMYFUNCTION("""COMPUTED_VALUE"""),66.0)</f>
        <v>66</v>
      </c>
      <c r="F9822" s="19" t="str">
        <f>IFERROR(__xludf.DUMMYFUNCTION("""COMPUTED_VALUE"""),"BLACK")</f>
        <v>BLACK</v>
      </c>
      <c r="G9822" s="20" t="str">
        <f>IFERROR(__xludf.DUMMYFUNCTION("""COMPUTED_VALUE"""),"Uncle Sams Cider (04/04/2023)")</f>
        <v>Uncle Sams Cider (04/04/2023)</v>
      </c>
      <c r="H9822" s="19"/>
    </row>
    <row r="9823">
      <c r="A9823" s="9"/>
      <c r="B9823" s="15"/>
      <c r="C9823" s="9">
        <f>IFERROR(__xludf.DUMMYFUNCTION("""COMPUTED_VALUE"""),45041.0250523263)</f>
        <v>45041.02505</v>
      </c>
      <c r="D9823" s="15">
        <f>IFERROR(__xludf.DUMMYFUNCTION("""COMPUTED_VALUE"""),1.033)</f>
        <v>1.033</v>
      </c>
      <c r="E9823" s="16">
        <f>IFERROR(__xludf.DUMMYFUNCTION("""COMPUTED_VALUE"""),66.0)</f>
        <v>66</v>
      </c>
      <c r="F9823" s="19" t="str">
        <f>IFERROR(__xludf.DUMMYFUNCTION("""COMPUTED_VALUE"""),"BLACK")</f>
        <v>BLACK</v>
      </c>
      <c r="G9823" s="20" t="str">
        <f>IFERROR(__xludf.DUMMYFUNCTION("""COMPUTED_VALUE"""),"Uncle Sams Cider (04/04/2023)")</f>
        <v>Uncle Sams Cider (04/04/2023)</v>
      </c>
      <c r="H9823" s="19"/>
    </row>
    <row r="9824">
      <c r="A9824" s="9"/>
      <c r="B9824" s="15"/>
      <c r="C9824" s="9">
        <f>IFERROR(__xludf.DUMMYFUNCTION("""COMPUTED_VALUE"""),45041.0146300694)</f>
        <v>45041.01463</v>
      </c>
      <c r="D9824" s="15">
        <f>IFERROR(__xludf.DUMMYFUNCTION("""COMPUTED_VALUE"""),1.034)</f>
        <v>1.034</v>
      </c>
      <c r="E9824" s="16">
        <f>IFERROR(__xludf.DUMMYFUNCTION("""COMPUTED_VALUE"""),66.0)</f>
        <v>66</v>
      </c>
      <c r="F9824" s="19" t="str">
        <f>IFERROR(__xludf.DUMMYFUNCTION("""COMPUTED_VALUE"""),"BLACK")</f>
        <v>BLACK</v>
      </c>
      <c r="G9824" s="20" t="str">
        <f>IFERROR(__xludf.DUMMYFUNCTION("""COMPUTED_VALUE"""),"Uncle Sams Cider (04/04/2023)")</f>
        <v>Uncle Sams Cider (04/04/2023)</v>
      </c>
      <c r="H9824" s="19"/>
    </row>
    <row r="9825">
      <c r="A9825" s="9"/>
      <c r="B9825" s="15"/>
      <c r="C9825" s="9">
        <f>IFERROR(__xludf.DUMMYFUNCTION("""COMPUTED_VALUE"""),45041.0041969328)</f>
        <v>45041.0042</v>
      </c>
      <c r="D9825" s="15">
        <f>IFERROR(__xludf.DUMMYFUNCTION("""COMPUTED_VALUE"""),1.033)</f>
        <v>1.033</v>
      </c>
      <c r="E9825" s="16">
        <f>IFERROR(__xludf.DUMMYFUNCTION("""COMPUTED_VALUE"""),66.0)</f>
        <v>66</v>
      </c>
      <c r="F9825" s="19" t="str">
        <f>IFERROR(__xludf.DUMMYFUNCTION("""COMPUTED_VALUE"""),"BLACK")</f>
        <v>BLACK</v>
      </c>
      <c r="G9825" s="20" t="str">
        <f>IFERROR(__xludf.DUMMYFUNCTION("""COMPUTED_VALUE"""),"Uncle Sams Cider (04/04/2023)")</f>
        <v>Uncle Sams Cider (04/04/2023)</v>
      </c>
      <c r="H9825" s="19"/>
    </row>
    <row r="9826">
      <c r="A9826" s="9"/>
      <c r="B9826" s="15"/>
      <c r="C9826" s="9">
        <f>IFERROR(__xludf.DUMMYFUNCTION("""COMPUTED_VALUE"""),45040.9937647106)</f>
        <v>45040.99376</v>
      </c>
      <c r="D9826" s="15">
        <f>IFERROR(__xludf.DUMMYFUNCTION("""COMPUTED_VALUE"""),1.034)</f>
        <v>1.034</v>
      </c>
      <c r="E9826" s="16">
        <f>IFERROR(__xludf.DUMMYFUNCTION("""COMPUTED_VALUE"""),66.0)</f>
        <v>66</v>
      </c>
      <c r="F9826" s="19" t="str">
        <f>IFERROR(__xludf.DUMMYFUNCTION("""COMPUTED_VALUE"""),"BLACK")</f>
        <v>BLACK</v>
      </c>
      <c r="G9826" s="20" t="str">
        <f>IFERROR(__xludf.DUMMYFUNCTION("""COMPUTED_VALUE"""),"Uncle Sams Cider (04/04/2023)")</f>
        <v>Uncle Sams Cider (04/04/2023)</v>
      </c>
      <c r="H9826" s="19"/>
    </row>
    <row r="9827">
      <c r="A9827" s="9"/>
      <c r="B9827" s="15"/>
      <c r="C9827" s="9">
        <f>IFERROR(__xludf.DUMMYFUNCTION("""COMPUTED_VALUE"""),45040.9833197106)</f>
        <v>45040.98332</v>
      </c>
      <c r="D9827" s="15">
        <f>IFERROR(__xludf.DUMMYFUNCTION("""COMPUTED_VALUE"""),1.033)</f>
        <v>1.033</v>
      </c>
      <c r="E9827" s="16">
        <f>IFERROR(__xludf.DUMMYFUNCTION("""COMPUTED_VALUE"""),66.0)</f>
        <v>66</v>
      </c>
      <c r="F9827" s="19" t="str">
        <f>IFERROR(__xludf.DUMMYFUNCTION("""COMPUTED_VALUE"""),"BLACK")</f>
        <v>BLACK</v>
      </c>
      <c r="G9827" s="20" t="str">
        <f>IFERROR(__xludf.DUMMYFUNCTION("""COMPUTED_VALUE"""),"Uncle Sams Cider (04/04/2023)")</f>
        <v>Uncle Sams Cider (04/04/2023)</v>
      </c>
      <c r="H9827" s="19"/>
    </row>
    <row r="9828">
      <c r="A9828" s="9"/>
      <c r="B9828" s="15"/>
      <c r="C9828" s="9">
        <f>IFERROR(__xludf.DUMMYFUNCTION("""COMPUTED_VALUE"""),45040.9728990625)</f>
        <v>45040.9729</v>
      </c>
      <c r="D9828" s="15">
        <f>IFERROR(__xludf.DUMMYFUNCTION("""COMPUTED_VALUE"""),1.033)</f>
        <v>1.033</v>
      </c>
      <c r="E9828" s="16">
        <f>IFERROR(__xludf.DUMMYFUNCTION("""COMPUTED_VALUE"""),66.0)</f>
        <v>66</v>
      </c>
      <c r="F9828" s="19" t="str">
        <f>IFERROR(__xludf.DUMMYFUNCTION("""COMPUTED_VALUE"""),"BLACK")</f>
        <v>BLACK</v>
      </c>
      <c r="G9828" s="20" t="str">
        <f>IFERROR(__xludf.DUMMYFUNCTION("""COMPUTED_VALUE"""),"Uncle Sams Cider (04/04/2023)")</f>
        <v>Uncle Sams Cider (04/04/2023)</v>
      </c>
      <c r="H9828" s="19"/>
    </row>
    <row r="9829">
      <c r="A9829" s="9"/>
      <c r="B9829" s="15"/>
      <c r="C9829" s="9">
        <f>IFERROR(__xludf.DUMMYFUNCTION("""COMPUTED_VALUE"""),45040.9624793171)</f>
        <v>45040.96248</v>
      </c>
      <c r="D9829" s="15">
        <f>IFERROR(__xludf.DUMMYFUNCTION("""COMPUTED_VALUE"""),1.034)</f>
        <v>1.034</v>
      </c>
      <c r="E9829" s="16">
        <f>IFERROR(__xludf.DUMMYFUNCTION("""COMPUTED_VALUE"""),66.0)</f>
        <v>66</v>
      </c>
      <c r="F9829" s="19" t="str">
        <f>IFERROR(__xludf.DUMMYFUNCTION("""COMPUTED_VALUE"""),"BLACK")</f>
        <v>BLACK</v>
      </c>
      <c r="G9829" s="20" t="str">
        <f>IFERROR(__xludf.DUMMYFUNCTION("""COMPUTED_VALUE"""),"Uncle Sams Cider (04/04/2023)")</f>
        <v>Uncle Sams Cider (04/04/2023)</v>
      </c>
      <c r="H9829" s="19"/>
    </row>
    <row r="9830">
      <c r="A9830" s="9"/>
      <c r="B9830" s="15"/>
      <c r="C9830" s="9">
        <f>IFERROR(__xludf.DUMMYFUNCTION("""COMPUTED_VALUE"""),45040.952057037)</f>
        <v>45040.95206</v>
      </c>
      <c r="D9830" s="15">
        <f>IFERROR(__xludf.DUMMYFUNCTION("""COMPUTED_VALUE"""),1.034)</f>
        <v>1.034</v>
      </c>
      <c r="E9830" s="16">
        <f>IFERROR(__xludf.DUMMYFUNCTION("""COMPUTED_VALUE"""),66.0)</f>
        <v>66</v>
      </c>
      <c r="F9830" s="19" t="str">
        <f>IFERROR(__xludf.DUMMYFUNCTION("""COMPUTED_VALUE"""),"BLACK")</f>
        <v>BLACK</v>
      </c>
      <c r="G9830" s="20" t="str">
        <f>IFERROR(__xludf.DUMMYFUNCTION("""COMPUTED_VALUE"""),"Uncle Sams Cider (04/04/2023)")</f>
        <v>Uncle Sams Cider (04/04/2023)</v>
      </c>
      <c r="H9830" s="19"/>
    </row>
    <row r="9831">
      <c r="A9831" s="9"/>
      <c r="B9831" s="15"/>
      <c r="C9831" s="9">
        <f>IFERROR(__xludf.DUMMYFUNCTION("""COMPUTED_VALUE"""),45040.9416373032)</f>
        <v>45040.94164</v>
      </c>
      <c r="D9831" s="15">
        <f>IFERROR(__xludf.DUMMYFUNCTION("""COMPUTED_VALUE"""),1.034)</f>
        <v>1.034</v>
      </c>
      <c r="E9831" s="16">
        <f>IFERROR(__xludf.DUMMYFUNCTION("""COMPUTED_VALUE"""),66.0)</f>
        <v>66</v>
      </c>
      <c r="F9831" s="19" t="str">
        <f>IFERROR(__xludf.DUMMYFUNCTION("""COMPUTED_VALUE"""),"BLACK")</f>
        <v>BLACK</v>
      </c>
      <c r="G9831" s="20" t="str">
        <f>IFERROR(__xludf.DUMMYFUNCTION("""COMPUTED_VALUE"""),"Uncle Sams Cider (04/04/2023)")</f>
        <v>Uncle Sams Cider (04/04/2023)</v>
      </c>
      <c r="H9831" s="19"/>
    </row>
    <row r="9832">
      <c r="A9832" s="9"/>
      <c r="B9832" s="15"/>
      <c r="C9832" s="9">
        <f>IFERROR(__xludf.DUMMYFUNCTION("""COMPUTED_VALUE"""),45040.9312145023)</f>
        <v>45040.93121</v>
      </c>
      <c r="D9832" s="15">
        <f>IFERROR(__xludf.DUMMYFUNCTION("""COMPUTED_VALUE"""),1.034)</f>
        <v>1.034</v>
      </c>
      <c r="E9832" s="16">
        <f>IFERROR(__xludf.DUMMYFUNCTION("""COMPUTED_VALUE"""),66.0)</f>
        <v>66</v>
      </c>
      <c r="F9832" s="19" t="str">
        <f>IFERROR(__xludf.DUMMYFUNCTION("""COMPUTED_VALUE"""),"BLACK")</f>
        <v>BLACK</v>
      </c>
      <c r="G9832" s="20" t="str">
        <f>IFERROR(__xludf.DUMMYFUNCTION("""COMPUTED_VALUE"""),"Uncle Sams Cider (04/04/2023)")</f>
        <v>Uncle Sams Cider (04/04/2023)</v>
      </c>
      <c r="H9832" s="19"/>
    </row>
    <row r="9833">
      <c r="A9833" s="9"/>
      <c r="B9833" s="15"/>
      <c r="C9833" s="9">
        <f>IFERROR(__xludf.DUMMYFUNCTION("""COMPUTED_VALUE"""),45040.9207941088)</f>
        <v>45040.92079</v>
      </c>
      <c r="D9833" s="15">
        <f>IFERROR(__xludf.DUMMYFUNCTION("""COMPUTED_VALUE"""),1.034)</f>
        <v>1.034</v>
      </c>
      <c r="E9833" s="16">
        <f>IFERROR(__xludf.DUMMYFUNCTION("""COMPUTED_VALUE"""),66.0)</f>
        <v>66</v>
      </c>
      <c r="F9833" s="19" t="str">
        <f>IFERROR(__xludf.DUMMYFUNCTION("""COMPUTED_VALUE"""),"BLACK")</f>
        <v>BLACK</v>
      </c>
      <c r="G9833" s="20" t="str">
        <f>IFERROR(__xludf.DUMMYFUNCTION("""COMPUTED_VALUE"""),"Uncle Sams Cider (04/04/2023)")</f>
        <v>Uncle Sams Cider (04/04/2023)</v>
      </c>
      <c r="H9833" s="19"/>
    </row>
    <row r="9834">
      <c r="A9834" s="9"/>
      <c r="B9834" s="15"/>
      <c r="C9834" s="9">
        <f>IFERROR(__xludf.DUMMYFUNCTION("""COMPUTED_VALUE"""),45040.9103715277)</f>
        <v>45040.91037</v>
      </c>
      <c r="D9834" s="15">
        <f>IFERROR(__xludf.DUMMYFUNCTION("""COMPUTED_VALUE"""),1.034)</f>
        <v>1.034</v>
      </c>
      <c r="E9834" s="16">
        <f>IFERROR(__xludf.DUMMYFUNCTION("""COMPUTED_VALUE"""),66.0)</f>
        <v>66</v>
      </c>
      <c r="F9834" s="19" t="str">
        <f>IFERROR(__xludf.DUMMYFUNCTION("""COMPUTED_VALUE"""),"BLACK")</f>
        <v>BLACK</v>
      </c>
      <c r="G9834" s="20" t="str">
        <f>IFERROR(__xludf.DUMMYFUNCTION("""COMPUTED_VALUE"""),"Uncle Sams Cider (04/04/2023)")</f>
        <v>Uncle Sams Cider (04/04/2023)</v>
      </c>
      <c r="H9834" s="19"/>
    </row>
    <row r="9835">
      <c r="A9835" s="9"/>
      <c r="B9835" s="15"/>
      <c r="C9835" s="9">
        <f>IFERROR(__xludf.DUMMYFUNCTION("""COMPUTED_VALUE"""),45040.8999496412)</f>
        <v>45040.89995</v>
      </c>
      <c r="D9835" s="15">
        <f>IFERROR(__xludf.DUMMYFUNCTION("""COMPUTED_VALUE"""),1.034)</f>
        <v>1.034</v>
      </c>
      <c r="E9835" s="16">
        <f>IFERROR(__xludf.DUMMYFUNCTION("""COMPUTED_VALUE"""),66.0)</f>
        <v>66</v>
      </c>
      <c r="F9835" s="19" t="str">
        <f>IFERROR(__xludf.DUMMYFUNCTION("""COMPUTED_VALUE"""),"BLACK")</f>
        <v>BLACK</v>
      </c>
      <c r="G9835" s="20" t="str">
        <f>IFERROR(__xludf.DUMMYFUNCTION("""COMPUTED_VALUE"""),"Uncle Sams Cider (04/04/2023)")</f>
        <v>Uncle Sams Cider (04/04/2023)</v>
      </c>
      <c r="H9835" s="19"/>
    </row>
    <row r="9836">
      <c r="A9836" s="9"/>
      <c r="B9836" s="15"/>
      <c r="C9836" s="9">
        <f>IFERROR(__xludf.DUMMYFUNCTION("""COMPUTED_VALUE"""),45040.8895285416)</f>
        <v>45040.88953</v>
      </c>
      <c r="D9836" s="15">
        <f>IFERROR(__xludf.DUMMYFUNCTION("""COMPUTED_VALUE"""),1.034)</f>
        <v>1.034</v>
      </c>
      <c r="E9836" s="16">
        <f>IFERROR(__xludf.DUMMYFUNCTION("""COMPUTED_VALUE"""),66.0)</f>
        <v>66</v>
      </c>
      <c r="F9836" s="19" t="str">
        <f>IFERROR(__xludf.DUMMYFUNCTION("""COMPUTED_VALUE"""),"BLACK")</f>
        <v>BLACK</v>
      </c>
      <c r="G9836" s="20" t="str">
        <f>IFERROR(__xludf.DUMMYFUNCTION("""COMPUTED_VALUE"""),"Uncle Sams Cider (04/04/2023)")</f>
        <v>Uncle Sams Cider (04/04/2023)</v>
      </c>
      <c r="H9836" s="19"/>
    </row>
    <row r="9837">
      <c r="A9837" s="9"/>
      <c r="B9837" s="15"/>
      <c r="C9837" s="9">
        <f>IFERROR(__xludf.DUMMYFUNCTION("""COMPUTED_VALUE"""),45040.879109618)</f>
        <v>45040.87911</v>
      </c>
      <c r="D9837" s="15">
        <f>IFERROR(__xludf.DUMMYFUNCTION("""COMPUTED_VALUE"""),1.034)</f>
        <v>1.034</v>
      </c>
      <c r="E9837" s="16">
        <f>IFERROR(__xludf.DUMMYFUNCTION("""COMPUTED_VALUE"""),66.0)</f>
        <v>66</v>
      </c>
      <c r="F9837" s="19" t="str">
        <f>IFERROR(__xludf.DUMMYFUNCTION("""COMPUTED_VALUE"""),"BLACK")</f>
        <v>BLACK</v>
      </c>
      <c r="G9837" s="20" t="str">
        <f>IFERROR(__xludf.DUMMYFUNCTION("""COMPUTED_VALUE"""),"Uncle Sams Cider (04/04/2023)")</f>
        <v>Uncle Sams Cider (04/04/2023)</v>
      </c>
      <c r="H9837" s="19"/>
    </row>
    <row r="9838">
      <c r="A9838" s="9"/>
      <c r="B9838" s="15"/>
      <c r="C9838" s="9">
        <f>IFERROR(__xludf.DUMMYFUNCTION("""COMPUTED_VALUE"""),45040.8686779513)</f>
        <v>45040.86868</v>
      </c>
      <c r="D9838" s="15">
        <f>IFERROR(__xludf.DUMMYFUNCTION("""COMPUTED_VALUE"""),1.034)</f>
        <v>1.034</v>
      </c>
      <c r="E9838" s="16">
        <f>IFERROR(__xludf.DUMMYFUNCTION("""COMPUTED_VALUE"""),66.0)</f>
        <v>66</v>
      </c>
      <c r="F9838" s="19" t="str">
        <f>IFERROR(__xludf.DUMMYFUNCTION("""COMPUTED_VALUE"""),"BLACK")</f>
        <v>BLACK</v>
      </c>
      <c r="G9838" s="20" t="str">
        <f>IFERROR(__xludf.DUMMYFUNCTION("""COMPUTED_VALUE"""),"Uncle Sams Cider (04/04/2023)")</f>
        <v>Uncle Sams Cider (04/04/2023)</v>
      </c>
      <c r="H9838" s="19"/>
    </row>
    <row r="9839">
      <c r="A9839" s="9"/>
      <c r="B9839" s="15"/>
      <c r="C9839" s="9">
        <f>IFERROR(__xludf.DUMMYFUNCTION("""COMPUTED_VALUE"""),45040.8582226157)</f>
        <v>45040.85822</v>
      </c>
      <c r="D9839" s="15">
        <f>IFERROR(__xludf.DUMMYFUNCTION("""COMPUTED_VALUE"""),1.034)</f>
        <v>1.034</v>
      </c>
      <c r="E9839" s="16">
        <f>IFERROR(__xludf.DUMMYFUNCTION("""COMPUTED_VALUE"""),66.0)</f>
        <v>66</v>
      </c>
      <c r="F9839" s="19" t="str">
        <f>IFERROR(__xludf.DUMMYFUNCTION("""COMPUTED_VALUE"""),"BLACK")</f>
        <v>BLACK</v>
      </c>
      <c r="G9839" s="20" t="str">
        <f>IFERROR(__xludf.DUMMYFUNCTION("""COMPUTED_VALUE"""),"Uncle Sams Cider (04/04/2023)")</f>
        <v>Uncle Sams Cider (04/04/2023)</v>
      </c>
      <c r="H9839" s="19"/>
    </row>
    <row r="9840">
      <c r="A9840" s="9"/>
      <c r="B9840" s="15"/>
      <c r="C9840" s="9">
        <f>IFERROR(__xludf.DUMMYFUNCTION("""COMPUTED_VALUE"""),45040.8477786689)</f>
        <v>45040.84778</v>
      </c>
      <c r="D9840" s="15">
        <f>IFERROR(__xludf.DUMMYFUNCTION("""COMPUTED_VALUE"""),1.034)</f>
        <v>1.034</v>
      </c>
      <c r="E9840" s="16">
        <f>IFERROR(__xludf.DUMMYFUNCTION("""COMPUTED_VALUE"""),66.0)</f>
        <v>66</v>
      </c>
      <c r="F9840" s="19" t="str">
        <f>IFERROR(__xludf.DUMMYFUNCTION("""COMPUTED_VALUE"""),"BLACK")</f>
        <v>BLACK</v>
      </c>
      <c r="G9840" s="20" t="str">
        <f>IFERROR(__xludf.DUMMYFUNCTION("""COMPUTED_VALUE"""),"Uncle Sams Cider (04/04/2023)")</f>
        <v>Uncle Sams Cider (04/04/2023)</v>
      </c>
      <c r="H9840" s="19"/>
    </row>
    <row r="9841">
      <c r="A9841" s="9"/>
      <c r="B9841" s="15"/>
      <c r="C9841" s="9">
        <f>IFERROR(__xludf.DUMMYFUNCTION("""COMPUTED_VALUE"""),45040.83734478)</f>
        <v>45040.83734</v>
      </c>
      <c r="D9841" s="15">
        <f>IFERROR(__xludf.DUMMYFUNCTION("""COMPUTED_VALUE"""),1.034)</f>
        <v>1.034</v>
      </c>
      <c r="E9841" s="16">
        <f>IFERROR(__xludf.DUMMYFUNCTION("""COMPUTED_VALUE"""),66.0)</f>
        <v>66</v>
      </c>
      <c r="F9841" s="19" t="str">
        <f>IFERROR(__xludf.DUMMYFUNCTION("""COMPUTED_VALUE"""),"BLACK")</f>
        <v>BLACK</v>
      </c>
      <c r="G9841" s="20" t="str">
        <f>IFERROR(__xludf.DUMMYFUNCTION("""COMPUTED_VALUE"""),"Uncle Sams Cider (04/04/2023)")</f>
        <v>Uncle Sams Cider (04/04/2023)</v>
      </c>
      <c r="H9841" s="19"/>
    </row>
    <row r="9842">
      <c r="A9842" s="9"/>
      <c r="B9842" s="15"/>
      <c r="C9842" s="9">
        <f>IFERROR(__xludf.DUMMYFUNCTION("""COMPUTED_VALUE"""),45040.8269228356)</f>
        <v>45040.82692</v>
      </c>
      <c r="D9842" s="15">
        <f>IFERROR(__xludf.DUMMYFUNCTION("""COMPUTED_VALUE"""),1.034)</f>
        <v>1.034</v>
      </c>
      <c r="E9842" s="16">
        <f>IFERROR(__xludf.DUMMYFUNCTION("""COMPUTED_VALUE"""),66.0)</f>
        <v>66</v>
      </c>
      <c r="F9842" s="19" t="str">
        <f>IFERROR(__xludf.DUMMYFUNCTION("""COMPUTED_VALUE"""),"BLACK")</f>
        <v>BLACK</v>
      </c>
      <c r="G9842" s="20" t="str">
        <f>IFERROR(__xludf.DUMMYFUNCTION("""COMPUTED_VALUE"""),"Uncle Sams Cider (04/04/2023)")</f>
        <v>Uncle Sams Cider (04/04/2023)</v>
      </c>
      <c r="H9842" s="19"/>
    </row>
    <row r="9843">
      <c r="A9843" s="9"/>
      <c r="B9843" s="15"/>
      <c r="C9843" s="9">
        <f>IFERROR(__xludf.DUMMYFUNCTION("""COMPUTED_VALUE"""),45040.8165004745)</f>
        <v>45040.8165</v>
      </c>
      <c r="D9843" s="15">
        <f>IFERROR(__xludf.DUMMYFUNCTION("""COMPUTED_VALUE"""),1.034)</f>
        <v>1.034</v>
      </c>
      <c r="E9843" s="16">
        <f>IFERROR(__xludf.DUMMYFUNCTION("""COMPUTED_VALUE"""),66.0)</f>
        <v>66</v>
      </c>
      <c r="F9843" s="19" t="str">
        <f>IFERROR(__xludf.DUMMYFUNCTION("""COMPUTED_VALUE"""),"BLACK")</f>
        <v>BLACK</v>
      </c>
      <c r="G9843" s="20" t="str">
        <f>IFERROR(__xludf.DUMMYFUNCTION("""COMPUTED_VALUE"""),"Uncle Sams Cider (04/04/2023)")</f>
        <v>Uncle Sams Cider (04/04/2023)</v>
      </c>
      <c r="H9843" s="19"/>
    </row>
    <row r="9844">
      <c r="A9844" s="9"/>
      <c r="B9844" s="15"/>
      <c r="C9844" s="9">
        <f>IFERROR(__xludf.DUMMYFUNCTION("""COMPUTED_VALUE"""),45040.8060800231)</f>
        <v>45040.80608</v>
      </c>
      <c r="D9844" s="15">
        <f>IFERROR(__xludf.DUMMYFUNCTION("""COMPUTED_VALUE"""),1.034)</f>
        <v>1.034</v>
      </c>
      <c r="E9844" s="16">
        <f>IFERROR(__xludf.DUMMYFUNCTION("""COMPUTED_VALUE"""),66.0)</f>
        <v>66</v>
      </c>
      <c r="F9844" s="19" t="str">
        <f>IFERROR(__xludf.DUMMYFUNCTION("""COMPUTED_VALUE"""),"BLACK")</f>
        <v>BLACK</v>
      </c>
      <c r="G9844" s="20" t="str">
        <f>IFERROR(__xludf.DUMMYFUNCTION("""COMPUTED_VALUE"""),"Uncle Sams Cider (04/04/2023)")</f>
        <v>Uncle Sams Cider (04/04/2023)</v>
      </c>
      <c r="H9844" s="19"/>
    </row>
    <row r="9845">
      <c r="A9845" s="9"/>
      <c r="B9845" s="15"/>
      <c r="C9845" s="9">
        <f>IFERROR(__xludf.DUMMYFUNCTION("""COMPUTED_VALUE"""),45040.7955995023)</f>
        <v>45040.7956</v>
      </c>
      <c r="D9845" s="15">
        <f>IFERROR(__xludf.DUMMYFUNCTION("""COMPUTED_VALUE"""),1.034)</f>
        <v>1.034</v>
      </c>
      <c r="E9845" s="16">
        <f>IFERROR(__xludf.DUMMYFUNCTION("""COMPUTED_VALUE"""),66.0)</f>
        <v>66</v>
      </c>
      <c r="F9845" s="19" t="str">
        <f>IFERROR(__xludf.DUMMYFUNCTION("""COMPUTED_VALUE"""),"BLACK")</f>
        <v>BLACK</v>
      </c>
      <c r="G9845" s="20" t="str">
        <f>IFERROR(__xludf.DUMMYFUNCTION("""COMPUTED_VALUE"""),"Uncle Sams Cider (04/04/2023)")</f>
        <v>Uncle Sams Cider (04/04/2023)</v>
      </c>
      <c r="H9845" s="19"/>
    </row>
    <row r="9846">
      <c r="A9846" s="9"/>
      <c r="B9846" s="15"/>
      <c r="C9846" s="9">
        <f>IFERROR(__xludf.DUMMYFUNCTION("""COMPUTED_VALUE"""),45040.7851778125)</f>
        <v>45040.78518</v>
      </c>
      <c r="D9846" s="15">
        <f>IFERROR(__xludf.DUMMYFUNCTION("""COMPUTED_VALUE"""),1.034)</f>
        <v>1.034</v>
      </c>
      <c r="E9846" s="16">
        <f>IFERROR(__xludf.DUMMYFUNCTION("""COMPUTED_VALUE"""),66.0)</f>
        <v>66</v>
      </c>
      <c r="F9846" s="19" t="str">
        <f>IFERROR(__xludf.DUMMYFUNCTION("""COMPUTED_VALUE"""),"BLACK")</f>
        <v>BLACK</v>
      </c>
      <c r="G9846" s="20" t="str">
        <f>IFERROR(__xludf.DUMMYFUNCTION("""COMPUTED_VALUE"""),"Uncle Sams Cider (04/04/2023)")</f>
        <v>Uncle Sams Cider (04/04/2023)</v>
      </c>
      <c r="H9846" s="19"/>
    </row>
    <row r="9847">
      <c r="A9847" s="9"/>
      <c r="B9847" s="15"/>
      <c r="C9847" s="9">
        <f>IFERROR(__xludf.DUMMYFUNCTION("""COMPUTED_VALUE"""),45040.7747455439)</f>
        <v>45040.77475</v>
      </c>
      <c r="D9847" s="15">
        <f>IFERROR(__xludf.DUMMYFUNCTION("""COMPUTED_VALUE"""),1.034)</f>
        <v>1.034</v>
      </c>
      <c r="E9847" s="16">
        <f>IFERROR(__xludf.DUMMYFUNCTION("""COMPUTED_VALUE"""),66.0)</f>
        <v>66</v>
      </c>
      <c r="F9847" s="19" t="str">
        <f>IFERROR(__xludf.DUMMYFUNCTION("""COMPUTED_VALUE"""),"BLACK")</f>
        <v>BLACK</v>
      </c>
      <c r="G9847" s="20" t="str">
        <f>IFERROR(__xludf.DUMMYFUNCTION("""COMPUTED_VALUE"""),"Uncle Sams Cider (04/04/2023)")</f>
        <v>Uncle Sams Cider (04/04/2023)</v>
      </c>
      <c r="H9847" s="19"/>
    </row>
    <row r="9848">
      <c r="A9848" s="9"/>
      <c r="B9848" s="15"/>
      <c r="C9848" s="9">
        <f>IFERROR(__xludf.DUMMYFUNCTION("""COMPUTED_VALUE"""),45040.7643029976)</f>
        <v>45040.7643</v>
      </c>
      <c r="D9848" s="15">
        <f>IFERROR(__xludf.DUMMYFUNCTION("""COMPUTED_VALUE"""),1.034)</f>
        <v>1.034</v>
      </c>
      <c r="E9848" s="16">
        <f>IFERROR(__xludf.DUMMYFUNCTION("""COMPUTED_VALUE"""),66.0)</f>
        <v>66</v>
      </c>
      <c r="F9848" s="19" t="str">
        <f>IFERROR(__xludf.DUMMYFUNCTION("""COMPUTED_VALUE"""),"BLACK")</f>
        <v>BLACK</v>
      </c>
      <c r="G9848" s="20" t="str">
        <f>IFERROR(__xludf.DUMMYFUNCTION("""COMPUTED_VALUE"""),"Uncle Sams Cider (04/04/2023)")</f>
        <v>Uncle Sams Cider (04/04/2023)</v>
      </c>
      <c r="H9848" s="19"/>
    </row>
    <row r="9849">
      <c r="A9849" s="9"/>
      <c r="B9849" s="15"/>
      <c r="C9849" s="9">
        <f>IFERROR(__xludf.DUMMYFUNCTION("""COMPUTED_VALUE"""),45040.7538590393)</f>
        <v>45040.75386</v>
      </c>
      <c r="D9849" s="15">
        <f>IFERROR(__xludf.DUMMYFUNCTION("""COMPUTED_VALUE"""),1.034)</f>
        <v>1.034</v>
      </c>
      <c r="E9849" s="16">
        <f>IFERROR(__xludf.DUMMYFUNCTION("""COMPUTED_VALUE"""),66.0)</f>
        <v>66</v>
      </c>
      <c r="F9849" s="19" t="str">
        <f>IFERROR(__xludf.DUMMYFUNCTION("""COMPUTED_VALUE"""),"BLACK")</f>
        <v>BLACK</v>
      </c>
      <c r="G9849" s="20" t="str">
        <f>IFERROR(__xludf.DUMMYFUNCTION("""COMPUTED_VALUE"""),"Uncle Sams Cider (04/04/2023)")</f>
        <v>Uncle Sams Cider (04/04/2023)</v>
      </c>
      <c r="H9849" s="19"/>
    </row>
    <row r="9850">
      <c r="A9850" s="9"/>
      <c r="B9850" s="15"/>
      <c r="C9850" s="9">
        <f>IFERROR(__xludf.DUMMYFUNCTION("""COMPUTED_VALUE"""),45040.7434370601)</f>
        <v>45040.74344</v>
      </c>
      <c r="D9850" s="15">
        <f>IFERROR(__xludf.DUMMYFUNCTION("""COMPUTED_VALUE"""),1.034)</f>
        <v>1.034</v>
      </c>
      <c r="E9850" s="16">
        <f>IFERROR(__xludf.DUMMYFUNCTION("""COMPUTED_VALUE"""),66.0)</f>
        <v>66</v>
      </c>
      <c r="F9850" s="19" t="str">
        <f>IFERROR(__xludf.DUMMYFUNCTION("""COMPUTED_VALUE"""),"BLACK")</f>
        <v>BLACK</v>
      </c>
      <c r="G9850" s="20" t="str">
        <f>IFERROR(__xludf.DUMMYFUNCTION("""COMPUTED_VALUE"""),"Uncle Sams Cider (04/04/2023)")</f>
        <v>Uncle Sams Cider (04/04/2023)</v>
      </c>
      <c r="H9850" s="19"/>
    </row>
    <row r="9851">
      <c r="A9851" s="9"/>
      <c r="B9851" s="15"/>
      <c r="C9851" s="9">
        <f>IFERROR(__xludf.DUMMYFUNCTION("""COMPUTED_VALUE"""),45040.7330154976)</f>
        <v>45040.73302</v>
      </c>
      <c r="D9851" s="15">
        <f>IFERROR(__xludf.DUMMYFUNCTION("""COMPUTED_VALUE"""),1.034)</f>
        <v>1.034</v>
      </c>
      <c r="E9851" s="16">
        <f>IFERROR(__xludf.DUMMYFUNCTION("""COMPUTED_VALUE"""),66.0)</f>
        <v>66</v>
      </c>
      <c r="F9851" s="19" t="str">
        <f>IFERROR(__xludf.DUMMYFUNCTION("""COMPUTED_VALUE"""),"BLACK")</f>
        <v>BLACK</v>
      </c>
      <c r="G9851" s="20" t="str">
        <f>IFERROR(__xludf.DUMMYFUNCTION("""COMPUTED_VALUE"""),"Uncle Sams Cider (04/04/2023)")</f>
        <v>Uncle Sams Cider (04/04/2023)</v>
      </c>
      <c r="H9851" s="19"/>
    </row>
    <row r="9852">
      <c r="A9852" s="9"/>
      <c r="B9852" s="15"/>
      <c r="C9852" s="9">
        <f>IFERROR(__xludf.DUMMYFUNCTION("""COMPUTED_VALUE"""),45040.7225940162)</f>
        <v>45040.72259</v>
      </c>
      <c r="D9852" s="15">
        <f>IFERROR(__xludf.DUMMYFUNCTION("""COMPUTED_VALUE"""),1.034)</f>
        <v>1.034</v>
      </c>
      <c r="E9852" s="16">
        <f>IFERROR(__xludf.DUMMYFUNCTION("""COMPUTED_VALUE"""),66.0)</f>
        <v>66</v>
      </c>
      <c r="F9852" s="19" t="str">
        <f>IFERROR(__xludf.DUMMYFUNCTION("""COMPUTED_VALUE"""),"BLACK")</f>
        <v>BLACK</v>
      </c>
      <c r="G9852" s="20" t="str">
        <f>IFERROR(__xludf.DUMMYFUNCTION("""COMPUTED_VALUE"""),"Uncle Sams Cider (04/04/2023)")</f>
        <v>Uncle Sams Cider (04/04/2023)</v>
      </c>
      <c r="H9852" s="19"/>
    </row>
    <row r="9853">
      <c r="A9853" s="9"/>
      <c r="B9853" s="15"/>
      <c r="C9853" s="9">
        <f>IFERROR(__xludf.DUMMYFUNCTION("""COMPUTED_VALUE"""),45040.7121732638)</f>
        <v>45040.71217</v>
      </c>
      <c r="D9853" s="15">
        <f>IFERROR(__xludf.DUMMYFUNCTION("""COMPUTED_VALUE"""),1.034)</f>
        <v>1.034</v>
      </c>
      <c r="E9853" s="16">
        <f>IFERROR(__xludf.DUMMYFUNCTION("""COMPUTED_VALUE"""),66.0)</f>
        <v>66</v>
      </c>
      <c r="F9853" s="19" t="str">
        <f>IFERROR(__xludf.DUMMYFUNCTION("""COMPUTED_VALUE"""),"BLACK")</f>
        <v>BLACK</v>
      </c>
      <c r="G9853" s="20" t="str">
        <f>IFERROR(__xludf.DUMMYFUNCTION("""COMPUTED_VALUE"""),"Uncle Sams Cider (04/04/2023)")</f>
        <v>Uncle Sams Cider (04/04/2023)</v>
      </c>
      <c r="H9853" s="19"/>
    </row>
    <row r="9854">
      <c r="A9854" s="9"/>
      <c r="B9854" s="15"/>
      <c r="C9854" s="9">
        <f>IFERROR(__xludf.DUMMYFUNCTION("""COMPUTED_VALUE"""),45040.7017510301)</f>
        <v>45040.70175</v>
      </c>
      <c r="D9854" s="15">
        <f>IFERROR(__xludf.DUMMYFUNCTION("""COMPUTED_VALUE"""),1.034)</f>
        <v>1.034</v>
      </c>
      <c r="E9854" s="16">
        <f>IFERROR(__xludf.DUMMYFUNCTION("""COMPUTED_VALUE"""),66.0)</f>
        <v>66</v>
      </c>
      <c r="F9854" s="19" t="str">
        <f>IFERROR(__xludf.DUMMYFUNCTION("""COMPUTED_VALUE"""),"BLACK")</f>
        <v>BLACK</v>
      </c>
      <c r="G9854" s="20" t="str">
        <f>IFERROR(__xludf.DUMMYFUNCTION("""COMPUTED_VALUE"""),"Uncle Sams Cider (04/04/2023)")</f>
        <v>Uncle Sams Cider (04/04/2023)</v>
      </c>
      <c r="H9854" s="19"/>
    </row>
    <row r="9855">
      <c r="A9855" s="9"/>
      <c r="B9855" s="15"/>
      <c r="C9855" s="9">
        <f>IFERROR(__xludf.DUMMYFUNCTION("""COMPUTED_VALUE"""),45040.6913298263)</f>
        <v>45040.69133</v>
      </c>
      <c r="D9855" s="15">
        <f>IFERROR(__xludf.DUMMYFUNCTION("""COMPUTED_VALUE"""),1.034)</f>
        <v>1.034</v>
      </c>
      <c r="E9855" s="16">
        <f>IFERROR(__xludf.DUMMYFUNCTION("""COMPUTED_VALUE"""),66.0)</f>
        <v>66</v>
      </c>
      <c r="F9855" s="19" t="str">
        <f>IFERROR(__xludf.DUMMYFUNCTION("""COMPUTED_VALUE"""),"BLACK")</f>
        <v>BLACK</v>
      </c>
      <c r="G9855" s="20" t="str">
        <f>IFERROR(__xludf.DUMMYFUNCTION("""COMPUTED_VALUE"""),"Uncle Sams Cider (04/04/2023)")</f>
        <v>Uncle Sams Cider (04/04/2023)</v>
      </c>
      <c r="H9855" s="19"/>
    </row>
    <row r="9856">
      <c r="A9856" s="9"/>
      <c r="B9856" s="15"/>
      <c r="C9856" s="9">
        <f>IFERROR(__xludf.DUMMYFUNCTION("""COMPUTED_VALUE"""),45040.6809081018)</f>
        <v>45040.68091</v>
      </c>
      <c r="D9856" s="15">
        <f>IFERROR(__xludf.DUMMYFUNCTION("""COMPUTED_VALUE"""),1.034)</f>
        <v>1.034</v>
      </c>
      <c r="E9856" s="16">
        <f>IFERROR(__xludf.DUMMYFUNCTION("""COMPUTED_VALUE"""),66.0)</f>
        <v>66</v>
      </c>
      <c r="F9856" s="19" t="str">
        <f>IFERROR(__xludf.DUMMYFUNCTION("""COMPUTED_VALUE"""),"BLACK")</f>
        <v>BLACK</v>
      </c>
      <c r="G9856" s="20" t="str">
        <f>IFERROR(__xludf.DUMMYFUNCTION("""COMPUTED_VALUE"""),"Uncle Sams Cider (04/04/2023)")</f>
        <v>Uncle Sams Cider (04/04/2023)</v>
      </c>
      <c r="H9856" s="19"/>
    </row>
    <row r="9857">
      <c r="A9857" s="9"/>
      <c r="B9857" s="15"/>
      <c r="C9857" s="9">
        <f>IFERROR(__xludf.DUMMYFUNCTION("""COMPUTED_VALUE"""),45040.6704738426)</f>
        <v>45040.67047</v>
      </c>
      <c r="D9857" s="15">
        <f>IFERROR(__xludf.DUMMYFUNCTION("""COMPUTED_VALUE"""),1.034)</f>
        <v>1.034</v>
      </c>
      <c r="E9857" s="16">
        <f>IFERROR(__xludf.DUMMYFUNCTION("""COMPUTED_VALUE"""),66.0)</f>
        <v>66</v>
      </c>
      <c r="F9857" s="19" t="str">
        <f>IFERROR(__xludf.DUMMYFUNCTION("""COMPUTED_VALUE"""),"BLACK")</f>
        <v>BLACK</v>
      </c>
      <c r="G9857" s="20" t="str">
        <f>IFERROR(__xludf.DUMMYFUNCTION("""COMPUTED_VALUE"""),"Uncle Sams Cider (04/04/2023)")</f>
        <v>Uncle Sams Cider (04/04/2023)</v>
      </c>
      <c r="H9857" s="19"/>
    </row>
    <row r="9858">
      <c r="A9858" s="9"/>
      <c r="B9858" s="15"/>
      <c r="C9858" s="9">
        <f>IFERROR(__xludf.DUMMYFUNCTION("""COMPUTED_VALUE"""),45040.6600517592)</f>
        <v>45040.66005</v>
      </c>
      <c r="D9858" s="15">
        <f>IFERROR(__xludf.DUMMYFUNCTION("""COMPUTED_VALUE"""),1.034)</f>
        <v>1.034</v>
      </c>
      <c r="E9858" s="16">
        <f>IFERROR(__xludf.DUMMYFUNCTION("""COMPUTED_VALUE"""),66.0)</f>
        <v>66</v>
      </c>
      <c r="F9858" s="19" t="str">
        <f>IFERROR(__xludf.DUMMYFUNCTION("""COMPUTED_VALUE"""),"BLACK")</f>
        <v>BLACK</v>
      </c>
      <c r="G9858" s="20" t="str">
        <f>IFERROR(__xludf.DUMMYFUNCTION("""COMPUTED_VALUE"""),"Uncle Sams Cider (04/04/2023)")</f>
        <v>Uncle Sams Cider (04/04/2023)</v>
      </c>
      <c r="H9858" s="19"/>
    </row>
    <row r="9859">
      <c r="A9859" s="9"/>
      <c r="B9859" s="15"/>
      <c r="C9859" s="9">
        <f>IFERROR(__xludf.DUMMYFUNCTION("""COMPUTED_VALUE"""),45040.6496190393)</f>
        <v>45040.64962</v>
      </c>
      <c r="D9859" s="15">
        <f>IFERROR(__xludf.DUMMYFUNCTION("""COMPUTED_VALUE"""),1.034)</f>
        <v>1.034</v>
      </c>
      <c r="E9859" s="16">
        <f>IFERROR(__xludf.DUMMYFUNCTION("""COMPUTED_VALUE"""),66.0)</f>
        <v>66</v>
      </c>
      <c r="F9859" s="19" t="str">
        <f>IFERROR(__xludf.DUMMYFUNCTION("""COMPUTED_VALUE"""),"BLACK")</f>
        <v>BLACK</v>
      </c>
      <c r="G9859" s="20" t="str">
        <f>IFERROR(__xludf.DUMMYFUNCTION("""COMPUTED_VALUE"""),"Uncle Sams Cider (04/04/2023)")</f>
        <v>Uncle Sams Cider (04/04/2023)</v>
      </c>
      <c r="H9859" s="19"/>
    </row>
    <row r="9860">
      <c r="A9860" s="9"/>
      <c r="B9860" s="15"/>
      <c r="C9860" s="9">
        <f>IFERROR(__xludf.DUMMYFUNCTION("""COMPUTED_VALUE"""),45040.639186655)</f>
        <v>45040.63919</v>
      </c>
      <c r="D9860" s="15">
        <f>IFERROR(__xludf.DUMMYFUNCTION("""COMPUTED_VALUE"""),1.034)</f>
        <v>1.034</v>
      </c>
      <c r="E9860" s="16">
        <f>IFERROR(__xludf.DUMMYFUNCTION("""COMPUTED_VALUE"""),66.0)</f>
        <v>66</v>
      </c>
      <c r="F9860" s="19" t="str">
        <f>IFERROR(__xludf.DUMMYFUNCTION("""COMPUTED_VALUE"""),"BLACK")</f>
        <v>BLACK</v>
      </c>
      <c r="G9860" s="20" t="str">
        <f>IFERROR(__xludf.DUMMYFUNCTION("""COMPUTED_VALUE"""),"Uncle Sams Cider (04/04/2023)")</f>
        <v>Uncle Sams Cider (04/04/2023)</v>
      </c>
      <c r="H9860" s="19"/>
    </row>
    <row r="9861">
      <c r="A9861" s="9"/>
      <c r="B9861" s="15"/>
      <c r="C9861" s="9">
        <f>IFERROR(__xludf.DUMMYFUNCTION("""COMPUTED_VALUE"""),45040.6287672338)</f>
        <v>45040.62877</v>
      </c>
      <c r="D9861" s="15">
        <f>IFERROR(__xludf.DUMMYFUNCTION("""COMPUTED_VALUE"""),1.034)</f>
        <v>1.034</v>
      </c>
      <c r="E9861" s="16">
        <f>IFERROR(__xludf.DUMMYFUNCTION("""COMPUTED_VALUE"""),66.0)</f>
        <v>66</v>
      </c>
      <c r="F9861" s="19" t="str">
        <f>IFERROR(__xludf.DUMMYFUNCTION("""COMPUTED_VALUE"""),"BLACK")</f>
        <v>BLACK</v>
      </c>
      <c r="G9861" s="20" t="str">
        <f>IFERROR(__xludf.DUMMYFUNCTION("""COMPUTED_VALUE"""),"Uncle Sams Cider (04/04/2023)")</f>
        <v>Uncle Sams Cider (04/04/2023)</v>
      </c>
      <c r="H9861" s="19"/>
    </row>
    <row r="9862">
      <c r="A9862" s="9"/>
      <c r="B9862" s="15"/>
      <c r="C9862" s="9">
        <f>IFERROR(__xludf.DUMMYFUNCTION("""COMPUTED_VALUE"""),45040.6183463194)</f>
        <v>45040.61835</v>
      </c>
      <c r="D9862" s="15">
        <f>IFERROR(__xludf.DUMMYFUNCTION("""COMPUTED_VALUE"""),1.034)</f>
        <v>1.034</v>
      </c>
      <c r="E9862" s="16">
        <f>IFERROR(__xludf.DUMMYFUNCTION("""COMPUTED_VALUE"""),66.0)</f>
        <v>66</v>
      </c>
      <c r="F9862" s="19" t="str">
        <f>IFERROR(__xludf.DUMMYFUNCTION("""COMPUTED_VALUE"""),"BLACK")</f>
        <v>BLACK</v>
      </c>
      <c r="G9862" s="20" t="str">
        <f>IFERROR(__xludf.DUMMYFUNCTION("""COMPUTED_VALUE"""),"Uncle Sams Cider (04/04/2023)")</f>
        <v>Uncle Sams Cider (04/04/2023)</v>
      </c>
      <c r="H9862" s="19"/>
    </row>
    <row r="9863">
      <c r="A9863" s="9"/>
      <c r="B9863" s="15"/>
      <c r="C9863" s="9">
        <f>IFERROR(__xludf.DUMMYFUNCTION("""COMPUTED_VALUE"""),45040.6079230092)</f>
        <v>45040.60792</v>
      </c>
      <c r="D9863" s="15">
        <f>IFERROR(__xludf.DUMMYFUNCTION("""COMPUTED_VALUE"""),1.034)</f>
        <v>1.034</v>
      </c>
      <c r="E9863" s="16">
        <f>IFERROR(__xludf.DUMMYFUNCTION("""COMPUTED_VALUE"""),66.0)</f>
        <v>66</v>
      </c>
      <c r="F9863" s="19" t="str">
        <f>IFERROR(__xludf.DUMMYFUNCTION("""COMPUTED_VALUE"""),"BLACK")</f>
        <v>BLACK</v>
      </c>
      <c r="G9863" s="20" t="str">
        <f>IFERROR(__xludf.DUMMYFUNCTION("""COMPUTED_VALUE"""),"Uncle Sams Cider (04/04/2023)")</f>
        <v>Uncle Sams Cider (04/04/2023)</v>
      </c>
      <c r="H9863" s="19"/>
    </row>
    <row r="9864">
      <c r="A9864" s="9"/>
      <c r="B9864" s="15"/>
      <c r="C9864" s="9">
        <f>IFERROR(__xludf.DUMMYFUNCTION("""COMPUTED_VALUE"""),45040.5975021296)</f>
        <v>45040.5975</v>
      </c>
      <c r="D9864" s="15">
        <f>IFERROR(__xludf.DUMMYFUNCTION("""COMPUTED_VALUE"""),1.034)</f>
        <v>1.034</v>
      </c>
      <c r="E9864" s="16">
        <f>IFERROR(__xludf.DUMMYFUNCTION("""COMPUTED_VALUE"""),66.0)</f>
        <v>66</v>
      </c>
      <c r="F9864" s="19" t="str">
        <f>IFERROR(__xludf.DUMMYFUNCTION("""COMPUTED_VALUE"""),"BLACK")</f>
        <v>BLACK</v>
      </c>
      <c r="G9864" s="20" t="str">
        <f>IFERROR(__xludf.DUMMYFUNCTION("""COMPUTED_VALUE"""),"Uncle Sams Cider (04/04/2023)")</f>
        <v>Uncle Sams Cider (04/04/2023)</v>
      </c>
      <c r="H9864" s="19"/>
    </row>
    <row r="9865">
      <c r="A9865" s="9"/>
      <c r="B9865" s="15"/>
      <c r="C9865" s="9">
        <f>IFERROR(__xludf.DUMMYFUNCTION("""COMPUTED_VALUE"""),45040.587080405)</f>
        <v>45040.58708</v>
      </c>
      <c r="D9865" s="15">
        <f>IFERROR(__xludf.DUMMYFUNCTION("""COMPUTED_VALUE"""),1.034)</f>
        <v>1.034</v>
      </c>
      <c r="E9865" s="16">
        <f>IFERROR(__xludf.DUMMYFUNCTION("""COMPUTED_VALUE"""),66.0)</f>
        <v>66</v>
      </c>
      <c r="F9865" s="19" t="str">
        <f>IFERROR(__xludf.DUMMYFUNCTION("""COMPUTED_VALUE"""),"BLACK")</f>
        <v>BLACK</v>
      </c>
      <c r="G9865" s="20" t="str">
        <f>IFERROR(__xludf.DUMMYFUNCTION("""COMPUTED_VALUE"""),"Uncle Sams Cider (04/04/2023)")</f>
        <v>Uncle Sams Cider (04/04/2023)</v>
      </c>
      <c r="H9865" s="19"/>
    </row>
    <row r="9866">
      <c r="A9866" s="9"/>
      <c r="B9866" s="15"/>
      <c r="C9866" s="9">
        <f>IFERROR(__xludf.DUMMYFUNCTION("""COMPUTED_VALUE"""),45040.5766584027)</f>
        <v>45040.57666</v>
      </c>
      <c r="D9866" s="15">
        <f>IFERROR(__xludf.DUMMYFUNCTION("""COMPUTED_VALUE"""),1.034)</f>
        <v>1.034</v>
      </c>
      <c r="E9866" s="16">
        <f>IFERROR(__xludf.DUMMYFUNCTION("""COMPUTED_VALUE"""),66.0)</f>
        <v>66</v>
      </c>
      <c r="F9866" s="19" t="str">
        <f>IFERROR(__xludf.DUMMYFUNCTION("""COMPUTED_VALUE"""),"BLACK")</f>
        <v>BLACK</v>
      </c>
      <c r="G9866" s="20" t="str">
        <f>IFERROR(__xludf.DUMMYFUNCTION("""COMPUTED_VALUE"""),"Uncle Sams Cider (04/04/2023)")</f>
        <v>Uncle Sams Cider (04/04/2023)</v>
      </c>
      <c r="H9866" s="19"/>
    </row>
    <row r="9867">
      <c r="A9867" s="9"/>
      <c r="B9867" s="15"/>
      <c r="C9867" s="9">
        <f>IFERROR(__xludf.DUMMYFUNCTION("""COMPUTED_VALUE"""),45040.5662134259)</f>
        <v>45040.56621</v>
      </c>
      <c r="D9867" s="15">
        <f>IFERROR(__xludf.DUMMYFUNCTION("""COMPUTED_VALUE"""),1.034)</f>
        <v>1.034</v>
      </c>
      <c r="E9867" s="16">
        <f>IFERROR(__xludf.DUMMYFUNCTION("""COMPUTED_VALUE"""),66.0)</f>
        <v>66</v>
      </c>
      <c r="F9867" s="19" t="str">
        <f>IFERROR(__xludf.DUMMYFUNCTION("""COMPUTED_VALUE"""),"BLACK")</f>
        <v>BLACK</v>
      </c>
      <c r="G9867" s="20" t="str">
        <f>IFERROR(__xludf.DUMMYFUNCTION("""COMPUTED_VALUE"""),"Uncle Sams Cider (04/04/2023)")</f>
        <v>Uncle Sams Cider (04/04/2023)</v>
      </c>
      <c r="H9867" s="19"/>
    </row>
    <row r="9868">
      <c r="A9868" s="9"/>
      <c r="B9868" s="15"/>
      <c r="C9868" s="9">
        <f>IFERROR(__xludf.DUMMYFUNCTION("""COMPUTED_VALUE"""),45040.5557920949)</f>
        <v>45040.55579</v>
      </c>
      <c r="D9868" s="15">
        <f>IFERROR(__xludf.DUMMYFUNCTION("""COMPUTED_VALUE"""),1.034)</f>
        <v>1.034</v>
      </c>
      <c r="E9868" s="16">
        <f>IFERROR(__xludf.DUMMYFUNCTION("""COMPUTED_VALUE"""),66.0)</f>
        <v>66</v>
      </c>
      <c r="F9868" s="19" t="str">
        <f>IFERROR(__xludf.DUMMYFUNCTION("""COMPUTED_VALUE"""),"BLACK")</f>
        <v>BLACK</v>
      </c>
      <c r="G9868" s="20" t="str">
        <f>IFERROR(__xludf.DUMMYFUNCTION("""COMPUTED_VALUE"""),"Uncle Sams Cider (04/04/2023)")</f>
        <v>Uncle Sams Cider (04/04/2023)</v>
      </c>
      <c r="H9868" s="19"/>
    </row>
    <row r="9869">
      <c r="A9869" s="9"/>
      <c r="B9869" s="15"/>
      <c r="C9869" s="9">
        <f>IFERROR(__xludf.DUMMYFUNCTION("""COMPUTED_VALUE"""),45040.5453697222)</f>
        <v>45040.54537</v>
      </c>
      <c r="D9869" s="15">
        <f>IFERROR(__xludf.DUMMYFUNCTION("""COMPUTED_VALUE"""),1.034)</f>
        <v>1.034</v>
      </c>
      <c r="E9869" s="16">
        <f>IFERROR(__xludf.DUMMYFUNCTION("""COMPUTED_VALUE"""),66.0)</f>
        <v>66</v>
      </c>
      <c r="F9869" s="19" t="str">
        <f>IFERROR(__xludf.DUMMYFUNCTION("""COMPUTED_VALUE"""),"BLACK")</f>
        <v>BLACK</v>
      </c>
      <c r="G9869" s="20" t="str">
        <f>IFERROR(__xludf.DUMMYFUNCTION("""COMPUTED_VALUE"""),"Uncle Sams Cider (04/04/2023)")</f>
        <v>Uncle Sams Cider (04/04/2023)</v>
      </c>
      <c r="H9869" s="19"/>
    </row>
    <row r="9870">
      <c r="A9870" s="9"/>
      <c r="B9870" s="15"/>
      <c r="C9870" s="9">
        <f>IFERROR(__xludf.DUMMYFUNCTION("""COMPUTED_VALUE"""),45040.5349376273)</f>
        <v>45040.53494</v>
      </c>
      <c r="D9870" s="15">
        <f>IFERROR(__xludf.DUMMYFUNCTION("""COMPUTED_VALUE"""),1.034)</f>
        <v>1.034</v>
      </c>
      <c r="E9870" s="16">
        <f>IFERROR(__xludf.DUMMYFUNCTION("""COMPUTED_VALUE"""),66.0)</f>
        <v>66</v>
      </c>
      <c r="F9870" s="19" t="str">
        <f>IFERROR(__xludf.DUMMYFUNCTION("""COMPUTED_VALUE"""),"BLACK")</f>
        <v>BLACK</v>
      </c>
      <c r="G9870" s="20" t="str">
        <f>IFERROR(__xludf.DUMMYFUNCTION("""COMPUTED_VALUE"""),"Uncle Sams Cider (04/04/2023)")</f>
        <v>Uncle Sams Cider (04/04/2023)</v>
      </c>
      <c r="H9870" s="19"/>
    </row>
    <row r="9871">
      <c r="A9871" s="9"/>
      <c r="B9871" s="15"/>
      <c r="C9871" s="9">
        <f>IFERROR(__xludf.DUMMYFUNCTION("""COMPUTED_VALUE"""),45040.5245176388)</f>
        <v>45040.52452</v>
      </c>
      <c r="D9871" s="15">
        <f>IFERROR(__xludf.DUMMYFUNCTION("""COMPUTED_VALUE"""),1.034)</f>
        <v>1.034</v>
      </c>
      <c r="E9871" s="16">
        <f>IFERROR(__xludf.DUMMYFUNCTION("""COMPUTED_VALUE"""),66.0)</f>
        <v>66</v>
      </c>
      <c r="F9871" s="19" t="str">
        <f>IFERROR(__xludf.DUMMYFUNCTION("""COMPUTED_VALUE"""),"BLACK")</f>
        <v>BLACK</v>
      </c>
      <c r="G9871" s="20" t="str">
        <f>IFERROR(__xludf.DUMMYFUNCTION("""COMPUTED_VALUE"""),"Uncle Sams Cider (04/04/2023)")</f>
        <v>Uncle Sams Cider (04/04/2023)</v>
      </c>
      <c r="H9871" s="19"/>
    </row>
    <row r="9872">
      <c r="A9872" s="9"/>
      <c r="B9872" s="15"/>
      <c r="C9872" s="9">
        <f>IFERROR(__xludf.DUMMYFUNCTION("""COMPUTED_VALUE"""),45040.5140733796)</f>
        <v>45040.51407</v>
      </c>
      <c r="D9872" s="15">
        <f>IFERROR(__xludf.DUMMYFUNCTION("""COMPUTED_VALUE"""),1.034)</f>
        <v>1.034</v>
      </c>
      <c r="E9872" s="16">
        <f>IFERROR(__xludf.DUMMYFUNCTION("""COMPUTED_VALUE"""),66.0)</f>
        <v>66</v>
      </c>
      <c r="F9872" s="19" t="str">
        <f>IFERROR(__xludf.DUMMYFUNCTION("""COMPUTED_VALUE"""),"BLACK")</f>
        <v>BLACK</v>
      </c>
      <c r="G9872" s="20" t="str">
        <f>IFERROR(__xludf.DUMMYFUNCTION("""COMPUTED_VALUE"""),"Uncle Sams Cider (04/04/2023)")</f>
        <v>Uncle Sams Cider (04/04/2023)</v>
      </c>
      <c r="H9872" s="19"/>
    </row>
    <row r="9873">
      <c r="A9873" s="9"/>
      <c r="B9873" s="15"/>
      <c r="C9873" s="9">
        <f>IFERROR(__xludf.DUMMYFUNCTION("""COMPUTED_VALUE"""),45040.5036527777)</f>
        <v>45040.50365</v>
      </c>
      <c r="D9873" s="15">
        <f>IFERROR(__xludf.DUMMYFUNCTION("""COMPUTED_VALUE"""),1.034)</f>
        <v>1.034</v>
      </c>
      <c r="E9873" s="16">
        <f>IFERROR(__xludf.DUMMYFUNCTION("""COMPUTED_VALUE"""),66.0)</f>
        <v>66</v>
      </c>
      <c r="F9873" s="19" t="str">
        <f>IFERROR(__xludf.DUMMYFUNCTION("""COMPUTED_VALUE"""),"BLACK")</f>
        <v>BLACK</v>
      </c>
      <c r="G9873" s="20" t="str">
        <f>IFERROR(__xludf.DUMMYFUNCTION("""COMPUTED_VALUE"""),"Uncle Sams Cider (04/04/2023)")</f>
        <v>Uncle Sams Cider (04/04/2023)</v>
      </c>
      <c r="H9873" s="19"/>
    </row>
    <row r="9874">
      <c r="A9874" s="9"/>
      <c r="B9874" s="15"/>
      <c r="C9874" s="9">
        <f>IFERROR(__xludf.DUMMYFUNCTION("""COMPUTED_VALUE"""),45040.4932095833)</f>
        <v>45040.49321</v>
      </c>
      <c r="D9874" s="15">
        <f>IFERROR(__xludf.DUMMYFUNCTION("""COMPUTED_VALUE"""),1.034)</f>
        <v>1.034</v>
      </c>
      <c r="E9874" s="16">
        <f>IFERROR(__xludf.DUMMYFUNCTION("""COMPUTED_VALUE"""),66.0)</f>
        <v>66</v>
      </c>
      <c r="F9874" s="19" t="str">
        <f>IFERROR(__xludf.DUMMYFUNCTION("""COMPUTED_VALUE"""),"BLACK")</f>
        <v>BLACK</v>
      </c>
      <c r="G9874" s="20" t="str">
        <f>IFERROR(__xludf.DUMMYFUNCTION("""COMPUTED_VALUE"""),"Uncle Sams Cider (04/04/2023)")</f>
        <v>Uncle Sams Cider (04/04/2023)</v>
      </c>
      <c r="H9874" s="19"/>
    </row>
    <row r="9875">
      <c r="A9875" s="9"/>
      <c r="B9875" s="15"/>
      <c r="C9875" s="9">
        <f>IFERROR(__xludf.DUMMYFUNCTION("""COMPUTED_VALUE"""),45040.4827875463)</f>
        <v>45040.48279</v>
      </c>
      <c r="D9875" s="15">
        <f>IFERROR(__xludf.DUMMYFUNCTION("""COMPUTED_VALUE"""),1.034)</f>
        <v>1.034</v>
      </c>
      <c r="E9875" s="16">
        <f>IFERROR(__xludf.DUMMYFUNCTION("""COMPUTED_VALUE"""),66.0)</f>
        <v>66</v>
      </c>
      <c r="F9875" s="19" t="str">
        <f>IFERROR(__xludf.DUMMYFUNCTION("""COMPUTED_VALUE"""),"BLACK")</f>
        <v>BLACK</v>
      </c>
      <c r="G9875" s="20" t="str">
        <f>IFERROR(__xludf.DUMMYFUNCTION("""COMPUTED_VALUE"""),"Uncle Sams Cider (04/04/2023)")</f>
        <v>Uncle Sams Cider (04/04/2023)</v>
      </c>
      <c r="H9875" s="19"/>
    </row>
    <row r="9876">
      <c r="A9876" s="9"/>
      <c r="B9876" s="15"/>
      <c r="C9876" s="9">
        <f>IFERROR(__xludf.DUMMYFUNCTION("""COMPUTED_VALUE"""),45040.4723654976)</f>
        <v>45040.47237</v>
      </c>
      <c r="D9876" s="15">
        <f>IFERROR(__xludf.DUMMYFUNCTION("""COMPUTED_VALUE"""),1.034)</f>
        <v>1.034</v>
      </c>
      <c r="E9876" s="16">
        <f>IFERROR(__xludf.DUMMYFUNCTION("""COMPUTED_VALUE"""),66.0)</f>
        <v>66</v>
      </c>
      <c r="F9876" s="19" t="str">
        <f>IFERROR(__xludf.DUMMYFUNCTION("""COMPUTED_VALUE"""),"BLACK")</f>
        <v>BLACK</v>
      </c>
      <c r="G9876" s="20" t="str">
        <f>IFERROR(__xludf.DUMMYFUNCTION("""COMPUTED_VALUE"""),"Uncle Sams Cider (04/04/2023)")</f>
        <v>Uncle Sams Cider (04/04/2023)</v>
      </c>
      <c r="H9876" s="19"/>
    </row>
    <row r="9877">
      <c r="A9877" s="9"/>
      <c r="B9877" s="15"/>
      <c r="C9877" s="9">
        <f>IFERROR(__xludf.DUMMYFUNCTION("""COMPUTED_VALUE"""),45040.4619439814)</f>
        <v>45040.46194</v>
      </c>
      <c r="D9877" s="15">
        <f>IFERROR(__xludf.DUMMYFUNCTION("""COMPUTED_VALUE"""),1.034)</f>
        <v>1.034</v>
      </c>
      <c r="E9877" s="16">
        <f>IFERROR(__xludf.DUMMYFUNCTION("""COMPUTED_VALUE"""),66.0)</f>
        <v>66</v>
      </c>
      <c r="F9877" s="19" t="str">
        <f>IFERROR(__xludf.DUMMYFUNCTION("""COMPUTED_VALUE"""),"BLACK")</f>
        <v>BLACK</v>
      </c>
      <c r="G9877" s="20" t="str">
        <f>IFERROR(__xludf.DUMMYFUNCTION("""COMPUTED_VALUE"""),"Uncle Sams Cider (04/04/2023)")</f>
        <v>Uncle Sams Cider (04/04/2023)</v>
      </c>
      <c r="H9877" s="19"/>
    </row>
    <row r="9878">
      <c r="A9878" s="9"/>
      <c r="B9878" s="15"/>
      <c r="C9878" s="9">
        <f>IFERROR(__xludf.DUMMYFUNCTION("""COMPUTED_VALUE"""),45040.4515240509)</f>
        <v>45040.45152</v>
      </c>
      <c r="D9878" s="15">
        <f>IFERROR(__xludf.DUMMYFUNCTION("""COMPUTED_VALUE"""),1.034)</f>
        <v>1.034</v>
      </c>
      <c r="E9878" s="16">
        <f>IFERROR(__xludf.DUMMYFUNCTION("""COMPUTED_VALUE"""),66.0)</f>
        <v>66</v>
      </c>
      <c r="F9878" s="19" t="str">
        <f>IFERROR(__xludf.DUMMYFUNCTION("""COMPUTED_VALUE"""),"BLACK")</f>
        <v>BLACK</v>
      </c>
      <c r="G9878" s="20" t="str">
        <f>IFERROR(__xludf.DUMMYFUNCTION("""COMPUTED_VALUE"""),"Uncle Sams Cider (04/04/2023)")</f>
        <v>Uncle Sams Cider (04/04/2023)</v>
      </c>
      <c r="H9878" s="19"/>
    </row>
    <row r="9879">
      <c r="A9879" s="9"/>
      <c r="B9879" s="15"/>
      <c r="C9879" s="9">
        <f>IFERROR(__xludf.DUMMYFUNCTION("""COMPUTED_VALUE"""),45040.4410919097)</f>
        <v>45040.44109</v>
      </c>
      <c r="D9879" s="15">
        <f>IFERROR(__xludf.DUMMYFUNCTION("""COMPUTED_VALUE"""),1.034)</f>
        <v>1.034</v>
      </c>
      <c r="E9879" s="16">
        <f>IFERROR(__xludf.DUMMYFUNCTION("""COMPUTED_VALUE"""),66.0)</f>
        <v>66</v>
      </c>
      <c r="F9879" s="19" t="str">
        <f>IFERROR(__xludf.DUMMYFUNCTION("""COMPUTED_VALUE"""),"BLACK")</f>
        <v>BLACK</v>
      </c>
      <c r="G9879" s="20" t="str">
        <f>IFERROR(__xludf.DUMMYFUNCTION("""COMPUTED_VALUE"""),"Uncle Sams Cider (04/04/2023)")</f>
        <v>Uncle Sams Cider (04/04/2023)</v>
      </c>
      <c r="H9879" s="19"/>
    </row>
    <row r="9880">
      <c r="A9880" s="9"/>
      <c r="B9880" s="15"/>
      <c r="C9880" s="9">
        <f>IFERROR(__xludf.DUMMYFUNCTION("""COMPUTED_VALUE"""),45040.4306714004)</f>
        <v>45040.43067</v>
      </c>
      <c r="D9880" s="15">
        <f>IFERROR(__xludf.DUMMYFUNCTION("""COMPUTED_VALUE"""),1.034)</f>
        <v>1.034</v>
      </c>
      <c r="E9880" s="16">
        <f>IFERROR(__xludf.DUMMYFUNCTION("""COMPUTED_VALUE"""),66.0)</f>
        <v>66</v>
      </c>
      <c r="F9880" s="19" t="str">
        <f>IFERROR(__xludf.DUMMYFUNCTION("""COMPUTED_VALUE"""),"BLACK")</f>
        <v>BLACK</v>
      </c>
      <c r="G9880" s="20" t="str">
        <f>IFERROR(__xludf.DUMMYFUNCTION("""COMPUTED_VALUE"""),"Uncle Sams Cider (04/04/2023)")</f>
        <v>Uncle Sams Cider (04/04/2023)</v>
      </c>
      <c r="H9880" s="19"/>
    </row>
    <row r="9881">
      <c r="A9881" s="9"/>
      <c r="B9881" s="15"/>
      <c r="C9881" s="9">
        <f>IFERROR(__xludf.DUMMYFUNCTION("""COMPUTED_VALUE"""),45040.4202399884)</f>
        <v>45040.42024</v>
      </c>
      <c r="D9881" s="15">
        <f>IFERROR(__xludf.DUMMYFUNCTION("""COMPUTED_VALUE"""),1.035)</f>
        <v>1.035</v>
      </c>
      <c r="E9881" s="16">
        <f>IFERROR(__xludf.DUMMYFUNCTION("""COMPUTED_VALUE"""),66.0)</f>
        <v>66</v>
      </c>
      <c r="F9881" s="19" t="str">
        <f>IFERROR(__xludf.DUMMYFUNCTION("""COMPUTED_VALUE"""),"BLACK")</f>
        <v>BLACK</v>
      </c>
      <c r="G9881" s="20" t="str">
        <f>IFERROR(__xludf.DUMMYFUNCTION("""COMPUTED_VALUE"""),"Uncle Sams Cider (04/04/2023)")</f>
        <v>Uncle Sams Cider (04/04/2023)</v>
      </c>
      <c r="H9881" s="19"/>
    </row>
    <row r="9882">
      <c r="A9882" s="9"/>
      <c r="B9882" s="15"/>
      <c r="C9882" s="9">
        <f>IFERROR(__xludf.DUMMYFUNCTION("""COMPUTED_VALUE"""),45040.4098168518)</f>
        <v>45040.40982</v>
      </c>
      <c r="D9882" s="15">
        <f>IFERROR(__xludf.DUMMYFUNCTION("""COMPUTED_VALUE"""),1.034)</f>
        <v>1.034</v>
      </c>
      <c r="E9882" s="16">
        <f>IFERROR(__xludf.DUMMYFUNCTION("""COMPUTED_VALUE"""),66.0)</f>
        <v>66</v>
      </c>
      <c r="F9882" s="19" t="str">
        <f>IFERROR(__xludf.DUMMYFUNCTION("""COMPUTED_VALUE"""),"BLACK")</f>
        <v>BLACK</v>
      </c>
      <c r="G9882" s="20" t="str">
        <f>IFERROR(__xludf.DUMMYFUNCTION("""COMPUTED_VALUE"""),"Uncle Sams Cider (04/04/2023)")</f>
        <v>Uncle Sams Cider (04/04/2023)</v>
      </c>
      <c r="H9882" s="19"/>
    </row>
    <row r="9883">
      <c r="A9883" s="9"/>
      <c r="B9883" s="15"/>
      <c r="C9883" s="9">
        <f>IFERROR(__xludf.DUMMYFUNCTION("""COMPUTED_VALUE"""),45040.3993970138)</f>
        <v>45040.3994</v>
      </c>
      <c r="D9883" s="15">
        <f>IFERROR(__xludf.DUMMYFUNCTION("""COMPUTED_VALUE"""),1.034)</f>
        <v>1.034</v>
      </c>
      <c r="E9883" s="16">
        <f>IFERROR(__xludf.DUMMYFUNCTION("""COMPUTED_VALUE"""),66.0)</f>
        <v>66</v>
      </c>
      <c r="F9883" s="19" t="str">
        <f>IFERROR(__xludf.DUMMYFUNCTION("""COMPUTED_VALUE"""),"BLACK")</f>
        <v>BLACK</v>
      </c>
      <c r="G9883" s="20" t="str">
        <f>IFERROR(__xludf.DUMMYFUNCTION("""COMPUTED_VALUE"""),"Uncle Sams Cider (04/04/2023)")</f>
        <v>Uncle Sams Cider (04/04/2023)</v>
      </c>
      <c r="H9883" s="19"/>
    </row>
    <row r="9884">
      <c r="A9884" s="9"/>
      <c r="B9884" s="15"/>
      <c r="C9884" s="9">
        <f>IFERROR(__xludf.DUMMYFUNCTION("""COMPUTED_VALUE"""),45040.3889750925)</f>
        <v>45040.38898</v>
      </c>
      <c r="D9884" s="15">
        <f>IFERROR(__xludf.DUMMYFUNCTION("""COMPUTED_VALUE"""),1.035)</f>
        <v>1.035</v>
      </c>
      <c r="E9884" s="16">
        <f>IFERROR(__xludf.DUMMYFUNCTION("""COMPUTED_VALUE"""),66.0)</f>
        <v>66</v>
      </c>
      <c r="F9884" s="19" t="str">
        <f>IFERROR(__xludf.DUMMYFUNCTION("""COMPUTED_VALUE"""),"BLACK")</f>
        <v>BLACK</v>
      </c>
      <c r="G9884" s="20" t="str">
        <f>IFERROR(__xludf.DUMMYFUNCTION("""COMPUTED_VALUE"""),"Uncle Sams Cider (04/04/2023)")</f>
        <v>Uncle Sams Cider (04/04/2023)</v>
      </c>
      <c r="H9884" s="19"/>
    </row>
    <row r="9885">
      <c r="A9885" s="9"/>
      <c r="B9885" s="15"/>
      <c r="C9885" s="9">
        <f>IFERROR(__xludf.DUMMYFUNCTION("""COMPUTED_VALUE"""),45040.378542199)</f>
        <v>45040.37854</v>
      </c>
      <c r="D9885" s="15">
        <f>IFERROR(__xludf.DUMMYFUNCTION("""COMPUTED_VALUE"""),1.034)</f>
        <v>1.034</v>
      </c>
      <c r="E9885" s="16">
        <f>IFERROR(__xludf.DUMMYFUNCTION("""COMPUTED_VALUE"""),66.0)</f>
        <v>66</v>
      </c>
      <c r="F9885" s="19" t="str">
        <f>IFERROR(__xludf.DUMMYFUNCTION("""COMPUTED_VALUE"""),"BLACK")</f>
        <v>BLACK</v>
      </c>
      <c r="G9885" s="20" t="str">
        <f>IFERROR(__xludf.DUMMYFUNCTION("""COMPUTED_VALUE"""),"Uncle Sams Cider (04/04/2023)")</f>
        <v>Uncle Sams Cider (04/04/2023)</v>
      </c>
      <c r="H9885" s="19"/>
    </row>
    <row r="9886">
      <c r="A9886" s="9"/>
      <c r="B9886" s="15"/>
      <c r="C9886" s="9">
        <f>IFERROR(__xludf.DUMMYFUNCTION("""COMPUTED_VALUE"""),45040.3681223148)</f>
        <v>45040.36812</v>
      </c>
      <c r="D9886" s="15">
        <f>IFERROR(__xludf.DUMMYFUNCTION("""COMPUTED_VALUE"""),1.035)</f>
        <v>1.035</v>
      </c>
      <c r="E9886" s="16">
        <f>IFERROR(__xludf.DUMMYFUNCTION("""COMPUTED_VALUE"""),66.0)</f>
        <v>66</v>
      </c>
      <c r="F9886" s="19" t="str">
        <f>IFERROR(__xludf.DUMMYFUNCTION("""COMPUTED_VALUE"""),"BLACK")</f>
        <v>BLACK</v>
      </c>
      <c r="G9886" s="20" t="str">
        <f>IFERROR(__xludf.DUMMYFUNCTION("""COMPUTED_VALUE"""),"Uncle Sams Cider (04/04/2023)")</f>
        <v>Uncle Sams Cider (04/04/2023)</v>
      </c>
      <c r="H9886" s="19"/>
    </row>
    <row r="9887">
      <c r="A9887" s="9"/>
      <c r="B9887" s="15"/>
      <c r="C9887" s="9">
        <f>IFERROR(__xludf.DUMMYFUNCTION("""COMPUTED_VALUE"""),45040.3577015509)</f>
        <v>45040.3577</v>
      </c>
      <c r="D9887" s="15">
        <f>IFERROR(__xludf.DUMMYFUNCTION("""COMPUTED_VALUE"""),1.035)</f>
        <v>1.035</v>
      </c>
      <c r="E9887" s="16">
        <f>IFERROR(__xludf.DUMMYFUNCTION("""COMPUTED_VALUE"""),66.0)</f>
        <v>66</v>
      </c>
      <c r="F9887" s="19" t="str">
        <f>IFERROR(__xludf.DUMMYFUNCTION("""COMPUTED_VALUE"""),"BLACK")</f>
        <v>BLACK</v>
      </c>
      <c r="G9887" s="20" t="str">
        <f>IFERROR(__xludf.DUMMYFUNCTION("""COMPUTED_VALUE"""),"Uncle Sams Cider (04/04/2023)")</f>
        <v>Uncle Sams Cider (04/04/2023)</v>
      </c>
      <c r="H9887" s="19"/>
    </row>
    <row r="9888">
      <c r="A9888" s="9"/>
      <c r="B9888" s="15"/>
      <c r="C9888" s="9">
        <f>IFERROR(__xludf.DUMMYFUNCTION("""COMPUTED_VALUE"""),45040.3472784838)</f>
        <v>45040.34728</v>
      </c>
      <c r="D9888" s="15">
        <f>IFERROR(__xludf.DUMMYFUNCTION("""COMPUTED_VALUE"""),1.035)</f>
        <v>1.035</v>
      </c>
      <c r="E9888" s="16">
        <f>IFERROR(__xludf.DUMMYFUNCTION("""COMPUTED_VALUE"""),66.0)</f>
        <v>66</v>
      </c>
      <c r="F9888" s="19" t="str">
        <f>IFERROR(__xludf.DUMMYFUNCTION("""COMPUTED_VALUE"""),"BLACK")</f>
        <v>BLACK</v>
      </c>
      <c r="G9888" s="20" t="str">
        <f>IFERROR(__xludf.DUMMYFUNCTION("""COMPUTED_VALUE"""),"Uncle Sams Cider (04/04/2023)")</f>
        <v>Uncle Sams Cider (04/04/2023)</v>
      </c>
      <c r="H9888" s="19"/>
    </row>
    <row r="9889">
      <c r="A9889" s="9"/>
      <c r="B9889" s="15"/>
      <c r="C9889" s="9">
        <f>IFERROR(__xludf.DUMMYFUNCTION("""COMPUTED_VALUE"""),45040.336857905)</f>
        <v>45040.33686</v>
      </c>
      <c r="D9889" s="15">
        <f>IFERROR(__xludf.DUMMYFUNCTION("""COMPUTED_VALUE"""),1.035)</f>
        <v>1.035</v>
      </c>
      <c r="E9889" s="16">
        <f>IFERROR(__xludf.DUMMYFUNCTION("""COMPUTED_VALUE"""),66.0)</f>
        <v>66</v>
      </c>
      <c r="F9889" s="19" t="str">
        <f>IFERROR(__xludf.DUMMYFUNCTION("""COMPUTED_VALUE"""),"BLACK")</f>
        <v>BLACK</v>
      </c>
      <c r="G9889" s="20" t="str">
        <f>IFERROR(__xludf.DUMMYFUNCTION("""COMPUTED_VALUE"""),"Uncle Sams Cider (04/04/2023)")</f>
        <v>Uncle Sams Cider (04/04/2023)</v>
      </c>
      <c r="H9889" s="19"/>
    </row>
    <row r="9890">
      <c r="A9890" s="9"/>
      <c r="B9890" s="15"/>
      <c r="C9890" s="9">
        <f>IFERROR(__xludf.DUMMYFUNCTION("""COMPUTED_VALUE"""),45040.3264397338)</f>
        <v>45040.32644</v>
      </c>
      <c r="D9890" s="15">
        <f>IFERROR(__xludf.DUMMYFUNCTION("""COMPUTED_VALUE"""),1.035)</f>
        <v>1.035</v>
      </c>
      <c r="E9890" s="16">
        <f>IFERROR(__xludf.DUMMYFUNCTION("""COMPUTED_VALUE"""),66.0)</f>
        <v>66</v>
      </c>
      <c r="F9890" s="19" t="str">
        <f>IFERROR(__xludf.DUMMYFUNCTION("""COMPUTED_VALUE"""),"BLACK")</f>
        <v>BLACK</v>
      </c>
      <c r="G9890" s="20" t="str">
        <f>IFERROR(__xludf.DUMMYFUNCTION("""COMPUTED_VALUE"""),"Uncle Sams Cider (04/04/2023)")</f>
        <v>Uncle Sams Cider (04/04/2023)</v>
      </c>
      <c r="H9890" s="19"/>
    </row>
    <row r="9891">
      <c r="A9891" s="9"/>
      <c r="B9891" s="15"/>
      <c r="C9891" s="9">
        <f>IFERROR(__xludf.DUMMYFUNCTION("""COMPUTED_VALUE"""),45040.3160059375)</f>
        <v>45040.31601</v>
      </c>
      <c r="D9891" s="15">
        <f>IFERROR(__xludf.DUMMYFUNCTION("""COMPUTED_VALUE"""),1.035)</f>
        <v>1.035</v>
      </c>
      <c r="E9891" s="16">
        <f>IFERROR(__xludf.DUMMYFUNCTION("""COMPUTED_VALUE"""),66.0)</f>
        <v>66</v>
      </c>
      <c r="F9891" s="19" t="str">
        <f>IFERROR(__xludf.DUMMYFUNCTION("""COMPUTED_VALUE"""),"BLACK")</f>
        <v>BLACK</v>
      </c>
      <c r="G9891" s="20" t="str">
        <f>IFERROR(__xludf.DUMMYFUNCTION("""COMPUTED_VALUE"""),"Uncle Sams Cider (04/04/2023)")</f>
        <v>Uncle Sams Cider (04/04/2023)</v>
      </c>
      <c r="H9891" s="19"/>
    </row>
    <row r="9892">
      <c r="A9892" s="9"/>
      <c r="B9892" s="15"/>
      <c r="C9892" s="9">
        <f>IFERROR(__xludf.DUMMYFUNCTION("""COMPUTED_VALUE"""),45040.3055840162)</f>
        <v>45040.30558</v>
      </c>
      <c r="D9892" s="15">
        <f>IFERROR(__xludf.DUMMYFUNCTION("""COMPUTED_VALUE"""),1.035)</f>
        <v>1.035</v>
      </c>
      <c r="E9892" s="16">
        <f>IFERROR(__xludf.DUMMYFUNCTION("""COMPUTED_VALUE"""),66.0)</f>
        <v>66</v>
      </c>
      <c r="F9892" s="19" t="str">
        <f>IFERROR(__xludf.DUMMYFUNCTION("""COMPUTED_VALUE"""),"BLACK")</f>
        <v>BLACK</v>
      </c>
      <c r="G9892" s="20" t="str">
        <f>IFERROR(__xludf.DUMMYFUNCTION("""COMPUTED_VALUE"""),"Uncle Sams Cider (04/04/2023)")</f>
        <v>Uncle Sams Cider (04/04/2023)</v>
      </c>
      <c r="H9892" s="19"/>
    </row>
    <row r="9893">
      <c r="A9893" s="9"/>
      <c r="B9893" s="15"/>
      <c r="C9893" s="9">
        <f>IFERROR(__xludf.DUMMYFUNCTION("""COMPUTED_VALUE"""),45040.2951627314)</f>
        <v>45040.29516</v>
      </c>
      <c r="D9893" s="15">
        <f>IFERROR(__xludf.DUMMYFUNCTION("""COMPUTED_VALUE"""),1.035)</f>
        <v>1.035</v>
      </c>
      <c r="E9893" s="16">
        <f>IFERROR(__xludf.DUMMYFUNCTION("""COMPUTED_VALUE"""),66.0)</f>
        <v>66</v>
      </c>
      <c r="F9893" s="19" t="str">
        <f>IFERROR(__xludf.DUMMYFUNCTION("""COMPUTED_VALUE"""),"BLACK")</f>
        <v>BLACK</v>
      </c>
      <c r="G9893" s="20" t="str">
        <f>IFERROR(__xludf.DUMMYFUNCTION("""COMPUTED_VALUE"""),"Uncle Sams Cider (04/04/2023)")</f>
        <v>Uncle Sams Cider (04/04/2023)</v>
      </c>
      <c r="H9893" s="19"/>
    </row>
    <row r="9894">
      <c r="A9894" s="9"/>
      <c r="B9894" s="15"/>
      <c r="C9894" s="9">
        <f>IFERROR(__xludf.DUMMYFUNCTION("""COMPUTED_VALUE"""),45040.2847412962)</f>
        <v>45040.28474</v>
      </c>
      <c r="D9894" s="15">
        <f>IFERROR(__xludf.DUMMYFUNCTION("""COMPUTED_VALUE"""),1.035)</f>
        <v>1.035</v>
      </c>
      <c r="E9894" s="16">
        <f>IFERROR(__xludf.DUMMYFUNCTION("""COMPUTED_VALUE"""),66.0)</f>
        <v>66</v>
      </c>
      <c r="F9894" s="19" t="str">
        <f>IFERROR(__xludf.DUMMYFUNCTION("""COMPUTED_VALUE"""),"BLACK")</f>
        <v>BLACK</v>
      </c>
      <c r="G9894" s="20" t="str">
        <f>IFERROR(__xludf.DUMMYFUNCTION("""COMPUTED_VALUE"""),"Uncle Sams Cider (04/04/2023)")</f>
        <v>Uncle Sams Cider (04/04/2023)</v>
      </c>
      <c r="H9894" s="19"/>
    </row>
    <row r="9895">
      <c r="A9895" s="9"/>
      <c r="B9895" s="15"/>
      <c r="C9895" s="9">
        <f>IFERROR(__xludf.DUMMYFUNCTION("""COMPUTED_VALUE"""),45040.2742965625)</f>
        <v>45040.2743</v>
      </c>
      <c r="D9895" s="15">
        <f>IFERROR(__xludf.DUMMYFUNCTION("""COMPUTED_VALUE"""),1.035)</f>
        <v>1.035</v>
      </c>
      <c r="E9895" s="16">
        <f>IFERROR(__xludf.DUMMYFUNCTION("""COMPUTED_VALUE"""),66.0)</f>
        <v>66</v>
      </c>
      <c r="F9895" s="19" t="str">
        <f>IFERROR(__xludf.DUMMYFUNCTION("""COMPUTED_VALUE"""),"BLACK")</f>
        <v>BLACK</v>
      </c>
      <c r="G9895" s="20" t="str">
        <f>IFERROR(__xludf.DUMMYFUNCTION("""COMPUTED_VALUE"""),"Uncle Sams Cider (04/04/2023)")</f>
        <v>Uncle Sams Cider (04/04/2023)</v>
      </c>
      <c r="H9895" s="19"/>
    </row>
    <row r="9896">
      <c r="A9896" s="9"/>
      <c r="B9896" s="15"/>
      <c r="C9896" s="9">
        <f>IFERROR(__xludf.DUMMYFUNCTION("""COMPUTED_VALUE"""),45040.2638751851)</f>
        <v>45040.26388</v>
      </c>
      <c r="D9896" s="15">
        <f>IFERROR(__xludf.DUMMYFUNCTION("""COMPUTED_VALUE"""),1.035)</f>
        <v>1.035</v>
      </c>
      <c r="E9896" s="16">
        <f>IFERROR(__xludf.DUMMYFUNCTION("""COMPUTED_VALUE"""),66.0)</f>
        <v>66</v>
      </c>
      <c r="F9896" s="19" t="str">
        <f>IFERROR(__xludf.DUMMYFUNCTION("""COMPUTED_VALUE"""),"BLACK")</f>
        <v>BLACK</v>
      </c>
      <c r="G9896" s="20" t="str">
        <f>IFERROR(__xludf.DUMMYFUNCTION("""COMPUTED_VALUE"""),"Uncle Sams Cider (04/04/2023)")</f>
        <v>Uncle Sams Cider (04/04/2023)</v>
      </c>
      <c r="H9896" s="19"/>
    </row>
    <row r="9897">
      <c r="A9897" s="9"/>
      <c r="B9897" s="15"/>
      <c r="C9897" s="9">
        <f>IFERROR(__xludf.DUMMYFUNCTION("""COMPUTED_VALUE"""),45040.2533952083)</f>
        <v>45040.2534</v>
      </c>
      <c r="D9897" s="15">
        <f>IFERROR(__xludf.DUMMYFUNCTION("""COMPUTED_VALUE"""),1.035)</f>
        <v>1.035</v>
      </c>
      <c r="E9897" s="16">
        <f>IFERROR(__xludf.DUMMYFUNCTION("""COMPUTED_VALUE"""),67.0)</f>
        <v>67</v>
      </c>
      <c r="F9897" s="19" t="str">
        <f>IFERROR(__xludf.DUMMYFUNCTION("""COMPUTED_VALUE"""),"BLACK")</f>
        <v>BLACK</v>
      </c>
      <c r="G9897" s="20" t="str">
        <f>IFERROR(__xludf.DUMMYFUNCTION("""COMPUTED_VALUE"""),"Uncle Sams Cider (04/04/2023)")</f>
        <v>Uncle Sams Cider (04/04/2023)</v>
      </c>
      <c r="H9897" s="19"/>
    </row>
    <row r="9898">
      <c r="A9898" s="9"/>
      <c r="B9898" s="15"/>
      <c r="C9898" s="9">
        <f>IFERROR(__xludf.DUMMYFUNCTION("""COMPUTED_VALUE"""),45040.2429754166)</f>
        <v>45040.24298</v>
      </c>
      <c r="D9898" s="15">
        <f>IFERROR(__xludf.DUMMYFUNCTION("""COMPUTED_VALUE"""),1.035)</f>
        <v>1.035</v>
      </c>
      <c r="E9898" s="16">
        <f>IFERROR(__xludf.DUMMYFUNCTION("""COMPUTED_VALUE"""),67.0)</f>
        <v>67</v>
      </c>
      <c r="F9898" s="19" t="str">
        <f>IFERROR(__xludf.DUMMYFUNCTION("""COMPUTED_VALUE"""),"BLACK")</f>
        <v>BLACK</v>
      </c>
      <c r="G9898" s="20" t="str">
        <f>IFERROR(__xludf.DUMMYFUNCTION("""COMPUTED_VALUE"""),"Uncle Sams Cider (04/04/2023)")</f>
        <v>Uncle Sams Cider (04/04/2023)</v>
      </c>
      <c r="H9898" s="19"/>
    </row>
    <row r="9899">
      <c r="A9899" s="9"/>
      <c r="B9899" s="15"/>
      <c r="C9899" s="9">
        <f>IFERROR(__xludf.DUMMYFUNCTION("""COMPUTED_VALUE"""),45040.2325542013)</f>
        <v>45040.23255</v>
      </c>
      <c r="D9899" s="15">
        <f>IFERROR(__xludf.DUMMYFUNCTION("""COMPUTED_VALUE"""),1.035)</f>
        <v>1.035</v>
      </c>
      <c r="E9899" s="16">
        <f>IFERROR(__xludf.DUMMYFUNCTION("""COMPUTED_VALUE"""),67.0)</f>
        <v>67</v>
      </c>
      <c r="F9899" s="19" t="str">
        <f>IFERROR(__xludf.DUMMYFUNCTION("""COMPUTED_VALUE"""),"BLACK")</f>
        <v>BLACK</v>
      </c>
      <c r="G9899" s="20" t="str">
        <f>IFERROR(__xludf.DUMMYFUNCTION("""COMPUTED_VALUE"""),"Uncle Sams Cider (04/04/2023)")</f>
        <v>Uncle Sams Cider (04/04/2023)</v>
      </c>
      <c r="H9899" s="19"/>
    </row>
    <row r="9900">
      <c r="A9900" s="9"/>
      <c r="B9900" s="15"/>
      <c r="C9900" s="9">
        <f>IFERROR(__xludf.DUMMYFUNCTION("""COMPUTED_VALUE"""),45040.2221220949)</f>
        <v>45040.22212</v>
      </c>
      <c r="D9900" s="15">
        <f>IFERROR(__xludf.DUMMYFUNCTION("""COMPUTED_VALUE"""),1.035)</f>
        <v>1.035</v>
      </c>
      <c r="E9900" s="16">
        <f>IFERROR(__xludf.DUMMYFUNCTION("""COMPUTED_VALUE"""),67.0)</f>
        <v>67</v>
      </c>
      <c r="F9900" s="19" t="str">
        <f>IFERROR(__xludf.DUMMYFUNCTION("""COMPUTED_VALUE"""),"BLACK")</f>
        <v>BLACK</v>
      </c>
      <c r="G9900" s="20" t="str">
        <f>IFERROR(__xludf.DUMMYFUNCTION("""COMPUTED_VALUE"""),"Uncle Sams Cider (04/04/2023)")</f>
        <v>Uncle Sams Cider (04/04/2023)</v>
      </c>
      <c r="H9900" s="19"/>
    </row>
    <row r="9901">
      <c r="A9901" s="9"/>
      <c r="B9901" s="15"/>
      <c r="C9901" s="9">
        <f>IFERROR(__xludf.DUMMYFUNCTION("""COMPUTED_VALUE"""),45040.2117025463)</f>
        <v>45040.2117</v>
      </c>
      <c r="D9901" s="15">
        <f>IFERROR(__xludf.DUMMYFUNCTION("""COMPUTED_VALUE"""),1.035)</f>
        <v>1.035</v>
      </c>
      <c r="E9901" s="16">
        <f>IFERROR(__xludf.DUMMYFUNCTION("""COMPUTED_VALUE"""),67.0)</f>
        <v>67</v>
      </c>
      <c r="F9901" s="19" t="str">
        <f>IFERROR(__xludf.DUMMYFUNCTION("""COMPUTED_VALUE"""),"BLACK")</f>
        <v>BLACK</v>
      </c>
      <c r="G9901" s="20" t="str">
        <f>IFERROR(__xludf.DUMMYFUNCTION("""COMPUTED_VALUE"""),"Uncle Sams Cider (04/04/2023)")</f>
        <v>Uncle Sams Cider (04/04/2023)</v>
      </c>
      <c r="H9901" s="19"/>
    </row>
    <row r="9902">
      <c r="A9902" s="9"/>
      <c r="B9902" s="15"/>
      <c r="C9902" s="9">
        <f>IFERROR(__xludf.DUMMYFUNCTION("""COMPUTED_VALUE"""),45040.201281574)</f>
        <v>45040.20128</v>
      </c>
      <c r="D9902" s="15">
        <f>IFERROR(__xludf.DUMMYFUNCTION("""COMPUTED_VALUE"""),1.035)</f>
        <v>1.035</v>
      </c>
      <c r="E9902" s="16">
        <f>IFERROR(__xludf.DUMMYFUNCTION("""COMPUTED_VALUE"""),67.0)</f>
        <v>67</v>
      </c>
      <c r="F9902" s="19" t="str">
        <f>IFERROR(__xludf.DUMMYFUNCTION("""COMPUTED_VALUE"""),"BLACK")</f>
        <v>BLACK</v>
      </c>
      <c r="G9902" s="20" t="str">
        <f>IFERROR(__xludf.DUMMYFUNCTION("""COMPUTED_VALUE"""),"Uncle Sams Cider (04/04/2023)")</f>
        <v>Uncle Sams Cider (04/04/2023)</v>
      </c>
      <c r="H9902" s="19"/>
    </row>
    <row r="9903">
      <c r="A9903" s="9"/>
      <c r="B9903" s="15"/>
      <c r="C9903" s="9">
        <f>IFERROR(__xludf.DUMMYFUNCTION("""COMPUTED_VALUE"""),45040.1908611689)</f>
        <v>45040.19086</v>
      </c>
      <c r="D9903" s="15">
        <f>IFERROR(__xludf.DUMMYFUNCTION("""COMPUTED_VALUE"""),1.035)</f>
        <v>1.035</v>
      </c>
      <c r="E9903" s="16">
        <f>IFERROR(__xludf.DUMMYFUNCTION("""COMPUTED_VALUE"""),67.0)</f>
        <v>67</v>
      </c>
      <c r="F9903" s="19" t="str">
        <f>IFERROR(__xludf.DUMMYFUNCTION("""COMPUTED_VALUE"""),"BLACK")</f>
        <v>BLACK</v>
      </c>
      <c r="G9903" s="20" t="str">
        <f>IFERROR(__xludf.DUMMYFUNCTION("""COMPUTED_VALUE"""),"Uncle Sams Cider (04/04/2023)")</f>
        <v>Uncle Sams Cider (04/04/2023)</v>
      </c>
      <c r="H9903" s="19"/>
    </row>
    <row r="9904">
      <c r="A9904" s="9"/>
      <c r="B9904" s="15"/>
      <c r="C9904" s="9">
        <f>IFERROR(__xludf.DUMMYFUNCTION("""COMPUTED_VALUE"""),45040.1804291898)</f>
        <v>45040.18043</v>
      </c>
      <c r="D9904" s="15">
        <f>IFERROR(__xludf.DUMMYFUNCTION("""COMPUTED_VALUE"""),1.035)</f>
        <v>1.035</v>
      </c>
      <c r="E9904" s="16">
        <f>IFERROR(__xludf.DUMMYFUNCTION("""COMPUTED_VALUE"""),66.0)</f>
        <v>66</v>
      </c>
      <c r="F9904" s="19" t="str">
        <f>IFERROR(__xludf.DUMMYFUNCTION("""COMPUTED_VALUE"""),"BLACK")</f>
        <v>BLACK</v>
      </c>
      <c r="G9904" s="20" t="str">
        <f>IFERROR(__xludf.DUMMYFUNCTION("""COMPUTED_VALUE"""),"Uncle Sams Cider (04/04/2023)")</f>
        <v>Uncle Sams Cider (04/04/2023)</v>
      </c>
      <c r="H9904" s="19"/>
    </row>
    <row r="9905">
      <c r="A9905" s="9"/>
      <c r="B9905" s="15"/>
      <c r="C9905" s="9">
        <f>IFERROR(__xludf.DUMMYFUNCTION("""COMPUTED_VALUE"""),45040.1699967708)</f>
        <v>45040.17</v>
      </c>
      <c r="D9905" s="15">
        <f>IFERROR(__xludf.DUMMYFUNCTION("""COMPUTED_VALUE"""),1.035)</f>
        <v>1.035</v>
      </c>
      <c r="E9905" s="16">
        <f>IFERROR(__xludf.DUMMYFUNCTION("""COMPUTED_VALUE"""),67.0)</f>
        <v>67</v>
      </c>
      <c r="F9905" s="19" t="str">
        <f>IFERROR(__xludf.DUMMYFUNCTION("""COMPUTED_VALUE"""),"BLACK")</f>
        <v>BLACK</v>
      </c>
      <c r="G9905" s="20" t="str">
        <f>IFERROR(__xludf.DUMMYFUNCTION("""COMPUTED_VALUE"""),"Uncle Sams Cider (04/04/2023)")</f>
        <v>Uncle Sams Cider (04/04/2023)</v>
      </c>
      <c r="H9905" s="19"/>
    </row>
    <row r="9906">
      <c r="A9906" s="9"/>
      <c r="B9906" s="15"/>
      <c r="C9906" s="9">
        <f>IFERROR(__xludf.DUMMYFUNCTION("""COMPUTED_VALUE"""),45040.15957625)</f>
        <v>45040.15958</v>
      </c>
      <c r="D9906" s="15">
        <f>IFERROR(__xludf.DUMMYFUNCTION("""COMPUTED_VALUE"""),1.035)</f>
        <v>1.035</v>
      </c>
      <c r="E9906" s="16">
        <f>IFERROR(__xludf.DUMMYFUNCTION("""COMPUTED_VALUE"""),67.0)</f>
        <v>67</v>
      </c>
      <c r="F9906" s="19" t="str">
        <f>IFERROR(__xludf.DUMMYFUNCTION("""COMPUTED_VALUE"""),"BLACK")</f>
        <v>BLACK</v>
      </c>
      <c r="G9906" s="20" t="str">
        <f>IFERROR(__xludf.DUMMYFUNCTION("""COMPUTED_VALUE"""),"Uncle Sams Cider (04/04/2023)")</f>
        <v>Uncle Sams Cider (04/04/2023)</v>
      </c>
      <c r="H9906" s="19"/>
    </row>
    <row r="9907">
      <c r="A9907" s="9"/>
      <c r="B9907" s="15"/>
      <c r="C9907" s="9">
        <f>IFERROR(__xludf.DUMMYFUNCTION("""COMPUTED_VALUE"""),45040.1491543287)</f>
        <v>45040.14915</v>
      </c>
      <c r="D9907" s="15">
        <f>IFERROR(__xludf.DUMMYFUNCTION("""COMPUTED_VALUE"""),1.035)</f>
        <v>1.035</v>
      </c>
      <c r="E9907" s="16">
        <f>IFERROR(__xludf.DUMMYFUNCTION("""COMPUTED_VALUE"""),67.0)</f>
        <v>67</v>
      </c>
      <c r="F9907" s="19" t="str">
        <f>IFERROR(__xludf.DUMMYFUNCTION("""COMPUTED_VALUE"""),"BLACK")</f>
        <v>BLACK</v>
      </c>
      <c r="G9907" s="20" t="str">
        <f>IFERROR(__xludf.DUMMYFUNCTION("""COMPUTED_VALUE"""),"Uncle Sams Cider (04/04/2023)")</f>
        <v>Uncle Sams Cider (04/04/2023)</v>
      </c>
      <c r="H9907" s="19"/>
    </row>
    <row r="9908">
      <c r="A9908" s="9"/>
      <c r="B9908" s="15"/>
      <c r="C9908" s="9">
        <f>IFERROR(__xludf.DUMMYFUNCTION("""COMPUTED_VALUE"""),45040.1387341088)</f>
        <v>45040.13873</v>
      </c>
      <c r="D9908" s="15">
        <f>IFERROR(__xludf.DUMMYFUNCTION("""COMPUTED_VALUE"""),1.035)</f>
        <v>1.035</v>
      </c>
      <c r="E9908" s="16">
        <f>IFERROR(__xludf.DUMMYFUNCTION("""COMPUTED_VALUE"""),67.0)</f>
        <v>67</v>
      </c>
      <c r="F9908" s="19" t="str">
        <f>IFERROR(__xludf.DUMMYFUNCTION("""COMPUTED_VALUE"""),"BLACK")</f>
        <v>BLACK</v>
      </c>
      <c r="G9908" s="20" t="str">
        <f>IFERROR(__xludf.DUMMYFUNCTION("""COMPUTED_VALUE"""),"Uncle Sams Cider (04/04/2023)")</f>
        <v>Uncle Sams Cider (04/04/2023)</v>
      </c>
      <c r="H9908" s="19"/>
    </row>
    <row r="9909">
      <c r="A9909" s="9"/>
      <c r="B9909" s="15"/>
      <c r="C9909" s="9">
        <f>IFERROR(__xludf.DUMMYFUNCTION("""COMPUTED_VALUE"""),45040.12831478)</f>
        <v>45040.12831</v>
      </c>
      <c r="D9909" s="15">
        <f>IFERROR(__xludf.DUMMYFUNCTION("""COMPUTED_VALUE"""),1.035)</f>
        <v>1.035</v>
      </c>
      <c r="E9909" s="16">
        <f>IFERROR(__xludf.DUMMYFUNCTION("""COMPUTED_VALUE"""),67.0)</f>
        <v>67</v>
      </c>
      <c r="F9909" s="19" t="str">
        <f>IFERROR(__xludf.DUMMYFUNCTION("""COMPUTED_VALUE"""),"BLACK")</f>
        <v>BLACK</v>
      </c>
      <c r="G9909" s="20" t="str">
        <f>IFERROR(__xludf.DUMMYFUNCTION("""COMPUTED_VALUE"""),"Uncle Sams Cider (04/04/2023)")</f>
        <v>Uncle Sams Cider (04/04/2023)</v>
      </c>
      <c r="H9909" s="19"/>
    </row>
    <row r="9910">
      <c r="A9910" s="9"/>
      <c r="B9910" s="15"/>
      <c r="C9910" s="9">
        <f>IFERROR(__xludf.DUMMYFUNCTION("""COMPUTED_VALUE"""),45040.1178810069)</f>
        <v>45040.11788</v>
      </c>
      <c r="D9910" s="15">
        <f>IFERROR(__xludf.DUMMYFUNCTION("""COMPUTED_VALUE"""),1.035)</f>
        <v>1.035</v>
      </c>
      <c r="E9910" s="16">
        <f>IFERROR(__xludf.DUMMYFUNCTION("""COMPUTED_VALUE"""),67.0)</f>
        <v>67</v>
      </c>
      <c r="F9910" s="19" t="str">
        <f>IFERROR(__xludf.DUMMYFUNCTION("""COMPUTED_VALUE"""),"BLACK")</f>
        <v>BLACK</v>
      </c>
      <c r="G9910" s="20" t="str">
        <f>IFERROR(__xludf.DUMMYFUNCTION("""COMPUTED_VALUE"""),"Uncle Sams Cider (04/04/2023)")</f>
        <v>Uncle Sams Cider (04/04/2023)</v>
      </c>
      <c r="H9910" s="19"/>
    </row>
    <row r="9911">
      <c r="A9911" s="9"/>
      <c r="B9911" s="15"/>
      <c r="C9911" s="9">
        <f>IFERROR(__xludf.DUMMYFUNCTION("""COMPUTED_VALUE"""),45040.1074609027)</f>
        <v>45040.10746</v>
      </c>
      <c r="D9911" s="15">
        <f>IFERROR(__xludf.DUMMYFUNCTION("""COMPUTED_VALUE"""),1.035)</f>
        <v>1.035</v>
      </c>
      <c r="E9911" s="16">
        <f>IFERROR(__xludf.DUMMYFUNCTION("""COMPUTED_VALUE"""),67.0)</f>
        <v>67</v>
      </c>
      <c r="F9911" s="19" t="str">
        <f>IFERROR(__xludf.DUMMYFUNCTION("""COMPUTED_VALUE"""),"BLACK")</f>
        <v>BLACK</v>
      </c>
      <c r="G9911" s="20" t="str">
        <f>IFERROR(__xludf.DUMMYFUNCTION("""COMPUTED_VALUE"""),"Uncle Sams Cider (04/04/2023)")</f>
        <v>Uncle Sams Cider (04/04/2023)</v>
      </c>
      <c r="H9911" s="19"/>
    </row>
    <row r="9912">
      <c r="A9912" s="9"/>
      <c r="B9912" s="15"/>
      <c r="C9912" s="9">
        <f>IFERROR(__xludf.DUMMYFUNCTION("""COMPUTED_VALUE"""),45040.0970399189)</f>
        <v>45040.09704</v>
      </c>
      <c r="D9912" s="15">
        <f>IFERROR(__xludf.DUMMYFUNCTION("""COMPUTED_VALUE"""),1.035)</f>
        <v>1.035</v>
      </c>
      <c r="E9912" s="16">
        <f>IFERROR(__xludf.DUMMYFUNCTION("""COMPUTED_VALUE"""),67.0)</f>
        <v>67</v>
      </c>
      <c r="F9912" s="19" t="str">
        <f>IFERROR(__xludf.DUMMYFUNCTION("""COMPUTED_VALUE"""),"BLACK")</f>
        <v>BLACK</v>
      </c>
      <c r="G9912" s="20" t="str">
        <f>IFERROR(__xludf.DUMMYFUNCTION("""COMPUTED_VALUE"""),"Uncle Sams Cider (04/04/2023)")</f>
        <v>Uncle Sams Cider (04/04/2023)</v>
      </c>
      <c r="H9912" s="19"/>
    </row>
    <row r="9913">
      <c r="A9913" s="9"/>
      <c r="B9913" s="15"/>
      <c r="C9913" s="9">
        <f>IFERROR(__xludf.DUMMYFUNCTION("""COMPUTED_VALUE"""),45040.0866190393)</f>
        <v>45040.08662</v>
      </c>
      <c r="D9913" s="15">
        <f>IFERROR(__xludf.DUMMYFUNCTION("""COMPUTED_VALUE"""),1.035)</f>
        <v>1.035</v>
      </c>
      <c r="E9913" s="16">
        <f>IFERROR(__xludf.DUMMYFUNCTION("""COMPUTED_VALUE"""),67.0)</f>
        <v>67</v>
      </c>
      <c r="F9913" s="19" t="str">
        <f>IFERROR(__xludf.DUMMYFUNCTION("""COMPUTED_VALUE"""),"BLACK")</f>
        <v>BLACK</v>
      </c>
      <c r="G9913" s="20" t="str">
        <f>IFERROR(__xludf.DUMMYFUNCTION("""COMPUTED_VALUE"""),"Uncle Sams Cider (04/04/2023)")</f>
        <v>Uncle Sams Cider (04/04/2023)</v>
      </c>
      <c r="H9913" s="19"/>
    </row>
    <row r="9914">
      <c r="A9914" s="9"/>
      <c r="B9914" s="15"/>
      <c r="C9914" s="9">
        <f>IFERROR(__xludf.DUMMYFUNCTION("""COMPUTED_VALUE"""),45040.076198449)</f>
        <v>45040.0762</v>
      </c>
      <c r="D9914" s="15">
        <f>IFERROR(__xludf.DUMMYFUNCTION("""COMPUTED_VALUE"""),1.035)</f>
        <v>1.035</v>
      </c>
      <c r="E9914" s="16">
        <f>IFERROR(__xludf.DUMMYFUNCTION("""COMPUTED_VALUE"""),67.0)</f>
        <v>67</v>
      </c>
      <c r="F9914" s="19" t="str">
        <f>IFERROR(__xludf.DUMMYFUNCTION("""COMPUTED_VALUE"""),"BLACK")</f>
        <v>BLACK</v>
      </c>
      <c r="G9914" s="20" t="str">
        <f>IFERROR(__xludf.DUMMYFUNCTION("""COMPUTED_VALUE"""),"Uncle Sams Cider (04/04/2023)")</f>
        <v>Uncle Sams Cider (04/04/2023)</v>
      </c>
      <c r="H9914" s="19"/>
    </row>
    <row r="9915">
      <c r="A9915" s="9"/>
      <c r="B9915" s="15"/>
      <c r="C9915" s="9">
        <f>IFERROR(__xludf.DUMMYFUNCTION("""COMPUTED_VALUE"""),45040.0657561574)</f>
        <v>45040.06576</v>
      </c>
      <c r="D9915" s="15">
        <f>IFERROR(__xludf.DUMMYFUNCTION("""COMPUTED_VALUE"""),1.035)</f>
        <v>1.035</v>
      </c>
      <c r="E9915" s="16">
        <f>IFERROR(__xludf.DUMMYFUNCTION("""COMPUTED_VALUE"""),67.0)</f>
        <v>67</v>
      </c>
      <c r="F9915" s="19" t="str">
        <f>IFERROR(__xludf.DUMMYFUNCTION("""COMPUTED_VALUE"""),"BLACK")</f>
        <v>BLACK</v>
      </c>
      <c r="G9915" s="20" t="str">
        <f>IFERROR(__xludf.DUMMYFUNCTION("""COMPUTED_VALUE"""),"Uncle Sams Cider (04/04/2023)")</f>
        <v>Uncle Sams Cider (04/04/2023)</v>
      </c>
      <c r="H9915" s="19"/>
    </row>
    <row r="9916">
      <c r="A9916" s="9"/>
      <c r="B9916" s="15"/>
      <c r="C9916" s="9">
        <f>IFERROR(__xludf.DUMMYFUNCTION("""COMPUTED_VALUE"""),45040.0553340972)</f>
        <v>45040.05533</v>
      </c>
      <c r="D9916" s="15">
        <f>IFERROR(__xludf.DUMMYFUNCTION("""COMPUTED_VALUE"""),1.035)</f>
        <v>1.035</v>
      </c>
      <c r="E9916" s="16">
        <f>IFERROR(__xludf.DUMMYFUNCTION("""COMPUTED_VALUE"""),67.0)</f>
        <v>67</v>
      </c>
      <c r="F9916" s="19" t="str">
        <f>IFERROR(__xludf.DUMMYFUNCTION("""COMPUTED_VALUE"""),"BLACK")</f>
        <v>BLACK</v>
      </c>
      <c r="G9916" s="20" t="str">
        <f>IFERROR(__xludf.DUMMYFUNCTION("""COMPUTED_VALUE"""),"Uncle Sams Cider (04/04/2023)")</f>
        <v>Uncle Sams Cider (04/04/2023)</v>
      </c>
      <c r="H9916" s="19"/>
    </row>
    <row r="9917">
      <c r="A9917" s="9"/>
      <c r="B9917" s="15"/>
      <c r="C9917" s="9">
        <f>IFERROR(__xludf.DUMMYFUNCTION("""COMPUTED_VALUE"""),45040.0449147453)</f>
        <v>45040.04491</v>
      </c>
      <c r="D9917" s="15">
        <f>IFERROR(__xludf.DUMMYFUNCTION("""COMPUTED_VALUE"""),1.035)</f>
        <v>1.035</v>
      </c>
      <c r="E9917" s="16">
        <f>IFERROR(__xludf.DUMMYFUNCTION("""COMPUTED_VALUE"""),67.0)</f>
        <v>67</v>
      </c>
      <c r="F9917" s="19" t="str">
        <f>IFERROR(__xludf.DUMMYFUNCTION("""COMPUTED_VALUE"""),"BLACK")</f>
        <v>BLACK</v>
      </c>
      <c r="G9917" s="20" t="str">
        <f>IFERROR(__xludf.DUMMYFUNCTION("""COMPUTED_VALUE"""),"Uncle Sams Cider (04/04/2023)")</f>
        <v>Uncle Sams Cider (04/04/2023)</v>
      </c>
      <c r="H9917" s="19"/>
    </row>
    <row r="9918">
      <c r="A9918" s="9"/>
      <c r="B9918" s="15"/>
      <c r="C9918" s="9">
        <f>IFERROR(__xludf.DUMMYFUNCTION("""COMPUTED_VALUE"""),45040.0344923495)</f>
        <v>45040.03449</v>
      </c>
      <c r="D9918" s="15">
        <f>IFERROR(__xludf.DUMMYFUNCTION("""COMPUTED_VALUE"""),1.035)</f>
        <v>1.035</v>
      </c>
      <c r="E9918" s="16">
        <f>IFERROR(__xludf.DUMMYFUNCTION("""COMPUTED_VALUE"""),67.0)</f>
        <v>67</v>
      </c>
      <c r="F9918" s="19" t="str">
        <f>IFERROR(__xludf.DUMMYFUNCTION("""COMPUTED_VALUE"""),"BLACK")</f>
        <v>BLACK</v>
      </c>
      <c r="G9918" s="20" t="str">
        <f>IFERROR(__xludf.DUMMYFUNCTION("""COMPUTED_VALUE"""),"Uncle Sams Cider (04/04/2023)")</f>
        <v>Uncle Sams Cider (04/04/2023)</v>
      </c>
      <c r="H9918" s="19"/>
    </row>
    <row r="9919">
      <c r="A9919" s="9"/>
      <c r="B9919" s="15"/>
      <c r="C9919" s="9">
        <f>IFERROR(__xludf.DUMMYFUNCTION("""COMPUTED_VALUE"""),45040.0240701273)</f>
        <v>45040.02407</v>
      </c>
      <c r="D9919" s="15">
        <f>IFERROR(__xludf.DUMMYFUNCTION("""COMPUTED_VALUE"""),1.035)</f>
        <v>1.035</v>
      </c>
      <c r="E9919" s="16">
        <f>IFERROR(__xludf.DUMMYFUNCTION("""COMPUTED_VALUE"""),67.0)</f>
        <v>67</v>
      </c>
      <c r="F9919" s="19" t="str">
        <f>IFERROR(__xludf.DUMMYFUNCTION("""COMPUTED_VALUE"""),"BLACK")</f>
        <v>BLACK</v>
      </c>
      <c r="G9919" s="20" t="str">
        <f>IFERROR(__xludf.DUMMYFUNCTION("""COMPUTED_VALUE"""),"Uncle Sams Cider (04/04/2023)")</f>
        <v>Uncle Sams Cider (04/04/2023)</v>
      </c>
      <c r="H9919" s="19"/>
    </row>
    <row r="9920">
      <c r="A9920" s="9"/>
      <c r="B9920" s="15"/>
      <c r="C9920" s="9">
        <f>IFERROR(__xludf.DUMMYFUNCTION("""COMPUTED_VALUE"""),45040.0136480787)</f>
        <v>45040.01365</v>
      </c>
      <c r="D9920" s="15">
        <f>IFERROR(__xludf.DUMMYFUNCTION("""COMPUTED_VALUE"""),1.035)</f>
        <v>1.035</v>
      </c>
      <c r="E9920" s="16">
        <f>IFERROR(__xludf.DUMMYFUNCTION("""COMPUTED_VALUE"""),67.0)</f>
        <v>67</v>
      </c>
      <c r="F9920" s="19" t="str">
        <f>IFERROR(__xludf.DUMMYFUNCTION("""COMPUTED_VALUE"""),"BLACK")</f>
        <v>BLACK</v>
      </c>
      <c r="G9920" s="20" t="str">
        <f>IFERROR(__xludf.DUMMYFUNCTION("""COMPUTED_VALUE"""),"Uncle Sams Cider (04/04/2023)")</f>
        <v>Uncle Sams Cider (04/04/2023)</v>
      </c>
      <c r="H9920" s="19"/>
    </row>
    <row r="9921">
      <c r="A9921" s="9"/>
      <c r="B9921" s="15"/>
      <c r="C9921" s="9">
        <f>IFERROR(__xludf.DUMMYFUNCTION("""COMPUTED_VALUE"""),45040.0032275115)</f>
        <v>45040.00323</v>
      </c>
      <c r="D9921" s="15">
        <f>IFERROR(__xludf.DUMMYFUNCTION("""COMPUTED_VALUE"""),1.035)</f>
        <v>1.035</v>
      </c>
      <c r="E9921" s="16">
        <f>IFERROR(__xludf.DUMMYFUNCTION("""COMPUTED_VALUE"""),67.0)</f>
        <v>67</v>
      </c>
      <c r="F9921" s="19" t="str">
        <f>IFERROR(__xludf.DUMMYFUNCTION("""COMPUTED_VALUE"""),"BLACK")</f>
        <v>BLACK</v>
      </c>
      <c r="G9921" s="20" t="str">
        <f>IFERROR(__xludf.DUMMYFUNCTION("""COMPUTED_VALUE"""),"Uncle Sams Cider (04/04/2023)")</f>
        <v>Uncle Sams Cider (04/04/2023)</v>
      </c>
      <c r="H9921" s="19"/>
    </row>
    <row r="9922">
      <c r="A9922" s="9"/>
      <c r="B9922" s="15"/>
      <c r="C9922" s="9">
        <f>IFERROR(__xludf.DUMMYFUNCTION("""COMPUTED_VALUE"""),45039.9928057523)</f>
        <v>45039.99281</v>
      </c>
      <c r="D9922" s="15">
        <f>IFERROR(__xludf.DUMMYFUNCTION("""COMPUTED_VALUE"""),1.035)</f>
        <v>1.035</v>
      </c>
      <c r="E9922" s="16">
        <f>IFERROR(__xludf.DUMMYFUNCTION("""COMPUTED_VALUE"""),67.0)</f>
        <v>67</v>
      </c>
      <c r="F9922" s="19" t="str">
        <f>IFERROR(__xludf.DUMMYFUNCTION("""COMPUTED_VALUE"""),"BLACK")</f>
        <v>BLACK</v>
      </c>
      <c r="G9922" s="20" t="str">
        <f>IFERROR(__xludf.DUMMYFUNCTION("""COMPUTED_VALUE"""),"Uncle Sams Cider (04/04/2023)")</f>
        <v>Uncle Sams Cider (04/04/2023)</v>
      </c>
      <c r="H9922" s="19"/>
    </row>
    <row r="9923">
      <c r="A9923" s="9"/>
      <c r="B9923" s="15"/>
      <c r="C9923" s="9">
        <f>IFERROR(__xludf.DUMMYFUNCTION("""COMPUTED_VALUE"""),45039.9823845486)</f>
        <v>45039.98238</v>
      </c>
      <c r="D9923" s="15">
        <f>IFERROR(__xludf.DUMMYFUNCTION("""COMPUTED_VALUE"""),1.035)</f>
        <v>1.035</v>
      </c>
      <c r="E9923" s="16">
        <f>IFERROR(__xludf.DUMMYFUNCTION("""COMPUTED_VALUE"""),67.0)</f>
        <v>67</v>
      </c>
      <c r="F9923" s="19" t="str">
        <f>IFERROR(__xludf.DUMMYFUNCTION("""COMPUTED_VALUE"""),"BLACK")</f>
        <v>BLACK</v>
      </c>
      <c r="G9923" s="20" t="str">
        <f>IFERROR(__xludf.DUMMYFUNCTION("""COMPUTED_VALUE"""),"Uncle Sams Cider (04/04/2023)")</f>
        <v>Uncle Sams Cider (04/04/2023)</v>
      </c>
      <c r="H9923" s="19"/>
    </row>
    <row r="9924">
      <c r="A9924" s="9"/>
      <c r="B9924" s="15"/>
      <c r="C9924" s="9">
        <f>IFERROR(__xludf.DUMMYFUNCTION("""COMPUTED_VALUE"""),45039.9719641203)</f>
        <v>45039.97196</v>
      </c>
      <c r="D9924" s="15">
        <f>IFERROR(__xludf.DUMMYFUNCTION("""COMPUTED_VALUE"""),1.035)</f>
        <v>1.035</v>
      </c>
      <c r="E9924" s="16">
        <f>IFERROR(__xludf.DUMMYFUNCTION("""COMPUTED_VALUE"""),67.0)</f>
        <v>67</v>
      </c>
      <c r="F9924" s="19" t="str">
        <f>IFERROR(__xludf.DUMMYFUNCTION("""COMPUTED_VALUE"""),"BLACK")</f>
        <v>BLACK</v>
      </c>
      <c r="G9924" s="20" t="str">
        <f>IFERROR(__xludf.DUMMYFUNCTION("""COMPUTED_VALUE"""),"Uncle Sams Cider (04/04/2023)")</f>
        <v>Uncle Sams Cider (04/04/2023)</v>
      </c>
      <c r="H9924" s="19"/>
    </row>
    <row r="9925">
      <c r="A9925" s="9"/>
      <c r="B9925" s="15"/>
      <c r="C9925" s="9">
        <f>IFERROR(__xludf.DUMMYFUNCTION("""COMPUTED_VALUE"""),45039.9615428819)</f>
        <v>45039.96154</v>
      </c>
      <c r="D9925" s="15">
        <f>IFERROR(__xludf.DUMMYFUNCTION("""COMPUTED_VALUE"""),1.035)</f>
        <v>1.035</v>
      </c>
      <c r="E9925" s="16">
        <f>IFERROR(__xludf.DUMMYFUNCTION("""COMPUTED_VALUE"""),67.0)</f>
        <v>67</v>
      </c>
      <c r="F9925" s="19" t="str">
        <f>IFERROR(__xludf.DUMMYFUNCTION("""COMPUTED_VALUE"""),"BLACK")</f>
        <v>BLACK</v>
      </c>
      <c r="G9925" s="20" t="str">
        <f>IFERROR(__xludf.DUMMYFUNCTION("""COMPUTED_VALUE"""),"Uncle Sams Cider (04/04/2023)")</f>
        <v>Uncle Sams Cider (04/04/2023)</v>
      </c>
      <c r="H9925" s="19"/>
    </row>
    <row r="9926">
      <c r="A9926" s="9"/>
      <c r="B9926" s="15"/>
      <c r="C9926" s="9">
        <f>IFERROR(__xludf.DUMMYFUNCTION("""COMPUTED_VALUE"""),45039.9511214583)</f>
        <v>45039.95112</v>
      </c>
      <c r="D9926" s="15">
        <f>IFERROR(__xludf.DUMMYFUNCTION("""COMPUTED_VALUE"""),1.035)</f>
        <v>1.035</v>
      </c>
      <c r="E9926" s="16">
        <f>IFERROR(__xludf.DUMMYFUNCTION("""COMPUTED_VALUE"""),67.0)</f>
        <v>67</v>
      </c>
      <c r="F9926" s="19" t="str">
        <f>IFERROR(__xludf.DUMMYFUNCTION("""COMPUTED_VALUE"""),"BLACK")</f>
        <v>BLACK</v>
      </c>
      <c r="G9926" s="20" t="str">
        <f>IFERROR(__xludf.DUMMYFUNCTION("""COMPUTED_VALUE"""),"Uncle Sams Cider (04/04/2023)")</f>
        <v>Uncle Sams Cider (04/04/2023)</v>
      </c>
      <c r="H9926" s="19"/>
    </row>
    <row r="9927">
      <c r="A9927" s="9"/>
      <c r="B9927" s="15"/>
      <c r="C9927" s="9">
        <f>IFERROR(__xludf.DUMMYFUNCTION("""COMPUTED_VALUE"""),45039.940667199)</f>
        <v>45039.94067</v>
      </c>
      <c r="D9927" s="15">
        <f>IFERROR(__xludf.DUMMYFUNCTION("""COMPUTED_VALUE"""),1.035)</f>
        <v>1.035</v>
      </c>
      <c r="E9927" s="16">
        <f>IFERROR(__xludf.DUMMYFUNCTION("""COMPUTED_VALUE"""),67.0)</f>
        <v>67</v>
      </c>
      <c r="F9927" s="19" t="str">
        <f>IFERROR(__xludf.DUMMYFUNCTION("""COMPUTED_VALUE"""),"BLACK")</f>
        <v>BLACK</v>
      </c>
      <c r="G9927" s="20" t="str">
        <f>IFERROR(__xludf.DUMMYFUNCTION("""COMPUTED_VALUE"""),"Uncle Sams Cider (04/04/2023)")</f>
        <v>Uncle Sams Cider (04/04/2023)</v>
      </c>
      <c r="H9927" s="19"/>
    </row>
    <row r="9928">
      <c r="A9928" s="9"/>
      <c r="B9928" s="15"/>
      <c r="C9928" s="9">
        <f>IFERROR(__xludf.DUMMYFUNCTION("""COMPUTED_VALUE"""),45039.9302460069)</f>
        <v>45039.93025</v>
      </c>
      <c r="D9928" s="15">
        <f>IFERROR(__xludf.DUMMYFUNCTION("""COMPUTED_VALUE"""),1.035)</f>
        <v>1.035</v>
      </c>
      <c r="E9928" s="16">
        <f>IFERROR(__xludf.DUMMYFUNCTION("""COMPUTED_VALUE"""),67.0)</f>
        <v>67</v>
      </c>
      <c r="F9928" s="19" t="str">
        <f>IFERROR(__xludf.DUMMYFUNCTION("""COMPUTED_VALUE"""),"BLACK")</f>
        <v>BLACK</v>
      </c>
      <c r="G9928" s="20" t="str">
        <f>IFERROR(__xludf.DUMMYFUNCTION("""COMPUTED_VALUE"""),"Uncle Sams Cider (04/04/2023)")</f>
        <v>Uncle Sams Cider (04/04/2023)</v>
      </c>
      <c r="H9928" s="19"/>
    </row>
    <row r="9929">
      <c r="A9929" s="9"/>
      <c r="B9929" s="15"/>
      <c r="C9929" s="9">
        <f>IFERROR(__xludf.DUMMYFUNCTION("""COMPUTED_VALUE"""),45039.9198245949)</f>
        <v>45039.91982</v>
      </c>
      <c r="D9929" s="15">
        <f>IFERROR(__xludf.DUMMYFUNCTION("""COMPUTED_VALUE"""),1.035)</f>
        <v>1.035</v>
      </c>
      <c r="E9929" s="16">
        <f>IFERROR(__xludf.DUMMYFUNCTION("""COMPUTED_VALUE"""),67.0)</f>
        <v>67</v>
      </c>
      <c r="F9929" s="19" t="str">
        <f>IFERROR(__xludf.DUMMYFUNCTION("""COMPUTED_VALUE"""),"BLACK")</f>
        <v>BLACK</v>
      </c>
      <c r="G9929" s="20" t="str">
        <f>IFERROR(__xludf.DUMMYFUNCTION("""COMPUTED_VALUE"""),"Uncle Sams Cider (04/04/2023)")</f>
        <v>Uncle Sams Cider (04/04/2023)</v>
      </c>
      <c r="H9929" s="19"/>
    </row>
    <row r="9930">
      <c r="A9930" s="9"/>
      <c r="B9930" s="15"/>
      <c r="C9930" s="9">
        <f>IFERROR(__xludf.DUMMYFUNCTION("""COMPUTED_VALUE"""),45039.9094025347)</f>
        <v>45039.9094</v>
      </c>
      <c r="D9930" s="15">
        <f>IFERROR(__xludf.DUMMYFUNCTION("""COMPUTED_VALUE"""),1.035)</f>
        <v>1.035</v>
      </c>
      <c r="E9930" s="16">
        <f>IFERROR(__xludf.DUMMYFUNCTION("""COMPUTED_VALUE"""),67.0)</f>
        <v>67</v>
      </c>
      <c r="F9930" s="19" t="str">
        <f>IFERROR(__xludf.DUMMYFUNCTION("""COMPUTED_VALUE"""),"BLACK")</f>
        <v>BLACK</v>
      </c>
      <c r="G9930" s="20" t="str">
        <f>IFERROR(__xludf.DUMMYFUNCTION("""COMPUTED_VALUE"""),"Uncle Sams Cider (04/04/2023)")</f>
        <v>Uncle Sams Cider (04/04/2023)</v>
      </c>
      <c r="H9930" s="19"/>
    </row>
    <row r="9931">
      <c r="A9931" s="9"/>
      <c r="B9931" s="15"/>
      <c r="C9931" s="9">
        <f>IFERROR(__xludf.DUMMYFUNCTION("""COMPUTED_VALUE"""),45039.8989812731)</f>
        <v>45039.89898</v>
      </c>
      <c r="D9931" s="15">
        <f>IFERROR(__xludf.DUMMYFUNCTION("""COMPUTED_VALUE"""),1.035)</f>
        <v>1.035</v>
      </c>
      <c r="E9931" s="16">
        <f>IFERROR(__xludf.DUMMYFUNCTION("""COMPUTED_VALUE"""),67.0)</f>
        <v>67</v>
      </c>
      <c r="F9931" s="19" t="str">
        <f>IFERROR(__xludf.DUMMYFUNCTION("""COMPUTED_VALUE"""),"BLACK")</f>
        <v>BLACK</v>
      </c>
      <c r="G9931" s="20" t="str">
        <f>IFERROR(__xludf.DUMMYFUNCTION("""COMPUTED_VALUE"""),"Uncle Sams Cider (04/04/2023)")</f>
        <v>Uncle Sams Cider (04/04/2023)</v>
      </c>
      <c r="H9931" s="19"/>
    </row>
    <row r="9932">
      <c r="A9932" s="9"/>
      <c r="B9932" s="15"/>
      <c r="C9932" s="9">
        <f>IFERROR(__xludf.DUMMYFUNCTION("""COMPUTED_VALUE"""),45039.888536331)</f>
        <v>45039.88854</v>
      </c>
      <c r="D9932" s="15">
        <f>IFERROR(__xludf.DUMMYFUNCTION("""COMPUTED_VALUE"""),1.035)</f>
        <v>1.035</v>
      </c>
      <c r="E9932" s="16">
        <f>IFERROR(__xludf.DUMMYFUNCTION("""COMPUTED_VALUE"""),67.0)</f>
        <v>67</v>
      </c>
      <c r="F9932" s="19" t="str">
        <f>IFERROR(__xludf.DUMMYFUNCTION("""COMPUTED_VALUE"""),"BLACK")</f>
        <v>BLACK</v>
      </c>
      <c r="G9932" s="20" t="str">
        <f>IFERROR(__xludf.DUMMYFUNCTION("""COMPUTED_VALUE"""),"Uncle Sams Cider (04/04/2023)")</f>
        <v>Uncle Sams Cider (04/04/2023)</v>
      </c>
      <c r="H9932" s="19"/>
    </row>
    <row r="9933">
      <c r="A9933" s="9"/>
      <c r="B9933" s="15"/>
      <c r="C9933" s="9">
        <f>IFERROR(__xludf.DUMMYFUNCTION("""COMPUTED_VALUE"""),45039.8781026389)</f>
        <v>45039.8781</v>
      </c>
      <c r="D9933" s="15">
        <f>IFERROR(__xludf.DUMMYFUNCTION("""COMPUTED_VALUE"""),1.035)</f>
        <v>1.035</v>
      </c>
      <c r="E9933" s="16">
        <f>IFERROR(__xludf.DUMMYFUNCTION("""COMPUTED_VALUE"""),67.0)</f>
        <v>67</v>
      </c>
      <c r="F9933" s="19" t="str">
        <f>IFERROR(__xludf.DUMMYFUNCTION("""COMPUTED_VALUE"""),"BLACK")</f>
        <v>BLACK</v>
      </c>
      <c r="G9933" s="20" t="str">
        <f>IFERROR(__xludf.DUMMYFUNCTION("""COMPUTED_VALUE"""),"Uncle Sams Cider (04/04/2023)")</f>
        <v>Uncle Sams Cider (04/04/2023)</v>
      </c>
      <c r="H9933" s="19"/>
    </row>
    <row r="9934">
      <c r="A9934" s="9"/>
      <c r="B9934" s="15"/>
      <c r="C9934" s="9">
        <f>IFERROR(__xludf.DUMMYFUNCTION("""COMPUTED_VALUE"""),45039.8676712963)</f>
        <v>45039.86767</v>
      </c>
      <c r="D9934" s="15">
        <f>IFERROR(__xludf.DUMMYFUNCTION("""COMPUTED_VALUE"""),1.035)</f>
        <v>1.035</v>
      </c>
      <c r="E9934" s="16">
        <f>IFERROR(__xludf.DUMMYFUNCTION("""COMPUTED_VALUE"""),67.0)</f>
        <v>67</v>
      </c>
      <c r="F9934" s="19" t="str">
        <f>IFERROR(__xludf.DUMMYFUNCTION("""COMPUTED_VALUE"""),"BLACK")</f>
        <v>BLACK</v>
      </c>
      <c r="G9934" s="20" t="str">
        <f>IFERROR(__xludf.DUMMYFUNCTION("""COMPUTED_VALUE"""),"Uncle Sams Cider (04/04/2023)")</f>
        <v>Uncle Sams Cider (04/04/2023)</v>
      </c>
      <c r="H9934" s="19"/>
    </row>
    <row r="9935">
      <c r="A9935" s="9"/>
      <c r="B9935" s="15"/>
      <c r="C9935" s="9">
        <f>IFERROR(__xludf.DUMMYFUNCTION("""COMPUTED_VALUE"""),45039.8572270023)</f>
        <v>45039.85723</v>
      </c>
      <c r="D9935" s="15">
        <f>IFERROR(__xludf.DUMMYFUNCTION("""COMPUTED_VALUE"""),1.036)</f>
        <v>1.036</v>
      </c>
      <c r="E9935" s="16">
        <f>IFERROR(__xludf.DUMMYFUNCTION("""COMPUTED_VALUE"""),67.0)</f>
        <v>67</v>
      </c>
      <c r="F9935" s="19" t="str">
        <f>IFERROR(__xludf.DUMMYFUNCTION("""COMPUTED_VALUE"""),"BLACK")</f>
        <v>BLACK</v>
      </c>
      <c r="G9935" s="20" t="str">
        <f>IFERROR(__xludf.DUMMYFUNCTION("""COMPUTED_VALUE"""),"Uncle Sams Cider (04/04/2023)")</f>
        <v>Uncle Sams Cider (04/04/2023)</v>
      </c>
      <c r="H9935" s="19"/>
    </row>
    <row r="9936">
      <c r="A9936" s="9"/>
      <c r="B9936" s="15"/>
      <c r="C9936" s="9">
        <f>IFERROR(__xludf.DUMMYFUNCTION("""COMPUTED_VALUE"""),45039.8468057407)</f>
        <v>45039.84681</v>
      </c>
      <c r="D9936" s="15">
        <f>IFERROR(__xludf.DUMMYFUNCTION("""COMPUTED_VALUE"""),1.035)</f>
        <v>1.035</v>
      </c>
      <c r="E9936" s="16">
        <f>IFERROR(__xludf.DUMMYFUNCTION("""COMPUTED_VALUE"""),67.0)</f>
        <v>67</v>
      </c>
      <c r="F9936" s="19" t="str">
        <f>IFERROR(__xludf.DUMMYFUNCTION("""COMPUTED_VALUE"""),"BLACK")</f>
        <v>BLACK</v>
      </c>
      <c r="G9936" s="20" t="str">
        <f>IFERROR(__xludf.DUMMYFUNCTION("""COMPUTED_VALUE"""),"Uncle Sams Cider (04/04/2023)")</f>
        <v>Uncle Sams Cider (04/04/2023)</v>
      </c>
      <c r="H9936" s="19"/>
    </row>
    <row r="9937">
      <c r="A9937" s="9"/>
      <c r="B9937" s="15"/>
      <c r="C9937" s="9">
        <f>IFERROR(__xludf.DUMMYFUNCTION("""COMPUTED_VALUE"""),45039.8363497569)</f>
        <v>45039.83635</v>
      </c>
      <c r="D9937" s="15">
        <f>IFERROR(__xludf.DUMMYFUNCTION("""COMPUTED_VALUE"""),1.035)</f>
        <v>1.035</v>
      </c>
      <c r="E9937" s="16">
        <f>IFERROR(__xludf.DUMMYFUNCTION("""COMPUTED_VALUE"""),67.0)</f>
        <v>67</v>
      </c>
      <c r="F9937" s="19" t="str">
        <f>IFERROR(__xludf.DUMMYFUNCTION("""COMPUTED_VALUE"""),"BLACK")</f>
        <v>BLACK</v>
      </c>
      <c r="G9937" s="20" t="str">
        <f>IFERROR(__xludf.DUMMYFUNCTION("""COMPUTED_VALUE"""),"Uncle Sams Cider (04/04/2023)")</f>
        <v>Uncle Sams Cider (04/04/2023)</v>
      </c>
      <c r="H9937" s="19"/>
    </row>
    <row r="9938">
      <c r="A9938" s="9"/>
      <c r="B9938" s="15"/>
      <c r="C9938" s="9">
        <f>IFERROR(__xludf.DUMMYFUNCTION("""COMPUTED_VALUE"""),45039.8259285763)</f>
        <v>45039.82593</v>
      </c>
      <c r="D9938" s="15">
        <f>IFERROR(__xludf.DUMMYFUNCTION("""COMPUTED_VALUE"""),1.035)</f>
        <v>1.035</v>
      </c>
      <c r="E9938" s="16">
        <f>IFERROR(__xludf.DUMMYFUNCTION("""COMPUTED_VALUE"""),67.0)</f>
        <v>67</v>
      </c>
      <c r="F9938" s="19" t="str">
        <f>IFERROR(__xludf.DUMMYFUNCTION("""COMPUTED_VALUE"""),"BLACK")</f>
        <v>BLACK</v>
      </c>
      <c r="G9938" s="20" t="str">
        <f>IFERROR(__xludf.DUMMYFUNCTION("""COMPUTED_VALUE"""),"Uncle Sams Cider (04/04/2023)")</f>
        <v>Uncle Sams Cider (04/04/2023)</v>
      </c>
      <c r="H9938" s="19"/>
    </row>
    <row r="9939">
      <c r="A9939" s="9"/>
      <c r="B9939" s="15"/>
      <c r="C9939" s="9">
        <f>IFERROR(__xludf.DUMMYFUNCTION("""COMPUTED_VALUE"""),45039.8154842708)</f>
        <v>45039.81548</v>
      </c>
      <c r="D9939" s="15">
        <f>IFERROR(__xludf.DUMMYFUNCTION("""COMPUTED_VALUE"""),1.035)</f>
        <v>1.035</v>
      </c>
      <c r="E9939" s="16">
        <f>IFERROR(__xludf.DUMMYFUNCTION("""COMPUTED_VALUE"""),67.0)</f>
        <v>67</v>
      </c>
      <c r="F9939" s="19" t="str">
        <f>IFERROR(__xludf.DUMMYFUNCTION("""COMPUTED_VALUE"""),"BLACK")</f>
        <v>BLACK</v>
      </c>
      <c r="G9939" s="20" t="str">
        <f>IFERROR(__xludf.DUMMYFUNCTION("""COMPUTED_VALUE"""),"Uncle Sams Cider (04/04/2023)")</f>
        <v>Uncle Sams Cider (04/04/2023)</v>
      </c>
      <c r="H9939" s="19"/>
    </row>
    <row r="9940">
      <c r="A9940" s="9"/>
      <c r="B9940" s="15"/>
      <c r="C9940" s="9">
        <f>IFERROR(__xludf.DUMMYFUNCTION("""COMPUTED_VALUE"""),45039.8050628703)</f>
        <v>45039.80506</v>
      </c>
      <c r="D9940" s="15">
        <f>IFERROR(__xludf.DUMMYFUNCTION("""COMPUTED_VALUE"""),1.035)</f>
        <v>1.035</v>
      </c>
      <c r="E9940" s="16">
        <f>IFERROR(__xludf.DUMMYFUNCTION("""COMPUTED_VALUE"""),67.0)</f>
        <v>67</v>
      </c>
      <c r="F9940" s="19" t="str">
        <f>IFERROR(__xludf.DUMMYFUNCTION("""COMPUTED_VALUE"""),"BLACK")</f>
        <v>BLACK</v>
      </c>
      <c r="G9940" s="20" t="str">
        <f>IFERROR(__xludf.DUMMYFUNCTION("""COMPUTED_VALUE"""),"Uncle Sams Cider (04/04/2023)")</f>
        <v>Uncle Sams Cider (04/04/2023)</v>
      </c>
      <c r="H9940" s="19"/>
    </row>
    <row r="9941">
      <c r="A9941" s="9"/>
      <c r="B9941" s="15"/>
      <c r="C9941" s="9">
        <f>IFERROR(__xludf.DUMMYFUNCTION("""COMPUTED_VALUE"""),45039.7946421296)</f>
        <v>45039.79464</v>
      </c>
      <c r="D9941" s="15">
        <f>IFERROR(__xludf.DUMMYFUNCTION("""COMPUTED_VALUE"""),1.036)</f>
        <v>1.036</v>
      </c>
      <c r="E9941" s="16">
        <f>IFERROR(__xludf.DUMMYFUNCTION("""COMPUTED_VALUE"""),67.0)</f>
        <v>67</v>
      </c>
      <c r="F9941" s="19" t="str">
        <f>IFERROR(__xludf.DUMMYFUNCTION("""COMPUTED_VALUE"""),"BLACK")</f>
        <v>BLACK</v>
      </c>
      <c r="G9941" s="20" t="str">
        <f>IFERROR(__xludf.DUMMYFUNCTION("""COMPUTED_VALUE"""),"Uncle Sams Cider (04/04/2023)")</f>
        <v>Uncle Sams Cider (04/04/2023)</v>
      </c>
      <c r="H9941" s="19"/>
    </row>
    <row r="9942">
      <c r="A9942" s="9"/>
      <c r="B9942" s="15"/>
      <c r="C9942" s="9">
        <f>IFERROR(__xludf.DUMMYFUNCTION("""COMPUTED_VALUE"""),45039.7842209953)</f>
        <v>45039.78422</v>
      </c>
      <c r="D9942" s="15">
        <f>IFERROR(__xludf.DUMMYFUNCTION("""COMPUTED_VALUE"""),1.036)</f>
        <v>1.036</v>
      </c>
      <c r="E9942" s="16">
        <f>IFERROR(__xludf.DUMMYFUNCTION("""COMPUTED_VALUE"""),67.0)</f>
        <v>67</v>
      </c>
      <c r="F9942" s="19" t="str">
        <f>IFERROR(__xludf.DUMMYFUNCTION("""COMPUTED_VALUE"""),"BLACK")</f>
        <v>BLACK</v>
      </c>
      <c r="G9942" s="20" t="str">
        <f>IFERROR(__xludf.DUMMYFUNCTION("""COMPUTED_VALUE"""),"Uncle Sams Cider (04/04/2023)")</f>
        <v>Uncle Sams Cider (04/04/2023)</v>
      </c>
      <c r="H9942" s="19"/>
    </row>
    <row r="9943">
      <c r="A9943" s="9"/>
      <c r="B9943" s="15"/>
      <c r="C9943" s="9">
        <f>IFERROR(__xludf.DUMMYFUNCTION("""COMPUTED_VALUE"""),45039.7737778819)</f>
        <v>45039.77378</v>
      </c>
      <c r="D9943" s="15">
        <f>IFERROR(__xludf.DUMMYFUNCTION("""COMPUTED_VALUE"""),1.036)</f>
        <v>1.036</v>
      </c>
      <c r="E9943" s="16">
        <f>IFERROR(__xludf.DUMMYFUNCTION("""COMPUTED_VALUE"""),67.0)</f>
        <v>67</v>
      </c>
      <c r="F9943" s="19" t="str">
        <f>IFERROR(__xludf.DUMMYFUNCTION("""COMPUTED_VALUE"""),"BLACK")</f>
        <v>BLACK</v>
      </c>
      <c r="G9943" s="20" t="str">
        <f>IFERROR(__xludf.DUMMYFUNCTION("""COMPUTED_VALUE"""),"Uncle Sams Cider (04/04/2023)")</f>
        <v>Uncle Sams Cider (04/04/2023)</v>
      </c>
      <c r="H9943" s="19"/>
    </row>
    <row r="9944">
      <c r="A9944" s="9"/>
      <c r="B9944" s="15"/>
      <c r="C9944" s="9">
        <f>IFERROR(__xludf.DUMMYFUNCTION("""COMPUTED_VALUE"""),45039.7633576851)</f>
        <v>45039.76336</v>
      </c>
      <c r="D9944" s="15">
        <f>IFERROR(__xludf.DUMMYFUNCTION("""COMPUTED_VALUE"""),1.036)</f>
        <v>1.036</v>
      </c>
      <c r="E9944" s="16">
        <f>IFERROR(__xludf.DUMMYFUNCTION("""COMPUTED_VALUE"""),67.0)</f>
        <v>67</v>
      </c>
      <c r="F9944" s="19" t="str">
        <f>IFERROR(__xludf.DUMMYFUNCTION("""COMPUTED_VALUE"""),"BLACK")</f>
        <v>BLACK</v>
      </c>
      <c r="G9944" s="20" t="str">
        <f>IFERROR(__xludf.DUMMYFUNCTION("""COMPUTED_VALUE"""),"Uncle Sams Cider (04/04/2023)")</f>
        <v>Uncle Sams Cider (04/04/2023)</v>
      </c>
      <c r="H9944" s="19"/>
    </row>
    <row r="9945">
      <c r="A9945" s="9"/>
      <c r="B9945" s="15"/>
      <c r="C9945" s="9">
        <f>IFERROR(__xludf.DUMMYFUNCTION("""COMPUTED_VALUE"""),45039.7529356713)</f>
        <v>45039.75294</v>
      </c>
      <c r="D9945" s="15">
        <f>IFERROR(__xludf.DUMMYFUNCTION("""COMPUTED_VALUE"""),1.036)</f>
        <v>1.036</v>
      </c>
      <c r="E9945" s="16">
        <f>IFERROR(__xludf.DUMMYFUNCTION("""COMPUTED_VALUE"""),67.0)</f>
        <v>67</v>
      </c>
      <c r="F9945" s="19" t="str">
        <f>IFERROR(__xludf.DUMMYFUNCTION("""COMPUTED_VALUE"""),"BLACK")</f>
        <v>BLACK</v>
      </c>
      <c r="G9945" s="20" t="str">
        <f>IFERROR(__xludf.DUMMYFUNCTION("""COMPUTED_VALUE"""),"Uncle Sams Cider (04/04/2023)")</f>
        <v>Uncle Sams Cider (04/04/2023)</v>
      </c>
      <c r="H9945" s="19"/>
    </row>
    <row r="9946">
      <c r="A9946" s="9"/>
      <c r="B9946" s="15"/>
      <c r="C9946" s="9">
        <f>IFERROR(__xludf.DUMMYFUNCTION("""COMPUTED_VALUE"""),45039.7425035879)</f>
        <v>45039.7425</v>
      </c>
      <c r="D9946" s="15">
        <f>IFERROR(__xludf.DUMMYFUNCTION("""COMPUTED_VALUE"""),1.036)</f>
        <v>1.036</v>
      </c>
      <c r="E9946" s="16">
        <f>IFERROR(__xludf.DUMMYFUNCTION("""COMPUTED_VALUE"""),67.0)</f>
        <v>67</v>
      </c>
      <c r="F9946" s="19" t="str">
        <f>IFERROR(__xludf.DUMMYFUNCTION("""COMPUTED_VALUE"""),"BLACK")</f>
        <v>BLACK</v>
      </c>
      <c r="G9946" s="20" t="str">
        <f>IFERROR(__xludf.DUMMYFUNCTION("""COMPUTED_VALUE"""),"Uncle Sams Cider (04/04/2023)")</f>
        <v>Uncle Sams Cider (04/04/2023)</v>
      </c>
      <c r="H9946" s="19"/>
    </row>
    <row r="9947">
      <c r="A9947" s="9"/>
      <c r="B9947" s="15"/>
      <c r="C9947" s="9">
        <f>IFERROR(__xludf.DUMMYFUNCTION("""COMPUTED_VALUE"""),45039.7320812268)</f>
        <v>45039.73208</v>
      </c>
      <c r="D9947" s="15">
        <f>IFERROR(__xludf.DUMMYFUNCTION("""COMPUTED_VALUE"""),1.036)</f>
        <v>1.036</v>
      </c>
      <c r="E9947" s="16">
        <f>IFERROR(__xludf.DUMMYFUNCTION("""COMPUTED_VALUE"""),67.0)</f>
        <v>67</v>
      </c>
      <c r="F9947" s="19" t="str">
        <f>IFERROR(__xludf.DUMMYFUNCTION("""COMPUTED_VALUE"""),"BLACK")</f>
        <v>BLACK</v>
      </c>
      <c r="G9947" s="20" t="str">
        <f>IFERROR(__xludf.DUMMYFUNCTION("""COMPUTED_VALUE"""),"Uncle Sams Cider (04/04/2023)")</f>
        <v>Uncle Sams Cider (04/04/2023)</v>
      </c>
      <c r="H9947" s="19"/>
    </row>
    <row r="9948">
      <c r="A9948" s="9"/>
      <c r="B9948" s="15"/>
      <c r="C9948" s="9">
        <f>IFERROR(__xludf.DUMMYFUNCTION("""COMPUTED_VALUE"""),45039.7216596759)</f>
        <v>45039.72166</v>
      </c>
      <c r="D9948" s="15">
        <f>IFERROR(__xludf.DUMMYFUNCTION("""COMPUTED_VALUE"""),1.036)</f>
        <v>1.036</v>
      </c>
      <c r="E9948" s="16">
        <f>IFERROR(__xludf.DUMMYFUNCTION("""COMPUTED_VALUE"""),67.0)</f>
        <v>67</v>
      </c>
      <c r="F9948" s="19" t="str">
        <f>IFERROR(__xludf.DUMMYFUNCTION("""COMPUTED_VALUE"""),"BLACK")</f>
        <v>BLACK</v>
      </c>
      <c r="G9948" s="20" t="str">
        <f>IFERROR(__xludf.DUMMYFUNCTION("""COMPUTED_VALUE"""),"Uncle Sams Cider (04/04/2023)")</f>
        <v>Uncle Sams Cider (04/04/2023)</v>
      </c>
      <c r="H9948" s="19"/>
    </row>
    <row r="9949">
      <c r="A9949" s="9"/>
      <c r="B9949" s="15"/>
      <c r="C9949" s="9">
        <f>IFERROR(__xludf.DUMMYFUNCTION("""COMPUTED_VALUE"""),45039.7112379513)</f>
        <v>45039.71124</v>
      </c>
      <c r="D9949" s="15">
        <f>IFERROR(__xludf.DUMMYFUNCTION("""COMPUTED_VALUE"""),1.036)</f>
        <v>1.036</v>
      </c>
      <c r="E9949" s="16">
        <f>IFERROR(__xludf.DUMMYFUNCTION("""COMPUTED_VALUE"""),67.0)</f>
        <v>67</v>
      </c>
      <c r="F9949" s="19" t="str">
        <f>IFERROR(__xludf.DUMMYFUNCTION("""COMPUTED_VALUE"""),"BLACK")</f>
        <v>BLACK</v>
      </c>
      <c r="G9949" s="20" t="str">
        <f>IFERROR(__xludf.DUMMYFUNCTION("""COMPUTED_VALUE"""),"Uncle Sams Cider (04/04/2023)")</f>
        <v>Uncle Sams Cider (04/04/2023)</v>
      </c>
      <c r="H9949" s="19"/>
    </row>
    <row r="9950">
      <c r="A9950" s="9"/>
      <c r="B9950" s="15"/>
      <c r="C9950" s="9">
        <f>IFERROR(__xludf.DUMMYFUNCTION("""COMPUTED_VALUE"""),45039.7007955208)</f>
        <v>45039.7008</v>
      </c>
      <c r="D9950" s="15">
        <f>IFERROR(__xludf.DUMMYFUNCTION("""COMPUTED_VALUE"""),1.036)</f>
        <v>1.036</v>
      </c>
      <c r="E9950" s="16">
        <f>IFERROR(__xludf.DUMMYFUNCTION("""COMPUTED_VALUE"""),67.0)</f>
        <v>67</v>
      </c>
      <c r="F9950" s="19" t="str">
        <f>IFERROR(__xludf.DUMMYFUNCTION("""COMPUTED_VALUE"""),"BLACK")</f>
        <v>BLACK</v>
      </c>
      <c r="G9950" s="20" t="str">
        <f>IFERROR(__xludf.DUMMYFUNCTION("""COMPUTED_VALUE"""),"Uncle Sams Cider (04/04/2023)")</f>
        <v>Uncle Sams Cider (04/04/2023)</v>
      </c>
      <c r="H9950" s="19"/>
    </row>
    <row r="9951">
      <c r="A9951" s="9"/>
      <c r="B9951" s="15"/>
      <c r="C9951" s="9">
        <f>IFERROR(__xludf.DUMMYFUNCTION("""COMPUTED_VALUE"""),45039.6903752314)</f>
        <v>45039.69038</v>
      </c>
      <c r="D9951" s="15">
        <f>IFERROR(__xludf.DUMMYFUNCTION("""COMPUTED_VALUE"""),1.036)</f>
        <v>1.036</v>
      </c>
      <c r="E9951" s="16">
        <f>IFERROR(__xludf.DUMMYFUNCTION("""COMPUTED_VALUE"""),67.0)</f>
        <v>67</v>
      </c>
      <c r="F9951" s="19" t="str">
        <f>IFERROR(__xludf.DUMMYFUNCTION("""COMPUTED_VALUE"""),"BLACK")</f>
        <v>BLACK</v>
      </c>
      <c r="G9951" s="20" t="str">
        <f>IFERROR(__xludf.DUMMYFUNCTION("""COMPUTED_VALUE"""),"Uncle Sams Cider (04/04/2023)")</f>
        <v>Uncle Sams Cider (04/04/2023)</v>
      </c>
      <c r="H9951" s="19"/>
    </row>
    <row r="9952">
      <c r="A9952" s="9"/>
      <c r="B9952" s="15"/>
      <c r="C9952" s="9">
        <f>IFERROR(__xludf.DUMMYFUNCTION("""COMPUTED_VALUE"""),45039.6799085763)</f>
        <v>45039.67991</v>
      </c>
      <c r="D9952" s="15">
        <f>IFERROR(__xludf.DUMMYFUNCTION("""COMPUTED_VALUE"""),1.036)</f>
        <v>1.036</v>
      </c>
      <c r="E9952" s="16">
        <f>IFERROR(__xludf.DUMMYFUNCTION("""COMPUTED_VALUE"""),67.0)</f>
        <v>67</v>
      </c>
      <c r="F9952" s="19" t="str">
        <f>IFERROR(__xludf.DUMMYFUNCTION("""COMPUTED_VALUE"""),"BLACK")</f>
        <v>BLACK</v>
      </c>
      <c r="G9952" s="20" t="str">
        <f>IFERROR(__xludf.DUMMYFUNCTION("""COMPUTED_VALUE"""),"Uncle Sams Cider (04/04/2023)")</f>
        <v>Uncle Sams Cider (04/04/2023)</v>
      </c>
      <c r="H9952" s="19"/>
    </row>
    <row r="9953">
      <c r="A9953" s="9"/>
      <c r="B9953" s="15"/>
      <c r="C9953" s="9">
        <f>IFERROR(__xludf.DUMMYFUNCTION("""COMPUTED_VALUE"""),45039.6694882986)</f>
        <v>45039.66949</v>
      </c>
      <c r="D9953" s="15">
        <f>IFERROR(__xludf.DUMMYFUNCTION("""COMPUTED_VALUE"""),1.036)</f>
        <v>1.036</v>
      </c>
      <c r="E9953" s="16">
        <f>IFERROR(__xludf.DUMMYFUNCTION("""COMPUTED_VALUE"""),67.0)</f>
        <v>67</v>
      </c>
      <c r="F9953" s="19" t="str">
        <f>IFERROR(__xludf.DUMMYFUNCTION("""COMPUTED_VALUE"""),"BLACK")</f>
        <v>BLACK</v>
      </c>
      <c r="G9953" s="20" t="str">
        <f>IFERROR(__xludf.DUMMYFUNCTION("""COMPUTED_VALUE"""),"Uncle Sams Cider (04/04/2023)")</f>
        <v>Uncle Sams Cider (04/04/2023)</v>
      </c>
      <c r="H9953" s="19"/>
    </row>
    <row r="9954">
      <c r="A9954" s="9"/>
      <c r="B9954" s="15"/>
      <c r="C9954" s="9">
        <f>IFERROR(__xludf.DUMMYFUNCTION("""COMPUTED_VALUE"""),45039.659065949)</f>
        <v>45039.65907</v>
      </c>
      <c r="D9954" s="15">
        <f>IFERROR(__xludf.DUMMYFUNCTION("""COMPUTED_VALUE"""),1.036)</f>
        <v>1.036</v>
      </c>
      <c r="E9954" s="16">
        <f>IFERROR(__xludf.DUMMYFUNCTION("""COMPUTED_VALUE"""),67.0)</f>
        <v>67</v>
      </c>
      <c r="F9954" s="19" t="str">
        <f>IFERROR(__xludf.DUMMYFUNCTION("""COMPUTED_VALUE"""),"BLACK")</f>
        <v>BLACK</v>
      </c>
      <c r="G9954" s="20" t="str">
        <f>IFERROR(__xludf.DUMMYFUNCTION("""COMPUTED_VALUE"""),"Uncle Sams Cider (04/04/2023)")</f>
        <v>Uncle Sams Cider (04/04/2023)</v>
      </c>
      <c r="H9954" s="19"/>
    </row>
    <row r="9955">
      <c r="A9955" s="9"/>
      <c r="B9955" s="15"/>
      <c r="C9955" s="9">
        <f>IFERROR(__xludf.DUMMYFUNCTION("""COMPUTED_VALUE"""),45039.6486229629)</f>
        <v>45039.64862</v>
      </c>
      <c r="D9955" s="15">
        <f>IFERROR(__xludf.DUMMYFUNCTION("""COMPUTED_VALUE"""),1.036)</f>
        <v>1.036</v>
      </c>
      <c r="E9955" s="16">
        <f>IFERROR(__xludf.DUMMYFUNCTION("""COMPUTED_VALUE"""),67.0)</f>
        <v>67</v>
      </c>
      <c r="F9955" s="19" t="str">
        <f>IFERROR(__xludf.DUMMYFUNCTION("""COMPUTED_VALUE"""),"BLACK")</f>
        <v>BLACK</v>
      </c>
      <c r="G9955" s="20" t="str">
        <f>IFERROR(__xludf.DUMMYFUNCTION("""COMPUTED_VALUE"""),"Uncle Sams Cider (04/04/2023)")</f>
        <v>Uncle Sams Cider (04/04/2023)</v>
      </c>
      <c r="H9955" s="19"/>
    </row>
    <row r="9956">
      <c r="A9956" s="9"/>
      <c r="B9956" s="15"/>
      <c r="C9956" s="9">
        <f>IFERROR(__xludf.DUMMYFUNCTION("""COMPUTED_VALUE"""),45039.638168287)</f>
        <v>45039.63817</v>
      </c>
      <c r="D9956" s="15">
        <f>IFERROR(__xludf.DUMMYFUNCTION("""COMPUTED_VALUE"""),1.036)</f>
        <v>1.036</v>
      </c>
      <c r="E9956" s="16">
        <f>IFERROR(__xludf.DUMMYFUNCTION("""COMPUTED_VALUE"""),67.0)</f>
        <v>67</v>
      </c>
      <c r="F9956" s="19" t="str">
        <f>IFERROR(__xludf.DUMMYFUNCTION("""COMPUTED_VALUE"""),"BLACK")</f>
        <v>BLACK</v>
      </c>
      <c r="G9956" s="20" t="str">
        <f>IFERROR(__xludf.DUMMYFUNCTION("""COMPUTED_VALUE"""),"Uncle Sams Cider (04/04/2023)")</f>
        <v>Uncle Sams Cider (04/04/2023)</v>
      </c>
      <c r="H9956" s="19"/>
    </row>
    <row r="9957">
      <c r="A9957" s="9"/>
      <c r="B9957" s="15"/>
      <c r="C9957" s="9">
        <f>IFERROR(__xludf.DUMMYFUNCTION("""COMPUTED_VALUE"""),45039.6277472338)</f>
        <v>45039.62775</v>
      </c>
      <c r="D9957" s="15">
        <f>IFERROR(__xludf.DUMMYFUNCTION("""COMPUTED_VALUE"""),1.036)</f>
        <v>1.036</v>
      </c>
      <c r="E9957" s="16">
        <f>IFERROR(__xludf.DUMMYFUNCTION("""COMPUTED_VALUE"""),67.0)</f>
        <v>67</v>
      </c>
      <c r="F9957" s="19" t="str">
        <f>IFERROR(__xludf.DUMMYFUNCTION("""COMPUTED_VALUE"""),"BLACK")</f>
        <v>BLACK</v>
      </c>
      <c r="G9957" s="20" t="str">
        <f>IFERROR(__xludf.DUMMYFUNCTION("""COMPUTED_VALUE"""),"Uncle Sams Cider (04/04/2023)")</f>
        <v>Uncle Sams Cider (04/04/2023)</v>
      </c>
      <c r="H9957" s="19"/>
    </row>
    <row r="9958">
      <c r="A9958" s="9"/>
      <c r="B9958" s="15"/>
      <c r="C9958" s="9">
        <f>IFERROR(__xludf.DUMMYFUNCTION("""COMPUTED_VALUE"""),45039.6173131828)</f>
        <v>45039.61731</v>
      </c>
      <c r="D9958" s="15">
        <f>IFERROR(__xludf.DUMMYFUNCTION("""COMPUTED_VALUE"""),1.036)</f>
        <v>1.036</v>
      </c>
      <c r="E9958" s="16">
        <f>IFERROR(__xludf.DUMMYFUNCTION("""COMPUTED_VALUE"""),67.0)</f>
        <v>67</v>
      </c>
      <c r="F9958" s="19" t="str">
        <f>IFERROR(__xludf.DUMMYFUNCTION("""COMPUTED_VALUE"""),"BLACK")</f>
        <v>BLACK</v>
      </c>
      <c r="G9958" s="20" t="str">
        <f>IFERROR(__xludf.DUMMYFUNCTION("""COMPUTED_VALUE"""),"Uncle Sams Cider (04/04/2023)")</f>
        <v>Uncle Sams Cider (04/04/2023)</v>
      </c>
      <c r="H9958" s="19"/>
    </row>
    <row r="9959">
      <c r="A9959" s="9"/>
      <c r="B9959" s="15"/>
      <c r="C9959" s="9">
        <f>IFERROR(__xludf.DUMMYFUNCTION("""COMPUTED_VALUE"""),45039.6068935763)</f>
        <v>45039.60689</v>
      </c>
      <c r="D9959" s="15">
        <f>IFERROR(__xludf.DUMMYFUNCTION("""COMPUTED_VALUE"""),1.036)</f>
        <v>1.036</v>
      </c>
      <c r="E9959" s="16">
        <f>IFERROR(__xludf.DUMMYFUNCTION("""COMPUTED_VALUE"""),67.0)</f>
        <v>67</v>
      </c>
      <c r="F9959" s="19" t="str">
        <f>IFERROR(__xludf.DUMMYFUNCTION("""COMPUTED_VALUE"""),"BLACK")</f>
        <v>BLACK</v>
      </c>
      <c r="G9959" s="20" t="str">
        <f>IFERROR(__xludf.DUMMYFUNCTION("""COMPUTED_VALUE"""),"Uncle Sams Cider (04/04/2023)")</f>
        <v>Uncle Sams Cider (04/04/2023)</v>
      </c>
      <c r="H9959" s="19"/>
    </row>
    <row r="9960">
      <c r="A9960" s="9"/>
      <c r="B9960" s="15"/>
      <c r="C9960" s="9">
        <f>IFERROR(__xludf.DUMMYFUNCTION("""COMPUTED_VALUE"""),45039.5964724768)</f>
        <v>45039.59647</v>
      </c>
      <c r="D9960" s="15">
        <f>IFERROR(__xludf.DUMMYFUNCTION("""COMPUTED_VALUE"""),1.036)</f>
        <v>1.036</v>
      </c>
      <c r="E9960" s="16">
        <f>IFERROR(__xludf.DUMMYFUNCTION("""COMPUTED_VALUE"""),67.0)</f>
        <v>67</v>
      </c>
      <c r="F9960" s="19" t="str">
        <f>IFERROR(__xludf.DUMMYFUNCTION("""COMPUTED_VALUE"""),"BLACK")</f>
        <v>BLACK</v>
      </c>
      <c r="G9960" s="20" t="str">
        <f>IFERROR(__xludf.DUMMYFUNCTION("""COMPUTED_VALUE"""),"Uncle Sams Cider (04/04/2023)")</f>
        <v>Uncle Sams Cider (04/04/2023)</v>
      </c>
      <c r="H9960" s="19"/>
    </row>
    <row r="9961">
      <c r="A9961" s="9"/>
      <c r="B9961" s="15"/>
      <c r="C9961" s="9">
        <f>IFERROR(__xludf.DUMMYFUNCTION("""COMPUTED_VALUE"""),45039.5860495833)</f>
        <v>45039.58605</v>
      </c>
      <c r="D9961" s="15">
        <f>IFERROR(__xludf.DUMMYFUNCTION("""COMPUTED_VALUE"""),1.036)</f>
        <v>1.036</v>
      </c>
      <c r="E9961" s="16">
        <f>IFERROR(__xludf.DUMMYFUNCTION("""COMPUTED_VALUE"""),67.0)</f>
        <v>67</v>
      </c>
      <c r="F9961" s="19" t="str">
        <f>IFERROR(__xludf.DUMMYFUNCTION("""COMPUTED_VALUE"""),"BLACK")</f>
        <v>BLACK</v>
      </c>
      <c r="G9961" s="20" t="str">
        <f>IFERROR(__xludf.DUMMYFUNCTION("""COMPUTED_VALUE"""),"Uncle Sams Cider (04/04/2023)")</f>
        <v>Uncle Sams Cider (04/04/2023)</v>
      </c>
      <c r="H9961" s="19"/>
    </row>
    <row r="9962">
      <c r="A9962" s="9"/>
      <c r="B9962" s="15"/>
      <c r="C9962" s="9">
        <f>IFERROR(__xludf.DUMMYFUNCTION("""COMPUTED_VALUE"""),45039.575628368)</f>
        <v>45039.57563</v>
      </c>
      <c r="D9962" s="15">
        <f>IFERROR(__xludf.DUMMYFUNCTION("""COMPUTED_VALUE"""),1.036)</f>
        <v>1.036</v>
      </c>
      <c r="E9962" s="16">
        <f>IFERROR(__xludf.DUMMYFUNCTION("""COMPUTED_VALUE"""),67.0)</f>
        <v>67</v>
      </c>
      <c r="F9962" s="19" t="str">
        <f>IFERROR(__xludf.DUMMYFUNCTION("""COMPUTED_VALUE"""),"BLACK")</f>
        <v>BLACK</v>
      </c>
      <c r="G9962" s="20" t="str">
        <f>IFERROR(__xludf.DUMMYFUNCTION("""COMPUTED_VALUE"""),"Uncle Sams Cider (04/04/2023)")</f>
        <v>Uncle Sams Cider (04/04/2023)</v>
      </c>
      <c r="H9962" s="19"/>
    </row>
    <row r="9963">
      <c r="A9963" s="9"/>
      <c r="B9963" s="15"/>
      <c r="C9963" s="9">
        <f>IFERROR(__xludf.DUMMYFUNCTION("""COMPUTED_VALUE"""),45039.5652067129)</f>
        <v>45039.56521</v>
      </c>
      <c r="D9963" s="15">
        <f>IFERROR(__xludf.DUMMYFUNCTION("""COMPUTED_VALUE"""),1.036)</f>
        <v>1.036</v>
      </c>
      <c r="E9963" s="16">
        <f>IFERROR(__xludf.DUMMYFUNCTION("""COMPUTED_VALUE"""),67.0)</f>
        <v>67</v>
      </c>
      <c r="F9963" s="19" t="str">
        <f>IFERROR(__xludf.DUMMYFUNCTION("""COMPUTED_VALUE"""),"BLACK")</f>
        <v>BLACK</v>
      </c>
      <c r="G9963" s="20" t="str">
        <f>IFERROR(__xludf.DUMMYFUNCTION("""COMPUTED_VALUE"""),"Uncle Sams Cider (04/04/2023)")</f>
        <v>Uncle Sams Cider (04/04/2023)</v>
      </c>
      <c r="H9963" s="19"/>
    </row>
    <row r="9964">
      <c r="A9964" s="9"/>
      <c r="B9964" s="15"/>
      <c r="C9964" s="9">
        <f>IFERROR(__xludf.DUMMYFUNCTION("""COMPUTED_VALUE"""),45039.5443653588)</f>
        <v>45039.54437</v>
      </c>
      <c r="D9964" s="15">
        <f>IFERROR(__xludf.DUMMYFUNCTION("""COMPUTED_VALUE"""),1.036)</f>
        <v>1.036</v>
      </c>
      <c r="E9964" s="16">
        <f>IFERROR(__xludf.DUMMYFUNCTION("""COMPUTED_VALUE"""),67.0)</f>
        <v>67</v>
      </c>
      <c r="F9964" s="19" t="str">
        <f>IFERROR(__xludf.DUMMYFUNCTION("""COMPUTED_VALUE"""),"BLACK")</f>
        <v>BLACK</v>
      </c>
      <c r="G9964" s="20" t="str">
        <f>IFERROR(__xludf.DUMMYFUNCTION("""COMPUTED_VALUE"""),"Uncle Sams Cider (04/04/2023)")</f>
        <v>Uncle Sams Cider (04/04/2023)</v>
      </c>
      <c r="H9964" s="19"/>
    </row>
    <row r="9965">
      <c r="A9965" s="9"/>
      <c r="B9965" s="15"/>
      <c r="C9965" s="9">
        <f>IFERROR(__xludf.DUMMYFUNCTION("""COMPUTED_VALUE"""),45039.5339327083)</f>
        <v>45039.53393</v>
      </c>
      <c r="D9965" s="15">
        <f>IFERROR(__xludf.DUMMYFUNCTION("""COMPUTED_VALUE"""),1.036)</f>
        <v>1.036</v>
      </c>
      <c r="E9965" s="16">
        <f>IFERROR(__xludf.DUMMYFUNCTION("""COMPUTED_VALUE"""),67.0)</f>
        <v>67</v>
      </c>
      <c r="F9965" s="19" t="str">
        <f>IFERROR(__xludf.DUMMYFUNCTION("""COMPUTED_VALUE"""),"BLACK")</f>
        <v>BLACK</v>
      </c>
      <c r="G9965" s="20" t="str">
        <f>IFERROR(__xludf.DUMMYFUNCTION("""COMPUTED_VALUE"""),"Uncle Sams Cider (04/04/2023)")</f>
        <v>Uncle Sams Cider (04/04/2023)</v>
      </c>
      <c r="H9965" s="19"/>
    </row>
    <row r="9966">
      <c r="A9966" s="9"/>
      <c r="B9966" s="15"/>
      <c r="C9966" s="9">
        <f>IFERROR(__xludf.DUMMYFUNCTION("""COMPUTED_VALUE"""),45039.5235004976)</f>
        <v>45039.5235</v>
      </c>
      <c r="D9966" s="15">
        <f>IFERROR(__xludf.DUMMYFUNCTION("""COMPUTED_VALUE"""),1.036)</f>
        <v>1.036</v>
      </c>
      <c r="E9966" s="16">
        <f>IFERROR(__xludf.DUMMYFUNCTION("""COMPUTED_VALUE"""),67.0)</f>
        <v>67</v>
      </c>
      <c r="F9966" s="19" t="str">
        <f>IFERROR(__xludf.DUMMYFUNCTION("""COMPUTED_VALUE"""),"BLACK")</f>
        <v>BLACK</v>
      </c>
      <c r="G9966" s="20" t="str">
        <f>IFERROR(__xludf.DUMMYFUNCTION("""COMPUTED_VALUE"""),"Uncle Sams Cider (04/04/2023)")</f>
        <v>Uncle Sams Cider (04/04/2023)</v>
      </c>
      <c r="H9966" s="19"/>
    </row>
    <row r="9967">
      <c r="A9967" s="9"/>
      <c r="B9967" s="15"/>
      <c r="C9967" s="9">
        <f>IFERROR(__xludf.DUMMYFUNCTION("""COMPUTED_VALUE"""),45039.5130797569)</f>
        <v>45039.51308</v>
      </c>
      <c r="D9967" s="15">
        <f>IFERROR(__xludf.DUMMYFUNCTION("""COMPUTED_VALUE"""),1.036)</f>
        <v>1.036</v>
      </c>
      <c r="E9967" s="16">
        <f>IFERROR(__xludf.DUMMYFUNCTION("""COMPUTED_VALUE"""),67.0)</f>
        <v>67</v>
      </c>
      <c r="F9967" s="19" t="str">
        <f>IFERROR(__xludf.DUMMYFUNCTION("""COMPUTED_VALUE"""),"BLACK")</f>
        <v>BLACK</v>
      </c>
      <c r="G9967" s="20" t="str">
        <f>IFERROR(__xludf.DUMMYFUNCTION("""COMPUTED_VALUE"""),"Uncle Sams Cider (04/04/2023)")</f>
        <v>Uncle Sams Cider (04/04/2023)</v>
      </c>
      <c r="H9967" s="19"/>
    </row>
    <row r="9968">
      <c r="A9968" s="9"/>
      <c r="B9968" s="15"/>
      <c r="C9968" s="9">
        <f>IFERROR(__xludf.DUMMYFUNCTION("""COMPUTED_VALUE"""),45039.5026466203)</f>
        <v>45039.50265</v>
      </c>
      <c r="D9968" s="15">
        <f>IFERROR(__xludf.DUMMYFUNCTION("""COMPUTED_VALUE"""),1.036)</f>
        <v>1.036</v>
      </c>
      <c r="E9968" s="16">
        <f>IFERROR(__xludf.DUMMYFUNCTION("""COMPUTED_VALUE"""),67.0)</f>
        <v>67</v>
      </c>
      <c r="F9968" s="19" t="str">
        <f>IFERROR(__xludf.DUMMYFUNCTION("""COMPUTED_VALUE"""),"BLACK")</f>
        <v>BLACK</v>
      </c>
      <c r="G9968" s="20" t="str">
        <f>IFERROR(__xludf.DUMMYFUNCTION("""COMPUTED_VALUE"""),"Uncle Sams Cider (04/04/2023)")</f>
        <v>Uncle Sams Cider (04/04/2023)</v>
      </c>
      <c r="H9968" s="19"/>
    </row>
    <row r="9969">
      <c r="A9969" s="9"/>
      <c r="B9969" s="15"/>
      <c r="C9969" s="9">
        <f>IFERROR(__xludf.DUMMYFUNCTION("""COMPUTED_VALUE"""),45039.4922259143)</f>
        <v>45039.49223</v>
      </c>
      <c r="D9969" s="15">
        <f>IFERROR(__xludf.DUMMYFUNCTION("""COMPUTED_VALUE"""),1.036)</f>
        <v>1.036</v>
      </c>
      <c r="E9969" s="16">
        <f>IFERROR(__xludf.DUMMYFUNCTION("""COMPUTED_VALUE"""),67.0)</f>
        <v>67</v>
      </c>
      <c r="F9969" s="19" t="str">
        <f>IFERROR(__xludf.DUMMYFUNCTION("""COMPUTED_VALUE"""),"BLACK")</f>
        <v>BLACK</v>
      </c>
      <c r="G9969" s="20" t="str">
        <f>IFERROR(__xludf.DUMMYFUNCTION("""COMPUTED_VALUE"""),"Uncle Sams Cider (04/04/2023)")</f>
        <v>Uncle Sams Cider (04/04/2023)</v>
      </c>
      <c r="H9969" s="19"/>
    </row>
    <row r="9970">
      <c r="A9970" s="9"/>
      <c r="B9970" s="15"/>
      <c r="C9970" s="9">
        <f>IFERROR(__xludf.DUMMYFUNCTION("""COMPUTED_VALUE"""),45039.4817942129)</f>
        <v>45039.48179</v>
      </c>
      <c r="D9970" s="15">
        <f>IFERROR(__xludf.DUMMYFUNCTION("""COMPUTED_VALUE"""),1.036)</f>
        <v>1.036</v>
      </c>
      <c r="E9970" s="16">
        <f>IFERROR(__xludf.DUMMYFUNCTION("""COMPUTED_VALUE"""),67.0)</f>
        <v>67</v>
      </c>
      <c r="F9970" s="19" t="str">
        <f>IFERROR(__xludf.DUMMYFUNCTION("""COMPUTED_VALUE"""),"BLACK")</f>
        <v>BLACK</v>
      </c>
      <c r="G9970" s="20" t="str">
        <f>IFERROR(__xludf.DUMMYFUNCTION("""COMPUTED_VALUE"""),"Uncle Sams Cider (04/04/2023)")</f>
        <v>Uncle Sams Cider (04/04/2023)</v>
      </c>
      <c r="H9970" s="19"/>
    </row>
    <row r="9971">
      <c r="A9971" s="9"/>
      <c r="B9971" s="15"/>
      <c r="C9971" s="9">
        <f>IFERROR(__xludf.DUMMYFUNCTION("""COMPUTED_VALUE"""),45039.4713739236)</f>
        <v>45039.47137</v>
      </c>
      <c r="D9971" s="15">
        <f>IFERROR(__xludf.DUMMYFUNCTION("""COMPUTED_VALUE"""),1.036)</f>
        <v>1.036</v>
      </c>
      <c r="E9971" s="16">
        <f>IFERROR(__xludf.DUMMYFUNCTION("""COMPUTED_VALUE"""),67.0)</f>
        <v>67</v>
      </c>
      <c r="F9971" s="19" t="str">
        <f>IFERROR(__xludf.DUMMYFUNCTION("""COMPUTED_VALUE"""),"BLACK")</f>
        <v>BLACK</v>
      </c>
      <c r="G9971" s="20" t="str">
        <f>IFERROR(__xludf.DUMMYFUNCTION("""COMPUTED_VALUE"""),"Uncle Sams Cider (04/04/2023)")</f>
        <v>Uncle Sams Cider (04/04/2023)</v>
      </c>
      <c r="H9971" s="19"/>
    </row>
    <row r="9972">
      <c r="A9972" s="9"/>
      <c r="B9972" s="15"/>
      <c r="C9972" s="9">
        <f>IFERROR(__xludf.DUMMYFUNCTION("""COMPUTED_VALUE"""),45039.4609518287)</f>
        <v>45039.46095</v>
      </c>
      <c r="D9972" s="15">
        <f>IFERROR(__xludf.DUMMYFUNCTION("""COMPUTED_VALUE"""),1.036)</f>
        <v>1.036</v>
      </c>
      <c r="E9972" s="16">
        <f>IFERROR(__xludf.DUMMYFUNCTION("""COMPUTED_VALUE"""),67.0)</f>
        <v>67</v>
      </c>
      <c r="F9972" s="19" t="str">
        <f>IFERROR(__xludf.DUMMYFUNCTION("""COMPUTED_VALUE"""),"BLACK")</f>
        <v>BLACK</v>
      </c>
      <c r="G9972" s="20" t="str">
        <f>IFERROR(__xludf.DUMMYFUNCTION("""COMPUTED_VALUE"""),"Uncle Sams Cider (04/04/2023)")</f>
        <v>Uncle Sams Cider (04/04/2023)</v>
      </c>
      <c r="H9972" s="19"/>
    </row>
    <row r="9973">
      <c r="A9973" s="9"/>
      <c r="B9973" s="15"/>
      <c r="C9973" s="9">
        <f>IFERROR(__xludf.DUMMYFUNCTION("""COMPUTED_VALUE"""),45039.4505197222)</f>
        <v>45039.45052</v>
      </c>
      <c r="D9973" s="15">
        <f>IFERROR(__xludf.DUMMYFUNCTION("""COMPUTED_VALUE"""),1.036)</f>
        <v>1.036</v>
      </c>
      <c r="E9973" s="16">
        <f>IFERROR(__xludf.DUMMYFUNCTION("""COMPUTED_VALUE"""),67.0)</f>
        <v>67</v>
      </c>
      <c r="F9973" s="19" t="str">
        <f>IFERROR(__xludf.DUMMYFUNCTION("""COMPUTED_VALUE"""),"BLACK")</f>
        <v>BLACK</v>
      </c>
      <c r="G9973" s="20" t="str">
        <f>IFERROR(__xludf.DUMMYFUNCTION("""COMPUTED_VALUE"""),"Uncle Sams Cider (04/04/2023)")</f>
        <v>Uncle Sams Cider (04/04/2023)</v>
      </c>
      <c r="H9973" s="19"/>
    </row>
    <row r="9974">
      <c r="A9974" s="9"/>
      <c r="B9974" s="15"/>
      <c r="C9974" s="9">
        <f>IFERROR(__xludf.DUMMYFUNCTION("""COMPUTED_VALUE"""),45039.4400729398)</f>
        <v>45039.44007</v>
      </c>
      <c r="D9974" s="15">
        <f>IFERROR(__xludf.DUMMYFUNCTION("""COMPUTED_VALUE"""),1.036)</f>
        <v>1.036</v>
      </c>
      <c r="E9974" s="16">
        <f>IFERROR(__xludf.DUMMYFUNCTION("""COMPUTED_VALUE"""),67.0)</f>
        <v>67</v>
      </c>
      <c r="F9974" s="19" t="str">
        <f>IFERROR(__xludf.DUMMYFUNCTION("""COMPUTED_VALUE"""),"BLACK")</f>
        <v>BLACK</v>
      </c>
      <c r="G9974" s="20" t="str">
        <f>IFERROR(__xludf.DUMMYFUNCTION("""COMPUTED_VALUE"""),"Uncle Sams Cider (04/04/2023)")</f>
        <v>Uncle Sams Cider (04/04/2023)</v>
      </c>
      <c r="H9974" s="19"/>
    </row>
    <row r="9975">
      <c r="A9975" s="9"/>
      <c r="B9975" s="15"/>
      <c r="C9975" s="9">
        <f>IFERROR(__xludf.DUMMYFUNCTION("""COMPUTED_VALUE"""),45039.429652037)</f>
        <v>45039.42965</v>
      </c>
      <c r="D9975" s="15">
        <f>IFERROR(__xludf.DUMMYFUNCTION("""COMPUTED_VALUE"""),1.036)</f>
        <v>1.036</v>
      </c>
      <c r="E9975" s="16">
        <f>IFERROR(__xludf.DUMMYFUNCTION("""COMPUTED_VALUE"""),67.0)</f>
        <v>67</v>
      </c>
      <c r="F9975" s="19" t="str">
        <f>IFERROR(__xludf.DUMMYFUNCTION("""COMPUTED_VALUE"""),"BLACK")</f>
        <v>BLACK</v>
      </c>
      <c r="G9975" s="20" t="str">
        <f>IFERROR(__xludf.DUMMYFUNCTION("""COMPUTED_VALUE"""),"Uncle Sams Cider (04/04/2023)")</f>
        <v>Uncle Sams Cider (04/04/2023)</v>
      </c>
      <c r="H9975" s="19"/>
    </row>
    <row r="9976">
      <c r="A9976" s="9"/>
      <c r="B9976" s="15"/>
      <c r="C9976" s="9">
        <f>IFERROR(__xludf.DUMMYFUNCTION("""COMPUTED_VALUE"""),45039.4192079861)</f>
        <v>45039.41921</v>
      </c>
      <c r="D9976" s="15">
        <f>IFERROR(__xludf.DUMMYFUNCTION("""COMPUTED_VALUE"""),1.036)</f>
        <v>1.036</v>
      </c>
      <c r="E9976" s="16">
        <f>IFERROR(__xludf.DUMMYFUNCTION("""COMPUTED_VALUE"""),67.0)</f>
        <v>67</v>
      </c>
      <c r="F9976" s="19" t="str">
        <f>IFERROR(__xludf.DUMMYFUNCTION("""COMPUTED_VALUE"""),"BLACK")</f>
        <v>BLACK</v>
      </c>
      <c r="G9976" s="20" t="str">
        <f>IFERROR(__xludf.DUMMYFUNCTION("""COMPUTED_VALUE"""),"Uncle Sams Cider (04/04/2023)")</f>
        <v>Uncle Sams Cider (04/04/2023)</v>
      </c>
      <c r="H9976" s="19"/>
    </row>
    <row r="9977">
      <c r="A9977" s="9"/>
      <c r="B9977" s="15"/>
      <c r="C9977" s="9">
        <f>IFERROR(__xludf.DUMMYFUNCTION("""COMPUTED_VALUE"""),45039.408764618)</f>
        <v>45039.40876</v>
      </c>
      <c r="D9977" s="15">
        <f>IFERROR(__xludf.DUMMYFUNCTION("""COMPUTED_VALUE"""),1.036)</f>
        <v>1.036</v>
      </c>
      <c r="E9977" s="16">
        <f>IFERROR(__xludf.DUMMYFUNCTION("""COMPUTED_VALUE"""),67.0)</f>
        <v>67</v>
      </c>
      <c r="F9977" s="19" t="str">
        <f>IFERROR(__xludf.DUMMYFUNCTION("""COMPUTED_VALUE"""),"BLACK")</f>
        <v>BLACK</v>
      </c>
      <c r="G9977" s="20" t="str">
        <f>IFERROR(__xludf.DUMMYFUNCTION("""COMPUTED_VALUE"""),"Uncle Sams Cider (04/04/2023)")</f>
        <v>Uncle Sams Cider (04/04/2023)</v>
      </c>
      <c r="H9977" s="19"/>
    </row>
    <row r="9978">
      <c r="A9978" s="9"/>
      <c r="B9978" s="15"/>
      <c r="C9978" s="9">
        <f>IFERROR(__xludf.DUMMYFUNCTION("""COMPUTED_VALUE"""),45039.3983435763)</f>
        <v>45039.39834</v>
      </c>
      <c r="D9978" s="15">
        <f>IFERROR(__xludf.DUMMYFUNCTION("""COMPUTED_VALUE"""),1.036)</f>
        <v>1.036</v>
      </c>
      <c r="E9978" s="16">
        <f>IFERROR(__xludf.DUMMYFUNCTION("""COMPUTED_VALUE"""),67.0)</f>
        <v>67</v>
      </c>
      <c r="F9978" s="19" t="str">
        <f>IFERROR(__xludf.DUMMYFUNCTION("""COMPUTED_VALUE"""),"BLACK")</f>
        <v>BLACK</v>
      </c>
      <c r="G9978" s="20" t="str">
        <f>IFERROR(__xludf.DUMMYFUNCTION("""COMPUTED_VALUE"""),"Uncle Sams Cider (04/04/2023)")</f>
        <v>Uncle Sams Cider (04/04/2023)</v>
      </c>
      <c r="H9978" s="19"/>
    </row>
    <row r="9979">
      <c r="A9979" s="9"/>
      <c r="B9979" s="15"/>
      <c r="C9979" s="9">
        <f>IFERROR(__xludf.DUMMYFUNCTION("""COMPUTED_VALUE"""),45039.3879221643)</f>
        <v>45039.38792</v>
      </c>
      <c r="D9979" s="15">
        <f>IFERROR(__xludf.DUMMYFUNCTION("""COMPUTED_VALUE"""),1.036)</f>
        <v>1.036</v>
      </c>
      <c r="E9979" s="16">
        <f>IFERROR(__xludf.DUMMYFUNCTION("""COMPUTED_VALUE"""),67.0)</f>
        <v>67</v>
      </c>
      <c r="F9979" s="19" t="str">
        <f>IFERROR(__xludf.DUMMYFUNCTION("""COMPUTED_VALUE"""),"BLACK")</f>
        <v>BLACK</v>
      </c>
      <c r="G9979" s="20" t="str">
        <f>IFERROR(__xludf.DUMMYFUNCTION("""COMPUTED_VALUE"""),"Uncle Sams Cider (04/04/2023)")</f>
        <v>Uncle Sams Cider (04/04/2023)</v>
      </c>
      <c r="H9979" s="19"/>
    </row>
    <row r="9980">
      <c r="A9980" s="9"/>
      <c r="B9980" s="15"/>
      <c r="C9980" s="9">
        <f>IFERROR(__xludf.DUMMYFUNCTION("""COMPUTED_VALUE"""),45039.3775008217)</f>
        <v>45039.3775</v>
      </c>
      <c r="D9980" s="15">
        <f>IFERROR(__xludf.DUMMYFUNCTION("""COMPUTED_VALUE"""),1.037)</f>
        <v>1.037</v>
      </c>
      <c r="E9980" s="16">
        <f>IFERROR(__xludf.DUMMYFUNCTION("""COMPUTED_VALUE"""),67.0)</f>
        <v>67</v>
      </c>
      <c r="F9980" s="19" t="str">
        <f>IFERROR(__xludf.DUMMYFUNCTION("""COMPUTED_VALUE"""),"BLACK")</f>
        <v>BLACK</v>
      </c>
      <c r="G9980" s="20" t="str">
        <f>IFERROR(__xludf.DUMMYFUNCTION("""COMPUTED_VALUE"""),"Uncle Sams Cider (04/04/2023)")</f>
        <v>Uncle Sams Cider (04/04/2023)</v>
      </c>
      <c r="H9980" s="19"/>
    </row>
    <row r="9981">
      <c r="A9981" s="9"/>
      <c r="B9981" s="15"/>
      <c r="C9981" s="9">
        <f>IFERROR(__xludf.DUMMYFUNCTION("""COMPUTED_VALUE"""),45039.3670798148)</f>
        <v>45039.36708</v>
      </c>
      <c r="D9981" s="15">
        <f>IFERROR(__xludf.DUMMYFUNCTION("""COMPUTED_VALUE"""),1.037)</f>
        <v>1.037</v>
      </c>
      <c r="E9981" s="16">
        <f>IFERROR(__xludf.DUMMYFUNCTION("""COMPUTED_VALUE"""),67.0)</f>
        <v>67</v>
      </c>
      <c r="F9981" s="19" t="str">
        <f>IFERROR(__xludf.DUMMYFUNCTION("""COMPUTED_VALUE"""),"BLACK")</f>
        <v>BLACK</v>
      </c>
      <c r="G9981" s="20" t="str">
        <f>IFERROR(__xludf.DUMMYFUNCTION("""COMPUTED_VALUE"""),"Uncle Sams Cider (04/04/2023)")</f>
        <v>Uncle Sams Cider (04/04/2023)</v>
      </c>
      <c r="H9981" s="19"/>
    </row>
    <row r="9982">
      <c r="A9982" s="9"/>
      <c r="B9982" s="15"/>
      <c r="C9982" s="9">
        <f>IFERROR(__xludf.DUMMYFUNCTION("""COMPUTED_VALUE"""),45039.3566602662)</f>
        <v>45039.35666</v>
      </c>
      <c r="D9982" s="15">
        <f>IFERROR(__xludf.DUMMYFUNCTION("""COMPUTED_VALUE"""),1.036)</f>
        <v>1.036</v>
      </c>
      <c r="E9982" s="16">
        <f>IFERROR(__xludf.DUMMYFUNCTION("""COMPUTED_VALUE"""),67.0)</f>
        <v>67</v>
      </c>
      <c r="F9982" s="19" t="str">
        <f>IFERROR(__xludf.DUMMYFUNCTION("""COMPUTED_VALUE"""),"BLACK")</f>
        <v>BLACK</v>
      </c>
      <c r="G9982" s="20" t="str">
        <f>IFERROR(__xludf.DUMMYFUNCTION("""COMPUTED_VALUE"""),"Uncle Sams Cider (04/04/2023)")</f>
        <v>Uncle Sams Cider (04/04/2023)</v>
      </c>
      <c r="H9982" s="19"/>
    </row>
    <row r="9983">
      <c r="A9983" s="9"/>
      <c r="B9983" s="15"/>
      <c r="C9983" s="9">
        <f>IFERROR(__xludf.DUMMYFUNCTION("""COMPUTED_VALUE"""),45039.3462403588)</f>
        <v>45039.34624</v>
      </c>
      <c r="D9983" s="15">
        <f>IFERROR(__xludf.DUMMYFUNCTION("""COMPUTED_VALUE"""),1.037)</f>
        <v>1.037</v>
      </c>
      <c r="E9983" s="16">
        <f>IFERROR(__xludf.DUMMYFUNCTION("""COMPUTED_VALUE"""),67.0)</f>
        <v>67</v>
      </c>
      <c r="F9983" s="19" t="str">
        <f>IFERROR(__xludf.DUMMYFUNCTION("""COMPUTED_VALUE"""),"BLACK")</f>
        <v>BLACK</v>
      </c>
      <c r="G9983" s="20" t="str">
        <f>IFERROR(__xludf.DUMMYFUNCTION("""COMPUTED_VALUE"""),"Uncle Sams Cider (04/04/2023)")</f>
        <v>Uncle Sams Cider (04/04/2023)</v>
      </c>
      <c r="H9983" s="19"/>
    </row>
    <row r="9984">
      <c r="A9984" s="9"/>
      <c r="B9984" s="15"/>
      <c r="C9984" s="9">
        <f>IFERROR(__xludf.DUMMYFUNCTION("""COMPUTED_VALUE"""),45039.3358174652)</f>
        <v>45039.33582</v>
      </c>
      <c r="D9984" s="15">
        <f>IFERROR(__xludf.DUMMYFUNCTION("""COMPUTED_VALUE"""),1.036)</f>
        <v>1.036</v>
      </c>
      <c r="E9984" s="16">
        <f>IFERROR(__xludf.DUMMYFUNCTION("""COMPUTED_VALUE"""),67.0)</f>
        <v>67</v>
      </c>
      <c r="F9984" s="19" t="str">
        <f>IFERROR(__xludf.DUMMYFUNCTION("""COMPUTED_VALUE"""),"BLACK")</f>
        <v>BLACK</v>
      </c>
      <c r="G9984" s="20" t="str">
        <f>IFERROR(__xludf.DUMMYFUNCTION("""COMPUTED_VALUE"""),"Uncle Sams Cider (04/04/2023)")</f>
        <v>Uncle Sams Cider (04/04/2023)</v>
      </c>
      <c r="H9984" s="19"/>
    </row>
    <row r="9985">
      <c r="A9985" s="9"/>
      <c r="B9985" s="15"/>
      <c r="C9985" s="9">
        <f>IFERROR(__xludf.DUMMYFUNCTION("""COMPUTED_VALUE"""),45039.3253744791)</f>
        <v>45039.32537</v>
      </c>
      <c r="D9985" s="15">
        <f>IFERROR(__xludf.DUMMYFUNCTION("""COMPUTED_VALUE"""),1.036)</f>
        <v>1.036</v>
      </c>
      <c r="E9985" s="16">
        <f>IFERROR(__xludf.DUMMYFUNCTION("""COMPUTED_VALUE"""),67.0)</f>
        <v>67</v>
      </c>
      <c r="F9985" s="19" t="str">
        <f>IFERROR(__xludf.DUMMYFUNCTION("""COMPUTED_VALUE"""),"BLACK")</f>
        <v>BLACK</v>
      </c>
      <c r="G9985" s="20" t="str">
        <f>IFERROR(__xludf.DUMMYFUNCTION("""COMPUTED_VALUE"""),"Uncle Sams Cider (04/04/2023)")</f>
        <v>Uncle Sams Cider (04/04/2023)</v>
      </c>
      <c r="H9985" s="19"/>
    </row>
    <row r="9986">
      <c r="A9986" s="9"/>
      <c r="B9986" s="15"/>
      <c r="C9986" s="9">
        <f>IFERROR(__xludf.DUMMYFUNCTION("""COMPUTED_VALUE"""),45039.3149548495)</f>
        <v>45039.31495</v>
      </c>
      <c r="D9986" s="15">
        <f>IFERROR(__xludf.DUMMYFUNCTION("""COMPUTED_VALUE"""),1.036)</f>
        <v>1.036</v>
      </c>
      <c r="E9986" s="16">
        <f>IFERROR(__xludf.DUMMYFUNCTION("""COMPUTED_VALUE"""),67.0)</f>
        <v>67</v>
      </c>
      <c r="F9986" s="19" t="str">
        <f>IFERROR(__xludf.DUMMYFUNCTION("""COMPUTED_VALUE"""),"BLACK")</f>
        <v>BLACK</v>
      </c>
      <c r="G9986" s="20" t="str">
        <f>IFERROR(__xludf.DUMMYFUNCTION("""COMPUTED_VALUE"""),"Uncle Sams Cider (04/04/2023)")</f>
        <v>Uncle Sams Cider (04/04/2023)</v>
      </c>
      <c r="H9986" s="19"/>
    </row>
    <row r="9987">
      <c r="A9987" s="9"/>
      <c r="B9987" s="15"/>
      <c r="C9987" s="9">
        <f>IFERROR(__xludf.DUMMYFUNCTION("""COMPUTED_VALUE"""),45039.3045112384)</f>
        <v>45039.30451</v>
      </c>
      <c r="D9987" s="15">
        <f>IFERROR(__xludf.DUMMYFUNCTION("""COMPUTED_VALUE"""),1.036)</f>
        <v>1.036</v>
      </c>
      <c r="E9987" s="16">
        <f>IFERROR(__xludf.DUMMYFUNCTION("""COMPUTED_VALUE"""),67.0)</f>
        <v>67</v>
      </c>
      <c r="F9987" s="19" t="str">
        <f>IFERROR(__xludf.DUMMYFUNCTION("""COMPUTED_VALUE"""),"BLACK")</f>
        <v>BLACK</v>
      </c>
      <c r="G9987" s="20" t="str">
        <f>IFERROR(__xludf.DUMMYFUNCTION("""COMPUTED_VALUE"""),"Uncle Sams Cider (04/04/2023)")</f>
        <v>Uncle Sams Cider (04/04/2023)</v>
      </c>
      <c r="H9987" s="19"/>
    </row>
    <row r="9988">
      <c r="A9988" s="9"/>
      <c r="B9988" s="15"/>
      <c r="C9988" s="9">
        <f>IFERROR(__xludf.DUMMYFUNCTION("""COMPUTED_VALUE"""),45039.294089375)</f>
        <v>45039.29409</v>
      </c>
      <c r="D9988" s="15">
        <f>IFERROR(__xludf.DUMMYFUNCTION("""COMPUTED_VALUE"""),1.036)</f>
        <v>1.036</v>
      </c>
      <c r="E9988" s="16">
        <f>IFERROR(__xludf.DUMMYFUNCTION("""COMPUTED_VALUE"""),67.0)</f>
        <v>67</v>
      </c>
      <c r="F9988" s="19" t="str">
        <f>IFERROR(__xludf.DUMMYFUNCTION("""COMPUTED_VALUE"""),"BLACK")</f>
        <v>BLACK</v>
      </c>
      <c r="G9988" s="20" t="str">
        <f>IFERROR(__xludf.DUMMYFUNCTION("""COMPUTED_VALUE"""),"Uncle Sams Cider (04/04/2023)")</f>
        <v>Uncle Sams Cider (04/04/2023)</v>
      </c>
      <c r="H9988" s="19"/>
    </row>
    <row r="9989">
      <c r="A9989" s="9"/>
      <c r="B9989" s="15"/>
      <c r="C9989" s="9">
        <f>IFERROR(__xludf.DUMMYFUNCTION("""COMPUTED_VALUE"""),45039.2836692824)</f>
        <v>45039.28367</v>
      </c>
      <c r="D9989" s="15">
        <f>IFERROR(__xludf.DUMMYFUNCTION("""COMPUTED_VALUE"""),1.037)</f>
        <v>1.037</v>
      </c>
      <c r="E9989" s="16">
        <f>IFERROR(__xludf.DUMMYFUNCTION("""COMPUTED_VALUE"""),67.0)</f>
        <v>67</v>
      </c>
      <c r="F9989" s="19" t="str">
        <f>IFERROR(__xludf.DUMMYFUNCTION("""COMPUTED_VALUE"""),"BLACK")</f>
        <v>BLACK</v>
      </c>
      <c r="G9989" s="20" t="str">
        <f>IFERROR(__xludf.DUMMYFUNCTION("""COMPUTED_VALUE"""),"Uncle Sams Cider (04/04/2023)")</f>
        <v>Uncle Sams Cider (04/04/2023)</v>
      </c>
      <c r="H9989" s="19"/>
    </row>
    <row r="9990">
      <c r="A9990" s="9"/>
      <c r="B9990" s="15"/>
      <c r="C9990" s="9">
        <f>IFERROR(__xludf.DUMMYFUNCTION("""COMPUTED_VALUE"""),45039.2732490509)</f>
        <v>45039.27325</v>
      </c>
      <c r="D9990" s="15">
        <f>IFERROR(__xludf.DUMMYFUNCTION("""COMPUTED_VALUE"""),1.037)</f>
        <v>1.037</v>
      </c>
      <c r="E9990" s="16">
        <f>IFERROR(__xludf.DUMMYFUNCTION("""COMPUTED_VALUE"""),67.0)</f>
        <v>67</v>
      </c>
      <c r="F9990" s="19" t="str">
        <f>IFERROR(__xludf.DUMMYFUNCTION("""COMPUTED_VALUE"""),"BLACK")</f>
        <v>BLACK</v>
      </c>
      <c r="G9990" s="20" t="str">
        <f>IFERROR(__xludf.DUMMYFUNCTION("""COMPUTED_VALUE"""),"Uncle Sams Cider (04/04/2023)")</f>
        <v>Uncle Sams Cider (04/04/2023)</v>
      </c>
      <c r="H9990" s="19"/>
    </row>
    <row r="9991">
      <c r="A9991" s="9"/>
      <c r="B9991" s="15"/>
      <c r="C9991" s="9">
        <f>IFERROR(__xludf.DUMMYFUNCTION("""COMPUTED_VALUE"""),45039.2628162731)</f>
        <v>45039.26282</v>
      </c>
      <c r="D9991" s="15">
        <f>IFERROR(__xludf.DUMMYFUNCTION("""COMPUTED_VALUE"""),1.037)</f>
        <v>1.037</v>
      </c>
      <c r="E9991" s="16">
        <f>IFERROR(__xludf.DUMMYFUNCTION("""COMPUTED_VALUE"""),67.0)</f>
        <v>67</v>
      </c>
      <c r="F9991" s="19" t="str">
        <f>IFERROR(__xludf.DUMMYFUNCTION("""COMPUTED_VALUE"""),"BLACK")</f>
        <v>BLACK</v>
      </c>
      <c r="G9991" s="20" t="str">
        <f>IFERROR(__xludf.DUMMYFUNCTION("""COMPUTED_VALUE"""),"Uncle Sams Cider (04/04/2023)")</f>
        <v>Uncle Sams Cider (04/04/2023)</v>
      </c>
      <c r="H9991" s="19"/>
    </row>
    <row r="9992">
      <c r="A9992" s="9"/>
      <c r="B9992" s="15"/>
      <c r="C9992" s="9">
        <f>IFERROR(__xludf.DUMMYFUNCTION("""COMPUTED_VALUE"""),45039.2523952777)</f>
        <v>45039.2524</v>
      </c>
      <c r="D9992" s="15">
        <f>IFERROR(__xludf.DUMMYFUNCTION("""COMPUTED_VALUE"""),1.036)</f>
        <v>1.036</v>
      </c>
      <c r="E9992" s="16">
        <f>IFERROR(__xludf.DUMMYFUNCTION("""COMPUTED_VALUE"""),67.0)</f>
        <v>67</v>
      </c>
      <c r="F9992" s="19" t="str">
        <f>IFERROR(__xludf.DUMMYFUNCTION("""COMPUTED_VALUE"""),"BLACK")</f>
        <v>BLACK</v>
      </c>
      <c r="G9992" s="20" t="str">
        <f>IFERROR(__xludf.DUMMYFUNCTION("""COMPUTED_VALUE"""),"Uncle Sams Cider (04/04/2023)")</f>
        <v>Uncle Sams Cider (04/04/2023)</v>
      </c>
      <c r="H9992" s="19"/>
    </row>
    <row r="9993">
      <c r="A9993" s="9"/>
      <c r="B9993" s="15"/>
      <c r="C9993" s="9">
        <f>IFERROR(__xludf.DUMMYFUNCTION("""COMPUTED_VALUE"""),45039.2419750347)</f>
        <v>45039.24198</v>
      </c>
      <c r="D9993" s="15">
        <f>IFERROR(__xludf.DUMMYFUNCTION("""COMPUTED_VALUE"""),1.037)</f>
        <v>1.037</v>
      </c>
      <c r="E9993" s="16">
        <f>IFERROR(__xludf.DUMMYFUNCTION("""COMPUTED_VALUE"""),67.0)</f>
        <v>67</v>
      </c>
      <c r="F9993" s="19" t="str">
        <f>IFERROR(__xludf.DUMMYFUNCTION("""COMPUTED_VALUE"""),"BLACK")</f>
        <v>BLACK</v>
      </c>
      <c r="G9993" s="20" t="str">
        <f>IFERROR(__xludf.DUMMYFUNCTION("""COMPUTED_VALUE"""),"Uncle Sams Cider (04/04/2023)")</f>
        <v>Uncle Sams Cider (04/04/2023)</v>
      </c>
      <c r="H9993" s="19"/>
    </row>
    <row r="9994">
      <c r="A9994" s="9"/>
      <c r="B9994" s="15"/>
      <c r="C9994" s="9">
        <f>IFERROR(__xludf.DUMMYFUNCTION("""COMPUTED_VALUE"""),45039.2315553472)</f>
        <v>45039.23156</v>
      </c>
      <c r="D9994" s="15">
        <f>IFERROR(__xludf.DUMMYFUNCTION("""COMPUTED_VALUE"""),1.037)</f>
        <v>1.037</v>
      </c>
      <c r="E9994" s="16">
        <f>IFERROR(__xludf.DUMMYFUNCTION("""COMPUTED_VALUE"""),67.0)</f>
        <v>67</v>
      </c>
      <c r="F9994" s="19" t="str">
        <f>IFERROR(__xludf.DUMMYFUNCTION("""COMPUTED_VALUE"""),"BLACK")</f>
        <v>BLACK</v>
      </c>
      <c r="G9994" s="20" t="str">
        <f>IFERROR(__xludf.DUMMYFUNCTION("""COMPUTED_VALUE"""),"Uncle Sams Cider (04/04/2023)")</f>
        <v>Uncle Sams Cider (04/04/2023)</v>
      </c>
      <c r="H9994" s="19"/>
    </row>
    <row r="9995">
      <c r="A9995" s="9"/>
      <c r="B9995" s="15"/>
      <c r="C9995" s="9">
        <f>IFERROR(__xludf.DUMMYFUNCTION("""COMPUTED_VALUE"""),45039.2211212962)</f>
        <v>45039.22112</v>
      </c>
      <c r="D9995" s="15">
        <f>IFERROR(__xludf.DUMMYFUNCTION("""COMPUTED_VALUE"""),1.037)</f>
        <v>1.037</v>
      </c>
      <c r="E9995" s="16">
        <f>IFERROR(__xludf.DUMMYFUNCTION("""COMPUTED_VALUE"""),67.0)</f>
        <v>67</v>
      </c>
      <c r="F9995" s="19" t="str">
        <f>IFERROR(__xludf.DUMMYFUNCTION("""COMPUTED_VALUE"""),"BLACK")</f>
        <v>BLACK</v>
      </c>
      <c r="G9995" s="20" t="str">
        <f>IFERROR(__xludf.DUMMYFUNCTION("""COMPUTED_VALUE"""),"Uncle Sams Cider (04/04/2023)")</f>
        <v>Uncle Sams Cider (04/04/2023)</v>
      </c>
      <c r="H9995" s="19"/>
    </row>
    <row r="9996">
      <c r="A9996" s="9"/>
      <c r="B9996" s="15"/>
      <c r="C9996" s="9">
        <f>IFERROR(__xludf.DUMMYFUNCTION("""COMPUTED_VALUE"""),45039.2106880208)</f>
        <v>45039.21069</v>
      </c>
      <c r="D9996" s="15">
        <f>IFERROR(__xludf.DUMMYFUNCTION("""COMPUTED_VALUE"""),1.037)</f>
        <v>1.037</v>
      </c>
      <c r="E9996" s="16">
        <f>IFERROR(__xludf.DUMMYFUNCTION("""COMPUTED_VALUE"""),67.0)</f>
        <v>67</v>
      </c>
      <c r="F9996" s="19" t="str">
        <f>IFERROR(__xludf.DUMMYFUNCTION("""COMPUTED_VALUE"""),"BLACK")</f>
        <v>BLACK</v>
      </c>
      <c r="G9996" s="20" t="str">
        <f>IFERROR(__xludf.DUMMYFUNCTION("""COMPUTED_VALUE"""),"Uncle Sams Cider (04/04/2023)")</f>
        <v>Uncle Sams Cider (04/04/2023)</v>
      </c>
      <c r="H9996" s="19"/>
    </row>
    <row r="9997">
      <c r="A9997" s="9"/>
      <c r="B9997" s="15"/>
      <c r="C9997" s="9">
        <f>IFERROR(__xludf.DUMMYFUNCTION("""COMPUTED_VALUE"""),45039.2002557291)</f>
        <v>45039.20026</v>
      </c>
      <c r="D9997" s="15">
        <f>IFERROR(__xludf.DUMMYFUNCTION("""COMPUTED_VALUE"""),1.037)</f>
        <v>1.037</v>
      </c>
      <c r="E9997" s="16">
        <f>IFERROR(__xludf.DUMMYFUNCTION("""COMPUTED_VALUE"""),67.0)</f>
        <v>67</v>
      </c>
      <c r="F9997" s="19" t="str">
        <f>IFERROR(__xludf.DUMMYFUNCTION("""COMPUTED_VALUE"""),"BLACK")</f>
        <v>BLACK</v>
      </c>
      <c r="G9997" s="20" t="str">
        <f>IFERROR(__xludf.DUMMYFUNCTION("""COMPUTED_VALUE"""),"Uncle Sams Cider (04/04/2023)")</f>
        <v>Uncle Sams Cider (04/04/2023)</v>
      </c>
      <c r="H9997" s="19"/>
    </row>
    <row r="9998">
      <c r="A9998" s="9"/>
      <c r="B9998" s="15"/>
      <c r="C9998" s="9">
        <f>IFERROR(__xludf.DUMMYFUNCTION("""COMPUTED_VALUE"""),45039.1898329976)</f>
        <v>45039.18983</v>
      </c>
      <c r="D9998" s="15">
        <f>IFERROR(__xludf.DUMMYFUNCTION("""COMPUTED_VALUE"""),1.037)</f>
        <v>1.037</v>
      </c>
      <c r="E9998" s="16">
        <f>IFERROR(__xludf.DUMMYFUNCTION("""COMPUTED_VALUE"""),67.0)</f>
        <v>67</v>
      </c>
      <c r="F9998" s="19" t="str">
        <f>IFERROR(__xludf.DUMMYFUNCTION("""COMPUTED_VALUE"""),"BLACK")</f>
        <v>BLACK</v>
      </c>
      <c r="G9998" s="20" t="str">
        <f>IFERROR(__xludf.DUMMYFUNCTION("""COMPUTED_VALUE"""),"Uncle Sams Cider (04/04/2023)")</f>
        <v>Uncle Sams Cider (04/04/2023)</v>
      </c>
      <c r="H9998" s="19"/>
    </row>
    <row r="9999">
      <c r="A9999" s="9"/>
      <c r="B9999" s="15"/>
      <c r="C9999" s="9">
        <f>IFERROR(__xludf.DUMMYFUNCTION("""COMPUTED_VALUE"""),45039.1794120138)</f>
        <v>45039.17941</v>
      </c>
      <c r="D9999" s="15">
        <f>IFERROR(__xludf.DUMMYFUNCTION("""COMPUTED_VALUE"""),1.037)</f>
        <v>1.037</v>
      </c>
      <c r="E9999" s="16">
        <f>IFERROR(__xludf.DUMMYFUNCTION("""COMPUTED_VALUE"""),67.0)</f>
        <v>67</v>
      </c>
      <c r="F9999" s="19" t="str">
        <f>IFERROR(__xludf.DUMMYFUNCTION("""COMPUTED_VALUE"""),"BLACK")</f>
        <v>BLACK</v>
      </c>
      <c r="G9999" s="20" t="str">
        <f>IFERROR(__xludf.DUMMYFUNCTION("""COMPUTED_VALUE"""),"Uncle Sams Cider (04/04/2023)")</f>
        <v>Uncle Sams Cider (04/04/2023)</v>
      </c>
      <c r="H9999" s="19"/>
    </row>
    <row r="10000">
      <c r="A10000" s="9"/>
      <c r="B10000" s="15"/>
      <c r="C10000" s="9">
        <f>IFERROR(__xludf.DUMMYFUNCTION("""COMPUTED_VALUE"""),45039.168990787)</f>
        <v>45039.16899</v>
      </c>
      <c r="D10000" s="15">
        <f>IFERROR(__xludf.DUMMYFUNCTION("""COMPUTED_VALUE"""),1.037)</f>
        <v>1.037</v>
      </c>
      <c r="E10000" s="16">
        <f>IFERROR(__xludf.DUMMYFUNCTION("""COMPUTED_VALUE"""),67.0)</f>
        <v>67</v>
      </c>
      <c r="F10000" s="19" t="str">
        <f>IFERROR(__xludf.DUMMYFUNCTION("""COMPUTED_VALUE"""),"BLACK")</f>
        <v>BLACK</v>
      </c>
      <c r="G10000" s="20" t="str">
        <f>IFERROR(__xludf.DUMMYFUNCTION("""COMPUTED_VALUE"""),"Uncle Sams Cider (04/04/2023)")</f>
        <v>Uncle Sams Cider (04/04/2023)</v>
      </c>
      <c r="H10000" s="19"/>
    </row>
    <row r="10001">
      <c r="A10001" s="9"/>
      <c r="B10001" s="15"/>
      <c r="C10001" s="9">
        <f>IFERROR(__xludf.DUMMYFUNCTION("""COMPUTED_VALUE"""),45039.1585689351)</f>
        <v>45039.15857</v>
      </c>
      <c r="D10001" s="15">
        <f>IFERROR(__xludf.DUMMYFUNCTION("""COMPUTED_VALUE"""),1.037)</f>
        <v>1.037</v>
      </c>
      <c r="E10001" s="16">
        <f>IFERROR(__xludf.DUMMYFUNCTION("""COMPUTED_VALUE"""),67.0)</f>
        <v>67</v>
      </c>
      <c r="F10001" s="19" t="str">
        <f>IFERROR(__xludf.DUMMYFUNCTION("""COMPUTED_VALUE"""),"BLACK")</f>
        <v>BLACK</v>
      </c>
      <c r="G10001" s="20" t="str">
        <f>IFERROR(__xludf.DUMMYFUNCTION("""COMPUTED_VALUE"""),"Uncle Sams Cider (04/04/2023)")</f>
        <v>Uncle Sams Cider (04/04/2023)</v>
      </c>
      <c r="H10001" s="19"/>
    </row>
    <row r="10002">
      <c r="A10002" s="9"/>
      <c r="B10002" s="15"/>
      <c r="C10002" s="9">
        <f>IFERROR(__xludf.DUMMYFUNCTION("""COMPUTED_VALUE"""),45039.148147199)</f>
        <v>45039.14815</v>
      </c>
      <c r="D10002" s="15">
        <f>IFERROR(__xludf.DUMMYFUNCTION("""COMPUTED_VALUE"""),1.037)</f>
        <v>1.037</v>
      </c>
      <c r="E10002" s="16">
        <f>IFERROR(__xludf.DUMMYFUNCTION("""COMPUTED_VALUE"""),67.0)</f>
        <v>67</v>
      </c>
      <c r="F10002" s="19" t="str">
        <f>IFERROR(__xludf.DUMMYFUNCTION("""COMPUTED_VALUE"""),"BLACK")</f>
        <v>BLACK</v>
      </c>
      <c r="G10002" s="20" t="str">
        <f>IFERROR(__xludf.DUMMYFUNCTION("""COMPUTED_VALUE"""),"Uncle Sams Cider (04/04/2023)")</f>
        <v>Uncle Sams Cider (04/04/2023)</v>
      </c>
      <c r="H10002" s="19"/>
    </row>
    <row r="10003">
      <c r="A10003" s="9"/>
      <c r="B10003" s="15"/>
      <c r="C10003" s="9">
        <f>IFERROR(__xludf.DUMMYFUNCTION("""COMPUTED_VALUE"""),45039.1377262268)</f>
        <v>45039.13773</v>
      </c>
      <c r="D10003" s="15">
        <f>IFERROR(__xludf.DUMMYFUNCTION("""COMPUTED_VALUE"""),1.037)</f>
        <v>1.037</v>
      </c>
      <c r="E10003" s="16">
        <f>IFERROR(__xludf.DUMMYFUNCTION("""COMPUTED_VALUE"""),67.0)</f>
        <v>67</v>
      </c>
      <c r="F10003" s="19" t="str">
        <f>IFERROR(__xludf.DUMMYFUNCTION("""COMPUTED_VALUE"""),"BLACK")</f>
        <v>BLACK</v>
      </c>
      <c r="G10003" s="20" t="str">
        <f>IFERROR(__xludf.DUMMYFUNCTION("""COMPUTED_VALUE"""),"Uncle Sams Cider (04/04/2023)")</f>
        <v>Uncle Sams Cider (04/04/2023)</v>
      </c>
      <c r="H10003" s="19"/>
    </row>
    <row r="10004">
      <c r="A10004" s="9"/>
      <c r="B10004" s="15"/>
      <c r="C10004" s="9">
        <f>IFERROR(__xludf.DUMMYFUNCTION("""COMPUTED_VALUE"""),45039.1272795601)</f>
        <v>45039.12728</v>
      </c>
      <c r="D10004" s="15">
        <f>IFERROR(__xludf.DUMMYFUNCTION("""COMPUTED_VALUE"""),1.037)</f>
        <v>1.037</v>
      </c>
      <c r="E10004" s="16">
        <f>IFERROR(__xludf.DUMMYFUNCTION("""COMPUTED_VALUE"""),67.0)</f>
        <v>67</v>
      </c>
      <c r="F10004" s="19" t="str">
        <f>IFERROR(__xludf.DUMMYFUNCTION("""COMPUTED_VALUE"""),"BLACK")</f>
        <v>BLACK</v>
      </c>
      <c r="G10004" s="20" t="str">
        <f>IFERROR(__xludf.DUMMYFUNCTION("""COMPUTED_VALUE"""),"Uncle Sams Cider (04/04/2023)")</f>
        <v>Uncle Sams Cider (04/04/2023)</v>
      </c>
      <c r="H10004" s="19"/>
    </row>
    <row r="10005">
      <c r="A10005" s="9"/>
      <c r="B10005" s="15"/>
      <c r="C10005" s="9">
        <f>IFERROR(__xludf.DUMMYFUNCTION("""COMPUTED_VALUE"""),45039.1168566782)</f>
        <v>45039.11686</v>
      </c>
      <c r="D10005" s="15">
        <f>IFERROR(__xludf.DUMMYFUNCTION("""COMPUTED_VALUE"""),1.037)</f>
        <v>1.037</v>
      </c>
      <c r="E10005" s="16">
        <f>IFERROR(__xludf.DUMMYFUNCTION("""COMPUTED_VALUE"""),67.0)</f>
        <v>67</v>
      </c>
      <c r="F10005" s="19" t="str">
        <f>IFERROR(__xludf.DUMMYFUNCTION("""COMPUTED_VALUE"""),"BLACK")</f>
        <v>BLACK</v>
      </c>
      <c r="G10005" s="20" t="str">
        <f>IFERROR(__xludf.DUMMYFUNCTION("""COMPUTED_VALUE"""),"Uncle Sams Cider (04/04/2023)")</f>
        <v>Uncle Sams Cider (04/04/2023)</v>
      </c>
      <c r="H10005" s="19"/>
    </row>
    <row r="10006">
      <c r="A10006" s="9"/>
      <c r="B10006" s="15"/>
      <c r="C10006" s="9">
        <f>IFERROR(__xludf.DUMMYFUNCTION("""COMPUTED_VALUE"""),45039.1064352662)</f>
        <v>45039.10644</v>
      </c>
      <c r="D10006" s="15">
        <f>IFERROR(__xludf.DUMMYFUNCTION("""COMPUTED_VALUE"""),1.037)</f>
        <v>1.037</v>
      </c>
      <c r="E10006" s="16">
        <f>IFERROR(__xludf.DUMMYFUNCTION("""COMPUTED_VALUE"""),67.0)</f>
        <v>67</v>
      </c>
      <c r="F10006" s="19" t="str">
        <f>IFERROR(__xludf.DUMMYFUNCTION("""COMPUTED_VALUE"""),"BLACK")</f>
        <v>BLACK</v>
      </c>
      <c r="G10006" s="20" t="str">
        <f>IFERROR(__xludf.DUMMYFUNCTION("""COMPUTED_VALUE"""),"Uncle Sams Cider (04/04/2023)")</f>
        <v>Uncle Sams Cider (04/04/2023)</v>
      </c>
      <c r="H10006" s="19"/>
    </row>
    <row r="10007">
      <c r="A10007" s="9"/>
      <c r="B10007" s="15"/>
      <c r="C10007" s="9">
        <f>IFERROR(__xludf.DUMMYFUNCTION("""COMPUTED_VALUE"""),45039.0960146759)</f>
        <v>45039.09601</v>
      </c>
      <c r="D10007" s="15">
        <f>IFERROR(__xludf.DUMMYFUNCTION("""COMPUTED_VALUE"""),1.037)</f>
        <v>1.037</v>
      </c>
      <c r="E10007" s="16">
        <f>IFERROR(__xludf.DUMMYFUNCTION("""COMPUTED_VALUE"""),67.0)</f>
        <v>67</v>
      </c>
      <c r="F10007" s="19" t="str">
        <f>IFERROR(__xludf.DUMMYFUNCTION("""COMPUTED_VALUE"""),"BLACK")</f>
        <v>BLACK</v>
      </c>
      <c r="G10007" s="20" t="str">
        <f>IFERROR(__xludf.DUMMYFUNCTION("""COMPUTED_VALUE"""),"Uncle Sams Cider (04/04/2023)")</f>
        <v>Uncle Sams Cider (04/04/2023)</v>
      </c>
      <c r="H10007" s="19"/>
    </row>
    <row r="10008">
      <c r="A10008" s="9"/>
      <c r="B10008" s="15"/>
      <c r="C10008" s="9">
        <f>IFERROR(__xludf.DUMMYFUNCTION("""COMPUTED_VALUE"""),45039.0855922569)</f>
        <v>45039.08559</v>
      </c>
      <c r="D10008" s="15">
        <f>IFERROR(__xludf.DUMMYFUNCTION("""COMPUTED_VALUE"""),1.037)</f>
        <v>1.037</v>
      </c>
      <c r="E10008" s="16">
        <f>IFERROR(__xludf.DUMMYFUNCTION("""COMPUTED_VALUE"""),67.0)</f>
        <v>67</v>
      </c>
      <c r="F10008" s="19" t="str">
        <f>IFERROR(__xludf.DUMMYFUNCTION("""COMPUTED_VALUE"""),"BLACK")</f>
        <v>BLACK</v>
      </c>
      <c r="G10008" s="20" t="str">
        <f>IFERROR(__xludf.DUMMYFUNCTION("""COMPUTED_VALUE"""),"Uncle Sams Cider (04/04/2023)")</f>
        <v>Uncle Sams Cider (04/04/2023)</v>
      </c>
      <c r="H10008" s="19"/>
    </row>
    <row r="10009">
      <c r="A10009" s="9"/>
      <c r="B10009" s="15"/>
      <c r="C10009" s="9">
        <f>IFERROR(__xludf.DUMMYFUNCTION("""COMPUTED_VALUE"""),45039.0751715509)</f>
        <v>45039.07517</v>
      </c>
      <c r="D10009" s="15">
        <f>IFERROR(__xludf.DUMMYFUNCTION("""COMPUTED_VALUE"""),1.037)</f>
        <v>1.037</v>
      </c>
      <c r="E10009" s="16">
        <f>IFERROR(__xludf.DUMMYFUNCTION("""COMPUTED_VALUE"""),67.0)</f>
        <v>67</v>
      </c>
      <c r="F10009" s="19" t="str">
        <f>IFERROR(__xludf.DUMMYFUNCTION("""COMPUTED_VALUE"""),"BLACK")</f>
        <v>BLACK</v>
      </c>
      <c r="G10009" s="20" t="str">
        <f>IFERROR(__xludf.DUMMYFUNCTION("""COMPUTED_VALUE"""),"Uncle Sams Cider (04/04/2023)")</f>
        <v>Uncle Sams Cider (04/04/2023)</v>
      </c>
      <c r="H10009" s="19"/>
    </row>
    <row r="10010">
      <c r="A10010" s="9"/>
      <c r="B10010" s="15"/>
      <c r="C10010" s="9">
        <f>IFERROR(__xludf.DUMMYFUNCTION("""COMPUTED_VALUE"""),45039.064725405)</f>
        <v>45039.06473</v>
      </c>
      <c r="D10010" s="15">
        <f>IFERROR(__xludf.DUMMYFUNCTION("""COMPUTED_VALUE"""),1.037)</f>
        <v>1.037</v>
      </c>
      <c r="E10010" s="16">
        <f>IFERROR(__xludf.DUMMYFUNCTION("""COMPUTED_VALUE"""),67.0)</f>
        <v>67</v>
      </c>
      <c r="F10010" s="19" t="str">
        <f>IFERROR(__xludf.DUMMYFUNCTION("""COMPUTED_VALUE"""),"BLACK")</f>
        <v>BLACK</v>
      </c>
      <c r="G10010" s="20" t="str">
        <f>IFERROR(__xludf.DUMMYFUNCTION("""COMPUTED_VALUE"""),"Uncle Sams Cider (04/04/2023)")</f>
        <v>Uncle Sams Cider (04/04/2023)</v>
      </c>
      <c r="H10010" s="19"/>
    </row>
    <row r="10011">
      <c r="A10011" s="9"/>
      <c r="B10011" s="15"/>
      <c r="C10011" s="9">
        <f>IFERROR(__xludf.DUMMYFUNCTION("""COMPUTED_VALUE"""),45039.0543039004)</f>
        <v>45039.0543</v>
      </c>
      <c r="D10011" s="15">
        <f>IFERROR(__xludf.DUMMYFUNCTION("""COMPUTED_VALUE"""),1.037)</f>
        <v>1.037</v>
      </c>
      <c r="E10011" s="16">
        <f>IFERROR(__xludf.DUMMYFUNCTION("""COMPUTED_VALUE"""),67.0)</f>
        <v>67</v>
      </c>
      <c r="F10011" s="19" t="str">
        <f>IFERROR(__xludf.DUMMYFUNCTION("""COMPUTED_VALUE"""),"BLACK")</f>
        <v>BLACK</v>
      </c>
      <c r="G10011" s="20" t="str">
        <f>IFERROR(__xludf.DUMMYFUNCTION("""COMPUTED_VALUE"""),"Uncle Sams Cider (04/04/2023)")</f>
        <v>Uncle Sams Cider (04/04/2023)</v>
      </c>
      <c r="H10011" s="19"/>
    </row>
    <row r="10012">
      <c r="A10012" s="9"/>
      <c r="B10012" s="15"/>
      <c r="C10012" s="9">
        <f>IFERROR(__xludf.DUMMYFUNCTION("""COMPUTED_VALUE"""),45039.043882743)</f>
        <v>45039.04388</v>
      </c>
      <c r="D10012" s="15">
        <f>IFERROR(__xludf.DUMMYFUNCTION("""COMPUTED_VALUE"""),1.037)</f>
        <v>1.037</v>
      </c>
      <c r="E10012" s="16">
        <f>IFERROR(__xludf.DUMMYFUNCTION("""COMPUTED_VALUE"""),67.0)</f>
        <v>67</v>
      </c>
      <c r="F10012" s="19" t="str">
        <f>IFERROR(__xludf.DUMMYFUNCTION("""COMPUTED_VALUE"""),"BLACK")</f>
        <v>BLACK</v>
      </c>
      <c r="G10012" s="20" t="str">
        <f>IFERROR(__xludf.DUMMYFUNCTION("""COMPUTED_VALUE"""),"Uncle Sams Cider (04/04/2023)")</f>
        <v>Uncle Sams Cider (04/04/2023)</v>
      </c>
      <c r="H10012" s="19"/>
    </row>
    <row r="10013">
      <c r="A10013" s="9"/>
      <c r="B10013" s="15"/>
      <c r="C10013" s="9">
        <f>IFERROR(__xludf.DUMMYFUNCTION("""COMPUTED_VALUE"""),45039.0334617824)</f>
        <v>45039.03346</v>
      </c>
      <c r="D10013" s="15">
        <f>IFERROR(__xludf.DUMMYFUNCTION("""COMPUTED_VALUE"""),1.037)</f>
        <v>1.037</v>
      </c>
      <c r="E10013" s="16">
        <f>IFERROR(__xludf.DUMMYFUNCTION("""COMPUTED_VALUE"""),67.0)</f>
        <v>67</v>
      </c>
      <c r="F10013" s="19" t="str">
        <f>IFERROR(__xludf.DUMMYFUNCTION("""COMPUTED_VALUE"""),"BLACK")</f>
        <v>BLACK</v>
      </c>
      <c r="G10013" s="20" t="str">
        <f>IFERROR(__xludf.DUMMYFUNCTION("""COMPUTED_VALUE"""),"Uncle Sams Cider (04/04/2023)")</f>
        <v>Uncle Sams Cider (04/04/2023)</v>
      </c>
      <c r="H10013" s="19"/>
    </row>
    <row r="10014">
      <c r="A10014" s="9"/>
      <c r="B10014" s="15"/>
      <c r="C10014" s="9">
        <f>IFERROR(__xludf.DUMMYFUNCTION("""COMPUTED_VALUE"""),45039.0230173379)</f>
        <v>45039.02302</v>
      </c>
      <c r="D10014" s="15">
        <f>IFERROR(__xludf.DUMMYFUNCTION("""COMPUTED_VALUE"""),1.037)</f>
        <v>1.037</v>
      </c>
      <c r="E10014" s="16">
        <f>IFERROR(__xludf.DUMMYFUNCTION("""COMPUTED_VALUE"""),67.0)</f>
        <v>67</v>
      </c>
      <c r="F10014" s="19" t="str">
        <f>IFERROR(__xludf.DUMMYFUNCTION("""COMPUTED_VALUE"""),"BLACK")</f>
        <v>BLACK</v>
      </c>
      <c r="G10014" s="20" t="str">
        <f>IFERROR(__xludf.DUMMYFUNCTION("""COMPUTED_VALUE"""),"Uncle Sams Cider (04/04/2023)")</f>
        <v>Uncle Sams Cider (04/04/2023)</v>
      </c>
      <c r="H10014" s="19"/>
    </row>
    <row r="10015">
      <c r="A10015" s="9"/>
      <c r="B10015" s="15"/>
      <c r="C10015" s="9">
        <f>IFERROR(__xludf.DUMMYFUNCTION("""COMPUTED_VALUE"""),45039.0125952083)</f>
        <v>45039.0126</v>
      </c>
      <c r="D10015" s="15">
        <f>IFERROR(__xludf.DUMMYFUNCTION("""COMPUTED_VALUE"""),1.037)</f>
        <v>1.037</v>
      </c>
      <c r="E10015" s="16">
        <f>IFERROR(__xludf.DUMMYFUNCTION("""COMPUTED_VALUE"""),67.0)</f>
        <v>67</v>
      </c>
      <c r="F10015" s="19" t="str">
        <f>IFERROR(__xludf.DUMMYFUNCTION("""COMPUTED_VALUE"""),"BLACK")</f>
        <v>BLACK</v>
      </c>
      <c r="G10015" s="20" t="str">
        <f>IFERROR(__xludf.DUMMYFUNCTION("""COMPUTED_VALUE"""),"Uncle Sams Cider (04/04/2023)")</f>
        <v>Uncle Sams Cider (04/04/2023)</v>
      </c>
      <c r="H10015" s="19"/>
    </row>
    <row r="10016">
      <c r="A10016" s="9"/>
      <c r="B10016" s="15"/>
      <c r="C10016" s="9">
        <f>IFERROR(__xludf.DUMMYFUNCTION("""COMPUTED_VALUE"""),45039.0021740509)</f>
        <v>45039.00217</v>
      </c>
      <c r="D10016" s="15">
        <f>IFERROR(__xludf.DUMMYFUNCTION("""COMPUTED_VALUE"""),1.037)</f>
        <v>1.037</v>
      </c>
      <c r="E10016" s="16">
        <f>IFERROR(__xludf.DUMMYFUNCTION("""COMPUTED_VALUE"""),67.0)</f>
        <v>67</v>
      </c>
      <c r="F10016" s="19" t="str">
        <f>IFERROR(__xludf.DUMMYFUNCTION("""COMPUTED_VALUE"""),"BLACK")</f>
        <v>BLACK</v>
      </c>
      <c r="G10016" s="20" t="str">
        <f>IFERROR(__xludf.DUMMYFUNCTION("""COMPUTED_VALUE"""),"Uncle Sams Cider (04/04/2023)")</f>
        <v>Uncle Sams Cider (04/04/2023)</v>
      </c>
      <c r="H10016" s="19"/>
    </row>
    <row r="10017">
      <c r="A10017" s="9"/>
      <c r="B10017" s="15"/>
      <c r="C10017" s="9">
        <f>IFERROR(__xludf.DUMMYFUNCTION("""COMPUTED_VALUE"""),45038.9917537731)</f>
        <v>45038.99175</v>
      </c>
      <c r="D10017" s="15">
        <f>IFERROR(__xludf.DUMMYFUNCTION("""COMPUTED_VALUE"""),1.037)</f>
        <v>1.037</v>
      </c>
      <c r="E10017" s="16">
        <f>IFERROR(__xludf.DUMMYFUNCTION("""COMPUTED_VALUE"""),67.0)</f>
        <v>67</v>
      </c>
      <c r="F10017" s="19" t="str">
        <f>IFERROR(__xludf.DUMMYFUNCTION("""COMPUTED_VALUE"""),"BLACK")</f>
        <v>BLACK</v>
      </c>
      <c r="G10017" s="20" t="str">
        <f>IFERROR(__xludf.DUMMYFUNCTION("""COMPUTED_VALUE"""),"Uncle Sams Cider (04/04/2023)")</f>
        <v>Uncle Sams Cider (04/04/2023)</v>
      </c>
      <c r="H10017" s="19"/>
    </row>
    <row r="10018">
      <c r="A10018" s="9"/>
      <c r="B10018" s="15"/>
      <c r="C10018" s="9">
        <f>IFERROR(__xludf.DUMMYFUNCTION("""COMPUTED_VALUE"""),45038.9813332523)</f>
        <v>45038.98133</v>
      </c>
      <c r="D10018" s="15">
        <f>IFERROR(__xludf.DUMMYFUNCTION("""COMPUTED_VALUE"""),1.037)</f>
        <v>1.037</v>
      </c>
      <c r="E10018" s="16">
        <f>IFERROR(__xludf.DUMMYFUNCTION("""COMPUTED_VALUE"""),67.0)</f>
        <v>67</v>
      </c>
      <c r="F10018" s="19" t="str">
        <f>IFERROR(__xludf.DUMMYFUNCTION("""COMPUTED_VALUE"""),"BLACK")</f>
        <v>BLACK</v>
      </c>
      <c r="G10018" s="20" t="str">
        <f>IFERROR(__xludf.DUMMYFUNCTION("""COMPUTED_VALUE"""),"Uncle Sams Cider (04/04/2023)")</f>
        <v>Uncle Sams Cider (04/04/2023)</v>
      </c>
      <c r="H10018" s="19"/>
    </row>
    <row r="10019">
      <c r="A10019" s="9"/>
      <c r="B10019" s="15"/>
      <c r="C10019" s="9">
        <f>IFERROR(__xludf.DUMMYFUNCTION("""COMPUTED_VALUE"""),45038.9709105092)</f>
        <v>45038.97091</v>
      </c>
      <c r="D10019" s="15">
        <f>IFERROR(__xludf.DUMMYFUNCTION("""COMPUTED_VALUE"""),1.037)</f>
        <v>1.037</v>
      </c>
      <c r="E10019" s="16">
        <f>IFERROR(__xludf.DUMMYFUNCTION("""COMPUTED_VALUE"""),67.0)</f>
        <v>67</v>
      </c>
      <c r="F10019" s="19" t="str">
        <f>IFERROR(__xludf.DUMMYFUNCTION("""COMPUTED_VALUE"""),"BLACK")</f>
        <v>BLACK</v>
      </c>
      <c r="G10019" s="20" t="str">
        <f>IFERROR(__xludf.DUMMYFUNCTION("""COMPUTED_VALUE"""),"Uncle Sams Cider (04/04/2023)")</f>
        <v>Uncle Sams Cider (04/04/2023)</v>
      </c>
      <c r="H10019" s="19"/>
    </row>
    <row r="10020">
      <c r="A10020" s="9"/>
      <c r="B10020" s="15"/>
      <c r="C10020" s="9">
        <f>IFERROR(__xludf.DUMMYFUNCTION("""COMPUTED_VALUE"""),45038.9604893402)</f>
        <v>45038.96049</v>
      </c>
      <c r="D10020" s="15">
        <f>IFERROR(__xludf.DUMMYFUNCTION("""COMPUTED_VALUE"""),1.037)</f>
        <v>1.037</v>
      </c>
      <c r="E10020" s="16">
        <f>IFERROR(__xludf.DUMMYFUNCTION("""COMPUTED_VALUE"""),67.0)</f>
        <v>67</v>
      </c>
      <c r="F10020" s="19" t="str">
        <f>IFERROR(__xludf.DUMMYFUNCTION("""COMPUTED_VALUE"""),"BLACK")</f>
        <v>BLACK</v>
      </c>
      <c r="G10020" s="20" t="str">
        <f>IFERROR(__xludf.DUMMYFUNCTION("""COMPUTED_VALUE"""),"Uncle Sams Cider (04/04/2023)")</f>
        <v>Uncle Sams Cider (04/04/2023)</v>
      </c>
      <c r="H10020" s="19"/>
    </row>
    <row r="10021">
      <c r="A10021" s="9"/>
      <c r="B10021" s="15"/>
      <c r="C10021" s="9">
        <f>IFERROR(__xludf.DUMMYFUNCTION("""COMPUTED_VALUE"""),45038.9500673842)</f>
        <v>45038.95007</v>
      </c>
      <c r="D10021" s="15">
        <f>IFERROR(__xludf.DUMMYFUNCTION("""COMPUTED_VALUE"""),1.037)</f>
        <v>1.037</v>
      </c>
      <c r="E10021" s="16">
        <f>IFERROR(__xludf.DUMMYFUNCTION("""COMPUTED_VALUE"""),67.0)</f>
        <v>67</v>
      </c>
      <c r="F10021" s="19" t="str">
        <f>IFERROR(__xludf.DUMMYFUNCTION("""COMPUTED_VALUE"""),"BLACK")</f>
        <v>BLACK</v>
      </c>
      <c r="G10021" s="20" t="str">
        <f>IFERROR(__xludf.DUMMYFUNCTION("""COMPUTED_VALUE"""),"Uncle Sams Cider (04/04/2023)")</f>
        <v>Uncle Sams Cider (04/04/2023)</v>
      </c>
      <c r="H10021" s="19"/>
    </row>
    <row r="10022">
      <c r="A10022" s="9"/>
      <c r="B10022" s="15"/>
      <c r="C10022" s="9">
        <f>IFERROR(__xludf.DUMMYFUNCTION("""COMPUTED_VALUE"""),45038.9396478472)</f>
        <v>45038.93965</v>
      </c>
      <c r="D10022" s="15">
        <f>IFERROR(__xludf.DUMMYFUNCTION("""COMPUTED_VALUE"""),1.037)</f>
        <v>1.037</v>
      </c>
      <c r="E10022" s="16">
        <f>IFERROR(__xludf.DUMMYFUNCTION("""COMPUTED_VALUE"""),67.0)</f>
        <v>67</v>
      </c>
      <c r="F10022" s="19" t="str">
        <f>IFERROR(__xludf.DUMMYFUNCTION("""COMPUTED_VALUE"""),"BLACK")</f>
        <v>BLACK</v>
      </c>
      <c r="G10022" s="20" t="str">
        <f>IFERROR(__xludf.DUMMYFUNCTION("""COMPUTED_VALUE"""),"Uncle Sams Cider (04/04/2023)")</f>
        <v>Uncle Sams Cider (04/04/2023)</v>
      </c>
      <c r="H10022" s="19"/>
    </row>
    <row r="10023">
      <c r="A10023" s="9"/>
      <c r="B10023" s="15"/>
      <c r="C10023" s="9">
        <f>IFERROR(__xludf.DUMMYFUNCTION("""COMPUTED_VALUE"""),45038.9292272569)</f>
        <v>45038.92923</v>
      </c>
      <c r="D10023" s="15">
        <f>IFERROR(__xludf.DUMMYFUNCTION("""COMPUTED_VALUE"""),1.037)</f>
        <v>1.037</v>
      </c>
      <c r="E10023" s="16">
        <f>IFERROR(__xludf.DUMMYFUNCTION("""COMPUTED_VALUE"""),67.0)</f>
        <v>67</v>
      </c>
      <c r="F10023" s="19" t="str">
        <f>IFERROR(__xludf.DUMMYFUNCTION("""COMPUTED_VALUE"""),"BLACK")</f>
        <v>BLACK</v>
      </c>
      <c r="G10023" s="20" t="str">
        <f>IFERROR(__xludf.DUMMYFUNCTION("""COMPUTED_VALUE"""),"Uncle Sams Cider (04/04/2023)")</f>
        <v>Uncle Sams Cider (04/04/2023)</v>
      </c>
      <c r="H10023" s="19"/>
    </row>
    <row r="10024">
      <c r="A10024" s="9"/>
      <c r="B10024" s="15"/>
      <c r="C10024" s="9">
        <f>IFERROR(__xludf.DUMMYFUNCTION("""COMPUTED_VALUE"""),45038.9188068055)</f>
        <v>45038.91881</v>
      </c>
      <c r="D10024" s="15">
        <f>IFERROR(__xludf.DUMMYFUNCTION("""COMPUTED_VALUE"""),1.037)</f>
        <v>1.037</v>
      </c>
      <c r="E10024" s="16">
        <f>IFERROR(__xludf.DUMMYFUNCTION("""COMPUTED_VALUE"""),67.0)</f>
        <v>67</v>
      </c>
      <c r="F10024" s="19" t="str">
        <f>IFERROR(__xludf.DUMMYFUNCTION("""COMPUTED_VALUE"""),"BLACK")</f>
        <v>BLACK</v>
      </c>
      <c r="G10024" s="20" t="str">
        <f>IFERROR(__xludf.DUMMYFUNCTION("""COMPUTED_VALUE"""),"Uncle Sams Cider (04/04/2023)")</f>
        <v>Uncle Sams Cider (04/04/2023)</v>
      </c>
      <c r="H10024" s="19"/>
    </row>
    <row r="10025">
      <c r="A10025" s="9"/>
      <c r="B10025" s="15"/>
      <c r="C10025" s="9">
        <f>IFERROR(__xludf.DUMMYFUNCTION("""COMPUTED_VALUE"""),45038.9083856713)</f>
        <v>45038.90839</v>
      </c>
      <c r="D10025" s="15">
        <f>IFERROR(__xludf.DUMMYFUNCTION("""COMPUTED_VALUE"""),1.037)</f>
        <v>1.037</v>
      </c>
      <c r="E10025" s="16">
        <f>IFERROR(__xludf.DUMMYFUNCTION("""COMPUTED_VALUE"""),67.0)</f>
        <v>67</v>
      </c>
      <c r="F10025" s="19" t="str">
        <f>IFERROR(__xludf.DUMMYFUNCTION("""COMPUTED_VALUE"""),"BLACK")</f>
        <v>BLACK</v>
      </c>
      <c r="G10025" s="20" t="str">
        <f>IFERROR(__xludf.DUMMYFUNCTION("""COMPUTED_VALUE"""),"Uncle Sams Cider (04/04/2023)")</f>
        <v>Uncle Sams Cider (04/04/2023)</v>
      </c>
      <c r="H10025" s="19"/>
    </row>
    <row r="10026">
      <c r="A10026" s="9"/>
      <c r="B10026" s="15"/>
      <c r="C10026" s="9">
        <f>IFERROR(__xludf.DUMMYFUNCTION("""COMPUTED_VALUE"""),45038.8979631597)</f>
        <v>45038.89796</v>
      </c>
      <c r="D10026" s="15">
        <f>IFERROR(__xludf.DUMMYFUNCTION("""COMPUTED_VALUE"""),1.037)</f>
        <v>1.037</v>
      </c>
      <c r="E10026" s="16">
        <f>IFERROR(__xludf.DUMMYFUNCTION("""COMPUTED_VALUE"""),67.0)</f>
        <v>67</v>
      </c>
      <c r="F10026" s="19" t="str">
        <f>IFERROR(__xludf.DUMMYFUNCTION("""COMPUTED_VALUE"""),"BLACK")</f>
        <v>BLACK</v>
      </c>
      <c r="G10026" s="20" t="str">
        <f>IFERROR(__xludf.DUMMYFUNCTION("""COMPUTED_VALUE"""),"Uncle Sams Cider (04/04/2023)")</f>
        <v>Uncle Sams Cider (04/04/2023)</v>
      </c>
      <c r="H10026" s="19"/>
    </row>
    <row r="10027">
      <c r="A10027" s="9"/>
      <c r="B10027" s="15"/>
      <c r="C10027" s="9">
        <f>IFERROR(__xludf.DUMMYFUNCTION("""COMPUTED_VALUE"""),45038.8875303472)</f>
        <v>45038.88753</v>
      </c>
      <c r="D10027" s="15">
        <f>IFERROR(__xludf.DUMMYFUNCTION("""COMPUTED_VALUE"""),1.037)</f>
        <v>1.037</v>
      </c>
      <c r="E10027" s="16">
        <f>IFERROR(__xludf.DUMMYFUNCTION("""COMPUTED_VALUE"""),67.0)</f>
        <v>67</v>
      </c>
      <c r="F10027" s="19" t="str">
        <f>IFERROR(__xludf.DUMMYFUNCTION("""COMPUTED_VALUE"""),"BLACK")</f>
        <v>BLACK</v>
      </c>
      <c r="G10027" s="20" t="str">
        <f>IFERROR(__xludf.DUMMYFUNCTION("""COMPUTED_VALUE"""),"Uncle Sams Cider (04/04/2023)")</f>
        <v>Uncle Sams Cider (04/04/2023)</v>
      </c>
      <c r="H10027" s="19"/>
    </row>
    <row r="10028">
      <c r="A10028" s="9"/>
      <c r="B10028" s="15"/>
      <c r="C10028" s="9">
        <f>IFERROR(__xludf.DUMMYFUNCTION("""COMPUTED_VALUE"""),45038.8770741088)</f>
        <v>45038.87707</v>
      </c>
      <c r="D10028" s="15">
        <f>IFERROR(__xludf.DUMMYFUNCTION("""COMPUTED_VALUE"""),1.037)</f>
        <v>1.037</v>
      </c>
      <c r="E10028" s="16">
        <f>IFERROR(__xludf.DUMMYFUNCTION("""COMPUTED_VALUE"""),67.0)</f>
        <v>67</v>
      </c>
      <c r="F10028" s="19" t="str">
        <f>IFERROR(__xludf.DUMMYFUNCTION("""COMPUTED_VALUE"""),"BLACK")</f>
        <v>BLACK</v>
      </c>
      <c r="G10028" s="20" t="str">
        <f>IFERROR(__xludf.DUMMYFUNCTION("""COMPUTED_VALUE"""),"Uncle Sams Cider (04/04/2023)")</f>
        <v>Uncle Sams Cider (04/04/2023)</v>
      </c>
      <c r="H10028" s="19"/>
    </row>
    <row r="10029">
      <c r="A10029" s="9"/>
      <c r="B10029" s="15"/>
      <c r="C10029" s="9">
        <f>IFERROR(__xludf.DUMMYFUNCTION("""COMPUTED_VALUE"""),45038.866641875)</f>
        <v>45038.86664</v>
      </c>
      <c r="D10029" s="15">
        <f>IFERROR(__xludf.DUMMYFUNCTION("""COMPUTED_VALUE"""),1.037)</f>
        <v>1.037</v>
      </c>
      <c r="E10029" s="16">
        <f>IFERROR(__xludf.DUMMYFUNCTION("""COMPUTED_VALUE"""),67.0)</f>
        <v>67</v>
      </c>
      <c r="F10029" s="19" t="str">
        <f>IFERROR(__xludf.DUMMYFUNCTION("""COMPUTED_VALUE"""),"BLACK")</f>
        <v>BLACK</v>
      </c>
      <c r="G10029" s="20" t="str">
        <f>IFERROR(__xludf.DUMMYFUNCTION("""COMPUTED_VALUE"""),"Uncle Sams Cider (04/04/2023)")</f>
        <v>Uncle Sams Cider (04/04/2023)</v>
      </c>
      <c r="H10029" s="19"/>
    </row>
    <row r="10030">
      <c r="A10030" s="9"/>
      <c r="B10030" s="15"/>
      <c r="C10030" s="9">
        <f>IFERROR(__xludf.DUMMYFUNCTION("""COMPUTED_VALUE"""),45038.8562193171)</f>
        <v>45038.85622</v>
      </c>
      <c r="D10030" s="15">
        <f>IFERROR(__xludf.DUMMYFUNCTION("""COMPUTED_VALUE"""),1.037)</f>
        <v>1.037</v>
      </c>
      <c r="E10030" s="16">
        <f>IFERROR(__xludf.DUMMYFUNCTION("""COMPUTED_VALUE"""),67.0)</f>
        <v>67</v>
      </c>
      <c r="F10030" s="19" t="str">
        <f>IFERROR(__xludf.DUMMYFUNCTION("""COMPUTED_VALUE"""),"BLACK")</f>
        <v>BLACK</v>
      </c>
      <c r="G10030" s="20" t="str">
        <f>IFERROR(__xludf.DUMMYFUNCTION("""COMPUTED_VALUE"""),"Uncle Sams Cider (04/04/2023)")</f>
        <v>Uncle Sams Cider (04/04/2023)</v>
      </c>
      <c r="H10030" s="19"/>
    </row>
    <row r="10031">
      <c r="A10031" s="9"/>
      <c r="B10031" s="15"/>
      <c r="C10031" s="9">
        <f>IFERROR(__xludf.DUMMYFUNCTION("""COMPUTED_VALUE"""),45038.8457986111)</f>
        <v>45038.8458</v>
      </c>
      <c r="D10031" s="15">
        <f>IFERROR(__xludf.DUMMYFUNCTION("""COMPUTED_VALUE"""),1.037)</f>
        <v>1.037</v>
      </c>
      <c r="E10031" s="16">
        <f>IFERROR(__xludf.DUMMYFUNCTION("""COMPUTED_VALUE"""),67.0)</f>
        <v>67</v>
      </c>
      <c r="F10031" s="19" t="str">
        <f>IFERROR(__xludf.DUMMYFUNCTION("""COMPUTED_VALUE"""),"BLACK")</f>
        <v>BLACK</v>
      </c>
      <c r="G10031" s="20" t="str">
        <f>IFERROR(__xludf.DUMMYFUNCTION("""COMPUTED_VALUE"""),"Uncle Sams Cider (04/04/2023)")</f>
        <v>Uncle Sams Cider (04/04/2023)</v>
      </c>
      <c r="H10031" s="19"/>
    </row>
    <row r="10032">
      <c r="A10032" s="9"/>
      <c r="B10032" s="15"/>
      <c r="C10032" s="9">
        <f>IFERROR(__xludf.DUMMYFUNCTION("""COMPUTED_VALUE"""),45038.8353432754)</f>
        <v>45038.83534</v>
      </c>
      <c r="D10032" s="15">
        <f>IFERROR(__xludf.DUMMYFUNCTION("""COMPUTED_VALUE"""),1.037)</f>
        <v>1.037</v>
      </c>
      <c r="E10032" s="16">
        <f>IFERROR(__xludf.DUMMYFUNCTION("""COMPUTED_VALUE"""),67.0)</f>
        <v>67</v>
      </c>
      <c r="F10032" s="19" t="str">
        <f>IFERROR(__xludf.DUMMYFUNCTION("""COMPUTED_VALUE"""),"BLACK")</f>
        <v>BLACK</v>
      </c>
      <c r="G10032" s="20" t="str">
        <f>IFERROR(__xludf.DUMMYFUNCTION("""COMPUTED_VALUE"""),"Uncle Sams Cider (04/04/2023)")</f>
        <v>Uncle Sams Cider (04/04/2023)</v>
      </c>
      <c r="H10032" s="19"/>
    </row>
    <row r="10033">
      <c r="A10033" s="9"/>
      <c r="B10033" s="15"/>
      <c r="C10033" s="9">
        <f>IFERROR(__xludf.DUMMYFUNCTION("""COMPUTED_VALUE"""),45038.8249224189)</f>
        <v>45038.82492</v>
      </c>
      <c r="D10033" s="15">
        <f>IFERROR(__xludf.DUMMYFUNCTION("""COMPUTED_VALUE"""),1.037)</f>
        <v>1.037</v>
      </c>
      <c r="E10033" s="16">
        <f>IFERROR(__xludf.DUMMYFUNCTION("""COMPUTED_VALUE"""),67.0)</f>
        <v>67</v>
      </c>
      <c r="F10033" s="19" t="str">
        <f>IFERROR(__xludf.DUMMYFUNCTION("""COMPUTED_VALUE"""),"BLACK")</f>
        <v>BLACK</v>
      </c>
      <c r="G10033" s="20" t="str">
        <f>IFERROR(__xludf.DUMMYFUNCTION("""COMPUTED_VALUE"""),"Uncle Sams Cider (04/04/2023)")</f>
        <v>Uncle Sams Cider (04/04/2023)</v>
      </c>
      <c r="H10033" s="19"/>
    </row>
    <row r="10034">
      <c r="A10034" s="9"/>
      <c r="B10034" s="15"/>
      <c r="C10034" s="9">
        <f>IFERROR(__xludf.DUMMYFUNCTION("""COMPUTED_VALUE"""),45038.8144543634)</f>
        <v>45038.81445</v>
      </c>
      <c r="D10034" s="15">
        <f>IFERROR(__xludf.DUMMYFUNCTION("""COMPUTED_VALUE"""),1.037)</f>
        <v>1.037</v>
      </c>
      <c r="E10034" s="16">
        <f>IFERROR(__xludf.DUMMYFUNCTION("""COMPUTED_VALUE"""),67.0)</f>
        <v>67</v>
      </c>
      <c r="F10034" s="19" t="str">
        <f>IFERROR(__xludf.DUMMYFUNCTION("""COMPUTED_VALUE"""),"BLACK")</f>
        <v>BLACK</v>
      </c>
      <c r="G10034" s="20" t="str">
        <f>IFERROR(__xludf.DUMMYFUNCTION("""COMPUTED_VALUE"""),"Uncle Sams Cider (04/04/2023)")</f>
        <v>Uncle Sams Cider (04/04/2023)</v>
      </c>
      <c r="H10034" s="19"/>
    </row>
    <row r="10035">
      <c r="A10035" s="9"/>
      <c r="B10035" s="15"/>
      <c r="C10035" s="9">
        <f>IFERROR(__xludf.DUMMYFUNCTION("""COMPUTED_VALUE"""),45038.8040323263)</f>
        <v>45038.80403</v>
      </c>
      <c r="D10035" s="15">
        <f>IFERROR(__xludf.DUMMYFUNCTION("""COMPUTED_VALUE"""),1.037)</f>
        <v>1.037</v>
      </c>
      <c r="E10035" s="16">
        <f>IFERROR(__xludf.DUMMYFUNCTION("""COMPUTED_VALUE"""),67.0)</f>
        <v>67</v>
      </c>
      <c r="F10035" s="19" t="str">
        <f>IFERROR(__xludf.DUMMYFUNCTION("""COMPUTED_VALUE"""),"BLACK")</f>
        <v>BLACK</v>
      </c>
      <c r="G10035" s="20" t="str">
        <f>IFERROR(__xludf.DUMMYFUNCTION("""COMPUTED_VALUE"""),"Uncle Sams Cider (04/04/2023)")</f>
        <v>Uncle Sams Cider (04/04/2023)</v>
      </c>
      <c r="H10035" s="19"/>
    </row>
    <row r="10036">
      <c r="A10036" s="9"/>
      <c r="B10036" s="15"/>
      <c r="C10036" s="9">
        <f>IFERROR(__xludf.DUMMYFUNCTION("""COMPUTED_VALUE"""),45038.7936126736)</f>
        <v>45038.79361</v>
      </c>
      <c r="D10036" s="15">
        <f>IFERROR(__xludf.DUMMYFUNCTION("""COMPUTED_VALUE"""),1.037)</f>
        <v>1.037</v>
      </c>
      <c r="E10036" s="16">
        <f>IFERROR(__xludf.DUMMYFUNCTION("""COMPUTED_VALUE"""),67.0)</f>
        <v>67</v>
      </c>
      <c r="F10036" s="19" t="str">
        <f>IFERROR(__xludf.DUMMYFUNCTION("""COMPUTED_VALUE"""),"BLACK")</f>
        <v>BLACK</v>
      </c>
      <c r="G10036" s="20" t="str">
        <f>IFERROR(__xludf.DUMMYFUNCTION("""COMPUTED_VALUE"""),"Uncle Sams Cider (04/04/2023)")</f>
        <v>Uncle Sams Cider (04/04/2023)</v>
      </c>
      <c r="H10036" s="19"/>
    </row>
    <row r="10037">
      <c r="A10037" s="9"/>
      <c r="B10037" s="15"/>
      <c r="C10037" s="9">
        <f>IFERROR(__xludf.DUMMYFUNCTION("""COMPUTED_VALUE"""),45038.7831561574)</f>
        <v>45038.78316</v>
      </c>
      <c r="D10037" s="15">
        <f>IFERROR(__xludf.DUMMYFUNCTION("""COMPUTED_VALUE"""),1.037)</f>
        <v>1.037</v>
      </c>
      <c r="E10037" s="16">
        <f>IFERROR(__xludf.DUMMYFUNCTION("""COMPUTED_VALUE"""),67.0)</f>
        <v>67</v>
      </c>
      <c r="F10037" s="19" t="str">
        <f>IFERROR(__xludf.DUMMYFUNCTION("""COMPUTED_VALUE"""),"BLACK")</f>
        <v>BLACK</v>
      </c>
      <c r="G10037" s="20" t="str">
        <f>IFERROR(__xludf.DUMMYFUNCTION("""COMPUTED_VALUE"""),"Uncle Sams Cider (04/04/2023)")</f>
        <v>Uncle Sams Cider (04/04/2023)</v>
      </c>
      <c r="H10037" s="19"/>
    </row>
    <row r="10038">
      <c r="A10038" s="9"/>
      <c r="B10038" s="15"/>
      <c r="C10038" s="9">
        <f>IFERROR(__xludf.DUMMYFUNCTION("""COMPUTED_VALUE"""),45038.7727007639)</f>
        <v>45038.7727</v>
      </c>
      <c r="D10038" s="15">
        <f>IFERROR(__xludf.DUMMYFUNCTION("""COMPUTED_VALUE"""),1.037)</f>
        <v>1.037</v>
      </c>
      <c r="E10038" s="16">
        <f>IFERROR(__xludf.DUMMYFUNCTION("""COMPUTED_VALUE"""),67.0)</f>
        <v>67</v>
      </c>
      <c r="F10038" s="19" t="str">
        <f>IFERROR(__xludf.DUMMYFUNCTION("""COMPUTED_VALUE"""),"BLACK")</f>
        <v>BLACK</v>
      </c>
      <c r="G10038" s="20" t="str">
        <f>IFERROR(__xludf.DUMMYFUNCTION("""COMPUTED_VALUE"""),"Uncle Sams Cider (04/04/2023)")</f>
        <v>Uncle Sams Cider (04/04/2023)</v>
      </c>
      <c r="H10038" s="19"/>
    </row>
    <row r="10039">
      <c r="A10039" s="9"/>
      <c r="B10039" s="15"/>
      <c r="C10039" s="9">
        <f>IFERROR(__xludf.DUMMYFUNCTION("""COMPUTED_VALUE"""),45038.7622685416)</f>
        <v>45038.76227</v>
      </c>
      <c r="D10039" s="15">
        <f>IFERROR(__xludf.DUMMYFUNCTION("""COMPUTED_VALUE"""),1.037)</f>
        <v>1.037</v>
      </c>
      <c r="E10039" s="16">
        <f>IFERROR(__xludf.DUMMYFUNCTION("""COMPUTED_VALUE"""),67.0)</f>
        <v>67</v>
      </c>
      <c r="F10039" s="19" t="str">
        <f>IFERROR(__xludf.DUMMYFUNCTION("""COMPUTED_VALUE"""),"BLACK")</f>
        <v>BLACK</v>
      </c>
      <c r="G10039" s="20" t="str">
        <f>IFERROR(__xludf.DUMMYFUNCTION("""COMPUTED_VALUE"""),"Uncle Sams Cider (04/04/2023)")</f>
        <v>Uncle Sams Cider (04/04/2023)</v>
      </c>
      <c r="H10039" s="19"/>
    </row>
    <row r="10040">
      <c r="A10040" s="9"/>
      <c r="B10040" s="15"/>
      <c r="C10040" s="9">
        <f>IFERROR(__xludf.DUMMYFUNCTION("""COMPUTED_VALUE"""),45038.7518362037)</f>
        <v>45038.75184</v>
      </c>
      <c r="D10040" s="15">
        <f>IFERROR(__xludf.DUMMYFUNCTION("""COMPUTED_VALUE"""),1.037)</f>
        <v>1.037</v>
      </c>
      <c r="E10040" s="16">
        <f>IFERROR(__xludf.DUMMYFUNCTION("""COMPUTED_VALUE"""),67.0)</f>
        <v>67</v>
      </c>
      <c r="F10040" s="19" t="str">
        <f>IFERROR(__xludf.DUMMYFUNCTION("""COMPUTED_VALUE"""),"BLACK")</f>
        <v>BLACK</v>
      </c>
      <c r="G10040" s="20" t="str">
        <f>IFERROR(__xludf.DUMMYFUNCTION("""COMPUTED_VALUE"""),"Uncle Sams Cider (04/04/2023)")</f>
        <v>Uncle Sams Cider (04/04/2023)</v>
      </c>
      <c r="H10040" s="19"/>
    </row>
    <row r="10041">
      <c r="A10041" s="9"/>
      <c r="B10041" s="15"/>
      <c r="C10041" s="9">
        <f>IFERROR(__xludf.DUMMYFUNCTION("""COMPUTED_VALUE"""),45038.7414036921)</f>
        <v>45038.7414</v>
      </c>
      <c r="D10041" s="15">
        <f>IFERROR(__xludf.DUMMYFUNCTION("""COMPUTED_VALUE"""),1.037)</f>
        <v>1.037</v>
      </c>
      <c r="E10041" s="16">
        <f>IFERROR(__xludf.DUMMYFUNCTION("""COMPUTED_VALUE"""),67.0)</f>
        <v>67</v>
      </c>
      <c r="F10041" s="19" t="str">
        <f>IFERROR(__xludf.DUMMYFUNCTION("""COMPUTED_VALUE"""),"BLACK")</f>
        <v>BLACK</v>
      </c>
      <c r="G10041" s="20" t="str">
        <f>IFERROR(__xludf.DUMMYFUNCTION("""COMPUTED_VALUE"""),"Uncle Sams Cider (04/04/2023)")</f>
        <v>Uncle Sams Cider (04/04/2023)</v>
      </c>
      <c r="H10041" s="19"/>
    </row>
    <row r="10042">
      <c r="A10042" s="9"/>
      <c r="B10042" s="15"/>
      <c r="C10042" s="9">
        <f>IFERROR(__xludf.DUMMYFUNCTION("""COMPUTED_VALUE"""),45038.7309828009)</f>
        <v>45038.73098</v>
      </c>
      <c r="D10042" s="15">
        <f>IFERROR(__xludf.DUMMYFUNCTION("""COMPUTED_VALUE"""),1.037)</f>
        <v>1.037</v>
      </c>
      <c r="E10042" s="16">
        <f>IFERROR(__xludf.DUMMYFUNCTION("""COMPUTED_VALUE"""),67.0)</f>
        <v>67</v>
      </c>
      <c r="F10042" s="19" t="str">
        <f>IFERROR(__xludf.DUMMYFUNCTION("""COMPUTED_VALUE"""),"BLACK")</f>
        <v>BLACK</v>
      </c>
      <c r="G10042" s="20" t="str">
        <f>IFERROR(__xludf.DUMMYFUNCTION("""COMPUTED_VALUE"""),"Uncle Sams Cider (04/04/2023)")</f>
        <v>Uncle Sams Cider (04/04/2023)</v>
      </c>
      <c r="H10042" s="19"/>
    </row>
    <row r="10043">
      <c r="A10043" s="9"/>
      <c r="B10043" s="15"/>
      <c r="C10043" s="9">
        <f>IFERROR(__xludf.DUMMYFUNCTION("""COMPUTED_VALUE"""),45038.7205382523)</f>
        <v>45038.72054</v>
      </c>
      <c r="D10043" s="15">
        <f>IFERROR(__xludf.DUMMYFUNCTION("""COMPUTED_VALUE"""),1.037)</f>
        <v>1.037</v>
      </c>
      <c r="E10043" s="16">
        <f>IFERROR(__xludf.DUMMYFUNCTION("""COMPUTED_VALUE"""),67.0)</f>
        <v>67</v>
      </c>
      <c r="F10043" s="19" t="str">
        <f>IFERROR(__xludf.DUMMYFUNCTION("""COMPUTED_VALUE"""),"BLACK")</f>
        <v>BLACK</v>
      </c>
      <c r="G10043" s="20" t="str">
        <f>IFERROR(__xludf.DUMMYFUNCTION("""COMPUTED_VALUE"""),"Uncle Sams Cider (04/04/2023)")</f>
        <v>Uncle Sams Cider (04/04/2023)</v>
      </c>
      <c r="H10043" s="19"/>
    </row>
    <row r="10044">
      <c r="A10044" s="9"/>
      <c r="B10044" s="15"/>
      <c r="C10044" s="9">
        <f>IFERROR(__xludf.DUMMYFUNCTION("""COMPUTED_VALUE"""),45038.7101065972)</f>
        <v>45038.71011</v>
      </c>
      <c r="D10044" s="15">
        <f>IFERROR(__xludf.DUMMYFUNCTION("""COMPUTED_VALUE"""),1.037)</f>
        <v>1.037</v>
      </c>
      <c r="E10044" s="16">
        <f>IFERROR(__xludf.DUMMYFUNCTION("""COMPUTED_VALUE"""),67.0)</f>
        <v>67</v>
      </c>
      <c r="F10044" s="19" t="str">
        <f>IFERROR(__xludf.DUMMYFUNCTION("""COMPUTED_VALUE"""),"BLACK")</f>
        <v>BLACK</v>
      </c>
      <c r="G10044" s="20" t="str">
        <f>IFERROR(__xludf.DUMMYFUNCTION("""COMPUTED_VALUE"""),"Uncle Sams Cider (04/04/2023)")</f>
        <v>Uncle Sams Cider (04/04/2023)</v>
      </c>
      <c r="H10044" s="19"/>
    </row>
    <row r="10045">
      <c r="A10045" s="9"/>
      <c r="B10045" s="15"/>
      <c r="C10045" s="9">
        <f>IFERROR(__xludf.DUMMYFUNCTION("""COMPUTED_VALUE"""),45038.6996857175)</f>
        <v>45038.69969</v>
      </c>
      <c r="D10045" s="15">
        <f>IFERROR(__xludf.DUMMYFUNCTION("""COMPUTED_VALUE"""),1.037)</f>
        <v>1.037</v>
      </c>
      <c r="E10045" s="16">
        <f>IFERROR(__xludf.DUMMYFUNCTION("""COMPUTED_VALUE"""),67.0)</f>
        <v>67</v>
      </c>
      <c r="F10045" s="19" t="str">
        <f>IFERROR(__xludf.DUMMYFUNCTION("""COMPUTED_VALUE"""),"BLACK")</f>
        <v>BLACK</v>
      </c>
      <c r="G10045" s="20" t="str">
        <f>IFERROR(__xludf.DUMMYFUNCTION("""COMPUTED_VALUE"""),"Uncle Sams Cider (04/04/2023)")</f>
        <v>Uncle Sams Cider (04/04/2023)</v>
      </c>
      <c r="H10045" s="19"/>
    </row>
    <row r="10046">
      <c r="A10046" s="9"/>
      <c r="B10046" s="15"/>
      <c r="C10046" s="9">
        <f>IFERROR(__xludf.DUMMYFUNCTION("""COMPUTED_VALUE"""),45038.6892644907)</f>
        <v>45038.68926</v>
      </c>
      <c r="D10046" s="15">
        <f>IFERROR(__xludf.DUMMYFUNCTION("""COMPUTED_VALUE"""),1.038)</f>
        <v>1.038</v>
      </c>
      <c r="E10046" s="16">
        <f>IFERROR(__xludf.DUMMYFUNCTION("""COMPUTED_VALUE"""),67.0)</f>
        <v>67</v>
      </c>
      <c r="F10046" s="19" t="str">
        <f>IFERROR(__xludf.DUMMYFUNCTION("""COMPUTED_VALUE"""),"BLACK")</f>
        <v>BLACK</v>
      </c>
      <c r="G10046" s="20" t="str">
        <f>IFERROR(__xludf.DUMMYFUNCTION("""COMPUTED_VALUE"""),"Uncle Sams Cider (04/04/2023)")</f>
        <v>Uncle Sams Cider (04/04/2023)</v>
      </c>
      <c r="H10046" s="19"/>
    </row>
    <row r="10047">
      <c r="A10047" s="9"/>
      <c r="B10047" s="15"/>
      <c r="C10047" s="9">
        <f>IFERROR(__xludf.DUMMYFUNCTION("""COMPUTED_VALUE"""),45038.6788437384)</f>
        <v>45038.67884</v>
      </c>
      <c r="D10047" s="15">
        <f>IFERROR(__xludf.DUMMYFUNCTION("""COMPUTED_VALUE"""),1.038)</f>
        <v>1.038</v>
      </c>
      <c r="E10047" s="16">
        <f>IFERROR(__xludf.DUMMYFUNCTION("""COMPUTED_VALUE"""),67.0)</f>
        <v>67</v>
      </c>
      <c r="F10047" s="19" t="str">
        <f>IFERROR(__xludf.DUMMYFUNCTION("""COMPUTED_VALUE"""),"BLACK")</f>
        <v>BLACK</v>
      </c>
      <c r="G10047" s="20" t="str">
        <f>IFERROR(__xludf.DUMMYFUNCTION("""COMPUTED_VALUE"""),"Uncle Sams Cider (04/04/2023)")</f>
        <v>Uncle Sams Cider (04/04/2023)</v>
      </c>
      <c r="H10047" s="19"/>
    </row>
    <row r="10048">
      <c r="A10048" s="9"/>
      <c r="B10048" s="15"/>
      <c r="C10048" s="9">
        <f>IFERROR(__xludf.DUMMYFUNCTION("""COMPUTED_VALUE"""),45038.6684225694)</f>
        <v>45038.66842</v>
      </c>
      <c r="D10048" s="15">
        <f>IFERROR(__xludf.DUMMYFUNCTION("""COMPUTED_VALUE"""),1.037)</f>
        <v>1.037</v>
      </c>
      <c r="E10048" s="16">
        <f>IFERROR(__xludf.DUMMYFUNCTION("""COMPUTED_VALUE"""),67.0)</f>
        <v>67</v>
      </c>
      <c r="F10048" s="19" t="str">
        <f>IFERROR(__xludf.DUMMYFUNCTION("""COMPUTED_VALUE"""),"BLACK")</f>
        <v>BLACK</v>
      </c>
      <c r="G10048" s="20" t="str">
        <f>IFERROR(__xludf.DUMMYFUNCTION("""COMPUTED_VALUE"""),"Uncle Sams Cider (04/04/2023)")</f>
        <v>Uncle Sams Cider (04/04/2023)</v>
      </c>
      <c r="H10048" s="19"/>
    </row>
    <row r="10049">
      <c r="A10049" s="9"/>
      <c r="B10049" s="15"/>
      <c r="C10049" s="9">
        <f>IFERROR(__xludf.DUMMYFUNCTION("""COMPUTED_VALUE"""),45038.6579904513)</f>
        <v>45038.65799</v>
      </c>
      <c r="D10049" s="15">
        <f>IFERROR(__xludf.DUMMYFUNCTION("""COMPUTED_VALUE"""),1.037)</f>
        <v>1.037</v>
      </c>
      <c r="E10049" s="16">
        <f>IFERROR(__xludf.DUMMYFUNCTION("""COMPUTED_VALUE"""),67.0)</f>
        <v>67</v>
      </c>
      <c r="F10049" s="19" t="str">
        <f>IFERROR(__xludf.DUMMYFUNCTION("""COMPUTED_VALUE"""),"BLACK")</f>
        <v>BLACK</v>
      </c>
      <c r="G10049" s="20" t="str">
        <f>IFERROR(__xludf.DUMMYFUNCTION("""COMPUTED_VALUE"""),"Uncle Sams Cider (04/04/2023)")</f>
        <v>Uncle Sams Cider (04/04/2023)</v>
      </c>
      <c r="H10049" s="19"/>
    </row>
    <row r="10050">
      <c r="A10050" s="9"/>
      <c r="B10050" s="15"/>
      <c r="C10050" s="9">
        <f>IFERROR(__xludf.DUMMYFUNCTION("""COMPUTED_VALUE"""),45038.6475700694)</f>
        <v>45038.64757</v>
      </c>
      <c r="D10050" s="15">
        <f>IFERROR(__xludf.DUMMYFUNCTION("""COMPUTED_VALUE"""),1.037)</f>
        <v>1.037</v>
      </c>
      <c r="E10050" s="16">
        <f>IFERROR(__xludf.DUMMYFUNCTION("""COMPUTED_VALUE"""),67.0)</f>
        <v>67</v>
      </c>
      <c r="F10050" s="19" t="str">
        <f>IFERROR(__xludf.DUMMYFUNCTION("""COMPUTED_VALUE"""),"BLACK")</f>
        <v>BLACK</v>
      </c>
      <c r="G10050" s="20" t="str">
        <f>IFERROR(__xludf.DUMMYFUNCTION("""COMPUTED_VALUE"""),"Uncle Sams Cider (04/04/2023)")</f>
        <v>Uncle Sams Cider (04/04/2023)</v>
      </c>
      <c r="H10050" s="19"/>
    </row>
    <row r="10051">
      <c r="A10051" s="9"/>
      <c r="B10051" s="15"/>
      <c r="C10051" s="9">
        <f>IFERROR(__xludf.DUMMYFUNCTION("""COMPUTED_VALUE"""),45038.6371492824)</f>
        <v>45038.63715</v>
      </c>
      <c r="D10051" s="15">
        <f>IFERROR(__xludf.DUMMYFUNCTION("""COMPUTED_VALUE"""),1.038)</f>
        <v>1.038</v>
      </c>
      <c r="E10051" s="16">
        <f>IFERROR(__xludf.DUMMYFUNCTION("""COMPUTED_VALUE"""),67.0)</f>
        <v>67</v>
      </c>
      <c r="F10051" s="19" t="str">
        <f>IFERROR(__xludf.DUMMYFUNCTION("""COMPUTED_VALUE"""),"BLACK")</f>
        <v>BLACK</v>
      </c>
      <c r="G10051" s="20" t="str">
        <f>IFERROR(__xludf.DUMMYFUNCTION("""COMPUTED_VALUE"""),"Uncle Sams Cider (04/04/2023)")</f>
        <v>Uncle Sams Cider (04/04/2023)</v>
      </c>
      <c r="H10051" s="19"/>
    </row>
    <row r="10052">
      <c r="A10052" s="9"/>
      <c r="B10052" s="15"/>
      <c r="C10052" s="9">
        <f>IFERROR(__xludf.DUMMYFUNCTION("""COMPUTED_VALUE"""),45038.6266940856)</f>
        <v>45038.62669</v>
      </c>
      <c r="D10052" s="15">
        <f>IFERROR(__xludf.DUMMYFUNCTION("""COMPUTED_VALUE"""),1.038)</f>
        <v>1.038</v>
      </c>
      <c r="E10052" s="16">
        <f>IFERROR(__xludf.DUMMYFUNCTION("""COMPUTED_VALUE"""),67.0)</f>
        <v>67</v>
      </c>
      <c r="F10052" s="19" t="str">
        <f>IFERROR(__xludf.DUMMYFUNCTION("""COMPUTED_VALUE"""),"BLACK")</f>
        <v>BLACK</v>
      </c>
      <c r="G10052" s="20" t="str">
        <f>IFERROR(__xludf.DUMMYFUNCTION("""COMPUTED_VALUE"""),"Uncle Sams Cider (04/04/2023)")</f>
        <v>Uncle Sams Cider (04/04/2023)</v>
      </c>
      <c r="H10052" s="19"/>
    </row>
    <row r="10053">
      <c r="A10053" s="9"/>
      <c r="B10053" s="15"/>
      <c r="C10053" s="9">
        <f>IFERROR(__xludf.DUMMYFUNCTION("""COMPUTED_VALUE"""),45038.6162717708)</f>
        <v>45038.61627</v>
      </c>
      <c r="D10053" s="15">
        <f>IFERROR(__xludf.DUMMYFUNCTION("""COMPUTED_VALUE"""),1.038)</f>
        <v>1.038</v>
      </c>
      <c r="E10053" s="16">
        <f>IFERROR(__xludf.DUMMYFUNCTION("""COMPUTED_VALUE"""),67.0)</f>
        <v>67</v>
      </c>
      <c r="F10053" s="19" t="str">
        <f>IFERROR(__xludf.DUMMYFUNCTION("""COMPUTED_VALUE"""),"BLACK")</f>
        <v>BLACK</v>
      </c>
      <c r="G10053" s="20" t="str">
        <f>IFERROR(__xludf.DUMMYFUNCTION("""COMPUTED_VALUE"""),"Uncle Sams Cider (04/04/2023)")</f>
        <v>Uncle Sams Cider (04/04/2023)</v>
      </c>
      <c r="H10053" s="19"/>
    </row>
    <row r="10054">
      <c r="A10054" s="9"/>
      <c r="B10054" s="15"/>
      <c r="C10054" s="9">
        <f>IFERROR(__xludf.DUMMYFUNCTION("""COMPUTED_VALUE"""),45038.6058514467)</f>
        <v>45038.60585</v>
      </c>
      <c r="D10054" s="15">
        <f>IFERROR(__xludf.DUMMYFUNCTION("""COMPUTED_VALUE"""),1.037)</f>
        <v>1.037</v>
      </c>
      <c r="E10054" s="16">
        <f>IFERROR(__xludf.DUMMYFUNCTION("""COMPUTED_VALUE"""),67.0)</f>
        <v>67</v>
      </c>
      <c r="F10054" s="19" t="str">
        <f>IFERROR(__xludf.DUMMYFUNCTION("""COMPUTED_VALUE"""),"BLACK")</f>
        <v>BLACK</v>
      </c>
      <c r="G10054" s="20" t="str">
        <f>IFERROR(__xludf.DUMMYFUNCTION("""COMPUTED_VALUE"""),"Uncle Sams Cider (04/04/2023)")</f>
        <v>Uncle Sams Cider (04/04/2023)</v>
      </c>
      <c r="H10054" s="19"/>
    </row>
    <row r="10055">
      <c r="A10055" s="9"/>
      <c r="B10055" s="15"/>
      <c r="C10055" s="9">
        <f>IFERROR(__xludf.DUMMYFUNCTION("""COMPUTED_VALUE"""),45038.5954312152)</f>
        <v>45038.59543</v>
      </c>
      <c r="D10055" s="15">
        <f>IFERROR(__xludf.DUMMYFUNCTION("""COMPUTED_VALUE"""),1.037)</f>
        <v>1.037</v>
      </c>
      <c r="E10055" s="16">
        <f>IFERROR(__xludf.DUMMYFUNCTION("""COMPUTED_VALUE"""),67.0)</f>
        <v>67</v>
      </c>
      <c r="F10055" s="19" t="str">
        <f>IFERROR(__xludf.DUMMYFUNCTION("""COMPUTED_VALUE"""),"BLACK")</f>
        <v>BLACK</v>
      </c>
      <c r="G10055" s="20" t="str">
        <f>IFERROR(__xludf.DUMMYFUNCTION("""COMPUTED_VALUE"""),"Uncle Sams Cider (04/04/2023)")</f>
        <v>Uncle Sams Cider (04/04/2023)</v>
      </c>
      <c r="H10055" s="19"/>
    </row>
    <row r="10056">
      <c r="A10056" s="9"/>
      <c r="B10056" s="15"/>
      <c r="C10056" s="9">
        <f>IFERROR(__xludf.DUMMYFUNCTION("""COMPUTED_VALUE"""),45038.58500978)</f>
        <v>45038.58501</v>
      </c>
      <c r="D10056" s="15">
        <f>IFERROR(__xludf.DUMMYFUNCTION("""COMPUTED_VALUE"""),1.037)</f>
        <v>1.037</v>
      </c>
      <c r="E10056" s="16">
        <f>IFERROR(__xludf.DUMMYFUNCTION("""COMPUTED_VALUE"""),67.0)</f>
        <v>67</v>
      </c>
      <c r="F10056" s="19" t="str">
        <f>IFERROR(__xludf.DUMMYFUNCTION("""COMPUTED_VALUE"""),"BLACK")</f>
        <v>BLACK</v>
      </c>
      <c r="G10056" s="20" t="str">
        <f>IFERROR(__xludf.DUMMYFUNCTION("""COMPUTED_VALUE"""),"Uncle Sams Cider (04/04/2023)")</f>
        <v>Uncle Sams Cider (04/04/2023)</v>
      </c>
      <c r="H10056" s="19"/>
    </row>
    <row r="10057">
      <c r="A10057" s="9"/>
      <c r="B10057" s="15"/>
      <c r="C10057" s="9">
        <f>IFERROR(__xludf.DUMMYFUNCTION("""COMPUTED_VALUE"""),45038.5745882754)</f>
        <v>45038.57459</v>
      </c>
      <c r="D10057" s="15">
        <f>IFERROR(__xludf.DUMMYFUNCTION("""COMPUTED_VALUE"""),1.038)</f>
        <v>1.038</v>
      </c>
      <c r="E10057" s="16">
        <f>IFERROR(__xludf.DUMMYFUNCTION("""COMPUTED_VALUE"""),67.0)</f>
        <v>67</v>
      </c>
      <c r="F10057" s="19" t="str">
        <f>IFERROR(__xludf.DUMMYFUNCTION("""COMPUTED_VALUE"""),"BLACK")</f>
        <v>BLACK</v>
      </c>
      <c r="G10057" s="20" t="str">
        <f>IFERROR(__xludf.DUMMYFUNCTION("""COMPUTED_VALUE"""),"Uncle Sams Cider (04/04/2023)")</f>
        <v>Uncle Sams Cider (04/04/2023)</v>
      </c>
      <c r="H10057" s="19"/>
    </row>
    <row r="10058">
      <c r="A10058" s="9"/>
      <c r="B10058" s="15"/>
      <c r="C10058" s="9">
        <f>IFERROR(__xludf.DUMMYFUNCTION("""COMPUTED_VALUE"""),45038.5641551388)</f>
        <v>45038.56416</v>
      </c>
      <c r="D10058" s="15">
        <f>IFERROR(__xludf.DUMMYFUNCTION("""COMPUTED_VALUE"""),1.038)</f>
        <v>1.038</v>
      </c>
      <c r="E10058" s="16">
        <f>IFERROR(__xludf.DUMMYFUNCTION("""COMPUTED_VALUE"""),67.0)</f>
        <v>67</v>
      </c>
      <c r="F10058" s="19" t="str">
        <f>IFERROR(__xludf.DUMMYFUNCTION("""COMPUTED_VALUE"""),"BLACK")</f>
        <v>BLACK</v>
      </c>
      <c r="G10058" s="20" t="str">
        <f>IFERROR(__xludf.DUMMYFUNCTION("""COMPUTED_VALUE"""),"Uncle Sams Cider (04/04/2023)")</f>
        <v>Uncle Sams Cider (04/04/2023)</v>
      </c>
      <c r="H10058" s="19"/>
    </row>
    <row r="10059">
      <c r="A10059" s="9"/>
      <c r="B10059" s="15"/>
      <c r="C10059" s="9">
        <f>IFERROR(__xludf.DUMMYFUNCTION("""COMPUTED_VALUE"""),45038.5537123263)</f>
        <v>45038.55371</v>
      </c>
      <c r="D10059" s="15">
        <f>IFERROR(__xludf.DUMMYFUNCTION("""COMPUTED_VALUE"""),1.038)</f>
        <v>1.038</v>
      </c>
      <c r="E10059" s="16">
        <f>IFERROR(__xludf.DUMMYFUNCTION("""COMPUTED_VALUE"""),67.0)</f>
        <v>67</v>
      </c>
      <c r="F10059" s="19" t="str">
        <f>IFERROR(__xludf.DUMMYFUNCTION("""COMPUTED_VALUE"""),"BLACK")</f>
        <v>BLACK</v>
      </c>
      <c r="G10059" s="20" t="str">
        <f>IFERROR(__xludf.DUMMYFUNCTION("""COMPUTED_VALUE"""),"Uncle Sams Cider (04/04/2023)")</f>
        <v>Uncle Sams Cider (04/04/2023)</v>
      </c>
      <c r="H10059" s="19"/>
    </row>
    <row r="10060">
      <c r="A10060" s="9"/>
      <c r="B10060" s="15"/>
      <c r="C10060" s="9">
        <f>IFERROR(__xludf.DUMMYFUNCTION("""COMPUTED_VALUE"""),45038.5432912847)</f>
        <v>45038.54329</v>
      </c>
      <c r="D10060" s="15">
        <f>IFERROR(__xludf.DUMMYFUNCTION("""COMPUTED_VALUE"""),1.038)</f>
        <v>1.038</v>
      </c>
      <c r="E10060" s="16">
        <f>IFERROR(__xludf.DUMMYFUNCTION("""COMPUTED_VALUE"""),67.0)</f>
        <v>67</v>
      </c>
      <c r="F10060" s="19" t="str">
        <f>IFERROR(__xludf.DUMMYFUNCTION("""COMPUTED_VALUE"""),"BLACK")</f>
        <v>BLACK</v>
      </c>
      <c r="G10060" s="20" t="str">
        <f>IFERROR(__xludf.DUMMYFUNCTION("""COMPUTED_VALUE"""),"Uncle Sams Cider (04/04/2023)")</f>
        <v>Uncle Sams Cider (04/04/2023)</v>
      </c>
      <c r="H10060" s="19"/>
    </row>
    <row r="10061">
      <c r="A10061" s="9"/>
      <c r="B10061" s="15"/>
      <c r="C10061" s="9">
        <f>IFERROR(__xludf.DUMMYFUNCTION("""COMPUTED_VALUE"""),45038.5328713078)</f>
        <v>45038.53287</v>
      </c>
      <c r="D10061" s="15">
        <f>IFERROR(__xludf.DUMMYFUNCTION("""COMPUTED_VALUE"""),1.038)</f>
        <v>1.038</v>
      </c>
      <c r="E10061" s="16">
        <f>IFERROR(__xludf.DUMMYFUNCTION("""COMPUTED_VALUE"""),67.0)</f>
        <v>67</v>
      </c>
      <c r="F10061" s="19" t="str">
        <f>IFERROR(__xludf.DUMMYFUNCTION("""COMPUTED_VALUE"""),"BLACK")</f>
        <v>BLACK</v>
      </c>
      <c r="G10061" s="20" t="str">
        <f>IFERROR(__xludf.DUMMYFUNCTION("""COMPUTED_VALUE"""),"Uncle Sams Cider (04/04/2023)")</f>
        <v>Uncle Sams Cider (04/04/2023)</v>
      </c>
      <c r="H10061" s="19"/>
    </row>
    <row r="10062">
      <c r="A10062" s="9"/>
      <c r="B10062" s="15"/>
      <c r="C10062" s="9">
        <f>IFERROR(__xludf.DUMMYFUNCTION("""COMPUTED_VALUE"""),45038.5224370486)</f>
        <v>45038.52244</v>
      </c>
      <c r="D10062" s="15">
        <f>IFERROR(__xludf.DUMMYFUNCTION("""COMPUTED_VALUE"""),1.038)</f>
        <v>1.038</v>
      </c>
      <c r="E10062" s="16">
        <f>IFERROR(__xludf.DUMMYFUNCTION("""COMPUTED_VALUE"""),67.0)</f>
        <v>67</v>
      </c>
      <c r="F10062" s="19" t="str">
        <f>IFERROR(__xludf.DUMMYFUNCTION("""COMPUTED_VALUE"""),"BLACK")</f>
        <v>BLACK</v>
      </c>
      <c r="G10062" s="20" t="str">
        <f>IFERROR(__xludf.DUMMYFUNCTION("""COMPUTED_VALUE"""),"Uncle Sams Cider (04/04/2023)")</f>
        <v>Uncle Sams Cider (04/04/2023)</v>
      </c>
      <c r="H10062" s="19"/>
    </row>
    <row r="10063">
      <c r="A10063" s="9"/>
      <c r="B10063" s="15"/>
      <c r="C10063" s="9">
        <f>IFERROR(__xludf.DUMMYFUNCTION("""COMPUTED_VALUE"""),45038.5120153703)</f>
        <v>45038.51202</v>
      </c>
      <c r="D10063" s="15">
        <f>IFERROR(__xludf.DUMMYFUNCTION("""COMPUTED_VALUE"""),1.038)</f>
        <v>1.038</v>
      </c>
      <c r="E10063" s="16">
        <f>IFERROR(__xludf.DUMMYFUNCTION("""COMPUTED_VALUE"""),67.0)</f>
        <v>67</v>
      </c>
      <c r="F10063" s="19" t="str">
        <f>IFERROR(__xludf.DUMMYFUNCTION("""COMPUTED_VALUE"""),"BLACK")</f>
        <v>BLACK</v>
      </c>
      <c r="G10063" s="20" t="str">
        <f>IFERROR(__xludf.DUMMYFUNCTION("""COMPUTED_VALUE"""),"Uncle Sams Cider (04/04/2023)")</f>
        <v>Uncle Sams Cider (04/04/2023)</v>
      </c>
      <c r="H10063" s="19"/>
    </row>
    <row r="10064">
      <c r="A10064" s="9"/>
      <c r="B10064" s="15"/>
      <c r="C10064" s="9">
        <f>IFERROR(__xludf.DUMMYFUNCTION("""COMPUTED_VALUE"""),45038.5015939236)</f>
        <v>45038.50159</v>
      </c>
      <c r="D10064" s="15">
        <f>IFERROR(__xludf.DUMMYFUNCTION("""COMPUTED_VALUE"""),1.038)</f>
        <v>1.038</v>
      </c>
      <c r="E10064" s="16">
        <f>IFERROR(__xludf.DUMMYFUNCTION("""COMPUTED_VALUE"""),67.0)</f>
        <v>67</v>
      </c>
      <c r="F10064" s="19" t="str">
        <f>IFERROR(__xludf.DUMMYFUNCTION("""COMPUTED_VALUE"""),"BLACK")</f>
        <v>BLACK</v>
      </c>
      <c r="G10064" s="20" t="str">
        <f>IFERROR(__xludf.DUMMYFUNCTION("""COMPUTED_VALUE"""),"Uncle Sams Cider (04/04/2023)")</f>
        <v>Uncle Sams Cider (04/04/2023)</v>
      </c>
      <c r="H10064" s="19"/>
    </row>
    <row r="10065">
      <c r="A10065" s="9"/>
      <c r="B10065" s="15"/>
      <c r="C10065" s="9">
        <f>IFERROR(__xludf.DUMMYFUNCTION("""COMPUTED_VALUE"""),45038.4911724305)</f>
        <v>45038.49117</v>
      </c>
      <c r="D10065" s="15">
        <f>IFERROR(__xludf.DUMMYFUNCTION("""COMPUTED_VALUE"""),1.038)</f>
        <v>1.038</v>
      </c>
      <c r="E10065" s="16">
        <f>IFERROR(__xludf.DUMMYFUNCTION("""COMPUTED_VALUE"""),67.0)</f>
        <v>67</v>
      </c>
      <c r="F10065" s="19" t="str">
        <f>IFERROR(__xludf.DUMMYFUNCTION("""COMPUTED_VALUE"""),"BLACK")</f>
        <v>BLACK</v>
      </c>
      <c r="G10065" s="20" t="str">
        <f>IFERROR(__xludf.DUMMYFUNCTION("""COMPUTED_VALUE"""),"Uncle Sams Cider (04/04/2023)")</f>
        <v>Uncle Sams Cider (04/04/2023)</v>
      </c>
      <c r="H10065" s="19"/>
    </row>
    <row r="10066">
      <c r="A10066" s="9"/>
      <c r="B10066" s="15"/>
      <c r="C10066" s="9">
        <f>IFERROR(__xludf.DUMMYFUNCTION("""COMPUTED_VALUE"""),45038.4807511458)</f>
        <v>45038.48075</v>
      </c>
      <c r="D10066" s="15">
        <f>IFERROR(__xludf.DUMMYFUNCTION("""COMPUTED_VALUE"""),1.038)</f>
        <v>1.038</v>
      </c>
      <c r="E10066" s="16">
        <f>IFERROR(__xludf.DUMMYFUNCTION("""COMPUTED_VALUE"""),67.0)</f>
        <v>67</v>
      </c>
      <c r="F10066" s="19" t="str">
        <f>IFERROR(__xludf.DUMMYFUNCTION("""COMPUTED_VALUE"""),"BLACK")</f>
        <v>BLACK</v>
      </c>
      <c r="G10066" s="20" t="str">
        <f>IFERROR(__xludf.DUMMYFUNCTION("""COMPUTED_VALUE"""),"Uncle Sams Cider (04/04/2023)")</f>
        <v>Uncle Sams Cider (04/04/2023)</v>
      </c>
      <c r="H10066" s="19"/>
    </row>
    <row r="10067">
      <c r="A10067" s="9"/>
      <c r="B10067" s="15"/>
      <c r="C10067" s="9">
        <f>IFERROR(__xludf.DUMMYFUNCTION("""COMPUTED_VALUE"""),45038.470330162)</f>
        <v>45038.47033</v>
      </c>
      <c r="D10067" s="15">
        <f>IFERROR(__xludf.DUMMYFUNCTION("""COMPUTED_VALUE"""),1.038)</f>
        <v>1.038</v>
      </c>
      <c r="E10067" s="16">
        <f>IFERROR(__xludf.DUMMYFUNCTION("""COMPUTED_VALUE"""),67.0)</f>
        <v>67</v>
      </c>
      <c r="F10067" s="19" t="str">
        <f>IFERROR(__xludf.DUMMYFUNCTION("""COMPUTED_VALUE"""),"BLACK")</f>
        <v>BLACK</v>
      </c>
      <c r="G10067" s="20" t="str">
        <f>IFERROR(__xludf.DUMMYFUNCTION("""COMPUTED_VALUE"""),"Uncle Sams Cider (04/04/2023)")</f>
        <v>Uncle Sams Cider (04/04/2023)</v>
      </c>
      <c r="H10067" s="19"/>
    </row>
    <row r="10068">
      <c r="A10068" s="9"/>
      <c r="B10068" s="15"/>
      <c r="C10068" s="9">
        <f>IFERROR(__xludf.DUMMYFUNCTION("""COMPUTED_VALUE"""),45038.4599084722)</f>
        <v>45038.45991</v>
      </c>
      <c r="D10068" s="15">
        <f>IFERROR(__xludf.DUMMYFUNCTION("""COMPUTED_VALUE"""),1.038)</f>
        <v>1.038</v>
      </c>
      <c r="E10068" s="16">
        <f>IFERROR(__xludf.DUMMYFUNCTION("""COMPUTED_VALUE"""),67.0)</f>
        <v>67</v>
      </c>
      <c r="F10068" s="19" t="str">
        <f>IFERROR(__xludf.DUMMYFUNCTION("""COMPUTED_VALUE"""),"BLACK")</f>
        <v>BLACK</v>
      </c>
      <c r="G10068" s="20" t="str">
        <f>IFERROR(__xludf.DUMMYFUNCTION("""COMPUTED_VALUE"""),"Uncle Sams Cider (04/04/2023)")</f>
        <v>Uncle Sams Cider (04/04/2023)</v>
      </c>
      <c r="H10068" s="19"/>
    </row>
    <row r="10069">
      <c r="A10069" s="9"/>
      <c r="B10069" s="15"/>
      <c r="C10069" s="9">
        <f>IFERROR(__xludf.DUMMYFUNCTION("""COMPUTED_VALUE"""),45038.4494650694)</f>
        <v>45038.44947</v>
      </c>
      <c r="D10069" s="15">
        <f>IFERROR(__xludf.DUMMYFUNCTION("""COMPUTED_VALUE"""),1.038)</f>
        <v>1.038</v>
      </c>
      <c r="E10069" s="16">
        <f>IFERROR(__xludf.DUMMYFUNCTION("""COMPUTED_VALUE"""),67.0)</f>
        <v>67</v>
      </c>
      <c r="F10069" s="19" t="str">
        <f>IFERROR(__xludf.DUMMYFUNCTION("""COMPUTED_VALUE"""),"BLACK")</f>
        <v>BLACK</v>
      </c>
      <c r="G10069" s="20" t="str">
        <f>IFERROR(__xludf.DUMMYFUNCTION("""COMPUTED_VALUE"""),"Uncle Sams Cider (04/04/2023)")</f>
        <v>Uncle Sams Cider (04/04/2023)</v>
      </c>
      <c r="H10069" s="19"/>
    </row>
    <row r="10070">
      <c r="A10070" s="9"/>
      <c r="B10070" s="15"/>
      <c r="C10070" s="9">
        <f>IFERROR(__xludf.DUMMYFUNCTION("""COMPUTED_VALUE"""),45038.4390093981)</f>
        <v>45038.43901</v>
      </c>
      <c r="D10070" s="15">
        <f>IFERROR(__xludf.DUMMYFUNCTION("""COMPUTED_VALUE"""),1.038)</f>
        <v>1.038</v>
      </c>
      <c r="E10070" s="16">
        <f>IFERROR(__xludf.DUMMYFUNCTION("""COMPUTED_VALUE"""),67.0)</f>
        <v>67</v>
      </c>
      <c r="F10070" s="19" t="str">
        <f>IFERROR(__xludf.DUMMYFUNCTION("""COMPUTED_VALUE"""),"BLACK")</f>
        <v>BLACK</v>
      </c>
      <c r="G10070" s="20" t="str">
        <f>IFERROR(__xludf.DUMMYFUNCTION("""COMPUTED_VALUE"""),"Uncle Sams Cider (04/04/2023)")</f>
        <v>Uncle Sams Cider (04/04/2023)</v>
      </c>
      <c r="H10070" s="19"/>
    </row>
    <row r="10071">
      <c r="A10071" s="9"/>
      <c r="B10071" s="15"/>
      <c r="C10071" s="9">
        <f>IFERROR(__xludf.DUMMYFUNCTION("""COMPUTED_VALUE"""),45038.4285892708)</f>
        <v>45038.42859</v>
      </c>
      <c r="D10071" s="15">
        <f>IFERROR(__xludf.DUMMYFUNCTION("""COMPUTED_VALUE"""),1.038)</f>
        <v>1.038</v>
      </c>
      <c r="E10071" s="16">
        <f>IFERROR(__xludf.DUMMYFUNCTION("""COMPUTED_VALUE"""),67.0)</f>
        <v>67</v>
      </c>
      <c r="F10071" s="19" t="str">
        <f>IFERROR(__xludf.DUMMYFUNCTION("""COMPUTED_VALUE"""),"BLACK")</f>
        <v>BLACK</v>
      </c>
      <c r="G10071" s="20" t="str">
        <f>IFERROR(__xludf.DUMMYFUNCTION("""COMPUTED_VALUE"""),"Uncle Sams Cider (04/04/2023)")</f>
        <v>Uncle Sams Cider (04/04/2023)</v>
      </c>
      <c r="H10071" s="19"/>
    </row>
    <row r="10072">
      <c r="A10072" s="9"/>
      <c r="B10072" s="15"/>
      <c r="C10072" s="9">
        <f>IFERROR(__xludf.DUMMYFUNCTION("""COMPUTED_VALUE"""),45038.4181681018)</f>
        <v>45038.41817</v>
      </c>
      <c r="D10072" s="15">
        <f>IFERROR(__xludf.DUMMYFUNCTION("""COMPUTED_VALUE"""),1.038)</f>
        <v>1.038</v>
      </c>
      <c r="E10072" s="16">
        <f>IFERROR(__xludf.DUMMYFUNCTION("""COMPUTED_VALUE"""),67.0)</f>
        <v>67</v>
      </c>
      <c r="F10072" s="19" t="str">
        <f>IFERROR(__xludf.DUMMYFUNCTION("""COMPUTED_VALUE"""),"BLACK")</f>
        <v>BLACK</v>
      </c>
      <c r="G10072" s="20" t="str">
        <f>IFERROR(__xludf.DUMMYFUNCTION("""COMPUTED_VALUE"""),"Uncle Sams Cider (04/04/2023)")</f>
        <v>Uncle Sams Cider (04/04/2023)</v>
      </c>
      <c r="H10072" s="19"/>
    </row>
    <row r="10073">
      <c r="A10073" s="9"/>
      <c r="B10073" s="15"/>
      <c r="C10073" s="9">
        <f>IFERROR(__xludf.DUMMYFUNCTION("""COMPUTED_VALUE"""),45038.4077460995)</f>
        <v>45038.40775</v>
      </c>
      <c r="D10073" s="15">
        <f>IFERROR(__xludf.DUMMYFUNCTION("""COMPUTED_VALUE"""),1.038)</f>
        <v>1.038</v>
      </c>
      <c r="E10073" s="16">
        <f>IFERROR(__xludf.DUMMYFUNCTION("""COMPUTED_VALUE"""),67.0)</f>
        <v>67</v>
      </c>
      <c r="F10073" s="19" t="str">
        <f>IFERROR(__xludf.DUMMYFUNCTION("""COMPUTED_VALUE"""),"BLACK")</f>
        <v>BLACK</v>
      </c>
      <c r="G10073" s="20" t="str">
        <f>IFERROR(__xludf.DUMMYFUNCTION("""COMPUTED_VALUE"""),"Uncle Sams Cider (04/04/2023)")</f>
        <v>Uncle Sams Cider (04/04/2023)</v>
      </c>
      <c r="H10073" s="19"/>
    </row>
    <row r="10074">
      <c r="A10074" s="9"/>
      <c r="B10074" s="15"/>
      <c r="C10074" s="9">
        <f>IFERROR(__xludf.DUMMYFUNCTION("""COMPUTED_VALUE"""),45038.397300706)</f>
        <v>45038.3973</v>
      </c>
      <c r="D10074" s="15">
        <f>IFERROR(__xludf.DUMMYFUNCTION("""COMPUTED_VALUE"""),1.038)</f>
        <v>1.038</v>
      </c>
      <c r="E10074" s="16">
        <f>IFERROR(__xludf.DUMMYFUNCTION("""COMPUTED_VALUE"""),67.0)</f>
        <v>67</v>
      </c>
      <c r="F10074" s="19" t="str">
        <f>IFERROR(__xludf.DUMMYFUNCTION("""COMPUTED_VALUE"""),"BLACK")</f>
        <v>BLACK</v>
      </c>
      <c r="G10074" s="20" t="str">
        <f>IFERROR(__xludf.DUMMYFUNCTION("""COMPUTED_VALUE"""),"Uncle Sams Cider (04/04/2023)")</f>
        <v>Uncle Sams Cider (04/04/2023)</v>
      </c>
      <c r="H10074" s="19"/>
    </row>
    <row r="10075">
      <c r="A10075" s="9"/>
      <c r="B10075" s="15"/>
      <c r="C10075" s="9">
        <f>IFERROR(__xludf.DUMMYFUNCTION("""COMPUTED_VALUE"""),45038.3868800115)</f>
        <v>45038.38688</v>
      </c>
      <c r="D10075" s="15">
        <f>IFERROR(__xludf.DUMMYFUNCTION("""COMPUTED_VALUE"""),1.038)</f>
        <v>1.038</v>
      </c>
      <c r="E10075" s="16">
        <f>IFERROR(__xludf.DUMMYFUNCTION("""COMPUTED_VALUE"""),67.0)</f>
        <v>67</v>
      </c>
      <c r="F10075" s="19" t="str">
        <f>IFERROR(__xludf.DUMMYFUNCTION("""COMPUTED_VALUE"""),"BLACK")</f>
        <v>BLACK</v>
      </c>
      <c r="G10075" s="20" t="str">
        <f>IFERROR(__xludf.DUMMYFUNCTION("""COMPUTED_VALUE"""),"Uncle Sams Cider (04/04/2023)")</f>
        <v>Uncle Sams Cider (04/04/2023)</v>
      </c>
      <c r="H10075" s="19"/>
    </row>
    <row r="10076">
      <c r="A10076" s="9"/>
      <c r="B10076" s="15"/>
      <c r="C10076" s="9">
        <f>IFERROR(__xludf.DUMMYFUNCTION("""COMPUTED_VALUE"""),45038.3764594328)</f>
        <v>45038.37646</v>
      </c>
      <c r="D10076" s="15">
        <f>IFERROR(__xludf.DUMMYFUNCTION("""COMPUTED_VALUE"""),1.038)</f>
        <v>1.038</v>
      </c>
      <c r="E10076" s="16">
        <f>IFERROR(__xludf.DUMMYFUNCTION("""COMPUTED_VALUE"""),67.0)</f>
        <v>67</v>
      </c>
      <c r="F10076" s="19" t="str">
        <f>IFERROR(__xludf.DUMMYFUNCTION("""COMPUTED_VALUE"""),"BLACK")</f>
        <v>BLACK</v>
      </c>
      <c r="G10076" s="20" t="str">
        <f>IFERROR(__xludf.DUMMYFUNCTION("""COMPUTED_VALUE"""),"Uncle Sams Cider (04/04/2023)")</f>
        <v>Uncle Sams Cider (04/04/2023)</v>
      </c>
      <c r="H10076" s="19"/>
    </row>
    <row r="10077">
      <c r="A10077" s="9"/>
      <c r="B10077" s="15"/>
      <c r="C10077" s="9">
        <f>IFERROR(__xludf.DUMMYFUNCTION("""COMPUTED_VALUE"""),45038.3660393518)</f>
        <v>45038.36604</v>
      </c>
      <c r="D10077" s="15">
        <f>IFERROR(__xludf.DUMMYFUNCTION("""COMPUTED_VALUE"""),1.038)</f>
        <v>1.038</v>
      </c>
      <c r="E10077" s="16">
        <f>IFERROR(__xludf.DUMMYFUNCTION("""COMPUTED_VALUE"""),67.0)</f>
        <v>67</v>
      </c>
      <c r="F10077" s="19" t="str">
        <f>IFERROR(__xludf.DUMMYFUNCTION("""COMPUTED_VALUE"""),"BLACK")</f>
        <v>BLACK</v>
      </c>
      <c r="G10077" s="20" t="str">
        <f>IFERROR(__xludf.DUMMYFUNCTION("""COMPUTED_VALUE"""),"Uncle Sams Cider (04/04/2023)")</f>
        <v>Uncle Sams Cider (04/04/2023)</v>
      </c>
      <c r="H10077" s="19"/>
    </row>
    <row r="10078">
      <c r="A10078" s="9"/>
      <c r="B10078" s="15"/>
      <c r="C10078" s="9">
        <f>IFERROR(__xludf.DUMMYFUNCTION("""COMPUTED_VALUE"""),45038.355618287)</f>
        <v>45038.35562</v>
      </c>
      <c r="D10078" s="15">
        <f>IFERROR(__xludf.DUMMYFUNCTION("""COMPUTED_VALUE"""),1.038)</f>
        <v>1.038</v>
      </c>
      <c r="E10078" s="16">
        <f>IFERROR(__xludf.DUMMYFUNCTION("""COMPUTED_VALUE"""),67.0)</f>
        <v>67</v>
      </c>
      <c r="F10078" s="19" t="str">
        <f>IFERROR(__xludf.DUMMYFUNCTION("""COMPUTED_VALUE"""),"BLACK")</f>
        <v>BLACK</v>
      </c>
      <c r="G10078" s="20" t="str">
        <f>IFERROR(__xludf.DUMMYFUNCTION("""COMPUTED_VALUE"""),"Uncle Sams Cider (04/04/2023)")</f>
        <v>Uncle Sams Cider (04/04/2023)</v>
      </c>
      <c r="H10078" s="19"/>
    </row>
    <row r="10079">
      <c r="A10079" s="9"/>
      <c r="B10079" s="15"/>
      <c r="C10079" s="9">
        <f>IFERROR(__xludf.DUMMYFUNCTION("""COMPUTED_VALUE"""),45038.3451981365)</f>
        <v>45038.3452</v>
      </c>
      <c r="D10079" s="15">
        <f>IFERROR(__xludf.DUMMYFUNCTION("""COMPUTED_VALUE"""),1.038)</f>
        <v>1.038</v>
      </c>
      <c r="E10079" s="16">
        <f>IFERROR(__xludf.DUMMYFUNCTION("""COMPUTED_VALUE"""),67.0)</f>
        <v>67</v>
      </c>
      <c r="F10079" s="19" t="str">
        <f>IFERROR(__xludf.DUMMYFUNCTION("""COMPUTED_VALUE"""),"BLACK")</f>
        <v>BLACK</v>
      </c>
      <c r="G10079" s="20" t="str">
        <f>IFERROR(__xludf.DUMMYFUNCTION("""COMPUTED_VALUE"""),"Uncle Sams Cider (04/04/2023)")</f>
        <v>Uncle Sams Cider (04/04/2023)</v>
      </c>
      <c r="H10079" s="19"/>
    </row>
    <row r="10080">
      <c r="A10080" s="9"/>
      <c r="B10080" s="15"/>
      <c r="C10080" s="9">
        <f>IFERROR(__xludf.DUMMYFUNCTION("""COMPUTED_VALUE"""),45038.3347658449)</f>
        <v>45038.33477</v>
      </c>
      <c r="D10080" s="15">
        <f>IFERROR(__xludf.DUMMYFUNCTION("""COMPUTED_VALUE"""),1.038)</f>
        <v>1.038</v>
      </c>
      <c r="E10080" s="16">
        <f>IFERROR(__xludf.DUMMYFUNCTION("""COMPUTED_VALUE"""),67.0)</f>
        <v>67</v>
      </c>
      <c r="F10080" s="19" t="str">
        <f>IFERROR(__xludf.DUMMYFUNCTION("""COMPUTED_VALUE"""),"BLACK")</f>
        <v>BLACK</v>
      </c>
      <c r="G10080" s="20" t="str">
        <f>IFERROR(__xludf.DUMMYFUNCTION("""COMPUTED_VALUE"""),"Uncle Sams Cider (04/04/2023)")</f>
        <v>Uncle Sams Cider (04/04/2023)</v>
      </c>
      <c r="H10080" s="19"/>
    </row>
    <row r="10081">
      <c r="A10081" s="9"/>
      <c r="B10081" s="15"/>
      <c r="C10081" s="9">
        <f>IFERROR(__xludf.DUMMYFUNCTION("""COMPUTED_VALUE"""),45038.3243453588)</f>
        <v>45038.32435</v>
      </c>
      <c r="D10081" s="15">
        <f>IFERROR(__xludf.DUMMYFUNCTION("""COMPUTED_VALUE"""),1.038)</f>
        <v>1.038</v>
      </c>
      <c r="E10081" s="16">
        <f>IFERROR(__xludf.DUMMYFUNCTION("""COMPUTED_VALUE"""),67.0)</f>
        <v>67</v>
      </c>
      <c r="F10081" s="19" t="str">
        <f>IFERROR(__xludf.DUMMYFUNCTION("""COMPUTED_VALUE"""),"BLACK")</f>
        <v>BLACK</v>
      </c>
      <c r="G10081" s="20" t="str">
        <f>IFERROR(__xludf.DUMMYFUNCTION("""COMPUTED_VALUE"""),"Uncle Sams Cider (04/04/2023)")</f>
        <v>Uncle Sams Cider (04/04/2023)</v>
      </c>
      <c r="H10081" s="19"/>
    </row>
    <row r="10082">
      <c r="A10082" s="9"/>
      <c r="B10082" s="15"/>
      <c r="C10082" s="9">
        <f>IFERROR(__xludf.DUMMYFUNCTION("""COMPUTED_VALUE"""),45038.3139234953)</f>
        <v>45038.31392</v>
      </c>
      <c r="D10082" s="15">
        <f>IFERROR(__xludf.DUMMYFUNCTION("""COMPUTED_VALUE"""),1.038)</f>
        <v>1.038</v>
      </c>
      <c r="E10082" s="16">
        <f>IFERROR(__xludf.DUMMYFUNCTION("""COMPUTED_VALUE"""),67.0)</f>
        <v>67</v>
      </c>
      <c r="F10082" s="19" t="str">
        <f>IFERROR(__xludf.DUMMYFUNCTION("""COMPUTED_VALUE"""),"BLACK")</f>
        <v>BLACK</v>
      </c>
      <c r="G10082" s="20" t="str">
        <f>IFERROR(__xludf.DUMMYFUNCTION("""COMPUTED_VALUE"""),"Uncle Sams Cider (04/04/2023)")</f>
        <v>Uncle Sams Cider (04/04/2023)</v>
      </c>
      <c r="H10082" s="19"/>
    </row>
    <row r="10083">
      <c r="A10083" s="9"/>
      <c r="B10083" s="15"/>
      <c r="C10083" s="9">
        <f>IFERROR(__xludf.DUMMYFUNCTION("""COMPUTED_VALUE"""),45038.3035012037)</f>
        <v>45038.3035</v>
      </c>
      <c r="D10083" s="15">
        <f>IFERROR(__xludf.DUMMYFUNCTION("""COMPUTED_VALUE"""),1.038)</f>
        <v>1.038</v>
      </c>
      <c r="E10083" s="16">
        <f>IFERROR(__xludf.DUMMYFUNCTION("""COMPUTED_VALUE"""),67.0)</f>
        <v>67</v>
      </c>
      <c r="F10083" s="19" t="str">
        <f>IFERROR(__xludf.DUMMYFUNCTION("""COMPUTED_VALUE"""),"BLACK")</f>
        <v>BLACK</v>
      </c>
      <c r="G10083" s="20" t="str">
        <f>IFERROR(__xludf.DUMMYFUNCTION("""COMPUTED_VALUE"""),"Uncle Sams Cider (04/04/2023)")</f>
        <v>Uncle Sams Cider (04/04/2023)</v>
      </c>
      <c r="H10083" s="19"/>
    </row>
    <row r="10084">
      <c r="A10084" s="9"/>
      <c r="B10084" s="15"/>
      <c r="C10084" s="9">
        <f>IFERROR(__xludf.DUMMYFUNCTION("""COMPUTED_VALUE"""),45038.2930679513)</f>
        <v>45038.29307</v>
      </c>
      <c r="D10084" s="15">
        <f>IFERROR(__xludf.DUMMYFUNCTION("""COMPUTED_VALUE"""),1.038)</f>
        <v>1.038</v>
      </c>
      <c r="E10084" s="16">
        <f>IFERROR(__xludf.DUMMYFUNCTION("""COMPUTED_VALUE"""),67.0)</f>
        <v>67</v>
      </c>
      <c r="F10084" s="19" t="str">
        <f>IFERROR(__xludf.DUMMYFUNCTION("""COMPUTED_VALUE"""),"BLACK")</f>
        <v>BLACK</v>
      </c>
      <c r="G10084" s="20" t="str">
        <f>IFERROR(__xludf.DUMMYFUNCTION("""COMPUTED_VALUE"""),"Uncle Sams Cider (04/04/2023)")</f>
        <v>Uncle Sams Cider (04/04/2023)</v>
      </c>
      <c r="H10084" s="19"/>
    </row>
    <row r="10085">
      <c r="A10085" s="9"/>
      <c r="B10085" s="15"/>
      <c r="C10085" s="9">
        <f>IFERROR(__xludf.DUMMYFUNCTION("""COMPUTED_VALUE"""),45038.2826455208)</f>
        <v>45038.28265</v>
      </c>
      <c r="D10085" s="15">
        <f>IFERROR(__xludf.DUMMYFUNCTION("""COMPUTED_VALUE"""),1.038)</f>
        <v>1.038</v>
      </c>
      <c r="E10085" s="16">
        <f>IFERROR(__xludf.DUMMYFUNCTION("""COMPUTED_VALUE"""),67.0)</f>
        <v>67</v>
      </c>
      <c r="F10085" s="19" t="str">
        <f>IFERROR(__xludf.DUMMYFUNCTION("""COMPUTED_VALUE"""),"BLACK")</f>
        <v>BLACK</v>
      </c>
      <c r="G10085" s="20" t="str">
        <f>IFERROR(__xludf.DUMMYFUNCTION("""COMPUTED_VALUE"""),"Uncle Sams Cider (04/04/2023)")</f>
        <v>Uncle Sams Cider (04/04/2023)</v>
      </c>
      <c r="H10085" s="19"/>
    </row>
    <row r="10086">
      <c r="A10086" s="9"/>
      <c r="B10086" s="15"/>
      <c r="C10086" s="9">
        <f>IFERROR(__xludf.DUMMYFUNCTION("""COMPUTED_VALUE"""),45038.2722236921)</f>
        <v>45038.27222</v>
      </c>
      <c r="D10086" s="15">
        <f>IFERROR(__xludf.DUMMYFUNCTION("""COMPUTED_VALUE"""),1.038)</f>
        <v>1.038</v>
      </c>
      <c r="E10086" s="16">
        <f>IFERROR(__xludf.DUMMYFUNCTION("""COMPUTED_VALUE"""),67.0)</f>
        <v>67</v>
      </c>
      <c r="F10086" s="19" t="str">
        <f>IFERROR(__xludf.DUMMYFUNCTION("""COMPUTED_VALUE"""),"BLACK")</f>
        <v>BLACK</v>
      </c>
      <c r="G10086" s="20" t="str">
        <f>IFERROR(__xludf.DUMMYFUNCTION("""COMPUTED_VALUE"""),"Uncle Sams Cider (04/04/2023)")</f>
        <v>Uncle Sams Cider (04/04/2023)</v>
      </c>
      <c r="H10086" s="19"/>
    </row>
    <row r="10087">
      <c r="A10087" s="9"/>
      <c r="B10087" s="15"/>
      <c r="C10087" s="9">
        <f>IFERROR(__xludf.DUMMYFUNCTION("""COMPUTED_VALUE"""),45038.2618011574)</f>
        <v>45038.2618</v>
      </c>
      <c r="D10087" s="15">
        <f>IFERROR(__xludf.DUMMYFUNCTION("""COMPUTED_VALUE"""),1.038)</f>
        <v>1.038</v>
      </c>
      <c r="E10087" s="16">
        <f>IFERROR(__xludf.DUMMYFUNCTION("""COMPUTED_VALUE"""),67.0)</f>
        <v>67</v>
      </c>
      <c r="F10087" s="19" t="str">
        <f>IFERROR(__xludf.DUMMYFUNCTION("""COMPUTED_VALUE"""),"BLACK")</f>
        <v>BLACK</v>
      </c>
      <c r="G10087" s="20" t="str">
        <f>IFERROR(__xludf.DUMMYFUNCTION("""COMPUTED_VALUE"""),"Uncle Sams Cider (04/04/2023)")</f>
        <v>Uncle Sams Cider (04/04/2023)</v>
      </c>
      <c r="H10087" s="19"/>
    </row>
    <row r="10088">
      <c r="A10088" s="9"/>
      <c r="B10088" s="15"/>
      <c r="C10088" s="9">
        <f>IFERROR(__xludf.DUMMYFUNCTION("""COMPUTED_VALUE"""),45038.2513800347)</f>
        <v>45038.25138</v>
      </c>
      <c r="D10088" s="15">
        <f>IFERROR(__xludf.DUMMYFUNCTION("""COMPUTED_VALUE"""),1.038)</f>
        <v>1.038</v>
      </c>
      <c r="E10088" s="16">
        <f>IFERROR(__xludf.DUMMYFUNCTION("""COMPUTED_VALUE"""),67.0)</f>
        <v>67</v>
      </c>
      <c r="F10088" s="19" t="str">
        <f>IFERROR(__xludf.DUMMYFUNCTION("""COMPUTED_VALUE"""),"BLACK")</f>
        <v>BLACK</v>
      </c>
      <c r="G10088" s="20" t="str">
        <f>IFERROR(__xludf.DUMMYFUNCTION("""COMPUTED_VALUE"""),"Uncle Sams Cider (04/04/2023)")</f>
        <v>Uncle Sams Cider (04/04/2023)</v>
      </c>
      <c r="H10088" s="19"/>
    </row>
    <row r="10089">
      <c r="A10089" s="9"/>
      <c r="B10089" s="15"/>
      <c r="C10089" s="9">
        <f>IFERROR(__xludf.DUMMYFUNCTION("""COMPUTED_VALUE"""),45038.2409584143)</f>
        <v>45038.24096</v>
      </c>
      <c r="D10089" s="15">
        <f>IFERROR(__xludf.DUMMYFUNCTION("""COMPUTED_VALUE"""),1.038)</f>
        <v>1.038</v>
      </c>
      <c r="E10089" s="16">
        <f>IFERROR(__xludf.DUMMYFUNCTION("""COMPUTED_VALUE"""),67.0)</f>
        <v>67</v>
      </c>
      <c r="F10089" s="19" t="str">
        <f>IFERROR(__xludf.DUMMYFUNCTION("""COMPUTED_VALUE"""),"BLACK")</f>
        <v>BLACK</v>
      </c>
      <c r="G10089" s="20" t="str">
        <f>IFERROR(__xludf.DUMMYFUNCTION("""COMPUTED_VALUE"""),"Uncle Sams Cider (04/04/2023)")</f>
        <v>Uncle Sams Cider (04/04/2023)</v>
      </c>
      <c r="H10089" s="19"/>
    </row>
    <row r="10090">
      <c r="A10090" s="9"/>
      <c r="B10090" s="15"/>
      <c r="C10090" s="9">
        <f>IFERROR(__xludf.DUMMYFUNCTION("""COMPUTED_VALUE"""),45038.2305359606)</f>
        <v>45038.23054</v>
      </c>
      <c r="D10090" s="15">
        <f>IFERROR(__xludf.DUMMYFUNCTION("""COMPUTED_VALUE"""),1.038)</f>
        <v>1.038</v>
      </c>
      <c r="E10090" s="16">
        <f>IFERROR(__xludf.DUMMYFUNCTION("""COMPUTED_VALUE"""),67.0)</f>
        <v>67</v>
      </c>
      <c r="F10090" s="19" t="str">
        <f>IFERROR(__xludf.DUMMYFUNCTION("""COMPUTED_VALUE"""),"BLACK")</f>
        <v>BLACK</v>
      </c>
      <c r="G10090" s="20" t="str">
        <f>IFERROR(__xludf.DUMMYFUNCTION("""COMPUTED_VALUE"""),"Uncle Sams Cider (04/04/2023)")</f>
        <v>Uncle Sams Cider (04/04/2023)</v>
      </c>
      <c r="H10090" s="19"/>
    </row>
    <row r="10091">
      <c r="A10091" s="9"/>
      <c r="B10091" s="15"/>
      <c r="C10091" s="9">
        <f>IFERROR(__xludf.DUMMYFUNCTION("""COMPUTED_VALUE"""),45038.2201148611)</f>
        <v>45038.22011</v>
      </c>
      <c r="D10091" s="15">
        <f>IFERROR(__xludf.DUMMYFUNCTION("""COMPUTED_VALUE"""),1.038)</f>
        <v>1.038</v>
      </c>
      <c r="E10091" s="16">
        <f>IFERROR(__xludf.DUMMYFUNCTION("""COMPUTED_VALUE"""),67.0)</f>
        <v>67</v>
      </c>
      <c r="F10091" s="19" t="str">
        <f>IFERROR(__xludf.DUMMYFUNCTION("""COMPUTED_VALUE"""),"BLACK")</f>
        <v>BLACK</v>
      </c>
      <c r="G10091" s="20" t="str">
        <f>IFERROR(__xludf.DUMMYFUNCTION("""COMPUTED_VALUE"""),"Uncle Sams Cider (04/04/2023)")</f>
        <v>Uncle Sams Cider (04/04/2023)</v>
      </c>
      <c r="H10091" s="19"/>
    </row>
    <row r="10092">
      <c r="A10092" s="9"/>
      <c r="B10092" s="15"/>
      <c r="C10092" s="9">
        <f>IFERROR(__xludf.DUMMYFUNCTION("""COMPUTED_VALUE"""),45038.2096918981)</f>
        <v>45038.20969</v>
      </c>
      <c r="D10092" s="15">
        <f>IFERROR(__xludf.DUMMYFUNCTION("""COMPUTED_VALUE"""),1.038)</f>
        <v>1.038</v>
      </c>
      <c r="E10092" s="16">
        <f>IFERROR(__xludf.DUMMYFUNCTION("""COMPUTED_VALUE"""),67.0)</f>
        <v>67</v>
      </c>
      <c r="F10092" s="19" t="str">
        <f>IFERROR(__xludf.DUMMYFUNCTION("""COMPUTED_VALUE"""),"BLACK")</f>
        <v>BLACK</v>
      </c>
      <c r="G10092" s="20" t="str">
        <f>IFERROR(__xludf.DUMMYFUNCTION("""COMPUTED_VALUE"""),"Uncle Sams Cider (04/04/2023)")</f>
        <v>Uncle Sams Cider (04/04/2023)</v>
      </c>
      <c r="H10092" s="19"/>
    </row>
    <row r="10093">
      <c r="A10093" s="9"/>
      <c r="B10093" s="15"/>
      <c r="C10093" s="9">
        <f>IFERROR(__xludf.DUMMYFUNCTION("""COMPUTED_VALUE"""),45038.1992599884)</f>
        <v>45038.19926</v>
      </c>
      <c r="D10093" s="15">
        <f>IFERROR(__xludf.DUMMYFUNCTION("""COMPUTED_VALUE"""),1.038)</f>
        <v>1.038</v>
      </c>
      <c r="E10093" s="16">
        <f>IFERROR(__xludf.DUMMYFUNCTION("""COMPUTED_VALUE"""),67.0)</f>
        <v>67</v>
      </c>
      <c r="F10093" s="19" t="str">
        <f>IFERROR(__xludf.DUMMYFUNCTION("""COMPUTED_VALUE"""),"BLACK")</f>
        <v>BLACK</v>
      </c>
      <c r="G10093" s="20" t="str">
        <f>IFERROR(__xludf.DUMMYFUNCTION("""COMPUTED_VALUE"""),"Uncle Sams Cider (04/04/2023)")</f>
        <v>Uncle Sams Cider (04/04/2023)</v>
      </c>
      <c r="H10093" s="19"/>
    </row>
    <row r="10094">
      <c r="A10094" s="9"/>
      <c r="B10094" s="15"/>
      <c r="C10094" s="9">
        <f>IFERROR(__xludf.DUMMYFUNCTION("""COMPUTED_VALUE"""),45038.188825162)</f>
        <v>45038.18883</v>
      </c>
      <c r="D10094" s="15">
        <f>IFERROR(__xludf.DUMMYFUNCTION("""COMPUTED_VALUE"""),1.038)</f>
        <v>1.038</v>
      </c>
      <c r="E10094" s="16">
        <f>IFERROR(__xludf.DUMMYFUNCTION("""COMPUTED_VALUE"""),67.0)</f>
        <v>67</v>
      </c>
      <c r="F10094" s="19" t="str">
        <f>IFERROR(__xludf.DUMMYFUNCTION("""COMPUTED_VALUE"""),"BLACK")</f>
        <v>BLACK</v>
      </c>
      <c r="G10094" s="20" t="str">
        <f>IFERROR(__xludf.DUMMYFUNCTION("""COMPUTED_VALUE"""),"Uncle Sams Cider (04/04/2023)")</f>
        <v>Uncle Sams Cider (04/04/2023)</v>
      </c>
      <c r="H10094" s="19"/>
    </row>
    <row r="10095">
      <c r="A10095" s="9"/>
      <c r="B10095" s="15"/>
      <c r="C10095" s="9">
        <f>IFERROR(__xludf.DUMMYFUNCTION("""COMPUTED_VALUE"""),45038.1783898958)</f>
        <v>45038.17839</v>
      </c>
      <c r="D10095" s="15">
        <f>IFERROR(__xludf.DUMMYFUNCTION("""COMPUTED_VALUE"""),1.038)</f>
        <v>1.038</v>
      </c>
      <c r="E10095" s="16">
        <f>IFERROR(__xludf.DUMMYFUNCTION("""COMPUTED_VALUE"""),67.0)</f>
        <v>67</v>
      </c>
      <c r="F10095" s="19" t="str">
        <f>IFERROR(__xludf.DUMMYFUNCTION("""COMPUTED_VALUE"""),"BLACK")</f>
        <v>BLACK</v>
      </c>
      <c r="G10095" s="20" t="str">
        <f>IFERROR(__xludf.DUMMYFUNCTION("""COMPUTED_VALUE"""),"Uncle Sams Cider (04/04/2023)")</f>
        <v>Uncle Sams Cider (04/04/2023)</v>
      </c>
      <c r="H10095" s="19"/>
    </row>
    <row r="10096">
      <c r="A10096" s="9"/>
      <c r="B10096" s="15"/>
      <c r="C10096" s="9">
        <f>IFERROR(__xludf.DUMMYFUNCTION("""COMPUTED_VALUE"""),45038.1679567476)</f>
        <v>45038.16796</v>
      </c>
      <c r="D10096" s="15">
        <f>IFERROR(__xludf.DUMMYFUNCTION("""COMPUTED_VALUE"""),1.038)</f>
        <v>1.038</v>
      </c>
      <c r="E10096" s="16">
        <f>IFERROR(__xludf.DUMMYFUNCTION("""COMPUTED_VALUE"""),67.0)</f>
        <v>67</v>
      </c>
      <c r="F10096" s="19" t="str">
        <f>IFERROR(__xludf.DUMMYFUNCTION("""COMPUTED_VALUE"""),"BLACK")</f>
        <v>BLACK</v>
      </c>
      <c r="G10096" s="20" t="str">
        <f>IFERROR(__xludf.DUMMYFUNCTION("""COMPUTED_VALUE"""),"Uncle Sams Cider (04/04/2023)")</f>
        <v>Uncle Sams Cider (04/04/2023)</v>
      </c>
      <c r="H10096" s="19"/>
    </row>
    <row r="10097">
      <c r="A10097" s="9"/>
      <c r="B10097" s="15"/>
      <c r="C10097" s="9">
        <f>IFERROR(__xludf.DUMMYFUNCTION("""COMPUTED_VALUE"""),45038.1575358564)</f>
        <v>45038.15754</v>
      </c>
      <c r="D10097" s="15">
        <f>IFERROR(__xludf.DUMMYFUNCTION("""COMPUTED_VALUE"""),1.038)</f>
        <v>1.038</v>
      </c>
      <c r="E10097" s="16">
        <f>IFERROR(__xludf.DUMMYFUNCTION("""COMPUTED_VALUE"""),67.0)</f>
        <v>67</v>
      </c>
      <c r="F10097" s="19" t="str">
        <f>IFERROR(__xludf.DUMMYFUNCTION("""COMPUTED_VALUE"""),"BLACK")</f>
        <v>BLACK</v>
      </c>
      <c r="G10097" s="20" t="str">
        <f>IFERROR(__xludf.DUMMYFUNCTION("""COMPUTED_VALUE"""),"Uncle Sams Cider (04/04/2023)")</f>
        <v>Uncle Sams Cider (04/04/2023)</v>
      </c>
      <c r="H10097" s="19"/>
    </row>
    <row r="10098">
      <c r="A10098" s="9"/>
      <c r="B10098" s="15"/>
      <c r="C10098" s="9">
        <f>IFERROR(__xludf.DUMMYFUNCTION("""COMPUTED_VALUE"""),45038.1471155208)</f>
        <v>45038.14712</v>
      </c>
      <c r="D10098" s="15">
        <f>IFERROR(__xludf.DUMMYFUNCTION("""COMPUTED_VALUE"""),1.038)</f>
        <v>1.038</v>
      </c>
      <c r="E10098" s="16">
        <f>IFERROR(__xludf.DUMMYFUNCTION("""COMPUTED_VALUE"""),67.0)</f>
        <v>67</v>
      </c>
      <c r="F10098" s="19" t="str">
        <f>IFERROR(__xludf.DUMMYFUNCTION("""COMPUTED_VALUE"""),"BLACK")</f>
        <v>BLACK</v>
      </c>
      <c r="G10098" s="20" t="str">
        <f>IFERROR(__xludf.DUMMYFUNCTION("""COMPUTED_VALUE"""),"Uncle Sams Cider (04/04/2023)")</f>
        <v>Uncle Sams Cider (04/04/2023)</v>
      </c>
      <c r="H10098" s="19"/>
    </row>
    <row r="10099">
      <c r="A10099" s="9"/>
      <c r="B10099" s="15"/>
      <c r="C10099" s="9">
        <f>IFERROR(__xludf.DUMMYFUNCTION("""COMPUTED_VALUE"""),45038.136694618)</f>
        <v>45038.13669</v>
      </c>
      <c r="D10099" s="15">
        <f>IFERROR(__xludf.DUMMYFUNCTION("""COMPUTED_VALUE"""),1.038)</f>
        <v>1.038</v>
      </c>
      <c r="E10099" s="16">
        <f>IFERROR(__xludf.DUMMYFUNCTION("""COMPUTED_VALUE"""),67.0)</f>
        <v>67</v>
      </c>
      <c r="F10099" s="19" t="str">
        <f>IFERROR(__xludf.DUMMYFUNCTION("""COMPUTED_VALUE"""),"BLACK")</f>
        <v>BLACK</v>
      </c>
      <c r="G10099" s="20" t="str">
        <f>IFERROR(__xludf.DUMMYFUNCTION("""COMPUTED_VALUE"""),"Uncle Sams Cider (04/04/2023)")</f>
        <v>Uncle Sams Cider (04/04/2023)</v>
      </c>
      <c r="H10099" s="19"/>
    </row>
    <row r="10100">
      <c r="A10100" s="9"/>
      <c r="B10100" s="15"/>
      <c r="C10100" s="9">
        <f>IFERROR(__xludf.DUMMYFUNCTION("""COMPUTED_VALUE"""),45038.1262512731)</f>
        <v>45038.12625</v>
      </c>
      <c r="D10100" s="15">
        <f>IFERROR(__xludf.DUMMYFUNCTION("""COMPUTED_VALUE"""),1.038)</f>
        <v>1.038</v>
      </c>
      <c r="E10100" s="16">
        <f>IFERROR(__xludf.DUMMYFUNCTION("""COMPUTED_VALUE"""),66.0)</f>
        <v>66</v>
      </c>
      <c r="F10100" s="19" t="str">
        <f>IFERROR(__xludf.DUMMYFUNCTION("""COMPUTED_VALUE"""),"BLACK")</f>
        <v>BLACK</v>
      </c>
      <c r="G10100" s="20" t="str">
        <f>IFERROR(__xludf.DUMMYFUNCTION("""COMPUTED_VALUE"""),"Uncle Sams Cider (04/04/2023)")</f>
        <v>Uncle Sams Cider (04/04/2023)</v>
      </c>
      <c r="H10100" s="19"/>
    </row>
    <row r="10101">
      <c r="A10101" s="9"/>
      <c r="B10101" s="15"/>
      <c r="C10101" s="9">
        <f>IFERROR(__xludf.DUMMYFUNCTION("""COMPUTED_VALUE"""),45038.1158173726)</f>
        <v>45038.11582</v>
      </c>
      <c r="D10101" s="15">
        <f>IFERROR(__xludf.DUMMYFUNCTION("""COMPUTED_VALUE"""),1.038)</f>
        <v>1.038</v>
      </c>
      <c r="E10101" s="16">
        <f>IFERROR(__xludf.DUMMYFUNCTION("""COMPUTED_VALUE"""),66.0)</f>
        <v>66</v>
      </c>
      <c r="F10101" s="19" t="str">
        <f>IFERROR(__xludf.DUMMYFUNCTION("""COMPUTED_VALUE"""),"BLACK")</f>
        <v>BLACK</v>
      </c>
      <c r="G10101" s="20" t="str">
        <f>IFERROR(__xludf.DUMMYFUNCTION("""COMPUTED_VALUE"""),"Uncle Sams Cider (04/04/2023)")</f>
        <v>Uncle Sams Cider (04/04/2023)</v>
      </c>
      <c r="H10101" s="19"/>
    </row>
    <row r="10102">
      <c r="A10102" s="9"/>
      <c r="B10102" s="15"/>
      <c r="C10102" s="9">
        <f>IFERROR(__xludf.DUMMYFUNCTION("""COMPUTED_VALUE"""),45038.1053981018)</f>
        <v>45038.1054</v>
      </c>
      <c r="D10102" s="15">
        <f>IFERROR(__xludf.DUMMYFUNCTION("""COMPUTED_VALUE"""),1.038)</f>
        <v>1.038</v>
      </c>
      <c r="E10102" s="16">
        <f>IFERROR(__xludf.DUMMYFUNCTION("""COMPUTED_VALUE"""),67.0)</f>
        <v>67</v>
      </c>
      <c r="F10102" s="19" t="str">
        <f>IFERROR(__xludf.DUMMYFUNCTION("""COMPUTED_VALUE"""),"BLACK")</f>
        <v>BLACK</v>
      </c>
      <c r="G10102" s="20" t="str">
        <f>IFERROR(__xludf.DUMMYFUNCTION("""COMPUTED_VALUE"""),"Uncle Sams Cider (04/04/2023)")</f>
        <v>Uncle Sams Cider (04/04/2023)</v>
      </c>
      <c r="H10102" s="19"/>
    </row>
    <row r="10103">
      <c r="A10103" s="9"/>
      <c r="B10103" s="15"/>
      <c r="C10103" s="9">
        <f>IFERROR(__xludf.DUMMYFUNCTION("""COMPUTED_VALUE"""),45038.094965706)</f>
        <v>45038.09497</v>
      </c>
      <c r="D10103" s="15">
        <f>IFERROR(__xludf.DUMMYFUNCTION("""COMPUTED_VALUE"""),1.038)</f>
        <v>1.038</v>
      </c>
      <c r="E10103" s="16">
        <f>IFERROR(__xludf.DUMMYFUNCTION("""COMPUTED_VALUE"""),66.0)</f>
        <v>66</v>
      </c>
      <c r="F10103" s="19" t="str">
        <f>IFERROR(__xludf.DUMMYFUNCTION("""COMPUTED_VALUE"""),"BLACK")</f>
        <v>BLACK</v>
      </c>
      <c r="G10103" s="20" t="str">
        <f>IFERROR(__xludf.DUMMYFUNCTION("""COMPUTED_VALUE"""),"Uncle Sams Cider (04/04/2023)")</f>
        <v>Uncle Sams Cider (04/04/2023)</v>
      </c>
      <c r="H10103" s="19"/>
    </row>
    <row r="10104">
      <c r="A10104" s="9"/>
      <c r="B10104" s="15"/>
      <c r="C10104" s="9">
        <f>IFERROR(__xludf.DUMMYFUNCTION("""COMPUTED_VALUE"""),45038.0845439814)</f>
        <v>45038.08454</v>
      </c>
      <c r="D10104" s="15">
        <f>IFERROR(__xludf.DUMMYFUNCTION("""COMPUTED_VALUE"""),1.038)</f>
        <v>1.038</v>
      </c>
      <c r="E10104" s="16">
        <f>IFERROR(__xludf.DUMMYFUNCTION("""COMPUTED_VALUE"""),67.0)</f>
        <v>67</v>
      </c>
      <c r="F10104" s="19" t="str">
        <f>IFERROR(__xludf.DUMMYFUNCTION("""COMPUTED_VALUE"""),"BLACK")</f>
        <v>BLACK</v>
      </c>
      <c r="G10104" s="20" t="str">
        <f>IFERROR(__xludf.DUMMYFUNCTION("""COMPUTED_VALUE"""),"Uncle Sams Cider (04/04/2023)")</f>
        <v>Uncle Sams Cider (04/04/2023)</v>
      </c>
      <c r="H10104" s="19"/>
    </row>
    <row r="10105">
      <c r="A10105" s="9"/>
      <c r="B10105" s="15"/>
      <c r="C10105" s="9">
        <f>IFERROR(__xludf.DUMMYFUNCTION("""COMPUTED_VALUE"""),45038.0741112268)</f>
        <v>45038.07411</v>
      </c>
      <c r="D10105" s="15">
        <f>IFERROR(__xludf.DUMMYFUNCTION("""COMPUTED_VALUE"""),1.038)</f>
        <v>1.038</v>
      </c>
      <c r="E10105" s="16">
        <f>IFERROR(__xludf.DUMMYFUNCTION("""COMPUTED_VALUE"""),67.0)</f>
        <v>67</v>
      </c>
      <c r="F10105" s="19" t="str">
        <f>IFERROR(__xludf.DUMMYFUNCTION("""COMPUTED_VALUE"""),"BLACK")</f>
        <v>BLACK</v>
      </c>
      <c r="G10105" s="20" t="str">
        <f>IFERROR(__xludf.DUMMYFUNCTION("""COMPUTED_VALUE"""),"Uncle Sams Cider (04/04/2023)")</f>
        <v>Uncle Sams Cider (04/04/2023)</v>
      </c>
      <c r="H10105" s="19"/>
    </row>
    <row r="10106">
      <c r="A10106" s="9"/>
      <c r="B10106" s="15"/>
      <c r="C10106" s="9">
        <f>IFERROR(__xludf.DUMMYFUNCTION("""COMPUTED_VALUE"""),45038.0636786111)</f>
        <v>45038.06368</v>
      </c>
      <c r="D10106" s="15">
        <f>IFERROR(__xludf.DUMMYFUNCTION("""COMPUTED_VALUE"""),1.038)</f>
        <v>1.038</v>
      </c>
      <c r="E10106" s="16">
        <f>IFERROR(__xludf.DUMMYFUNCTION("""COMPUTED_VALUE"""),67.0)</f>
        <v>67</v>
      </c>
      <c r="F10106" s="19" t="str">
        <f>IFERROR(__xludf.DUMMYFUNCTION("""COMPUTED_VALUE"""),"BLACK")</f>
        <v>BLACK</v>
      </c>
      <c r="G10106" s="20" t="str">
        <f>IFERROR(__xludf.DUMMYFUNCTION("""COMPUTED_VALUE"""),"Uncle Sams Cider (04/04/2023)")</f>
        <v>Uncle Sams Cider (04/04/2023)</v>
      </c>
      <c r="H10106" s="19"/>
    </row>
    <row r="10107">
      <c r="A10107" s="9"/>
      <c r="B10107" s="15"/>
      <c r="C10107" s="9">
        <f>IFERROR(__xludf.DUMMYFUNCTION("""COMPUTED_VALUE"""),45038.0532573379)</f>
        <v>45038.05326</v>
      </c>
      <c r="D10107" s="15">
        <f>IFERROR(__xludf.DUMMYFUNCTION("""COMPUTED_VALUE"""),1.038)</f>
        <v>1.038</v>
      </c>
      <c r="E10107" s="16">
        <f>IFERROR(__xludf.DUMMYFUNCTION("""COMPUTED_VALUE"""),67.0)</f>
        <v>67</v>
      </c>
      <c r="F10107" s="19" t="str">
        <f>IFERROR(__xludf.DUMMYFUNCTION("""COMPUTED_VALUE"""),"BLACK")</f>
        <v>BLACK</v>
      </c>
      <c r="G10107" s="20" t="str">
        <f>IFERROR(__xludf.DUMMYFUNCTION("""COMPUTED_VALUE"""),"Uncle Sams Cider (04/04/2023)")</f>
        <v>Uncle Sams Cider (04/04/2023)</v>
      </c>
      <c r="H10107" s="19"/>
    </row>
    <row r="10108">
      <c r="A10108" s="9"/>
      <c r="B10108" s="15"/>
      <c r="C10108" s="9">
        <f>IFERROR(__xludf.DUMMYFUNCTION("""COMPUTED_VALUE"""),45038.0427889351)</f>
        <v>45038.04279</v>
      </c>
      <c r="D10108" s="15">
        <f>IFERROR(__xludf.DUMMYFUNCTION("""COMPUTED_VALUE"""),1.038)</f>
        <v>1.038</v>
      </c>
      <c r="E10108" s="16">
        <f>IFERROR(__xludf.DUMMYFUNCTION("""COMPUTED_VALUE"""),66.0)</f>
        <v>66</v>
      </c>
      <c r="F10108" s="19" t="str">
        <f>IFERROR(__xludf.DUMMYFUNCTION("""COMPUTED_VALUE"""),"BLACK")</f>
        <v>BLACK</v>
      </c>
      <c r="G10108" s="20" t="str">
        <f>IFERROR(__xludf.DUMMYFUNCTION("""COMPUTED_VALUE"""),"Uncle Sams Cider (04/04/2023)")</f>
        <v>Uncle Sams Cider (04/04/2023)</v>
      </c>
      <c r="H10108" s="19"/>
    </row>
    <row r="10109">
      <c r="A10109" s="9"/>
      <c r="B10109" s="15"/>
      <c r="C10109" s="9">
        <f>IFERROR(__xludf.DUMMYFUNCTION("""COMPUTED_VALUE"""),45038.0323555902)</f>
        <v>45038.03236</v>
      </c>
      <c r="D10109" s="15">
        <f>IFERROR(__xludf.DUMMYFUNCTION("""COMPUTED_VALUE"""),1.038)</f>
        <v>1.038</v>
      </c>
      <c r="E10109" s="16">
        <f>IFERROR(__xludf.DUMMYFUNCTION("""COMPUTED_VALUE"""),67.0)</f>
        <v>67</v>
      </c>
      <c r="F10109" s="19" t="str">
        <f>IFERROR(__xludf.DUMMYFUNCTION("""COMPUTED_VALUE"""),"BLACK")</f>
        <v>BLACK</v>
      </c>
      <c r="G10109" s="20" t="str">
        <f>IFERROR(__xludf.DUMMYFUNCTION("""COMPUTED_VALUE"""),"Uncle Sams Cider (04/04/2023)")</f>
        <v>Uncle Sams Cider (04/04/2023)</v>
      </c>
      <c r="H10109" s="19"/>
    </row>
    <row r="10110">
      <c r="A10110" s="9"/>
      <c r="B10110" s="15"/>
      <c r="C10110" s="9">
        <f>IFERROR(__xludf.DUMMYFUNCTION("""COMPUTED_VALUE"""),45038.0219337037)</f>
        <v>45038.02193</v>
      </c>
      <c r="D10110" s="15">
        <f>IFERROR(__xludf.DUMMYFUNCTION("""COMPUTED_VALUE"""),1.038)</f>
        <v>1.038</v>
      </c>
      <c r="E10110" s="16">
        <f>IFERROR(__xludf.DUMMYFUNCTION("""COMPUTED_VALUE"""),67.0)</f>
        <v>67</v>
      </c>
      <c r="F10110" s="19" t="str">
        <f>IFERROR(__xludf.DUMMYFUNCTION("""COMPUTED_VALUE"""),"BLACK")</f>
        <v>BLACK</v>
      </c>
      <c r="G10110" s="20" t="str">
        <f>IFERROR(__xludf.DUMMYFUNCTION("""COMPUTED_VALUE"""),"Uncle Sams Cider (04/04/2023)")</f>
        <v>Uncle Sams Cider (04/04/2023)</v>
      </c>
      <c r="H10110" s="19"/>
    </row>
    <row r="10111">
      <c r="A10111" s="9"/>
      <c r="B10111" s="15"/>
      <c r="C10111" s="9">
        <f>IFERROR(__xludf.DUMMYFUNCTION("""COMPUTED_VALUE"""),45038.0115117361)</f>
        <v>45038.01151</v>
      </c>
      <c r="D10111" s="15">
        <f>IFERROR(__xludf.DUMMYFUNCTION("""COMPUTED_VALUE"""),1.039)</f>
        <v>1.039</v>
      </c>
      <c r="E10111" s="16">
        <f>IFERROR(__xludf.DUMMYFUNCTION("""COMPUTED_VALUE"""),66.0)</f>
        <v>66</v>
      </c>
      <c r="F10111" s="19" t="str">
        <f>IFERROR(__xludf.DUMMYFUNCTION("""COMPUTED_VALUE"""),"BLACK")</f>
        <v>BLACK</v>
      </c>
      <c r="G10111" s="20" t="str">
        <f>IFERROR(__xludf.DUMMYFUNCTION("""COMPUTED_VALUE"""),"Uncle Sams Cider (04/04/2023)")</f>
        <v>Uncle Sams Cider (04/04/2023)</v>
      </c>
      <c r="H10111" s="19"/>
    </row>
    <row r="10112">
      <c r="A10112" s="9"/>
      <c r="B10112" s="15"/>
      <c r="C10112" s="9">
        <f>IFERROR(__xludf.DUMMYFUNCTION("""COMPUTED_VALUE"""),45038.0010901388)</f>
        <v>45038.00109</v>
      </c>
      <c r="D10112" s="15">
        <f>IFERROR(__xludf.DUMMYFUNCTION("""COMPUTED_VALUE"""),1.038)</f>
        <v>1.038</v>
      </c>
      <c r="E10112" s="16">
        <f>IFERROR(__xludf.DUMMYFUNCTION("""COMPUTED_VALUE"""),67.0)</f>
        <v>67</v>
      </c>
      <c r="F10112" s="19" t="str">
        <f>IFERROR(__xludf.DUMMYFUNCTION("""COMPUTED_VALUE"""),"BLACK")</f>
        <v>BLACK</v>
      </c>
      <c r="G10112" s="20" t="str">
        <f>IFERROR(__xludf.DUMMYFUNCTION("""COMPUTED_VALUE"""),"Uncle Sams Cider (04/04/2023)")</f>
        <v>Uncle Sams Cider (04/04/2023)</v>
      </c>
      <c r="H10112" s="19"/>
    </row>
    <row r="10113">
      <c r="A10113" s="9"/>
      <c r="B10113" s="15"/>
      <c r="C10113" s="9">
        <f>IFERROR(__xludf.DUMMYFUNCTION("""COMPUTED_VALUE"""),45037.9906699768)</f>
        <v>45037.99067</v>
      </c>
      <c r="D10113" s="15">
        <f>IFERROR(__xludf.DUMMYFUNCTION("""COMPUTED_VALUE"""),1.039)</f>
        <v>1.039</v>
      </c>
      <c r="E10113" s="16">
        <f>IFERROR(__xludf.DUMMYFUNCTION("""COMPUTED_VALUE"""),67.0)</f>
        <v>67</v>
      </c>
      <c r="F10113" s="19" t="str">
        <f>IFERROR(__xludf.DUMMYFUNCTION("""COMPUTED_VALUE"""),"BLACK")</f>
        <v>BLACK</v>
      </c>
      <c r="G10113" s="20" t="str">
        <f>IFERROR(__xludf.DUMMYFUNCTION("""COMPUTED_VALUE"""),"Uncle Sams Cider (04/04/2023)")</f>
        <v>Uncle Sams Cider (04/04/2023)</v>
      </c>
      <c r="H10113" s="19"/>
    </row>
    <row r="10114">
      <c r="A10114" s="9"/>
      <c r="B10114" s="15"/>
      <c r="C10114" s="9">
        <f>IFERROR(__xludf.DUMMYFUNCTION("""COMPUTED_VALUE"""),45037.9802499652)</f>
        <v>45037.98025</v>
      </c>
      <c r="D10114" s="15">
        <f>IFERROR(__xludf.DUMMYFUNCTION("""COMPUTED_VALUE"""),1.039)</f>
        <v>1.039</v>
      </c>
      <c r="E10114" s="16">
        <f>IFERROR(__xludf.DUMMYFUNCTION("""COMPUTED_VALUE"""),66.0)</f>
        <v>66</v>
      </c>
      <c r="F10114" s="19" t="str">
        <f>IFERROR(__xludf.DUMMYFUNCTION("""COMPUTED_VALUE"""),"BLACK")</f>
        <v>BLACK</v>
      </c>
      <c r="G10114" s="20" t="str">
        <f>IFERROR(__xludf.DUMMYFUNCTION("""COMPUTED_VALUE"""),"Uncle Sams Cider (04/04/2023)")</f>
        <v>Uncle Sams Cider (04/04/2023)</v>
      </c>
      <c r="H10114" s="19"/>
    </row>
    <row r="10115">
      <c r="A10115" s="9"/>
      <c r="B10115" s="15"/>
      <c r="C10115" s="9">
        <f>IFERROR(__xludf.DUMMYFUNCTION("""COMPUTED_VALUE"""),45037.9698286226)</f>
        <v>45037.96983</v>
      </c>
      <c r="D10115" s="15">
        <f>IFERROR(__xludf.DUMMYFUNCTION("""COMPUTED_VALUE"""),1.039)</f>
        <v>1.039</v>
      </c>
      <c r="E10115" s="16">
        <f>IFERROR(__xludf.DUMMYFUNCTION("""COMPUTED_VALUE"""),66.0)</f>
        <v>66</v>
      </c>
      <c r="F10115" s="19" t="str">
        <f>IFERROR(__xludf.DUMMYFUNCTION("""COMPUTED_VALUE"""),"BLACK")</f>
        <v>BLACK</v>
      </c>
      <c r="G10115" s="20" t="str">
        <f>IFERROR(__xludf.DUMMYFUNCTION("""COMPUTED_VALUE"""),"Uncle Sams Cider (04/04/2023)")</f>
        <v>Uncle Sams Cider (04/04/2023)</v>
      </c>
      <c r="H10115" s="19"/>
    </row>
    <row r="10116">
      <c r="A10116" s="9"/>
      <c r="B10116" s="15"/>
      <c r="C10116" s="9">
        <f>IFERROR(__xludf.DUMMYFUNCTION("""COMPUTED_VALUE"""),45037.9593958217)</f>
        <v>45037.9594</v>
      </c>
      <c r="D10116" s="15">
        <f>IFERROR(__xludf.DUMMYFUNCTION("""COMPUTED_VALUE"""),1.039)</f>
        <v>1.039</v>
      </c>
      <c r="E10116" s="16">
        <f>IFERROR(__xludf.DUMMYFUNCTION("""COMPUTED_VALUE"""),67.0)</f>
        <v>67</v>
      </c>
      <c r="F10116" s="19" t="str">
        <f>IFERROR(__xludf.DUMMYFUNCTION("""COMPUTED_VALUE"""),"BLACK")</f>
        <v>BLACK</v>
      </c>
      <c r="G10116" s="20" t="str">
        <f>IFERROR(__xludf.DUMMYFUNCTION("""COMPUTED_VALUE"""),"Uncle Sams Cider (04/04/2023)")</f>
        <v>Uncle Sams Cider (04/04/2023)</v>
      </c>
      <c r="H10116" s="19"/>
    </row>
    <row r="10117">
      <c r="A10117" s="9"/>
      <c r="B10117" s="15"/>
      <c r="C10117" s="9">
        <f>IFERROR(__xludf.DUMMYFUNCTION("""COMPUTED_VALUE"""),45037.9489756481)</f>
        <v>45037.94898</v>
      </c>
      <c r="D10117" s="15">
        <f>IFERROR(__xludf.DUMMYFUNCTION("""COMPUTED_VALUE"""),1.039)</f>
        <v>1.039</v>
      </c>
      <c r="E10117" s="16">
        <f>IFERROR(__xludf.DUMMYFUNCTION("""COMPUTED_VALUE"""),66.0)</f>
        <v>66</v>
      </c>
      <c r="F10117" s="19" t="str">
        <f>IFERROR(__xludf.DUMMYFUNCTION("""COMPUTED_VALUE"""),"BLACK")</f>
        <v>BLACK</v>
      </c>
      <c r="G10117" s="20" t="str">
        <f>IFERROR(__xludf.DUMMYFUNCTION("""COMPUTED_VALUE"""),"Uncle Sams Cider (04/04/2023)")</f>
        <v>Uncle Sams Cider (04/04/2023)</v>
      </c>
      <c r="H10117" s="19"/>
    </row>
    <row r="10118">
      <c r="A10118" s="9"/>
      <c r="B10118" s="15"/>
      <c r="C10118" s="9">
        <f>IFERROR(__xludf.DUMMYFUNCTION("""COMPUTED_VALUE"""),45037.9385446527)</f>
        <v>45037.93854</v>
      </c>
      <c r="D10118" s="15">
        <f>IFERROR(__xludf.DUMMYFUNCTION("""COMPUTED_VALUE"""),1.039)</f>
        <v>1.039</v>
      </c>
      <c r="E10118" s="16">
        <f>IFERROR(__xludf.DUMMYFUNCTION("""COMPUTED_VALUE"""),66.0)</f>
        <v>66</v>
      </c>
      <c r="F10118" s="19" t="str">
        <f>IFERROR(__xludf.DUMMYFUNCTION("""COMPUTED_VALUE"""),"BLACK")</f>
        <v>BLACK</v>
      </c>
      <c r="G10118" s="20" t="str">
        <f>IFERROR(__xludf.DUMMYFUNCTION("""COMPUTED_VALUE"""),"Uncle Sams Cider (04/04/2023)")</f>
        <v>Uncle Sams Cider (04/04/2023)</v>
      </c>
      <c r="H10118" s="19"/>
    </row>
    <row r="10119">
      <c r="A10119" s="9"/>
      <c r="B10119" s="15"/>
      <c r="C10119" s="9">
        <f>IFERROR(__xludf.DUMMYFUNCTION("""COMPUTED_VALUE"""),45037.9281221064)</f>
        <v>45037.92812</v>
      </c>
      <c r="D10119" s="15">
        <f>IFERROR(__xludf.DUMMYFUNCTION("""COMPUTED_VALUE"""),1.039)</f>
        <v>1.039</v>
      </c>
      <c r="E10119" s="16">
        <f>IFERROR(__xludf.DUMMYFUNCTION("""COMPUTED_VALUE"""),66.0)</f>
        <v>66</v>
      </c>
      <c r="F10119" s="19" t="str">
        <f>IFERROR(__xludf.DUMMYFUNCTION("""COMPUTED_VALUE"""),"BLACK")</f>
        <v>BLACK</v>
      </c>
      <c r="G10119" s="20" t="str">
        <f>IFERROR(__xludf.DUMMYFUNCTION("""COMPUTED_VALUE"""),"Uncle Sams Cider (04/04/2023)")</f>
        <v>Uncle Sams Cider (04/04/2023)</v>
      </c>
      <c r="H10119" s="19"/>
    </row>
    <row r="10120">
      <c r="A10120" s="9"/>
      <c r="B10120" s="15"/>
      <c r="C10120" s="9">
        <f>IFERROR(__xludf.DUMMYFUNCTION("""COMPUTED_VALUE"""),45037.9176881134)</f>
        <v>45037.91769</v>
      </c>
      <c r="D10120" s="15">
        <f>IFERROR(__xludf.DUMMYFUNCTION("""COMPUTED_VALUE"""),1.039)</f>
        <v>1.039</v>
      </c>
      <c r="E10120" s="16">
        <f>IFERROR(__xludf.DUMMYFUNCTION("""COMPUTED_VALUE"""),66.0)</f>
        <v>66</v>
      </c>
      <c r="F10120" s="19" t="str">
        <f>IFERROR(__xludf.DUMMYFUNCTION("""COMPUTED_VALUE"""),"BLACK")</f>
        <v>BLACK</v>
      </c>
      <c r="G10120" s="20" t="str">
        <f>IFERROR(__xludf.DUMMYFUNCTION("""COMPUTED_VALUE"""),"Uncle Sams Cider (04/04/2023)")</f>
        <v>Uncle Sams Cider (04/04/2023)</v>
      </c>
      <c r="H10120" s="19"/>
    </row>
    <row r="10121">
      <c r="A10121" s="9"/>
      <c r="B10121" s="15"/>
      <c r="C10121" s="9">
        <f>IFERROR(__xludf.DUMMYFUNCTION("""COMPUTED_VALUE"""),45037.9072672338)</f>
        <v>45037.90727</v>
      </c>
      <c r="D10121" s="15">
        <f>IFERROR(__xludf.DUMMYFUNCTION("""COMPUTED_VALUE"""),1.039)</f>
        <v>1.039</v>
      </c>
      <c r="E10121" s="16">
        <f>IFERROR(__xludf.DUMMYFUNCTION("""COMPUTED_VALUE"""),66.0)</f>
        <v>66</v>
      </c>
      <c r="F10121" s="19" t="str">
        <f>IFERROR(__xludf.DUMMYFUNCTION("""COMPUTED_VALUE"""),"BLACK")</f>
        <v>BLACK</v>
      </c>
      <c r="G10121" s="20" t="str">
        <f>IFERROR(__xludf.DUMMYFUNCTION("""COMPUTED_VALUE"""),"Uncle Sams Cider (04/04/2023)")</f>
        <v>Uncle Sams Cider (04/04/2023)</v>
      </c>
      <c r="H10121" s="19"/>
    </row>
    <row r="10122">
      <c r="A10122" s="9"/>
      <c r="B10122" s="15"/>
      <c r="C10122" s="9">
        <f>IFERROR(__xludf.DUMMYFUNCTION("""COMPUTED_VALUE"""),45037.8968472569)</f>
        <v>45037.89685</v>
      </c>
      <c r="D10122" s="15">
        <f>IFERROR(__xludf.DUMMYFUNCTION("""COMPUTED_VALUE"""),1.039)</f>
        <v>1.039</v>
      </c>
      <c r="E10122" s="16">
        <f>IFERROR(__xludf.DUMMYFUNCTION("""COMPUTED_VALUE"""),66.0)</f>
        <v>66</v>
      </c>
      <c r="F10122" s="19" t="str">
        <f>IFERROR(__xludf.DUMMYFUNCTION("""COMPUTED_VALUE"""),"BLACK")</f>
        <v>BLACK</v>
      </c>
      <c r="G10122" s="20" t="str">
        <f>IFERROR(__xludf.DUMMYFUNCTION("""COMPUTED_VALUE"""),"Uncle Sams Cider (04/04/2023)")</f>
        <v>Uncle Sams Cider (04/04/2023)</v>
      </c>
      <c r="H10122" s="19"/>
    </row>
    <row r="10123">
      <c r="A10123" s="9"/>
      <c r="B10123" s="15"/>
      <c r="C10123" s="9">
        <f>IFERROR(__xludf.DUMMYFUNCTION("""COMPUTED_VALUE"""),45037.8864256713)</f>
        <v>45037.88643</v>
      </c>
      <c r="D10123" s="15">
        <f>IFERROR(__xludf.DUMMYFUNCTION("""COMPUTED_VALUE"""),1.039)</f>
        <v>1.039</v>
      </c>
      <c r="E10123" s="16">
        <f>IFERROR(__xludf.DUMMYFUNCTION("""COMPUTED_VALUE"""),66.0)</f>
        <v>66</v>
      </c>
      <c r="F10123" s="19" t="str">
        <f>IFERROR(__xludf.DUMMYFUNCTION("""COMPUTED_VALUE"""),"BLACK")</f>
        <v>BLACK</v>
      </c>
      <c r="G10123" s="20" t="str">
        <f>IFERROR(__xludf.DUMMYFUNCTION("""COMPUTED_VALUE"""),"Uncle Sams Cider (04/04/2023)")</f>
        <v>Uncle Sams Cider (04/04/2023)</v>
      </c>
      <c r="H10123" s="19"/>
    </row>
    <row r="10124">
      <c r="A10124" s="9"/>
      <c r="B10124" s="15"/>
      <c r="C10124" s="9">
        <f>IFERROR(__xludf.DUMMYFUNCTION("""COMPUTED_VALUE"""),45037.8760035532)</f>
        <v>45037.876</v>
      </c>
      <c r="D10124" s="15">
        <f>IFERROR(__xludf.DUMMYFUNCTION("""COMPUTED_VALUE"""),1.039)</f>
        <v>1.039</v>
      </c>
      <c r="E10124" s="16">
        <f>IFERROR(__xludf.DUMMYFUNCTION("""COMPUTED_VALUE"""),66.0)</f>
        <v>66</v>
      </c>
      <c r="F10124" s="19" t="str">
        <f>IFERROR(__xludf.DUMMYFUNCTION("""COMPUTED_VALUE"""),"BLACK")</f>
        <v>BLACK</v>
      </c>
      <c r="G10124" s="20" t="str">
        <f>IFERROR(__xludf.DUMMYFUNCTION("""COMPUTED_VALUE"""),"Uncle Sams Cider (04/04/2023)")</f>
        <v>Uncle Sams Cider (04/04/2023)</v>
      </c>
      <c r="H10124" s="19"/>
    </row>
    <row r="10125">
      <c r="A10125" s="9"/>
      <c r="B10125" s="15"/>
      <c r="C10125" s="9">
        <f>IFERROR(__xludf.DUMMYFUNCTION("""COMPUTED_VALUE"""),45037.8655466435)</f>
        <v>45037.86555</v>
      </c>
      <c r="D10125" s="15">
        <f>IFERROR(__xludf.DUMMYFUNCTION("""COMPUTED_VALUE"""),1.039)</f>
        <v>1.039</v>
      </c>
      <c r="E10125" s="16">
        <f>IFERROR(__xludf.DUMMYFUNCTION("""COMPUTED_VALUE"""),66.0)</f>
        <v>66</v>
      </c>
      <c r="F10125" s="19" t="str">
        <f>IFERROR(__xludf.DUMMYFUNCTION("""COMPUTED_VALUE"""),"BLACK")</f>
        <v>BLACK</v>
      </c>
      <c r="G10125" s="20" t="str">
        <f>IFERROR(__xludf.DUMMYFUNCTION("""COMPUTED_VALUE"""),"Uncle Sams Cider (04/04/2023)")</f>
        <v>Uncle Sams Cider (04/04/2023)</v>
      </c>
      <c r="H10125" s="19"/>
    </row>
    <row r="10126">
      <c r="A10126" s="9"/>
      <c r="B10126" s="15"/>
      <c r="C10126" s="9">
        <f>IFERROR(__xludf.DUMMYFUNCTION("""COMPUTED_VALUE"""),45037.8551250578)</f>
        <v>45037.85513</v>
      </c>
      <c r="D10126" s="15">
        <f>IFERROR(__xludf.DUMMYFUNCTION("""COMPUTED_VALUE"""),1.039)</f>
        <v>1.039</v>
      </c>
      <c r="E10126" s="16">
        <f>IFERROR(__xludf.DUMMYFUNCTION("""COMPUTED_VALUE"""),66.0)</f>
        <v>66</v>
      </c>
      <c r="F10126" s="19" t="str">
        <f>IFERROR(__xludf.DUMMYFUNCTION("""COMPUTED_VALUE"""),"BLACK")</f>
        <v>BLACK</v>
      </c>
      <c r="G10126" s="20" t="str">
        <f>IFERROR(__xludf.DUMMYFUNCTION("""COMPUTED_VALUE"""),"Uncle Sams Cider (04/04/2023)")</f>
        <v>Uncle Sams Cider (04/04/2023)</v>
      </c>
      <c r="H10126" s="19"/>
    </row>
    <row r="10127">
      <c r="A10127" s="9"/>
      <c r="B10127" s="15"/>
      <c r="C10127" s="9">
        <f>IFERROR(__xludf.DUMMYFUNCTION("""COMPUTED_VALUE"""),45037.8447055324)</f>
        <v>45037.84471</v>
      </c>
      <c r="D10127" s="15">
        <f>IFERROR(__xludf.DUMMYFUNCTION("""COMPUTED_VALUE"""),1.039)</f>
        <v>1.039</v>
      </c>
      <c r="E10127" s="16">
        <f>IFERROR(__xludf.DUMMYFUNCTION("""COMPUTED_VALUE"""),66.0)</f>
        <v>66</v>
      </c>
      <c r="F10127" s="19" t="str">
        <f>IFERROR(__xludf.DUMMYFUNCTION("""COMPUTED_VALUE"""),"BLACK")</f>
        <v>BLACK</v>
      </c>
      <c r="G10127" s="20" t="str">
        <f>IFERROR(__xludf.DUMMYFUNCTION("""COMPUTED_VALUE"""),"Uncle Sams Cider (04/04/2023)")</f>
        <v>Uncle Sams Cider (04/04/2023)</v>
      </c>
      <c r="H10127" s="19"/>
    </row>
    <row r="10128">
      <c r="A10128" s="9"/>
      <c r="B10128" s="15"/>
      <c r="C10128" s="9">
        <f>IFERROR(__xludf.DUMMYFUNCTION("""COMPUTED_VALUE"""),45037.8342840277)</f>
        <v>45037.83428</v>
      </c>
      <c r="D10128" s="15">
        <f>IFERROR(__xludf.DUMMYFUNCTION("""COMPUTED_VALUE"""),1.039)</f>
        <v>1.039</v>
      </c>
      <c r="E10128" s="16">
        <f>IFERROR(__xludf.DUMMYFUNCTION("""COMPUTED_VALUE"""),66.0)</f>
        <v>66</v>
      </c>
      <c r="F10128" s="19" t="str">
        <f>IFERROR(__xludf.DUMMYFUNCTION("""COMPUTED_VALUE"""),"BLACK")</f>
        <v>BLACK</v>
      </c>
      <c r="G10128" s="20" t="str">
        <f>IFERROR(__xludf.DUMMYFUNCTION("""COMPUTED_VALUE"""),"Uncle Sams Cider (04/04/2023)")</f>
        <v>Uncle Sams Cider (04/04/2023)</v>
      </c>
      <c r="H10128" s="19"/>
    </row>
    <row r="10129">
      <c r="A10129" s="9"/>
      <c r="B10129" s="15"/>
      <c r="C10129" s="9">
        <f>IFERROR(__xludf.DUMMYFUNCTION("""COMPUTED_VALUE"""),45037.8238621064)</f>
        <v>45037.82386</v>
      </c>
      <c r="D10129" s="15">
        <f>IFERROR(__xludf.DUMMYFUNCTION("""COMPUTED_VALUE"""),1.039)</f>
        <v>1.039</v>
      </c>
      <c r="E10129" s="16">
        <f>IFERROR(__xludf.DUMMYFUNCTION("""COMPUTED_VALUE"""),66.0)</f>
        <v>66</v>
      </c>
      <c r="F10129" s="19" t="str">
        <f>IFERROR(__xludf.DUMMYFUNCTION("""COMPUTED_VALUE"""),"BLACK")</f>
        <v>BLACK</v>
      </c>
      <c r="G10129" s="20" t="str">
        <f>IFERROR(__xludf.DUMMYFUNCTION("""COMPUTED_VALUE"""),"Uncle Sams Cider (04/04/2023)")</f>
        <v>Uncle Sams Cider (04/04/2023)</v>
      </c>
      <c r="H10129" s="19"/>
    </row>
    <row r="10130">
      <c r="A10130" s="9"/>
      <c r="B10130" s="15"/>
      <c r="C10130" s="9">
        <f>IFERROR(__xludf.DUMMYFUNCTION("""COMPUTED_VALUE"""),45037.8134404745)</f>
        <v>45037.81344</v>
      </c>
      <c r="D10130" s="15">
        <f>IFERROR(__xludf.DUMMYFUNCTION("""COMPUTED_VALUE"""),1.039)</f>
        <v>1.039</v>
      </c>
      <c r="E10130" s="16">
        <f>IFERROR(__xludf.DUMMYFUNCTION("""COMPUTED_VALUE"""),66.0)</f>
        <v>66</v>
      </c>
      <c r="F10130" s="19" t="str">
        <f>IFERROR(__xludf.DUMMYFUNCTION("""COMPUTED_VALUE"""),"BLACK")</f>
        <v>BLACK</v>
      </c>
      <c r="G10130" s="20" t="str">
        <f>IFERROR(__xludf.DUMMYFUNCTION("""COMPUTED_VALUE"""),"Uncle Sams Cider (04/04/2023)")</f>
        <v>Uncle Sams Cider (04/04/2023)</v>
      </c>
      <c r="H10130" s="19"/>
    </row>
    <row r="10131">
      <c r="A10131" s="9"/>
      <c r="B10131" s="15"/>
      <c r="C10131" s="9">
        <f>IFERROR(__xludf.DUMMYFUNCTION("""COMPUTED_VALUE"""),45037.8030167245)</f>
        <v>45037.80302</v>
      </c>
      <c r="D10131" s="15">
        <f>IFERROR(__xludf.DUMMYFUNCTION("""COMPUTED_VALUE"""),1.039)</f>
        <v>1.039</v>
      </c>
      <c r="E10131" s="16">
        <f>IFERROR(__xludf.DUMMYFUNCTION("""COMPUTED_VALUE"""),66.0)</f>
        <v>66</v>
      </c>
      <c r="F10131" s="19" t="str">
        <f>IFERROR(__xludf.DUMMYFUNCTION("""COMPUTED_VALUE"""),"BLACK")</f>
        <v>BLACK</v>
      </c>
      <c r="G10131" s="20" t="str">
        <f>IFERROR(__xludf.DUMMYFUNCTION("""COMPUTED_VALUE"""),"Uncle Sams Cider (04/04/2023)")</f>
        <v>Uncle Sams Cider (04/04/2023)</v>
      </c>
      <c r="H10131" s="19"/>
    </row>
    <row r="10132">
      <c r="A10132" s="9"/>
      <c r="B10132" s="15"/>
      <c r="C10132" s="9">
        <f>IFERROR(__xludf.DUMMYFUNCTION("""COMPUTED_VALUE"""),45037.7925725115)</f>
        <v>45037.79257</v>
      </c>
      <c r="D10132" s="15">
        <f>IFERROR(__xludf.DUMMYFUNCTION("""COMPUTED_VALUE"""),1.039)</f>
        <v>1.039</v>
      </c>
      <c r="E10132" s="16">
        <f>IFERROR(__xludf.DUMMYFUNCTION("""COMPUTED_VALUE"""),66.0)</f>
        <v>66</v>
      </c>
      <c r="F10132" s="19" t="str">
        <f>IFERROR(__xludf.DUMMYFUNCTION("""COMPUTED_VALUE"""),"BLACK")</f>
        <v>BLACK</v>
      </c>
      <c r="G10132" s="20" t="str">
        <f>IFERROR(__xludf.DUMMYFUNCTION("""COMPUTED_VALUE"""),"Uncle Sams Cider (04/04/2023)")</f>
        <v>Uncle Sams Cider (04/04/2023)</v>
      </c>
      <c r="H10132" s="19"/>
    </row>
    <row r="10133">
      <c r="A10133" s="9"/>
      <c r="B10133" s="15"/>
      <c r="C10133" s="9">
        <f>IFERROR(__xludf.DUMMYFUNCTION("""COMPUTED_VALUE"""),45037.7821041666)</f>
        <v>45037.7821</v>
      </c>
      <c r="D10133" s="15">
        <f>IFERROR(__xludf.DUMMYFUNCTION("""COMPUTED_VALUE"""),1.039)</f>
        <v>1.039</v>
      </c>
      <c r="E10133" s="16">
        <f>IFERROR(__xludf.DUMMYFUNCTION("""COMPUTED_VALUE"""),66.0)</f>
        <v>66</v>
      </c>
      <c r="F10133" s="19" t="str">
        <f>IFERROR(__xludf.DUMMYFUNCTION("""COMPUTED_VALUE"""),"BLACK")</f>
        <v>BLACK</v>
      </c>
      <c r="G10133" s="20" t="str">
        <f>IFERROR(__xludf.DUMMYFUNCTION("""COMPUTED_VALUE"""),"Uncle Sams Cider (04/04/2023)")</f>
        <v>Uncle Sams Cider (04/04/2023)</v>
      </c>
      <c r="H10133" s="19"/>
    </row>
    <row r="10134">
      <c r="A10134" s="9"/>
      <c r="B10134" s="15"/>
      <c r="C10134" s="9">
        <f>IFERROR(__xludf.DUMMYFUNCTION("""COMPUTED_VALUE"""),45037.7716833564)</f>
        <v>45037.77168</v>
      </c>
      <c r="D10134" s="15">
        <f>IFERROR(__xludf.DUMMYFUNCTION("""COMPUTED_VALUE"""),1.039)</f>
        <v>1.039</v>
      </c>
      <c r="E10134" s="16">
        <f>IFERROR(__xludf.DUMMYFUNCTION("""COMPUTED_VALUE"""),66.0)</f>
        <v>66</v>
      </c>
      <c r="F10134" s="19" t="str">
        <f>IFERROR(__xludf.DUMMYFUNCTION("""COMPUTED_VALUE"""),"BLACK")</f>
        <v>BLACK</v>
      </c>
      <c r="G10134" s="20" t="str">
        <f>IFERROR(__xludf.DUMMYFUNCTION("""COMPUTED_VALUE"""),"Uncle Sams Cider (04/04/2023)")</f>
        <v>Uncle Sams Cider (04/04/2023)</v>
      </c>
      <c r="H10134" s="19"/>
    </row>
    <row r="10135">
      <c r="A10135" s="9"/>
      <c r="B10135" s="15"/>
      <c r="C10135" s="9">
        <f>IFERROR(__xludf.DUMMYFUNCTION("""COMPUTED_VALUE"""),45037.76123875)</f>
        <v>45037.76124</v>
      </c>
      <c r="D10135" s="15">
        <f>IFERROR(__xludf.DUMMYFUNCTION("""COMPUTED_VALUE"""),1.039)</f>
        <v>1.039</v>
      </c>
      <c r="E10135" s="16">
        <f>IFERROR(__xludf.DUMMYFUNCTION("""COMPUTED_VALUE"""),66.0)</f>
        <v>66</v>
      </c>
      <c r="F10135" s="19" t="str">
        <f>IFERROR(__xludf.DUMMYFUNCTION("""COMPUTED_VALUE"""),"BLACK")</f>
        <v>BLACK</v>
      </c>
      <c r="G10135" s="20" t="str">
        <f>IFERROR(__xludf.DUMMYFUNCTION("""COMPUTED_VALUE"""),"Uncle Sams Cider (04/04/2023)")</f>
        <v>Uncle Sams Cider (04/04/2023)</v>
      </c>
      <c r="H10135" s="19"/>
    </row>
    <row r="10136">
      <c r="A10136" s="9"/>
      <c r="B10136" s="15"/>
      <c r="C10136" s="9">
        <f>IFERROR(__xludf.DUMMYFUNCTION("""COMPUTED_VALUE"""),45037.7508163541)</f>
        <v>45037.75082</v>
      </c>
      <c r="D10136" s="15">
        <f>IFERROR(__xludf.DUMMYFUNCTION("""COMPUTED_VALUE"""),1.039)</f>
        <v>1.039</v>
      </c>
      <c r="E10136" s="16">
        <f>IFERROR(__xludf.DUMMYFUNCTION("""COMPUTED_VALUE"""),66.0)</f>
        <v>66</v>
      </c>
      <c r="F10136" s="19" t="str">
        <f>IFERROR(__xludf.DUMMYFUNCTION("""COMPUTED_VALUE"""),"BLACK")</f>
        <v>BLACK</v>
      </c>
      <c r="G10136" s="20" t="str">
        <f>IFERROR(__xludf.DUMMYFUNCTION("""COMPUTED_VALUE"""),"Uncle Sams Cider (04/04/2023)")</f>
        <v>Uncle Sams Cider (04/04/2023)</v>
      </c>
      <c r="H10136" s="19"/>
    </row>
    <row r="10137">
      <c r="A10137" s="9"/>
      <c r="B10137" s="15"/>
      <c r="C10137" s="9">
        <f>IFERROR(__xludf.DUMMYFUNCTION("""COMPUTED_VALUE"""),45037.740393206)</f>
        <v>45037.74039</v>
      </c>
      <c r="D10137" s="15">
        <f>IFERROR(__xludf.DUMMYFUNCTION("""COMPUTED_VALUE"""),1.039)</f>
        <v>1.039</v>
      </c>
      <c r="E10137" s="16">
        <f>IFERROR(__xludf.DUMMYFUNCTION("""COMPUTED_VALUE"""),66.0)</f>
        <v>66</v>
      </c>
      <c r="F10137" s="19" t="str">
        <f>IFERROR(__xludf.DUMMYFUNCTION("""COMPUTED_VALUE"""),"BLACK")</f>
        <v>BLACK</v>
      </c>
      <c r="G10137" s="20" t="str">
        <f>IFERROR(__xludf.DUMMYFUNCTION("""COMPUTED_VALUE"""),"Uncle Sams Cider (04/04/2023)")</f>
        <v>Uncle Sams Cider (04/04/2023)</v>
      </c>
      <c r="H10137" s="19"/>
    </row>
    <row r="10138">
      <c r="A10138" s="9"/>
      <c r="B10138" s="15"/>
      <c r="C10138" s="9">
        <f>IFERROR(__xludf.DUMMYFUNCTION("""COMPUTED_VALUE"""),45037.7299726967)</f>
        <v>45037.72997</v>
      </c>
      <c r="D10138" s="15">
        <f>IFERROR(__xludf.DUMMYFUNCTION("""COMPUTED_VALUE"""),1.039)</f>
        <v>1.039</v>
      </c>
      <c r="E10138" s="16">
        <f>IFERROR(__xludf.DUMMYFUNCTION("""COMPUTED_VALUE"""),66.0)</f>
        <v>66</v>
      </c>
      <c r="F10138" s="19" t="str">
        <f>IFERROR(__xludf.DUMMYFUNCTION("""COMPUTED_VALUE"""),"BLACK")</f>
        <v>BLACK</v>
      </c>
      <c r="G10138" s="20" t="str">
        <f>IFERROR(__xludf.DUMMYFUNCTION("""COMPUTED_VALUE"""),"Uncle Sams Cider (04/04/2023)")</f>
        <v>Uncle Sams Cider (04/04/2023)</v>
      </c>
      <c r="H10138" s="19"/>
    </row>
    <row r="10139">
      <c r="A10139" s="9"/>
      <c r="B10139" s="15"/>
      <c r="C10139" s="9">
        <f>IFERROR(__xludf.DUMMYFUNCTION("""COMPUTED_VALUE"""),45037.7195524768)</f>
        <v>45037.71955</v>
      </c>
      <c r="D10139" s="15">
        <f>IFERROR(__xludf.DUMMYFUNCTION("""COMPUTED_VALUE"""),1.039)</f>
        <v>1.039</v>
      </c>
      <c r="E10139" s="16">
        <f>IFERROR(__xludf.DUMMYFUNCTION("""COMPUTED_VALUE"""),66.0)</f>
        <v>66</v>
      </c>
      <c r="F10139" s="19" t="str">
        <f>IFERROR(__xludf.DUMMYFUNCTION("""COMPUTED_VALUE"""),"BLACK")</f>
        <v>BLACK</v>
      </c>
      <c r="G10139" s="20" t="str">
        <f>IFERROR(__xludf.DUMMYFUNCTION("""COMPUTED_VALUE"""),"Uncle Sams Cider (04/04/2023)")</f>
        <v>Uncle Sams Cider (04/04/2023)</v>
      </c>
      <c r="H10139" s="19"/>
    </row>
    <row r="10140">
      <c r="A10140" s="9"/>
      <c r="B10140" s="15"/>
      <c r="C10140" s="9">
        <f>IFERROR(__xludf.DUMMYFUNCTION("""COMPUTED_VALUE"""),45037.7091181018)</f>
        <v>45037.70912</v>
      </c>
      <c r="D10140" s="15">
        <f>IFERROR(__xludf.DUMMYFUNCTION("""COMPUTED_VALUE"""),1.039)</f>
        <v>1.039</v>
      </c>
      <c r="E10140" s="16">
        <f>IFERROR(__xludf.DUMMYFUNCTION("""COMPUTED_VALUE"""),66.0)</f>
        <v>66</v>
      </c>
      <c r="F10140" s="19" t="str">
        <f>IFERROR(__xludf.DUMMYFUNCTION("""COMPUTED_VALUE"""),"BLACK")</f>
        <v>BLACK</v>
      </c>
      <c r="G10140" s="20" t="str">
        <f>IFERROR(__xludf.DUMMYFUNCTION("""COMPUTED_VALUE"""),"Uncle Sams Cider (04/04/2023)")</f>
        <v>Uncle Sams Cider (04/04/2023)</v>
      </c>
      <c r="H10140" s="19"/>
    </row>
    <row r="10141">
      <c r="A10141" s="9"/>
      <c r="B10141" s="15"/>
      <c r="C10141" s="9">
        <f>IFERROR(__xludf.DUMMYFUNCTION("""COMPUTED_VALUE"""),45037.6986979629)</f>
        <v>45037.6987</v>
      </c>
      <c r="D10141" s="15">
        <f>IFERROR(__xludf.DUMMYFUNCTION("""COMPUTED_VALUE"""),1.039)</f>
        <v>1.039</v>
      </c>
      <c r="E10141" s="16">
        <f>IFERROR(__xludf.DUMMYFUNCTION("""COMPUTED_VALUE"""),66.0)</f>
        <v>66</v>
      </c>
      <c r="F10141" s="19" t="str">
        <f>IFERROR(__xludf.DUMMYFUNCTION("""COMPUTED_VALUE"""),"BLACK")</f>
        <v>BLACK</v>
      </c>
      <c r="G10141" s="20" t="str">
        <f>IFERROR(__xludf.DUMMYFUNCTION("""COMPUTED_VALUE"""),"Uncle Sams Cider (04/04/2023)")</f>
        <v>Uncle Sams Cider (04/04/2023)</v>
      </c>
      <c r="H10141" s="19"/>
    </row>
    <row r="10142">
      <c r="A10142" s="9"/>
      <c r="B10142" s="15"/>
      <c r="C10142" s="9">
        <f>IFERROR(__xludf.DUMMYFUNCTION("""COMPUTED_VALUE"""),45037.6882655902)</f>
        <v>45037.68827</v>
      </c>
      <c r="D10142" s="15">
        <f>IFERROR(__xludf.DUMMYFUNCTION("""COMPUTED_VALUE"""),1.039)</f>
        <v>1.039</v>
      </c>
      <c r="E10142" s="16">
        <f>IFERROR(__xludf.DUMMYFUNCTION("""COMPUTED_VALUE"""),66.0)</f>
        <v>66</v>
      </c>
      <c r="F10142" s="19" t="str">
        <f>IFERROR(__xludf.DUMMYFUNCTION("""COMPUTED_VALUE"""),"BLACK")</f>
        <v>BLACK</v>
      </c>
      <c r="G10142" s="20" t="str">
        <f>IFERROR(__xludf.DUMMYFUNCTION("""COMPUTED_VALUE"""),"Uncle Sams Cider (04/04/2023)")</f>
        <v>Uncle Sams Cider (04/04/2023)</v>
      </c>
      <c r="H10142" s="19"/>
    </row>
    <row r="10143">
      <c r="A10143" s="9"/>
      <c r="B10143" s="15"/>
      <c r="C10143" s="9">
        <f>IFERROR(__xludf.DUMMYFUNCTION("""COMPUTED_VALUE"""),45037.6778444097)</f>
        <v>45037.67784</v>
      </c>
      <c r="D10143" s="15">
        <f>IFERROR(__xludf.DUMMYFUNCTION("""COMPUTED_VALUE"""),1.039)</f>
        <v>1.039</v>
      </c>
      <c r="E10143" s="16">
        <f>IFERROR(__xludf.DUMMYFUNCTION("""COMPUTED_VALUE"""),66.0)</f>
        <v>66</v>
      </c>
      <c r="F10143" s="19" t="str">
        <f>IFERROR(__xludf.DUMMYFUNCTION("""COMPUTED_VALUE"""),"BLACK")</f>
        <v>BLACK</v>
      </c>
      <c r="G10143" s="20" t="str">
        <f>IFERROR(__xludf.DUMMYFUNCTION("""COMPUTED_VALUE"""),"Uncle Sams Cider (04/04/2023)")</f>
        <v>Uncle Sams Cider (04/04/2023)</v>
      </c>
      <c r="H10143" s="19"/>
    </row>
    <row r="10144">
      <c r="A10144" s="9"/>
      <c r="B10144" s="15"/>
      <c r="C10144" s="9">
        <f>IFERROR(__xludf.DUMMYFUNCTION("""COMPUTED_VALUE"""),45037.6674215625)</f>
        <v>45037.66742</v>
      </c>
      <c r="D10144" s="15">
        <f>IFERROR(__xludf.DUMMYFUNCTION("""COMPUTED_VALUE"""),1.039)</f>
        <v>1.039</v>
      </c>
      <c r="E10144" s="16">
        <f>IFERROR(__xludf.DUMMYFUNCTION("""COMPUTED_VALUE"""),66.0)</f>
        <v>66</v>
      </c>
      <c r="F10144" s="19" t="str">
        <f>IFERROR(__xludf.DUMMYFUNCTION("""COMPUTED_VALUE"""),"BLACK")</f>
        <v>BLACK</v>
      </c>
      <c r="G10144" s="20" t="str">
        <f>IFERROR(__xludf.DUMMYFUNCTION("""COMPUTED_VALUE"""),"Uncle Sams Cider (04/04/2023)")</f>
        <v>Uncle Sams Cider (04/04/2023)</v>
      </c>
      <c r="H10144" s="19"/>
    </row>
    <row r="10145">
      <c r="A10145" s="9"/>
      <c r="B10145" s="15"/>
      <c r="C10145" s="9">
        <f>IFERROR(__xludf.DUMMYFUNCTION("""COMPUTED_VALUE"""),45037.6569645138)</f>
        <v>45037.65696</v>
      </c>
      <c r="D10145" s="15">
        <f>IFERROR(__xludf.DUMMYFUNCTION("""COMPUTED_VALUE"""),1.039)</f>
        <v>1.039</v>
      </c>
      <c r="E10145" s="16">
        <f>IFERROR(__xludf.DUMMYFUNCTION("""COMPUTED_VALUE"""),66.0)</f>
        <v>66</v>
      </c>
      <c r="F10145" s="19" t="str">
        <f>IFERROR(__xludf.DUMMYFUNCTION("""COMPUTED_VALUE"""),"BLACK")</f>
        <v>BLACK</v>
      </c>
      <c r="G10145" s="20" t="str">
        <f>IFERROR(__xludf.DUMMYFUNCTION("""COMPUTED_VALUE"""),"Uncle Sams Cider (04/04/2023)")</f>
        <v>Uncle Sams Cider (04/04/2023)</v>
      </c>
      <c r="H10145" s="19"/>
    </row>
    <row r="10146">
      <c r="A10146" s="9"/>
      <c r="B10146" s="15"/>
      <c r="C10146" s="9">
        <f>IFERROR(__xludf.DUMMYFUNCTION("""COMPUTED_VALUE"""),45037.646544074)</f>
        <v>45037.64654</v>
      </c>
      <c r="D10146" s="15">
        <f>IFERROR(__xludf.DUMMYFUNCTION("""COMPUTED_VALUE"""),1.039)</f>
        <v>1.039</v>
      </c>
      <c r="E10146" s="16">
        <f>IFERROR(__xludf.DUMMYFUNCTION("""COMPUTED_VALUE"""),66.0)</f>
        <v>66</v>
      </c>
      <c r="F10146" s="19" t="str">
        <f>IFERROR(__xludf.DUMMYFUNCTION("""COMPUTED_VALUE"""),"BLACK")</f>
        <v>BLACK</v>
      </c>
      <c r="G10146" s="20" t="str">
        <f>IFERROR(__xludf.DUMMYFUNCTION("""COMPUTED_VALUE"""),"Uncle Sams Cider (04/04/2023)")</f>
        <v>Uncle Sams Cider (04/04/2023)</v>
      </c>
      <c r="H10146" s="19"/>
    </row>
    <row r="10147">
      <c r="A10147" s="9"/>
      <c r="B10147" s="15"/>
      <c r="C10147" s="9">
        <f>IFERROR(__xludf.DUMMYFUNCTION("""COMPUTED_VALUE"""),45037.6361209953)</f>
        <v>45037.63612</v>
      </c>
      <c r="D10147" s="15">
        <f>IFERROR(__xludf.DUMMYFUNCTION("""COMPUTED_VALUE"""),1.039)</f>
        <v>1.039</v>
      </c>
      <c r="E10147" s="16">
        <f>IFERROR(__xludf.DUMMYFUNCTION("""COMPUTED_VALUE"""),66.0)</f>
        <v>66</v>
      </c>
      <c r="F10147" s="19" t="str">
        <f>IFERROR(__xludf.DUMMYFUNCTION("""COMPUTED_VALUE"""),"BLACK")</f>
        <v>BLACK</v>
      </c>
      <c r="G10147" s="20" t="str">
        <f>IFERROR(__xludf.DUMMYFUNCTION("""COMPUTED_VALUE"""),"Uncle Sams Cider (04/04/2023)")</f>
        <v>Uncle Sams Cider (04/04/2023)</v>
      </c>
      <c r="H10147" s="19"/>
    </row>
    <row r="10148">
      <c r="A10148" s="9"/>
      <c r="B10148" s="15"/>
      <c r="C10148" s="9">
        <f>IFERROR(__xludf.DUMMYFUNCTION("""COMPUTED_VALUE"""),45037.6257004629)</f>
        <v>45037.6257</v>
      </c>
      <c r="D10148" s="15">
        <f>IFERROR(__xludf.DUMMYFUNCTION("""COMPUTED_VALUE"""),1.039)</f>
        <v>1.039</v>
      </c>
      <c r="E10148" s="16">
        <f>IFERROR(__xludf.DUMMYFUNCTION("""COMPUTED_VALUE"""),66.0)</f>
        <v>66</v>
      </c>
      <c r="F10148" s="19" t="str">
        <f>IFERROR(__xludf.DUMMYFUNCTION("""COMPUTED_VALUE"""),"BLACK")</f>
        <v>BLACK</v>
      </c>
      <c r="G10148" s="20" t="str">
        <f>IFERROR(__xludf.DUMMYFUNCTION("""COMPUTED_VALUE"""),"Uncle Sams Cider (04/04/2023)")</f>
        <v>Uncle Sams Cider (04/04/2023)</v>
      </c>
      <c r="H10148" s="19"/>
    </row>
    <row r="10149">
      <c r="A10149" s="9"/>
      <c r="B10149" s="15"/>
      <c r="C10149" s="9">
        <f>IFERROR(__xludf.DUMMYFUNCTION("""COMPUTED_VALUE"""),45037.6152777777)</f>
        <v>45037.61528</v>
      </c>
      <c r="D10149" s="15">
        <f>IFERROR(__xludf.DUMMYFUNCTION("""COMPUTED_VALUE"""),1.039)</f>
        <v>1.039</v>
      </c>
      <c r="E10149" s="16">
        <f>IFERROR(__xludf.DUMMYFUNCTION("""COMPUTED_VALUE"""),66.0)</f>
        <v>66</v>
      </c>
      <c r="F10149" s="19" t="str">
        <f>IFERROR(__xludf.DUMMYFUNCTION("""COMPUTED_VALUE"""),"BLACK")</f>
        <v>BLACK</v>
      </c>
      <c r="G10149" s="20" t="str">
        <f>IFERROR(__xludf.DUMMYFUNCTION("""COMPUTED_VALUE"""),"Uncle Sams Cider (04/04/2023)")</f>
        <v>Uncle Sams Cider (04/04/2023)</v>
      </c>
      <c r="H10149" s="19"/>
    </row>
    <row r="10150">
      <c r="A10150" s="9"/>
      <c r="B10150" s="15"/>
      <c r="C10150" s="9">
        <f>IFERROR(__xludf.DUMMYFUNCTION("""COMPUTED_VALUE"""),45037.6048565393)</f>
        <v>45037.60486</v>
      </c>
      <c r="D10150" s="15">
        <f>IFERROR(__xludf.DUMMYFUNCTION("""COMPUTED_VALUE"""),1.039)</f>
        <v>1.039</v>
      </c>
      <c r="E10150" s="16">
        <f>IFERROR(__xludf.DUMMYFUNCTION("""COMPUTED_VALUE"""),66.0)</f>
        <v>66</v>
      </c>
      <c r="F10150" s="19" t="str">
        <f>IFERROR(__xludf.DUMMYFUNCTION("""COMPUTED_VALUE"""),"BLACK")</f>
        <v>BLACK</v>
      </c>
      <c r="G10150" s="20" t="str">
        <f>IFERROR(__xludf.DUMMYFUNCTION("""COMPUTED_VALUE"""),"Uncle Sams Cider (04/04/2023)")</f>
        <v>Uncle Sams Cider (04/04/2023)</v>
      </c>
      <c r="H10150" s="19"/>
    </row>
    <row r="10151">
      <c r="A10151" s="9"/>
      <c r="B10151" s="15"/>
      <c r="C10151" s="9">
        <f>IFERROR(__xludf.DUMMYFUNCTION("""COMPUTED_VALUE"""),45037.5944218287)</f>
        <v>45037.59442</v>
      </c>
      <c r="D10151" s="15">
        <f>IFERROR(__xludf.DUMMYFUNCTION("""COMPUTED_VALUE"""),1.039)</f>
        <v>1.039</v>
      </c>
      <c r="E10151" s="16">
        <f>IFERROR(__xludf.DUMMYFUNCTION("""COMPUTED_VALUE"""),66.0)</f>
        <v>66</v>
      </c>
      <c r="F10151" s="19" t="str">
        <f>IFERROR(__xludf.DUMMYFUNCTION("""COMPUTED_VALUE"""),"BLACK")</f>
        <v>BLACK</v>
      </c>
      <c r="G10151" s="20" t="str">
        <f>IFERROR(__xludf.DUMMYFUNCTION("""COMPUTED_VALUE"""),"Uncle Sams Cider (04/04/2023)")</f>
        <v>Uncle Sams Cider (04/04/2023)</v>
      </c>
      <c r="H10151" s="19"/>
    </row>
    <row r="10152">
      <c r="A10152" s="9"/>
      <c r="B10152" s="15"/>
      <c r="C10152" s="9">
        <f>IFERROR(__xludf.DUMMYFUNCTION("""COMPUTED_VALUE"""),45037.5839985879)</f>
        <v>45037.584</v>
      </c>
      <c r="D10152" s="15">
        <f>IFERROR(__xludf.DUMMYFUNCTION("""COMPUTED_VALUE"""),1.039)</f>
        <v>1.039</v>
      </c>
      <c r="E10152" s="16">
        <f>IFERROR(__xludf.DUMMYFUNCTION("""COMPUTED_VALUE"""),66.0)</f>
        <v>66</v>
      </c>
      <c r="F10152" s="19" t="str">
        <f>IFERROR(__xludf.DUMMYFUNCTION("""COMPUTED_VALUE"""),"BLACK")</f>
        <v>BLACK</v>
      </c>
      <c r="G10152" s="20" t="str">
        <f>IFERROR(__xludf.DUMMYFUNCTION("""COMPUTED_VALUE"""),"Uncle Sams Cider (04/04/2023)")</f>
        <v>Uncle Sams Cider (04/04/2023)</v>
      </c>
      <c r="H10152" s="19"/>
    </row>
    <row r="10153">
      <c r="A10153" s="9"/>
      <c r="B10153" s="15"/>
      <c r="C10153" s="9">
        <f>IFERROR(__xludf.DUMMYFUNCTION("""COMPUTED_VALUE"""),45037.5735779629)</f>
        <v>45037.57358</v>
      </c>
      <c r="D10153" s="15">
        <f>IFERROR(__xludf.DUMMYFUNCTION("""COMPUTED_VALUE"""),1.039)</f>
        <v>1.039</v>
      </c>
      <c r="E10153" s="16">
        <f>IFERROR(__xludf.DUMMYFUNCTION("""COMPUTED_VALUE"""),66.0)</f>
        <v>66</v>
      </c>
      <c r="F10153" s="19" t="str">
        <f>IFERROR(__xludf.DUMMYFUNCTION("""COMPUTED_VALUE"""),"BLACK")</f>
        <v>BLACK</v>
      </c>
      <c r="G10153" s="20" t="str">
        <f>IFERROR(__xludf.DUMMYFUNCTION("""COMPUTED_VALUE"""),"Uncle Sams Cider (04/04/2023)")</f>
        <v>Uncle Sams Cider (04/04/2023)</v>
      </c>
      <c r="H10153" s="19"/>
    </row>
    <row r="10154">
      <c r="A10154" s="9"/>
      <c r="B10154" s="15"/>
      <c r="C10154" s="9">
        <f>IFERROR(__xludf.DUMMYFUNCTION("""COMPUTED_VALUE"""),45037.5631576967)</f>
        <v>45037.56316</v>
      </c>
      <c r="D10154" s="15">
        <f>IFERROR(__xludf.DUMMYFUNCTION("""COMPUTED_VALUE"""),1.039)</f>
        <v>1.039</v>
      </c>
      <c r="E10154" s="16">
        <f>IFERROR(__xludf.DUMMYFUNCTION("""COMPUTED_VALUE"""),66.0)</f>
        <v>66</v>
      </c>
      <c r="F10154" s="19" t="str">
        <f>IFERROR(__xludf.DUMMYFUNCTION("""COMPUTED_VALUE"""),"BLACK")</f>
        <v>BLACK</v>
      </c>
      <c r="G10154" s="20" t="str">
        <f>IFERROR(__xludf.DUMMYFUNCTION("""COMPUTED_VALUE"""),"Uncle Sams Cider (04/04/2023)")</f>
        <v>Uncle Sams Cider (04/04/2023)</v>
      </c>
      <c r="H10154" s="19"/>
    </row>
    <row r="10155">
      <c r="A10155" s="9"/>
      <c r="B10155" s="15"/>
      <c r="C10155" s="9">
        <f>IFERROR(__xludf.DUMMYFUNCTION("""COMPUTED_VALUE"""),45037.5527029166)</f>
        <v>45037.5527</v>
      </c>
      <c r="D10155" s="15">
        <f>IFERROR(__xludf.DUMMYFUNCTION("""COMPUTED_VALUE"""),1.039)</f>
        <v>1.039</v>
      </c>
      <c r="E10155" s="16">
        <f>IFERROR(__xludf.DUMMYFUNCTION("""COMPUTED_VALUE"""),66.0)</f>
        <v>66</v>
      </c>
      <c r="F10155" s="19" t="str">
        <f>IFERROR(__xludf.DUMMYFUNCTION("""COMPUTED_VALUE"""),"BLACK")</f>
        <v>BLACK</v>
      </c>
      <c r="G10155" s="20" t="str">
        <f>IFERROR(__xludf.DUMMYFUNCTION("""COMPUTED_VALUE"""),"Uncle Sams Cider (04/04/2023)")</f>
        <v>Uncle Sams Cider (04/04/2023)</v>
      </c>
      <c r="H10155" s="19"/>
    </row>
    <row r="10156">
      <c r="A10156" s="9"/>
      <c r="B10156" s="15"/>
      <c r="C10156" s="9">
        <f>IFERROR(__xludf.DUMMYFUNCTION("""COMPUTED_VALUE"""),45037.5422582638)</f>
        <v>45037.54226</v>
      </c>
      <c r="D10156" s="15">
        <f>IFERROR(__xludf.DUMMYFUNCTION("""COMPUTED_VALUE"""),1.039)</f>
        <v>1.039</v>
      </c>
      <c r="E10156" s="16">
        <f>IFERROR(__xludf.DUMMYFUNCTION("""COMPUTED_VALUE"""),66.0)</f>
        <v>66</v>
      </c>
      <c r="F10156" s="19" t="str">
        <f>IFERROR(__xludf.DUMMYFUNCTION("""COMPUTED_VALUE"""),"BLACK")</f>
        <v>BLACK</v>
      </c>
      <c r="G10156" s="20" t="str">
        <f>IFERROR(__xludf.DUMMYFUNCTION("""COMPUTED_VALUE"""),"Uncle Sams Cider (04/04/2023)")</f>
        <v>Uncle Sams Cider (04/04/2023)</v>
      </c>
      <c r="H10156" s="19"/>
    </row>
    <row r="10157">
      <c r="A10157" s="9"/>
      <c r="B10157" s="15"/>
      <c r="C10157" s="9">
        <f>IFERROR(__xludf.DUMMYFUNCTION("""COMPUTED_VALUE"""),45037.5318370138)</f>
        <v>45037.53184</v>
      </c>
      <c r="D10157" s="15">
        <f>IFERROR(__xludf.DUMMYFUNCTION("""COMPUTED_VALUE"""),1.039)</f>
        <v>1.039</v>
      </c>
      <c r="E10157" s="16">
        <f>IFERROR(__xludf.DUMMYFUNCTION("""COMPUTED_VALUE"""),66.0)</f>
        <v>66</v>
      </c>
      <c r="F10157" s="19" t="str">
        <f>IFERROR(__xludf.DUMMYFUNCTION("""COMPUTED_VALUE"""),"BLACK")</f>
        <v>BLACK</v>
      </c>
      <c r="G10157" s="20" t="str">
        <f>IFERROR(__xludf.DUMMYFUNCTION("""COMPUTED_VALUE"""),"Uncle Sams Cider (04/04/2023)")</f>
        <v>Uncle Sams Cider (04/04/2023)</v>
      </c>
      <c r="H10157" s="19"/>
    </row>
    <row r="10158">
      <c r="A10158" s="9"/>
      <c r="B10158" s="15"/>
      <c r="C10158" s="9">
        <f>IFERROR(__xludf.DUMMYFUNCTION("""COMPUTED_VALUE"""),45037.521392662)</f>
        <v>45037.52139</v>
      </c>
      <c r="D10158" s="15">
        <f>IFERROR(__xludf.DUMMYFUNCTION("""COMPUTED_VALUE"""),1.039)</f>
        <v>1.039</v>
      </c>
      <c r="E10158" s="16">
        <f>IFERROR(__xludf.DUMMYFUNCTION("""COMPUTED_VALUE"""),66.0)</f>
        <v>66</v>
      </c>
      <c r="F10158" s="19" t="str">
        <f>IFERROR(__xludf.DUMMYFUNCTION("""COMPUTED_VALUE"""),"BLACK")</f>
        <v>BLACK</v>
      </c>
      <c r="G10158" s="20" t="str">
        <f>IFERROR(__xludf.DUMMYFUNCTION("""COMPUTED_VALUE"""),"Uncle Sams Cider (04/04/2023)")</f>
        <v>Uncle Sams Cider (04/04/2023)</v>
      </c>
      <c r="H10158" s="19"/>
    </row>
    <row r="10159">
      <c r="A10159" s="9"/>
      <c r="B10159" s="15"/>
      <c r="C10159" s="9">
        <f>IFERROR(__xludf.DUMMYFUNCTION("""COMPUTED_VALUE"""),45037.510961875)</f>
        <v>45037.51096</v>
      </c>
      <c r="D10159" s="15">
        <f>IFERROR(__xludf.DUMMYFUNCTION("""COMPUTED_VALUE"""),1.039)</f>
        <v>1.039</v>
      </c>
      <c r="E10159" s="16">
        <f>IFERROR(__xludf.DUMMYFUNCTION("""COMPUTED_VALUE"""),66.0)</f>
        <v>66</v>
      </c>
      <c r="F10159" s="19" t="str">
        <f>IFERROR(__xludf.DUMMYFUNCTION("""COMPUTED_VALUE"""),"BLACK")</f>
        <v>BLACK</v>
      </c>
      <c r="G10159" s="20" t="str">
        <f>IFERROR(__xludf.DUMMYFUNCTION("""COMPUTED_VALUE"""),"Uncle Sams Cider (04/04/2023)")</f>
        <v>Uncle Sams Cider (04/04/2023)</v>
      </c>
      <c r="H10159" s="19"/>
    </row>
    <row r="10160">
      <c r="A10160" s="9"/>
      <c r="B10160" s="15"/>
      <c r="C10160" s="9">
        <f>IFERROR(__xludf.DUMMYFUNCTION("""COMPUTED_VALUE"""),45037.5005409027)</f>
        <v>45037.50054</v>
      </c>
      <c r="D10160" s="15">
        <f>IFERROR(__xludf.DUMMYFUNCTION("""COMPUTED_VALUE"""),1.039)</f>
        <v>1.039</v>
      </c>
      <c r="E10160" s="16">
        <f>IFERROR(__xludf.DUMMYFUNCTION("""COMPUTED_VALUE"""),66.0)</f>
        <v>66</v>
      </c>
      <c r="F10160" s="19" t="str">
        <f>IFERROR(__xludf.DUMMYFUNCTION("""COMPUTED_VALUE"""),"BLACK")</f>
        <v>BLACK</v>
      </c>
      <c r="G10160" s="20" t="str">
        <f>IFERROR(__xludf.DUMMYFUNCTION("""COMPUTED_VALUE"""),"Uncle Sams Cider (04/04/2023)")</f>
        <v>Uncle Sams Cider (04/04/2023)</v>
      </c>
      <c r="H10160" s="19"/>
    </row>
    <row r="10161">
      <c r="A10161" s="9"/>
      <c r="B10161" s="15"/>
      <c r="C10161" s="9">
        <f>IFERROR(__xludf.DUMMYFUNCTION("""COMPUTED_VALUE"""),45037.4901187384)</f>
        <v>45037.49012</v>
      </c>
      <c r="D10161" s="15">
        <f>IFERROR(__xludf.DUMMYFUNCTION("""COMPUTED_VALUE"""),1.039)</f>
        <v>1.039</v>
      </c>
      <c r="E10161" s="16">
        <f>IFERROR(__xludf.DUMMYFUNCTION("""COMPUTED_VALUE"""),66.0)</f>
        <v>66</v>
      </c>
      <c r="F10161" s="19" t="str">
        <f>IFERROR(__xludf.DUMMYFUNCTION("""COMPUTED_VALUE"""),"BLACK")</f>
        <v>BLACK</v>
      </c>
      <c r="G10161" s="20" t="str">
        <f>IFERROR(__xludf.DUMMYFUNCTION("""COMPUTED_VALUE"""),"Uncle Sams Cider (04/04/2023)")</f>
        <v>Uncle Sams Cider (04/04/2023)</v>
      </c>
      <c r="H10161" s="19"/>
    </row>
    <row r="10162">
      <c r="A10162" s="9"/>
      <c r="B10162" s="15"/>
      <c r="C10162" s="9">
        <f>IFERROR(__xludf.DUMMYFUNCTION("""COMPUTED_VALUE"""),45037.4796855787)</f>
        <v>45037.47969</v>
      </c>
      <c r="D10162" s="15">
        <f>IFERROR(__xludf.DUMMYFUNCTION("""COMPUTED_VALUE"""),1.039)</f>
        <v>1.039</v>
      </c>
      <c r="E10162" s="16">
        <f>IFERROR(__xludf.DUMMYFUNCTION("""COMPUTED_VALUE"""),66.0)</f>
        <v>66</v>
      </c>
      <c r="F10162" s="19" t="str">
        <f>IFERROR(__xludf.DUMMYFUNCTION("""COMPUTED_VALUE"""),"BLACK")</f>
        <v>BLACK</v>
      </c>
      <c r="G10162" s="20" t="str">
        <f>IFERROR(__xludf.DUMMYFUNCTION("""COMPUTED_VALUE"""),"Uncle Sams Cider (04/04/2023)")</f>
        <v>Uncle Sams Cider (04/04/2023)</v>
      </c>
      <c r="H10162" s="19"/>
    </row>
    <row r="10163">
      <c r="A10163" s="9"/>
      <c r="B10163" s="15"/>
      <c r="C10163" s="9">
        <f>IFERROR(__xludf.DUMMYFUNCTION("""COMPUTED_VALUE"""),45037.4692528009)</f>
        <v>45037.46925</v>
      </c>
      <c r="D10163" s="15">
        <f>IFERROR(__xludf.DUMMYFUNCTION("""COMPUTED_VALUE"""),1.039)</f>
        <v>1.039</v>
      </c>
      <c r="E10163" s="16">
        <f>IFERROR(__xludf.DUMMYFUNCTION("""COMPUTED_VALUE"""),66.0)</f>
        <v>66</v>
      </c>
      <c r="F10163" s="19" t="str">
        <f>IFERROR(__xludf.DUMMYFUNCTION("""COMPUTED_VALUE"""),"BLACK")</f>
        <v>BLACK</v>
      </c>
      <c r="G10163" s="20" t="str">
        <f>IFERROR(__xludf.DUMMYFUNCTION("""COMPUTED_VALUE"""),"Uncle Sams Cider (04/04/2023)")</f>
        <v>Uncle Sams Cider (04/04/2023)</v>
      </c>
      <c r="H10163" s="19"/>
    </row>
    <row r="10164">
      <c r="A10164" s="9"/>
      <c r="B10164" s="15"/>
      <c r="C10164" s="9">
        <f>IFERROR(__xludf.DUMMYFUNCTION("""COMPUTED_VALUE"""),45037.4588322338)</f>
        <v>45037.45883</v>
      </c>
      <c r="D10164" s="15">
        <f>IFERROR(__xludf.DUMMYFUNCTION("""COMPUTED_VALUE"""),1.039)</f>
        <v>1.039</v>
      </c>
      <c r="E10164" s="16">
        <f>IFERROR(__xludf.DUMMYFUNCTION("""COMPUTED_VALUE"""),66.0)</f>
        <v>66</v>
      </c>
      <c r="F10164" s="19" t="str">
        <f>IFERROR(__xludf.DUMMYFUNCTION("""COMPUTED_VALUE"""),"BLACK")</f>
        <v>BLACK</v>
      </c>
      <c r="G10164" s="20" t="str">
        <f>IFERROR(__xludf.DUMMYFUNCTION("""COMPUTED_VALUE"""),"Uncle Sams Cider (04/04/2023)")</f>
        <v>Uncle Sams Cider (04/04/2023)</v>
      </c>
      <c r="H10164" s="19"/>
    </row>
    <row r="10165">
      <c r="A10165" s="9"/>
      <c r="B10165" s="15"/>
      <c r="C10165" s="9">
        <f>IFERROR(__xludf.DUMMYFUNCTION("""COMPUTED_VALUE"""),45037.4484099189)</f>
        <v>45037.44841</v>
      </c>
      <c r="D10165" s="15">
        <f>IFERROR(__xludf.DUMMYFUNCTION("""COMPUTED_VALUE"""),1.039)</f>
        <v>1.039</v>
      </c>
      <c r="E10165" s="16">
        <f>IFERROR(__xludf.DUMMYFUNCTION("""COMPUTED_VALUE"""),66.0)</f>
        <v>66</v>
      </c>
      <c r="F10165" s="19" t="str">
        <f>IFERROR(__xludf.DUMMYFUNCTION("""COMPUTED_VALUE"""),"BLACK")</f>
        <v>BLACK</v>
      </c>
      <c r="G10165" s="20" t="str">
        <f>IFERROR(__xludf.DUMMYFUNCTION("""COMPUTED_VALUE"""),"Uncle Sams Cider (04/04/2023)")</f>
        <v>Uncle Sams Cider (04/04/2023)</v>
      </c>
      <c r="H10165" s="19"/>
    </row>
    <row r="10166">
      <c r="A10166" s="9"/>
      <c r="B10166" s="15"/>
      <c r="C10166" s="9">
        <f>IFERROR(__xludf.DUMMYFUNCTION("""COMPUTED_VALUE"""),45037.4379763078)</f>
        <v>45037.43798</v>
      </c>
      <c r="D10166" s="15">
        <f>IFERROR(__xludf.DUMMYFUNCTION("""COMPUTED_VALUE"""),1.039)</f>
        <v>1.039</v>
      </c>
      <c r="E10166" s="16">
        <f>IFERROR(__xludf.DUMMYFUNCTION("""COMPUTED_VALUE"""),66.0)</f>
        <v>66</v>
      </c>
      <c r="F10166" s="19" t="str">
        <f>IFERROR(__xludf.DUMMYFUNCTION("""COMPUTED_VALUE"""),"BLACK")</f>
        <v>BLACK</v>
      </c>
      <c r="G10166" s="20" t="str">
        <f>IFERROR(__xludf.DUMMYFUNCTION("""COMPUTED_VALUE"""),"Uncle Sams Cider (04/04/2023)")</f>
        <v>Uncle Sams Cider (04/04/2023)</v>
      </c>
      <c r="H10166" s="19"/>
    </row>
    <row r="10167">
      <c r="A10167" s="9"/>
      <c r="B10167" s="15"/>
      <c r="C10167" s="9">
        <f>IFERROR(__xludf.DUMMYFUNCTION("""COMPUTED_VALUE"""),45037.4275201504)</f>
        <v>45037.42752</v>
      </c>
      <c r="D10167" s="15">
        <f>IFERROR(__xludf.DUMMYFUNCTION("""COMPUTED_VALUE"""),1.039)</f>
        <v>1.039</v>
      </c>
      <c r="E10167" s="16">
        <f>IFERROR(__xludf.DUMMYFUNCTION("""COMPUTED_VALUE"""),66.0)</f>
        <v>66</v>
      </c>
      <c r="F10167" s="19" t="str">
        <f>IFERROR(__xludf.DUMMYFUNCTION("""COMPUTED_VALUE"""),"BLACK")</f>
        <v>BLACK</v>
      </c>
      <c r="G10167" s="20" t="str">
        <f>IFERROR(__xludf.DUMMYFUNCTION("""COMPUTED_VALUE"""),"Uncle Sams Cider (04/04/2023)")</f>
        <v>Uncle Sams Cider (04/04/2023)</v>
      </c>
      <c r="H10167" s="19"/>
    </row>
    <row r="10168">
      <c r="A10168" s="9"/>
      <c r="B10168" s="15"/>
      <c r="C10168" s="9">
        <f>IFERROR(__xludf.DUMMYFUNCTION("""COMPUTED_VALUE"""),45037.4171001736)</f>
        <v>45037.4171</v>
      </c>
      <c r="D10168" s="15">
        <f>IFERROR(__xludf.DUMMYFUNCTION("""COMPUTED_VALUE"""),1.039)</f>
        <v>1.039</v>
      </c>
      <c r="E10168" s="16">
        <f>IFERROR(__xludf.DUMMYFUNCTION("""COMPUTED_VALUE"""),66.0)</f>
        <v>66</v>
      </c>
      <c r="F10168" s="19" t="str">
        <f>IFERROR(__xludf.DUMMYFUNCTION("""COMPUTED_VALUE"""),"BLACK")</f>
        <v>BLACK</v>
      </c>
      <c r="G10168" s="20" t="str">
        <f>IFERROR(__xludf.DUMMYFUNCTION("""COMPUTED_VALUE"""),"Uncle Sams Cider (04/04/2023)")</f>
        <v>Uncle Sams Cider (04/04/2023)</v>
      </c>
      <c r="H10168" s="19"/>
    </row>
    <row r="10169">
      <c r="A10169" s="9"/>
      <c r="B10169" s="15"/>
      <c r="C10169" s="9">
        <f>IFERROR(__xludf.DUMMYFUNCTION("""COMPUTED_VALUE"""),45037.4066193518)</f>
        <v>45037.40662</v>
      </c>
      <c r="D10169" s="15">
        <f>IFERROR(__xludf.DUMMYFUNCTION("""COMPUTED_VALUE"""),1.039)</f>
        <v>1.039</v>
      </c>
      <c r="E10169" s="16">
        <f>IFERROR(__xludf.DUMMYFUNCTION("""COMPUTED_VALUE"""),66.0)</f>
        <v>66</v>
      </c>
      <c r="F10169" s="19" t="str">
        <f>IFERROR(__xludf.DUMMYFUNCTION("""COMPUTED_VALUE"""),"BLACK")</f>
        <v>BLACK</v>
      </c>
      <c r="G10169" s="20" t="str">
        <f>IFERROR(__xludf.DUMMYFUNCTION("""COMPUTED_VALUE"""),"Uncle Sams Cider (04/04/2023)")</f>
        <v>Uncle Sams Cider (04/04/2023)</v>
      </c>
      <c r="H10169" s="19"/>
    </row>
    <row r="10170">
      <c r="A10170" s="9"/>
      <c r="B10170" s="15"/>
      <c r="C10170" s="9">
        <f>IFERROR(__xludf.DUMMYFUNCTION("""COMPUTED_VALUE"""),45037.3961972453)</f>
        <v>45037.3962</v>
      </c>
      <c r="D10170" s="15">
        <f>IFERROR(__xludf.DUMMYFUNCTION("""COMPUTED_VALUE"""),1.039)</f>
        <v>1.039</v>
      </c>
      <c r="E10170" s="16">
        <f>IFERROR(__xludf.DUMMYFUNCTION("""COMPUTED_VALUE"""),66.0)</f>
        <v>66</v>
      </c>
      <c r="F10170" s="19" t="str">
        <f>IFERROR(__xludf.DUMMYFUNCTION("""COMPUTED_VALUE"""),"BLACK")</f>
        <v>BLACK</v>
      </c>
      <c r="G10170" s="20" t="str">
        <f>IFERROR(__xludf.DUMMYFUNCTION("""COMPUTED_VALUE"""),"Uncle Sams Cider (04/04/2023)")</f>
        <v>Uncle Sams Cider (04/04/2023)</v>
      </c>
      <c r="H10170" s="19"/>
    </row>
    <row r="10171">
      <c r="A10171" s="9"/>
      <c r="B10171" s="15"/>
      <c r="C10171" s="9">
        <f>IFERROR(__xludf.DUMMYFUNCTION("""COMPUTED_VALUE"""),45037.3857426851)</f>
        <v>45037.38574</v>
      </c>
      <c r="D10171" s="15">
        <f>IFERROR(__xludf.DUMMYFUNCTION("""COMPUTED_VALUE"""),1.039)</f>
        <v>1.039</v>
      </c>
      <c r="E10171" s="16">
        <f>IFERROR(__xludf.DUMMYFUNCTION("""COMPUTED_VALUE"""),66.0)</f>
        <v>66</v>
      </c>
      <c r="F10171" s="19" t="str">
        <f>IFERROR(__xludf.DUMMYFUNCTION("""COMPUTED_VALUE"""),"BLACK")</f>
        <v>BLACK</v>
      </c>
      <c r="G10171" s="20" t="str">
        <f>IFERROR(__xludf.DUMMYFUNCTION("""COMPUTED_VALUE"""),"Uncle Sams Cider (04/04/2023)")</f>
        <v>Uncle Sams Cider (04/04/2023)</v>
      </c>
      <c r="H10171" s="19"/>
    </row>
    <row r="10172">
      <c r="A10172" s="9"/>
      <c r="B10172" s="15"/>
      <c r="C10172" s="9">
        <f>IFERROR(__xludf.DUMMYFUNCTION("""COMPUTED_VALUE"""),45037.3753098379)</f>
        <v>45037.37531</v>
      </c>
      <c r="D10172" s="15">
        <f>IFERROR(__xludf.DUMMYFUNCTION("""COMPUTED_VALUE"""),1.039)</f>
        <v>1.039</v>
      </c>
      <c r="E10172" s="16">
        <f>IFERROR(__xludf.DUMMYFUNCTION("""COMPUTED_VALUE"""),66.0)</f>
        <v>66</v>
      </c>
      <c r="F10172" s="19" t="str">
        <f>IFERROR(__xludf.DUMMYFUNCTION("""COMPUTED_VALUE"""),"BLACK")</f>
        <v>BLACK</v>
      </c>
      <c r="G10172" s="20" t="str">
        <f>IFERROR(__xludf.DUMMYFUNCTION("""COMPUTED_VALUE"""),"Uncle Sams Cider (04/04/2023)")</f>
        <v>Uncle Sams Cider (04/04/2023)</v>
      </c>
      <c r="H10172" s="19"/>
    </row>
    <row r="10173">
      <c r="A10173" s="9"/>
      <c r="B10173" s="15"/>
      <c r="C10173" s="9">
        <f>IFERROR(__xludf.DUMMYFUNCTION("""COMPUTED_VALUE"""),45037.3648772569)</f>
        <v>45037.36488</v>
      </c>
      <c r="D10173" s="15">
        <f>IFERROR(__xludf.DUMMYFUNCTION("""COMPUTED_VALUE"""),1.039)</f>
        <v>1.039</v>
      </c>
      <c r="E10173" s="16">
        <f>IFERROR(__xludf.DUMMYFUNCTION("""COMPUTED_VALUE"""),66.0)</f>
        <v>66</v>
      </c>
      <c r="F10173" s="19" t="str">
        <f>IFERROR(__xludf.DUMMYFUNCTION("""COMPUTED_VALUE"""),"BLACK")</f>
        <v>BLACK</v>
      </c>
      <c r="G10173" s="20" t="str">
        <f>IFERROR(__xludf.DUMMYFUNCTION("""COMPUTED_VALUE"""),"Uncle Sams Cider (04/04/2023)")</f>
        <v>Uncle Sams Cider (04/04/2023)</v>
      </c>
      <c r="H10173" s="19"/>
    </row>
    <row r="10174">
      <c r="A10174" s="9"/>
      <c r="B10174" s="15"/>
      <c r="C10174" s="9">
        <f>IFERROR(__xludf.DUMMYFUNCTION("""COMPUTED_VALUE"""),45037.3544217476)</f>
        <v>45037.35442</v>
      </c>
      <c r="D10174" s="15">
        <f>IFERROR(__xludf.DUMMYFUNCTION("""COMPUTED_VALUE"""),1.039)</f>
        <v>1.039</v>
      </c>
      <c r="E10174" s="16">
        <f>IFERROR(__xludf.DUMMYFUNCTION("""COMPUTED_VALUE"""),66.0)</f>
        <v>66</v>
      </c>
      <c r="F10174" s="19" t="str">
        <f>IFERROR(__xludf.DUMMYFUNCTION("""COMPUTED_VALUE"""),"BLACK")</f>
        <v>BLACK</v>
      </c>
      <c r="G10174" s="20" t="str">
        <f>IFERROR(__xludf.DUMMYFUNCTION("""COMPUTED_VALUE"""),"Uncle Sams Cider (04/04/2023)")</f>
        <v>Uncle Sams Cider (04/04/2023)</v>
      </c>
      <c r="H10174" s="19"/>
    </row>
    <row r="10175">
      <c r="A10175" s="9"/>
      <c r="B10175" s="15"/>
      <c r="C10175" s="9">
        <f>IFERROR(__xludf.DUMMYFUNCTION("""COMPUTED_VALUE"""),45037.3439997337)</f>
        <v>45037.344</v>
      </c>
      <c r="D10175" s="15">
        <f>IFERROR(__xludf.DUMMYFUNCTION("""COMPUTED_VALUE"""),1.039)</f>
        <v>1.039</v>
      </c>
      <c r="E10175" s="16">
        <f>IFERROR(__xludf.DUMMYFUNCTION("""COMPUTED_VALUE"""),66.0)</f>
        <v>66</v>
      </c>
      <c r="F10175" s="19" t="str">
        <f>IFERROR(__xludf.DUMMYFUNCTION("""COMPUTED_VALUE"""),"BLACK")</f>
        <v>BLACK</v>
      </c>
      <c r="G10175" s="20" t="str">
        <f>IFERROR(__xludf.DUMMYFUNCTION("""COMPUTED_VALUE"""),"Uncle Sams Cider (04/04/2023)")</f>
        <v>Uncle Sams Cider (04/04/2023)</v>
      </c>
      <c r="H10175" s="19"/>
    </row>
    <row r="10176">
      <c r="A10176" s="9"/>
      <c r="B10176" s="15"/>
      <c r="C10176" s="9">
        <f>IFERROR(__xludf.DUMMYFUNCTION("""COMPUTED_VALUE"""),45037.3335672453)</f>
        <v>45037.33357</v>
      </c>
      <c r="D10176" s="15">
        <f>IFERROR(__xludf.DUMMYFUNCTION("""COMPUTED_VALUE"""),1.039)</f>
        <v>1.039</v>
      </c>
      <c r="E10176" s="16">
        <f>IFERROR(__xludf.DUMMYFUNCTION("""COMPUTED_VALUE"""),66.0)</f>
        <v>66</v>
      </c>
      <c r="F10176" s="19" t="str">
        <f>IFERROR(__xludf.DUMMYFUNCTION("""COMPUTED_VALUE"""),"BLACK")</f>
        <v>BLACK</v>
      </c>
      <c r="G10176" s="20" t="str">
        <f>IFERROR(__xludf.DUMMYFUNCTION("""COMPUTED_VALUE"""),"Uncle Sams Cider (04/04/2023)")</f>
        <v>Uncle Sams Cider (04/04/2023)</v>
      </c>
      <c r="H10176" s="19"/>
    </row>
    <row r="10177">
      <c r="A10177" s="9"/>
      <c r="B10177" s="15"/>
      <c r="C10177" s="9">
        <f>IFERROR(__xludf.DUMMYFUNCTION("""COMPUTED_VALUE"""),45037.323133125)</f>
        <v>45037.32313</v>
      </c>
      <c r="D10177" s="15">
        <f>IFERROR(__xludf.DUMMYFUNCTION("""COMPUTED_VALUE"""),1.039)</f>
        <v>1.039</v>
      </c>
      <c r="E10177" s="16">
        <f>IFERROR(__xludf.DUMMYFUNCTION("""COMPUTED_VALUE"""),66.0)</f>
        <v>66</v>
      </c>
      <c r="F10177" s="19" t="str">
        <f>IFERROR(__xludf.DUMMYFUNCTION("""COMPUTED_VALUE"""),"BLACK")</f>
        <v>BLACK</v>
      </c>
      <c r="G10177" s="20" t="str">
        <f>IFERROR(__xludf.DUMMYFUNCTION("""COMPUTED_VALUE"""),"Uncle Sams Cider (04/04/2023)")</f>
        <v>Uncle Sams Cider (04/04/2023)</v>
      </c>
      <c r="H10177" s="19"/>
    </row>
    <row r="10178">
      <c r="A10178" s="9"/>
      <c r="B10178" s="15"/>
      <c r="C10178" s="9">
        <f>IFERROR(__xludf.DUMMYFUNCTION("""COMPUTED_VALUE"""),45037.3127141088)</f>
        <v>45037.31271</v>
      </c>
      <c r="D10178" s="15">
        <f>IFERROR(__xludf.DUMMYFUNCTION("""COMPUTED_VALUE"""),1.039)</f>
        <v>1.039</v>
      </c>
      <c r="E10178" s="16">
        <f>IFERROR(__xludf.DUMMYFUNCTION("""COMPUTED_VALUE"""),66.0)</f>
        <v>66</v>
      </c>
      <c r="F10178" s="19" t="str">
        <f>IFERROR(__xludf.DUMMYFUNCTION("""COMPUTED_VALUE"""),"BLACK")</f>
        <v>BLACK</v>
      </c>
      <c r="G10178" s="20" t="str">
        <f>IFERROR(__xludf.DUMMYFUNCTION("""COMPUTED_VALUE"""),"Uncle Sams Cider (04/04/2023)")</f>
        <v>Uncle Sams Cider (04/04/2023)</v>
      </c>
      <c r="H10178" s="19"/>
    </row>
    <row r="10179">
      <c r="A10179" s="9"/>
      <c r="B10179" s="15"/>
      <c r="C10179" s="9">
        <f>IFERROR(__xludf.DUMMYFUNCTION("""COMPUTED_VALUE"""),45037.3022795717)</f>
        <v>45037.30228</v>
      </c>
      <c r="D10179" s="15">
        <f>IFERROR(__xludf.DUMMYFUNCTION("""COMPUTED_VALUE"""),1.039)</f>
        <v>1.039</v>
      </c>
      <c r="E10179" s="16">
        <f>IFERROR(__xludf.DUMMYFUNCTION("""COMPUTED_VALUE"""),66.0)</f>
        <v>66</v>
      </c>
      <c r="F10179" s="19" t="str">
        <f>IFERROR(__xludf.DUMMYFUNCTION("""COMPUTED_VALUE"""),"BLACK")</f>
        <v>BLACK</v>
      </c>
      <c r="G10179" s="20" t="str">
        <f>IFERROR(__xludf.DUMMYFUNCTION("""COMPUTED_VALUE"""),"Uncle Sams Cider (04/04/2023)")</f>
        <v>Uncle Sams Cider (04/04/2023)</v>
      </c>
      <c r="H10179" s="19"/>
    </row>
    <row r="10180">
      <c r="A10180" s="9"/>
      <c r="B10180" s="15"/>
      <c r="C10180" s="9">
        <f>IFERROR(__xludf.DUMMYFUNCTION("""COMPUTED_VALUE"""),45037.29185728)</f>
        <v>45037.29186</v>
      </c>
      <c r="D10180" s="15">
        <f>IFERROR(__xludf.DUMMYFUNCTION("""COMPUTED_VALUE"""),1.039)</f>
        <v>1.039</v>
      </c>
      <c r="E10180" s="16">
        <f>IFERROR(__xludf.DUMMYFUNCTION("""COMPUTED_VALUE"""),66.0)</f>
        <v>66</v>
      </c>
      <c r="F10180" s="19" t="str">
        <f>IFERROR(__xludf.DUMMYFUNCTION("""COMPUTED_VALUE"""),"BLACK")</f>
        <v>BLACK</v>
      </c>
      <c r="G10180" s="20" t="str">
        <f>IFERROR(__xludf.DUMMYFUNCTION("""COMPUTED_VALUE"""),"Uncle Sams Cider (04/04/2023)")</f>
        <v>Uncle Sams Cider (04/04/2023)</v>
      </c>
      <c r="H10180" s="19"/>
    </row>
    <row r="10181">
      <c r="A10181" s="9"/>
      <c r="B10181" s="15"/>
      <c r="C10181" s="9">
        <f>IFERROR(__xludf.DUMMYFUNCTION("""COMPUTED_VALUE"""),45037.2814151388)</f>
        <v>45037.28142</v>
      </c>
      <c r="D10181" s="15">
        <f>IFERROR(__xludf.DUMMYFUNCTION("""COMPUTED_VALUE"""),1.04)</f>
        <v>1.04</v>
      </c>
      <c r="E10181" s="16">
        <f>IFERROR(__xludf.DUMMYFUNCTION("""COMPUTED_VALUE"""),66.0)</f>
        <v>66</v>
      </c>
      <c r="F10181" s="19" t="str">
        <f>IFERROR(__xludf.DUMMYFUNCTION("""COMPUTED_VALUE"""),"BLACK")</f>
        <v>BLACK</v>
      </c>
      <c r="G10181" s="20" t="str">
        <f>IFERROR(__xludf.DUMMYFUNCTION("""COMPUTED_VALUE"""),"Uncle Sams Cider (04/04/2023)")</f>
        <v>Uncle Sams Cider (04/04/2023)</v>
      </c>
      <c r="H10181" s="19"/>
    </row>
    <row r="10182">
      <c r="A10182" s="9"/>
      <c r="B10182" s="15"/>
      <c r="C10182" s="9">
        <f>IFERROR(__xludf.DUMMYFUNCTION("""COMPUTED_VALUE"""),45037.2709947685)</f>
        <v>45037.27099</v>
      </c>
      <c r="D10182" s="15">
        <f>IFERROR(__xludf.DUMMYFUNCTION("""COMPUTED_VALUE"""),1.04)</f>
        <v>1.04</v>
      </c>
      <c r="E10182" s="16">
        <f>IFERROR(__xludf.DUMMYFUNCTION("""COMPUTED_VALUE"""),66.0)</f>
        <v>66</v>
      </c>
      <c r="F10182" s="19" t="str">
        <f>IFERROR(__xludf.DUMMYFUNCTION("""COMPUTED_VALUE"""),"BLACK")</f>
        <v>BLACK</v>
      </c>
      <c r="G10182" s="20" t="str">
        <f>IFERROR(__xludf.DUMMYFUNCTION("""COMPUTED_VALUE"""),"Uncle Sams Cider (04/04/2023)")</f>
        <v>Uncle Sams Cider (04/04/2023)</v>
      </c>
      <c r="H10182" s="19"/>
    </row>
    <row r="10183">
      <c r="A10183" s="9"/>
      <c r="B10183" s="15"/>
      <c r="C10183" s="9">
        <f>IFERROR(__xludf.DUMMYFUNCTION("""COMPUTED_VALUE"""),45037.2605733101)</f>
        <v>45037.26057</v>
      </c>
      <c r="D10183" s="15">
        <f>IFERROR(__xludf.DUMMYFUNCTION("""COMPUTED_VALUE"""),1.039)</f>
        <v>1.039</v>
      </c>
      <c r="E10183" s="16">
        <f>IFERROR(__xludf.DUMMYFUNCTION("""COMPUTED_VALUE"""),66.0)</f>
        <v>66</v>
      </c>
      <c r="F10183" s="19" t="str">
        <f>IFERROR(__xludf.DUMMYFUNCTION("""COMPUTED_VALUE"""),"BLACK")</f>
        <v>BLACK</v>
      </c>
      <c r="G10183" s="20" t="str">
        <f>IFERROR(__xludf.DUMMYFUNCTION("""COMPUTED_VALUE"""),"Uncle Sams Cider (04/04/2023)")</f>
        <v>Uncle Sams Cider (04/04/2023)</v>
      </c>
      <c r="H10183" s="19"/>
    </row>
    <row r="10184">
      <c r="A10184" s="9"/>
      <c r="B10184" s="15"/>
      <c r="C10184" s="9">
        <f>IFERROR(__xludf.DUMMYFUNCTION("""COMPUTED_VALUE"""),45037.2501404282)</f>
        <v>45037.25014</v>
      </c>
      <c r="D10184" s="15">
        <f>IFERROR(__xludf.DUMMYFUNCTION("""COMPUTED_VALUE"""),1.04)</f>
        <v>1.04</v>
      </c>
      <c r="E10184" s="16">
        <f>IFERROR(__xludf.DUMMYFUNCTION("""COMPUTED_VALUE"""),66.0)</f>
        <v>66</v>
      </c>
      <c r="F10184" s="19" t="str">
        <f>IFERROR(__xludf.DUMMYFUNCTION("""COMPUTED_VALUE"""),"BLACK")</f>
        <v>BLACK</v>
      </c>
      <c r="G10184" s="20" t="str">
        <f>IFERROR(__xludf.DUMMYFUNCTION("""COMPUTED_VALUE"""),"Uncle Sams Cider (04/04/2023)")</f>
        <v>Uncle Sams Cider (04/04/2023)</v>
      </c>
      <c r="H10184" s="19"/>
    </row>
    <row r="10185">
      <c r="A10185" s="9"/>
      <c r="B10185" s="15"/>
      <c r="C10185" s="9">
        <f>IFERROR(__xludf.DUMMYFUNCTION("""COMPUTED_VALUE"""),45037.2397075694)</f>
        <v>45037.23971</v>
      </c>
      <c r="D10185" s="15">
        <f>IFERROR(__xludf.DUMMYFUNCTION("""COMPUTED_VALUE"""),1.04)</f>
        <v>1.04</v>
      </c>
      <c r="E10185" s="16">
        <f>IFERROR(__xludf.DUMMYFUNCTION("""COMPUTED_VALUE"""),66.0)</f>
        <v>66</v>
      </c>
      <c r="F10185" s="19" t="str">
        <f>IFERROR(__xludf.DUMMYFUNCTION("""COMPUTED_VALUE"""),"BLACK")</f>
        <v>BLACK</v>
      </c>
      <c r="G10185" s="20" t="str">
        <f>IFERROR(__xludf.DUMMYFUNCTION("""COMPUTED_VALUE"""),"Uncle Sams Cider (04/04/2023)")</f>
        <v>Uncle Sams Cider (04/04/2023)</v>
      </c>
      <c r="H10185" s="19"/>
    </row>
    <row r="10186">
      <c r="A10186" s="9"/>
      <c r="B10186" s="15"/>
      <c r="C10186" s="9">
        <f>IFERROR(__xludf.DUMMYFUNCTION("""COMPUTED_VALUE"""),45037.2292852777)</f>
        <v>45037.22929</v>
      </c>
      <c r="D10186" s="15">
        <f>IFERROR(__xludf.DUMMYFUNCTION("""COMPUTED_VALUE"""),1.039)</f>
        <v>1.039</v>
      </c>
      <c r="E10186" s="16">
        <f>IFERROR(__xludf.DUMMYFUNCTION("""COMPUTED_VALUE"""),66.0)</f>
        <v>66</v>
      </c>
      <c r="F10186" s="19" t="str">
        <f>IFERROR(__xludf.DUMMYFUNCTION("""COMPUTED_VALUE"""),"BLACK")</f>
        <v>BLACK</v>
      </c>
      <c r="G10186" s="20" t="str">
        <f>IFERROR(__xludf.DUMMYFUNCTION("""COMPUTED_VALUE"""),"Uncle Sams Cider (04/04/2023)")</f>
        <v>Uncle Sams Cider (04/04/2023)</v>
      </c>
      <c r="H10186" s="19"/>
    </row>
    <row r="10187">
      <c r="A10187" s="9"/>
      <c r="B10187" s="15"/>
      <c r="C10187" s="9">
        <f>IFERROR(__xludf.DUMMYFUNCTION("""COMPUTED_VALUE"""),45037.2188635995)</f>
        <v>45037.21886</v>
      </c>
      <c r="D10187" s="15">
        <f>IFERROR(__xludf.DUMMYFUNCTION("""COMPUTED_VALUE"""),1.04)</f>
        <v>1.04</v>
      </c>
      <c r="E10187" s="16">
        <f>IFERROR(__xludf.DUMMYFUNCTION("""COMPUTED_VALUE"""),66.0)</f>
        <v>66</v>
      </c>
      <c r="F10187" s="19" t="str">
        <f>IFERROR(__xludf.DUMMYFUNCTION("""COMPUTED_VALUE"""),"BLACK")</f>
        <v>BLACK</v>
      </c>
      <c r="G10187" s="20" t="str">
        <f>IFERROR(__xludf.DUMMYFUNCTION("""COMPUTED_VALUE"""),"Uncle Sams Cider (04/04/2023)")</f>
        <v>Uncle Sams Cider (04/04/2023)</v>
      </c>
      <c r="H10187" s="19"/>
    </row>
    <row r="10188">
      <c r="A10188" s="9"/>
      <c r="B10188" s="15"/>
      <c r="C10188" s="9">
        <f>IFERROR(__xludf.DUMMYFUNCTION("""COMPUTED_VALUE"""),45037.20844375)</f>
        <v>45037.20844</v>
      </c>
      <c r="D10188" s="15">
        <f>IFERROR(__xludf.DUMMYFUNCTION("""COMPUTED_VALUE"""),1.04)</f>
        <v>1.04</v>
      </c>
      <c r="E10188" s="16">
        <f>IFERROR(__xludf.DUMMYFUNCTION("""COMPUTED_VALUE"""),66.0)</f>
        <v>66</v>
      </c>
      <c r="F10188" s="19" t="str">
        <f>IFERROR(__xludf.DUMMYFUNCTION("""COMPUTED_VALUE"""),"BLACK")</f>
        <v>BLACK</v>
      </c>
      <c r="G10188" s="20" t="str">
        <f>IFERROR(__xludf.DUMMYFUNCTION("""COMPUTED_VALUE"""),"Uncle Sams Cider (04/04/2023)")</f>
        <v>Uncle Sams Cider (04/04/2023)</v>
      </c>
      <c r="H10188" s="19"/>
    </row>
    <row r="10189">
      <c r="A10189" s="9"/>
      <c r="B10189" s="15"/>
      <c r="C10189" s="9">
        <f>IFERROR(__xludf.DUMMYFUNCTION("""COMPUTED_VALUE"""),45037.1980102777)</f>
        <v>45037.19801</v>
      </c>
      <c r="D10189" s="15">
        <f>IFERROR(__xludf.DUMMYFUNCTION("""COMPUTED_VALUE"""),1.04)</f>
        <v>1.04</v>
      </c>
      <c r="E10189" s="16">
        <f>IFERROR(__xludf.DUMMYFUNCTION("""COMPUTED_VALUE"""),66.0)</f>
        <v>66</v>
      </c>
      <c r="F10189" s="19" t="str">
        <f>IFERROR(__xludf.DUMMYFUNCTION("""COMPUTED_VALUE"""),"BLACK")</f>
        <v>BLACK</v>
      </c>
      <c r="G10189" s="20" t="str">
        <f>IFERROR(__xludf.DUMMYFUNCTION("""COMPUTED_VALUE"""),"Uncle Sams Cider (04/04/2023)")</f>
        <v>Uncle Sams Cider (04/04/2023)</v>
      </c>
      <c r="H10189" s="19"/>
    </row>
    <row r="10190">
      <c r="A10190" s="9"/>
      <c r="B10190" s="15"/>
      <c r="C10190" s="9">
        <f>IFERROR(__xludf.DUMMYFUNCTION("""COMPUTED_VALUE"""),45037.1875767245)</f>
        <v>45037.18758</v>
      </c>
      <c r="D10190" s="15">
        <f>IFERROR(__xludf.DUMMYFUNCTION("""COMPUTED_VALUE"""),1.04)</f>
        <v>1.04</v>
      </c>
      <c r="E10190" s="16">
        <f>IFERROR(__xludf.DUMMYFUNCTION("""COMPUTED_VALUE"""),66.0)</f>
        <v>66</v>
      </c>
      <c r="F10190" s="19" t="str">
        <f>IFERROR(__xludf.DUMMYFUNCTION("""COMPUTED_VALUE"""),"BLACK")</f>
        <v>BLACK</v>
      </c>
      <c r="G10190" s="20" t="str">
        <f>IFERROR(__xludf.DUMMYFUNCTION("""COMPUTED_VALUE"""),"Uncle Sams Cider (04/04/2023)")</f>
        <v>Uncle Sams Cider (04/04/2023)</v>
      </c>
      <c r="H10190" s="19"/>
    </row>
    <row r="10191">
      <c r="A10191" s="9"/>
      <c r="B10191" s="15"/>
      <c r="C10191" s="9">
        <f>IFERROR(__xludf.DUMMYFUNCTION("""COMPUTED_VALUE"""),45037.1771434027)</f>
        <v>45037.17714</v>
      </c>
      <c r="D10191" s="15">
        <f>IFERROR(__xludf.DUMMYFUNCTION("""COMPUTED_VALUE"""),1.04)</f>
        <v>1.04</v>
      </c>
      <c r="E10191" s="16">
        <f>IFERROR(__xludf.DUMMYFUNCTION("""COMPUTED_VALUE"""),66.0)</f>
        <v>66</v>
      </c>
      <c r="F10191" s="19" t="str">
        <f>IFERROR(__xludf.DUMMYFUNCTION("""COMPUTED_VALUE"""),"BLACK")</f>
        <v>BLACK</v>
      </c>
      <c r="G10191" s="20" t="str">
        <f>IFERROR(__xludf.DUMMYFUNCTION("""COMPUTED_VALUE"""),"Uncle Sams Cider (04/04/2023)")</f>
        <v>Uncle Sams Cider (04/04/2023)</v>
      </c>
      <c r="H10191" s="19"/>
    </row>
    <row r="10192">
      <c r="A10192" s="9"/>
      <c r="B10192" s="15"/>
      <c r="C10192" s="9">
        <f>IFERROR(__xludf.DUMMYFUNCTION("""COMPUTED_VALUE"""),45037.1667107291)</f>
        <v>45037.16671</v>
      </c>
      <c r="D10192" s="15">
        <f>IFERROR(__xludf.DUMMYFUNCTION("""COMPUTED_VALUE"""),1.04)</f>
        <v>1.04</v>
      </c>
      <c r="E10192" s="16">
        <f>IFERROR(__xludf.DUMMYFUNCTION("""COMPUTED_VALUE"""),66.0)</f>
        <v>66</v>
      </c>
      <c r="F10192" s="19" t="str">
        <f>IFERROR(__xludf.DUMMYFUNCTION("""COMPUTED_VALUE"""),"BLACK")</f>
        <v>BLACK</v>
      </c>
      <c r="G10192" s="20" t="str">
        <f>IFERROR(__xludf.DUMMYFUNCTION("""COMPUTED_VALUE"""),"Uncle Sams Cider (04/04/2023)")</f>
        <v>Uncle Sams Cider (04/04/2023)</v>
      </c>
      <c r="H10192" s="19"/>
    </row>
    <row r="10193">
      <c r="A10193" s="9"/>
      <c r="B10193" s="15"/>
      <c r="C10193" s="9">
        <f>IFERROR(__xludf.DUMMYFUNCTION("""COMPUTED_VALUE"""),45037.1562666666)</f>
        <v>45037.15627</v>
      </c>
      <c r="D10193" s="15">
        <f>IFERROR(__xludf.DUMMYFUNCTION("""COMPUTED_VALUE"""),1.04)</f>
        <v>1.04</v>
      </c>
      <c r="E10193" s="16">
        <f>IFERROR(__xludf.DUMMYFUNCTION("""COMPUTED_VALUE"""),66.0)</f>
        <v>66</v>
      </c>
      <c r="F10193" s="19" t="str">
        <f>IFERROR(__xludf.DUMMYFUNCTION("""COMPUTED_VALUE"""),"BLACK")</f>
        <v>BLACK</v>
      </c>
      <c r="G10193" s="20" t="str">
        <f>IFERROR(__xludf.DUMMYFUNCTION("""COMPUTED_VALUE"""),"Uncle Sams Cider (04/04/2023)")</f>
        <v>Uncle Sams Cider (04/04/2023)</v>
      </c>
      <c r="H10193" s="19"/>
    </row>
    <row r="10194">
      <c r="A10194" s="9"/>
      <c r="B10194" s="15"/>
      <c r="C10194" s="9">
        <f>IFERROR(__xludf.DUMMYFUNCTION("""COMPUTED_VALUE"""),45037.1458461689)</f>
        <v>45037.14585</v>
      </c>
      <c r="D10194" s="15">
        <f>IFERROR(__xludf.DUMMYFUNCTION("""COMPUTED_VALUE"""),1.04)</f>
        <v>1.04</v>
      </c>
      <c r="E10194" s="16">
        <f>IFERROR(__xludf.DUMMYFUNCTION("""COMPUTED_VALUE"""),66.0)</f>
        <v>66</v>
      </c>
      <c r="F10194" s="19" t="str">
        <f>IFERROR(__xludf.DUMMYFUNCTION("""COMPUTED_VALUE"""),"BLACK")</f>
        <v>BLACK</v>
      </c>
      <c r="G10194" s="20" t="str">
        <f>IFERROR(__xludf.DUMMYFUNCTION("""COMPUTED_VALUE"""),"Uncle Sams Cider (04/04/2023)")</f>
        <v>Uncle Sams Cider (04/04/2023)</v>
      </c>
      <c r="H10194" s="19"/>
    </row>
    <row r="10195">
      <c r="A10195" s="9"/>
      <c r="B10195" s="15"/>
      <c r="C10195" s="9">
        <f>IFERROR(__xludf.DUMMYFUNCTION("""COMPUTED_VALUE"""),45037.1354248379)</f>
        <v>45037.13542</v>
      </c>
      <c r="D10195" s="15">
        <f>IFERROR(__xludf.DUMMYFUNCTION("""COMPUTED_VALUE"""),1.04)</f>
        <v>1.04</v>
      </c>
      <c r="E10195" s="16">
        <f>IFERROR(__xludf.DUMMYFUNCTION("""COMPUTED_VALUE"""),66.0)</f>
        <v>66</v>
      </c>
      <c r="F10195" s="19" t="str">
        <f>IFERROR(__xludf.DUMMYFUNCTION("""COMPUTED_VALUE"""),"BLACK")</f>
        <v>BLACK</v>
      </c>
      <c r="G10195" s="20" t="str">
        <f>IFERROR(__xludf.DUMMYFUNCTION("""COMPUTED_VALUE"""),"Uncle Sams Cider (04/04/2023)")</f>
        <v>Uncle Sams Cider (04/04/2023)</v>
      </c>
      <c r="H10195" s="19"/>
    </row>
    <row r="10196">
      <c r="A10196" s="9"/>
      <c r="B10196" s="15"/>
      <c r="C10196" s="9">
        <f>IFERROR(__xludf.DUMMYFUNCTION("""COMPUTED_VALUE"""),45037.1250040856)</f>
        <v>45037.125</v>
      </c>
      <c r="D10196" s="15">
        <f>IFERROR(__xludf.DUMMYFUNCTION("""COMPUTED_VALUE"""),1.04)</f>
        <v>1.04</v>
      </c>
      <c r="E10196" s="16">
        <f>IFERROR(__xludf.DUMMYFUNCTION("""COMPUTED_VALUE"""),66.0)</f>
        <v>66</v>
      </c>
      <c r="F10196" s="19" t="str">
        <f>IFERROR(__xludf.DUMMYFUNCTION("""COMPUTED_VALUE"""),"BLACK")</f>
        <v>BLACK</v>
      </c>
      <c r="G10196" s="20" t="str">
        <f>IFERROR(__xludf.DUMMYFUNCTION("""COMPUTED_VALUE"""),"Uncle Sams Cider (04/04/2023)")</f>
        <v>Uncle Sams Cider (04/04/2023)</v>
      </c>
      <c r="H10196" s="19"/>
    </row>
    <row r="10197">
      <c r="A10197" s="9"/>
      <c r="B10197" s="15"/>
      <c r="C10197" s="9">
        <f>IFERROR(__xludf.DUMMYFUNCTION("""COMPUTED_VALUE"""),45037.1145840277)</f>
        <v>45037.11458</v>
      </c>
      <c r="D10197" s="15">
        <f>IFERROR(__xludf.DUMMYFUNCTION("""COMPUTED_VALUE"""),1.04)</f>
        <v>1.04</v>
      </c>
      <c r="E10197" s="16">
        <f>IFERROR(__xludf.DUMMYFUNCTION("""COMPUTED_VALUE"""),66.0)</f>
        <v>66</v>
      </c>
      <c r="F10197" s="19" t="str">
        <f>IFERROR(__xludf.DUMMYFUNCTION("""COMPUTED_VALUE"""),"BLACK")</f>
        <v>BLACK</v>
      </c>
      <c r="G10197" s="20" t="str">
        <f>IFERROR(__xludf.DUMMYFUNCTION("""COMPUTED_VALUE"""),"Uncle Sams Cider (04/04/2023)")</f>
        <v>Uncle Sams Cider (04/04/2023)</v>
      </c>
      <c r="H10197" s="19"/>
    </row>
    <row r="10198">
      <c r="A10198" s="9"/>
      <c r="B10198" s="15"/>
      <c r="C10198" s="9">
        <f>IFERROR(__xludf.DUMMYFUNCTION("""COMPUTED_VALUE"""),45037.1041399074)</f>
        <v>45037.10414</v>
      </c>
      <c r="D10198" s="15">
        <f>IFERROR(__xludf.DUMMYFUNCTION("""COMPUTED_VALUE"""),1.04)</f>
        <v>1.04</v>
      </c>
      <c r="E10198" s="16">
        <f>IFERROR(__xludf.DUMMYFUNCTION("""COMPUTED_VALUE"""),66.0)</f>
        <v>66</v>
      </c>
      <c r="F10198" s="19" t="str">
        <f>IFERROR(__xludf.DUMMYFUNCTION("""COMPUTED_VALUE"""),"BLACK")</f>
        <v>BLACK</v>
      </c>
      <c r="G10198" s="20" t="str">
        <f>IFERROR(__xludf.DUMMYFUNCTION("""COMPUTED_VALUE"""),"Uncle Sams Cider (04/04/2023)")</f>
        <v>Uncle Sams Cider (04/04/2023)</v>
      </c>
      <c r="H10198" s="19"/>
    </row>
    <row r="10199">
      <c r="A10199" s="9"/>
      <c r="B10199" s="15"/>
      <c r="C10199" s="9">
        <f>IFERROR(__xludf.DUMMYFUNCTION("""COMPUTED_VALUE"""),45037.0937172337)</f>
        <v>45037.09372</v>
      </c>
      <c r="D10199" s="15">
        <f>IFERROR(__xludf.DUMMYFUNCTION("""COMPUTED_VALUE"""),1.04)</f>
        <v>1.04</v>
      </c>
      <c r="E10199" s="16">
        <f>IFERROR(__xludf.DUMMYFUNCTION("""COMPUTED_VALUE"""),66.0)</f>
        <v>66</v>
      </c>
      <c r="F10199" s="19" t="str">
        <f>IFERROR(__xludf.DUMMYFUNCTION("""COMPUTED_VALUE"""),"BLACK")</f>
        <v>BLACK</v>
      </c>
      <c r="G10199" s="20" t="str">
        <f>IFERROR(__xludf.DUMMYFUNCTION("""COMPUTED_VALUE"""),"Uncle Sams Cider (04/04/2023)")</f>
        <v>Uncle Sams Cider (04/04/2023)</v>
      </c>
      <c r="H10199" s="19"/>
    </row>
    <row r="10200">
      <c r="A10200" s="9"/>
      <c r="B10200" s="15"/>
      <c r="C10200" s="9">
        <f>IFERROR(__xludf.DUMMYFUNCTION("""COMPUTED_VALUE"""),45037.0832737152)</f>
        <v>45037.08327</v>
      </c>
      <c r="D10200" s="15">
        <f>IFERROR(__xludf.DUMMYFUNCTION("""COMPUTED_VALUE"""),1.04)</f>
        <v>1.04</v>
      </c>
      <c r="E10200" s="16">
        <f>IFERROR(__xludf.DUMMYFUNCTION("""COMPUTED_VALUE"""),66.0)</f>
        <v>66</v>
      </c>
      <c r="F10200" s="19" t="str">
        <f>IFERROR(__xludf.DUMMYFUNCTION("""COMPUTED_VALUE"""),"BLACK")</f>
        <v>BLACK</v>
      </c>
      <c r="G10200" s="20" t="str">
        <f>IFERROR(__xludf.DUMMYFUNCTION("""COMPUTED_VALUE"""),"Uncle Sams Cider (04/04/2023)")</f>
        <v>Uncle Sams Cider (04/04/2023)</v>
      </c>
      <c r="H10200" s="19"/>
    </row>
    <row r="10201">
      <c r="A10201" s="9"/>
      <c r="B10201" s="15"/>
      <c r="C10201" s="9">
        <f>IFERROR(__xludf.DUMMYFUNCTION("""COMPUTED_VALUE"""),45037.0728521759)</f>
        <v>45037.07285</v>
      </c>
      <c r="D10201" s="15">
        <f>IFERROR(__xludf.DUMMYFUNCTION("""COMPUTED_VALUE"""),1.04)</f>
        <v>1.04</v>
      </c>
      <c r="E10201" s="16">
        <f>IFERROR(__xludf.DUMMYFUNCTION("""COMPUTED_VALUE"""),66.0)</f>
        <v>66</v>
      </c>
      <c r="F10201" s="19" t="str">
        <f>IFERROR(__xludf.DUMMYFUNCTION("""COMPUTED_VALUE"""),"BLACK")</f>
        <v>BLACK</v>
      </c>
      <c r="G10201" s="20" t="str">
        <f>IFERROR(__xludf.DUMMYFUNCTION("""COMPUTED_VALUE"""),"Uncle Sams Cider (04/04/2023)")</f>
        <v>Uncle Sams Cider (04/04/2023)</v>
      </c>
      <c r="H10201" s="19"/>
    </row>
    <row r="10202">
      <c r="A10202" s="9"/>
      <c r="B10202" s="15"/>
      <c r="C10202" s="9">
        <f>IFERROR(__xludf.DUMMYFUNCTION("""COMPUTED_VALUE"""),45037.0624299652)</f>
        <v>45037.06243</v>
      </c>
      <c r="D10202" s="15">
        <f>IFERROR(__xludf.DUMMYFUNCTION("""COMPUTED_VALUE"""),1.04)</f>
        <v>1.04</v>
      </c>
      <c r="E10202" s="16">
        <f>IFERROR(__xludf.DUMMYFUNCTION("""COMPUTED_VALUE"""),66.0)</f>
        <v>66</v>
      </c>
      <c r="F10202" s="19" t="str">
        <f>IFERROR(__xludf.DUMMYFUNCTION("""COMPUTED_VALUE"""),"BLACK")</f>
        <v>BLACK</v>
      </c>
      <c r="G10202" s="20" t="str">
        <f>IFERROR(__xludf.DUMMYFUNCTION("""COMPUTED_VALUE"""),"Uncle Sams Cider (04/04/2023)")</f>
        <v>Uncle Sams Cider (04/04/2023)</v>
      </c>
      <c r="H10202" s="19"/>
    </row>
    <row r="10203">
      <c r="A10203" s="9"/>
      <c r="B10203" s="15"/>
      <c r="C10203" s="9">
        <f>IFERROR(__xludf.DUMMYFUNCTION("""COMPUTED_VALUE"""),45037.0520090162)</f>
        <v>45037.05201</v>
      </c>
      <c r="D10203" s="15">
        <f>IFERROR(__xludf.DUMMYFUNCTION("""COMPUTED_VALUE"""),1.04)</f>
        <v>1.04</v>
      </c>
      <c r="E10203" s="16">
        <f>IFERROR(__xludf.DUMMYFUNCTION("""COMPUTED_VALUE"""),66.0)</f>
        <v>66</v>
      </c>
      <c r="F10203" s="19" t="str">
        <f>IFERROR(__xludf.DUMMYFUNCTION("""COMPUTED_VALUE"""),"BLACK")</f>
        <v>BLACK</v>
      </c>
      <c r="G10203" s="20" t="str">
        <f>IFERROR(__xludf.DUMMYFUNCTION("""COMPUTED_VALUE"""),"Uncle Sams Cider (04/04/2023)")</f>
        <v>Uncle Sams Cider (04/04/2023)</v>
      </c>
      <c r="H10203" s="19"/>
    </row>
    <row r="10204">
      <c r="A10204" s="9"/>
      <c r="B10204" s="15"/>
      <c r="C10204" s="9">
        <f>IFERROR(__xludf.DUMMYFUNCTION("""COMPUTED_VALUE"""),45037.0415880324)</f>
        <v>45037.04159</v>
      </c>
      <c r="D10204" s="15">
        <f>IFERROR(__xludf.DUMMYFUNCTION("""COMPUTED_VALUE"""),1.04)</f>
        <v>1.04</v>
      </c>
      <c r="E10204" s="16">
        <f>IFERROR(__xludf.DUMMYFUNCTION("""COMPUTED_VALUE"""),66.0)</f>
        <v>66</v>
      </c>
      <c r="F10204" s="19" t="str">
        <f>IFERROR(__xludf.DUMMYFUNCTION("""COMPUTED_VALUE"""),"BLACK")</f>
        <v>BLACK</v>
      </c>
      <c r="G10204" s="20" t="str">
        <f>IFERROR(__xludf.DUMMYFUNCTION("""COMPUTED_VALUE"""),"Uncle Sams Cider (04/04/2023)")</f>
        <v>Uncle Sams Cider (04/04/2023)</v>
      </c>
      <c r="H10204" s="19"/>
    </row>
    <row r="10205">
      <c r="A10205" s="9"/>
      <c r="B10205" s="15"/>
      <c r="C10205" s="9">
        <f>IFERROR(__xludf.DUMMYFUNCTION("""COMPUTED_VALUE"""),45037.0311666435)</f>
        <v>45037.03117</v>
      </c>
      <c r="D10205" s="15">
        <f>IFERROR(__xludf.DUMMYFUNCTION("""COMPUTED_VALUE"""),1.04)</f>
        <v>1.04</v>
      </c>
      <c r="E10205" s="16">
        <f>IFERROR(__xludf.DUMMYFUNCTION("""COMPUTED_VALUE"""),66.0)</f>
        <v>66</v>
      </c>
      <c r="F10205" s="19" t="str">
        <f>IFERROR(__xludf.DUMMYFUNCTION("""COMPUTED_VALUE"""),"BLACK")</f>
        <v>BLACK</v>
      </c>
      <c r="G10205" s="20" t="str">
        <f>IFERROR(__xludf.DUMMYFUNCTION("""COMPUTED_VALUE"""),"Uncle Sams Cider (04/04/2023)")</f>
        <v>Uncle Sams Cider (04/04/2023)</v>
      </c>
      <c r="H10205" s="19"/>
    </row>
    <row r="10206">
      <c r="A10206" s="9"/>
      <c r="B10206" s="15"/>
      <c r="C10206" s="9">
        <f>IFERROR(__xludf.DUMMYFUNCTION("""COMPUTED_VALUE"""),45037.0207467708)</f>
        <v>45037.02075</v>
      </c>
      <c r="D10206" s="15">
        <f>IFERROR(__xludf.DUMMYFUNCTION("""COMPUTED_VALUE"""),1.04)</f>
        <v>1.04</v>
      </c>
      <c r="E10206" s="16">
        <f>IFERROR(__xludf.DUMMYFUNCTION("""COMPUTED_VALUE"""),66.0)</f>
        <v>66</v>
      </c>
      <c r="F10206" s="19" t="str">
        <f>IFERROR(__xludf.DUMMYFUNCTION("""COMPUTED_VALUE"""),"BLACK")</f>
        <v>BLACK</v>
      </c>
      <c r="G10206" s="20" t="str">
        <f>IFERROR(__xludf.DUMMYFUNCTION("""COMPUTED_VALUE"""),"Uncle Sams Cider (04/04/2023)")</f>
        <v>Uncle Sams Cider (04/04/2023)</v>
      </c>
      <c r="H10206" s="19"/>
    </row>
    <row r="10207">
      <c r="A10207" s="9"/>
      <c r="B10207" s="15"/>
      <c r="C10207" s="9">
        <f>IFERROR(__xludf.DUMMYFUNCTION("""COMPUTED_VALUE"""),45037.0103262615)</f>
        <v>45037.01033</v>
      </c>
      <c r="D10207" s="15">
        <f>IFERROR(__xludf.DUMMYFUNCTION("""COMPUTED_VALUE"""),1.04)</f>
        <v>1.04</v>
      </c>
      <c r="E10207" s="16">
        <f>IFERROR(__xludf.DUMMYFUNCTION("""COMPUTED_VALUE"""),66.0)</f>
        <v>66</v>
      </c>
      <c r="F10207" s="19" t="str">
        <f>IFERROR(__xludf.DUMMYFUNCTION("""COMPUTED_VALUE"""),"BLACK")</f>
        <v>BLACK</v>
      </c>
      <c r="G10207" s="20" t="str">
        <f>IFERROR(__xludf.DUMMYFUNCTION("""COMPUTED_VALUE"""),"Uncle Sams Cider (04/04/2023)")</f>
        <v>Uncle Sams Cider (04/04/2023)</v>
      </c>
      <c r="H10207" s="19"/>
    </row>
    <row r="10208">
      <c r="A10208" s="9"/>
      <c r="B10208" s="15"/>
      <c r="C10208" s="9">
        <f>IFERROR(__xludf.DUMMYFUNCTION("""COMPUTED_VALUE"""),45036.9999047338)</f>
        <v>45036.9999</v>
      </c>
      <c r="D10208" s="15">
        <f>IFERROR(__xludf.DUMMYFUNCTION("""COMPUTED_VALUE"""),1.04)</f>
        <v>1.04</v>
      </c>
      <c r="E10208" s="16">
        <f>IFERROR(__xludf.DUMMYFUNCTION("""COMPUTED_VALUE"""),66.0)</f>
        <v>66</v>
      </c>
      <c r="F10208" s="19" t="str">
        <f>IFERROR(__xludf.DUMMYFUNCTION("""COMPUTED_VALUE"""),"BLACK")</f>
        <v>BLACK</v>
      </c>
      <c r="G10208" s="20" t="str">
        <f>IFERROR(__xludf.DUMMYFUNCTION("""COMPUTED_VALUE"""),"Uncle Sams Cider (04/04/2023)")</f>
        <v>Uncle Sams Cider (04/04/2023)</v>
      </c>
      <c r="H10208" s="19"/>
    </row>
    <row r="10209">
      <c r="A10209" s="9"/>
      <c r="B10209" s="15"/>
      <c r="C10209" s="9">
        <f>IFERROR(__xludf.DUMMYFUNCTION("""COMPUTED_VALUE"""),45036.9894824884)</f>
        <v>45036.98948</v>
      </c>
      <c r="D10209" s="15">
        <f>IFERROR(__xludf.DUMMYFUNCTION("""COMPUTED_VALUE"""),1.04)</f>
        <v>1.04</v>
      </c>
      <c r="E10209" s="16">
        <f>IFERROR(__xludf.DUMMYFUNCTION("""COMPUTED_VALUE"""),66.0)</f>
        <v>66</v>
      </c>
      <c r="F10209" s="19" t="str">
        <f>IFERROR(__xludf.DUMMYFUNCTION("""COMPUTED_VALUE"""),"BLACK")</f>
        <v>BLACK</v>
      </c>
      <c r="G10209" s="20" t="str">
        <f>IFERROR(__xludf.DUMMYFUNCTION("""COMPUTED_VALUE"""),"Uncle Sams Cider (04/04/2023)")</f>
        <v>Uncle Sams Cider (04/04/2023)</v>
      </c>
      <c r="H10209" s="19"/>
    </row>
    <row r="10210">
      <c r="A10210" s="9"/>
      <c r="B10210" s="15"/>
      <c r="C10210" s="9">
        <f>IFERROR(__xludf.DUMMYFUNCTION("""COMPUTED_VALUE"""),45036.9790380555)</f>
        <v>45036.97904</v>
      </c>
      <c r="D10210" s="15">
        <f>IFERROR(__xludf.DUMMYFUNCTION("""COMPUTED_VALUE"""),1.04)</f>
        <v>1.04</v>
      </c>
      <c r="E10210" s="16">
        <f>IFERROR(__xludf.DUMMYFUNCTION("""COMPUTED_VALUE"""),66.0)</f>
        <v>66</v>
      </c>
      <c r="F10210" s="19" t="str">
        <f>IFERROR(__xludf.DUMMYFUNCTION("""COMPUTED_VALUE"""),"BLACK")</f>
        <v>BLACK</v>
      </c>
      <c r="G10210" s="20" t="str">
        <f>IFERROR(__xludf.DUMMYFUNCTION("""COMPUTED_VALUE"""),"Uncle Sams Cider (04/04/2023)")</f>
        <v>Uncle Sams Cider (04/04/2023)</v>
      </c>
      <c r="H10210" s="19"/>
    </row>
    <row r="10211">
      <c r="A10211" s="9"/>
      <c r="B10211" s="15"/>
      <c r="C10211" s="9">
        <f>IFERROR(__xludf.DUMMYFUNCTION("""COMPUTED_VALUE"""),45036.9686052083)</f>
        <v>45036.96861</v>
      </c>
      <c r="D10211" s="15">
        <f>IFERROR(__xludf.DUMMYFUNCTION("""COMPUTED_VALUE"""),1.04)</f>
        <v>1.04</v>
      </c>
      <c r="E10211" s="16">
        <f>IFERROR(__xludf.DUMMYFUNCTION("""COMPUTED_VALUE"""),66.0)</f>
        <v>66</v>
      </c>
      <c r="F10211" s="19" t="str">
        <f>IFERROR(__xludf.DUMMYFUNCTION("""COMPUTED_VALUE"""),"BLACK")</f>
        <v>BLACK</v>
      </c>
      <c r="G10211" s="20" t="str">
        <f>IFERROR(__xludf.DUMMYFUNCTION("""COMPUTED_VALUE"""),"Uncle Sams Cider (04/04/2023)")</f>
        <v>Uncle Sams Cider (04/04/2023)</v>
      </c>
      <c r="H10211" s="19"/>
    </row>
    <row r="10212">
      <c r="A10212" s="9"/>
      <c r="B10212" s="15"/>
      <c r="C10212" s="9">
        <f>IFERROR(__xludf.DUMMYFUNCTION("""COMPUTED_VALUE"""),45036.9581835879)</f>
        <v>45036.95818</v>
      </c>
      <c r="D10212" s="15">
        <f>IFERROR(__xludf.DUMMYFUNCTION("""COMPUTED_VALUE"""),1.04)</f>
        <v>1.04</v>
      </c>
      <c r="E10212" s="16">
        <f>IFERROR(__xludf.DUMMYFUNCTION("""COMPUTED_VALUE"""),66.0)</f>
        <v>66</v>
      </c>
      <c r="F10212" s="19" t="str">
        <f>IFERROR(__xludf.DUMMYFUNCTION("""COMPUTED_VALUE"""),"BLACK")</f>
        <v>BLACK</v>
      </c>
      <c r="G10212" s="20" t="str">
        <f>IFERROR(__xludf.DUMMYFUNCTION("""COMPUTED_VALUE"""),"Uncle Sams Cider (04/04/2023)")</f>
        <v>Uncle Sams Cider (04/04/2023)</v>
      </c>
      <c r="H10212" s="19"/>
    </row>
    <row r="10213">
      <c r="A10213" s="9"/>
      <c r="B10213" s="15"/>
      <c r="C10213" s="9">
        <f>IFERROR(__xludf.DUMMYFUNCTION("""COMPUTED_VALUE"""),45036.947751875)</f>
        <v>45036.94775</v>
      </c>
      <c r="D10213" s="15">
        <f>IFERROR(__xludf.DUMMYFUNCTION("""COMPUTED_VALUE"""),1.04)</f>
        <v>1.04</v>
      </c>
      <c r="E10213" s="16">
        <f>IFERROR(__xludf.DUMMYFUNCTION("""COMPUTED_VALUE"""),66.0)</f>
        <v>66</v>
      </c>
      <c r="F10213" s="19" t="str">
        <f>IFERROR(__xludf.DUMMYFUNCTION("""COMPUTED_VALUE"""),"BLACK")</f>
        <v>BLACK</v>
      </c>
      <c r="G10213" s="20" t="str">
        <f>IFERROR(__xludf.DUMMYFUNCTION("""COMPUTED_VALUE"""),"Uncle Sams Cider (04/04/2023)")</f>
        <v>Uncle Sams Cider (04/04/2023)</v>
      </c>
      <c r="H10213" s="19"/>
    </row>
    <row r="10214">
      <c r="A10214" s="9"/>
      <c r="B10214" s="15"/>
      <c r="C10214" s="9">
        <f>IFERROR(__xludf.DUMMYFUNCTION("""COMPUTED_VALUE"""),45036.9373308217)</f>
        <v>45036.93733</v>
      </c>
      <c r="D10214" s="15">
        <f>IFERROR(__xludf.DUMMYFUNCTION("""COMPUTED_VALUE"""),1.04)</f>
        <v>1.04</v>
      </c>
      <c r="E10214" s="16">
        <f>IFERROR(__xludf.DUMMYFUNCTION("""COMPUTED_VALUE"""),66.0)</f>
        <v>66</v>
      </c>
      <c r="F10214" s="19" t="str">
        <f>IFERROR(__xludf.DUMMYFUNCTION("""COMPUTED_VALUE"""),"BLACK")</f>
        <v>BLACK</v>
      </c>
      <c r="G10214" s="20" t="str">
        <f>IFERROR(__xludf.DUMMYFUNCTION("""COMPUTED_VALUE"""),"Uncle Sams Cider (04/04/2023)")</f>
        <v>Uncle Sams Cider (04/04/2023)</v>
      </c>
      <c r="H10214" s="19"/>
    </row>
    <row r="10215">
      <c r="A10215" s="9"/>
      <c r="B10215" s="15"/>
      <c r="C10215" s="9">
        <f>IFERROR(__xludf.DUMMYFUNCTION("""COMPUTED_VALUE"""),45036.9269111342)</f>
        <v>45036.92691</v>
      </c>
      <c r="D10215" s="15">
        <f>IFERROR(__xludf.DUMMYFUNCTION("""COMPUTED_VALUE"""),1.04)</f>
        <v>1.04</v>
      </c>
      <c r="E10215" s="16">
        <f>IFERROR(__xludf.DUMMYFUNCTION("""COMPUTED_VALUE"""),66.0)</f>
        <v>66</v>
      </c>
      <c r="F10215" s="19" t="str">
        <f>IFERROR(__xludf.DUMMYFUNCTION("""COMPUTED_VALUE"""),"BLACK")</f>
        <v>BLACK</v>
      </c>
      <c r="G10215" s="20" t="str">
        <f>IFERROR(__xludf.DUMMYFUNCTION("""COMPUTED_VALUE"""),"Uncle Sams Cider (04/04/2023)")</f>
        <v>Uncle Sams Cider (04/04/2023)</v>
      </c>
      <c r="H10215" s="19"/>
    </row>
    <row r="10216">
      <c r="A10216" s="9"/>
      <c r="B10216" s="15"/>
      <c r="C10216" s="9">
        <f>IFERROR(__xludf.DUMMYFUNCTION("""COMPUTED_VALUE"""),45036.9164901967)</f>
        <v>45036.91649</v>
      </c>
      <c r="D10216" s="15">
        <f>IFERROR(__xludf.DUMMYFUNCTION("""COMPUTED_VALUE"""),1.04)</f>
        <v>1.04</v>
      </c>
      <c r="E10216" s="16">
        <f>IFERROR(__xludf.DUMMYFUNCTION("""COMPUTED_VALUE"""),66.0)</f>
        <v>66</v>
      </c>
      <c r="F10216" s="19" t="str">
        <f>IFERROR(__xludf.DUMMYFUNCTION("""COMPUTED_VALUE"""),"BLACK")</f>
        <v>BLACK</v>
      </c>
      <c r="G10216" s="20" t="str">
        <f>IFERROR(__xludf.DUMMYFUNCTION("""COMPUTED_VALUE"""),"Uncle Sams Cider (04/04/2023)")</f>
        <v>Uncle Sams Cider (04/04/2023)</v>
      </c>
      <c r="H10216" s="19"/>
    </row>
    <row r="10217">
      <c r="A10217" s="9"/>
      <c r="B10217" s="15"/>
      <c r="C10217" s="9">
        <f>IFERROR(__xludf.DUMMYFUNCTION("""COMPUTED_VALUE"""),45036.9060686805)</f>
        <v>45036.90607</v>
      </c>
      <c r="D10217" s="15">
        <f>IFERROR(__xludf.DUMMYFUNCTION("""COMPUTED_VALUE"""),1.04)</f>
        <v>1.04</v>
      </c>
      <c r="E10217" s="16">
        <f>IFERROR(__xludf.DUMMYFUNCTION("""COMPUTED_VALUE"""),66.0)</f>
        <v>66</v>
      </c>
      <c r="F10217" s="19" t="str">
        <f>IFERROR(__xludf.DUMMYFUNCTION("""COMPUTED_VALUE"""),"BLACK")</f>
        <v>BLACK</v>
      </c>
      <c r="G10217" s="20" t="str">
        <f>IFERROR(__xludf.DUMMYFUNCTION("""COMPUTED_VALUE"""),"Uncle Sams Cider (04/04/2023)")</f>
        <v>Uncle Sams Cider (04/04/2023)</v>
      </c>
      <c r="H10217" s="19"/>
    </row>
    <row r="10218">
      <c r="A10218" s="9"/>
      <c r="B10218" s="15"/>
      <c r="C10218" s="9">
        <f>IFERROR(__xludf.DUMMYFUNCTION("""COMPUTED_VALUE"""),45036.8956481713)</f>
        <v>45036.89565</v>
      </c>
      <c r="D10218" s="15">
        <f>IFERROR(__xludf.DUMMYFUNCTION("""COMPUTED_VALUE"""),1.04)</f>
        <v>1.04</v>
      </c>
      <c r="E10218" s="16">
        <f>IFERROR(__xludf.DUMMYFUNCTION("""COMPUTED_VALUE"""),66.0)</f>
        <v>66</v>
      </c>
      <c r="F10218" s="19" t="str">
        <f>IFERROR(__xludf.DUMMYFUNCTION("""COMPUTED_VALUE"""),"BLACK")</f>
        <v>BLACK</v>
      </c>
      <c r="G10218" s="20" t="str">
        <f>IFERROR(__xludf.DUMMYFUNCTION("""COMPUTED_VALUE"""),"Uncle Sams Cider (04/04/2023)")</f>
        <v>Uncle Sams Cider (04/04/2023)</v>
      </c>
      <c r="H10218" s="19"/>
    </row>
    <row r="10219">
      <c r="A10219" s="9"/>
      <c r="B10219" s="15"/>
      <c r="C10219" s="9">
        <f>IFERROR(__xludf.DUMMYFUNCTION("""COMPUTED_VALUE"""),45036.8852265046)</f>
        <v>45036.88523</v>
      </c>
      <c r="D10219" s="15">
        <f>IFERROR(__xludf.DUMMYFUNCTION("""COMPUTED_VALUE"""),1.04)</f>
        <v>1.04</v>
      </c>
      <c r="E10219" s="16">
        <f>IFERROR(__xludf.DUMMYFUNCTION("""COMPUTED_VALUE"""),66.0)</f>
        <v>66</v>
      </c>
      <c r="F10219" s="19" t="str">
        <f>IFERROR(__xludf.DUMMYFUNCTION("""COMPUTED_VALUE"""),"BLACK")</f>
        <v>BLACK</v>
      </c>
      <c r="G10219" s="20" t="str">
        <f>IFERROR(__xludf.DUMMYFUNCTION("""COMPUTED_VALUE"""),"Uncle Sams Cider (04/04/2023)")</f>
        <v>Uncle Sams Cider (04/04/2023)</v>
      </c>
      <c r="H10219" s="19"/>
    </row>
    <row r="10220">
      <c r="A10220" s="9"/>
      <c r="B10220" s="15"/>
      <c r="C10220" s="9">
        <f>IFERROR(__xludf.DUMMYFUNCTION("""COMPUTED_VALUE"""),45036.8747817361)</f>
        <v>45036.87478</v>
      </c>
      <c r="D10220" s="15">
        <f>IFERROR(__xludf.DUMMYFUNCTION("""COMPUTED_VALUE"""),1.04)</f>
        <v>1.04</v>
      </c>
      <c r="E10220" s="16">
        <f>IFERROR(__xludf.DUMMYFUNCTION("""COMPUTED_VALUE"""),66.0)</f>
        <v>66</v>
      </c>
      <c r="F10220" s="19" t="str">
        <f>IFERROR(__xludf.DUMMYFUNCTION("""COMPUTED_VALUE"""),"BLACK")</f>
        <v>BLACK</v>
      </c>
      <c r="G10220" s="20" t="str">
        <f>IFERROR(__xludf.DUMMYFUNCTION("""COMPUTED_VALUE"""),"Uncle Sams Cider (04/04/2023)")</f>
        <v>Uncle Sams Cider (04/04/2023)</v>
      </c>
      <c r="H10220" s="19"/>
    </row>
    <row r="10221">
      <c r="A10221" s="9"/>
      <c r="B10221" s="15"/>
      <c r="C10221" s="9">
        <f>IFERROR(__xludf.DUMMYFUNCTION("""COMPUTED_VALUE"""),45036.8643379166)</f>
        <v>45036.86434</v>
      </c>
      <c r="D10221" s="15">
        <f>IFERROR(__xludf.DUMMYFUNCTION("""COMPUTED_VALUE"""),1.04)</f>
        <v>1.04</v>
      </c>
      <c r="E10221" s="16">
        <f>IFERROR(__xludf.DUMMYFUNCTION("""COMPUTED_VALUE"""),66.0)</f>
        <v>66</v>
      </c>
      <c r="F10221" s="19" t="str">
        <f>IFERROR(__xludf.DUMMYFUNCTION("""COMPUTED_VALUE"""),"BLACK")</f>
        <v>BLACK</v>
      </c>
      <c r="G10221" s="20" t="str">
        <f>IFERROR(__xludf.DUMMYFUNCTION("""COMPUTED_VALUE"""),"Uncle Sams Cider (04/04/2023)")</f>
        <v>Uncle Sams Cider (04/04/2023)</v>
      </c>
      <c r="H10221" s="19"/>
    </row>
    <row r="10222">
      <c r="A10222" s="9"/>
      <c r="B10222" s="15"/>
      <c r="C10222" s="9">
        <f>IFERROR(__xludf.DUMMYFUNCTION("""COMPUTED_VALUE"""),45036.8539169676)</f>
        <v>45036.85392</v>
      </c>
      <c r="D10222" s="15">
        <f>IFERROR(__xludf.DUMMYFUNCTION("""COMPUTED_VALUE"""),1.04)</f>
        <v>1.04</v>
      </c>
      <c r="E10222" s="16">
        <f>IFERROR(__xludf.DUMMYFUNCTION("""COMPUTED_VALUE"""),66.0)</f>
        <v>66</v>
      </c>
      <c r="F10222" s="19" t="str">
        <f>IFERROR(__xludf.DUMMYFUNCTION("""COMPUTED_VALUE"""),"BLACK")</f>
        <v>BLACK</v>
      </c>
      <c r="G10222" s="20" t="str">
        <f>IFERROR(__xludf.DUMMYFUNCTION("""COMPUTED_VALUE"""),"Uncle Sams Cider (04/04/2023)")</f>
        <v>Uncle Sams Cider (04/04/2023)</v>
      </c>
      <c r="H10222" s="19"/>
    </row>
    <row r="10223">
      <c r="A10223" s="9"/>
      <c r="B10223" s="15"/>
      <c r="C10223" s="9">
        <f>IFERROR(__xludf.DUMMYFUNCTION("""COMPUTED_VALUE"""),45036.8434838194)</f>
        <v>45036.84348</v>
      </c>
      <c r="D10223" s="15">
        <f>IFERROR(__xludf.DUMMYFUNCTION("""COMPUTED_VALUE"""),1.04)</f>
        <v>1.04</v>
      </c>
      <c r="E10223" s="16">
        <f>IFERROR(__xludf.DUMMYFUNCTION("""COMPUTED_VALUE"""),66.0)</f>
        <v>66</v>
      </c>
      <c r="F10223" s="19" t="str">
        <f>IFERROR(__xludf.DUMMYFUNCTION("""COMPUTED_VALUE"""),"BLACK")</f>
        <v>BLACK</v>
      </c>
      <c r="G10223" s="20" t="str">
        <f>IFERROR(__xludf.DUMMYFUNCTION("""COMPUTED_VALUE"""),"Uncle Sams Cider (04/04/2023)")</f>
        <v>Uncle Sams Cider (04/04/2023)</v>
      </c>
      <c r="H10223" s="19"/>
    </row>
    <row r="10224">
      <c r="A10224" s="9"/>
      <c r="B10224" s="15"/>
      <c r="C10224" s="9">
        <f>IFERROR(__xludf.DUMMYFUNCTION("""COMPUTED_VALUE"""),45036.833063125)</f>
        <v>45036.83306</v>
      </c>
      <c r="D10224" s="15">
        <f>IFERROR(__xludf.DUMMYFUNCTION("""COMPUTED_VALUE"""),1.04)</f>
        <v>1.04</v>
      </c>
      <c r="E10224" s="16">
        <f>IFERROR(__xludf.DUMMYFUNCTION("""COMPUTED_VALUE"""),66.0)</f>
        <v>66</v>
      </c>
      <c r="F10224" s="19" t="str">
        <f>IFERROR(__xludf.DUMMYFUNCTION("""COMPUTED_VALUE"""),"BLACK")</f>
        <v>BLACK</v>
      </c>
      <c r="G10224" s="20" t="str">
        <f>IFERROR(__xludf.DUMMYFUNCTION("""COMPUTED_VALUE"""),"Uncle Sams Cider (04/04/2023)")</f>
        <v>Uncle Sams Cider (04/04/2023)</v>
      </c>
      <c r="H10224" s="19"/>
    </row>
    <row r="10225">
      <c r="A10225" s="9"/>
      <c r="B10225" s="15"/>
      <c r="C10225" s="9">
        <f>IFERROR(__xludf.DUMMYFUNCTION("""COMPUTED_VALUE"""),45036.8226423032)</f>
        <v>45036.82264</v>
      </c>
      <c r="D10225" s="15">
        <f>IFERROR(__xludf.DUMMYFUNCTION("""COMPUTED_VALUE"""),1.04)</f>
        <v>1.04</v>
      </c>
      <c r="E10225" s="16">
        <f>IFERROR(__xludf.DUMMYFUNCTION("""COMPUTED_VALUE"""),66.0)</f>
        <v>66</v>
      </c>
      <c r="F10225" s="19" t="str">
        <f>IFERROR(__xludf.DUMMYFUNCTION("""COMPUTED_VALUE"""),"BLACK")</f>
        <v>BLACK</v>
      </c>
      <c r="G10225" s="20" t="str">
        <f>IFERROR(__xludf.DUMMYFUNCTION("""COMPUTED_VALUE"""),"Uncle Sams Cider (04/04/2023)")</f>
        <v>Uncle Sams Cider (04/04/2023)</v>
      </c>
      <c r="H10225" s="19"/>
    </row>
    <row r="10226">
      <c r="A10226" s="9"/>
      <c r="B10226" s="15"/>
      <c r="C10226" s="9">
        <f>IFERROR(__xludf.DUMMYFUNCTION("""COMPUTED_VALUE"""),45036.8122093518)</f>
        <v>45036.81221</v>
      </c>
      <c r="D10226" s="15">
        <f>IFERROR(__xludf.DUMMYFUNCTION("""COMPUTED_VALUE"""),1.04)</f>
        <v>1.04</v>
      </c>
      <c r="E10226" s="16">
        <f>IFERROR(__xludf.DUMMYFUNCTION("""COMPUTED_VALUE"""),66.0)</f>
        <v>66</v>
      </c>
      <c r="F10226" s="19" t="str">
        <f>IFERROR(__xludf.DUMMYFUNCTION("""COMPUTED_VALUE"""),"BLACK")</f>
        <v>BLACK</v>
      </c>
      <c r="G10226" s="20" t="str">
        <f>IFERROR(__xludf.DUMMYFUNCTION("""COMPUTED_VALUE"""),"Uncle Sams Cider (04/04/2023)")</f>
        <v>Uncle Sams Cider (04/04/2023)</v>
      </c>
      <c r="H10226" s="19"/>
    </row>
    <row r="10227">
      <c r="A10227" s="9"/>
      <c r="B10227" s="15"/>
      <c r="C10227" s="9">
        <f>IFERROR(__xludf.DUMMYFUNCTION("""COMPUTED_VALUE"""),45036.8017893055)</f>
        <v>45036.80179</v>
      </c>
      <c r="D10227" s="15">
        <f>IFERROR(__xludf.DUMMYFUNCTION("""COMPUTED_VALUE"""),1.04)</f>
        <v>1.04</v>
      </c>
      <c r="E10227" s="16">
        <f>IFERROR(__xludf.DUMMYFUNCTION("""COMPUTED_VALUE"""),66.0)</f>
        <v>66</v>
      </c>
      <c r="F10227" s="19" t="str">
        <f>IFERROR(__xludf.DUMMYFUNCTION("""COMPUTED_VALUE"""),"BLACK")</f>
        <v>BLACK</v>
      </c>
      <c r="G10227" s="20" t="str">
        <f>IFERROR(__xludf.DUMMYFUNCTION("""COMPUTED_VALUE"""),"Uncle Sams Cider (04/04/2023)")</f>
        <v>Uncle Sams Cider (04/04/2023)</v>
      </c>
      <c r="H10227" s="19"/>
    </row>
    <row r="10228">
      <c r="A10228" s="9"/>
      <c r="B10228" s="15"/>
      <c r="C10228" s="9">
        <f>IFERROR(__xludf.DUMMYFUNCTION("""COMPUTED_VALUE"""),45036.7913576736)</f>
        <v>45036.79136</v>
      </c>
      <c r="D10228" s="15">
        <f>IFERROR(__xludf.DUMMYFUNCTION("""COMPUTED_VALUE"""),1.04)</f>
        <v>1.04</v>
      </c>
      <c r="E10228" s="16">
        <f>IFERROR(__xludf.DUMMYFUNCTION("""COMPUTED_VALUE"""),66.0)</f>
        <v>66</v>
      </c>
      <c r="F10228" s="19" t="str">
        <f>IFERROR(__xludf.DUMMYFUNCTION("""COMPUTED_VALUE"""),"BLACK")</f>
        <v>BLACK</v>
      </c>
      <c r="G10228" s="20" t="str">
        <f>IFERROR(__xludf.DUMMYFUNCTION("""COMPUTED_VALUE"""),"Uncle Sams Cider (04/04/2023)")</f>
        <v>Uncle Sams Cider (04/04/2023)</v>
      </c>
      <c r="H10228" s="19"/>
    </row>
    <row r="10229">
      <c r="A10229" s="9"/>
      <c r="B10229" s="15"/>
      <c r="C10229" s="9">
        <f>IFERROR(__xludf.DUMMYFUNCTION("""COMPUTED_VALUE"""),45036.7809357291)</f>
        <v>45036.78094</v>
      </c>
      <c r="D10229" s="15">
        <f>IFERROR(__xludf.DUMMYFUNCTION("""COMPUTED_VALUE"""),1.04)</f>
        <v>1.04</v>
      </c>
      <c r="E10229" s="16">
        <f>IFERROR(__xludf.DUMMYFUNCTION("""COMPUTED_VALUE"""),66.0)</f>
        <v>66</v>
      </c>
      <c r="F10229" s="19" t="str">
        <f>IFERROR(__xludf.DUMMYFUNCTION("""COMPUTED_VALUE"""),"BLACK")</f>
        <v>BLACK</v>
      </c>
      <c r="G10229" s="20" t="str">
        <f>IFERROR(__xludf.DUMMYFUNCTION("""COMPUTED_VALUE"""),"Uncle Sams Cider (04/04/2023)")</f>
        <v>Uncle Sams Cider (04/04/2023)</v>
      </c>
      <c r="H10229" s="19"/>
    </row>
    <row r="10230">
      <c r="A10230" s="9"/>
      <c r="B10230" s="15"/>
      <c r="C10230" s="9">
        <f>IFERROR(__xludf.DUMMYFUNCTION("""COMPUTED_VALUE"""),45036.7705029861)</f>
        <v>45036.7705</v>
      </c>
      <c r="D10230" s="15">
        <f>IFERROR(__xludf.DUMMYFUNCTION("""COMPUTED_VALUE"""),1.04)</f>
        <v>1.04</v>
      </c>
      <c r="E10230" s="16">
        <f>IFERROR(__xludf.DUMMYFUNCTION("""COMPUTED_VALUE"""),66.0)</f>
        <v>66</v>
      </c>
      <c r="F10230" s="19" t="str">
        <f>IFERROR(__xludf.DUMMYFUNCTION("""COMPUTED_VALUE"""),"BLACK")</f>
        <v>BLACK</v>
      </c>
      <c r="G10230" s="20" t="str">
        <f>IFERROR(__xludf.DUMMYFUNCTION("""COMPUTED_VALUE"""),"Uncle Sams Cider (04/04/2023)")</f>
        <v>Uncle Sams Cider (04/04/2023)</v>
      </c>
      <c r="H10230" s="19"/>
    </row>
    <row r="10231">
      <c r="A10231" s="9"/>
      <c r="B10231" s="15"/>
      <c r="C10231" s="9">
        <f>IFERROR(__xludf.DUMMYFUNCTION("""COMPUTED_VALUE"""),45036.7600691782)</f>
        <v>45036.76007</v>
      </c>
      <c r="D10231" s="15">
        <f>IFERROR(__xludf.DUMMYFUNCTION("""COMPUTED_VALUE"""),1.04)</f>
        <v>1.04</v>
      </c>
      <c r="E10231" s="16">
        <f>IFERROR(__xludf.DUMMYFUNCTION("""COMPUTED_VALUE"""),66.0)</f>
        <v>66</v>
      </c>
      <c r="F10231" s="19" t="str">
        <f>IFERROR(__xludf.DUMMYFUNCTION("""COMPUTED_VALUE"""),"BLACK")</f>
        <v>BLACK</v>
      </c>
      <c r="G10231" s="20" t="str">
        <f>IFERROR(__xludf.DUMMYFUNCTION("""COMPUTED_VALUE"""),"Uncle Sams Cider (04/04/2023)")</f>
        <v>Uncle Sams Cider (04/04/2023)</v>
      </c>
      <c r="H10231" s="19"/>
    </row>
    <row r="10232">
      <c r="A10232" s="9"/>
      <c r="B10232" s="15"/>
      <c r="C10232" s="9">
        <f>IFERROR(__xludf.DUMMYFUNCTION("""COMPUTED_VALUE"""),45036.7495882639)</f>
        <v>45036.74959</v>
      </c>
      <c r="D10232" s="15">
        <f>IFERROR(__xludf.DUMMYFUNCTION("""COMPUTED_VALUE"""),1.04)</f>
        <v>1.04</v>
      </c>
      <c r="E10232" s="16">
        <f>IFERROR(__xludf.DUMMYFUNCTION("""COMPUTED_VALUE"""),66.0)</f>
        <v>66</v>
      </c>
      <c r="F10232" s="19" t="str">
        <f>IFERROR(__xludf.DUMMYFUNCTION("""COMPUTED_VALUE"""),"BLACK")</f>
        <v>BLACK</v>
      </c>
      <c r="G10232" s="20" t="str">
        <f>IFERROR(__xludf.DUMMYFUNCTION("""COMPUTED_VALUE"""),"Uncle Sams Cider (04/04/2023)")</f>
        <v>Uncle Sams Cider (04/04/2023)</v>
      </c>
      <c r="H10232" s="19"/>
    </row>
    <row r="10233">
      <c r="A10233" s="9"/>
      <c r="B10233" s="15"/>
      <c r="C10233" s="9">
        <f>IFERROR(__xludf.DUMMYFUNCTION("""COMPUTED_VALUE"""),45036.7391455324)</f>
        <v>45036.73915</v>
      </c>
      <c r="D10233" s="15">
        <f>IFERROR(__xludf.DUMMYFUNCTION("""COMPUTED_VALUE"""),1.04)</f>
        <v>1.04</v>
      </c>
      <c r="E10233" s="16">
        <f>IFERROR(__xludf.DUMMYFUNCTION("""COMPUTED_VALUE"""),66.0)</f>
        <v>66</v>
      </c>
      <c r="F10233" s="19" t="str">
        <f>IFERROR(__xludf.DUMMYFUNCTION("""COMPUTED_VALUE"""),"BLACK")</f>
        <v>BLACK</v>
      </c>
      <c r="G10233" s="20" t="str">
        <f>IFERROR(__xludf.DUMMYFUNCTION("""COMPUTED_VALUE"""),"Uncle Sams Cider (04/04/2023)")</f>
        <v>Uncle Sams Cider (04/04/2023)</v>
      </c>
      <c r="H10233" s="19"/>
    </row>
    <row r="10234">
      <c r="A10234" s="9"/>
      <c r="B10234" s="15"/>
      <c r="C10234" s="9">
        <f>IFERROR(__xludf.DUMMYFUNCTION("""COMPUTED_VALUE"""),45036.7286888194)</f>
        <v>45036.72869</v>
      </c>
      <c r="D10234" s="15">
        <f>IFERROR(__xludf.DUMMYFUNCTION("""COMPUTED_VALUE"""),1.04)</f>
        <v>1.04</v>
      </c>
      <c r="E10234" s="16">
        <f>IFERROR(__xludf.DUMMYFUNCTION("""COMPUTED_VALUE"""),66.0)</f>
        <v>66</v>
      </c>
      <c r="F10234" s="19" t="str">
        <f>IFERROR(__xludf.DUMMYFUNCTION("""COMPUTED_VALUE"""),"BLACK")</f>
        <v>BLACK</v>
      </c>
      <c r="G10234" s="20" t="str">
        <f>IFERROR(__xludf.DUMMYFUNCTION("""COMPUTED_VALUE"""),"Uncle Sams Cider (04/04/2023)")</f>
        <v>Uncle Sams Cider (04/04/2023)</v>
      </c>
      <c r="H10234" s="19"/>
    </row>
    <row r="10235">
      <c r="A10235" s="9"/>
      <c r="B10235" s="15"/>
      <c r="C10235" s="9">
        <f>IFERROR(__xludf.DUMMYFUNCTION("""COMPUTED_VALUE"""),45036.7182676736)</f>
        <v>45036.71827</v>
      </c>
      <c r="D10235" s="15">
        <f>IFERROR(__xludf.DUMMYFUNCTION("""COMPUTED_VALUE"""),1.04)</f>
        <v>1.04</v>
      </c>
      <c r="E10235" s="16">
        <f>IFERROR(__xludf.DUMMYFUNCTION("""COMPUTED_VALUE"""),66.0)</f>
        <v>66</v>
      </c>
      <c r="F10235" s="19" t="str">
        <f>IFERROR(__xludf.DUMMYFUNCTION("""COMPUTED_VALUE"""),"BLACK")</f>
        <v>BLACK</v>
      </c>
      <c r="G10235" s="20" t="str">
        <f>IFERROR(__xludf.DUMMYFUNCTION("""COMPUTED_VALUE"""),"Uncle Sams Cider (04/04/2023)")</f>
        <v>Uncle Sams Cider (04/04/2023)</v>
      </c>
      <c r="H10235" s="19"/>
    </row>
    <row r="10236">
      <c r="A10236" s="9"/>
      <c r="B10236" s="15"/>
      <c r="C10236" s="9">
        <f>IFERROR(__xludf.DUMMYFUNCTION("""COMPUTED_VALUE"""),45036.7078245023)</f>
        <v>45036.70782</v>
      </c>
      <c r="D10236" s="15">
        <f>IFERROR(__xludf.DUMMYFUNCTION("""COMPUTED_VALUE"""),1.041)</f>
        <v>1.041</v>
      </c>
      <c r="E10236" s="16">
        <f>IFERROR(__xludf.DUMMYFUNCTION("""COMPUTED_VALUE"""),66.0)</f>
        <v>66</v>
      </c>
      <c r="F10236" s="19" t="str">
        <f>IFERROR(__xludf.DUMMYFUNCTION("""COMPUTED_VALUE"""),"BLACK")</f>
        <v>BLACK</v>
      </c>
      <c r="G10236" s="20" t="str">
        <f>IFERROR(__xludf.DUMMYFUNCTION("""COMPUTED_VALUE"""),"Uncle Sams Cider (04/04/2023)")</f>
        <v>Uncle Sams Cider (04/04/2023)</v>
      </c>
      <c r="H10236" s="19"/>
    </row>
    <row r="10237">
      <c r="A10237" s="9"/>
      <c r="B10237" s="15"/>
      <c r="C10237" s="9">
        <f>IFERROR(__xludf.DUMMYFUNCTION("""COMPUTED_VALUE"""),45036.6974010763)</f>
        <v>45036.6974</v>
      </c>
      <c r="D10237" s="15">
        <f>IFERROR(__xludf.DUMMYFUNCTION("""COMPUTED_VALUE"""),1.04)</f>
        <v>1.04</v>
      </c>
      <c r="E10237" s="16">
        <f>IFERROR(__xludf.DUMMYFUNCTION("""COMPUTED_VALUE"""),66.0)</f>
        <v>66</v>
      </c>
      <c r="F10237" s="19" t="str">
        <f>IFERROR(__xludf.DUMMYFUNCTION("""COMPUTED_VALUE"""),"BLACK")</f>
        <v>BLACK</v>
      </c>
      <c r="G10237" s="20" t="str">
        <f>IFERROR(__xludf.DUMMYFUNCTION("""COMPUTED_VALUE"""),"Uncle Sams Cider (04/04/2023)")</f>
        <v>Uncle Sams Cider (04/04/2023)</v>
      </c>
      <c r="H10237" s="19"/>
    </row>
    <row r="10238">
      <c r="A10238" s="9"/>
      <c r="B10238" s="15"/>
      <c r="C10238" s="9">
        <f>IFERROR(__xludf.DUMMYFUNCTION("""COMPUTED_VALUE"""),45036.6869566898)</f>
        <v>45036.68696</v>
      </c>
      <c r="D10238" s="15">
        <f>IFERROR(__xludf.DUMMYFUNCTION("""COMPUTED_VALUE"""),1.04)</f>
        <v>1.04</v>
      </c>
      <c r="E10238" s="16">
        <f>IFERROR(__xludf.DUMMYFUNCTION("""COMPUTED_VALUE"""),66.0)</f>
        <v>66</v>
      </c>
      <c r="F10238" s="19" t="str">
        <f>IFERROR(__xludf.DUMMYFUNCTION("""COMPUTED_VALUE"""),"BLACK")</f>
        <v>BLACK</v>
      </c>
      <c r="G10238" s="20" t="str">
        <f>IFERROR(__xludf.DUMMYFUNCTION("""COMPUTED_VALUE"""),"Uncle Sams Cider (04/04/2023)")</f>
        <v>Uncle Sams Cider (04/04/2023)</v>
      </c>
      <c r="H10238" s="19"/>
    </row>
    <row r="10239">
      <c r="A10239" s="9"/>
      <c r="B10239" s="15"/>
      <c r="C10239" s="9">
        <f>IFERROR(__xludf.DUMMYFUNCTION("""COMPUTED_VALUE"""),45036.6765119791)</f>
        <v>45036.67651</v>
      </c>
      <c r="D10239" s="15">
        <f>IFERROR(__xludf.DUMMYFUNCTION("""COMPUTED_VALUE"""),1.04)</f>
        <v>1.04</v>
      </c>
      <c r="E10239" s="16">
        <f>IFERROR(__xludf.DUMMYFUNCTION("""COMPUTED_VALUE"""),66.0)</f>
        <v>66</v>
      </c>
      <c r="F10239" s="19" t="str">
        <f>IFERROR(__xludf.DUMMYFUNCTION("""COMPUTED_VALUE"""),"BLACK")</f>
        <v>BLACK</v>
      </c>
      <c r="G10239" s="20" t="str">
        <f>IFERROR(__xludf.DUMMYFUNCTION("""COMPUTED_VALUE"""),"Uncle Sams Cider (04/04/2023)")</f>
        <v>Uncle Sams Cider (04/04/2023)</v>
      </c>
      <c r="H10239" s="19"/>
    </row>
    <row r="10240">
      <c r="A10240" s="9"/>
      <c r="B10240" s="15"/>
      <c r="C10240" s="9">
        <f>IFERROR(__xludf.DUMMYFUNCTION("""COMPUTED_VALUE"""),45036.6660895717)</f>
        <v>45036.66609</v>
      </c>
      <c r="D10240" s="15">
        <f>IFERROR(__xludf.DUMMYFUNCTION("""COMPUTED_VALUE"""),1.04)</f>
        <v>1.04</v>
      </c>
      <c r="E10240" s="16">
        <f>IFERROR(__xludf.DUMMYFUNCTION("""COMPUTED_VALUE"""),66.0)</f>
        <v>66</v>
      </c>
      <c r="F10240" s="19" t="str">
        <f>IFERROR(__xludf.DUMMYFUNCTION("""COMPUTED_VALUE"""),"BLACK")</f>
        <v>BLACK</v>
      </c>
      <c r="G10240" s="20" t="str">
        <f>IFERROR(__xludf.DUMMYFUNCTION("""COMPUTED_VALUE"""),"Uncle Sams Cider (04/04/2023)")</f>
        <v>Uncle Sams Cider (04/04/2023)</v>
      </c>
      <c r="H10240" s="19"/>
    </row>
    <row r="10241">
      <c r="A10241" s="9"/>
      <c r="B10241" s="15"/>
      <c r="C10241" s="9">
        <f>IFERROR(__xludf.DUMMYFUNCTION("""COMPUTED_VALUE"""),45036.6556685648)</f>
        <v>45036.65567</v>
      </c>
      <c r="D10241" s="15">
        <f>IFERROR(__xludf.DUMMYFUNCTION("""COMPUTED_VALUE"""),1.04)</f>
        <v>1.04</v>
      </c>
      <c r="E10241" s="16">
        <f>IFERROR(__xludf.DUMMYFUNCTION("""COMPUTED_VALUE"""),66.0)</f>
        <v>66</v>
      </c>
      <c r="F10241" s="19" t="str">
        <f>IFERROR(__xludf.DUMMYFUNCTION("""COMPUTED_VALUE"""),"BLACK")</f>
        <v>BLACK</v>
      </c>
      <c r="G10241" s="20" t="str">
        <f>IFERROR(__xludf.DUMMYFUNCTION("""COMPUTED_VALUE"""),"Uncle Sams Cider (04/04/2023)")</f>
        <v>Uncle Sams Cider (04/04/2023)</v>
      </c>
      <c r="H10241" s="19"/>
    </row>
    <row r="10242">
      <c r="A10242" s="9"/>
      <c r="B10242" s="15"/>
      <c r="C10242" s="9">
        <f>IFERROR(__xludf.DUMMYFUNCTION("""COMPUTED_VALUE"""),45036.6452468055)</f>
        <v>45036.64525</v>
      </c>
      <c r="D10242" s="15">
        <f>IFERROR(__xludf.DUMMYFUNCTION("""COMPUTED_VALUE"""),1.041)</f>
        <v>1.041</v>
      </c>
      <c r="E10242" s="16">
        <f>IFERROR(__xludf.DUMMYFUNCTION("""COMPUTED_VALUE"""),66.0)</f>
        <v>66</v>
      </c>
      <c r="F10242" s="19" t="str">
        <f>IFERROR(__xludf.DUMMYFUNCTION("""COMPUTED_VALUE"""),"BLACK")</f>
        <v>BLACK</v>
      </c>
      <c r="G10242" s="20" t="str">
        <f>IFERROR(__xludf.DUMMYFUNCTION("""COMPUTED_VALUE"""),"Uncle Sams Cider (04/04/2023)")</f>
        <v>Uncle Sams Cider (04/04/2023)</v>
      </c>
      <c r="H10242" s="19"/>
    </row>
    <row r="10243">
      <c r="A10243" s="9"/>
      <c r="B10243" s="15"/>
      <c r="C10243" s="9">
        <f>IFERROR(__xludf.DUMMYFUNCTION("""COMPUTED_VALUE"""),45036.6348255671)</f>
        <v>45036.63483</v>
      </c>
      <c r="D10243" s="15">
        <f>IFERROR(__xludf.DUMMYFUNCTION("""COMPUTED_VALUE"""),1.041)</f>
        <v>1.041</v>
      </c>
      <c r="E10243" s="16">
        <f>IFERROR(__xludf.DUMMYFUNCTION("""COMPUTED_VALUE"""),66.0)</f>
        <v>66</v>
      </c>
      <c r="F10243" s="19" t="str">
        <f>IFERROR(__xludf.DUMMYFUNCTION("""COMPUTED_VALUE"""),"BLACK")</f>
        <v>BLACK</v>
      </c>
      <c r="G10243" s="20" t="str">
        <f>IFERROR(__xludf.DUMMYFUNCTION("""COMPUTED_VALUE"""),"Uncle Sams Cider (04/04/2023)")</f>
        <v>Uncle Sams Cider (04/04/2023)</v>
      </c>
      <c r="H10243" s="19"/>
    </row>
    <row r="10244">
      <c r="A10244" s="9"/>
      <c r="B10244" s="15"/>
      <c r="C10244" s="9">
        <f>IFERROR(__xludf.DUMMYFUNCTION("""COMPUTED_VALUE"""),45036.624390787)</f>
        <v>45036.62439</v>
      </c>
      <c r="D10244" s="15">
        <f>IFERROR(__xludf.DUMMYFUNCTION("""COMPUTED_VALUE"""),1.041)</f>
        <v>1.041</v>
      </c>
      <c r="E10244" s="16">
        <f>IFERROR(__xludf.DUMMYFUNCTION("""COMPUTED_VALUE"""),66.0)</f>
        <v>66</v>
      </c>
      <c r="F10244" s="19" t="str">
        <f>IFERROR(__xludf.DUMMYFUNCTION("""COMPUTED_VALUE"""),"BLACK")</f>
        <v>BLACK</v>
      </c>
      <c r="G10244" s="20" t="str">
        <f>IFERROR(__xludf.DUMMYFUNCTION("""COMPUTED_VALUE"""),"Uncle Sams Cider (04/04/2023)")</f>
        <v>Uncle Sams Cider (04/04/2023)</v>
      </c>
      <c r="H10244" s="19"/>
    </row>
    <row r="10245">
      <c r="A10245" s="9"/>
      <c r="B10245" s="15"/>
      <c r="C10245" s="9">
        <f>IFERROR(__xludf.DUMMYFUNCTION("""COMPUTED_VALUE"""),45036.6139564699)</f>
        <v>45036.61396</v>
      </c>
      <c r="D10245" s="15">
        <f>IFERROR(__xludf.DUMMYFUNCTION("""COMPUTED_VALUE"""),1.041)</f>
        <v>1.041</v>
      </c>
      <c r="E10245" s="16">
        <f>IFERROR(__xludf.DUMMYFUNCTION("""COMPUTED_VALUE"""),66.0)</f>
        <v>66</v>
      </c>
      <c r="F10245" s="19" t="str">
        <f>IFERROR(__xludf.DUMMYFUNCTION("""COMPUTED_VALUE"""),"BLACK")</f>
        <v>BLACK</v>
      </c>
      <c r="G10245" s="20" t="str">
        <f>IFERROR(__xludf.DUMMYFUNCTION("""COMPUTED_VALUE"""),"Uncle Sams Cider (04/04/2023)")</f>
        <v>Uncle Sams Cider (04/04/2023)</v>
      </c>
      <c r="H10245" s="19"/>
    </row>
    <row r="10246">
      <c r="A10246" s="9"/>
      <c r="B10246" s="15"/>
      <c r="C10246" s="9">
        <f>IFERROR(__xludf.DUMMYFUNCTION("""COMPUTED_VALUE"""),45036.6035227314)</f>
        <v>45036.60352</v>
      </c>
      <c r="D10246" s="15">
        <f>IFERROR(__xludf.DUMMYFUNCTION("""COMPUTED_VALUE"""),1.041)</f>
        <v>1.041</v>
      </c>
      <c r="E10246" s="16">
        <f>IFERROR(__xludf.DUMMYFUNCTION("""COMPUTED_VALUE"""),66.0)</f>
        <v>66</v>
      </c>
      <c r="F10246" s="19" t="str">
        <f>IFERROR(__xludf.DUMMYFUNCTION("""COMPUTED_VALUE"""),"BLACK")</f>
        <v>BLACK</v>
      </c>
      <c r="G10246" s="20" t="str">
        <f>IFERROR(__xludf.DUMMYFUNCTION("""COMPUTED_VALUE"""),"Uncle Sams Cider (04/04/2023)")</f>
        <v>Uncle Sams Cider (04/04/2023)</v>
      </c>
      <c r="H10246" s="19"/>
    </row>
    <row r="10247">
      <c r="A10247" s="9"/>
      <c r="B10247" s="15"/>
      <c r="C10247" s="9">
        <f>IFERROR(__xludf.DUMMYFUNCTION("""COMPUTED_VALUE"""),45036.5931012963)</f>
        <v>45036.5931</v>
      </c>
      <c r="D10247" s="15">
        <f>IFERROR(__xludf.DUMMYFUNCTION("""COMPUTED_VALUE"""),1.041)</f>
        <v>1.041</v>
      </c>
      <c r="E10247" s="16">
        <f>IFERROR(__xludf.DUMMYFUNCTION("""COMPUTED_VALUE"""),66.0)</f>
        <v>66</v>
      </c>
      <c r="F10247" s="19" t="str">
        <f>IFERROR(__xludf.DUMMYFUNCTION("""COMPUTED_VALUE"""),"BLACK")</f>
        <v>BLACK</v>
      </c>
      <c r="G10247" s="20" t="str">
        <f>IFERROR(__xludf.DUMMYFUNCTION("""COMPUTED_VALUE"""),"Uncle Sams Cider (04/04/2023)")</f>
        <v>Uncle Sams Cider (04/04/2023)</v>
      </c>
      <c r="H10247" s="19"/>
    </row>
    <row r="10248">
      <c r="A10248" s="9"/>
      <c r="B10248" s="15"/>
      <c r="C10248" s="9">
        <f>IFERROR(__xludf.DUMMYFUNCTION("""COMPUTED_VALUE"""),45036.5826803587)</f>
        <v>45036.58268</v>
      </c>
      <c r="D10248" s="15">
        <f>IFERROR(__xludf.DUMMYFUNCTION("""COMPUTED_VALUE"""),1.041)</f>
        <v>1.041</v>
      </c>
      <c r="E10248" s="16">
        <f>IFERROR(__xludf.DUMMYFUNCTION("""COMPUTED_VALUE"""),66.0)</f>
        <v>66</v>
      </c>
      <c r="F10248" s="19" t="str">
        <f>IFERROR(__xludf.DUMMYFUNCTION("""COMPUTED_VALUE"""),"BLACK")</f>
        <v>BLACK</v>
      </c>
      <c r="G10248" s="20" t="str">
        <f>IFERROR(__xludf.DUMMYFUNCTION("""COMPUTED_VALUE"""),"Uncle Sams Cider (04/04/2023)")</f>
        <v>Uncle Sams Cider (04/04/2023)</v>
      </c>
      <c r="H10248" s="19"/>
    </row>
    <row r="10249">
      <c r="A10249" s="9"/>
      <c r="B10249" s="15"/>
      <c r="C10249" s="9">
        <f>IFERROR(__xludf.DUMMYFUNCTION("""COMPUTED_VALUE"""),45036.5722606134)</f>
        <v>45036.57226</v>
      </c>
      <c r="D10249" s="15">
        <f>IFERROR(__xludf.DUMMYFUNCTION("""COMPUTED_VALUE"""),1.041)</f>
        <v>1.041</v>
      </c>
      <c r="E10249" s="16">
        <f>IFERROR(__xludf.DUMMYFUNCTION("""COMPUTED_VALUE"""),66.0)</f>
        <v>66</v>
      </c>
      <c r="F10249" s="19" t="str">
        <f>IFERROR(__xludf.DUMMYFUNCTION("""COMPUTED_VALUE"""),"BLACK")</f>
        <v>BLACK</v>
      </c>
      <c r="G10249" s="20" t="str">
        <f>IFERROR(__xludf.DUMMYFUNCTION("""COMPUTED_VALUE"""),"Uncle Sams Cider (04/04/2023)")</f>
        <v>Uncle Sams Cider (04/04/2023)</v>
      </c>
      <c r="H10249" s="19"/>
    </row>
    <row r="10250">
      <c r="A10250" s="9"/>
      <c r="B10250" s="15"/>
      <c r="C10250" s="9">
        <f>IFERROR(__xludf.DUMMYFUNCTION("""COMPUTED_VALUE"""),45036.5618404976)</f>
        <v>45036.56184</v>
      </c>
      <c r="D10250" s="15">
        <f>IFERROR(__xludf.DUMMYFUNCTION("""COMPUTED_VALUE"""),1.041)</f>
        <v>1.041</v>
      </c>
      <c r="E10250" s="16">
        <f>IFERROR(__xludf.DUMMYFUNCTION("""COMPUTED_VALUE"""),66.0)</f>
        <v>66</v>
      </c>
      <c r="F10250" s="19" t="str">
        <f>IFERROR(__xludf.DUMMYFUNCTION("""COMPUTED_VALUE"""),"BLACK")</f>
        <v>BLACK</v>
      </c>
      <c r="G10250" s="20" t="str">
        <f>IFERROR(__xludf.DUMMYFUNCTION("""COMPUTED_VALUE"""),"Uncle Sams Cider (04/04/2023)")</f>
        <v>Uncle Sams Cider (04/04/2023)</v>
      </c>
      <c r="H10250" s="19"/>
    </row>
    <row r="10251">
      <c r="A10251" s="9"/>
      <c r="B10251" s="15"/>
      <c r="C10251" s="9">
        <f>IFERROR(__xludf.DUMMYFUNCTION("""COMPUTED_VALUE"""),45036.551419537)</f>
        <v>45036.55142</v>
      </c>
      <c r="D10251" s="15">
        <f>IFERROR(__xludf.DUMMYFUNCTION("""COMPUTED_VALUE"""),1.041)</f>
        <v>1.041</v>
      </c>
      <c r="E10251" s="16">
        <f>IFERROR(__xludf.DUMMYFUNCTION("""COMPUTED_VALUE"""),66.0)</f>
        <v>66</v>
      </c>
      <c r="F10251" s="19" t="str">
        <f>IFERROR(__xludf.DUMMYFUNCTION("""COMPUTED_VALUE"""),"BLACK")</f>
        <v>BLACK</v>
      </c>
      <c r="G10251" s="20" t="str">
        <f>IFERROR(__xludf.DUMMYFUNCTION("""COMPUTED_VALUE"""),"Uncle Sams Cider (04/04/2023)")</f>
        <v>Uncle Sams Cider (04/04/2023)</v>
      </c>
      <c r="H10251" s="19"/>
    </row>
    <row r="10252">
      <c r="A10252" s="9"/>
      <c r="B10252" s="15"/>
      <c r="C10252" s="9">
        <f>IFERROR(__xludf.DUMMYFUNCTION("""COMPUTED_VALUE"""),45036.5409998263)</f>
        <v>45036.541</v>
      </c>
      <c r="D10252" s="15">
        <f>IFERROR(__xludf.DUMMYFUNCTION("""COMPUTED_VALUE"""),1.04)</f>
        <v>1.04</v>
      </c>
      <c r="E10252" s="16">
        <f>IFERROR(__xludf.DUMMYFUNCTION("""COMPUTED_VALUE"""),66.0)</f>
        <v>66</v>
      </c>
      <c r="F10252" s="19" t="str">
        <f>IFERROR(__xludf.DUMMYFUNCTION("""COMPUTED_VALUE"""),"BLACK")</f>
        <v>BLACK</v>
      </c>
      <c r="G10252" s="20" t="str">
        <f>IFERROR(__xludf.DUMMYFUNCTION("""COMPUTED_VALUE"""),"Uncle Sams Cider (04/04/2023)")</f>
        <v>Uncle Sams Cider (04/04/2023)</v>
      </c>
      <c r="H10252" s="19"/>
    </row>
    <row r="10253">
      <c r="A10253" s="9"/>
      <c r="B10253" s="15"/>
      <c r="C10253" s="9">
        <f>IFERROR(__xludf.DUMMYFUNCTION("""COMPUTED_VALUE"""),45036.5305769791)</f>
        <v>45036.53058</v>
      </c>
      <c r="D10253" s="15">
        <f>IFERROR(__xludf.DUMMYFUNCTION("""COMPUTED_VALUE"""),1.041)</f>
        <v>1.041</v>
      </c>
      <c r="E10253" s="16">
        <f>IFERROR(__xludf.DUMMYFUNCTION("""COMPUTED_VALUE"""),67.0)</f>
        <v>67</v>
      </c>
      <c r="F10253" s="19" t="str">
        <f>IFERROR(__xludf.DUMMYFUNCTION("""COMPUTED_VALUE"""),"BLACK")</f>
        <v>BLACK</v>
      </c>
      <c r="G10253" s="20" t="str">
        <f>IFERROR(__xludf.DUMMYFUNCTION("""COMPUTED_VALUE"""),"Uncle Sams Cider (04/04/2023)")</f>
        <v>Uncle Sams Cider (04/04/2023)</v>
      </c>
      <c r="H10253" s="19"/>
    </row>
    <row r="10254">
      <c r="A10254" s="9"/>
      <c r="B10254" s="15"/>
      <c r="C10254" s="9">
        <f>IFERROR(__xludf.DUMMYFUNCTION("""COMPUTED_VALUE"""),45036.5201448032)</f>
        <v>45036.52014</v>
      </c>
      <c r="D10254" s="15">
        <f>IFERROR(__xludf.DUMMYFUNCTION("""COMPUTED_VALUE"""),1.041)</f>
        <v>1.041</v>
      </c>
      <c r="E10254" s="16">
        <f>IFERROR(__xludf.DUMMYFUNCTION("""COMPUTED_VALUE"""),66.0)</f>
        <v>66</v>
      </c>
      <c r="F10254" s="19" t="str">
        <f>IFERROR(__xludf.DUMMYFUNCTION("""COMPUTED_VALUE"""),"BLACK")</f>
        <v>BLACK</v>
      </c>
      <c r="G10254" s="20" t="str">
        <f>IFERROR(__xludf.DUMMYFUNCTION("""COMPUTED_VALUE"""),"Uncle Sams Cider (04/04/2023)")</f>
        <v>Uncle Sams Cider (04/04/2023)</v>
      </c>
      <c r="H10254" s="19"/>
    </row>
    <row r="10255">
      <c r="A10255" s="9"/>
      <c r="B10255" s="15"/>
      <c r="C10255" s="9">
        <f>IFERROR(__xludf.DUMMYFUNCTION("""COMPUTED_VALUE"""),45036.5097112731)</f>
        <v>45036.50971</v>
      </c>
      <c r="D10255" s="15">
        <f>IFERROR(__xludf.DUMMYFUNCTION("""COMPUTED_VALUE"""),1.041)</f>
        <v>1.041</v>
      </c>
      <c r="E10255" s="16">
        <f>IFERROR(__xludf.DUMMYFUNCTION("""COMPUTED_VALUE"""),66.0)</f>
        <v>66</v>
      </c>
      <c r="F10255" s="19" t="str">
        <f>IFERROR(__xludf.DUMMYFUNCTION("""COMPUTED_VALUE"""),"BLACK")</f>
        <v>BLACK</v>
      </c>
      <c r="G10255" s="20" t="str">
        <f>IFERROR(__xludf.DUMMYFUNCTION("""COMPUTED_VALUE"""),"Uncle Sams Cider (04/04/2023)")</f>
        <v>Uncle Sams Cider (04/04/2023)</v>
      </c>
      <c r="H10255" s="19"/>
    </row>
    <row r="10256">
      <c r="A10256" s="9"/>
      <c r="B10256" s="15"/>
      <c r="C10256" s="9">
        <f>IFERROR(__xludf.DUMMYFUNCTION("""COMPUTED_VALUE"""),45036.4992890972)</f>
        <v>45036.49929</v>
      </c>
      <c r="D10256" s="15">
        <f>IFERROR(__xludf.DUMMYFUNCTION("""COMPUTED_VALUE"""),1.041)</f>
        <v>1.041</v>
      </c>
      <c r="E10256" s="16">
        <f>IFERROR(__xludf.DUMMYFUNCTION("""COMPUTED_VALUE"""),67.0)</f>
        <v>67</v>
      </c>
      <c r="F10256" s="19" t="str">
        <f>IFERROR(__xludf.DUMMYFUNCTION("""COMPUTED_VALUE"""),"BLACK")</f>
        <v>BLACK</v>
      </c>
      <c r="G10256" s="20" t="str">
        <f>IFERROR(__xludf.DUMMYFUNCTION("""COMPUTED_VALUE"""),"Uncle Sams Cider (04/04/2023)")</f>
        <v>Uncle Sams Cider (04/04/2023)</v>
      </c>
      <c r="H10256" s="19"/>
    </row>
    <row r="10257">
      <c r="A10257" s="9"/>
      <c r="B10257" s="15"/>
      <c r="C10257" s="9">
        <f>IFERROR(__xludf.DUMMYFUNCTION("""COMPUTED_VALUE"""),45036.488868206)</f>
        <v>45036.48887</v>
      </c>
      <c r="D10257" s="15">
        <f>IFERROR(__xludf.DUMMYFUNCTION("""COMPUTED_VALUE"""),1.041)</f>
        <v>1.041</v>
      </c>
      <c r="E10257" s="16">
        <f>IFERROR(__xludf.DUMMYFUNCTION("""COMPUTED_VALUE"""),66.0)</f>
        <v>66</v>
      </c>
      <c r="F10257" s="19" t="str">
        <f>IFERROR(__xludf.DUMMYFUNCTION("""COMPUTED_VALUE"""),"BLACK")</f>
        <v>BLACK</v>
      </c>
      <c r="G10257" s="20" t="str">
        <f>IFERROR(__xludf.DUMMYFUNCTION("""COMPUTED_VALUE"""),"Uncle Sams Cider (04/04/2023)")</f>
        <v>Uncle Sams Cider (04/04/2023)</v>
      </c>
      <c r="H10257" s="19"/>
    </row>
    <row r="10258">
      <c r="A10258" s="9"/>
      <c r="B10258" s="15"/>
      <c r="C10258" s="9">
        <f>IFERROR(__xludf.DUMMYFUNCTION("""COMPUTED_VALUE"""),45036.4784375578)</f>
        <v>45036.47844</v>
      </c>
      <c r="D10258" s="15">
        <f>IFERROR(__xludf.DUMMYFUNCTION("""COMPUTED_VALUE"""),1.041)</f>
        <v>1.041</v>
      </c>
      <c r="E10258" s="16">
        <f>IFERROR(__xludf.DUMMYFUNCTION("""COMPUTED_VALUE"""),67.0)</f>
        <v>67</v>
      </c>
      <c r="F10258" s="19" t="str">
        <f>IFERROR(__xludf.DUMMYFUNCTION("""COMPUTED_VALUE"""),"BLACK")</f>
        <v>BLACK</v>
      </c>
      <c r="G10258" s="20" t="str">
        <f>IFERROR(__xludf.DUMMYFUNCTION("""COMPUTED_VALUE"""),"Uncle Sams Cider (04/04/2023)")</f>
        <v>Uncle Sams Cider (04/04/2023)</v>
      </c>
      <c r="H10258" s="19"/>
    </row>
    <row r="10259">
      <c r="A10259" s="9"/>
      <c r="B10259" s="15"/>
      <c r="C10259" s="9">
        <f>IFERROR(__xludf.DUMMYFUNCTION("""COMPUTED_VALUE"""),45036.4680172338)</f>
        <v>45036.46802</v>
      </c>
      <c r="D10259" s="15">
        <f>IFERROR(__xludf.DUMMYFUNCTION("""COMPUTED_VALUE"""),1.041)</f>
        <v>1.041</v>
      </c>
      <c r="E10259" s="16">
        <f>IFERROR(__xludf.DUMMYFUNCTION("""COMPUTED_VALUE"""),67.0)</f>
        <v>67</v>
      </c>
      <c r="F10259" s="19" t="str">
        <f>IFERROR(__xludf.DUMMYFUNCTION("""COMPUTED_VALUE"""),"BLACK")</f>
        <v>BLACK</v>
      </c>
      <c r="G10259" s="20" t="str">
        <f>IFERROR(__xludf.DUMMYFUNCTION("""COMPUTED_VALUE"""),"Uncle Sams Cider (04/04/2023)")</f>
        <v>Uncle Sams Cider (04/04/2023)</v>
      </c>
      <c r="H10259" s="19"/>
    </row>
    <row r="10260">
      <c r="A10260" s="9"/>
      <c r="B10260" s="15"/>
      <c r="C10260" s="9">
        <f>IFERROR(__xludf.DUMMYFUNCTION("""COMPUTED_VALUE"""),45036.4575858796)</f>
        <v>45036.45759</v>
      </c>
      <c r="D10260" s="15">
        <f>IFERROR(__xludf.DUMMYFUNCTION("""COMPUTED_VALUE"""),1.041)</f>
        <v>1.041</v>
      </c>
      <c r="E10260" s="16">
        <f>IFERROR(__xludf.DUMMYFUNCTION("""COMPUTED_VALUE"""),67.0)</f>
        <v>67</v>
      </c>
      <c r="F10260" s="19" t="str">
        <f>IFERROR(__xludf.DUMMYFUNCTION("""COMPUTED_VALUE"""),"BLACK")</f>
        <v>BLACK</v>
      </c>
      <c r="G10260" s="20" t="str">
        <f>IFERROR(__xludf.DUMMYFUNCTION("""COMPUTED_VALUE"""),"Uncle Sams Cider (04/04/2023)")</f>
        <v>Uncle Sams Cider (04/04/2023)</v>
      </c>
      <c r="H10260" s="19"/>
    </row>
    <row r="10261">
      <c r="A10261" s="9"/>
      <c r="B10261" s="15"/>
      <c r="C10261" s="9">
        <f>IFERROR(__xludf.DUMMYFUNCTION("""COMPUTED_VALUE"""),45036.4471652777)</f>
        <v>45036.44717</v>
      </c>
      <c r="D10261" s="15">
        <f>IFERROR(__xludf.DUMMYFUNCTION("""COMPUTED_VALUE"""),1.041)</f>
        <v>1.041</v>
      </c>
      <c r="E10261" s="16">
        <f>IFERROR(__xludf.DUMMYFUNCTION("""COMPUTED_VALUE"""),67.0)</f>
        <v>67</v>
      </c>
      <c r="F10261" s="19" t="str">
        <f>IFERROR(__xludf.DUMMYFUNCTION("""COMPUTED_VALUE"""),"BLACK")</f>
        <v>BLACK</v>
      </c>
      <c r="G10261" s="20" t="str">
        <f>IFERROR(__xludf.DUMMYFUNCTION("""COMPUTED_VALUE"""),"Uncle Sams Cider (04/04/2023)")</f>
        <v>Uncle Sams Cider (04/04/2023)</v>
      </c>
      <c r="H10261" s="19"/>
    </row>
    <row r="10262">
      <c r="A10262" s="9"/>
      <c r="B10262" s="15"/>
      <c r="C10262" s="9">
        <f>IFERROR(__xludf.DUMMYFUNCTION("""COMPUTED_VALUE"""),45036.436731331)</f>
        <v>45036.43673</v>
      </c>
      <c r="D10262" s="15">
        <f>IFERROR(__xludf.DUMMYFUNCTION("""COMPUTED_VALUE"""),1.041)</f>
        <v>1.041</v>
      </c>
      <c r="E10262" s="16">
        <f>IFERROR(__xludf.DUMMYFUNCTION("""COMPUTED_VALUE"""),67.0)</f>
        <v>67</v>
      </c>
      <c r="F10262" s="19" t="str">
        <f>IFERROR(__xludf.DUMMYFUNCTION("""COMPUTED_VALUE"""),"BLACK")</f>
        <v>BLACK</v>
      </c>
      <c r="G10262" s="20" t="str">
        <f>IFERROR(__xludf.DUMMYFUNCTION("""COMPUTED_VALUE"""),"Uncle Sams Cider (04/04/2023)")</f>
        <v>Uncle Sams Cider (04/04/2023)</v>
      </c>
      <c r="H10262" s="19"/>
    </row>
    <row r="10263">
      <c r="A10263" s="9"/>
      <c r="B10263" s="15"/>
      <c r="C10263" s="9">
        <f>IFERROR(__xludf.DUMMYFUNCTION("""COMPUTED_VALUE"""),45036.4263080092)</f>
        <v>45036.42631</v>
      </c>
      <c r="D10263" s="15">
        <f>IFERROR(__xludf.DUMMYFUNCTION("""COMPUTED_VALUE"""),1.041)</f>
        <v>1.041</v>
      </c>
      <c r="E10263" s="16">
        <f>IFERROR(__xludf.DUMMYFUNCTION("""COMPUTED_VALUE"""),67.0)</f>
        <v>67</v>
      </c>
      <c r="F10263" s="19" t="str">
        <f>IFERROR(__xludf.DUMMYFUNCTION("""COMPUTED_VALUE"""),"BLACK")</f>
        <v>BLACK</v>
      </c>
      <c r="G10263" s="20" t="str">
        <f>IFERROR(__xludf.DUMMYFUNCTION("""COMPUTED_VALUE"""),"Uncle Sams Cider (04/04/2023)")</f>
        <v>Uncle Sams Cider (04/04/2023)</v>
      </c>
      <c r="H10263" s="19"/>
    </row>
    <row r="10264">
      <c r="A10264" s="9"/>
      <c r="B10264" s="15"/>
      <c r="C10264" s="9">
        <f>IFERROR(__xludf.DUMMYFUNCTION("""COMPUTED_VALUE"""),45036.4158867129)</f>
        <v>45036.41589</v>
      </c>
      <c r="D10264" s="15">
        <f>IFERROR(__xludf.DUMMYFUNCTION("""COMPUTED_VALUE"""),1.041)</f>
        <v>1.041</v>
      </c>
      <c r="E10264" s="16">
        <f>IFERROR(__xludf.DUMMYFUNCTION("""COMPUTED_VALUE"""),67.0)</f>
        <v>67</v>
      </c>
      <c r="F10264" s="19" t="str">
        <f>IFERROR(__xludf.DUMMYFUNCTION("""COMPUTED_VALUE"""),"BLACK")</f>
        <v>BLACK</v>
      </c>
      <c r="G10264" s="20" t="str">
        <f>IFERROR(__xludf.DUMMYFUNCTION("""COMPUTED_VALUE"""),"Uncle Sams Cider (04/04/2023)")</f>
        <v>Uncle Sams Cider (04/04/2023)</v>
      </c>
      <c r="H10264" s="19"/>
    </row>
    <row r="10265">
      <c r="A10265" s="9"/>
      <c r="B10265" s="15"/>
      <c r="C10265" s="9">
        <f>IFERROR(__xludf.DUMMYFUNCTION("""COMPUTED_VALUE"""),45036.4054653125)</f>
        <v>45036.40547</v>
      </c>
      <c r="D10265" s="15">
        <f>IFERROR(__xludf.DUMMYFUNCTION("""COMPUTED_VALUE"""),1.041)</f>
        <v>1.041</v>
      </c>
      <c r="E10265" s="16">
        <f>IFERROR(__xludf.DUMMYFUNCTION("""COMPUTED_VALUE"""),66.0)</f>
        <v>66</v>
      </c>
      <c r="F10265" s="19" t="str">
        <f>IFERROR(__xludf.DUMMYFUNCTION("""COMPUTED_VALUE"""),"BLACK")</f>
        <v>BLACK</v>
      </c>
      <c r="G10265" s="20" t="str">
        <f>IFERROR(__xludf.DUMMYFUNCTION("""COMPUTED_VALUE"""),"Uncle Sams Cider (04/04/2023)")</f>
        <v>Uncle Sams Cider (04/04/2023)</v>
      </c>
      <c r="H10265" s="19"/>
    </row>
    <row r="10266">
      <c r="A10266" s="9"/>
      <c r="B10266" s="15"/>
      <c r="C10266" s="9">
        <f>IFERROR(__xludf.DUMMYFUNCTION("""COMPUTED_VALUE"""),45036.3950439351)</f>
        <v>45036.39504</v>
      </c>
      <c r="D10266" s="15">
        <f>IFERROR(__xludf.DUMMYFUNCTION("""COMPUTED_VALUE"""),1.041)</f>
        <v>1.041</v>
      </c>
      <c r="E10266" s="16">
        <f>IFERROR(__xludf.DUMMYFUNCTION("""COMPUTED_VALUE"""),67.0)</f>
        <v>67</v>
      </c>
      <c r="F10266" s="19" t="str">
        <f>IFERROR(__xludf.DUMMYFUNCTION("""COMPUTED_VALUE"""),"BLACK")</f>
        <v>BLACK</v>
      </c>
      <c r="G10266" s="20" t="str">
        <f>IFERROR(__xludf.DUMMYFUNCTION("""COMPUTED_VALUE"""),"Uncle Sams Cider (04/04/2023)")</f>
        <v>Uncle Sams Cider (04/04/2023)</v>
      </c>
      <c r="H10266" s="19"/>
    </row>
    <row r="10267">
      <c r="A10267" s="9"/>
      <c r="B10267" s="15"/>
      <c r="C10267" s="9">
        <f>IFERROR(__xludf.DUMMYFUNCTION("""COMPUTED_VALUE"""),45036.3846220717)</f>
        <v>45036.38462</v>
      </c>
      <c r="D10267" s="15">
        <f>IFERROR(__xludf.DUMMYFUNCTION("""COMPUTED_VALUE"""),1.041)</f>
        <v>1.041</v>
      </c>
      <c r="E10267" s="16">
        <f>IFERROR(__xludf.DUMMYFUNCTION("""COMPUTED_VALUE"""),67.0)</f>
        <v>67</v>
      </c>
      <c r="F10267" s="19" t="str">
        <f>IFERROR(__xludf.DUMMYFUNCTION("""COMPUTED_VALUE"""),"BLACK")</f>
        <v>BLACK</v>
      </c>
      <c r="G10267" s="20" t="str">
        <f>IFERROR(__xludf.DUMMYFUNCTION("""COMPUTED_VALUE"""),"Uncle Sams Cider (04/04/2023)")</f>
        <v>Uncle Sams Cider (04/04/2023)</v>
      </c>
      <c r="H10267" s="19"/>
    </row>
    <row r="10268">
      <c r="A10268" s="9"/>
      <c r="B10268" s="15"/>
      <c r="C10268" s="9">
        <f>IFERROR(__xludf.DUMMYFUNCTION("""COMPUTED_VALUE"""),45036.3741889583)</f>
        <v>45036.37419</v>
      </c>
      <c r="D10268" s="15">
        <f>IFERROR(__xludf.DUMMYFUNCTION("""COMPUTED_VALUE"""),1.041)</f>
        <v>1.041</v>
      </c>
      <c r="E10268" s="16">
        <f>IFERROR(__xludf.DUMMYFUNCTION("""COMPUTED_VALUE"""),67.0)</f>
        <v>67</v>
      </c>
      <c r="F10268" s="19" t="str">
        <f>IFERROR(__xludf.DUMMYFUNCTION("""COMPUTED_VALUE"""),"BLACK")</f>
        <v>BLACK</v>
      </c>
      <c r="G10268" s="20" t="str">
        <f>IFERROR(__xludf.DUMMYFUNCTION("""COMPUTED_VALUE"""),"Uncle Sams Cider (04/04/2023)")</f>
        <v>Uncle Sams Cider (04/04/2023)</v>
      </c>
      <c r="H10268" s="19"/>
    </row>
    <row r="10269">
      <c r="A10269" s="9"/>
      <c r="B10269" s="15"/>
      <c r="C10269" s="9">
        <f>IFERROR(__xludf.DUMMYFUNCTION("""COMPUTED_VALUE"""),45036.3637685069)</f>
        <v>45036.36377</v>
      </c>
      <c r="D10269" s="15">
        <f>IFERROR(__xludf.DUMMYFUNCTION("""COMPUTED_VALUE"""),1.041)</f>
        <v>1.041</v>
      </c>
      <c r="E10269" s="16">
        <f>IFERROR(__xludf.DUMMYFUNCTION("""COMPUTED_VALUE"""),67.0)</f>
        <v>67</v>
      </c>
      <c r="F10269" s="19" t="str">
        <f>IFERROR(__xludf.DUMMYFUNCTION("""COMPUTED_VALUE"""),"BLACK")</f>
        <v>BLACK</v>
      </c>
      <c r="G10269" s="20" t="str">
        <f>IFERROR(__xludf.DUMMYFUNCTION("""COMPUTED_VALUE"""),"Uncle Sams Cider (04/04/2023)")</f>
        <v>Uncle Sams Cider (04/04/2023)</v>
      </c>
      <c r="H10269" s="19"/>
    </row>
    <row r="10270">
      <c r="A10270" s="9"/>
      <c r="B10270" s="15"/>
      <c r="C10270" s="9">
        <f>IFERROR(__xludf.DUMMYFUNCTION("""COMPUTED_VALUE"""),45036.3533467939)</f>
        <v>45036.35335</v>
      </c>
      <c r="D10270" s="15">
        <f>IFERROR(__xludf.DUMMYFUNCTION("""COMPUTED_VALUE"""),1.041)</f>
        <v>1.041</v>
      </c>
      <c r="E10270" s="16">
        <f>IFERROR(__xludf.DUMMYFUNCTION("""COMPUTED_VALUE"""),67.0)</f>
        <v>67</v>
      </c>
      <c r="F10270" s="19" t="str">
        <f>IFERROR(__xludf.DUMMYFUNCTION("""COMPUTED_VALUE"""),"BLACK")</f>
        <v>BLACK</v>
      </c>
      <c r="G10270" s="20" t="str">
        <f>IFERROR(__xludf.DUMMYFUNCTION("""COMPUTED_VALUE"""),"Uncle Sams Cider (04/04/2023)")</f>
        <v>Uncle Sams Cider (04/04/2023)</v>
      </c>
      <c r="H10270" s="19"/>
    </row>
    <row r="10271">
      <c r="A10271" s="9"/>
      <c r="B10271" s="15"/>
      <c r="C10271" s="9">
        <f>IFERROR(__xludf.DUMMYFUNCTION("""COMPUTED_VALUE"""),45036.3429253472)</f>
        <v>45036.34293</v>
      </c>
      <c r="D10271" s="15">
        <f>IFERROR(__xludf.DUMMYFUNCTION("""COMPUTED_VALUE"""),1.041)</f>
        <v>1.041</v>
      </c>
      <c r="E10271" s="16">
        <f>IFERROR(__xludf.DUMMYFUNCTION("""COMPUTED_VALUE"""),67.0)</f>
        <v>67</v>
      </c>
      <c r="F10271" s="19" t="str">
        <f>IFERROR(__xludf.DUMMYFUNCTION("""COMPUTED_VALUE"""),"BLACK")</f>
        <v>BLACK</v>
      </c>
      <c r="G10271" s="20" t="str">
        <f>IFERROR(__xludf.DUMMYFUNCTION("""COMPUTED_VALUE"""),"Uncle Sams Cider (04/04/2023)")</f>
        <v>Uncle Sams Cider (04/04/2023)</v>
      </c>
      <c r="H10271" s="19"/>
    </row>
    <row r="10272">
      <c r="A10272" s="9"/>
      <c r="B10272" s="15"/>
      <c r="C10272" s="9">
        <f>IFERROR(__xludf.DUMMYFUNCTION("""COMPUTED_VALUE"""),45036.3325043287)</f>
        <v>45036.3325</v>
      </c>
      <c r="D10272" s="15">
        <f>IFERROR(__xludf.DUMMYFUNCTION("""COMPUTED_VALUE"""),1.041)</f>
        <v>1.041</v>
      </c>
      <c r="E10272" s="16">
        <f>IFERROR(__xludf.DUMMYFUNCTION("""COMPUTED_VALUE"""),67.0)</f>
        <v>67</v>
      </c>
      <c r="F10272" s="19" t="str">
        <f>IFERROR(__xludf.DUMMYFUNCTION("""COMPUTED_VALUE"""),"BLACK")</f>
        <v>BLACK</v>
      </c>
      <c r="G10272" s="20" t="str">
        <f>IFERROR(__xludf.DUMMYFUNCTION("""COMPUTED_VALUE"""),"Uncle Sams Cider (04/04/2023)")</f>
        <v>Uncle Sams Cider (04/04/2023)</v>
      </c>
      <c r="H10272" s="19"/>
    </row>
    <row r="10273">
      <c r="A10273" s="9"/>
      <c r="B10273" s="15"/>
      <c r="C10273" s="9">
        <f>IFERROR(__xludf.DUMMYFUNCTION("""COMPUTED_VALUE"""),45036.3220708796)</f>
        <v>45036.32207</v>
      </c>
      <c r="D10273" s="15">
        <f>IFERROR(__xludf.DUMMYFUNCTION("""COMPUTED_VALUE"""),1.041)</f>
        <v>1.041</v>
      </c>
      <c r="E10273" s="16">
        <f>IFERROR(__xludf.DUMMYFUNCTION("""COMPUTED_VALUE"""),67.0)</f>
        <v>67</v>
      </c>
      <c r="F10273" s="19" t="str">
        <f>IFERROR(__xludf.DUMMYFUNCTION("""COMPUTED_VALUE"""),"BLACK")</f>
        <v>BLACK</v>
      </c>
      <c r="G10273" s="20" t="str">
        <f>IFERROR(__xludf.DUMMYFUNCTION("""COMPUTED_VALUE"""),"Uncle Sams Cider (04/04/2023)")</f>
        <v>Uncle Sams Cider (04/04/2023)</v>
      </c>
      <c r="H10273" s="19"/>
    </row>
    <row r="10274">
      <c r="A10274" s="9"/>
      <c r="B10274" s="15"/>
      <c r="C10274" s="9">
        <f>IFERROR(__xludf.DUMMYFUNCTION("""COMPUTED_VALUE"""),45036.3116492476)</f>
        <v>45036.31165</v>
      </c>
      <c r="D10274" s="15">
        <f>IFERROR(__xludf.DUMMYFUNCTION("""COMPUTED_VALUE"""),1.041)</f>
        <v>1.041</v>
      </c>
      <c r="E10274" s="16">
        <f>IFERROR(__xludf.DUMMYFUNCTION("""COMPUTED_VALUE"""),67.0)</f>
        <v>67</v>
      </c>
      <c r="F10274" s="19" t="str">
        <f>IFERROR(__xludf.DUMMYFUNCTION("""COMPUTED_VALUE"""),"BLACK")</f>
        <v>BLACK</v>
      </c>
      <c r="G10274" s="20" t="str">
        <f>IFERROR(__xludf.DUMMYFUNCTION("""COMPUTED_VALUE"""),"Uncle Sams Cider (04/04/2023)")</f>
        <v>Uncle Sams Cider (04/04/2023)</v>
      </c>
      <c r="H10274" s="19"/>
    </row>
    <row r="10275">
      <c r="A10275" s="9"/>
      <c r="B10275" s="15"/>
      <c r="C10275" s="9">
        <f>IFERROR(__xludf.DUMMYFUNCTION("""COMPUTED_VALUE"""),45036.3012283912)</f>
        <v>45036.30123</v>
      </c>
      <c r="D10275" s="15">
        <f>IFERROR(__xludf.DUMMYFUNCTION("""COMPUTED_VALUE"""),1.041)</f>
        <v>1.041</v>
      </c>
      <c r="E10275" s="16">
        <f>IFERROR(__xludf.DUMMYFUNCTION("""COMPUTED_VALUE"""),67.0)</f>
        <v>67</v>
      </c>
      <c r="F10275" s="19" t="str">
        <f>IFERROR(__xludf.DUMMYFUNCTION("""COMPUTED_VALUE"""),"BLACK")</f>
        <v>BLACK</v>
      </c>
      <c r="G10275" s="20" t="str">
        <f>IFERROR(__xludf.DUMMYFUNCTION("""COMPUTED_VALUE"""),"Uncle Sams Cider (04/04/2023)")</f>
        <v>Uncle Sams Cider (04/04/2023)</v>
      </c>
      <c r="H10275" s="19"/>
    </row>
    <row r="10276">
      <c r="A10276" s="9"/>
      <c r="B10276" s="15"/>
      <c r="C10276" s="9">
        <f>IFERROR(__xludf.DUMMYFUNCTION("""COMPUTED_VALUE"""),45036.290806493)</f>
        <v>45036.29081</v>
      </c>
      <c r="D10276" s="15">
        <f>IFERROR(__xludf.DUMMYFUNCTION("""COMPUTED_VALUE"""),1.041)</f>
        <v>1.041</v>
      </c>
      <c r="E10276" s="16">
        <f>IFERROR(__xludf.DUMMYFUNCTION("""COMPUTED_VALUE"""),67.0)</f>
        <v>67</v>
      </c>
      <c r="F10276" s="19" t="str">
        <f>IFERROR(__xludf.DUMMYFUNCTION("""COMPUTED_VALUE"""),"BLACK")</f>
        <v>BLACK</v>
      </c>
      <c r="G10276" s="20" t="str">
        <f>IFERROR(__xludf.DUMMYFUNCTION("""COMPUTED_VALUE"""),"Uncle Sams Cider (04/04/2023)")</f>
        <v>Uncle Sams Cider (04/04/2023)</v>
      </c>
      <c r="H10276" s="19"/>
    </row>
    <row r="10277">
      <c r="A10277" s="9"/>
      <c r="B10277" s="15"/>
      <c r="C10277" s="9">
        <f>IFERROR(__xludf.DUMMYFUNCTION("""COMPUTED_VALUE"""),45036.2803747222)</f>
        <v>45036.28037</v>
      </c>
      <c r="D10277" s="15">
        <f>IFERROR(__xludf.DUMMYFUNCTION("""COMPUTED_VALUE"""),1.041)</f>
        <v>1.041</v>
      </c>
      <c r="E10277" s="16">
        <f>IFERROR(__xludf.DUMMYFUNCTION("""COMPUTED_VALUE"""),67.0)</f>
        <v>67</v>
      </c>
      <c r="F10277" s="19" t="str">
        <f>IFERROR(__xludf.DUMMYFUNCTION("""COMPUTED_VALUE"""),"BLACK")</f>
        <v>BLACK</v>
      </c>
      <c r="G10277" s="20" t="str">
        <f>IFERROR(__xludf.DUMMYFUNCTION("""COMPUTED_VALUE"""),"Uncle Sams Cider (04/04/2023)")</f>
        <v>Uncle Sams Cider (04/04/2023)</v>
      </c>
      <c r="H10277" s="19"/>
    </row>
    <row r="10278">
      <c r="A10278" s="9"/>
      <c r="B10278" s="15"/>
      <c r="C10278" s="9">
        <f>IFERROR(__xludf.DUMMYFUNCTION("""COMPUTED_VALUE"""),45036.2699555439)</f>
        <v>45036.26996</v>
      </c>
      <c r="D10278" s="15">
        <f>IFERROR(__xludf.DUMMYFUNCTION("""COMPUTED_VALUE"""),1.041)</f>
        <v>1.041</v>
      </c>
      <c r="E10278" s="16">
        <f>IFERROR(__xludf.DUMMYFUNCTION("""COMPUTED_VALUE"""),67.0)</f>
        <v>67</v>
      </c>
      <c r="F10278" s="19" t="str">
        <f>IFERROR(__xludf.DUMMYFUNCTION("""COMPUTED_VALUE"""),"BLACK")</f>
        <v>BLACK</v>
      </c>
      <c r="G10278" s="20" t="str">
        <f>IFERROR(__xludf.DUMMYFUNCTION("""COMPUTED_VALUE"""),"Uncle Sams Cider (04/04/2023)")</f>
        <v>Uncle Sams Cider (04/04/2023)</v>
      </c>
      <c r="H10278" s="19"/>
    </row>
    <row r="10279">
      <c r="A10279" s="9"/>
      <c r="B10279" s="15"/>
      <c r="C10279" s="9">
        <f>IFERROR(__xludf.DUMMYFUNCTION("""COMPUTED_VALUE"""),45036.2595346875)</f>
        <v>45036.25953</v>
      </c>
      <c r="D10279" s="15">
        <f>IFERROR(__xludf.DUMMYFUNCTION("""COMPUTED_VALUE"""),1.041)</f>
        <v>1.041</v>
      </c>
      <c r="E10279" s="16">
        <f>IFERROR(__xludf.DUMMYFUNCTION("""COMPUTED_VALUE"""),67.0)</f>
        <v>67</v>
      </c>
      <c r="F10279" s="19" t="str">
        <f>IFERROR(__xludf.DUMMYFUNCTION("""COMPUTED_VALUE"""),"BLACK")</f>
        <v>BLACK</v>
      </c>
      <c r="G10279" s="20" t="str">
        <f>IFERROR(__xludf.DUMMYFUNCTION("""COMPUTED_VALUE"""),"Uncle Sams Cider (04/04/2023)")</f>
        <v>Uncle Sams Cider (04/04/2023)</v>
      </c>
      <c r="H10279" s="19"/>
    </row>
    <row r="10280">
      <c r="A10280" s="9"/>
      <c r="B10280" s="15"/>
      <c r="C10280" s="9">
        <f>IFERROR(__xludf.DUMMYFUNCTION("""COMPUTED_VALUE"""),45036.2491035301)</f>
        <v>45036.2491</v>
      </c>
      <c r="D10280" s="15">
        <f>IFERROR(__xludf.DUMMYFUNCTION("""COMPUTED_VALUE"""),1.041)</f>
        <v>1.041</v>
      </c>
      <c r="E10280" s="16">
        <f>IFERROR(__xludf.DUMMYFUNCTION("""COMPUTED_VALUE"""),67.0)</f>
        <v>67</v>
      </c>
      <c r="F10280" s="19" t="str">
        <f>IFERROR(__xludf.DUMMYFUNCTION("""COMPUTED_VALUE"""),"BLACK")</f>
        <v>BLACK</v>
      </c>
      <c r="G10280" s="20" t="str">
        <f>IFERROR(__xludf.DUMMYFUNCTION("""COMPUTED_VALUE"""),"Uncle Sams Cider (04/04/2023)")</f>
        <v>Uncle Sams Cider (04/04/2023)</v>
      </c>
      <c r="H10280" s="19"/>
    </row>
    <row r="10281">
      <c r="A10281" s="9"/>
      <c r="B10281" s="15"/>
      <c r="C10281" s="9">
        <f>IFERROR(__xludf.DUMMYFUNCTION("""COMPUTED_VALUE"""),45036.2386700694)</f>
        <v>45036.23867</v>
      </c>
      <c r="D10281" s="15">
        <f>IFERROR(__xludf.DUMMYFUNCTION("""COMPUTED_VALUE"""),1.041)</f>
        <v>1.041</v>
      </c>
      <c r="E10281" s="16">
        <f>IFERROR(__xludf.DUMMYFUNCTION("""COMPUTED_VALUE"""),67.0)</f>
        <v>67</v>
      </c>
      <c r="F10281" s="19" t="str">
        <f>IFERROR(__xludf.DUMMYFUNCTION("""COMPUTED_VALUE"""),"BLACK")</f>
        <v>BLACK</v>
      </c>
      <c r="G10281" s="20" t="str">
        <f>IFERROR(__xludf.DUMMYFUNCTION("""COMPUTED_VALUE"""),"Uncle Sams Cider (04/04/2023)")</f>
        <v>Uncle Sams Cider (04/04/2023)</v>
      </c>
      <c r="H10281" s="19"/>
    </row>
    <row r="10282">
      <c r="A10282" s="9"/>
      <c r="B10282" s="15"/>
      <c r="C10282" s="9">
        <f>IFERROR(__xludf.DUMMYFUNCTION("""COMPUTED_VALUE"""),45036.2282251041)</f>
        <v>45036.22823</v>
      </c>
      <c r="D10282" s="15">
        <f>IFERROR(__xludf.DUMMYFUNCTION("""COMPUTED_VALUE"""),1.041)</f>
        <v>1.041</v>
      </c>
      <c r="E10282" s="16">
        <f>IFERROR(__xludf.DUMMYFUNCTION("""COMPUTED_VALUE"""),67.0)</f>
        <v>67</v>
      </c>
      <c r="F10282" s="19" t="str">
        <f>IFERROR(__xludf.DUMMYFUNCTION("""COMPUTED_VALUE"""),"BLACK")</f>
        <v>BLACK</v>
      </c>
      <c r="G10282" s="20" t="str">
        <f>IFERROR(__xludf.DUMMYFUNCTION("""COMPUTED_VALUE"""),"Uncle Sams Cider (04/04/2023)")</f>
        <v>Uncle Sams Cider (04/04/2023)</v>
      </c>
      <c r="H10282" s="19"/>
    </row>
    <row r="10283">
      <c r="A10283" s="9"/>
      <c r="B10283" s="15"/>
      <c r="C10283" s="9">
        <f>IFERROR(__xludf.DUMMYFUNCTION("""COMPUTED_VALUE"""),45036.2178056365)</f>
        <v>45036.21781</v>
      </c>
      <c r="D10283" s="15">
        <f>IFERROR(__xludf.DUMMYFUNCTION("""COMPUTED_VALUE"""),1.041)</f>
        <v>1.041</v>
      </c>
      <c r="E10283" s="16">
        <f>IFERROR(__xludf.DUMMYFUNCTION("""COMPUTED_VALUE"""),67.0)</f>
        <v>67</v>
      </c>
      <c r="F10283" s="19" t="str">
        <f>IFERROR(__xludf.DUMMYFUNCTION("""COMPUTED_VALUE"""),"BLACK")</f>
        <v>BLACK</v>
      </c>
      <c r="G10283" s="20" t="str">
        <f>IFERROR(__xludf.DUMMYFUNCTION("""COMPUTED_VALUE"""),"Uncle Sams Cider (04/04/2023)")</f>
        <v>Uncle Sams Cider (04/04/2023)</v>
      </c>
      <c r="H10283" s="19"/>
    </row>
    <row r="10284">
      <c r="A10284" s="9"/>
      <c r="B10284" s="15"/>
      <c r="C10284" s="9">
        <f>IFERROR(__xludf.DUMMYFUNCTION("""COMPUTED_VALUE"""),45036.2073604282)</f>
        <v>45036.20736</v>
      </c>
      <c r="D10284" s="15">
        <f>IFERROR(__xludf.DUMMYFUNCTION("""COMPUTED_VALUE"""),1.041)</f>
        <v>1.041</v>
      </c>
      <c r="E10284" s="16">
        <f>IFERROR(__xludf.DUMMYFUNCTION("""COMPUTED_VALUE"""),67.0)</f>
        <v>67</v>
      </c>
      <c r="F10284" s="19" t="str">
        <f>IFERROR(__xludf.DUMMYFUNCTION("""COMPUTED_VALUE"""),"BLACK")</f>
        <v>BLACK</v>
      </c>
      <c r="G10284" s="20" t="str">
        <f>IFERROR(__xludf.DUMMYFUNCTION("""COMPUTED_VALUE"""),"Uncle Sams Cider (04/04/2023)")</f>
        <v>Uncle Sams Cider (04/04/2023)</v>
      </c>
      <c r="H10284" s="19"/>
    </row>
    <row r="10285">
      <c r="A10285" s="9"/>
      <c r="B10285" s="15"/>
      <c r="C10285" s="9">
        <f>IFERROR(__xludf.DUMMYFUNCTION("""COMPUTED_VALUE"""),45036.1969391898)</f>
        <v>45036.19694</v>
      </c>
      <c r="D10285" s="15">
        <f>IFERROR(__xludf.DUMMYFUNCTION("""COMPUTED_VALUE"""),1.041)</f>
        <v>1.041</v>
      </c>
      <c r="E10285" s="16">
        <f>IFERROR(__xludf.DUMMYFUNCTION("""COMPUTED_VALUE"""),67.0)</f>
        <v>67</v>
      </c>
      <c r="F10285" s="19" t="str">
        <f>IFERROR(__xludf.DUMMYFUNCTION("""COMPUTED_VALUE"""),"BLACK")</f>
        <v>BLACK</v>
      </c>
      <c r="G10285" s="20" t="str">
        <f>IFERROR(__xludf.DUMMYFUNCTION("""COMPUTED_VALUE"""),"Uncle Sams Cider (04/04/2023)")</f>
        <v>Uncle Sams Cider (04/04/2023)</v>
      </c>
      <c r="H10285" s="19"/>
    </row>
    <row r="10286">
      <c r="A10286" s="9"/>
      <c r="B10286" s="15"/>
      <c r="C10286" s="9">
        <f>IFERROR(__xludf.DUMMYFUNCTION("""COMPUTED_VALUE"""),45036.1865079282)</f>
        <v>45036.18651</v>
      </c>
      <c r="D10286" s="15">
        <f>IFERROR(__xludf.DUMMYFUNCTION("""COMPUTED_VALUE"""),1.041)</f>
        <v>1.041</v>
      </c>
      <c r="E10286" s="16">
        <f>IFERROR(__xludf.DUMMYFUNCTION("""COMPUTED_VALUE"""),67.0)</f>
        <v>67</v>
      </c>
      <c r="F10286" s="19" t="str">
        <f>IFERROR(__xludf.DUMMYFUNCTION("""COMPUTED_VALUE"""),"BLACK")</f>
        <v>BLACK</v>
      </c>
      <c r="G10286" s="20" t="str">
        <f>IFERROR(__xludf.DUMMYFUNCTION("""COMPUTED_VALUE"""),"Uncle Sams Cider (04/04/2023)")</f>
        <v>Uncle Sams Cider (04/04/2023)</v>
      </c>
      <c r="H10286" s="19"/>
    </row>
    <row r="10287">
      <c r="A10287" s="9"/>
      <c r="B10287" s="15"/>
      <c r="C10287" s="9">
        <f>IFERROR(__xludf.DUMMYFUNCTION("""COMPUTED_VALUE"""),45036.1760620254)</f>
        <v>45036.17606</v>
      </c>
      <c r="D10287" s="15">
        <f>IFERROR(__xludf.DUMMYFUNCTION("""COMPUTED_VALUE"""),1.041)</f>
        <v>1.041</v>
      </c>
      <c r="E10287" s="16">
        <f>IFERROR(__xludf.DUMMYFUNCTION("""COMPUTED_VALUE"""),67.0)</f>
        <v>67</v>
      </c>
      <c r="F10287" s="19" t="str">
        <f>IFERROR(__xludf.DUMMYFUNCTION("""COMPUTED_VALUE"""),"BLACK")</f>
        <v>BLACK</v>
      </c>
      <c r="G10287" s="20" t="str">
        <f>IFERROR(__xludf.DUMMYFUNCTION("""COMPUTED_VALUE"""),"Uncle Sams Cider (04/04/2023)")</f>
        <v>Uncle Sams Cider (04/04/2023)</v>
      </c>
      <c r="H10287" s="19"/>
    </row>
    <row r="10288">
      <c r="A10288" s="9"/>
      <c r="B10288" s="15"/>
      <c r="C10288" s="9">
        <f>IFERROR(__xludf.DUMMYFUNCTION("""COMPUTED_VALUE"""),45036.1656409027)</f>
        <v>45036.16564</v>
      </c>
      <c r="D10288" s="15">
        <f>IFERROR(__xludf.DUMMYFUNCTION("""COMPUTED_VALUE"""),1.042)</f>
        <v>1.042</v>
      </c>
      <c r="E10288" s="16">
        <f>IFERROR(__xludf.DUMMYFUNCTION("""COMPUTED_VALUE"""),67.0)</f>
        <v>67</v>
      </c>
      <c r="F10288" s="19" t="str">
        <f>IFERROR(__xludf.DUMMYFUNCTION("""COMPUTED_VALUE"""),"BLACK")</f>
        <v>BLACK</v>
      </c>
      <c r="G10288" s="20" t="str">
        <f>IFERROR(__xludf.DUMMYFUNCTION("""COMPUTED_VALUE"""),"Uncle Sams Cider (04/04/2023)")</f>
        <v>Uncle Sams Cider (04/04/2023)</v>
      </c>
      <c r="H10288" s="19"/>
    </row>
    <row r="10289">
      <c r="A10289" s="9"/>
      <c r="B10289" s="15"/>
      <c r="C10289" s="9">
        <f>IFERROR(__xludf.DUMMYFUNCTION("""COMPUTED_VALUE"""),45036.1552194328)</f>
        <v>45036.15522</v>
      </c>
      <c r="D10289" s="15">
        <f>IFERROR(__xludf.DUMMYFUNCTION("""COMPUTED_VALUE"""),1.041)</f>
        <v>1.041</v>
      </c>
      <c r="E10289" s="16">
        <f>IFERROR(__xludf.DUMMYFUNCTION("""COMPUTED_VALUE"""),67.0)</f>
        <v>67</v>
      </c>
      <c r="F10289" s="19" t="str">
        <f>IFERROR(__xludf.DUMMYFUNCTION("""COMPUTED_VALUE"""),"BLACK")</f>
        <v>BLACK</v>
      </c>
      <c r="G10289" s="20" t="str">
        <f>IFERROR(__xludf.DUMMYFUNCTION("""COMPUTED_VALUE"""),"Uncle Sams Cider (04/04/2023)")</f>
        <v>Uncle Sams Cider (04/04/2023)</v>
      </c>
      <c r="H10289" s="19"/>
    </row>
    <row r="10290">
      <c r="A10290" s="9"/>
      <c r="B10290" s="15"/>
      <c r="C10290" s="9">
        <f>IFERROR(__xludf.DUMMYFUNCTION("""COMPUTED_VALUE"""),45036.1447636805)</f>
        <v>45036.14476</v>
      </c>
      <c r="D10290" s="15">
        <f>IFERROR(__xludf.DUMMYFUNCTION("""COMPUTED_VALUE"""),1.041)</f>
        <v>1.041</v>
      </c>
      <c r="E10290" s="16">
        <f>IFERROR(__xludf.DUMMYFUNCTION("""COMPUTED_VALUE"""),67.0)</f>
        <v>67</v>
      </c>
      <c r="F10290" s="19" t="str">
        <f>IFERROR(__xludf.DUMMYFUNCTION("""COMPUTED_VALUE"""),"BLACK")</f>
        <v>BLACK</v>
      </c>
      <c r="G10290" s="20" t="str">
        <f>IFERROR(__xludf.DUMMYFUNCTION("""COMPUTED_VALUE"""),"Uncle Sams Cider (04/04/2023)")</f>
        <v>Uncle Sams Cider (04/04/2023)</v>
      </c>
      <c r="H10290" s="19"/>
    </row>
    <row r="10291">
      <c r="A10291" s="9"/>
      <c r="B10291" s="15"/>
      <c r="C10291" s="9">
        <f>IFERROR(__xludf.DUMMYFUNCTION("""COMPUTED_VALUE"""),45036.1343302777)</f>
        <v>45036.13433</v>
      </c>
      <c r="D10291" s="15">
        <f>IFERROR(__xludf.DUMMYFUNCTION("""COMPUTED_VALUE"""),1.041)</f>
        <v>1.041</v>
      </c>
      <c r="E10291" s="16">
        <f>IFERROR(__xludf.DUMMYFUNCTION("""COMPUTED_VALUE"""),67.0)</f>
        <v>67</v>
      </c>
      <c r="F10291" s="19" t="str">
        <f>IFERROR(__xludf.DUMMYFUNCTION("""COMPUTED_VALUE"""),"BLACK")</f>
        <v>BLACK</v>
      </c>
      <c r="G10291" s="20" t="str">
        <f>IFERROR(__xludf.DUMMYFUNCTION("""COMPUTED_VALUE"""),"Uncle Sams Cider (04/04/2023)")</f>
        <v>Uncle Sams Cider (04/04/2023)</v>
      </c>
      <c r="H10291" s="19"/>
    </row>
    <row r="10292">
      <c r="A10292" s="9"/>
      <c r="B10292" s="15"/>
      <c r="C10292" s="9">
        <f>IFERROR(__xludf.DUMMYFUNCTION("""COMPUTED_VALUE"""),45036.1238970949)</f>
        <v>45036.1239</v>
      </c>
      <c r="D10292" s="15">
        <f>IFERROR(__xludf.DUMMYFUNCTION("""COMPUTED_VALUE"""),1.041)</f>
        <v>1.041</v>
      </c>
      <c r="E10292" s="16">
        <f>IFERROR(__xludf.DUMMYFUNCTION("""COMPUTED_VALUE"""),67.0)</f>
        <v>67</v>
      </c>
      <c r="F10292" s="19" t="str">
        <f>IFERROR(__xludf.DUMMYFUNCTION("""COMPUTED_VALUE"""),"BLACK")</f>
        <v>BLACK</v>
      </c>
      <c r="G10292" s="20" t="str">
        <f>IFERROR(__xludf.DUMMYFUNCTION("""COMPUTED_VALUE"""),"Uncle Sams Cider (04/04/2023)")</f>
        <v>Uncle Sams Cider (04/04/2023)</v>
      </c>
      <c r="H10292" s="19"/>
    </row>
    <row r="10293">
      <c r="A10293" s="9"/>
      <c r="B10293" s="15"/>
      <c r="C10293" s="9">
        <f>IFERROR(__xludf.DUMMYFUNCTION("""COMPUTED_VALUE"""),45036.113475405)</f>
        <v>45036.11348</v>
      </c>
      <c r="D10293" s="15">
        <f>IFERROR(__xludf.DUMMYFUNCTION("""COMPUTED_VALUE"""),1.041)</f>
        <v>1.041</v>
      </c>
      <c r="E10293" s="16">
        <f>IFERROR(__xludf.DUMMYFUNCTION("""COMPUTED_VALUE"""),67.0)</f>
        <v>67</v>
      </c>
      <c r="F10293" s="19" t="str">
        <f>IFERROR(__xludf.DUMMYFUNCTION("""COMPUTED_VALUE"""),"BLACK")</f>
        <v>BLACK</v>
      </c>
      <c r="G10293" s="20" t="str">
        <f>IFERROR(__xludf.DUMMYFUNCTION("""COMPUTED_VALUE"""),"Uncle Sams Cider (04/04/2023)")</f>
        <v>Uncle Sams Cider (04/04/2023)</v>
      </c>
      <c r="H10293" s="19"/>
    </row>
    <row r="10294">
      <c r="A10294" s="9"/>
      <c r="B10294" s="15"/>
      <c r="C10294" s="9">
        <f>IFERROR(__xludf.DUMMYFUNCTION("""COMPUTED_VALUE"""),45036.1030307291)</f>
        <v>45036.10303</v>
      </c>
      <c r="D10294" s="15">
        <f>IFERROR(__xludf.DUMMYFUNCTION("""COMPUTED_VALUE"""),1.042)</f>
        <v>1.042</v>
      </c>
      <c r="E10294" s="16">
        <f>IFERROR(__xludf.DUMMYFUNCTION("""COMPUTED_VALUE"""),67.0)</f>
        <v>67</v>
      </c>
      <c r="F10294" s="19" t="str">
        <f>IFERROR(__xludf.DUMMYFUNCTION("""COMPUTED_VALUE"""),"BLACK")</f>
        <v>BLACK</v>
      </c>
      <c r="G10294" s="20" t="str">
        <f>IFERROR(__xludf.DUMMYFUNCTION("""COMPUTED_VALUE"""),"Uncle Sams Cider (04/04/2023)")</f>
        <v>Uncle Sams Cider (04/04/2023)</v>
      </c>
      <c r="H10294" s="19"/>
    </row>
    <row r="10295">
      <c r="A10295" s="9"/>
      <c r="B10295" s="15"/>
      <c r="C10295" s="9">
        <f>IFERROR(__xludf.DUMMYFUNCTION("""COMPUTED_VALUE"""),45036.0925966319)</f>
        <v>45036.0926</v>
      </c>
      <c r="D10295" s="15">
        <f>IFERROR(__xludf.DUMMYFUNCTION("""COMPUTED_VALUE"""),1.041)</f>
        <v>1.041</v>
      </c>
      <c r="E10295" s="16">
        <f>IFERROR(__xludf.DUMMYFUNCTION("""COMPUTED_VALUE"""),67.0)</f>
        <v>67</v>
      </c>
      <c r="F10295" s="19" t="str">
        <f>IFERROR(__xludf.DUMMYFUNCTION("""COMPUTED_VALUE"""),"BLACK")</f>
        <v>BLACK</v>
      </c>
      <c r="G10295" s="20" t="str">
        <f>IFERROR(__xludf.DUMMYFUNCTION("""COMPUTED_VALUE"""),"Uncle Sams Cider (04/04/2023)")</f>
        <v>Uncle Sams Cider (04/04/2023)</v>
      </c>
      <c r="H10295" s="19"/>
    </row>
    <row r="10296">
      <c r="A10296" s="9"/>
      <c r="B10296" s="15"/>
      <c r="C10296" s="9">
        <f>IFERROR(__xludf.DUMMYFUNCTION("""COMPUTED_VALUE"""),45036.0821756018)</f>
        <v>45036.08218</v>
      </c>
      <c r="D10296" s="15">
        <f>IFERROR(__xludf.DUMMYFUNCTION("""COMPUTED_VALUE"""),1.042)</f>
        <v>1.042</v>
      </c>
      <c r="E10296" s="16">
        <f>IFERROR(__xludf.DUMMYFUNCTION("""COMPUTED_VALUE"""),67.0)</f>
        <v>67</v>
      </c>
      <c r="F10296" s="19" t="str">
        <f>IFERROR(__xludf.DUMMYFUNCTION("""COMPUTED_VALUE"""),"BLACK")</f>
        <v>BLACK</v>
      </c>
      <c r="G10296" s="20" t="str">
        <f>IFERROR(__xludf.DUMMYFUNCTION("""COMPUTED_VALUE"""),"Uncle Sams Cider (04/04/2023)")</f>
        <v>Uncle Sams Cider (04/04/2023)</v>
      </c>
      <c r="H10296" s="19"/>
    </row>
    <row r="10297">
      <c r="A10297" s="9"/>
      <c r="B10297" s="15"/>
      <c r="C10297" s="9">
        <f>IFERROR(__xludf.DUMMYFUNCTION("""COMPUTED_VALUE"""),45036.0717436226)</f>
        <v>45036.07174</v>
      </c>
      <c r="D10297" s="15">
        <f>IFERROR(__xludf.DUMMYFUNCTION("""COMPUTED_VALUE"""),1.041)</f>
        <v>1.041</v>
      </c>
      <c r="E10297" s="16">
        <f>IFERROR(__xludf.DUMMYFUNCTION("""COMPUTED_VALUE"""),67.0)</f>
        <v>67</v>
      </c>
      <c r="F10297" s="19" t="str">
        <f>IFERROR(__xludf.DUMMYFUNCTION("""COMPUTED_VALUE"""),"BLACK")</f>
        <v>BLACK</v>
      </c>
      <c r="G10297" s="20" t="str">
        <f>IFERROR(__xludf.DUMMYFUNCTION("""COMPUTED_VALUE"""),"Uncle Sams Cider (04/04/2023)")</f>
        <v>Uncle Sams Cider (04/04/2023)</v>
      </c>
      <c r="H10297" s="19"/>
    </row>
    <row r="10298">
      <c r="A10298" s="9"/>
      <c r="B10298" s="15"/>
      <c r="C10298" s="9">
        <f>IFERROR(__xludf.DUMMYFUNCTION("""COMPUTED_VALUE"""),45036.0613214004)</f>
        <v>45036.06132</v>
      </c>
      <c r="D10298" s="15">
        <f>IFERROR(__xludf.DUMMYFUNCTION("""COMPUTED_VALUE"""),1.042)</f>
        <v>1.042</v>
      </c>
      <c r="E10298" s="16">
        <f>IFERROR(__xludf.DUMMYFUNCTION("""COMPUTED_VALUE"""),67.0)</f>
        <v>67</v>
      </c>
      <c r="F10298" s="19" t="str">
        <f>IFERROR(__xludf.DUMMYFUNCTION("""COMPUTED_VALUE"""),"BLACK")</f>
        <v>BLACK</v>
      </c>
      <c r="G10298" s="20" t="str">
        <f>IFERROR(__xludf.DUMMYFUNCTION("""COMPUTED_VALUE"""),"Uncle Sams Cider (04/04/2023)")</f>
        <v>Uncle Sams Cider (04/04/2023)</v>
      </c>
      <c r="H10298" s="19"/>
    </row>
    <row r="10299">
      <c r="A10299" s="9"/>
      <c r="B10299" s="15"/>
      <c r="C10299" s="9">
        <f>IFERROR(__xludf.DUMMYFUNCTION("""COMPUTED_VALUE"""),45036.0509001388)</f>
        <v>45036.0509</v>
      </c>
      <c r="D10299" s="15">
        <f>IFERROR(__xludf.DUMMYFUNCTION("""COMPUTED_VALUE"""),1.042)</f>
        <v>1.042</v>
      </c>
      <c r="E10299" s="16">
        <f>IFERROR(__xludf.DUMMYFUNCTION("""COMPUTED_VALUE"""),67.0)</f>
        <v>67</v>
      </c>
      <c r="F10299" s="19" t="str">
        <f>IFERROR(__xludf.DUMMYFUNCTION("""COMPUTED_VALUE"""),"BLACK")</f>
        <v>BLACK</v>
      </c>
      <c r="G10299" s="20" t="str">
        <f>IFERROR(__xludf.DUMMYFUNCTION("""COMPUTED_VALUE"""),"Uncle Sams Cider (04/04/2023)")</f>
        <v>Uncle Sams Cider (04/04/2023)</v>
      </c>
      <c r="H10299" s="19"/>
    </row>
    <row r="10300">
      <c r="A10300" s="9"/>
      <c r="B10300" s="15"/>
      <c r="C10300" s="9">
        <f>IFERROR(__xludf.DUMMYFUNCTION("""COMPUTED_VALUE"""),45036.0404687037)</f>
        <v>45036.04047</v>
      </c>
      <c r="D10300" s="15">
        <f>IFERROR(__xludf.DUMMYFUNCTION("""COMPUTED_VALUE"""),1.042)</f>
        <v>1.042</v>
      </c>
      <c r="E10300" s="16">
        <f>IFERROR(__xludf.DUMMYFUNCTION("""COMPUTED_VALUE"""),67.0)</f>
        <v>67</v>
      </c>
      <c r="F10300" s="19" t="str">
        <f>IFERROR(__xludf.DUMMYFUNCTION("""COMPUTED_VALUE"""),"BLACK")</f>
        <v>BLACK</v>
      </c>
      <c r="G10300" s="20" t="str">
        <f>IFERROR(__xludf.DUMMYFUNCTION("""COMPUTED_VALUE"""),"Uncle Sams Cider (04/04/2023)")</f>
        <v>Uncle Sams Cider (04/04/2023)</v>
      </c>
      <c r="H10300" s="19"/>
    </row>
    <row r="10301">
      <c r="A10301" s="9"/>
      <c r="B10301" s="15"/>
      <c r="C10301" s="9">
        <f>IFERROR(__xludf.DUMMYFUNCTION("""COMPUTED_VALUE"""),45036.0300446527)</f>
        <v>45036.03004</v>
      </c>
      <c r="D10301" s="15">
        <f>IFERROR(__xludf.DUMMYFUNCTION("""COMPUTED_VALUE"""),1.042)</f>
        <v>1.042</v>
      </c>
      <c r="E10301" s="16">
        <f>IFERROR(__xludf.DUMMYFUNCTION("""COMPUTED_VALUE"""),67.0)</f>
        <v>67</v>
      </c>
      <c r="F10301" s="19" t="str">
        <f>IFERROR(__xludf.DUMMYFUNCTION("""COMPUTED_VALUE"""),"BLACK")</f>
        <v>BLACK</v>
      </c>
      <c r="G10301" s="20" t="str">
        <f>IFERROR(__xludf.DUMMYFUNCTION("""COMPUTED_VALUE"""),"Uncle Sams Cider (04/04/2023)")</f>
        <v>Uncle Sams Cider (04/04/2023)</v>
      </c>
      <c r="H10301" s="19"/>
    </row>
    <row r="10302">
      <c r="A10302" s="9"/>
      <c r="B10302" s="15"/>
      <c r="C10302" s="9">
        <f>IFERROR(__xludf.DUMMYFUNCTION("""COMPUTED_VALUE"""),45036.0196222569)</f>
        <v>45036.01962</v>
      </c>
      <c r="D10302" s="15">
        <f>IFERROR(__xludf.DUMMYFUNCTION("""COMPUTED_VALUE"""),1.042)</f>
        <v>1.042</v>
      </c>
      <c r="E10302" s="16">
        <f>IFERROR(__xludf.DUMMYFUNCTION("""COMPUTED_VALUE"""),67.0)</f>
        <v>67</v>
      </c>
      <c r="F10302" s="19" t="str">
        <f>IFERROR(__xludf.DUMMYFUNCTION("""COMPUTED_VALUE"""),"BLACK")</f>
        <v>BLACK</v>
      </c>
      <c r="G10302" s="20" t="str">
        <f>IFERROR(__xludf.DUMMYFUNCTION("""COMPUTED_VALUE"""),"Uncle Sams Cider (04/04/2023)")</f>
        <v>Uncle Sams Cider (04/04/2023)</v>
      </c>
      <c r="H10302" s="19"/>
    </row>
    <row r="10303">
      <c r="A10303" s="9"/>
      <c r="B10303" s="15"/>
      <c r="C10303" s="9">
        <f>IFERROR(__xludf.DUMMYFUNCTION("""COMPUTED_VALUE"""),45036.009201875)</f>
        <v>45036.0092</v>
      </c>
      <c r="D10303" s="15">
        <f>IFERROR(__xludf.DUMMYFUNCTION("""COMPUTED_VALUE"""),1.042)</f>
        <v>1.042</v>
      </c>
      <c r="E10303" s="16">
        <f>IFERROR(__xludf.DUMMYFUNCTION("""COMPUTED_VALUE"""),67.0)</f>
        <v>67</v>
      </c>
      <c r="F10303" s="19" t="str">
        <f>IFERROR(__xludf.DUMMYFUNCTION("""COMPUTED_VALUE"""),"BLACK")</f>
        <v>BLACK</v>
      </c>
      <c r="G10303" s="20" t="str">
        <f>IFERROR(__xludf.DUMMYFUNCTION("""COMPUTED_VALUE"""),"Uncle Sams Cider (04/04/2023)")</f>
        <v>Uncle Sams Cider (04/04/2023)</v>
      </c>
      <c r="H10303" s="19"/>
    </row>
    <row r="10304">
      <c r="A10304" s="9"/>
      <c r="B10304" s="15"/>
      <c r="C10304" s="9">
        <f>IFERROR(__xludf.DUMMYFUNCTION("""COMPUTED_VALUE"""),45035.9987822569)</f>
        <v>45035.99878</v>
      </c>
      <c r="D10304" s="15">
        <f>IFERROR(__xludf.DUMMYFUNCTION("""COMPUTED_VALUE"""),1.042)</f>
        <v>1.042</v>
      </c>
      <c r="E10304" s="16">
        <f>IFERROR(__xludf.DUMMYFUNCTION("""COMPUTED_VALUE"""),67.0)</f>
        <v>67</v>
      </c>
      <c r="F10304" s="19" t="str">
        <f>IFERROR(__xludf.DUMMYFUNCTION("""COMPUTED_VALUE"""),"BLACK")</f>
        <v>BLACK</v>
      </c>
      <c r="G10304" s="20" t="str">
        <f>IFERROR(__xludf.DUMMYFUNCTION("""COMPUTED_VALUE"""),"Uncle Sams Cider (04/04/2023)")</f>
        <v>Uncle Sams Cider (04/04/2023)</v>
      </c>
      <c r="H10304" s="19"/>
    </row>
    <row r="10305">
      <c r="A10305" s="9"/>
      <c r="B10305" s="15"/>
      <c r="C10305" s="9">
        <f>IFERROR(__xludf.DUMMYFUNCTION("""COMPUTED_VALUE"""),45035.9883618171)</f>
        <v>45035.98836</v>
      </c>
      <c r="D10305" s="15">
        <f>IFERROR(__xludf.DUMMYFUNCTION("""COMPUTED_VALUE"""),1.042)</f>
        <v>1.042</v>
      </c>
      <c r="E10305" s="16">
        <f>IFERROR(__xludf.DUMMYFUNCTION("""COMPUTED_VALUE"""),67.0)</f>
        <v>67</v>
      </c>
      <c r="F10305" s="19" t="str">
        <f>IFERROR(__xludf.DUMMYFUNCTION("""COMPUTED_VALUE"""),"BLACK")</f>
        <v>BLACK</v>
      </c>
      <c r="G10305" s="20" t="str">
        <f>IFERROR(__xludf.DUMMYFUNCTION("""COMPUTED_VALUE"""),"Uncle Sams Cider (04/04/2023)")</f>
        <v>Uncle Sams Cider (04/04/2023)</v>
      </c>
      <c r="H10305" s="19"/>
    </row>
    <row r="10306">
      <c r="A10306" s="9"/>
      <c r="B10306" s="15"/>
      <c r="C10306" s="9">
        <f>IFERROR(__xludf.DUMMYFUNCTION("""COMPUTED_VALUE"""),45035.9779286458)</f>
        <v>45035.97793</v>
      </c>
      <c r="D10306" s="15">
        <f>IFERROR(__xludf.DUMMYFUNCTION("""COMPUTED_VALUE"""),1.042)</f>
        <v>1.042</v>
      </c>
      <c r="E10306" s="16">
        <f>IFERROR(__xludf.DUMMYFUNCTION("""COMPUTED_VALUE"""),67.0)</f>
        <v>67</v>
      </c>
      <c r="F10306" s="19" t="str">
        <f>IFERROR(__xludf.DUMMYFUNCTION("""COMPUTED_VALUE"""),"BLACK")</f>
        <v>BLACK</v>
      </c>
      <c r="G10306" s="20" t="str">
        <f>IFERROR(__xludf.DUMMYFUNCTION("""COMPUTED_VALUE"""),"Uncle Sams Cider (04/04/2023)")</f>
        <v>Uncle Sams Cider (04/04/2023)</v>
      </c>
      <c r="H10306" s="19"/>
    </row>
    <row r="10307">
      <c r="A10307" s="9"/>
      <c r="B10307" s="15"/>
      <c r="C10307" s="9">
        <f>IFERROR(__xludf.DUMMYFUNCTION("""COMPUTED_VALUE"""),45035.9674945949)</f>
        <v>45035.96749</v>
      </c>
      <c r="D10307" s="15">
        <f>IFERROR(__xludf.DUMMYFUNCTION("""COMPUTED_VALUE"""),1.042)</f>
        <v>1.042</v>
      </c>
      <c r="E10307" s="16">
        <f>IFERROR(__xludf.DUMMYFUNCTION("""COMPUTED_VALUE"""),67.0)</f>
        <v>67</v>
      </c>
      <c r="F10307" s="19" t="str">
        <f>IFERROR(__xludf.DUMMYFUNCTION("""COMPUTED_VALUE"""),"BLACK")</f>
        <v>BLACK</v>
      </c>
      <c r="G10307" s="20" t="str">
        <f>IFERROR(__xludf.DUMMYFUNCTION("""COMPUTED_VALUE"""),"Uncle Sams Cider (04/04/2023)")</f>
        <v>Uncle Sams Cider (04/04/2023)</v>
      </c>
      <c r="H10307" s="19"/>
    </row>
    <row r="10308">
      <c r="A10308" s="9"/>
      <c r="B10308" s="15"/>
      <c r="C10308" s="9">
        <f>IFERROR(__xludf.DUMMYFUNCTION("""COMPUTED_VALUE"""),45035.9570740046)</f>
        <v>45035.95707</v>
      </c>
      <c r="D10308" s="15">
        <f>IFERROR(__xludf.DUMMYFUNCTION("""COMPUTED_VALUE"""),1.042)</f>
        <v>1.042</v>
      </c>
      <c r="E10308" s="16">
        <f>IFERROR(__xludf.DUMMYFUNCTION("""COMPUTED_VALUE"""),67.0)</f>
        <v>67</v>
      </c>
      <c r="F10308" s="19" t="str">
        <f>IFERROR(__xludf.DUMMYFUNCTION("""COMPUTED_VALUE"""),"BLACK")</f>
        <v>BLACK</v>
      </c>
      <c r="G10308" s="20" t="str">
        <f>IFERROR(__xludf.DUMMYFUNCTION("""COMPUTED_VALUE"""),"Uncle Sams Cider (04/04/2023)")</f>
        <v>Uncle Sams Cider (04/04/2023)</v>
      </c>
      <c r="H10308" s="19"/>
    </row>
    <row r="10309">
      <c r="A10309" s="9"/>
      <c r="B10309" s="15"/>
      <c r="C10309" s="9">
        <f>IFERROR(__xludf.DUMMYFUNCTION("""COMPUTED_VALUE"""),45035.9466528356)</f>
        <v>45035.94665</v>
      </c>
      <c r="D10309" s="15">
        <f>IFERROR(__xludf.DUMMYFUNCTION("""COMPUTED_VALUE"""),1.042)</f>
        <v>1.042</v>
      </c>
      <c r="E10309" s="16">
        <f>IFERROR(__xludf.DUMMYFUNCTION("""COMPUTED_VALUE"""),67.0)</f>
        <v>67</v>
      </c>
      <c r="F10309" s="19" t="str">
        <f>IFERROR(__xludf.DUMMYFUNCTION("""COMPUTED_VALUE"""),"BLACK")</f>
        <v>BLACK</v>
      </c>
      <c r="G10309" s="20" t="str">
        <f>IFERROR(__xludf.DUMMYFUNCTION("""COMPUTED_VALUE"""),"Uncle Sams Cider (04/04/2023)")</f>
        <v>Uncle Sams Cider (04/04/2023)</v>
      </c>
      <c r="H10309" s="19"/>
    </row>
    <row r="10310">
      <c r="A10310" s="9"/>
      <c r="B10310" s="15"/>
      <c r="C10310" s="9">
        <f>IFERROR(__xludf.DUMMYFUNCTION("""COMPUTED_VALUE"""),45035.9362315972)</f>
        <v>45035.93623</v>
      </c>
      <c r="D10310" s="15">
        <f>IFERROR(__xludf.DUMMYFUNCTION("""COMPUTED_VALUE"""),1.042)</f>
        <v>1.042</v>
      </c>
      <c r="E10310" s="16">
        <f>IFERROR(__xludf.DUMMYFUNCTION("""COMPUTED_VALUE"""),67.0)</f>
        <v>67</v>
      </c>
      <c r="F10310" s="19" t="str">
        <f>IFERROR(__xludf.DUMMYFUNCTION("""COMPUTED_VALUE"""),"BLACK")</f>
        <v>BLACK</v>
      </c>
      <c r="G10310" s="20" t="str">
        <f>IFERROR(__xludf.DUMMYFUNCTION("""COMPUTED_VALUE"""),"Uncle Sams Cider (04/04/2023)")</f>
        <v>Uncle Sams Cider (04/04/2023)</v>
      </c>
      <c r="H10310" s="19"/>
    </row>
    <row r="10311">
      <c r="A10311" s="9"/>
      <c r="B10311" s="15"/>
      <c r="C10311" s="9">
        <f>IFERROR(__xludf.DUMMYFUNCTION("""COMPUTED_VALUE"""),45035.9257995949)</f>
        <v>45035.9258</v>
      </c>
      <c r="D10311" s="15">
        <f>IFERROR(__xludf.DUMMYFUNCTION("""COMPUTED_VALUE"""),1.042)</f>
        <v>1.042</v>
      </c>
      <c r="E10311" s="16">
        <f>IFERROR(__xludf.DUMMYFUNCTION("""COMPUTED_VALUE"""),67.0)</f>
        <v>67</v>
      </c>
      <c r="F10311" s="19" t="str">
        <f>IFERROR(__xludf.DUMMYFUNCTION("""COMPUTED_VALUE"""),"BLACK")</f>
        <v>BLACK</v>
      </c>
      <c r="G10311" s="20" t="str">
        <f>IFERROR(__xludf.DUMMYFUNCTION("""COMPUTED_VALUE"""),"Uncle Sams Cider (04/04/2023)")</f>
        <v>Uncle Sams Cider (04/04/2023)</v>
      </c>
      <c r="H10311" s="19"/>
    </row>
    <row r="10312">
      <c r="A10312" s="9"/>
      <c r="B10312" s="15"/>
      <c r="C10312" s="9">
        <f>IFERROR(__xludf.DUMMYFUNCTION("""COMPUTED_VALUE"""),45035.9153651736)</f>
        <v>45035.91537</v>
      </c>
      <c r="D10312" s="15">
        <f>IFERROR(__xludf.DUMMYFUNCTION("""COMPUTED_VALUE"""),1.042)</f>
        <v>1.042</v>
      </c>
      <c r="E10312" s="16">
        <f>IFERROR(__xludf.DUMMYFUNCTION("""COMPUTED_VALUE"""),67.0)</f>
        <v>67</v>
      </c>
      <c r="F10312" s="19" t="str">
        <f>IFERROR(__xludf.DUMMYFUNCTION("""COMPUTED_VALUE"""),"BLACK")</f>
        <v>BLACK</v>
      </c>
      <c r="G10312" s="20" t="str">
        <f>IFERROR(__xludf.DUMMYFUNCTION("""COMPUTED_VALUE"""),"Uncle Sams Cider (04/04/2023)")</f>
        <v>Uncle Sams Cider (04/04/2023)</v>
      </c>
      <c r="H10312" s="19"/>
    </row>
    <row r="10313">
      <c r="A10313" s="9"/>
      <c r="B10313" s="15"/>
      <c r="C10313" s="9">
        <f>IFERROR(__xludf.DUMMYFUNCTION("""COMPUTED_VALUE"""),45035.9049444676)</f>
        <v>45035.90494</v>
      </c>
      <c r="D10313" s="15">
        <f>IFERROR(__xludf.DUMMYFUNCTION("""COMPUTED_VALUE"""),1.042)</f>
        <v>1.042</v>
      </c>
      <c r="E10313" s="16">
        <f>IFERROR(__xludf.DUMMYFUNCTION("""COMPUTED_VALUE"""),67.0)</f>
        <v>67</v>
      </c>
      <c r="F10313" s="19" t="str">
        <f>IFERROR(__xludf.DUMMYFUNCTION("""COMPUTED_VALUE"""),"BLACK")</f>
        <v>BLACK</v>
      </c>
      <c r="G10313" s="20" t="str">
        <f>IFERROR(__xludf.DUMMYFUNCTION("""COMPUTED_VALUE"""),"Uncle Sams Cider (04/04/2023)")</f>
        <v>Uncle Sams Cider (04/04/2023)</v>
      </c>
      <c r="H10313" s="19"/>
    </row>
    <row r="10314">
      <c r="A10314" s="9"/>
      <c r="B10314" s="15"/>
      <c r="C10314" s="9">
        <f>IFERROR(__xludf.DUMMYFUNCTION("""COMPUTED_VALUE"""),45035.8945230671)</f>
        <v>45035.89452</v>
      </c>
      <c r="D10314" s="15">
        <f>IFERROR(__xludf.DUMMYFUNCTION("""COMPUTED_VALUE"""),1.042)</f>
        <v>1.042</v>
      </c>
      <c r="E10314" s="16">
        <f>IFERROR(__xludf.DUMMYFUNCTION("""COMPUTED_VALUE"""),67.0)</f>
        <v>67</v>
      </c>
      <c r="F10314" s="19" t="str">
        <f>IFERROR(__xludf.DUMMYFUNCTION("""COMPUTED_VALUE"""),"BLACK")</f>
        <v>BLACK</v>
      </c>
      <c r="G10314" s="20" t="str">
        <f>IFERROR(__xludf.DUMMYFUNCTION("""COMPUTED_VALUE"""),"Uncle Sams Cider (04/04/2023)")</f>
        <v>Uncle Sams Cider (04/04/2023)</v>
      </c>
      <c r="H10314" s="19"/>
    </row>
    <row r="10315">
      <c r="A10315" s="9"/>
      <c r="B10315" s="15"/>
      <c r="C10315" s="9">
        <f>IFERROR(__xludf.DUMMYFUNCTION("""COMPUTED_VALUE"""),45035.8841019328)</f>
        <v>45035.8841</v>
      </c>
      <c r="D10315" s="15">
        <f>IFERROR(__xludf.DUMMYFUNCTION("""COMPUTED_VALUE"""),1.042)</f>
        <v>1.042</v>
      </c>
      <c r="E10315" s="16">
        <f>IFERROR(__xludf.DUMMYFUNCTION("""COMPUTED_VALUE"""),67.0)</f>
        <v>67</v>
      </c>
      <c r="F10315" s="19" t="str">
        <f>IFERROR(__xludf.DUMMYFUNCTION("""COMPUTED_VALUE"""),"BLACK")</f>
        <v>BLACK</v>
      </c>
      <c r="G10315" s="20" t="str">
        <f>IFERROR(__xludf.DUMMYFUNCTION("""COMPUTED_VALUE"""),"Uncle Sams Cider (04/04/2023)")</f>
        <v>Uncle Sams Cider (04/04/2023)</v>
      </c>
      <c r="H10315" s="19"/>
    </row>
    <row r="10316">
      <c r="A10316" s="9"/>
      <c r="B10316" s="15"/>
      <c r="C10316" s="9">
        <f>IFERROR(__xludf.DUMMYFUNCTION("""COMPUTED_VALUE"""),45035.873680081)</f>
        <v>45035.87368</v>
      </c>
      <c r="D10316" s="15">
        <f>IFERROR(__xludf.DUMMYFUNCTION("""COMPUTED_VALUE"""),1.042)</f>
        <v>1.042</v>
      </c>
      <c r="E10316" s="16">
        <f>IFERROR(__xludf.DUMMYFUNCTION("""COMPUTED_VALUE"""),67.0)</f>
        <v>67</v>
      </c>
      <c r="F10316" s="19" t="str">
        <f>IFERROR(__xludf.DUMMYFUNCTION("""COMPUTED_VALUE"""),"BLACK")</f>
        <v>BLACK</v>
      </c>
      <c r="G10316" s="20" t="str">
        <f>IFERROR(__xludf.DUMMYFUNCTION("""COMPUTED_VALUE"""),"Uncle Sams Cider (04/04/2023)")</f>
        <v>Uncle Sams Cider (04/04/2023)</v>
      </c>
      <c r="H10316" s="19"/>
    </row>
    <row r="10317">
      <c r="A10317" s="9"/>
      <c r="B10317" s="15"/>
      <c r="C10317" s="9">
        <f>IFERROR(__xludf.DUMMYFUNCTION("""COMPUTED_VALUE"""),45035.8632485763)</f>
        <v>45035.86325</v>
      </c>
      <c r="D10317" s="15">
        <f>IFERROR(__xludf.DUMMYFUNCTION("""COMPUTED_VALUE"""),1.042)</f>
        <v>1.042</v>
      </c>
      <c r="E10317" s="16">
        <f>IFERROR(__xludf.DUMMYFUNCTION("""COMPUTED_VALUE"""),67.0)</f>
        <v>67</v>
      </c>
      <c r="F10317" s="19" t="str">
        <f>IFERROR(__xludf.DUMMYFUNCTION("""COMPUTED_VALUE"""),"BLACK")</f>
        <v>BLACK</v>
      </c>
      <c r="G10317" s="20" t="str">
        <f>IFERROR(__xludf.DUMMYFUNCTION("""COMPUTED_VALUE"""),"Uncle Sams Cider (04/04/2023)")</f>
        <v>Uncle Sams Cider (04/04/2023)</v>
      </c>
      <c r="H10317" s="19"/>
    </row>
    <row r="10318">
      <c r="A10318" s="9"/>
      <c r="B10318" s="15"/>
      <c r="C10318" s="9">
        <f>IFERROR(__xludf.DUMMYFUNCTION("""COMPUTED_VALUE"""),45035.8528148263)</f>
        <v>45035.85281</v>
      </c>
      <c r="D10318" s="15">
        <f>IFERROR(__xludf.DUMMYFUNCTION("""COMPUTED_VALUE"""),1.042)</f>
        <v>1.042</v>
      </c>
      <c r="E10318" s="16">
        <f>IFERROR(__xludf.DUMMYFUNCTION("""COMPUTED_VALUE"""),67.0)</f>
        <v>67</v>
      </c>
      <c r="F10318" s="19" t="str">
        <f>IFERROR(__xludf.DUMMYFUNCTION("""COMPUTED_VALUE"""),"BLACK")</f>
        <v>BLACK</v>
      </c>
      <c r="G10318" s="20" t="str">
        <f>IFERROR(__xludf.DUMMYFUNCTION("""COMPUTED_VALUE"""),"Uncle Sams Cider (04/04/2023)")</f>
        <v>Uncle Sams Cider (04/04/2023)</v>
      </c>
      <c r="H10318" s="19"/>
    </row>
    <row r="10319">
      <c r="A10319" s="9"/>
      <c r="B10319" s="15"/>
      <c r="C10319" s="9">
        <f>IFERROR(__xludf.DUMMYFUNCTION("""COMPUTED_VALUE"""),45035.8423960879)</f>
        <v>45035.8424</v>
      </c>
      <c r="D10319" s="15">
        <f>IFERROR(__xludf.DUMMYFUNCTION("""COMPUTED_VALUE"""),1.042)</f>
        <v>1.042</v>
      </c>
      <c r="E10319" s="16">
        <f>IFERROR(__xludf.DUMMYFUNCTION("""COMPUTED_VALUE"""),67.0)</f>
        <v>67</v>
      </c>
      <c r="F10319" s="19" t="str">
        <f>IFERROR(__xludf.DUMMYFUNCTION("""COMPUTED_VALUE"""),"BLACK")</f>
        <v>BLACK</v>
      </c>
      <c r="G10319" s="20" t="str">
        <f>IFERROR(__xludf.DUMMYFUNCTION("""COMPUTED_VALUE"""),"Uncle Sams Cider (04/04/2023)")</f>
        <v>Uncle Sams Cider (04/04/2023)</v>
      </c>
      <c r="H10319" s="19"/>
    </row>
    <row r="10320">
      <c r="A10320" s="9"/>
      <c r="B10320" s="15"/>
      <c r="C10320" s="9">
        <f>IFERROR(__xludf.DUMMYFUNCTION("""COMPUTED_VALUE"""),45035.8319735185)</f>
        <v>45035.83197</v>
      </c>
      <c r="D10320" s="15">
        <f>IFERROR(__xludf.DUMMYFUNCTION("""COMPUTED_VALUE"""),1.042)</f>
        <v>1.042</v>
      </c>
      <c r="E10320" s="16">
        <f>IFERROR(__xludf.DUMMYFUNCTION("""COMPUTED_VALUE"""),67.0)</f>
        <v>67</v>
      </c>
      <c r="F10320" s="19" t="str">
        <f>IFERROR(__xludf.DUMMYFUNCTION("""COMPUTED_VALUE"""),"BLACK")</f>
        <v>BLACK</v>
      </c>
      <c r="G10320" s="20" t="str">
        <f>IFERROR(__xludf.DUMMYFUNCTION("""COMPUTED_VALUE"""),"Uncle Sams Cider (04/04/2023)")</f>
        <v>Uncle Sams Cider (04/04/2023)</v>
      </c>
      <c r="H10320" s="19"/>
    </row>
    <row r="10321">
      <c r="A10321" s="9"/>
      <c r="B10321" s="15"/>
      <c r="C10321" s="9">
        <f>IFERROR(__xludf.DUMMYFUNCTION("""COMPUTED_VALUE"""),45035.8215515046)</f>
        <v>45035.82155</v>
      </c>
      <c r="D10321" s="15">
        <f>IFERROR(__xludf.DUMMYFUNCTION("""COMPUTED_VALUE"""),1.042)</f>
        <v>1.042</v>
      </c>
      <c r="E10321" s="16">
        <f>IFERROR(__xludf.DUMMYFUNCTION("""COMPUTED_VALUE"""),67.0)</f>
        <v>67</v>
      </c>
      <c r="F10321" s="19" t="str">
        <f>IFERROR(__xludf.DUMMYFUNCTION("""COMPUTED_VALUE"""),"BLACK")</f>
        <v>BLACK</v>
      </c>
      <c r="G10321" s="20" t="str">
        <f>IFERROR(__xludf.DUMMYFUNCTION("""COMPUTED_VALUE"""),"Uncle Sams Cider (04/04/2023)")</f>
        <v>Uncle Sams Cider (04/04/2023)</v>
      </c>
      <c r="H10321" s="19"/>
    </row>
    <row r="10322">
      <c r="A10322" s="9"/>
      <c r="B10322" s="15"/>
      <c r="C10322" s="9">
        <f>IFERROR(__xludf.DUMMYFUNCTION("""COMPUTED_VALUE"""),45035.8111316203)</f>
        <v>45035.81113</v>
      </c>
      <c r="D10322" s="15">
        <f>IFERROR(__xludf.DUMMYFUNCTION("""COMPUTED_VALUE"""),1.042)</f>
        <v>1.042</v>
      </c>
      <c r="E10322" s="16">
        <f>IFERROR(__xludf.DUMMYFUNCTION("""COMPUTED_VALUE"""),67.0)</f>
        <v>67</v>
      </c>
      <c r="F10322" s="19" t="str">
        <f>IFERROR(__xludf.DUMMYFUNCTION("""COMPUTED_VALUE"""),"BLACK")</f>
        <v>BLACK</v>
      </c>
      <c r="G10322" s="20" t="str">
        <f>IFERROR(__xludf.DUMMYFUNCTION("""COMPUTED_VALUE"""),"Uncle Sams Cider (04/04/2023)")</f>
        <v>Uncle Sams Cider (04/04/2023)</v>
      </c>
      <c r="H10322" s="19"/>
    </row>
    <row r="10323">
      <c r="A10323" s="9"/>
      <c r="B10323" s="15"/>
      <c r="C10323" s="9">
        <f>IFERROR(__xludf.DUMMYFUNCTION("""COMPUTED_VALUE"""),45035.8006999768)</f>
        <v>45035.8007</v>
      </c>
      <c r="D10323" s="15">
        <f>IFERROR(__xludf.DUMMYFUNCTION("""COMPUTED_VALUE"""),1.042)</f>
        <v>1.042</v>
      </c>
      <c r="E10323" s="16">
        <f>IFERROR(__xludf.DUMMYFUNCTION("""COMPUTED_VALUE"""),67.0)</f>
        <v>67</v>
      </c>
      <c r="F10323" s="19" t="str">
        <f>IFERROR(__xludf.DUMMYFUNCTION("""COMPUTED_VALUE"""),"BLACK")</f>
        <v>BLACK</v>
      </c>
      <c r="G10323" s="20" t="str">
        <f>IFERROR(__xludf.DUMMYFUNCTION("""COMPUTED_VALUE"""),"Uncle Sams Cider (04/04/2023)")</f>
        <v>Uncle Sams Cider (04/04/2023)</v>
      </c>
      <c r="H10323" s="19"/>
    </row>
    <row r="10324">
      <c r="A10324" s="9"/>
      <c r="B10324" s="15"/>
      <c r="C10324" s="9">
        <f>IFERROR(__xludf.DUMMYFUNCTION("""COMPUTED_VALUE"""),45035.7902782986)</f>
        <v>45035.79028</v>
      </c>
      <c r="D10324" s="15">
        <f>IFERROR(__xludf.DUMMYFUNCTION("""COMPUTED_VALUE"""),1.042)</f>
        <v>1.042</v>
      </c>
      <c r="E10324" s="16">
        <f>IFERROR(__xludf.DUMMYFUNCTION("""COMPUTED_VALUE"""),67.0)</f>
        <v>67</v>
      </c>
      <c r="F10324" s="19" t="str">
        <f>IFERROR(__xludf.DUMMYFUNCTION("""COMPUTED_VALUE"""),"BLACK")</f>
        <v>BLACK</v>
      </c>
      <c r="G10324" s="20" t="str">
        <f>IFERROR(__xludf.DUMMYFUNCTION("""COMPUTED_VALUE"""),"Uncle Sams Cider (04/04/2023)")</f>
        <v>Uncle Sams Cider (04/04/2023)</v>
      </c>
      <c r="H10324" s="19"/>
    </row>
    <row r="10325">
      <c r="A10325" s="9"/>
      <c r="B10325" s="15"/>
      <c r="C10325" s="9">
        <f>IFERROR(__xludf.DUMMYFUNCTION("""COMPUTED_VALUE"""),45035.7798574305)</f>
        <v>45035.77986</v>
      </c>
      <c r="D10325" s="15">
        <f>IFERROR(__xludf.DUMMYFUNCTION("""COMPUTED_VALUE"""),1.042)</f>
        <v>1.042</v>
      </c>
      <c r="E10325" s="16">
        <f>IFERROR(__xludf.DUMMYFUNCTION("""COMPUTED_VALUE"""),67.0)</f>
        <v>67</v>
      </c>
      <c r="F10325" s="19" t="str">
        <f>IFERROR(__xludf.DUMMYFUNCTION("""COMPUTED_VALUE"""),"BLACK")</f>
        <v>BLACK</v>
      </c>
      <c r="G10325" s="20" t="str">
        <f>IFERROR(__xludf.DUMMYFUNCTION("""COMPUTED_VALUE"""),"Uncle Sams Cider (04/04/2023)")</f>
        <v>Uncle Sams Cider (04/04/2023)</v>
      </c>
      <c r="H10325" s="19"/>
    </row>
    <row r="10326">
      <c r="A10326" s="9"/>
      <c r="B10326" s="15"/>
      <c r="C10326" s="9">
        <f>IFERROR(__xludf.DUMMYFUNCTION("""COMPUTED_VALUE"""),45035.7694381481)</f>
        <v>45035.76944</v>
      </c>
      <c r="D10326" s="15">
        <f>IFERROR(__xludf.DUMMYFUNCTION("""COMPUTED_VALUE"""),1.042)</f>
        <v>1.042</v>
      </c>
      <c r="E10326" s="16">
        <f>IFERROR(__xludf.DUMMYFUNCTION("""COMPUTED_VALUE"""),67.0)</f>
        <v>67</v>
      </c>
      <c r="F10326" s="19" t="str">
        <f>IFERROR(__xludf.DUMMYFUNCTION("""COMPUTED_VALUE"""),"BLACK")</f>
        <v>BLACK</v>
      </c>
      <c r="G10326" s="20" t="str">
        <f>IFERROR(__xludf.DUMMYFUNCTION("""COMPUTED_VALUE"""),"Uncle Sams Cider (04/04/2023)")</f>
        <v>Uncle Sams Cider (04/04/2023)</v>
      </c>
      <c r="H10326" s="19"/>
    </row>
    <row r="10327">
      <c r="A10327" s="9"/>
      <c r="B10327" s="15"/>
      <c r="C10327" s="9">
        <f>IFERROR(__xludf.DUMMYFUNCTION("""COMPUTED_VALUE"""),45035.7590186226)</f>
        <v>45035.75902</v>
      </c>
      <c r="D10327" s="15">
        <f>IFERROR(__xludf.DUMMYFUNCTION("""COMPUTED_VALUE"""),1.042)</f>
        <v>1.042</v>
      </c>
      <c r="E10327" s="16">
        <f>IFERROR(__xludf.DUMMYFUNCTION("""COMPUTED_VALUE"""),67.0)</f>
        <v>67</v>
      </c>
      <c r="F10327" s="19" t="str">
        <f>IFERROR(__xludf.DUMMYFUNCTION("""COMPUTED_VALUE"""),"BLACK")</f>
        <v>BLACK</v>
      </c>
      <c r="G10327" s="20" t="str">
        <f>IFERROR(__xludf.DUMMYFUNCTION("""COMPUTED_VALUE"""),"Uncle Sams Cider (04/04/2023)")</f>
        <v>Uncle Sams Cider (04/04/2023)</v>
      </c>
      <c r="H10327" s="19"/>
    </row>
    <row r="10328">
      <c r="A10328" s="9"/>
      <c r="B10328" s="15"/>
      <c r="C10328" s="9">
        <f>IFERROR(__xludf.DUMMYFUNCTION("""COMPUTED_VALUE"""),45035.7485970717)</f>
        <v>45035.7486</v>
      </c>
      <c r="D10328" s="15">
        <f>IFERROR(__xludf.DUMMYFUNCTION("""COMPUTED_VALUE"""),1.042)</f>
        <v>1.042</v>
      </c>
      <c r="E10328" s="16">
        <f>IFERROR(__xludf.DUMMYFUNCTION("""COMPUTED_VALUE"""),67.0)</f>
        <v>67</v>
      </c>
      <c r="F10328" s="19" t="str">
        <f>IFERROR(__xludf.DUMMYFUNCTION("""COMPUTED_VALUE"""),"BLACK")</f>
        <v>BLACK</v>
      </c>
      <c r="G10328" s="20" t="str">
        <f>IFERROR(__xludf.DUMMYFUNCTION("""COMPUTED_VALUE"""),"Uncle Sams Cider (04/04/2023)")</f>
        <v>Uncle Sams Cider (04/04/2023)</v>
      </c>
      <c r="H10328" s="19"/>
    </row>
    <row r="10329">
      <c r="A10329" s="9"/>
      <c r="B10329" s="15"/>
      <c r="C10329" s="9">
        <f>IFERROR(__xludf.DUMMYFUNCTION("""COMPUTED_VALUE"""),45035.7381776736)</f>
        <v>45035.73818</v>
      </c>
      <c r="D10329" s="15">
        <f>IFERROR(__xludf.DUMMYFUNCTION("""COMPUTED_VALUE"""),1.042)</f>
        <v>1.042</v>
      </c>
      <c r="E10329" s="16">
        <f>IFERROR(__xludf.DUMMYFUNCTION("""COMPUTED_VALUE"""),67.0)</f>
        <v>67</v>
      </c>
      <c r="F10329" s="19" t="str">
        <f>IFERROR(__xludf.DUMMYFUNCTION("""COMPUTED_VALUE"""),"BLACK")</f>
        <v>BLACK</v>
      </c>
      <c r="G10329" s="20" t="str">
        <f>IFERROR(__xludf.DUMMYFUNCTION("""COMPUTED_VALUE"""),"Uncle Sams Cider (04/04/2023)")</f>
        <v>Uncle Sams Cider (04/04/2023)</v>
      </c>
      <c r="H10329" s="19"/>
    </row>
    <row r="10330">
      <c r="A10330" s="9"/>
      <c r="B10330" s="15"/>
      <c r="C10330" s="9">
        <f>IFERROR(__xludf.DUMMYFUNCTION("""COMPUTED_VALUE"""),45035.7277559143)</f>
        <v>45035.72776</v>
      </c>
      <c r="D10330" s="15">
        <f>IFERROR(__xludf.DUMMYFUNCTION("""COMPUTED_VALUE"""),1.042)</f>
        <v>1.042</v>
      </c>
      <c r="E10330" s="16">
        <f>IFERROR(__xludf.DUMMYFUNCTION("""COMPUTED_VALUE"""),67.0)</f>
        <v>67</v>
      </c>
      <c r="F10330" s="19" t="str">
        <f>IFERROR(__xludf.DUMMYFUNCTION("""COMPUTED_VALUE"""),"BLACK")</f>
        <v>BLACK</v>
      </c>
      <c r="G10330" s="20" t="str">
        <f>IFERROR(__xludf.DUMMYFUNCTION("""COMPUTED_VALUE"""),"Uncle Sams Cider (04/04/2023)")</f>
        <v>Uncle Sams Cider (04/04/2023)</v>
      </c>
      <c r="H10330" s="19"/>
    </row>
    <row r="10331">
      <c r="A10331" s="9"/>
      <c r="B10331" s="15"/>
      <c r="C10331" s="9">
        <f>IFERROR(__xludf.DUMMYFUNCTION("""COMPUTED_VALUE"""),45035.7173242708)</f>
        <v>45035.71732</v>
      </c>
      <c r="D10331" s="15">
        <f>IFERROR(__xludf.DUMMYFUNCTION("""COMPUTED_VALUE"""),1.042)</f>
        <v>1.042</v>
      </c>
      <c r="E10331" s="16">
        <f>IFERROR(__xludf.DUMMYFUNCTION("""COMPUTED_VALUE"""),67.0)</f>
        <v>67</v>
      </c>
      <c r="F10331" s="19" t="str">
        <f>IFERROR(__xludf.DUMMYFUNCTION("""COMPUTED_VALUE"""),"BLACK")</f>
        <v>BLACK</v>
      </c>
      <c r="G10331" s="20" t="str">
        <f>IFERROR(__xludf.DUMMYFUNCTION("""COMPUTED_VALUE"""),"Uncle Sams Cider (04/04/2023)")</f>
        <v>Uncle Sams Cider (04/04/2023)</v>
      </c>
      <c r="H10331" s="19"/>
    </row>
    <row r="10332">
      <c r="A10332" s="9"/>
      <c r="B10332" s="15"/>
      <c r="C10332" s="9">
        <f>IFERROR(__xludf.DUMMYFUNCTION("""COMPUTED_VALUE"""),45035.7069019444)</f>
        <v>45035.7069</v>
      </c>
      <c r="D10332" s="15">
        <f>IFERROR(__xludf.DUMMYFUNCTION("""COMPUTED_VALUE"""),1.043)</f>
        <v>1.043</v>
      </c>
      <c r="E10332" s="16">
        <f>IFERROR(__xludf.DUMMYFUNCTION("""COMPUTED_VALUE"""),67.0)</f>
        <v>67</v>
      </c>
      <c r="F10332" s="19" t="str">
        <f>IFERROR(__xludf.DUMMYFUNCTION("""COMPUTED_VALUE"""),"BLACK")</f>
        <v>BLACK</v>
      </c>
      <c r="G10332" s="20" t="str">
        <f>IFERROR(__xludf.DUMMYFUNCTION("""COMPUTED_VALUE"""),"Uncle Sams Cider (04/04/2023)")</f>
        <v>Uncle Sams Cider (04/04/2023)</v>
      </c>
      <c r="H10332" s="19"/>
    </row>
    <row r="10333">
      <c r="A10333" s="9"/>
      <c r="B10333" s="15"/>
      <c r="C10333" s="9">
        <f>IFERROR(__xludf.DUMMYFUNCTION("""COMPUTED_VALUE"""),45035.6964805092)</f>
        <v>45035.69648</v>
      </c>
      <c r="D10333" s="15">
        <f>IFERROR(__xludf.DUMMYFUNCTION("""COMPUTED_VALUE"""),1.042)</f>
        <v>1.042</v>
      </c>
      <c r="E10333" s="16">
        <f>IFERROR(__xludf.DUMMYFUNCTION("""COMPUTED_VALUE"""),67.0)</f>
        <v>67</v>
      </c>
      <c r="F10333" s="19" t="str">
        <f>IFERROR(__xludf.DUMMYFUNCTION("""COMPUTED_VALUE"""),"BLACK")</f>
        <v>BLACK</v>
      </c>
      <c r="G10333" s="20" t="str">
        <f>IFERROR(__xludf.DUMMYFUNCTION("""COMPUTED_VALUE"""),"Uncle Sams Cider (04/04/2023)")</f>
        <v>Uncle Sams Cider (04/04/2023)</v>
      </c>
      <c r="H10333" s="19"/>
    </row>
    <row r="10334">
      <c r="A10334" s="9"/>
      <c r="B10334" s="15"/>
      <c r="C10334" s="9">
        <f>IFERROR(__xludf.DUMMYFUNCTION("""COMPUTED_VALUE"""),45035.6860594791)</f>
        <v>45035.68606</v>
      </c>
      <c r="D10334" s="15">
        <f>IFERROR(__xludf.DUMMYFUNCTION("""COMPUTED_VALUE"""),1.042)</f>
        <v>1.042</v>
      </c>
      <c r="E10334" s="16">
        <f>IFERROR(__xludf.DUMMYFUNCTION("""COMPUTED_VALUE"""),67.0)</f>
        <v>67</v>
      </c>
      <c r="F10334" s="19" t="str">
        <f>IFERROR(__xludf.DUMMYFUNCTION("""COMPUTED_VALUE"""),"BLACK")</f>
        <v>BLACK</v>
      </c>
      <c r="G10334" s="20" t="str">
        <f>IFERROR(__xludf.DUMMYFUNCTION("""COMPUTED_VALUE"""),"Uncle Sams Cider (04/04/2023)")</f>
        <v>Uncle Sams Cider (04/04/2023)</v>
      </c>
      <c r="H10334" s="19"/>
    </row>
    <row r="10335">
      <c r="A10335" s="9"/>
      <c r="B10335" s="15"/>
      <c r="C10335" s="9">
        <f>IFERROR(__xludf.DUMMYFUNCTION("""COMPUTED_VALUE"""),45035.675637824)</f>
        <v>45035.67564</v>
      </c>
      <c r="D10335" s="15">
        <f>IFERROR(__xludf.DUMMYFUNCTION("""COMPUTED_VALUE"""),1.043)</f>
        <v>1.043</v>
      </c>
      <c r="E10335" s="16">
        <f>IFERROR(__xludf.DUMMYFUNCTION("""COMPUTED_VALUE"""),67.0)</f>
        <v>67</v>
      </c>
      <c r="F10335" s="19" t="str">
        <f>IFERROR(__xludf.DUMMYFUNCTION("""COMPUTED_VALUE"""),"BLACK")</f>
        <v>BLACK</v>
      </c>
      <c r="G10335" s="20" t="str">
        <f>IFERROR(__xludf.DUMMYFUNCTION("""COMPUTED_VALUE"""),"Uncle Sams Cider (04/04/2023)")</f>
        <v>Uncle Sams Cider (04/04/2023)</v>
      </c>
      <c r="H10335" s="19"/>
    </row>
    <row r="10336">
      <c r="A10336" s="9"/>
      <c r="B10336" s="15"/>
      <c r="C10336" s="9">
        <f>IFERROR(__xludf.DUMMYFUNCTION("""COMPUTED_VALUE"""),45035.6652176967)</f>
        <v>45035.66522</v>
      </c>
      <c r="D10336" s="15">
        <f>IFERROR(__xludf.DUMMYFUNCTION("""COMPUTED_VALUE"""),1.042)</f>
        <v>1.042</v>
      </c>
      <c r="E10336" s="16">
        <f>IFERROR(__xludf.DUMMYFUNCTION("""COMPUTED_VALUE"""),67.0)</f>
        <v>67</v>
      </c>
      <c r="F10336" s="19" t="str">
        <f>IFERROR(__xludf.DUMMYFUNCTION("""COMPUTED_VALUE"""),"BLACK")</f>
        <v>BLACK</v>
      </c>
      <c r="G10336" s="20" t="str">
        <f>IFERROR(__xludf.DUMMYFUNCTION("""COMPUTED_VALUE"""),"Uncle Sams Cider (04/04/2023)")</f>
        <v>Uncle Sams Cider (04/04/2023)</v>
      </c>
      <c r="H10336" s="19"/>
    </row>
    <row r="10337">
      <c r="A10337" s="9"/>
      <c r="B10337" s="15"/>
      <c r="C10337" s="9">
        <f>IFERROR(__xludf.DUMMYFUNCTION("""COMPUTED_VALUE"""),45035.6547953703)</f>
        <v>45035.6548</v>
      </c>
      <c r="D10337" s="15">
        <f>IFERROR(__xludf.DUMMYFUNCTION("""COMPUTED_VALUE"""),1.042)</f>
        <v>1.042</v>
      </c>
      <c r="E10337" s="16">
        <f>IFERROR(__xludf.DUMMYFUNCTION("""COMPUTED_VALUE"""),67.0)</f>
        <v>67</v>
      </c>
      <c r="F10337" s="19" t="str">
        <f>IFERROR(__xludf.DUMMYFUNCTION("""COMPUTED_VALUE"""),"BLACK")</f>
        <v>BLACK</v>
      </c>
      <c r="G10337" s="20" t="str">
        <f>IFERROR(__xludf.DUMMYFUNCTION("""COMPUTED_VALUE"""),"Uncle Sams Cider (04/04/2023)")</f>
        <v>Uncle Sams Cider (04/04/2023)</v>
      </c>
      <c r="H10337" s="19"/>
    </row>
    <row r="10338">
      <c r="A10338" s="9"/>
      <c r="B10338" s="15"/>
      <c r="C10338" s="9">
        <f>IFERROR(__xludf.DUMMYFUNCTION("""COMPUTED_VALUE"""),45035.6443745833)</f>
        <v>45035.64437</v>
      </c>
      <c r="D10338" s="15">
        <f>IFERROR(__xludf.DUMMYFUNCTION("""COMPUTED_VALUE"""),1.043)</f>
        <v>1.043</v>
      </c>
      <c r="E10338" s="16">
        <f>IFERROR(__xludf.DUMMYFUNCTION("""COMPUTED_VALUE"""),67.0)</f>
        <v>67</v>
      </c>
      <c r="F10338" s="19" t="str">
        <f>IFERROR(__xludf.DUMMYFUNCTION("""COMPUTED_VALUE"""),"BLACK")</f>
        <v>BLACK</v>
      </c>
      <c r="G10338" s="20" t="str">
        <f>IFERROR(__xludf.DUMMYFUNCTION("""COMPUTED_VALUE"""),"Uncle Sams Cider (04/04/2023)")</f>
        <v>Uncle Sams Cider (04/04/2023)</v>
      </c>
      <c r="H10338" s="19"/>
    </row>
    <row r="10339">
      <c r="A10339" s="9"/>
      <c r="B10339" s="15"/>
      <c r="C10339" s="9">
        <f>IFERROR(__xludf.DUMMYFUNCTION("""COMPUTED_VALUE"""),45035.6339531944)</f>
        <v>45035.63395</v>
      </c>
      <c r="D10339" s="15">
        <f>IFERROR(__xludf.DUMMYFUNCTION("""COMPUTED_VALUE"""),1.043)</f>
        <v>1.043</v>
      </c>
      <c r="E10339" s="16">
        <f>IFERROR(__xludf.DUMMYFUNCTION("""COMPUTED_VALUE"""),67.0)</f>
        <v>67</v>
      </c>
      <c r="F10339" s="19" t="str">
        <f>IFERROR(__xludf.DUMMYFUNCTION("""COMPUTED_VALUE"""),"BLACK")</f>
        <v>BLACK</v>
      </c>
      <c r="G10339" s="20" t="str">
        <f>IFERROR(__xludf.DUMMYFUNCTION("""COMPUTED_VALUE"""),"Uncle Sams Cider (04/04/2023)")</f>
        <v>Uncle Sams Cider (04/04/2023)</v>
      </c>
      <c r="H10339" s="19"/>
    </row>
    <row r="10340">
      <c r="A10340" s="9"/>
      <c r="B10340" s="15"/>
      <c r="C10340" s="9">
        <f>IFERROR(__xludf.DUMMYFUNCTION("""COMPUTED_VALUE"""),45035.6235308912)</f>
        <v>45035.62353</v>
      </c>
      <c r="D10340" s="15">
        <f>IFERROR(__xludf.DUMMYFUNCTION("""COMPUTED_VALUE"""),1.043)</f>
        <v>1.043</v>
      </c>
      <c r="E10340" s="16">
        <f>IFERROR(__xludf.DUMMYFUNCTION("""COMPUTED_VALUE"""),67.0)</f>
        <v>67</v>
      </c>
      <c r="F10340" s="19" t="str">
        <f>IFERROR(__xludf.DUMMYFUNCTION("""COMPUTED_VALUE"""),"BLACK")</f>
        <v>BLACK</v>
      </c>
      <c r="G10340" s="20" t="str">
        <f>IFERROR(__xludf.DUMMYFUNCTION("""COMPUTED_VALUE"""),"Uncle Sams Cider (04/04/2023)")</f>
        <v>Uncle Sams Cider (04/04/2023)</v>
      </c>
      <c r="H10340" s="19"/>
    </row>
    <row r="10341">
      <c r="A10341" s="9"/>
      <c r="B10341" s="15"/>
      <c r="C10341" s="9">
        <f>IFERROR(__xludf.DUMMYFUNCTION("""COMPUTED_VALUE"""),45035.6130985648)</f>
        <v>45035.6131</v>
      </c>
      <c r="D10341" s="15">
        <f>IFERROR(__xludf.DUMMYFUNCTION("""COMPUTED_VALUE"""),1.043)</f>
        <v>1.043</v>
      </c>
      <c r="E10341" s="16">
        <f>IFERROR(__xludf.DUMMYFUNCTION("""COMPUTED_VALUE"""),67.0)</f>
        <v>67</v>
      </c>
      <c r="F10341" s="19" t="str">
        <f>IFERROR(__xludf.DUMMYFUNCTION("""COMPUTED_VALUE"""),"BLACK")</f>
        <v>BLACK</v>
      </c>
      <c r="G10341" s="20" t="str">
        <f>IFERROR(__xludf.DUMMYFUNCTION("""COMPUTED_VALUE"""),"Uncle Sams Cider (04/04/2023)")</f>
        <v>Uncle Sams Cider (04/04/2023)</v>
      </c>
      <c r="H10341" s="19"/>
    </row>
    <row r="10342">
      <c r="A10342" s="9"/>
      <c r="B10342" s="15"/>
      <c r="C10342" s="9">
        <f>IFERROR(__xludf.DUMMYFUNCTION("""COMPUTED_VALUE"""),45035.602665324)</f>
        <v>45035.60267</v>
      </c>
      <c r="D10342" s="15">
        <f>IFERROR(__xludf.DUMMYFUNCTION("""COMPUTED_VALUE"""),1.043)</f>
        <v>1.043</v>
      </c>
      <c r="E10342" s="16">
        <f>IFERROR(__xludf.DUMMYFUNCTION("""COMPUTED_VALUE"""),67.0)</f>
        <v>67</v>
      </c>
      <c r="F10342" s="19" t="str">
        <f>IFERROR(__xludf.DUMMYFUNCTION("""COMPUTED_VALUE"""),"BLACK")</f>
        <v>BLACK</v>
      </c>
      <c r="G10342" s="20" t="str">
        <f>IFERROR(__xludf.DUMMYFUNCTION("""COMPUTED_VALUE"""),"Uncle Sams Cider (04/04/2023)")</f>
        <v>Uncle Sams Cider (04/04/2023)</v>
      </c>
      <c r="H10342" s="19"/>
    </row>
    <row r="10343">
      <c r="A10343" s="9"/>
      <c r="B10343" s="15"/>
      <c r="C10343" s="9">
        <f>IFERROR(__xludf.DUMMYFUNCTION("""COMPUTED_VALUE"""),45035.5922435416)</f>
        <v>45035.59224</v>
      </c>
      <c r="D10343" s="15">
        <f>IFERROR(__xludf.DUMMYFUNCTION("""COMPUTED_VALUE"""),1.043)</f>
        <v>1.043</v>
      </c>
      <c r="E10343" s="16">
        <f>IFERROR(__xludf.DUMMYFUNCTION("""COMPUTED_VALUE"""),67.0)</f>
        <v>67</v>
      </c>
      <c r="F10343" s="19" t="str">
        <f>IFERROR(__xludf.DUMMYFUNCTION("""COMPUTED_VALUE"""),"BLACK")</f>
        <v>BLACK</v>
      </c>
      <c r="G10343" s="20" t="str">
        <f>IFERROR(__xludf.DUMMYFUNCTION("""COMPUTED_VALUE"""),"Uncle Sams Cider (04/04/2023)")</f>
        <v>Uncle Sams Cider (04/04/2023)</v>
      </c>
      <c r="H10343" s="19"/>
    </row>
    <row r="10344">
      <c r="A10344" s="9"/>
      <c r="B10344" s="15"/>
      <c r="C10344" s="9">
        <f>IFERROR(__xludf.DUMMYFUNCTION("""COMPUTED_VALUE"""),45035.5817883449)</f>
        <v>45035.58179</v>
      </c>
      <c r="D10344" s="15">
        <f>IFERROR(__xludf.DUMMYFUNCTION("""COMPUTED_VALUE"""),1.042)</f>
        <v>1.042</v>
      </c>
      <c r="E10344" s="16">
        <f>IFERROR(__xludf.DUMMYFUNCTION("""COMPUTED_VALUE"""),67.0)</f>
        <v>67</v>
      </c>
      <c r="F10344" s="19" t="str">
        <f>IFERROR(__xludf.DUMMYFUNCTION("""COMPUTED_VALUE"""),"BLACK")</f>
        <v>BLACK</v>
      </c>
      <c r="G10344" s="20" t="str">
        <f>IFERROR(__xludf.DUMMYFUNCTION("""COMPUTED_VALUE"""),"Uncle Sams Cider (04/04/2023)")</f>
        <v>Uncle Sams Cider (04/04/2023)</v>
      </c>
      <c r="H10344" s="19"/>
    </row>
    <row r="10345">
      <c r="A10345" s="9"/>
      <c r="B10345" s="15"/>
      <c r="C10345" s="9">
        <f>IFERROR(__xludf.DUMMYFUNCTION("""COMPUTED_VALUE"""),45035.5713676967)</f>
        <v>45035.57137</v>
      </c>
      <c r="D10345" s="15">
        <f>IFERROR(__xludf.DUMMYFUNCTION("""COMPUTED_VALUE"""),1.043)</f>
        <v>1.043</v>
      </c>
      <c r="E10345" s="16">
        <f>IFERROR(__xludf.DUMMYFUNCTION("""COMPUTED_VALUE"""),67.0)</f>
        <v>67</v>
      </c>
      <c r="F10345" s="19" t="str">
        <f>IFERROR(__xludf.DUMMYFUNCTION("""COMPUTED_VALUE"""),"BLACK")</f>
        <v>BLACK</v>
      </c>
      <c r="G10345" s="20" t="str">
        <f>IFERROR(__xludf.DUMMYFUNCTION("""COMPUTED_VALUE"""),"Uncle Sams Cider (04/04/2023)")</f>
        <v>Uncle Sams Cider (04/04/2023)</v>
      </c>
      <c r="H10345" s="19"/>
    </row>
    <row r="10346">
      <c r="A10346" s="9"/>
      <c r="B10346" s="15"/>
      <c r="C10346" s="9">
        <f>IFERROR(__xludf.DUMMYFUNCTION("""COMPUTED_VALUE"""),45035.5609478009)</f>
        <v>45035.56095</v>
      </c>
      <c r="D10346" s="15">
        <f>IFERROR(__xludf.DUMMYFUNCTION("""COMPUTED_VALUE"""),1.043)</f>
        <v>1.043</v>
      </c>
      <c r="E10346" s="16">
        <f>IFERROR(__xludf.DUMMYFUNCTION("""COMPUTED_VALUE"""),67.0)</f>
        <v>67</v>
      </c>
      <c r="F10346" s="19" t="str">
        <f>IFERROR(__xludf.DUMMYFUNCTION("""COMPUTED_VALUE"""),"BLACK")</f>
        <v>BLACK</v>
      </c>
      <c r="G10346" s="20" t="str">
        <f>IFERROR(__xludf.DUMMYFUNCTION("""COMPUTED_VALUE"""),"Uncle Sams Cider (04/04/2023)")</f>
        <v>Uncle Sams Cider (04/04/2023)</v>
      </c>
      <c r="H10346" s="19"/>
    </row>
    <row r="10347">
      <c r="A10347" s="9"/>
      <c r="B10347" s="15"/>
      <c r="C10347" s="9">
        <f>IFERROR(__xludf.DUMMYFUNCTION("""COMPUTED_VALUE"""),45035.5505153819)</f>
        <v>45035.55052</v>
      </c>
      <c r="D10347" s="15">
        <f>IFERROR(__xludf.DUMMYFUNCTION("""COMPUTED_VALUE"""),1.043)</f>
        <v>1.043</v>
      </c>
      <c r="E10347" s="16">
        <f>IFERROR(__xludf.DUMMYFUNCTION("""COMPUTED_VALUE"""),67.0)</f>
        <v>67</v>
      </c>
      <c r="F10347" s="19" t="str">
        <f>IFERROR(__xludf.DUMMYFUNCTION("""COMPUTED_VALUE"""),"BLACK")</f>
        <v>BLACK</v>
      </c>
      <c r="G10347" s="20" t="str">
        <f>IFERROR(__xludf.DUMMYFUNCTION("""COMPUTED_VALUE"""),"Uncle Sams Cider (04/04/2023)")</f>
        <v>Uncle Sams Cider (04/04/2023)</v>
      </c>
      <c r="H10347" s="19"/>
    </row>
    <row r="10348">
      <c r="A10348" s="9"/>
      <c r="B10348" s="15"/>
      <c r="C10348" s="9">
        <f>IFERROR(__xludf.DUMMYFUNCTION("""COMPUTED_VALUE"""),45035.5400946759)</f>
        <v>45035.54009</v>
      </c>
      <c r="D10348" s="15">
        <f>IFERROR(__xludf.DUMMYFUNCTION("""COMPUTED_VALUE"""),1.043)</f>
        <v>1.043</v>
      </c>
      <c r="E10348" s="16">
        <f>IFERROR(__xludf.DUMMYFUNCTION("""COMPUTED_VALUE"""),67.0)</f>
        <v>67</v>
      </c>
      <c r="F10348" s="19" t="str">
        <f>IFERROR(__xludf.DUMMYFUNCTION("""COMPUTED_VALUE"""),"BLACK")</f>
        <v>BLACK</v>
      </c>
      <c r="G10348" s="20" t="str">
        <f>IFERROR(__xludf.DUMMYFUNCTION("""COMPUTED_VALUE"""),"Uncle Sams Cider (04/04/2023)")</f>
        <v>Uncle Sams Cider (04/04/2023)</v>
      </c>
      <c r="H10348" s="19"/>
    </row>
    <row r="10349">
      <c r="A10349" s="9"/>
      <c r="B10349" s="15"/>
      <c r="C10349" s="9">
        <f>IFERROR(__xludf.DUMMYFUNCTION("""COMPUTED_VALUE"""),45035.5296766551)</f>
        <v>45035.52968</v>
      </c>
      <c r="D10349" s="15">
        <f>IFERROR(__xludf.DUMMYFUNCTION("""COMPUTED_VALUE"""),1.043)</f>
        <v>1.043</v>
      </c>
      <c r="E10349" s="16">
        <f>IFERROR(__xludf.DUMMYFUNCTION("""COMPUTED_VALUE"""),67.0)</f>
        <v>67</v>
      </c>
      <c r="F10349" s="19" t="str">
        <f>IFERROR(__xludf.DUMMYFUNCTION("""COMPUTED_VALUE"""),"BLACK")</f>
        <v>BLACK</v>
      </c>
      <c r="G10349" s="20" t="str">
        <f>IFERROR(__xludf.DUMMYFUNCTION("""COMPUTED_VALUE"""),"Uncle Sams Cider (04/04/2023)")</f>
        <v>Uncle Sams Cider (04/04/2023)</v>
      </c>
      <c r="H10349" s="19"/>
    </row>
    <row r="10350">
      <c r="A10350" s="9"/>
      <c r="B10350" s="15"/>
      <c r="C10350" s="9">
        <f>IFERROR(__xludf.DUMMYFUNCTION("""COMPUTED_VALUE"""),45035.519221574)</f>
        <v>45035.51922</v>
      </c>
      <c r="D10350" s="15">
        <f>IFERROR(__xludf.DUMMYFUNCTION("""COMPUTED_VALUE"""),1.043)</f>
        <v>1.043</v>
      </c>
      <c r="E10350" s="16">
        <f>IFERROR(__xludf.DUMMYFUNCTION("""COMPUTED_VALUE"""),67.0)</f>
        <v>67</v>
      </c>
      <c r="F10350" s="19" t="str">
        <f>IFERROR(__xludf.DUMMYFUNCTION("""COMPUTED_VALUE"""),"BLACK")</f>
        <v>BLACK</v>
      </c>
      <c r="G10350" s="20" t="str">
        <f>IFERROR(__xludf.DUMMYFUNCTION("""COMPUTED_VALUE"""),"Uncle Sams Cider (04/04/2023)")</f>
        <v>Uncle Sams Cider (04/04/2023)</v>
      </c>
      <c r="H10350" s="19"/>
    </row>
    <row r="10351">
      <c r="A10351" s="9"/>
      <c r="B10351" s="15"/>
      <c r="C10351" s="9">
        <f>IFERROR(__xludf.DUMMYFUNCTION("""COMPUTED_VALUE"""),45035.5087989583)</f>
        <v>45035.5088</v>
      </c>
      <c r="D10351" s="15">
        <f>IFERROR(__xludf.DUMMYFUNCTION("""COMPUTED_VALUE"""),1.043)</f>
        <v>1.043</v>
      </c>
      <c r="E10351" s="16">
        <f>IFERROR(__xludf.DUMMYFUNCTION("""COMPUTED_VALUE"""),67.0)</f>
        <v>67</v>
      </c>
      <c r="F10351" s="19" t="str">
        <f>IFERROR(__xludf.DUMMYFUNCTION("""COMPUTED_VALUE"""),"BLACK")</f>
        <v>BLACK</v>
      </c>
      <c r="G10351" s="20" t="str">
        <f>IFERROR(__xludf.DUMMYFUNCTION("""COMPUTED_VALUE"""),"Uncle Sams Cider (04/04/2023)")</f>
        <v>Uncle Sams Cider (04/04/2023)</v>
      </c>
      <c r="H10351" s="19"/>
    </row>
    <row r="10352">
      <c r="A10352" s="9"/>
      <c r="B10352" s="15"/>
      <c r="C10352" s="9">
        <f>IFERROR(__xludf.DUMMYFUNCTION("""COMPUTED_VALUE"""),45035.4983766088)</f>
        <v>45035.49838</v>
      </c>
      <c r="D10352" s="15">
        <f>IFERROR(__xludf.DUMMYFUNCTION("""COMPUTED_VALUE"""),1.043)</f>
        <v>1.043</v>
      </c>
      <c r="E10352" s="16">
        <f>IFERROR(__xludf.DUMMYFUNCTION("""COMPUTED_VALUE"""),67.0)</f>
        <v>67</v>
      </c>
      <c r="F10352" s="19" t="str">
        <f>IFERROR(__xludf.DUMMYFUNCTION("""COMPUTED_VALUE"""),"BLACK")</f>
        <v>BLACK</v>
      </c>
      <c r="G10352" s="20" t="str">
        <f>IFERROR(__xludf.DUMMYFUNCTION("""COMPUTED_VALUE"""),"Uncle Sams Cider (04/04/2023)")</f>
        <v>Uncle Sams Cider (04/04/2023)</v>
      </c>
      <c r="H10352" s="19"/>
    </row>
    <row r="10353">
      <c r="A10353" s="9"/>
      <c r="B10353" s="15"/>
      <c r="C10353" s="9">
        <f>IFERROR(__xludf.DUMMYFUNCTION("""COMPUTED_VALUE"""),45035.4879551736)</f>
        <v>45035.48796</v>
      </c>
      <c r="D10353" s="15">
        <f>IFERROR(__xludf.DUMMYFUNCTION("""COMPUTED_VALUE"""),1.043)</f>
        <v>1.043</v>
      </c>
      <c r="E10353" s="16">
        <f>IFERROR(__xludf.DUMMYFUNCTION("""COMPUTED_VALUE"""),67.0)</f>
        <v>67</v>
      </c>
      <c r="F10353" s="19" t="str">
        <f>IFERROR(__xludf.DUMMYFUNCTION("""COMPUTED_VALUE"""),"BLACK")</f>
        <v>BLACK</v>
      </c>
      <c r="G10353" s="20" t="str">
        <f>IFERROR(__xludf.DUMMYFUNCTION("""COMPUTED_VALUE"""),"Uncle Sams Cider (04/04/2023)")</f>
        <v>Uncle Sams Cider (04/04/2023)</v>
      </c>
      <c r="H10353" s="19"/>
    </row>
    <row r="10354">
      <c r="A10354" s="9"/>
      <c r="B10354" s="15"/>
      <c r="C10354" s="9">
        <f>IFERROR(__xludf.DUMMYFUNCTION("""COMPUTED_VALUE"""),45035.4775330902)</f>
        <v>45035.47753</v>
      </c>
      <c r="D10354" s="15">
        <f>IFERROR(__xludf.DUMMYFUNCTION("""COMPUTED_VALUE"""),1.043)</f>
        <v>1.043</v>
      </c>
      <c r="E10354" s="16">
        <f>IFERROR(__xludf.DUMMYFUNCTION("""COMPUTED_VALUE"""),67.0)</f>
        <v>67</v>
      </c>
      <c r="F10354" s="19" t="str">
        <f>IFERROR(__xludf.DUMMYFUNCTION("""COMPUTED_VALUE"""),"BLACK")</f>
        <v>BLACK</v>
      </c>
      <c r="G10354" s="20" t="str">
        <f>IFERROR(__xludf.DUMMYFUNCTION("""COMPUTED_VALUE"""),"Uncle Sams Cider (04/04/2023)")</f>
        <v>Uncle Sams Cider (04/04/2023)</v>
      </c>
      <c r="H10354" s="19"/>
    </row>
    <row r="10355">
      <c r="A10355" s="9"/>
      <c r="B10355" s="15"/>
      <c r="C10355" s="9">
        <f>IFERROR(__xludf.DUMMYFUNCTION("""COMPUTED_VALUE"""),45035.4671113425)</f>
        <v>45035.46711</v>
      </c>
      <c r="D10355" s="15">
        <f>IFERROR(__xludf.DUMMYFUNCTION("""COMPUTED_VALUE"""),1.043)</f>
        <v>1.043</v>
      </c>
      <c r="E10355" s="16">
        <f>IFERROR(__xludf.DUMMYFUNCTION("""COMPUTED_VALUE"""),67.0)</f>
        <v>67</v>
      </c>
      <c r="F10355" s="19" t="str">
        <f>IFERROR(__xludf.DUMMYFUNCTION("""COMPUTED_VALUE"""),"BLACK")</f>
        <v>BLACK</v>
      </c>
      <c r="G10355" s="20" t="str">
        <f>IFERROR(__xludf.DUMMYFUNCTION("""COMPUTED_VALUE"""),"Uncle Sams Cider (04/04/2023)")</f>
        <v>Uncle Sams Cider (04/04/2023)</v>
      </c>
      <c r="H10355" s="19"/>
    </row>
    <row r="10356">
      <c r="A10356" s="9"/>
      <c r="B10356" s="15"/>
      <c r="C10356" s="9">
        <f>IFERROR(__xludf.DUMMYFUNCTION("""COMPUTED_VALUE"""),45035.4566914814)</f>
        <v>45035.45669</v>
      </c>
      <c r="D10356" s="15">
        <f>IFERROR(__xludf.DUMMYFUNCTION("""COMPUTED_VALUE"""),1.043)</f>
        <v>1.043</v>
      </c>
      <c r="E10356" s="16">
        <f>IFERROR(__xludf.DUMMYFUNCTION("""COMPUTED_VALUE"""),67.0)</f>
        <v>67</v>
      </c>
      <c r="F10356" s="19" t="str">
        <f>IFERROR(__xludf.DUMMYFUNCTION("""COMPUTED_VALUE"""),"BLACK")</f>
        <v>BLACK</v>
      </c>
      <c r="G10356" s="20" t="str">
        <f>IFERROR(__xludf.DUMMYFUNCTION("""COMPUTED_VALUE"""),"Uncle Sams Cider (04/04/2023)")</f>
        <v>Uncle Sams Cider (04/04/2023)</v>
      </c>
      <c r="H10356" s="19"/>
    </row>
    <row r="10357">
      <c r="A10357" s="9"/>
      <c r="B10357" s="15"/>
      <c r="C10357" s="9">
        <f>IFERROR(__xludf.DUMMYFUNCTION("""COMPUTED_VALUE"""),45035.4462694328)</f>
        <v>45035.44627</v>
      </c>
      <c r="D10357" s="15">
        <f>IFERROR(__xludf.DUMMYFUNCTION("""COMPUTED_VALUE"""),1.043)</f>
        <v>1.043</v>
      </c>
      <c r="E10357" s="16">
        <f>IFERROR(__xludf.DUMMYFUNCTION("""COMPUTED_VALUE"""),67.0)</f>
        <v>67</v>
      </c>
      <c r="F10357" s="19" t="str">
        <f>IFERROR(__xludf.DUMMYFUNCTION("""COMPUTED_VALUE"""),"BLACK")</f>
        <v>BLACK</v>
      </c>
      <c r="G10357" s="20" t="str">
        <f>IFERROR(__xludf.DUMMYFUNCTION("""COMPUTED_VALUE"""),"Uncle Sams Cider (04/04/2023)")</f>
        <v>Uncle Sams Cider (04/04/2023)</v>
      </c>
      <c r="H10357" s="19"/>
    </row>
    <row r="10358">
      <c r="A10358" s="9"/>
      <c r="B10358" s="15"/>
      <c r="C10358" s="9">
        <f>IFERROR(__xludf.DUMMYFUNCTION("""COMPUTED_VALUE"""),45035.4358469213)</f>
        <v>45035.43585</v>
      </c>
      <c r="D10358" s="15">
        <f>IFERROR(__xludf.DUMMYFUNCTION("""COMPUTED_VALUE"""),1.043)</f>
        <v>1.043</v>
      </c>
      <c r="E10358" s="16">
        <f>IFERROR(__xludf.DUMMYFUNCTION("""COMPUTED_VALUE"""),67.0)</f>
        <v>67</v>
      </c>
      <c r="F10358" s="19" t="str">
        <f>IFERROR(__xludf.DUMMYFUNCTION("""COMPUTED_VALUE"""),"BLACK")</f>
        <v>BLACK</v>
      </c>
      <c r="G10358" s="20" t="str">
        <f>IFERROR(__xludf.DUMMYFUNCTION("""COMPUTED_VALUE"""),"Uncle Sams Cider (04/04/2023)")</f>
        <v>Uncle Sams Cider (04/04/2023)</v>
      </c>
      <c r="H10358" s="19"/>
    </row>
    <row r="10359">
      <c r="A10359" s="9"/>
      <c r="B10359" s="15"/>
      <c r="C10359" s="9">
        <f>IFERROR(__xludf.DUMMYFUNCTION("""COMPUTED_VALUE"""),45035.4254153125)</f>
        <v>45035.42542</v>
      </c>
      <c r="D10359" s="15">
        <f>IFERROR(__xludf.DUMMYFUNCTION("""COMPUTED_VALUE"""),1.043)</f>
        <v>1.043</v>
      </c>
      <c r="E10359" s="16">
        <f>IFERROR(__xludf.DUMMYFUNCTION("""COMPUTED_VALUE"""),67.0)</f>
        <v>67</v>
      </c>
      <c r="F10359" s="19" t="str">
        <f>IFERROR(__xludf.DUMMYFUNCTION("""COMPUTED_VALUE"""),"BLACK")</f>
        <v>BLACK</v>
      </c>
      <c r="G10359" s="20" t="str">
        <f>IFERROR(__xludf.DUMMYFUNCTION("""COMPUTED_VALUE"""),"Uncle Sams Cider (04/04/2023)")</f>
        <v>Uncle Sams Cider (04/04/2023)</v>
      </c>
      <c r="H10359" s="19"/>
    </row>
    <row r="10360">
      <c r="A10360" s="9"/>
      <c r="B10360" s="15"/>
      <c r="C10360" s="9">
        <f>IFERROR(__xludf.DUMMYFUNCTION("""COMPUTED_VALUE"""),45035.4149939467)</f>
        <v>45035.41499</v>
      </c>
      <c r="D10360" s="15">
        <f>IFERROR(__xludf.DUMMYFUNCTION("""COMPUTED_VALUE"""),1.043)</f>
        <v>1.043</v>
      </c>
      <c r="E10360" s="16">
        <f>IFERROR(__xludf.DUMMYFUNCTION("""COMPUTED_VALUE"""),67.0)</f>
        <v>67</v>
      </c>
      <c r="F10360" s="19" t="str">
        <f>IFERROR(__xludf.DUMMYFUNCTION("""COMPUTED_VALUE"""),"BLACK")</f>
        <v>BLACK</v>
      </c>
      <c r="G10360" s="20" t="str">
        <f>IFERROR(__xludf.DUMMYFUNCTION("""COMPUTED_VALUE"""),"Uncle Sams Cider (04/04/2023)")</f>
        <v>Uncle Sams Cider (04/04/2023)</v>
      </c>
      <c r="H10360" s="19"/>
    </row>
    <row r="10361">
      <c r="A10361" s="9"/>
      <c r="B10361" s="15"/>
      <c r="C10361" s="9">
        <f>IFERROR(__xludf.DUMMYFUNCTION("""COMPUTED_VALUE"""),45035.404538287)</f>
        <v>45035.40454</v>
      </c>
      <c r="D10361" s="15">
        <f>IFERROR(__xludf.DUMMYFUNCTION("""COMPUTED_VALUE"""),1.043)</f>
        <v>1.043</v>
      </c>
      <c r="E10361" s="16">
        <f>IFERROR(__xludf.DUMMYFUNCTION("""COMPUTED_VALUE"""),67.0)</f>
        <v>67</v>
      </c>
      <c r="F10361" s="19" t="str">
        <f>IFERROR(__xludf.DUMMYFUNCTION("""COMPUTED_VALUE"""),"BLACK")</f>
        <v>BLACK</v>
      </c>
      <c r="G10361" s="20" t="str">
        <f>IFERROR(__xludf.DUMMYFUNCTION("""COMPUTED_VALUE"""),"Uncle Sams Cider (04/04/2023)")</f>
        <v>Uncle Sams Cider (04/04/2023)</v>
      </c>
      <c r="H10361" s="19"/>
    </row>
    <row r="10362">
      <c r="A10362" s="9"/>
      <c r="B10362" s="15"/>
      <c r="C10362" s="9">
        <f>IFERROR(__xludf.DUMMYFUNCTION("""COMPUTED_VALUE"""),45035.3940930902)</f>
        <v>45035.39409</v>
      </c>
      <c r="D10362" s="15">
        <f>IFERROR(__xludf.DUMMYFUNCTION("""COMPUTED_VALUE"""),1.043)</f>
        <v>1.043</v>
      </c>
      <c r="E10362" s="16">
        <f>IFERROR(__xludf.DUMMYFUNCTION("""COMPUTED_VALUE"""),67.0)</f>
        <v>67</v>
      </c>
      <c r="F10362" s="19" t="str">
        <f>IFERROR(__xludf.DUMMYFUNCTION("""COMPUTED_VALUE"""),"BLACK")</f>
        <v>BLACK</v>
      </c>
      <c r="G10362" s="20" t="str">
        <f>IFERROR(__xludf.DUMMYFUNCTION("""COMPUTED_VALUE"""),"Uncle Sams Cider (04/04/2023)")</f>
        <v>Uncle Sams Cider (04/04/2023)</v>
      </c>
      <c r="H10362" s="19"/>
    </row>
    <row r="10363">
      <c r="A10363" s="9"/>
      <c r="B10363" s="15"/>
      <c r="C10363" s="9">
        <f>IFERROR(__xludf.DUMMYFUNCTION("""COMPUTED_VALUE"""),45035.383671574)</f>
        <v>45035.38367</v>
      </c>
      <c r="D10363" s="15">
        <f>IFERROR(__xludf.DUMMYFUNCTION("""COMPUTED_VALUE"""),1.043)</f>
        <v>1.043</v>
      </c>
      <c r="E10363" s="16">
        <f>IFERROR(__xludf.DUMMYFUNCTION("""COMPUTED_VALUE"""),67.0)</f>
        <v>67</v>
      </c>
      <c r="F10363" s="19" t="str">
        <f>IFERROR(__xludf.DUMMYFUNCTION("""COMPUTED_VALUE"""),"BLACK")</f>
        <v>BLACK</v>
      </c>
      <c r="G10363" s="20" t="str">
        <f>IFERROR(__xludf.DUMMYFUNCTION("""COMPUTED_VALUE"""),"Uncle Sams Cider (04/04/2023)")</f>
        <v>Uncle Sams Cider (04/04/2023)</v>
      </c>
      <c r="H10363" s="19"/>
    </row>
    <row r="10364">
      <c r="A10364" s="9"/>
      <c r="B10364" s="15"/>
      <c r="C10364" s="9">
        <f>IFERROR(__xludf.DUMMYFUNCTION("""COMPUTED_VALUE"""),45035.3732276157)</f>
        <v>45035.37323</v>
      </c>
      <c r="D10364" s="15">
        <f>IFERROR(__xludf.DUMMYFUNCTION("""COMPUTED_VALUE"""),1.043)</f>
        <v>1.043</v>
      </c>
      <c r="E10364" s="16">
        <f>IFERROR(__xludf.DUMMYFUNCTION("""COMPUTED_VALUE"""),67.0)</f>
        <v>67</v>
      </c>
      <c r="F10364" s="19" t="str">
        <f>IFERROR(__xludf.DUMMYFUNCTION("""COMPUTED_VALUE"""),"BLACK")</f>
        <v>BLACK</v>
      </c>
      <c r="G10364" s="20" t="str">
        <f>IFERROR(__xludf.DUMMYFUNCTION("""COMPUTED_VALUE"""),"Uncle Sams Cider (04/04/2023)")</f>
        <v>Uncle Sams Cider (04/04/2023)</v>
      </c>
      <c r="H10364" s="19"/>
    </row>
    <row r="10365">
      <c r="A10365" s="9"/>
      <c r="B10365" s="15"/>
      <c r="C10365" s="9">
        <f>IFERROR(__xludf.DUMMYFUNCTION("""COMPUTED_VALUE"""),45035.3628053935)</f>
        <v>45035.36281</v>
      </c>
      <c r="D10365" s="15">
        <f>IFERROR(__xludf.DUMMYFUNCTION("""COMPUTED_VALUE"""),1.043)</f>
        <v>1.043</v>
      </c>
      <c r="E10365" s="16">
        <f>IFERROR(__xludf.DUMMYFUNCTION("""COMPUTED_VALUE"""),67.0)</f>
        <v>67</v>
      </c>
      <c r="F10365" s="19" t="str">
        <f>IFERROR(__xludf.DUMMYFUNCTION("""COMPUTED_VALUE"""),"BLACK")</f>
        <v>BLACK</v>
      </c>
      <c r="G10365" s="20" t="str">
        <f>IFERROR(__xludf.DUMMYFUNCTION("""COMPUTED_VALUE"""),"Uncle Sams Cider (04/04/2023)")</f>
        <v>Uncle Sams Cider (04/04/2023)</v>
      </c>
      <c r="H10365" s="19"/>
    </row>
    <row r="10366">
      <c r="A10366" s="9"/>
      <c r="B10366" s="15"/>
      <c r="C10366" s="9">
        <f>IFERROR(__xludf.DUMMYFUNCTION("""COMPUTED_VALUE"""),45035.3523840972)</f>
        <v>45035.35238</v>
      </c>
      <c r="D10366" s="15">
        <f>IFERROR(__xludf.DUMMYFUNCTION("""COMPUTED_VALUE"""),1.043)</f>
        <v>1.043</v>
      </c>
      <c r="E10366" s="16">
        <f>IFERROR(__xludf.DUMMYFUNCTION("""COMPUTED_VALUE"""),67.0)</f>
        <v>67</v>
      </c>
      <c r="F10366" s="19" t="str">
        <f>IFERROR(__xludf.DUMMYFUNCTION("""COMPUTED_VALUE"""),"BLACK")</f>
        <v>BLACK</v>
      </c>
      <c r="G10366" s="20" t="str">
        <f>IFERROR(__xludf.DUMMYFUNCTION("""COMPUTED_VALUE"""),"Uncle Sams Cider (04/04/2023)")</f>
        <v>Uncle Sams Cider (04/04/2023)</v>
      </c>
      <c r="H10366" s="19"/>
    </row>
    <row r="10367">
      <c r="A10367" s="9"/>
      <c r="B10367" s="15"/>
      <c r="C10367" s="9">
        <f>IFERROR(__xludf.DUMMYFUNCTION("""COMPUTED_VALUE"""),45035.3419490162)</f>
        <v>45035.34195</v>
      </c>
      <c r="D10367" s="15">
        <f>IFERROR(__xludf.DUMMYFUNCTION("""COMPUTED_VALUE"""),1.043)</f>
        <v>1.043</v>
      </c>
      <c r="E10367" s="16">
        <f>IFERROR(__xludf.DUMMYFUNCTION("""COMPUTED_VALUE"""),67.0)</f>
        <v>67</v>
      </c>
      <c r="F10367" s="19" t="str">
        <f>IFERROR(__xludf.DUMMYFUNCTION("""COMPUTED_VALUE"""),"BLACK")</f>
        <v>BLACK</v>
      </c>
      <c r="G10367" s="20" t="str">
        <f>IFERROR(__xludf.DUMMYFUNCTION("""COMPUTED_VALUE"""),"Uncle Sams Cider (04/04/2023)")</f>
        <v>Uncle Sams Cider (04/04/2023)</v>
      </c>
      <c r="H10367" s="19"/>
    </row>
    <row r="10368">
      <c r="A10368" s="9"/>
      <c r="B10368" s="15"/>
      <c r="C10368" s="9">
        <f>IFERROR(__xludf.DUMMYFUNCTION("""COMPUTED_VALUE"""),45035.3315281597)</f>
        <v>45035.33153</v>
      </c>
      <c r="D10368" s="15">
        <f>IFERROR(__xludf.DUMMYFUNCTION("""COMPUTED_VALUE"""),1.043)</f>
        <v>1.043</v>
      </c>
      <c r="E10368" s="16">
        <f>IFERROR(__xludf.DUMMYFUNCTION("""COMPUTED_VALUE"""),67.0)</f>
        <v>67</v>
      </c>
      <c r="F10368" s="19" t="str">
        <f>IFERROR(__xludf.DUMMYFUNCTION("""COMPUTED_VALUE"""),"BLACK")</f>
        <v>BLACK</v>
      </c>
      <c r="G10368" s="20" t="str">
        <f>IFERROR(__xludf.DUMMYFUNCTION("""COMPUTED_VALUE"""),"Uncle Sams Cider (04/04/2023)")</f>
        <v>Uncle Sams Cider (04/04/2023)</v>
      </c>
      <c r="H10368" s="19"/>
    </row>
    <row r="10369">
      <c r="A10369" s="9"/>
      <c r="B10369" s="15"/>
      <c r="C10369" s="9">
        <f>IFERROR(__xludf.DUMMYFUNCTION("""COMPUTED_VALUE"""),45035.3210947569)</f>
        <v>45035.32109</v>
      </c>
      <c r="D10369" s="15">
        <f>IFERROR(__xludf.DUMMYFUNCTION("""COMPUTED_VALUE"""),1.043)</f>
        <v>1.043</v>
      </c>
      <c r="E10369" s="16">
        <f>IFERROR(__xludf.DUMMYFUNCTION("""COMPUTED_VALUE"""),67.0)</f>
        <v>67</v>
      </c>
      <c r="F10369" s="19" t="str">
        <f>IFERROR(__xludf.DUMMYFUNCTION("""COMPUTED_VALUE"""),"BLACK")</f>
        <v>BLACK</v>
      </c>
      <c r="G10369" s="20" t="str">
        <f>IFERROR(__xludf.DUMMYFUNCTION("""COMPUTED_VALUE"""),"Uncle Sams Cider (04/04/2023)")</f>
        <v>Uncle Sams Cider (04/04/2023)</v>
      </c>
      <c r="H10369" s="19"/>
    </row>
    <row r="10370">
      <c r="A10370" s="9"/>
      <c r="B10370" s="15"/>
      <c r="C10370" s="9">
        <f>IFERROR(__xludf.DUMMYFUNCTION("""COMPUTED_VALUE"""),45035.3106732638)</f>
        <v>45035.31067</v>
      </c>
      <c r="D10370" s="15">
        <f>IFERROR(__xludf.DUMMYFUNCTION("""COMPUTED_VALUE"""),1.043)</f>
        <v>1.043</v>
      </c>
      <c r="E10370" s="16">
        <f>IFERROR(__xludf.DUMMYFUNCTION("""COMPUTED_VALUE"""),67.0)</f>
        <v>67</v>
      </c>
      <c r="F10370" s="19" t="str">
        <f>IFERROR(__xludf.DUMMYFUNCTION("""COMPUTED_VALUE"""),"BLACK")</f>
        <v>BLACK</v>
      </c>
      <c r="G10370" s="20" t="str">
        <f>IFERROR(__xludf.DUMMYFUNCTION("""COMPUTED_VALUE"""),"Uncle Sams Cider (04/04/2023)")</f>
        <v>Uncle Sams Cider (04/04/2023)</v>
      </c>
      <c r="H10370" s="19"/>
    </row>
    <row r="10371">
      <c r="A10371" s="9"/>
      <c r="B10371" s="15"/>
      <c r="C10371" s="9">
        <f>IFERROR(__xludf.DUMMYFUNCTION("""COMPUTED_VALUE"""),45035.3002188425)</f>
        <v>45035.30022</v>
      </c>
      <c r="D10371" s="15">
        <f>IFERROR(__xludf.DUMMYFUNCTION("""COMPUTED_VALUE"""),1.043)</f>
        <v>1.043</v>
      </c>
      <c r="E10371" s="16">
        <f>IFERROR(__xludf.DUMMYFUNCTION("""COMPUTED_VALUE"""),67.0)</f>
        <v>67</v>
      </c>
      <c r="F10371" s="19" t="str">
        <f>IFERROR(__xludf.DUMMYFUNCTION("""COMPUTED_VALUE"""),"BLACK")</f>
        <v>BLACK</v>
      </c>
      <c r="G10371" s="20" t="str">
        <f>IFERROR(__xludf.DUMMYFUNCTION("""COMPUTED_VALUE"""),"Uncle Sams Cider (04/04/2023)")</f>
        <v>Uncle Sams Cider (04/04/2023)</v>
      </c>
      <c r="H10371" s="19"/>
    </row>
    <row r="10372">
      <c r="A10372" s="9"/>
      <c r="B10372" s="15"/>
      <c r="C10372" s="9">
        <f>IFERROR(__xludf.DUMMYFUNCTION("""COMPUTED_VALUE"""),45035.2897970138)</f>
        <v>45035.2898</v>
      </c>
      <c r="D10372" s="15">
        <f>IFERROR(__xludf.DUMMYFUNCTION("""COMPUTED_VALUE"""),1.043)</f>
        <v>1.043</v>
      </c>
      <c r="E10372" s="16">
        <f>IFERROR(__xludf.DUMMYFUNCTION("""COMPUTED_VALUE"""),67.0)</f>
        <v>67</v>
      </c>
      <c r="F10372" s="19" t="str">
        <f>IFERROR(__xludf.DUMMYFUNCTION("""COMPUTED_VALUE"""),"BLACK")</f>
        <v>BLACK</v>
      </c>
      <c r="G10372" s="20" t="str">
        <f>IFERROR(__xludf.DUMMYFUNCTION("""COMPUTED_VALUE"""),"Uncle Sams Cider (04/04/2023)")</f>
        <v>Uncle Sams Cider (04/04/2023)</v>
      </c>
      <c r="H10372" s="19"/>
    </row>
    <row r="10373">
      <c r="A10373" s="9"/>
      <c r="B10373" s="15"/>
      <c r="C10373" s="9">
        <f>IFERROR(__xludf.DUMMYFUNCTION("""COMPUTED_VALUE"""),45035.2793752314)</f>
        <v>45035.27938</v>
      </c>
      <c r="D10373" s="15">
        <f>IFERROR(__xludf.DUMMYFUNCTION("""COMPUTED_VALUE"""),1.043)</f>
        <v>1.043</v>
      </c>
      <c r="E10373" s="16">
        <f>IFERROR(__xludf.DUMMYFUNCTION("""COMPUTED_VALUE"""),67.0)</f>
        <v>67</v>
      </c>
      <c r="F10373" s="19" t="str">
        <f>IFERROR(__xludf.DUMMYFUNCTION("""COMPUTED_VALUE"""),"BLACK")</f>
        <v>BLACK</v>
      </c>
      <c r="G10373" s="20" t="str">
        <f>IFERROR(__xludf.DUMMYFUNCTION("""COMPUTED_VALUE"""),"Uncle Sams Cider (04/04/2023)")</f>
        <v>Uncle Sams Cider (04/04/2023)</v>
      </c>
      <c r="H10373" s="19"/>
    </row>
    <row r="10374">
      <c r="A10374" s="9"/>
      <c r="B10374" s="15"/>
      <c r="C10374" s="9">
        <f>IFERROR(__xludf.DUMMYFUNCTION("""COMPUTED_VALUE"""),45035.2689544907)</f>
        <v>45035.26895</v>
      </c>
      <c r="D10374" s="15">
        <f>IFERROR(__xludf.DUMMYFUNCTION("""COMPUTED_VALUE"""),1.043)</f>
        <v>1.043</v>
      </c>
      <c r="E10374" s="16">
        <f>IFERROR(__xludf.DUMMYFUNCTION("""COMPUTED_VALUE"""),67.0)</f>
        <v>67</v>
      </c>
      <c r="F10374" s="19" t="str">
        <f>IFERROR(__xludf.DUMMYFUNCTION("""COMPUTED_VALUE"""),"BLACK")</f>
        <v>BLACK</v>
      </c>
      <c r="G10374" s="20" t="str">
        <f>IFERROR(__xludf.DUMMYFUNCTION("""COMPUTED_VALUE"""),"Uncle Sams Cider (04/04/2023)")</f>
        <v>Uncle Sams Cider (04/04/2023)</v>
      </c>
      <c r="H10374" s="19"/>
    </row>
    <row r="10375">
      <c r="A10375" s="9"/>
      <c r="B10375" s="15"/>
      <c r="C10375" s="9">
        <f>IFERROR(__xludf.DUMMYFUNCTION("""COMPUTED_VALUE"""),45035.2585098611)</f>
        <v>45035.25851</v>
      </c>
      <c r="D10375" s="15">
        <f>IFERROR(__xludf.DUMMYFUNCTION("""COMPUTED_VALUE"""),1.043)</f>
        <v>1.043</v>
      </c>
      <c r="E10375" s="16">
        <f>IFERROR(__xludf.DUMMYFUNCTION("""COMPUTED_VALUE"""),67.0)</f>
        <v>67</v>
      </c>
      <c r="F10375" s="19" t="str">
        <f>IFERROR(__xludf.DUMMYFUNCTION("""COMPUTED_VALUE"""),"BLACK")</f>
        <v>BLACK</v>
      </c>
      <c r="G10375" s="20" t="str">
        <f>IFERROR(__xludf.DUMMYFUNCTION("""COMPUTED_VALUE"""),"Uncle Sams Cider (04/04/2023)")</f>
        <v>Uncle Sams Cider (04/04/2023)</v>
      </c>
      <c r="H10375" s="19"/>
    </row>
    <row r="10376">
      <c r="A10376" s="9"/>
      <c r="B10376" s="15"/>
      <c r="C10376" s="9">
        <f>IFERROR(__xludf.DUMMYFUNCTION("""COMPUTED_VALUE"""),45035.2480894791)</f>
        <v>45035.24809</v>
      </c>
      <c r="D10376" s="15">
        <f>IFERROR(__xludf.DUMMYFUNCTION("""COMPUTED_VALUE"""),1.043)</f>
        <v>1.043</v>
      </c>
      <c r="E10376" s="16">
        <f>IFERROR(__xludf.DUMMYFUNCTION("""COMPUTED_VALUE"""),67.0)</f>
        <v>67</v>
      </c>
      <c r="F10376" s="19" t="str">
        <f>IFERROR(__xludf.DUMMYFUNCTION("""COMPUTED_VALUE"""),"BLACK")</f>
        <v>BLACK</v>
      </c>
      <c r="G10376" s="20" t="str">
        <f>IFERROR(__xludf.DUMMYFUNCTION("""COMPUTED_VALUE"""),"Uncle Sams Cider (04/04/2023)")</f>
        <v>Uncle Sams Cider (04/04/2023)</v>
      </c>
      <c r="H10376" s="19"/>
    </row>
    <row r="10377">
      <c r="A10377" s="9"/>
      <c r="B10377" s="15"/>
      <c r="C10377" s="9">
        <f>IFERROR(__xludf.DUMMYFUNCTION("""COMPUTED_VALUE"""),45035.2376667824)</f>
        <v>45035.23767</v>
      </c>
      <c r="D10377" s="15">
        <f>IFERROR(__xludf.DUMMYFUNCTION("""COMPUTED_VALUE"""),1.043)</f>
        <v>1.043</v>
      </c>
      <c r="E10377" s="16">
        <f>IFERROR(__xludf.DUMMYFUNCTION("""COMPUTED_VALUE"""),67.0)</f>
        <v>67</v>
      </c>
      <c r="F10377" s="19" t="str">
        <f>IFERROR(__xludf.DUMMYFUNCTION("""COMPUTED_VALUE"""),"BLACK")</f>
        <v>BLACK</v>
      </c>
      <c r="G10377" s="20" t="str">
        <f>IFERROR(__xludf.DUMMYFUNCTION("""COMPUTED_VALUE"""),"Uncle Sams Cider (04/04/2023)")</f>
        <v>Uncle Sams Cider (04/04/2023)</v>
      </c>
      <c r="H10377" s="19"/>
    </row>
    <row r="10378">
      <c r="A10378" s="9"/>
      <c r="B10378" s="15"/>
      <c r="C10378" s="9">
        <f>IFERROR(__xludf.DUMMYFUNCTION("""COMPUTED_VALUE"""),45035.2272454976)</f>
        <v>45035.22725</v>
      </c>
      <c r="D10378" s="15">
        <f>IFERROR(__xludf.DUMMYFUNCTION("""COMPUTED_VALUE"""),1.043)</f>
        <v>1.043</v>
      </c>
      <c r="E10378" s="16">
        <f>IFERROR(__xludf.DUMMYFUNCTION("""COMPUTED_VALUE"""),67.0)</f>
        <v>67</v>
      </c>
      <c r="F10378" s="19" t="str">
        <f>IFERROR(__xludf.DUMMYFUNCTION("""COMPUTED_VALUE"""),"BLACK")</f>
        <v>BLACK</v>
      </c>
      <c r="G10378" s="20" t="str">
        <f>IFERROR(__xludf.DUMMYFUNCTION("""COMPUTED_VALUE"""),"Uncle Sams Cider (04/04/2023)")</f>
        <v>Uncle Sams Cider (04/04/2023)</v>
      </c>
      <c r="H10378" s="19"/>
    </row>
    <row r="10379">
      <c r="A10379" s="9"/>
      <c r="B10379" s="15"/>
      <c r="C10379" s="9">
        <f>IFERROR(__xludf.DUMMYFUNCTION("""COMPUTED_VALUE"""),45035.2168004861)</f>
        <v>45035.2168</v>
      </c>
      <c r="D10379" s="15">
        <f>IFERROR(__xludf.DUMMYFUNCTION("""COMPUTED_VALUE"""),1.043)</f>
        <v>1.043</v>
      </c>
      <c r="E10379" s="16">
        <f>IFERROR(__xludf.DUMMYFUNCTION("""COMPUTED_VALUE"""),67.0)</f>
        <v>67</v>
      </c>
      <c r="F10379" s="19" t="str">
        <f>IFERROR(__xludf.DUMMYFUNCTION("""COMPUTED_VALUE"""),"BLACK")</f>
        <v>BLACK</v>
      </c>
      <c r="G10379" s="20" t="str">
        <f>IFERROR(__xludf.DUMMYFUNCTION("""COMPUTED_VALUE"""),"Uncle Sams Cider (04/04/2023)")</f>
        <v>Uncle Sams Cider (04/04/2023)</v>
      </c>
      <c r="H10379" s="19"/>
    </row>
    <row r="10380">
      <c r="A10380" s="9"/>
      <c r="B10380" s="15"/>
      <c r="C10380" s="9">
        <f>IFERROR(__xludf.DUMMYFUNCTION("""COMPUTED_VALUE"""),45035.2063792824)</f>
        <v>45035.20638</v>
      </c>
      <c r="D10380" s="15">
        <f>IFERROR(__xludf.DUMMYFUNCTION("""COMPUTED_VALUE"""),1.043)</f>
        <v>1.043</v>
      </c>
      <c r="E10380" s="16">
        <f>IFERROR(__xludf.DUMMYFUNCTION("""COMPUTED_VALUE"""),67.0)</f>
        <v>67</v>
      </c>
      <c r="F10380" s="19" t="str">
        <f>IFERROR(__xludf.DUMMYFUNCTION("""COMPUTED_VALUE"""),"BLACK")</f>
        <v>BLACK</v>
      </c>
      <c r="G10380" s="20" t="str">
        <f>IFERROR(__xludf.DUMMYFUNCTION("""COMPUTED_VALUE"""),"Uncle Sams Cider (04/04/2023)")</f>
        <v>Uncle Sams Cider (04/04/2023)</v>
      </c>
      <c r="H10380" s="19"/>
    </row>
    <row r="10381">
      <c r="A10381" s="9"/>
      <c r="B10381" s="15"/>
      <c r="C10381" s="9">
        <f>IFERROR(__xludf.DUMMYFUNCTION("""COMPUTED_VALUE"""),45035.1959466203)</f>
        <v>45035.19595</v>
      </c>
      <c r="D10381" s="15">
        <f>IFERROR(__xludf.DUMMYFUNCTION("""COMPUTED_VALUE"""),1.043)</f>
        <v>1.043</v>
      </c>
      <c r="E10381" s="16">
        <f>IFERROR(__xludf.DUMMYFUNCTION("""COMPUTED_VALUE"""),67.0)</f>
        <v>67</v>
      </c>
      <c r="F10381" s="19" t="str">
        <f>IFERROR(__xludf.DUMMYFUNCTION("""COMPUTED_VALUE"""),"BLACK")</f>
        <v>BLACK</v>
      </c>
      <c r="G10381" s="20" t="str">
        <f>IFERROR(__xludf.DUMMYFUNCTION("""COMPUTED_VALUE"""),"Uncle Sams Cider (04/04/2023)")</f>
        <v>Uncle Sams Cider (04/04/2023)</v>
      </c>
      <c r="H10381" s="19"/>
    </row>
    <row r="10382">
      <c r="A10382" s="9"/>
      <c r="B10382" s="15"/>
      <c r="C10382" s="9">
        <f>IFERROR(__xludf.DUMMYFUNCTION("""COMPUTED_VALUE"""),45035.1855260995)</f>
        <v>45035.18553</v>
      </c>
      <c r="D10382" s="15">
        <f>IFERROR(__xludf.DUMMYFUNCTION("""COMPUTED_VALUE"""),1.043)</f>
        <v>1.043</v>
      </c>
      <c r="E10382" s="16">
        <f>IFERROR(__xludf.DUMMYFUNCTION("""COMPUTED_VALUE"""),67.0)</f>
        <v>67</v>
      </c>
      <c r="F10382" s="19" t="str">
        <f>IFERROR(__xludf.DUMMYFUNCTION("""COMPUTED_VALUE"""),"BLACK")</f>
        <v>BLACK</v>
      </c>
      <c r="G10382" s="20" t="str">
        <f>IFERROR(__xludf.DUMMYFUNCTION("""COMPUTED_VALUE"""),"Uncle Sams Cider (04/04/2023)")</f>
        <v>Uncle Sams Cider (04/04/2023)</v>
      </c>
      <c r="H10382" s="19"/>
    </row>
    <row r="10383">
      <c r="A10383" s="9"/>
      <c r="B10383" s="15"/>
      <c r="C10383" s="9">
        <f>IFERROR(__xludf.DUMMYFUNCTION("""COMPUTED_VALUE"""),45035.1751072569)</f>
        <v>45035.17511</v>
      </c>
      <c r="D10383" s="15">
        <f>IFERROR(__xludf.DUMMYFUNCTION("""COMPUTED_VALUE"""),1.043)</f>
        <v>1.043</v>
      </c>
      <c r="E10383" s="16">
        <f>IFERROR(__xludf.DUMMYFUNCTION("""COMPUTED_VALUE"""),67.0)</f>
        <v>67</v>
      </c>
      <c r="F10383" s="19" t="str">
        <f>IFERROR(__xludf.DUMMYFUNCTION("""COMPUTED_VALUE"""),"BLACK")</f>
        <v>BLACK</v>
      </c>
      <c r="G10383" s="20" t="str">
        <f>IFERROR(__xludf.DUMMYFUNCTION("""COMPUTED_VALUE"""),"Uncle Sams Cider (04/04/2023)")</f>
        <v>Uncle Sams Cider (04/04/2023)</v>
      </c>
      <c r="H10383" s="19"/>
    </row>
    <row r="10384">
      <c r="A10384" s="9"/>
      <c r="B10384" s="15"/>
      <c r="C10384" s="9">
        <f>IFERROR(__xludf.DUMMYFUNCTION("""COMPUTED_VALUE"""),45035.1646736805)</f>
        <v>45035.16467</v>
      </c>
      <c r="D10384" s="15">
        <f>IFERROR(__xludf.DUMMYFUNCTION("""COMPUTED_VALUE"""),1.043)</f>
        <v>1.043</v>
      </c>
      <c r="E10384" s="16">
        <f>IFERROR(__xludf.DUMMYFUNCTION("""COMPUTED_VALUE"""),67.0)</f>
        <v>67</v>
      </c>
      <c r="F10384" s="19" t="str">
        <f>IFERROR(__xludf.DUMMYFUNCTION("""COMPUTED_VALUE"""),"BLACK")</f>
        <v>BLACK</v>
      </c>
      <c r="G10384" s="20" t="str">
        <f>IFERROR(__xludf.DUMMYFUNCTION("""COMPUTED_VALUE"""),"Uncle Sams Cider (04/04/2023)")</f>
        <v>Uncle Sams Cider (04/04/2023)</v>
      </c>
      <c r="H10384" s="19"/>
    </row>
    <row r="10385">
      <c r="A10385" s="9"/>
      <c r="B10385" s="15"/>
      <c r="C10385" s="9">
        <f>IFERROR(__xludf.DUMMYFUNCTION("""COMPUTED_VALUE"""),45035.1542282638)</f>
        <v>45035.15423</v>
      </c>
      <c r="D10385" s="15">
        <f>IFERROR(__xludf.DUMMYFUNCTION("""COMPUTED_VALUE"""),1.043)</f>
        <v>1.043</v>
      </c>
      <c r="E10385" s="16">
        <f>IFERROR(__xludf.DUMMYFUNCTION("""COMPUTED_VALUE"""),67.0)</f>
        <v>67</v>
      </c>
      <c r="F10385" s="19" t="str">
        <f>IFERROR(__xludf.DUMMYFUNCTION("""COMPUTED_VALUE"""),"BLACK")</f>
        <v>BLACK</v>
      </c>
      <c r="G10385" s="20" t="str">
        <f>IFERROR(__xludf.DUMMYFUNCTION("""COMPUTED_VALUE"""),"Uncle Sams Cider (04/04/2023)")</f>
        <v>Uncle Sams Cider (04/04/2023)</v>
      </c>
      <c r="H10385" s="19"/>
    </row>
    <row r="10386">
      <c r="A10386" s="9"/>
      <c r="B10386" s="15"/>
      <c r="C10386" s="9">
        <f>IFERROR(__xludf.DUMMYFUNCTION("""COMPUTED_VALUE"""),45035.1438065046)</f>
        <v>45035.14381</v>
      </c>
      <c r="D10386" s="15">
        <f>IFERROR(__xludf.DUMMYFUNCTION("""COMPUTED_VALUE"""),1.043)</f>
        <v>1.043</v>
      </c>
      <c r="E10386" s="16">
        <f>IFERROR(__xludf.DUMMYFUNCTION("""COMPUTED_VALUE"""),67.0)</f>
        <v>67</v>
      </c>
      <c r="F10386" s="19" t="str">
        <f>IFERROR(__xludf.DUMMYFUNCTION("""COMPUTED_VALUE"""),"BLACK")</f>
        <v>BLACK</v>
      </c>
      <c r="G10386" s="20" t="str">
        <f>IFERROR(__xludf.DUMMYFUNCTION("""COMPUTED_VALUE"""),"Uncle Sams Cider (04/04/2023)")</f>
        <v>Uncle Sams Cider (04/04/2023)</v>
      </c>
      <c r="H10386" s="19"/>
    </row>
    <row r="10387">
      <c r="A10387" s="9"/>
      <c r="B10387" s="15"/>
      <c r="C10387" s="9">
        <f>IFERROR(__xludf.DUMMYFUNCTION("""COMPUTED_VALUE"""),45035.1333834606)</f>
        <v>45035.13338</v>
      </c>
      <c r="D10387" s="15">
        <f>IFERROR(__xludf.DUMMYFUNCTION("""COMPUTED_VALUE"""),1.043)</f>
        <v>1.043</v>
      </c>
      <c r="E10387" s="16">
        <f>IFERROR(__xludf.DUMMYFUNCTION("""COMPUTED_VALUE"""),67.0)</f>
        <v>67</v>
      </c>
      <c r="F10387" s="19" t="str">
        <f>IFERROR(__xludf.DUMMYFUNCTION("""COMPUTED_VALUE"""),"BLACK")</f>
        <v>BLACK</v>
      </c>
      <c r="G10387" s="20" t="str">
        <f>IFERROR(__xludf.DUMMYFUNCTION("""COMPUTED_VALUE"""),"Uncle Sams Cider (04/04/2023)")</f>
        <v>Uncle Sams Cider (04/04/2023)</v>
      </c>
      <c r="H10387" s="19"/>
    </row>
    <row r="10388">
      <c r="A10388" s="9"/>
      <c r="B10388" s="15"/>
      <c r="C10388" s="9">
        <f>IFERROR(__xludf.DUMMYFUNCTION("""COMPUTED_VALUE"""),45035.1229490162)</f>
        <v>45035.12295</v>
      </c>
      <c r="D10388" s="15">
        <f>IFERROR(__xludf.DUMMYFUNCTION("""COMPUTED_VALUE"""),1.044)</f>
        <v>1.044</v>
      </c>
      <c r="E10388" s="16">
        <f>IFERROR(__xludf.DUMMYFUNCTION("""COMPUTED_VALUE"""),67.0)</f>
        <v>67</v>
      </c>
      <c r="F10388" s="19" t="str">
        <f>IFERROR(__xludf.DUMMYFUNCTION("""COMPUTED_VALUE"""),"BLACK")</f>
        <v>BLACK</v>
      </c>
      <c r="G10388" s="20" t="str">
        <f>IFERROR(__xludf.DUMMYFUNCTION("""COMPUTED_VALUE"""),"Uncle Sams Cider (04/04/2023)")</f>
        <v>Uncle Sams Cider (04/04/2023)</v>
      </c>
      <c r="H10388" s="19"/>
    </row>
    <row r="10389">
      <c r="A10389" s="9"/>
      <c r="B10389" s="15"/>
      <c r="C10389" s="9">
        <f>IFERROR(__xludf.DUMMYFUNCTION("""COMPUTED_VALUE"""),45035.112529375)</f>
        <v>45035.11253</v>
      </c>
      <c r="D10389" s="15">
        <f>IFERROR(__xludf.DUMMYFUNCTION("""COMPUTED_VALUE"""),1.044)</f>
        <v>1.044</v>
      </c>
      <c r="E10389" s="16">
        <f>IFERROR(__xludf.DUMMYFUNCTION("""COMPUTED_VALUE"""),67.0)</f>
        <v>67</v>
      </c>
      <c r="F10389" s="19" t="str">
        <f>IFERROR(__xludf.DUMMYFUNCTION("""COMPUTED_VALUE"""),"BLACK")</f>
        <v>BLACK</v>
      </c>
      <c r="G10389" s="20" t="str">
        <f>IFERROR(__xludf.DUMMYFUNCTION("""COMPUTED_VALUE"""),"Uncle Sams Cider (04/04/2023)")</f>
        <v>Uncle Sams Cider (04/04/2023)</v>
      </c>
      <c r="H10389" s="19"/>
    </row>
    <row r="10390">
      <c r="A10390" s="9"/>
      <c r="B10390" s="15"/>
      <c r="C10390" s="9">
        <f>IFERROR(__xludf.DUMMYFUNCTION("""COMPUTED_VALUE"""),45035.1021101851)</f>
        <v>45035.10211</v>
      </c>
      <c r="D10390" s="15">
        <f>IFERROR(__xludf.DUMMYFUNCTION("""COMPUTED_VALUE"""),1.044)</f>
        <v>1.044</v>
      </c>
      <c r="E10390" s="16">
        <f>IFERROR(__xludf.DUMMYFUNCTION("""COMPUTED_VALUE"""),68.0)</f>
        <v>68</v>
      </c>
      <c r="F10390" s="19" t="str">
        <f>IFERROR(__xludf.DUMMYFUNCTION("""COMPUTED_VALUE"""),"BLACK")</f>
        <v>BLACK</v>
      </c>
      <c r="G10390" s="20" t="str">
        <f>IFERROR(__xludf.DUMMYFUNCTION("""COMPUTED_VALUE"""),"Uncle Sams Cider (04/04/2023)")</f>
        <v>Uncle Sams Cider (04/04/2023)</v>
      </c>
      <c r="H10390" s="19"/>
    </row>
    <row r="10391">
      <c r="A10391" s="9"/>
      <c r="B10391" s="15"/>
      <c r="C10391" s="9">
        <f>IFERROR(__xludf.DUMMYFUNCTION("""COMPUTED_VALUE"""),45035.0916900115)</f>
        <v>45035.09169</v>
      </c>
      <c r="D10391" s="15">
        <f>IFERROR(__xludf.DUMMYFUNCTION("""COMPUTED_VALUE"""),1.044)</f>
        <v>1.044</v>
      </c>
      <c r="E10391" s="16">
        <f>IFERROR(__xludf.DUMMYFUNCTION("""COMPUTED_VALUE"""),67.0)</f>
        <v>67</v>
      </c>
      <c r="F10391" s="19" t="str">
        <f>IFERROR(__xludf.DUMMYFUNCTION("""COMPUTED_VALUE"""),"BLACK")</f>
        <v>BLACK</v>
      </c>
      <c r="G10391" s="20" t="str">
        <f>IFERROR(__xludf.DUMMYFUNCTION("""COMPUTED_VALUE"""),"Uncle Sams Cider (04/04/2023)")</f>
        <v>Uncle Sams Cider (04/04/2023)</v>
      </c>
      <c r="H10391" s="19"/>
    </row>
    <row r="10392">
      <c r="A10392" s="9"/>
      <c r="B10392" s="15"/>
      <c r="C10392" s="9">
        <f>IFERROR(__xludf.DUMMYFUNCTION("""COMPUTED_VALUE"""),45035.0812679861)</f>
        <v>45035.08127</v>
      </c>
      <c r="D10392" s="15">
        <f>IFERROR(__xludf.DUMMYFUNCTION("""COMPUTED_VALUE"""),1.044)</f>
        <v>1.044</v>
      </c>
      <c r="E10392" s="16">
        <f>IFERROR(__xludf.DUMMYFUNCTION("""COMPUTED_VALUE"""),67.0)</f>
        <v>67</v>
      </c>
      <c r="F10392" s="19" t="str">
        <f>IFERROR(__xludf.DUMMYFUNCTION("""COMPUTED_VALUE"""),"BLACK")</f>
        <v>BLACK</v>
      </c>
      <c r="G10392" s="20" t="str">
        <f>IFERROR(__xludf.DUMMYFUNCTION("""COMPUTED_VALUE"""),"Uncle Sams Cider (04/04/2023)")</f>
        <v>Uncle Sams Cider (04/04/2023)</v>
      </c>
      <c r="H10392" s="19"/>
    </row>
    <row r="10393">
      <c r="A10393" s="9"/>
      <c r="B10393" s="15"/>
      <c r="C10393" s="9">
        <f>IFERROR(__xludf.DUMMYFUNCTION("""COMPUTED_VALUE"""),45035.0708224421)</f>
        <v>45035.07082</v>
      </c>
      <c r="D10393" s="15">
        <f>IFERROR(__xludf.DUMMYFUNCTION("""COMPUTED_VALUE"""),1.044)</f>
        <v>1.044</v>
      </c>
      <c r="E10393" s="16">
        <f>IFERROR(__xludf.DUMMYFUNCTION("""COMPUTED_VALUE"""),68.0)</f>
        <v>68</v>
      </c>
      <c r="F10393" s="19" t="str">
        <f>IFERROR(__xludf.DUMMYFUNCTION("""COMPUTED_VALUE"""),"BLACK")</f>
        <v>BLACK</v>
      </c>
      <c r="G10393" s="20" t="str">
        <f>IFERROR(__xludf.DUMMYFUNCTION("""COMPUTED_VALUE"""),"Uncle Sams Cider (04/04/2023)")</f>
        <v>Uncle Sams Cider (04/04/2023)</v>
      </c>
      <c r="H10393" s="19"/>
    </row>
    <row r="10394">
      <c r="A10394" s="9"/>
      <c r="B10394" s="15"/>
      <c r="C10394" s="9">
        <f>IFERROR(__xludf.DUMMYFUNCTION("""COMPUTED_VALUE"""),45035.0604031597)</f>
        <v>45035.0604</v>
      </c>
      <c r="D10394" s="15">
        <f>IFERROR(__xludf.DUMMYFUNCTION("""COMPUTED_VALUE"""),1.044)</f>
        <v>1.044</v>
      </c>
      <c r="E10394" s="16">
        <f>IFERROR(__xludf.DUMMYFUNCTION("""COMPUTED_VALUE"""),68.0)</f>
        <v>68</v>
      </c>
      <c r="F10394" s="19" t="str">
        <f>IFERROR(__xludf.DUMMYFUNCTION("""COMPUTED_VALUE"""),"BLACK")</f>
        <v>BLACK</v>
      </c>
      <c r="G10394" s="20" t="str">
        <f>IFERROR(__xludf.DUMMYFUNCTION("""COMPUTED_VALUE"""),"Uncle Sams Cider (04/04/2023)")</f>
        <v>Uncle Sams Cider (04/04/2023)</v>
      </c>
      <c r="H10394" s="19"/>
    </row>
    <row r="10395">
      <c r="A10395" s="9"/>
      <c r="B10395" s="15"/>
      <c r="C10395" s="9">
        <f>IFERROR(__xludf.DUMMYFUNCTION("""COMPUTED_VALUE"""),45035.0499578935)</f>
        <v>45035.04996</v>
      </c>
      <c r="D10395" s="15">
        <f>IFERROR(__xludf.DUMMYFUNCTION("""COMPUTED_VALUE"""),1.044)</f>
        <v>1.044</v>
      </c>
      <c r="E10395" s="16">
        <f>IFERROR(__xludf.DUMMYFUNCTION("""COMPUTED_VALUE"""),68.0)</f>
        <v>68</v>
      </c>
      <c r="F10395" s="19" t="str">
        <f>IFERROR(__xludf.DUMMYFUNCTION("""COMPUTED_VALUE"""),"BLACK")</f>
        <v>BLACK</v>
      </c>
      <c r="G10395" s="20" t="str">
        <f>IFERROR(__xludf.DUMMYFUNCTION("""COMPUTED_VALUE"""),"Uncle Sams Cider (04/04/2023)")</f>
        <v>Uncle Sams Cider (04/04/2023)</v>
      </c>
      <c r="H10395" s="19"/>
    </row>
    <row r="10396">
      <c r="A10396" s="9"/>
      <c r="B10396" s="15"/>
      <c r="C10396" s="9">
        <f>IFERROR(__xludf.DUMMYFUNCTION("""COMPUTED_VALUE"""),45035.0395359722)</f>
        <v>45035.03954</v>
      </c>
      <c r="D10396" s="15">
        <f>IFERROR(__xludf.DUMMYFUNCTION("""COMPUTED_VALUE"""),1.044)</f>
        <v>1.044</v>
      </c>
      <c r="E10396" s="16">
        <f>IFERROR(__xludf.DUMMYFUNCTION("""COMPUTED_VALUE"""),68.0)</f>
        <v>68</v>
      </c>
      <c r="F10396" s="19" t="str">
        <f>IFERROR(__xludf.DUMMYFUNCTION("""COMPUTED_VALUE"""),"BLACK")</f>
        <v>BLACK</v>
      </c>
      <c r="G10396" s="20" t="str">
        <f>IFERROR(__xludf.DUMMYFUNCTION("""COMPUTED_VALUE"""),"Uncle Sams Cider (04/04/2023)")</f>
        <v>Uncle Sams Cider (04/04/2023)</v>
      </c>
      <c r="H10396" s="19"/>
    </row>
    <row r="10397">
      <c r="A10397" s="9"/>
      <c r="B10397" s="15"/>
      <c r="C10397" s="9">
        <f>IFERROR(__xludf.DUMMYFUNCTION("""COMPUTED_VALUE"""),45035.0291143518)</f>
        <v>45035.02911</v>
      </c>
      <c r="D10397" s="15">
        <f>IFERROR(__xludf.DUMMYFUNCTION("""COMPUTED_VALUE"""),1.044)</f>
        <v>1.044</v>
      </c>
      <c r="E10397" s="16">
        <f>IFERROR(__xludf.DUMMYFUNCTION("""COMPUTED_VALUE"""),68.0)</f>
        <v>68</v>
      </c>
      <c r="F10397" s="19" t="str">
        <f>IFERROR(__xludf.DUMMYFUNCTION("""COMPUTED_VALUE"""),"BLACK")</f>
        <v>BLACK</v>
      </c>
      <c r="G10397" s="20" t="str">
        <f>IFERROR(__xludf.DUMMYFUNCTION("""COMPUTED_VALUE"""),"Uncle Sams Cider (04/04/2023)")</f>
        <v>Uncle Sams Cider (04/04/2023)</v>
      </c>
      <c r="H10397" s="19"/>
    </row>
    <row r="10398">
      <c r="A10398" s="9"/>
      <c r="B10398" s="15"/>
      <c r="C10398" s="9">
        <f>IFERROR(__xludf.DUMMYFUNCTION("""COMPUTED_VALUE"""),45035.0186926504)</f>
        <v>45035.01869</v>
      </c>
      <c r="D10398" s="15">
        <f>IFERROR(__xludf.DUMMYFUNCTION("""COMPUTED_VALUE"""),1.044)</f>
        <v>1.044</v>
      </c>
      <c r="E10398" s="16">
        <f>IFERROR(__xludf.DUMMYFUNCTION("""COMPUTED_VALUE"""),68.0)</f>
        <v>68</v>
      </c>
      <c r="F10398" s="19" t="str">
        <f>IFERROR(__xludf.DUMMYFUNCTION("""COMPUTED_VALUE"""),"BLACK")</f>
        <v>BLACK</v>
      </c>
      <c r="G10398" s="20" t="str">
        <f>IFERROR(__xludf.DUMMYFUNCTION("""COMPUTED_VALUE"""),"Uncle Sams Cider (04/04/2023)")</f>
        <v>Uncle Sams Cider (04/04/2023)</v>
      </c>
      <c r="H10398" s="19"/>
    </row>
    <row r="10399">
      <c r="A10399" s="9"/>
      <c r="B10399" s="15"/>
      <c r="C10399" s="9">
        <f>IFERROR(__xludf.DUMMYFUNCTION("""COMPUTED_VALUE"""),45035.0082715509)</f>
        <v>45035.00827</v>
      </c>
      <c r="D10399" s="15">
        <f>IFERROR(__xludf.DUMMYFUNCTION("""COMPUTED_VALUE"""),1.044)</f>
        <v>1.044</v>
      </c>
      <c r="E10399" s="16">
        <f>IFERROR(__xludf.DUMMYFUNCTION("""COMPUTED_VALUE"""),68.0)</f>
        <v>68</v>
      </c>
      <c r="F10399" s="19" t="str">
        <f>IFERROR(__xludf.DUMMYFUNCTION("""COMPUTED_VALUE"""),"BLACK")</f>
        <v>BLACK</v>
      </c>
      <c r="G10399" s="20" t="str">
        <f>IFERROR(__xludf.DUMMYFUNCTION("""COMPUTED_VALUE"""),"Uncle Sams Cider (04/04/2023)")</f>
        <v>Uncle Sams Cider (04/04/2023)</v>
      </c>
      <c r="H10399" s="19"/>
    </row>
    <row r="10400">
      <c r="A10400" s="9"/>
      <c r="B10400" s="15"/>
      <c r="C10400" s="9">
        <f>IFERROR(__xludf.DUMMYFUNCTION("""COMPUTED_VALUE"""),45034.9978381944)</f>
        <v>45034.99784</v>
      </c>
      <c r="D10400" s="15">
        <f>IFERROR(__xludf.DUMMYFUNCTION("""COMPUTED_VALUE"""),1.044)</f>
        <v>1.044</v>
      </c>
      <c r="E10400" s="16">
        <f>IFERROR(__xludf.DUMMYFUNCTION("""COMPUTED_VALUE"""),67.0)</f>
        <v>67</v>
      </c>
      <c r="F10400" s="19" t="str">
        <f>IFERROR(__xludf.DUMMYFUNCTION("""COMPUTED_VALUE"""),"BLACK")</f>
        <v>BLACK</v>
      </c>
      <c r="G10400" s="20" t="str">
        <f>IFERROR(__xludf.DUMMYFUNCTION("""COMPUTED_VALUE"""),"Uncle Sams Cider (04/04/2023)")</f>
        <v>Uncle Sams Cider (04/04/2023)</v>
      </c>
      <c r="H10400" s="19"/>
    </row>
    <row r="10401">
      <c r="A10401" s="9"/>
      <c r="B10401" s="15"/>
      <c r="C10401" s="9">
        <f>IFERROR(__xludf.DUMMYFUNCTION("""COMPUTED_VALUE"""),45034.9874177777)</f>
        <v>45034.98742</v>
      </c>
      <c r="D10401" s="15">
        <f>IFERROR(__xludf.DUMMYFUNCTION("""COMPUTED_VALUE"""),1.044)</f>
        <v>1.044</v>
      </c>
      <c r="E10401" s="16">
        <f>IFERROR(__xludf.DUMMYFUNCTION("""COMPUTED_VALUE"""),68.0)</f>
        <v>68</v>
      </c>
      <c r="F10401" s="19" t="str">
        <f>IFERROR(__xludf.DUMMYFUNCTION("""COMPUTED_VALUE"""),"BLACK")</f>
        <v>BLACK</v>
      </c>
      <c r="G10401" s="20" t="str">
        <f>IFERROR(__xludf.DUMMYFUNCTION("""COMPUTED_VALUE"""),"Uncle Sams Cider (04/04/2023)")</f>
        <v>Uncle Sams Cider (04/04/2023)</v>
      </c>
      <c r="H10401" s="19"/>
    </row>
    <row r="10402">
      <c r="A10402" s="9"/>
      <c r="B10402" s="15"/>
      <c r="C10402" s="9">
        <f>IFERROR(__xludf.DUMMYFUNCTION("""COMPUTED_VALUE"""),45034.9769957638)</f>
        <v>45034.977</v>
      </c>
      <c r="D10402" s="15">
        <f>IFERROR(__xludf.DUMMYFUNCTION("""COMPUTED_VALUE"""),1.044)</f>
        <v>1.044</v>
      </c>
      <c r="E10402" s="16">
        <f>IFERROR(__xludf.DUMMYFUNCTION("""COMPUTED_VALUE"""),68.0)</f>
        <v>68</v>
      </c>
      <c r="F10402" s="19" t="str">
        <f>IFERROR(__xludf.DUMMYFUNCTION("""COMPUTED_VALUE"""),"BLACK")</f>
        <v>BLACK</v>
      </c>
      <c r="G10402" s="20" t="str">
        <f>IFERROR(__xludf.DUMMYFUNCTION("""COMPUTED_VALUE"""),"Uncle Sams Cider (04/04/2023)")</f>
        <v>Uncle Sams Cider (04/04/2023)</v>
      </c>
      <c r="H10402" s="19"/>
    </row>
    <row r="10403">
      <c r="A10403" s="9"/>
      <c r="B10403" s="15"/>
      <c r="C10403" s="9">
        <f>IFERROR(__xludf.DUMMYFUNCTION("""COMPUTED_VALUE"""),45034.966575324)</f>
        <v>45034.96658</v>
      </c>
      <c r="D10403" s="15">
        <f>IFERROR(__xludf.DUMMYFUNCTION("""COMPUTED_VALUE"""),1.044)</f>
        <v>1.044</v>
      </c>
      <c r="E10403" s="16">
        <f>IFERROR(__xludf.DUMMYFUNCTION("""COMPUTED_VALUE"""),68.0)</f>
        <v>68</v>
      </c>
      <c r="F10403" s="19" t="str">
        <f>IFERROR(__xludf.DUMMYFUNCTION("""COMPUTED_VALUE"""),"BLACK")</f>
        <v>BLACK</v>
      </c>
      <c r="G10403" s="20" t="str">
        <f>IFERROR(__xludf.DUMMYFUNCTION("""COMPUTED_VALUE"""),"Uncle Sams Cider (04/04/2023)")</f>
        <v>Uncle Sams Cider (04/04/2023)</v>
      </c>
      <c r="H10403" s="19"/>
    </row>
    <row r="10404">
      <c r="A10404" s="9"/>
      <c r="B10404" s="15"/>
      <c r="C10404" s="9">
        <f>IFERROR(__xludf.DUMMYFUNCTION("""COMPUTED_VALUE"""),45034.9561409838)</f>
        <v>45034.95614</v>
      </c>
      <c r="D10404" s="15">
        <f>IFERROR(__xludf.DUMMYFUNCTION("""COMPUTED_VALUE"""),1.044)</f>
        <v>1.044</v>
      </c>
      <c r="E10404" s="16">
        <f>IFERROR(__xludf.DUMMYFUNCTION("""COMPUTED_VALUE"""),68.0)</f>
        <v>68</v>
      </c>
      <c r="F10404" s="19" t="str">
        <f>IFERROR(__xludf.DUMMYFUNCTION("""COMPUTED_VALUE"""),"BLACK")</f>
        <v>BLACK</v>
      </c>
      <c r="G10404" s="20" t="str">
        <f>IFERROR(__xludf.DUMMYFUNCTION("""COMPUTED_VALUE"""),"Uncle Sams Cider (04/04/2023)")</f>
        <v>Uncle Sams Cider (04/04/2023)</v>
      </c>
      <c r="H10404" s="19"/>
    </row>
    <row r="10405">
      <c r="A10405" s="9"/>
      <c r="B10405" s="15"/>
      <c r="C10405" s="9">
        <f>IFERROR(__xludf.DUMMYFUNCTION("""COMPUTED_VALUE"""),45034.9457198263)</f>
        <v>45034.94572</v>
      </c>
      <c r="D10405" s="15">
        <f>IFERROR(__xludf.DUMMYFUNCTION("""COMPUTED_VALUE"""),1.044)</f>
        <v>1.044</v>
      </c>
      <c r="E10405" s="16">
        <f>IFERROR(__xludf.DUMMYFUNCTION("""COMPUTED_VALUE"""),68.0)</f>
        <v>68</v>
      </c>
      <c r="F10405" s="19" t="str">
        <f>IFERROR(__xludf.DUMMYFUNCTION("""COMPUTED_VALUE"""),"BLACK")</f>
        <v>BLACK</v>
      </c>
      <c r="G10405" s="20" t="str">
        <f>IFERROR(__xludf.DUMMYFUNCTION("""COMPUTED_VALUE"""),"Uncle Sams Cider (04/04/2023)")</f>
        <v>Uncle Sams Cider (04/04/2023)</v>
      </c>
      <c r="H10405" s="19"/>
    </row>
    <row r="10406">
      <c r="A10406" s="9"/>
      <c r="B10406" s="15"/>
      <c r="C10406" s="9">
        <f>IFERROR(__xludf.DUMMYFUNCTION("""COMPUTED_VALUE"""),45034.9352750462)</f>
        <v>45034.93528</v>
      </c>
      <c r="D10406" s="15">
        <f>IFERROR(__xludf.DUMMYFUNCTION("""COMPUTED_VALUE"""),1.044)</f>
        <v>1.044</v>
      </c>
      <c r="E10406" s="16">
        <f>IFERROR(__xludf.DUMMYFUNCTION("""COMPUTED_VALUE"""),68.0)</f>
        <v>68</v>
      </c>
      <c r="F10406" s="19" t="str">
        <f>IFERROR(__xludf.DUMMYFUNCTION("""COMPUTED_VALUE"""),"BLACK")</f>
        <v>BLACK</v>
      </c>
      <c r="G10406" s="20" t="str">
        <f>IFERROR(__xludf.DUMMYFUNCTION("""COMPUTED_VALUE"""),"Uncle Sams Cider (04/04/2023)")</f>
        <v>Uncle Sams Cider (04/04/2023)</v>
      </c>
      <c r="H10406" s="19"/>
    </row>
    <row r="10407">
      <c r="A10407" s="9"/>
      <c r="B10407" s="15"/>
      <c r="C10407" s="9">
        <f>IFERROR(__xludf.DUMMYFUNCTION("""COMPUTED_VALUE"""),45034.9248067939)</f>
        <v>45034.92481</v>
      </c>
      <c r="D10407" s="15">
        <f>IFERROR(__xludf.DUMMYFUNCTION("""COMPUTED_VALUE"""),1.044)</f>
        <v>1.044</v>
      </c>
      <c r="E10407" s="16">
        <f>IFERROR(__xludf.DUMMYFUNCTION("""COMPUTED_VALUE"""),68.0)</f>
        <v>68</v>
      </c>
      <c r="F10407" s="19" t="str">
        <f>IFERROR(__xludf.DUMMYFUNCTION("""COMPUTED_VALUE"""),"BLACK")</f>
        <v>BLACK</v>
      </c>
      <c r="G10407" s="20" t="str">
        <f>IFERROR(__xludf.DUMMYFUNCTION("""COMPUTED_VALUE"""),"Uncle Sams Cider (04/04/2023)")</f>
        <v>Uncle Sams Cider (04/04/2023)</v>
      </c>
      <c r="H10407" s="19"/>
    </row>
    <row r="10408">
      <c r="A10408" s="9"/>
      <c r="B10408" s="15"/>
      <c r="C10408" s="9">
        <f>IFERROR(__xludf.DUMMYFUNCTION("""COMPUTED_VALUE"""),45034.9143871759)</f>
        <v>45034.91439</v>
      </c>
      <c r="D10408" s="15">
        <f>IFERROR(__xludf.DUMMYFUNCTION("""COMPUTED_VALUE"""),1.044)</f>
        <v>1.044</v>
      </c>
      <c r="E10408" s="16">
        <f>IFERROR(__xludf.DUMMYFUNCTION("""COMPUTED_VALUE"""),68.0)</f>
        <v>68</v>
      </c>
      <c r="F10408" s="19" t="str">
        <f>IFERROR(__xludf.DUMMYFUNCTION("""COMPUTED_VALUE"""),"BLACK")</f>
        <v>BLACK</v>
      </c>
      <c r="G10408" s="20" t="str">
        <f>IFERROR(__xludf.DUMMYFUNCTION("""COMPUTED_VALUE"""),"Uncle Sams Cider (04/04/2023)")</f>
        <v>Uncle Sams Cider (04/04/2023)</v>
      </c>
      <c r="H10408" s="19"/>
    </row>
    <row r="10409">
      <c r="A10409" s="9"/>
      <c r="B10409" s="15"/>
      <c r="C10409" s="9">
        <f>IFERROR(__xludf.DUMMYFUNCTION("""COMPUTED_VALUE"""),45034.9039550578)</f>
        <v>45034.90396</v>
      </c>
      <c r="D10409" s="15">
        <f>IFERROR(__xludf.DUMMYFUNCTION("""COMPUTED_VALUE"""),1.044)</f>
        <v>1.044</v>
      </c>
      <c r="E10409" s="16">
        <f>IFERROR(__xludf.DUMMYFUNCTION("""COMPUTED_VALUE"""),68.0)</f>
        <v>68</v>
      </c>
      <c r="F10409" s="19" t="str">
        <f>IFERROR(__xludf.DUMMYFUNCTION("""COMPUTED_VALUE"""),"BLACK")</f>
        <v>BLACK</v>
      </c>
      <c r="G10409" s="20" t="str">
        <f>IFERROR(__xludf.DUMMYFUNCTION("""COMPUTED_VALUE"""),"Uncle Sams Cider (04/04/2023)")</f>
        <v>Uncle Sams Cider (04/04/2023)</v>
      </c>
      <c r="H10409" s="19"/>
    </row>
    <row r="10410">
      <c r="A10410" s="9"/>
      <c r="B10410" s="15"/>
      <c r="C10410" s="9">
        <f>IFERROR(__xludf.DUMMYFUNCTION("""COMPUTED_VALUE"""),45034.8935223263)</f>
        <v>45034.89352</v>
      </c>
      <c r="D10410" s="15">
        <f>IFERROR(__xludf.DUMMYFUNCTION("""COMPUTED_VALUE"""),1.044)</f>
        <v>1.044</v>
      </c>
      <c r="E10410" s="16">
        <f>IFERROR(__xludf.DUMMYFUNCTION("""COMPUTED_VALUE"""),68.0)</f>
        <v>68</v>
      </c>
      <c r="F10410" s="19" t="str">
        <f>IFERROR(__xludf.DUMMYFUNCTION("""COMPUTED_VALUE"""),"BLACK")</f>
        <v>BLACK</v>
      </c>
      <c r="G10410" s="20" t="str">
        <f>IFERROR(__xludf.DUMMYFUNCTION("""COMPUTED_VALUE"""),"Uncle Sams Cider (04/04/2023)")</f>
        <v>Uncle Sams Cider (04/04/2023)</v>
      </c>
      <c r="H10410" s="19"/>
    </row>
    <row r="10411">
      <c r="A10411" s="9"/>
      <c r="B10411" s="15"/>
      <c r="C10411" s="9">
        <f>IFERROR(__xludf.DUMMYFUNCTION("""COMPUTED_VALUE"""),45034.8831024421)</f>
        <v>45034.8831</v>
      </c>
      <c r="D10411" s="15">
        <f>IFERROR(__xludf.DUMMYFUNCTION("""COMPUTED_VALUE"""),1.044)</f>
        <v>1.044</v>
      </c>
      <c r="E10411" s="16">
        <f>IFERROR(__xludf.DUMMYFUNCTION("""COMPUTED_VALUE"""),68.0)</f>
        <v>68</v>
      </c>
      <c r="F10411" s="19" t="str">
        <f>IFERROR(__xludf.DUMMYFUNCTION("""COMPUTED_VALUE"""),"BLACK")</f>
        <v>BLACK</v>
      </c>
      <c r="G10411" s="20" t="str">
        <f>IFERROR(__xludf.DUMMYFUNCTION("""COMPUTED_VALUE"""),"Uncle Sams Cider (04/04/2023)")</f>
        <v>Uncle Sams Cider (04/04/2023)</v>
      </c>
      <c r="H10411" s="19"/>
    </row>
    <row r="10412">
      <c r="A10412" s="9"/>
      <c r="B10412" s="15"/>
      <c r="C10412" s="9">
        <f>IFERROR(__xludf.DUMMYFUNCTION("""COMPUTED_VALUE"""),45034.8726810763)</f>
        <v>45034.87268</v>
      </c>
      <c r="D10412" s="15">
        <f>IFERROR(__xludf.DUMMYFUNCTION("""COMPUTED_VALUE"""),1.044)</f>
        <v>1.044</v>
      </c>
      <c r="E10412" s="16">
        <f>IFERROR(__xludf.DUMMYFUNCTION("""COMPUTED_VALUE"""),68.0)</f>
        <v>68</v>
      </c>
      <c r="F10412" s="19" t="str">
        <f>IFERROR(__xludf.DUMMYFUNCTION("""COMPUTED_VALUE"""),"BLACK")</f>
        <v>BLACK</v>
      </c>
      <c r="G10412" s="20" t="str">
        <f>IFERROR(__xludf.DUMMYFUNCTION("""COMPUTED_VALUE"""),"Uncle Sams Cider (04/04/2023)")</f>
        <v>Uncle Sams Cider (04/04/2023)</v>
      </c>
      <c r="H10412" s="19"/>
    </row>
    <row r="10413">
      <c r="A10413" s="9"/>
      <c r="B10413" s="15"/>
      <c r="C10413" s="9">
        <f>IFERROR(__xludf.DUMMYFUNCTION("""COMPUTED_VALUE"""),45034.8622601967)</f>
        <v>45034.86226</v>
      </c>
      <c r="D10413" s="15">
        <f>IFERROR(__xludf.DUMMYFUNCTION("""COMPUTED_VALUE"""),1.044)</f>
        <v>1.044</v>
      </c>
      <c r="E10413" s="16">
        <f>IFERROR(__xludf.DUMMYFUNCTION("""COMPUTED_VALUE"""),68.0)</f>
        <v>68</v>
      </c>
      <c r="F10413" s="19" t="str">
        <f>IFERROR(__xludf.DUMMYFUNCTION("""COMPUTED_VALUE"""),"BLACK")</f>
        <v>BLACK</v>
      </c>
      <c r="G10413" s="20" t="str">
        <f>IFERROR(__xludf.DUMMYFUNCTION("""COMPUTED_VALUE"""),"Uncle Sams Cider (04/04/2023)")</f>
        <v>Uncle Sams Cider (04/04/2023)</v>
      </c>
      <c r="H10413" s="19"/>
    </row>
    <row r="10414">
      <c r="A10414" s="9"/>
      <c r="B10414" s="15"/>
      <c r="C10414" s="9">
        <f>IFERROR(__xludf.DUMMYFUNCTION("""COMPUTED_VALUE"""),45034.8518394444)</f>
        <v>45034.85184</v>
      </c>
      <c r="D10414" s="15">
        <f>IFERROR(__xludf.DUMMYFUNCTION("""COMPUTED_VALUE"""),1.044)</f>
        <v>1.044</v>
      </c>
      <c r="E10414" s="16">
        <f>IFERROR(__xludf.DUMMYFUNCTION("""COMPUTED_VALUE"""),68.0)</f>
        <v>68</v>
      </c>
      <c r="F10414" s="19" t="str">
        <f>IFERROR(__xludf.DUMMYFUNCTION("""COMPUTED_VALUE"""),"BLACK")</f>
        <v>BLACK</v>
      </c>
      <c r="G10414" s="20" t="str">
        <f>IFERROR(__xludf.DUMMYFUNCTION("""COMPUTED_VALUE"""),"Uncle Sams Cider (04/04/2023)")</f>
        <v>Uncle Sams Cider (04/04/2023)</v>
      </c>
      <c r="H10414" s="19"/>
    </row>
    <row r="10415">
      <c r="A10415" s="9"/>
      <c r="B10415" s="15"/>
      <c r="C10415" s="9">
        <f>IFERROR(__xludf.DUMMYFUNCTION("""COMPUTED_VALUE"""),45034.8414173148)</f>
        <v>45034.84142</v>
      </c>
      <c r="D10415" s="15">
        <f>IFERROR(__xludf.DUMMYFUNCTION("""COMPUTED_VALUE"""),1.044)</f>
        <v>1.044</v>
      </c>
      <c r="E10415" s="16">
        <f>IFERROR(__xludf.DUMMYFUNCTION("""COMPUTED_VALUE"""),68.0)</f>
        <v>68</v>
      </c>
      <c r="F10415" s="19" t="str">
        <f>IFERROR(__xludf.DUMMYFUNCTION("""COMPUTED_VALUE"""),"BLACK")</f>
        <v>BLACK</v>
      </c>
      <c r="G10415" s="20" t="str">
        <f>IFERROR(__xludf.DUMMYFUNCTION("""COMPUTED_VALUE"""),"Uncle Sams Cider (04/04/2023)")</f>
        <v>Uncle Sams Cider (04/04/2023)</v>
      </c>
      <c r="H10415" s="19"/>
    </row>
    <row r="10416">
      <c r="A10416" s="9"/>
      <c r="B10416" s="15"/>
      <c r="C10416" s="9">
        <f>IFERROR(__xludf.DUMMYFUNCTION("""COMPUTED_VALUE"""),45034.8309841898)</f>
        <v>45034.83098</v>
      </c>
      <c r="D10416" s="15">
        <f>IFERROR(__xludf.DUMMYFUNCTION("""COMPUTED_VALUE"""),1.044)</f>
        <v>1.044</v>
      </c>
      <c r="E10416" s="16">
        <f>IFERROR(__xludf.DUMMYFUNCTION("""COMPUTED_VALUE"""),68.0)</f>
        <v>68</v>
      </c>
      <c r="F10416" s="19" t="str">
        <f>IFERROR(__xludf.DUMMYFUNCTION("""COMPUTED_VALUE"""),"BLACK")</f>
        <v>BLACK</v>
      </c>
      <c r="G10416" s="20" t="str">
        <f>IFERROR(__xludf.DUMMYFUNCTION("""COMPUTED_VALUE"""),"Uncle Sams Cider (04/04/2023)")</f>
        <v>Uncle Sams Cider (04/04/2023)</v>
      </c>
      <c r="H10416" s="19"/>
    </row>
    <row r="10417">
      <c r="A10417" s="9"/>
      <c r="B10417" s="15"/>
      <c r="C10417" s="9">
        <f>IFERROR(__xludf.DUMMYFUNCTION("""COMPUTED_VALUE"""),45034.8205608912)</f>
        <v>45034.82056</v>
      </c>
      <c r="D10417" s="15">
        <f>IFERROR(__xludf.DUMMYFUNCTION("""COMPUTED_VALUE"""),1.044)</f>
        <v>1.044</v>
      </c>
      <c r="E10417" s="16">
        <f>IFERROR(__xludf.DUMMYFUNCTION("""COMPUTED_VALUE"""),68.0)</f>
        <v>68</v>
      </c>
      <c r="F10417" s="19" t="str">
        <f>IFERROR(__xludf.DUMMYFUNCTION("""COMPUTED_VALUE"""),"BLACK")</f>
        <v>BLACK</v>
      </c>
      <c r="G10417" s="20" t="str">
        <f>IFERROR(__xludf.DUMMYFUNCTION("""COMPUTED_VALUE"""),"Uncle Sams Cider (04/04/2023)")</f>
        <v>Uncle Sams Cider (04/04/2023)</v>
      </c>
      <c r="H10417" s="19"/>
    </row>
    <row r="10418">
      <c r="A10418" s="9"/>
      <c r="B10418" s="15"/>
      <c r="C10418" s="9">
        <f>IFERROR(__xludf.DUMMYFUNCTION("""COMPUTED_VALUE"""),45034.8101395949)</f>
        <v>45034.81014</v>
      </c>
      <c r="D10418" s="15">
        <f>IFERROR(__xludf.DUMMYFUNCTION("""COMPUTED_VALUE"""),1.044)</f>
        <v>1.044</v>
      </c>
      <c r="E10418" s="16">
        <f>IFERROR(__xludf.DUMMYFUNCTION("""COMPUTED_VALUE"""),68.0)</f>
        <v>68</v>
      </c>
      <c r="F10418" s="19" t="str">
        <f>IFERROR(__xludf.DUMMYFUNCTION("""COMPUTED_VALUE"""),"BLACK")</f>
        <v>BLACK</v>
      </c>
      <c r="G10418" s="20" t="str">
        <f>IFERROR(__xludf.DUMMYFUNCTION("""COMPUTED_VALUE"""),"Uncle Sams Cider (04/04/2023)")</f>
        <v>Uncle Sams Cider (04/04/2023)</v>
      </c>
      <c r="H10418" s="19"/>
    </row>
    <row r="10419">
      <c r="A10419" s="9"/>
      <c r="B10419" s="15"/>
      <c r="C10419" s="9">
        <f>IFERROR(__xludf.DUMMYFUNCTION("""COMPUTED_VALUE"""),45034.7997183564)</f>
        <v>45034.79972</v>
      </c>
      <c r="D10419" s="15">
        <f>IFERROR(__xludf.DUMMYFUNCTION("""COMPUTED_VALUE"""),1.044)</f>
        <v>1.044</v>
      </c>
      <c r="E10419" s="16">
        <f>IFERROR(__xludf.DUMMYFUNCTION("""COMPUTED_VALUE"""),68.0)</f>
        <v>68</v>
      </c>
      <c r="F10419" s="19" t="str">
        <f>IFERROR(__xludf.DUMMYFUNCTION("""COMPUTED_VALUE"""),"BLACK")</f>
        <v>BLACK</v>
      </c>
      <c r="G10419" s="20" t="str">
        <f>IFERROR(__xludf.DUMMYFUNCTION("""COMPUTED_VALUE"""),"Uncle Sams Cider (04/04/2023)")</f>
        <v>Uncle Sams Cider (04/04/2023)</v>
      </c>
      <c r="H10419" s="19"/>
    </row>
    <row r="10420">
      <c r="A10420" s="9"/>
      <c r="B10420" s="15"/>
      <c r="C10420" s="9">
        <f>IFERROR(__xludf.DUMMYFUNCTION("""COMPUTED_VALUE"""),45034.7892984606)</f>
        <v>45034.7893</v>
      </c>
      <c r="D10420" s="15">
        <f>IFERROR(__xludf.DUMMYFUNCTION("""COMPUTED_VALUE"""),1.044)</f>
        <v>1.044</v>
      </c>
      <c r="E10420" s="16">
        <f>IFERROR(__xludf.DUMMYFUNCTION("""COMPUTED_VALUE"""),68.0)</f>
        <v>68</v>
      </c>
      <c r="F10420" s="19" t="str">
        <f>IFERROR(__xludf.DUMMYFUNCTION("""COMPUTED_VALUE"""),"BLACK")</f>
        <v>BLACK</v>
      </c>
      <c r="G10420" s="20" t="str">
        <f>IFERROR(__xludf.DUMMYFUNCTION("""COMPUTED_VALUE"""),"Uncle Sams Cider (04/04/2023)")</f>
        <v>Uncle Sams Cider (04/04/2023)</v>
      </c>
      <c r="H10420" s="19"/>
    </row>
    <row r="10421">
      <c r="A10421" s="9"/>
      <c r="B10421" s="15"/>
      <c r="C10421" s="9">
        <f>IFERROR(__xludf.DUMMYFUNCTION("""COMPUTED_VALUE"""),45034.778853912)</f>
        <v>45034.77885</v>
      </c>
      <c r="D10421" s="15">
        <f>IFERROR(__xludf.DUMMYFUNCTION("""COMPUTED_VALUE"""),1.044)</f>
        <v>1.044</v>
      </c>
      <c r="E10421" s="16">
        <f>IFERROR(__xludf.DUMMYFUNCTION("""COMPUTED_VALUE"""),68.0)</f>
        <v>68</v>
      </c>
      <c r="F10421" s="19" t="str">
        <f>IFERROR(__xludf.DUMMYFUNCTION("""COMPUTED_VALUE"""),"BLACK")</f>
        <v>BLACK</v>
      </c>
      <c r="G10421" s="20" t="str">
        <f>IFERROR(__xludf.DUMMYFUNCTION("""COMPUTED_VALUE"""),"Uncle Sams Cider (04/04/2023)")</f>
        <v>Uncle Sams Cider (04/04/2023)</v>
      </c>
      <c r="H10421" s="19"/>
    </row>
    <row r="10422">
      <c r="A10422" s="9"/>
      <c r="B10422" s="15"/>
      <c r="C10422" s="9">
        <f>IFERROR(__xludf.DUMMYFUNCTION("""COMPUTED_VALUE"""),45034.7684325347)</f>
        <v>45034.76843</v>
      </c>
      <c r="D10422" s="15">
        <f>IFERROR(__xludf.DUMMYFUNCTION("""COMPUTED_VALUE"""),1.044)</f>
        <v>1.044</v>
      </c>
      <c r="E10422" s="16">
        <f>IFERROR(__xludf.DUMMYFUNCTION("""COMPUTED_VALUE"""),68.0)</f>
        <v>68</v>
      </c>
      <c r="F10422" s="19" t="str">
        <f>IFERROR(__xludf.DUMMYFUNCTION("""COMPUTED_VALUE"""),"BLACK")</f>
        <v>BLACK</v>
      </c>
      <c r="G10422" s="20" t="str">
        <f>IFERROR(__xludf.DUMMYFUNCTION("""COMPUTED_VALUE"""),"Uncle Sams Cider (04/04/2023)")</f>
        <v>Uncle Sams Cider (04/04/2023)</v>
      </c>
      <c r="H10422" s="19"/>
    </row>
    <row r="10423">
      <c r="A10423" s="9"/>
      <c r="B10423" s="15"/>
      <c r="C10423" s="9">
        <f>IFERROR(__xludf.DUMMYFUNCTION("""COMPUTED_VALUE"""),45034.7579884259)</f>
        <v>45034.75799</v>
      </c>
      <c r="D10423" s="15">
        <f>IFERROR(__xludf.DUMMYFUNCTION("""COMPUTED_VALUE"""),1.044)</f>
        <v>1.044</v>
      </c>
      <c r="E10423" s="16">
        <f>IFERROR(__xludf.DUMMYFUNCTION("""COMPUTED_VALUE"""),68.0)</f>
        <v>68</v>
      </c>
      <c r="F10423" s="19" t="str">
        <f>IFERROR(__xludf.DUMMYFUNCTION("""COMPUTED_VALUE"""),"BLACK")</f>
        <v>BLACK</v>
      </c>
      <c r="G10423" s="20" t="str">
        <f>IFERROR(__xludf.DUMMYFUNCTION("""COMPUTED_VALUE"""),"Uncle Sams Cider (04/04/2023)")</f>
        <v>Uncle Sams Cider (04/04/2023)</v>
      </c>
      <c r="H10423" s="19"/>
    </row>
    <row r="10424">
      <c r="A10424" s="9"/>
      <c r="B10424" s="15"/>
      <c r="C10424" s="9">
        <f>IFERROR(__xludf.DUMMYFUNCTION("""COMPUTED_VALUE"""),45034.7475673379)</f>
        <v>45034.74757</v>
      </c>
      <c r="D10424" s="15">
        <f>IFERROR(__xludf.DUMMYFUNCTION("""COMPUTED_VALUE"""),1.044)</f>
        <v>1.044</v>
      </c>
      <c r="E10424" s="16">
        <f>IFERROR(__xludf.DUMMYFUNCTION("""COMPUTED_VALUE"""),68.0)</f>
        <v>68</v>
      </c>
      <c r="F10424" s="19" t="str">
        <f>IFERROR(__xludf.DUMMYFUNCTION("""COMPUTED_VALUE"""),"BLACK")</f>
        <v>BLACK</v>
      </c>
      <c r="G10424" s="20" t="str">
        <f>IFERROR(__xludf.DUMMYFUNCTION("""COMPUTED_VALUE"""),"Uncle Sams Cider (04/04/2023)")</f>
        <v>Uncle Sams Cider (04/04/2023)</v>
      </c>
      <c r="H10424" s="19"/>
    </row>
    <row r="10425">
      <c r="A10425" s="9"/>
      <c r="B10425" s="15"/>
      <c r="C10425" s="9">
        <f>IFERROR(__xludf.DUMMYFUNCTION("""COMPUTED_VALUE"""),45034.7371445833)</f>
        <v>45034.73714</v>
      </c>
      <c r="D10425" s="15">
        <f>IFERROR(__xludf.DUMMYFUNCTION("""COMPUTED_VALUE"""),1.044)</f>
        <v>1.044</v>
      </c>
      <c r="E10425" s="16">
        <f>IFERROR(__xludf.DUMMYFUNCTION("""COMPUTED_VALUE"""),68.0)</f>
        <v>68</v>
      </c>
      <c r="F10425" s="19" t="str">
        <f>IFERROR(__xludf.DUMMYFUNCTION("""COMPUTED_VALUE"""),"BLACK")</f>
        <v>BLACK</v>
      </c>
      <c r="G10425" s="20" t="str">
        <f>IFERROR(__xludf.DUMMYFUNCTION("""COMPUTED_VALUE"""),"Uncle Sams Cider (04/04/2023)")</f>
        <v>Uncle Sams Cider (04/04/2023)</v>
      </c>
      <c r="H10425" s="19"/>
    </row>
    <row r="10426">
      <c r="A10426" s="9"/>
      <c r="B10426" s="15"/>
      <c r="C10426" s="9">
        <f>IFERROR(__xludf.DUMMYFUNCTION("""COMPUTED_VALUE"""),45034.7267255902)</f>
        <v>45034.72673</v>
      </c>
      <c r="D10426" s="15">
        <f>IFERROR(__xludf.DUMMYFUNCTION("""COMPUTED_VALUE"""),1.044)</f>
        <v>1.044</v>
      </c>
      <c r="E10426" s="16">
        <f>IFERROR(__xludf.DUMMYFUNCTION("""COMPUTED_VALUE"""),68.0)</f>
        <v>68</v>
      </c>
      <c r="F10426" s="19" t="str">
        <f>IFERROR(__xludf.DUMMYFUNCTION("""COMPUTED_VALUE"""),"BLACK")</f>
        <v>BLACK</v>
      </c>
      <c r="G10426" s="20" t="str">
        <f>IFERROR(__xludf.DUMMYFUNCTION("""COMPUTED_VALUE"""),"Uncle Sams Cider (04/04/2023)")</f>
        <v>Uncle Sams Cider (04/04/2023)</v>
      </c>
      <c r="H10426" s="19"/>
    </row>
    <row r="10427">
      <c r="A10427" s="9"/>
      <c r="B10427" s="15"/>
      <c r="C10427" s="9">
        <f>IFERROR(__xludf.DUMMYFUNCTION("""COMPUTED_VALUE"""),45034.716304537)</f>
        <v>45034.7163</v>
      </c>
      <c r="D10427" s="15">
        <f>IFERROR(__xludf.DUMMYFUNCTION("""COMPUTED_VALUE"""),1.044)</f>
        <v>1.044</v>
      </c>
      <c r="E10427" s="16">
        <f>IFERROR(__xludf.DUMMYFUNCTION("""COMPUTED_VALUE"""),68.0)</f>
        <v>68</v>
      </c>
      <c r="F10427" s="19" t="str">
        <f>IFERROR(__xludf.DUMMYFUNCTION("""COMPUTED_VALUE"""),"BLACK")</f>
        <v>BLACK</v>
      </c>
      <c r="G10427" s="20" t="str">
        <f>IFERROR(__xludf.DUMMYFUNCTION("""COMPUTED_VALUE"""),"Uncle Sams Cider (04/04/2023)")</f>
        <v>Uncle Sams Cider (04/04/2023)</v>
      </c>
      <c r="H10427" s="19"/>
    </row>
    <row r="10428">
      <c r="A10428" s="9"/>
      <c r="B10428" s="15"/>
      <c r="C10428" s="9">
        <f>IFERROR(__xludf.DUMMYFUNCTION("""COMPUTED_VALUE"""),45034.7058736805)</f>
        <v>45034.70587</v>
      </c>
      <c r="D10428" s="15">
        <f>IFERROR(__xludf.DUMMYFUNCTION("""COMPUTED_VALUE"""),1.044)</f>
        <v>1.044</v>
      </c>
      <c r="E10428" s="16">
        <f>IFERROR(__xludf.DUMMYFUNCTION("""COMPUTED_VALUE"""),68.0)</f>
        <v>68</v>
      </c>
      <c r="F10428" s="19" t="str">
        <f>IFERROR(__xludf.DUMMYFUNCTION("""COMPUTED_VALUE"""),"BLACK")</f>
        <v>BLACK</v>
      </c>
      <c r="G10428" s="20" t="str">
        <f>IFERROR(__xludf.DUMMYFUNCTION("""COMPUTED_VALUE"""),"Uncle Sams Cider (04/04/2023)")</f>
        <v>Uncle Sams Cider (04/04/2023)</v>
      </c>
      <c r="H10428" s="19"/>
    </row>
    <row r="10429">
      <c r="A10429" s="9"/>
      <c r="B10429" s="15"/>
      <c r="C10429" s="9">
        <f>IFERROR(__xludf.DUMMYFUNCTION("""COMPUTED_VALUE"""),45034.6954532175)</f>
        <v>45034.69545</v>
      </c>
      <c r="D10429" s="15">
        <f>IFERROR(__xludf.DUMMYFUNCTION("""COMPUTED_VALUE"""),1.045)</f>
        <v>1.045</v>
      </c>
      <c r="E10429" s="16">
        <f>IFERROR(__xludf.DUMMYFUNCTION("""COMPUTED_VALUE"""),68.0)</f>
        <v>68</v>
      </c>
      <c r="F10429" s="19" t="str">
        <f>IFERROR(__xludf.DUMMYFUNCTION("""COMPUTED_VALUE"""),"BLACK")</f>
        <v>BLACK</v>
      </c>
      <c r="G10429" s="20" t="str">
        <f>IFERROR(__xludf.DUMMYFUNCTION("""COMPUTED_VALUE"""),"Uncle Sams Cider (04/04/2023)")</f>
        <v>Uncle Sams Cider (04/04/2023)</v>
      </c>
      <c r="H10429" s="19"/>
    </row>
    <row r="10430">
      <c r="A10430" s="9"/>
      <c r="B10430" s="15"/>
      <c r="C10430" s="9">
        <f>IFERROR(__xludf.DUMMYFUNCTION("""COMPUTED_VALUE"""),45034.6850317708)</f>
        <v>45034.68503</v>
      </c>
      <c r="D10430" s="15">
        <f>IFERROR(__xludf.DUMMYFUNCTION("""COMPUTED_VALUE"""),1.044)</f>
        <v>1.044</v>
      </c>
      <c r="E10430" s="16">
        <f>IFERROR(__xludf.DUMMYFUNCTION("""COMPUTED_VALUE"""),68.0)</f>
        <v>68</v>
      </c>
      <c r="F10430" s="19" t="str">
        <f>IFERROR(__xludf.DUMMYFUNCTION("""COMPUTED_VALUE"""),"BLACK")</f>
        <v>BLACK</v>
      </c>
      <c r="G10430" s="20" t="str">
        <f>IFERROR(__xludf.DUMMYFUNCTION("""COMPUTED_VALUE"""),"Uncle Sams Cider (04/04/2023)")</f>
        <v>Uncle Sams Cider (04/04/2023)</v>
      </c>
      <c r="H10430" s="19"/>
    </row>
    <row r="10431">
      <c r="A10431" s="9"/>
      <c r="B10431" s="15"/>
      <c r="C10431" s="9">
        <f>IFERROR(__xludf.DUMMYFUNCTION("""COMPUTED_VALUE"""),45034.6746098263)</f>
        <v>45034.67461</v>
      </c>
      <c r="D10431" s="15">
        <f>IFERROR(__xludf.DUMMYFUNCTION("""COMPUTED_VALUE"""),1.045)</f>
        <v>1.045</v>
      </c>
      <c r="E10431" s="16">
        <f>IFERROR(__xludf.DUMMYFUNCTION("""COMPUTED_VALUE"""),68.0)</f>
        <v>68</v>
      </c>
      <c r="F10431" s="19" t="str">
        <f>IFERROR(__xludf.DUMMYFUNCTION("""COMPUTED_VALUE"""),"BLACK")</f>
        <v>BLACK</v>
      </c>
      <c r="G10431" s="20" t="str">
        <f>IFERROR(__xludf.DUMMYFUNCTION("""COMPUTED_VALUE"""),"Uncle Sams Cider (04/04/2023)")</f>
        <v>Uncle Sams Cider (04/04/2023)</v>
      </c>
      <c r="H10431" s="19"/>
    </row>
    <row r="10432">
      <c r="A10432" s="9"/>
      <c r="B10432" s="15"/>
      <c r="C10432" s="9">
        <f>IFERROR(__xludf.DUMMYFUNCTION("""COMPUTED_VALUE"""),45034.6641896296)</f>
        <v>45034.66419</v>
      </c>
      <c r="D10432" s="15">
        <f>IFERROR(__xludf.DUMMYFUNCTION("""COMPUTED_VALUE"""),1.045)</f>
        <v>1.045</v>
      </c>
      <c r="E10432" s="16">
        <f>IFERROR(__xludf.DUMMYFUNCTION("""COMPUTED_VALUE"""),68.0)</f>
        <v>68</v>
      </c>
      <c r="F10432" s="19" t="str">
        <f>IFERROR(__xludf.DUMMYFUNCTION("""COMPUTED_VALUE"""),"BLACK")</f>
        <v>BLACK</v>
      </c>
      <c r="G10432" s="20" t="str">
        <f>IFERROR(__xludf.DUMMYFUNCTION("""COMPUTED_VALUE"""),"Uncle Sams Cider (04/04/2023)")</f>
        <v>Uncle Sams Cider (04/04/2023)</v>
      </c>
      <c r="H10432" s="19"/>
    </row>
    <row r="10433">
      <c r="A10433" s="9"/>
      <c r="B10433" s="15"/>
      <c r="C10433" s="9">
        <f>IFERROR(__xludf.DUMMYFUNCTION("""COMPUTED_VALUE"""),45034.6537333796)</f>
        <v>45034.65373</v>
      </c>
      <c r="D10433" s="15">
        <f>IFERROR(__xludf.DUMMYFUNCTION("""COMPUTED_VALUE"""),1.045)</f>
        <v>1.045</v>
      </c>
      <c r="E10433" s="16">
        <f>IFERROR(__xludf.DUMMYFUNCTION("""COMPUTED_VALUE"""),68.0)</f>
        <v>68</v>
      </c>
      <c r="F10433" s="19" t="str">
        <f>IFERROR(__xludf.DUMMYFUNCTION("""COMPUTED_VALUE"""),"BLACK")</f>
        <v>BLACK</v>
      </c>
      <c r="G10433" s="20" t="str">
        <f>IFERROR(__xludf.DUMMYFUNCTION("""COMPUTED_VALUE"""),"Uncle Sams Cider (04/04/2023)")</f>
        <v>Uncle Sams Cider (04/04/2023)</v>
      </c>
      <c r="H10433" s="19"/>
    </row>
    <row r="10434">
      <c r="A10434" s="9"/>
      <c r="B10434" s="15"/>
      <c r="C10434" s="9">
        <f>IFERROR(__xludf.DUMMYFUNCTION("""COMPUTED_VALUE"""),45034.6433105092)</f>
        <v>45034.64331</v>
      </c>
      <c r="D10434" s="15">
        <f>IFERROR(__xludf.DUMMYFUNCTION("""COMPUTED_VALUE"""),1.045)</f>
        <v>1.045</v>
      </c>
      <c r="E10434" s="16">
        <f>IFERROR(__xludf.DUMMYFUNCTION("""COMPUTED_VALUE"""),68.0)</f>
        <v>68</v>
      </c>
      <c r="F10434" s="19" t="str">
        <f>IFERROR(__xludf.DUMMYFUNCTION("""COMPUTED_VALUE"""),"BLACK")</f>
        <v>BLACK</v>
      </c>
      <c r="G10434" s="20" t="str">
        <f>IFERROR(__xludf.DUMMYFUNCTION("""COMPUTED_VALUE"""),"Uncle Sams Cider (04/04/2023)")</f>
        <v>Uncle Sams Cider (04/04/2023)</v>
      </c>
      <c r="H10434" s="19"/>
    </row>
    <row r="10435">
      <c r="A10435" s="9"/>
      <c r="B10435" s="15"/>
      <c r="C10435" s="9">
        <f>IFERROR(__xludf.DUMMYFUNCTION("""COMPUTED_VALUE"""),45034.6328886689)</f>
        <v>45034.63289</v>
      </c>
      <c r="D10435" s="15">
        <f>IFERROR(__xludf.DUMMYFUNCTION("""COMPUTED_VALUE"""),1.045)</f>
        <v>1.045</v>
      </c>
      <c r="E10435" s="16">
        <f>IFERROR(__xludf.DUMMYFUNCTION("""COMPUTED_VALUE"""),68.0)</f>
        <v>68</v>
      </c>
      <c r="F10435" s="19" t="str">
        <f>IFERROR(__xludf.DUMMYFUNCTION("""COMPUTED_VALUE"""),"BLACK")</f>
        <v>BLACK</v>
      </c>
      <c r="G10435" s="20" t="str">
        <f>IFERROR(__xludf.DUMMYFUNCTION("""COMPUTED_VALUE"""),"Uncle Sams Cider (04/04/2023)")</f>
        <v>Uncle Sams Cider (04/04/2023)</v>
      </c>
      <c r="H10435" s="19"/>
    </row>
    <row r="10436">
      <c r="A10436" s="9"/>
      <c r="B10436" s="15"/>
      <c r="C10436" s="9">
        <f>IFERROR(__xludf.DUMMYFUNCTION("""COMPUTED_VALUE"""),45034.6224436921)</f>
        <v>45034.62244</v>
      </c>
      <c r="D10436" s="15">
        <f>IFERROR(__xludf.DUMMYFUNCTION("""COMPUTED_VALUE"""),1.045)</f>
        <v>1.045</v>
      </c>
      <c r="E10436" s="16">
        <f>IFERROR(__xludf.DUMMYFUNCTION("""COMPUTED_VALUE"""),68.0)</f>
        <v>68</v>
      </c>
      <c r="F10436" s="19" t="str">
        <f>IFERROR(__xludf.DUMMYFUNCTION("""COMPUTED_VALUE"""),"BLACK")</f>
        <v>BLACK</v>
      </c>
      <c r="G10436" s="20" t="str">
        <f>IFERROR(__xludf.DUMMYFUNCTION("""COMPUTED_VALUE"""),"Uncle Sams Cider (04/04/2023)")</f>
        <v>Uncle Sams Cider (04/04/2023)</v>
      </c>
      <c r="H10436" s="19"/>
    </row>
    <row r="10437">
      <c r="A10437" s="9"/>
      <c r="B10437" s="15"/>
      <c r="C10437" s="9">
        <f>IFERROR(__xludf.DUMMYFUNCTION("""COMPUTED_VALUE"""),45034.6120107754)</f>
        <v>45034.61201</v>
      </c>
      <c r="D10437" s="15">
        <f>IFERROR(__xludf.DUMMYFUNCTION("""COMPUTED_VALUE"""),1.045)</f>
        <v>1.045</v>
      </c>
      <c r="E10437" s="16">
        <f>IFERROR(__xludf.DUMMYFUNCTION("""COMPUTED_VALUE"""),68.0)</f>
        <v>68</v>
      </c>
      <c r="F10437" s="19" t="str">
        <f>IFERROR(__xludf.DUMMYFUNCTION("""COMPUTED_VALUE"""),"BLACK")</f>
        <v>BLACK</v>
      </c>
      <c r="G10437" s="20" t="str">
        <f>IFERROR(__xludf.DUMMYFUNCTION("""COMPUTED_VALUE"""),"Uncle Sams Cider (04/04/2023)")</f>
        <v>Uncle Sams Cider (04/04/2023)</v>
      </c>
      <c r="H10437" s="19"/>
    </row>
    <row r="10438">
      <c r="A10438" s="9"/>
      <c r="B10438" s="15"/>
      <c r="C10438" s="9">
        <f>IFERROR(__xludf.DUMMYFUNCTION("""COMPUTED_VALUE"""),45034.6015661111)</f>
        <v>45034.60157</v>
      </c>
      <c r="D10438" s="15">
        <f>IFERROR(__xludf.DUMMYFUNCTION("""COMPUTED_VALUE"""),1.045)</f>
        <v>1.045</v>
      </c>
      <c r="E10438" s="16">
        <f>IFERROR(__xludf.DUMMYFUNCTION("""COMPUTED_VALUE"""),68.0)</f>
        <v>68</v>
      </c>
      <c r="F10438" s="19" t="str">
        <f>IFERROR(__xludf.DUMMYFUNCTION("""COMPUTED_VALUE"""),"BLACK")</f>
        <v>BLACK</v>
      </c>
      <c r="G10438" s="20" t="str">
        <f>IFERROR(__xludf.DUMMYFUNCTION("""COMPUTED_VALUE"""),"Uncle Sams Cider (04/04/2023)")</f>
        <v>Uncle Sams Cider (04/04/2023)</v>
      </c>
      <c r="H10438" s="19"/>
    </row>
    <row r="10439">
      <c r="A10439" s="9"/>
      <c r="B10439" s="15"/>
      <c r="C10439" s="9">
        <f>IFERROR(__xludf.DUMMYFUNCTION("""COMPUTED_VALUE"""),45034.5911337615)</f>
        <v>45034.59113</v>
      </c>
      <c r="D10439" s="15">
        <f>IFERROR(__xludf.DUMMYFUNCTION("""COMPUTED_VALUE"""),1.045)</f>
        <v>1.045</v>
      </c>
      <c r="E10439" s="16">
        <f>IFERROR(__xludf.DUMMYFUNCTION("""COMPUTED_VALUE"""),68.0)</f>
        <v>68</v>
      </c>
      <c r="F10439" s="19" t="str">
        <f>IFERROR(__xludf.DUMMYFUNCTION("""COMPUTED_VALUE"""),"BLACK")</f>
        <v>BLACK</v>
      </c>
      <c r="G10439" s="20" t="str">
        <f>IFERROR(__xludf.DUMMYFUNCTION("""COMPUTED_VALUE"""),"Uncle Sams Cider (04/04/2023)")</f>
        <v>Uncle Sams Cider (04/04/2023)</v>
      </c>
      <c r="H10439" s="19"/>
    </row>
    <row r="10440">
      <c r="A10440" s="9"/>
      <c r="B10440" s="15"/>
      <c r="C10440" s="9">
        <f>IFERROR(__xludf.DUMMYFUNCTION("""COMPUTED_VALUE"""),45034.5807127893)</f>
        <v>45034.58071</v>
      </c>
      <c r="D10440" s="15">
        <f>IFERROR(__xludf.DUMMYFUNCTION("""COMPUTED_VALUE"""),1.045)</f>
        <v>1.045</v>
      </c>
      <c r="E10440" s="16">
        <f>IFERROR(__xludf.DUMMYFUNCTION("""COMPUTED_VALUE"""),68.0)</f>
        <v>68</v>
      </c>
      <c r="F10440" s="19" t="str">
        <f>IFERROR(__xludf.DUMMYFUNCTION("""COMPUTED_VALUE"""),"BLACK")</f>
        <v>BLACK</v>
      </c>
      <c r="G10440" s="20" t="str">
        <f>IFERROR(__xludf.DUMMYFUNCTION("""COMPUTED_VALUE"""),"Uncle Sams Cider (04/04/2023)")</f>
        <v>Uncle Sams Cider (04/04/2023)</v>
      </c>
      <c r="H10440" s="19"/>
    </row>
    <row r="10441">
      <c r="A10441" s="9"/>
      <c r="B10441" s="15"/>
      <c r="C10441" s="9">
        <f>IFERROR(__xludf.DUMMYFUNCTION("""COMPUTED_VALUE"""),45034.5702921412)</f>
        <v>45034.57029</v>
      </c>
      <c r="D10441" s="15">
        <f>IFERROR(__xludf.DUMMYFUNCTION("""COMPUTED_VALUE"""),1.045)</f>
        <v>1.045</v>
      </c>
      <c r="E10441" s="16">
        <f>IFERROR(__xludf.DUMMYFUNCTION("""COMPUTED_VALUE"""),68.0)</f>
        <v>68</v>
      </c>
      <c r="F10441" s="19" t="str">
        <f>IFERROR(__xludf.DUMMYFUNCTION("""COMPUTED_VALUE"""),"BLACK")</f>
        <v>BLACK</v>
      </c>
      <c r="G10441" s="20" t="str">
        <f>IFERROR(__xludf.DUMMYFUNCTION("""COMPUTED_VALUE"""),"Uncle Sams Cider (04/04/2023)")</f>
        <v>Uncle Sams Cider (04/04/2023)</v>
      </c>
      <c r="H10441" s="19"/>
    </row>
    <row r="10442">
      <c r="A10442" s="9"/>
      <c r="B10442" s="15"/>
      <c r="C10442" s="9">
        <f>IFERROR(__xludf.DUMMYFUNCTION("""COMPUTED_VALUE"""),45034.559870081)</f>
        <v>45034.55987</v>
      </c>
      <c r="D10442" s="15">
        <f>IFERROR(__xludf.DUMMYFUNCTION("""COMPUTED_VALUE"""),1.045)</f>
        <v>1.045</v>
      </c>
      <c r="E10442" s="16">
        <f>IFERROR(__xludf.DUMMYFUNCTION("""COMPUTED_VALUE"""),68.0)</f>
        <v>68</v>
      </c>
      <c r="F10442" s="19" t="str">
        <f>IFERROR(__xludf.DUMMYFUNCTION("""COMPUTED_VALUE"""),"BLACK")</f>
        <v>BLACK</v>
      </c>
      <c r="G10442" s="20" t="str">
        <f>IFERROR(__xludf.DUMMYFUNCTION("""COMPUTED_VALUE"""),"Uncle Sams Cider (04/04/2023)")</f>
        <v>Uncle Sams Cider (04/04/2023)</v>
      </c>
      <c r="H10442" s="19"/>
    </row>
    <row r="10443">
      <c r="A10443" s="9"/>
      <c r="B10443" s="15"/>
      <c r="C10443" s="9">
        <f>IFERROR(__xludf.DUMMYFUNCTION("""COMPUTED_VALUE"""),45034.5494497453)</f>
        <v>45034.54945</v>
      </c>
      <c r="D10443" s="15">
        <f>IFERROR(__xludf.DUMMYFUNCTION("""COMPUTED_VALUE"""),1.045)</f>
        <v>1.045</v>
      </c>
      <c r="E10443" s="16">
        <f>IFERROR(__xludf.DUMMYFUNCTION("""COMPUTED_VALUE"""),68.0)</f>
        <v>68</v>
      </c>
      <c r="F10443" s="19" t="str">
        <f>IFERROR(__xludf.DUMMYFUNCTION("""COMPUTED_VALUE"""),"BLACK")</f>
        <v>BLACK</v>
      </c>
      <c r="G10443" s="20" t="str">
        <f>IFERROR(__xludf.DUMMYFUNCTION("""COMPUTED_VALUE"""),"Uncle Sams Cider (04/04/2023)")</f>
        <v>Uncle Sams Cider (04/04/2023)</v>
      </c>
      <c r="H10443" s="19"/>
    </row>
    <row r="10444">
      <c r="A10444" s="9"/>
      <c r="B10444" s="15"/>
      <c r="C10444" s="9">
        <f>IFERROR(__xludf.DUMMYFUNCTION("""COMPUTED_VALUE"""),45034.5390181828)</f>
        <v>45034.53902</v>
      </c>
      <c r="D10444" s="15">
        <f>IFERROR(__xludf.DUMMYFUNCTION("""COMPUTED_VALUE"""),1.045)</f>
        <v>1.045</v>
      </c>
      <c r="E10444" s="16">
        <f>IFERROR(__xludf.DUMMYFUNCTION("""COMPUTED_VALUE"""),68.0)</f>
        <v>68</v>
      </c>
      <c r="F10444" s="19" t="str">
        <f>IFERROR(__xludf.DUMMYFUNCTION("""COMPUTED_VALUE"""),"BLACK")</f>
        <v>BLACK</v>
      </c>
      <c r="G10444" s="20" t="str">
        <f>IFERROR(__xludf.DUMMYFUNCTION("""COMPUTED_VALUE"""),"Uncle Sams Cider (04/04/2023)")</f>
        <v>Uncle Sams Cider (04/04/2023)</v>
      </c>
      <c r="H10444" s="19"/>
    </row>
    <row r="10445">
      <c r="A10445" s="9"/>
      <c r="B10445" s="15"/>
      <c r="C10445" s="9">
        <f>IFERROR(__xludf.DUMMYFUNCTION("""COMPUTED_VALUE"""),45034.5285869213)</f>
        <v>45034.52859</v>
      </c>
      <c r="D10445" s="15">
        <f>IFERROR(__xludf.DUMMYFUNCTION("""COMPUTED_VALUE"""),1.045)</f>
        <v>1.045</v>
      </c>
      <c r="E10445" s="16">
        <f>IFERROR(__xludf.DUMMYFUNCTION("""COMPUTED_VALUE"""),68.0)</f>
        <v>68</v>
      </c>
      <c r="F10445" s="19" t="str">
        <f>IFERROR(__xludf.DUMMYFUNCTION("""COMPUTED_VALUE"""),"BLACK")</f>
        <v>BLACK</v>
      </c>
      <c r="G10445" s="20" t="str">
        <f>IFERROR(__xludf.DUMMYFUNCTION("""COMPUTED_VALUE"""),"Uncle Sams Cider (04/04/2023)")</f>
        <v>Uncle Sams Cider (04/04/2023)</v>
      </c>
      <c r="H10445" s="19"/>
    </row>
    <row r="10446">
      <c r="A10446" s="9"/>
      <c r="B10446" s="15"/>
      <c r="C10446" s="9">
        <f>IFERROR(__xludf.DUMMYFUNCTION("""COMPUTED_VALUE"""),45034.5181432638)</f>
        <v>45034.51814</v>
      </c>
      <c r="D10446" s="15">
        <f>IFERROR(__xludf.DUMMYFUNCTION("""COMPUTED_VALUE"""),1.045)</f>
        <v>1.045</v>
      </c>
      <c r="E10446" s="16">
        <f>IFERROR(__xludf.DUMMYFUNCTION("""COMPUTED_VALUE"""),68.0)</f>
        <v>68</v>
      </c>
      <c r="F10446" s="19" t="str">
        <f>IFERROR(__xludf.DUMMYFUNCTION("""COMPUTED_VALUE"""),"BLACK")</f>
        <v>BLACK</v>
      </c>
      <c r="G10446" s="20" t="str">
        <f>IFERROR(__xludf.DUMMYFUNCTION("""COMPUTED_VALUE"""),"Uncle Sams Cider (04/04/2023)")</f>
        <v>Uncle Sams Cider (04/04/2023)</v>
      </c>
      <c r="H10446" s="19"/>
    </row>
    <row r="10447">
      <c r="A10447" s="9"/>
      <c r="B10447" s="15"/>
      <c r="C10447" s="9">
        <f>IFERROR(__xludf.DUMMYFUNCTION("""COMPUTED_VALUE"""),45034.5077095601)</f>
        <v>45034.50771</v>
      </c>
      <c r="D10447" s="15">
        <f>IFERROR(__xludf.DUMMYFUNCTION("""COMPUTED_VALUE"""),1.045)</f>
        <v>1.045</v>
      </c>
      <c r="E10447" s="16">
        <f>IFERROR(__xludf.DUMMYFUNCTION("""COMPUTED_VALUE"""),68.0)</f>
        <v>68</v>
      </c>
      <c r="F10447" s="19" t="str">
        <f>IFERROR(__xludf.DUMMYFUNCTION("""COMPUTED_VALUE"""),"BLACK")</f>
        <v>BLACK</v>
      </c>
      <c r="G10447" s="20" t="str">
        <f>IFERROR(__xludf.DUMMYFUNCTION("""COMPUTED_VALUE"""),"Uncle Sams Cider (04/04/2023)")</f>
        <v>Uncle Sams Cider (04/04/2023)</v>
      </c>
      <c r="H10447" s="19"/>
    </row>
    <row r="10448">
      <c r="A10448" s="9"/>
      <c r="B10448" s="15"/>
      <c r="C10448" s="9">
        <f>IFERROR(__xludf.DUMMYFUNCTION("""COMPUTED_VALUE"""),45034.4972769444)</f>
        <v>45034.49728</v>
      </c>
      <c r="D10448" s="15">
        <f>IFERROR(__xludf.DUMMYFUNCTION("""COMPUTED_VALUE"""),1.045)</f>
        <v>1.045</v>
      </c>
      <c r="E10448" s="16">
        <f>IFERROR(__xludf.DUMMYFUNCTION("""COMPUTED_VALUE"""),68.0)</f>
        <v>68</v>
      </c>
      <c r="F10448" s="19" t="str">
        <f>IFERROR(__xludf.DUMMYFUNCTION("""COMPUTED_VALUE"""),"BLACK")</f>
        <v>BLACK</v>
      </c>
      <c r="G10448" s="20" t="str">
        <f>IFERROR(__xludf.DUMMYFUNCTION("""COMPUTED_VALUE"""),"Uncle Sams Cider (04/04/2023)")</f>
        <v>Uncle Sams Cider (04/04/2023)</v>
      </c>
      <c r="H10448" s="19"/>
    </row>
    <row r="10449">
      <c r="A10449" s="9"/>
      <c r="B10449" s="15"/>
      <c r="C10449" s="9">
        <f>IFERROR(__xludf.DUMMYFUNCTION("""COMPUTED_VALUE"""),45034.4868556481)</f>
        <v>45034.48686</v>
      </c>
      <c r="D10449" s="15">
        <f>IFERROR(__xludf.DUMMYFUNCTION("""COMPUTED_VALUE"""),1.045)</f>
        <v>1.045</v>
      </c>
      <c r="E10449" s="16">
        <f>IFERROR(__xludf.DUMMYFUNCTION("""COMPUTED_VALUE"""),68.0)</f>
        <v>68</v>
      </c>
      <c r="F10449" s="19" t="str">
        <f>IFERROR(__xludf.DUMMYFUNCTION("""COMPUTED_VALUE"""),"BLACK")</f>
        <v>BLACK</v>
      </c>
      <c r="G10449" s="20" t="str">
        <f>IFERROR(__xludf.DUMMYFUNCTION("""COMPUTED_VALUE"""),"Uncle Sams Cider (04/04/2023)")</f>
        <v>Uncle Sams Cider (04/04/2023)</v>
      </c>
      <c r="H10449" s="19"/>
    </row>
    <row r="10450">
      <c r="A10450" s="9"/>
      <c r="B10450" s="15"/>
      <c r="C10450" s="9">
        <f>IFERROR(__xludf.DUMMYFUNCTION("""COMPUTED_VALUE"""),45034.4764217824)</f>
        <v>45034.47642</v>
      </c>
      <c r="D10450" s="15">
        <f>IFERROR(__xludf.DUMMYFUNCTION("""COMPUTED_VALUE"""),1.045)</f>
        <v>1.045</v>
      </c>
      <c r="E10450" s="16">
        <f>IFERROR(__xludf.DUMMYFUNCTION("""COMPUTED_VALUE"""),68.0)</f>
        <v>68</v>
      </c>
      <c r="F10450" s="19" t="str">
        <f>IFERROR(__xludf.DUMMYFUNCTION("""COMPUTED_VALUE"""),"BLACK")</f>
        <v>BLACK</v>
      </c>
      <c r="G10450" s="20" t="str">
        <f>IFERROR(__xludf.DUMMYFUNCTION("""COMPUTED_VALUE"""),"Uncle Sams Cider (04/04/2023)")</f>
        <v>Uncle Sams Cider (04/04/2023)</v>
      </c>
      <c r="H10450" s="19"/>
    </row>
    <row r="10451">
      <c r="A10451" s="9"/>
      <c r="B10451" s="15"/>
      <c r="C10451" s="9">
        <f>IFERROR(__xludf.DUMMYFUNCTION("""COMPUTED_VALUE"""),45034.4660005208)</f>
        <v>45034.466</v>
      </c>
      <c r="D10451" s="15">
        <f>IFERROR(__xludf.DUMMYFUNCTION("""COMPUTED_VALUE"""),1.045)</f>
        <v>1.045</v>
      </c>
      <c r="E10451" s="16">
        <f>IFERROR(__xludf.DUMMYFUNCTION("""COMPUTED_VALUE"""),68.0)</f>
        <v>68</v>
      </c>
      <c r="F10451" s="19" t="str">
        <f>IFERROR(__xludf.DUMMYFUNCTION("""COMPUTED_VALUE"""),"BLACK")</f>
        <v>BLACK</v>
      </c>
      <c r="G10451" s="20" t="str">
        <f>IFERROR(__xludf.DUMMYFUNCTION("""COMPUTED_VALUE"""),"Uncle Sams Cider (04/04/2023)")</f>
        <v>Uncle Sams Cider (04/04/2023)</v>
      </c>
      <c r="H10451" s="19"/>
    </row>
    <row r="10452">
      <c r="A10452" s="9"/>
      <c r="B10452" s="15"/>
      <c r="C10452" s="9">
        <f>IFERROR(__xludf.DUMMYFUNCTION("""COMPUTED_VALUE"""),45034.4555798379)</f>
        <v>45034.45558</v>
      </c>
      <c r="D10452" s="15">
        <f>IFERROR(__xludf.DUMMYFUNCTION("""COMPUTED_VALUE"""),1.045)</f>
        <v>1.045</v>
      </c>
      <c r="E10452" s="16">
        <f>IFERROR(__xludf.DUMMYFUNCTION("""COMPUTED_VALUE"""),68.0)</f>
        <v>68</v>
      </c>
      <c r="F10452" s="19" t="str">
        <f>IFERROR(__xludf.DUMMYFUNCTION("""COMPUTED_VALUE"""),"BLACK")</f>
        <v>BLACK</v>
      </c>
      <c r="G10452" s="20" t="str">
        <f>IFERROR(__xludf.DUMMYFUNCTION("""COMPUTED_VALUE"""),"Uncle Sams Cider (04/04/2023)")</f>
        <v>Uncle Sams Cider (04/04/2023)</v>
      </c>
      <c r="H10452" s="19"/>
    </row>
    <row r="10453">
      <c r="A10453" s="9"/>
      <c r="B10453" s="15"/>
      <c r="C10453" s="9">
        <f>IFERROR(__xludf.DUMMYFUNCTION("""COMPUTED_VALUE"""),45034.4451575231)</f>
        <v>45034.44516</v>
      </c>
      <c r="D10453" s="15">
        <f>IFERROR(__xludf.DUMMYFUNCTION("""COMPUTED_VALUE"""),1.045)</f>
        <v>1.045</v>
      </c>
      <c r="E10453" s="16">
        <f>IFERROR(__xludf.DUMMYFUNCTION("""COMPUTED_VALUE"""),68.0)</f>
        <v>68</v>
      </c>
      <c r="F10453" s="19" t="str">
        <f>IFERROR(__xludf.DUMMYFUNCTION("""COMPUTED_VALUE"""),"BLACK")</f>
        <v>BLACK</v>
      </c>
      <c r="G10453" s="20" t="str">
        <f>IFERROR(__xludf.DUMMYFUNCTION("""COMPUTED_VALUE"""),"Uncle Sams Cider (04/04/2023)")</f>
        <v>Uncle Sams Cider (04/04/2023)</v>
      </c>
      <c r="H10453" s="19"/>
    </row>
    <row r="10454">
      <c r="A10454" s="9"/>
      <c r="B10454" s="15"/>
      <c r="C10454" s="9">
        <f>IFERROR(__xludf.DUMMYFUNCTION("""COMPUTED_VALUE"""),45034.4347368287)</f>
        <v>45034.43474</v>
      </c>
      <c r="D10454" s="15">
        <f>IFERROR(__xludf.DUMMYFUNCTION("""COMPUTED_VALUE"""),1.045)</f>
        <v>1.045</v>
      </c>
      <c r="E10454" s="16">
        <f>IFERROR(__xludf.DUMMYFUNCTION("""COMPUTED_VALUE"""),68.0)</f>
        <v>68</v>
      </c>
      <c r="F10454" s="19" t="str">
        <f>IFERROR(__xludf.DUMMYFUNCTION("""COMPUTED_VALUE"""),"BLACK")</f>
        <v>BLACK</v>
      </c>
      <c r="G10454" s="20" t="str">
        <f>IFERROR(__xludf.DUMMYFUNCTION("""COMPUTED_VALUE"""),"Uncle Sams Cider (04/04/2023)")</f>
        <v>Uncle Sams Cider (04/04/2023)</v>
      </c>
      <c r="H10454" s="19"/>
    </row>
    <row r="10455">
      <c r="A10455" s="9"/>
      <c r="B10455" s="15"/>
      <c r="C10455" s="9">
        <f>IFERROR(__xludf.DUMMYFUNCTION("""COMPUTED_VALUE"""),45034.424303993)</f>
        <v>45034.4243</v>
      </c>
      <c r="D10455" s="15">
        <f>IFERROR(__xludf.DUMMYFUNCTION("""COMPUTED_VALUE"""),1.045)</f>
        <v>1.045</v>
      </c>
      <c r="E10455" s="16">
        <f>IFERROR(__xludf.DUMMYFUNCTION("""COMPUTED_VALUE"""),68.0)</f>
        <v>68</v>
      </c>
      <c r="F10455" s="19" t="str">
        <f>IFERROR(__xludf.DUMMYFUNCTION("""COMPUTED_VALUE"""),"BLACK")</f>
        <v>BLACK</v>
      </c>
      <c r="G10455" s="20" t="str">
        <f>IFERROR(__xludf.DUMMYFUNCTION("""COMPUTED_VALUE"""),"Uncle Sams Cider (04/04/2023)")</f>
        <v>Uncle Sams Cider (04/04/2023)</v>
      </c>
      <c r="H10455" s="19"/>
    </row>
    <row r="10456">
      <c r="A10456" s="9"/>
      <c r="B10456" s="15"/>
      <c r="C10456" s="9">
        <f>IFERROR(__xludf.DUMMYFUNCTION("""COMPUTED_VALUE"""),45034.4138708449)</f>
        <v>45034.41387</v>
      </c>
      <c r="D10456" s="15">
        <f>IFERROR(__xludf.DUMMYFUNCTION("""COMPUTED_VALUE"""),1.045)</f>
        <v>1.045</v>
      </c>
      <c r="E10456" s="16">
        <f>IFERROR(__xludf.DUMMYFUNCTION("""COMPUTED_VALUE"""),68.0)</f>
        <v>68</v>
      </c>
      <c r="F10456" s="19" t="str">
        <f>IFERROR(__xludf.DUMMYFUNCTION("""COMPUTED_VALUE"""),"BLACK")</f>
        <v>BLACK</v>
      </c>
      <c r="G10456" s="20" t="str">
        <f>IFERROR(__xludf.DUMMYFUNCTION("""COMPUTED_VALUE"""),"Uncle Sams Cider (04/04/2023)")</f>
        <v>Uncle Sams Cider (04/04/2023)</v>
      </c>
      <c r="H10456" s="19"/>
    </row>
    <row r="10457">
      <c r="A10457" s="9"/>
      <c r="B10457" s="15"/>
      <c r="C10457" s="9">
        <f>IFERROR(__xludf.DUMMYFUNCTION("""COMPUTED_VALUE"""),45034.4034501273)</f>
        <v>45034.40345</v>
      </c>
      <c r="D10457" s="15">
        <f>IFERROR(__xludf.DUMMYFUNCTION("""COMPUTED_VALUE"""),1.045)</f>
        <v>1.045</v>
      </c>
      <c r="E10457" s="16">
        <f>IFERROR(__xludf.DUMMYFUNCTION("""COMPUTED_VALUE"""),68.0)</f>
        <v>68</v>
      </c>
      <c r="F10457" s="19" t="str">
        <f>IFERROR(__xludf.DUMMYFUNCTION("""COMPUTED_VALUE"""),"BLACK")</f>
        <v>BLACK</v>
      </c>
      <c r="G10457" s="20" t="str">
        <f>IFERROR(__xludf.DUMMYFUNCTION("""COMPUTED_VALUE"""),"Uncle Sams Cider (04/04/2023)")</f>
        <v>Uncle Sams Cider (04/04/2023)</v>
      </c>
      <c r="H10457" s="19"/>
    </row>
    <row r="10458">
      <c r="A10458" s="9"/>
      <c r="B10458" s="15"/>
      <c r="C10458" s="9">
        <f>IFERROR(__xludf.DUMMYFUNCTION("""COMPUTED_VALUE"""),45034.3930174768)</f>
        <v>45034.39302</v>
      </c>
      <c r="D10458" s="15">
        <f>IFERROR(__xludf.DUMMYFUNCTION("""COMPUTED_VALUE"""),1.045)</f>
        <v>1.045</v>
      </c>
      <c r="E10458" s="16">
        <f>IFERROR(__xludf.DUMMYFUNCTION("""COMPUTED_VALUE"""),68.0)</f>
        <v>68</v>
      </c>
      <c r="F10458" s="19" t="str">
        <f>IFERROR(__xludf.DUMMYFUNCTION("""COMPUTED_VALUE"""),"BLACK")</f>
        <v>BLACK</v>
      </c>
      <c r="G10458" s="20" t="str">
        <f>IFERROR(__xludf.DUMMYFUNCTION("""COMPUTED_VALUE"""),"Uncle Sams Cider (04/04/2023)")</f>
        <v>Uncle Sams Cider (04/04/2023)</v>
      </c>
      <c r="H10458" s="19"/>
    </row>
    <row r="10459">
      <c r="A10459" s="9"/>
      <c r="B10459" s="15"/>
      <c r="C10459" s="9">
        <f>IFERROR(__xludf.DUMMYFUNCTION("""COMPUTED_VALUE"""),45034.3825969213)</f>
        <v>45034.3826</v>
      </c>
      <c r="D10459" s="15">
        <f>IFERROR(__xludf.DUMMYFUNCTION("""COMPUTED_VALUE"""),1.045)</f>
        <v>1.045</v>
      </c>
      <c r="E10459" s="16">
        <f>IFERROR(__xludf.DUMMYFUNCTION("""COMPUTED_VALUE"""),68.0)</f>
        <v>68</v>
      </c>
      <c r="F10459" s="19" t="str">
        <f>IFERROR(__xludf.DUMMYFUNCTION("""COMPUTED_VALUE"""),"BLACK")</f>
        <v>BLACK</v>
      </c>
      <c r="G10459" s="20" t="str">
        <f>IFERROR(__xludf.DUMMYFUNCTION("""COMPUTED_VALUE"""),"Uncle Sams Cider (04/04/2023)")</f>
        <v>Uncle Sams Cider (04/04/2023)</v>
      </c>
      <c r="H10459" s="19"/>
    </row>
    <row r="10460">
      <c r="A10460" s="9"/>
      <c r="B10460" s="15"/>
      <c r="C10460" s="9">
        <f>IFERROR(__xludf.DUMMYFUNCTION("""COMPUTED_VALUE"""),45034.3721754629)</f>
        <v>45034.37218</v>
      </c>
      <c r="D10460" s="15">
        <f>IFERROR(__xludf.DUMMYFUNCTION("""COMPUTED_VALUE"""),1.045)</f>
        <v>1.045</v>
      </c>
      <c r="E10460" s="16">
        <f>IFERROR(__xludf.DUMMYFUNCTION("""COMPUTED_VALUE"""),68.0)</f>
        <v>68</v>
      </c>
      <c r="F10460" s="19" t="str">
        <f>IFERROR(__xludf.DUMMYFUNCTION("""COMPUTED_VALUE"""),"BLACK")</f>
        <v>BLACK</v>
      </c>
      <c r="G10460" s="20" t="str">
        <f>IFERROR(__xludf.DUMMYFUNCTION("""COMPUTED_VALUE"""),"Uncle Sams Cider (04/04/2023)")</f>
        <v>Uncle Sams Cider (04/04/2023)</v>
      </c>
      <c r="H10460" s="19"/>
    </row>
    <row r="10461">
      <c r="A10461" s="9"/>
      <c r="B10461" s="15"/>
      <c r="C10461" s="9">
        <f>IFERROR(__xludf.DUMMYFUNCTION("""COMPUTED_VALUE"""),45034.3617536921)</f>
        <v>45034.36175</v>
      </c>
      <c r="D10461" s="15">
        <f>IFERROR(__xludf.DUMMYFUNCTION("""COMPUTED_VALUE"""),1.046)</f>
        <v>1.046</v>
      </c>
      <c r="E10461" s="16">
        <f>IFERROR(__xludf.DUMMYFUNCTION("""COMPUTED_VALUE"""),68.0)</f>
        <v>68</v>
      </c>
      <c r="F10461" s="19" t="str">
        <f>IFERROR(__xludf.DUMMYFUNCTION("""COMPUTED_VALUE"""),"BLACK")</f>
        <v>BLACK</v>
      </c>
      <c r="G10461" s="20" t="str">
        <f>IFERROR(__xludf.DUMMYFUNCTION("""COMPUTED_VALUE"""),"Uncle Sams Cider (04/04/2023)")</f>
        <v>Uncle Sams Cider (04/04/2023)</v>
      </c>
      <c r="H10461" s="19"/>
    </row>
    <row r="10462">
      <c r="A10462" s="9"/>
      <c r="B10462" s="15"/>
      <c r="C10462" s="9">
        <f>IFERROR(__xludf.DUMMYFUNCTION("""COMPUTED_VALUE"""),45034.3513104282)</f>
        <v>45034.35131</v>
      </c>
      <c r="D10462" s="15">
        <f>IFERROR(__xludf.DUMMYFUNCTION("""COMPUTED_VALUE"""),1.045)</f>
        <v>1.045</v>
      </c>
      <c r="E10462" s="16">
        <f>IFERROR(__xludf.DUMMYFUNCTION("""COMPUTED_VALUE"""),68.0)</f>
        <v>68</v>
      </c>
      <c r="F10462" s="19" t="str">
        <f>IFERROR(__xludf.DUMMYFUNCTION("""COMPUTED_VALUE"""),"BLACK")</f>
        <v>BLACK</v>
      </c>
      <c r="G10462" s="20" t="str">
        <f>IFERROR(__xludf.DUMMYFUNCTION("""COMPUTED_VALUE"""),"Uncle Sams Cider (04/04/2023)")</f>
        <v>Uncle Sams Cider (04/04/2023)</v>
      </c>
      <c r="H10462" s="19"/>
    </row>
    <row r="10463">
      <c r="A10463" s="9"/>
      <c r="B10463" s="15"/>
      <c r="C10463" s="9">
        <f>IFERROR(__xludf.DUMMYFUNCTION("""COMPUTED_VALUE"""),45034.340875243)</f>
        <v>45034.34088</v>
      </c>
      <c r="D10463" s="15">
        <f>IFERROR(__xludf.DUMMYFUNCTION("""COMPUTED_VALUE"""),1.045)</f>
        <v>1.045</v>
      </c>
      <c r="E10463" s="16">
        <f>IFERROR(__xludf.DUMMYFUNCTION("""COMPUTED_VALUE"""),68.0)</f>
        <v>68</v>
      </c>
      <c r="F10463" s="19" t="str">
        <f>IFERROR(__xludf.DUMMYFUNCTION("""COMPUTED_VALUE"""),"BLACK")</f>
        <v>BLACK</v>
      </c>
      <c r="G10463" s="20" t="str">
        <f>IFERROR(__xludf.DUMMYFUNCTION("""COMPUTED_VALUE"""),"Uncle Sams Cider (04/04/2023)")</f>
        <v>Uncle Sams Cider (04/04/2023)</v>
      </c>
      <c r="H10463" s="19"/>
    </row>
    <row r="10464">
      <c r="A10464" s="9"/>
      <c r="B10464" s="15"/>
      <c r="C10464" s="9">
        <f>IFERROR(__xludf.DUMMYFUNCTION("""COMPUTED_VALUE"""),45034.3304557175)</f>
        <v>45034.33046</v>
      </c>
      <c r="D10464" s="15">
        <f>IFERROR(__xludf.DUMMYFUNCTION("""COMPUTED_VALUE"""),1.045)</f>
        <v>1.045</v>
      </c>
      <c r="E10464" s="16">
        <f>IFERROR(__xludf.DUMMYFUNCTION("""COMPUTED_VALUE"""),68.0)</f>
        <v>68</v>
      </c>
      <c r="F10464" s="19" t="str">
        <f>IFERROR(__xludf.DUMMYFUNCTION("""COMPUTED_VALUE"""),"BLACK")</f>
        <v>BLACK</v>
      </c>
      <c r="G10464" s="20" t="str">
        <f>IFERROR(__xludf.DUMMYFUNCTION("""COMPUTED_VALUE"""),"Uncle Sams Cider (04/04/2023)")</f>
        <v>Uncle Sams Cider (04/04/2023)</v>
      </c>
      <c r="H10464" s="19"/>
    </row>
    <row r="10465">
      <c r="A10465" s="9"/>
      <c r="B10465" s="15"/>
      <c r="C10465" s="9">
        <f>IFERROR(__xludf.DUMMYFUNCTION("""COMPUTED_VALUE"""),45034.320036875)</f>
        <v>45034.32004</v>
      </c>
      <c r="D10465" s="15">
        <f>IFERROR(__xludf.DUMMYFUNCTION("""COMPUTED_VALUE"""),1.045)</f>
        <v>1.045</v>
      </c>
      <c r="E10465" s="16">
        <f>IFERROR(__xludf.DUMMYFUNCTION("""COMPUTED_VALUE"""),68.0)</f>
        <v>68</v>
      </c>
      <c r="F10465" s="19" t="str">
        <f>IFERROR(__xludf.DUMMYFUNCTION("""COMPUTED_VALUE"""),"BLACK")</f>
        <v>BLACK</v>
      </c>
      <c r="G10465" s="20" t="str">
        <f>IFERROR(__xludf.DUMMYFUNCTION("""COMPUTED_VALUE"""),"Uncle Sams Cider (04/04/2023)")</f>
        <v>Uncle Sams Cider (04/04/2023)</v>
      </c>
      <c r="H10465" s="19"/>
    </row>
    <row r="10466">
      <c r="A10466" s="9"/>
      <c r="B10466" s="15"/>
      <c r="C10466" s="9">
        <f>IFERROR(__xludf.DUMMYFUNCTION("""COMPUTED_VALUE"""),45034.3096036574)</f>
        <v>45034.3096</v>
      </c>
      <c r="D10466" s="15">
        <f>IFERROR(__xludf.DUMMYFUNCTION("""COMPUTED_VALUE"""),1.045)</f>
        <v>1.045</v>
      </c>
      <c r="E10466" s="16">
        <f>IFERROR(__xludf.DUMMYFUNCTION("""COMPUTED_VALUE"""),68.0)</f>
        <v>68</v>
      </c>
      <c r="F10466" s="19" t="str">
        <f>IFERROR(__xludf.DUMMYFUNCTION("""COMPUTED_VALUE"""),"BLACK")</f>
        <v>BLACK</v>
      </c>
      <c r="G10466" s="20" t="str">
        <f>IFERROR(__xludf.DUMMYFUNCTION("""COMPUTED_VALUE"""),"Uncle Sams Cider (04/04/2023)")</f>
        <v>Uncle Sams Cider (04/04/2023)</v>
      </c>
      <c r="H10466" s="19"/>
    </row>
    <row r="10467">
      <c r="A10467" s="9"/>
      <c r="B10467" s="15"/>
      <c r="C10467" s="9">
        <f>IFERROR(__xludf.DUMMYFUNCTION("""COMPUTED_VALUE"""),45034.2991831712)</f>
        <v>45034.29918</v>
      </c>
      <c r="D10467" s="15">
        <f>IFERROR(__xludf.DUMMYFUNCTION("""COMPUTED_VALUE"""),1.045)</f>
        <v>1.045</v>
      </c>
      <c r="E10467" s="16">
        <f>IFERROR(__xludf.DUMMYFUNCTION("""COMPUTED_VALUE"""),68.0)</f>
        <v>68</v>
      </c>
      <c r="F10467" s="19" t="str">
        <f>IFERROR(__xludf.DUMMYFUNCTION("""COMPUTED_VALUE"""),"BLACK")</f>
        <v>BLACK</v>
      </c>
      <c r="G10467" s="20" t="str">
        <f>IFERROR(__xludf.DUMMYFUNCTION("""COMPUTED_VALUE"""),"Uncle Sams Cider (04/04/2023)")</f>
        <v>Uncle Sams Cider (04/04/2023)</v>
      </c>
      <c r="H10467" s="19"/>
    </row>
    <row r="10468">
      <c r="A10468" s="9"/>
      <c r="B10468" s="15"/>
      <c r="C10468" s="9">
        <f>IFERROR(__xludf.DUMMYFUNCTION("""COMPUTED_VALUE"""),45034.2887635995)</f>
        <v>45034.28876</v>
      </c>
      <c r="D10468" s="15">
        <f>IFERROR(__xludf.DUMMYFUNCTION("""COMPUTED_VALUE"""),1.046)</f>
        <v>1.046</v>
      </c>
      <c r="E10468" s="16">
        <f>IFERROR(__xludf.DUMMYFUNCTION("""COMPUTED_VALUE"""),68.0)</f>
        <v>68</v>
      </c>
      <c r="F10468" s="19" t="str">
        <f>IFERROR(__xludf.DUMMYFUNCTION("""COMPUTED_VALUE"""),"BLACK")</f>
        <v>BLACK</v>
      </c>
      <c r="G10468" s="20" t="str">
        <f>IFERROR(__xludf.DUMMYFUNCTION("""COMPUTED_VALUE"""),"Uncle Sams Cider (04/04/2023)")</f>
        <v>Uncle Sams Cider (04/04/2023)</v>
      </c>
      <c r="H10468" s="19"/>
    </row>
    <row r="10469">
      <c r="A10469" s="9"/>
      <c r="B10469" s="15"/>
      <c r="C10469" s="9">
        <f>IFERROR(__xludf.DUMMYFUNCTION("""COMPUTED_VALUE"""),45034.2783330092)</f>
        <v>45034.27833</v>
      </c>
      <c r="D10469" s="15">
        <f>IFERROR(__xludf.DUMMYFUNCTION("""COMPUTED_VALUE"""),1.045)</f>
        <v>1.045</v>
      </c>
      <c r="E10469" s="16">
        <f>IFERROR(__xludf.DUMMYFUNCTION("""COMPUTED_VALUE"""),68.0)</f>
        <v>68</v>
      </c>
      <c r="F10469" s="19" t="str">
        <f>IFERROR(__xludf.DUMMYFUNCTION("""COMPUTED_VALUE"""),"BLACK")</f>
        <v>BLACK</v>
      </c>
      <c r="G10469" s="20" t="str">
        <f>IFERROR(__xludf.DUMMYFUNCTION("""COMPUTED_VALUE"""),"Uncle Sams Cider (04/04/2023)")</f>
        <v>Uncle Sams Cider (04/04/2023)</v>
      </c>
      <c r="H10469" s="19"/>
    </row>
    <row r="10470">
      <c r="A10470" s="9"/>
      <c r="B10470" s="15"/>
      <c r="C10470" s="9">
        <f>IFERROR(__xludf.DUMMYFUNCTION("""COMPUTED_VALUE"""),45034.2679128935)</f>
        <v>45034.26791</v>
      </c>
      <c r="D10470" s="15">
        <f>IFERROR(__xludf.DUMMYFUNCTION("""COMPUTED_VALUE"""),1.045)</f>
        <v>1.045</v>
      </c>
      <c r="E10470" s="16">
        <f>IFERROR(__xludf.DUMMYFUNCTION("""COMPUTED_VALUE"""),68.0)</f>
        <v>68</v>
      </c>
      <c r="F10470" s="19" t="str">
        <f>IFERROR(__xludf.DUMMYFUNCTION("""COMPUTED_VALUE"""),"BLACK")</f>
        <v>BLACK</v>
      </c>
      <c r="G10470" s="20" t="str">
        <f>IFERROR(__xludf.DUMMYFUNCTION("""COMPUTED_VALUE"""),"Uncle Sams Cider (04/04/2023)")</f>
        <v>Uncle Sams Cider (04/04/2023)</v>
      </c>
      <c r="H10470" s="19"/>
    </row>
    <row r="10471">
      <c r="A10471" s="9"/>
      <c r="B10471" s="15"/>
      <c r="C10471" s="9">
        <f>IFERROR(__xludf.DUMMYFUNCTION("""COMPUTED_VALUE"""),45034.257458449)</f>
        <v>45034.25746</v>
      </c>
      <c r="D10471" s="15">
        <f>IFERROR(__xludf.DUMMYFUNCTION("""COMPUTED_VALUE"""),1.045)</f>
        <v>1.045</v>
      </c>
      <c r="E10471" s="16">
        <f>IFERROR(__xludf.DUMMYFUNCTION("""COMPUTED_VALUE"""),68.0)</f>
        <v>68</v>
      </c>
      <c r="F10471" s="19" t="str">
        <f>IFERROR(__xludf.DUMMYFUNCTION("""COMPUTED_VALUE"""),"BLACK")</f>
        <v>BLACK</v>
      </c>
      <c r="G10471" s="20" t="str">
        <f>IFERROR(__xludf.DUMMYFUNCTION("""COMPUTED_VALUE"""),"Uncle Sams Cider (04/04/2023)")</f>
        <v>Uncle Sams Cider (04/04/2023)</v>
      </c>
      <c r="H10471" s="19"/>
    </row>
    <row r="10472">
      <c r="A10472" s="9"/>
      <c r="B10472" s="15"/>
      <c r="C10472" s="9">
        <f>IFERROR(__xludf.DUMMYFUNCTION("""COMPUTED_VALUE"""),45034.2470360185)</f>
        <v>45034.24704</v>
      </c>
      <c r="D10472" s="15">
        <f>IFERROR(__xludf.DUMMYFUNCTION("""COMPUTED_VALUE"""),1.046)</f>
        <v>1.046</v>
      </c>
      <c r="E10472" s="16">
        <f>IFERROR(__xludf.DUMMYFUNCTION("""COMPUTED_VALUE"""),68.0)</f>
        <v>68</v>
      </c>
      <c r="F10472" s="19" t="str">
        <f>IFERROR(__xludf.DUMMYFUNCTION("""COMPUTED_VALUE"""),"BLACK")</f>
        <v>BLACK</v>
      </c>
      <c r="G10472" s="20" t="str">
        <f>IFERROR(__xludf.DUMMYFUNCTION("""COMPUTED_VALUE"""),"Uncle Sams Cider (04/04/2023)")</f>
        <v>Uncle Sams Cider (04/04/2023)</v>
      </c>
      <c r="H10472" s="19"/>
    </row>
    <row r="10473">
      <c r="A10473" s="9"/>
      <c r="B10473" s="15"/>
      <c r="C10473" s="9">
        <f>IFERROR(__xludf.DUMMYFUNCTION("""COMPUTED_VALUE"""),45034.2366137268)</f>
        <v>45034.23661</v>
      </c>
      <c r="D10473" s="15">
        <f>IFERROR(__xludf.DUMMYFUNCTION("""COMPUTED_VALUE"""),1.046)</f>
        <v>1.046</v>
      </c>
      <c r="E10473" s="16">
        <f>IFERROR(__xludf.DUMMYFUNCTION("""COMPUTED_VALUE"""),68.0)</f>
        <v>68</v>
      </c>
      <c r="F10473" s="19" t="str">
        <f>IFERROR(__xludf.DUMMYFUNCTION("""COMPUTED_VALUE"""),"BLACK")</f>
        <v>BLACK</v>
      </c>
      <c r="G10473" s="20" t="str">
        <f>IFERROR(__xludf.DUMMYFUNCTION("""COMPUTED_VALUE"""),"Uncle Sams Cider (04/04/2023)")</f>
        <v>Uncle Sams Cider (04/04/2023)</v>
      </c>
      <c r="H10473" s="19"/>
    </row>
    <row r="10474">
      <c r="A10474" s="9"/>
      <c r="B10474" s="15"/>
      <c r="C10474" s="9">
        <f>IFERROR(__xludf.DUMMYFUNCTION("""COMPUTED_VALUE"""),45034.2261824768)</f>
        <v>45034.22618</v>
      </c>
      <c r="D10474" s="15">
        <f>IFERROR(__xludf.DUMMYFUNCTION("""COMPUTED_VALUE"""),1.046)</f>
        <v>1.046</v>
      </c>
      <c r="E10474" s="16">
        <f>IFERROR(__xludf.DUMMYFUNCTION("""COMPUTED_VALUE"""),68.0)</f>
        <v>68</v>
      </c>
      <c r="F10474" s="19" t="str">
        <f>IFERROR(__xludf.DUMMYFUNCTION("""COMPUTED_VALUE"""),"BLACK")</f>
        <v>BLACK</v>
      </c>
      <c r="G10474" s="20" t="str">
        <f>IFERROR(__xludf.DUMMYFUNCTION("""COMPUTED_VALUE"""),"Uncle Sams Cider (04/04/2023)")</f>
        <v>Uncle Sams Cider (04/04/2023)</v>
      </c>
      <c r="H10474" s="19"/>
    </row>
    <row r="10475">
      <c r="A10475" s="9"/>
      <c r="B10475" s="15"/>
      <c r="C10475" s="9">
        <f>IFERROR(__xludf.DUMMYFUNCTION("""COMPUTED_VALUE"""),45034.2157609953)</f>
        <v>45034.21576</v>
      </c>
      <c r="D10475" s="15">
        <f>IFERROR(__xludf.DUMMYFUNCTION("""COMPUTED_VALUE"""),1.046)</f>
        <v>1.046</v>
      </c>
      <c r="E10475" s="16">
        <f>IFERROR(__xludf.DUMMYFUNCTION("""COMPUTED_VALUE"""),68.0)</f>
        <v>68</v>
      </c>
      <c r="F10475" s="19" t="str">
        <f>IFERROR(__xludf.DUMMYFUNCTION("""COMPUTED_VALUE"""),"BLACK")</f>
        <v>BLACK</v>
      </c>
      <c r="G10475" s="20" t="str">
        <f>IFERROR(__xludf.DUMMYFUNCTION("""COMPUTED_VALUE"""),"Uncle Sams Cider (04/04/2023)")</f>
        <v>Uncle Sams Cider (04/04/2023)</v>
      </c>
      <c r="H10475" s="19"/>
    </row>
    <row r="10476">
      <c r="A10476" s="9"/>
      <c r="B10476" s="15"/>
      <c r="C10476" s="9">
        <f>IFERROR(__xludf.DUMMYFUNCTION("""COMPUTED_VALUE"""),45034.2053408449)</f>
        <v>45034.20534</v>
      </c>
      <c r="D10476" s="15">
        <f>IFERROR(__xludf.DUMMYFUNCTION("""COMPUTED_VALUE"""),1.046)</f>
        <v>1.046</v>
      </c>
      <c r="E10476" s="16">
        <f>IFERROR(__xludf.DUMMYFUNCTION("""COMPUTED_VALUE"""),68.0)</f>
        <v>68</v>
      </c>
      <c r="F10476" s="19" t="str">
        <f>IFERROR(__xludf.DUMMYFUNCTION("""COMPUTED_VALUE"""),"BLACK")</f>
        <v>BLACK</v>
      </c>
      <c r="G10476" s="20" t="str">
        <f>IFERROR(__xludf.DUMMYFUNCTION("""COMPUTED_VALUE"""),"Uncle Sams Cider (04/04/2023)")</f>
        <v>Uncle Sams Cider (04/04/2023)</v>
      </c>
      <c r="H10476" s="19"/>
    </row>
    <row r="10477">
      <c r="A10477" s="9"/>
      <c r="B10477" s="15"/>
      <c r="C10477" s="9">
        <f>IFERROR(__xludf.DUMMYFUNCTION("""COMPUTED_VALUE"""),45034.1949192476)</f>
        <v>45034.19492</v>
      </c>
      <c r="D10477" s="15">
        <f>IFERROR(__xludf.DUMMYFUNCTION("""COMPUTED_VALUE"""),1.046)</f>
        <v>1.046</v>
      </c>
      <c r="E10477" s="16">
        <f>IFERROR(__xludf.DUMMYFUNCTION("""COMPUTED_VALUE"""),68.0)</f>
        <v>68</v>
      </c>
      <c r="F10477" s="19" t="str">
        <f>IFERROR(__xludf.DUMMYFUNCTION("""COMPUTED_VALUE"""),"BLACK")</f>
        <v>BLACK</v>
      </c>
      <c r="G10477" s="20" t="str">
        <f>IFERROR(__xludf.DUMMYFUNCTION("""COMPUTED_VALUE"""),"Uncle Sams Cider (04/04/2023)")</f>
        <v>Uncle Sams Cider (04/04/2023)</v>
      </c>
      <c r="H10477" s="19"/>
    </row>
    <row r="10478">
      <c r="A10478" s="9"/>
      <c r="B10478" s="15"/>
      <c r="C10478" s="9">
        <f>IFERROR(__xludf.DUMMYFUNCTION("""COMPUTED_VALUE"""),45034.1844963541)</f>
        <v>45034.1845</v>
      </c>
      <c r="D10478" s="15">
        <f>IFERROR(__xludf.DUMMYFUNCTION("""COMPUTED_VALUE"""),1.046)</f>
        <v>1.046</v>
      </c>
      <c r="E10478" s="16">
        <f>IFERROR(__xludf.DUMMYFUNCTION("""COMPUTED_VALUE"""),68.0)</f>
        <v>68</v>
      </c>
      <c r="F10478" s="19" t="str">
        <f>IFERROR(__xludf.DUMMYFUNCTION("""COMPUTED_VALUE"""),"BLACK")</f>
        <v>BLACK</v>
      </c>
      <c r="G10478" s="20" t="str">
        <f>IFERROR(__xludf.DUMMYFUNCTION("""COMPUTED_VALUE"""),"Uncle Sams Cider (04/04/2023)")</f>
        <v>Uncle Sams Cider (04/04/2023)</v>
      </c>
      <c r="H10478" s="19"/>
    </row>
    <row r="10479">
      <c r="A10479" s="9"/>
      <c r="B10479" s="15"/>
      <c r="C10479" s="9">
        <f>IFERROR(__xludf.DUMMYFUNCTION("""COMPUTED_VALUE"""),45034.1740628009)</f>
        <v>45034.17406</v>
      </c>
      <c r="D10479" s="15">
        <f>IFERROR(__xludf.DUMMYFUNCTION("""COMPUTED_VALUE"""),1.046)</f>
        <v>1.046</v>
      </c>
      <c r="E10479" s="16">
        <f>IFERROR(__xludf.DUMMYFUNCTION("""COMPUTED_VALUE"""),68.0)</f>
        <v>68</v>
      </c>
      <c r="F10479" s="19" t="str">
        <f>IFERROR(__xludf.DUMMYFUNCTION("""COMPUTED_VALUE"""),"BLACK")</f>
        <v>BLACK</v>
      </c>
      <c r="G10479" s="20" t="str">
        <f>IFERROR(__xludf.DUMMYFUNCTION("""COMPUTED_VALUE"""),"Uncle Sams Cider (04/04/2023)")</f>
        <v>Uncle Sams Cider (04/04/2023)</v>
      </c>
      <c r="H10479" s="19"/>
    </row>
    <row r="10480">
      <c r="A10480" s="9"/>
      <c r="B10480" s="15"/>
      <c r="C10480" s="9">
        <f>IFERROR(__xludf.DUMMYFUNCTION("""COMPUTED_VALUE"""),45034.1636416435)</f>
        <v>45034.16364</v>
      </c>
      <c r="D10480" s="15">
        <f>IFERROR(__xludf.DUMMYFUNCTION("""COMPUTED_VALUE"""),1.046)</f>
        <v>1.046</v>
      </c>
      <c r="E10480" s="16">
        <f>IFERROR(__xludf.DUMMYFUNCTION("""COMPUTED_VALUE"""),68.0)</f>
        <v>68</v>
      </c>
      <c r="F10480" s="19" t="str">
        <f>IFERROR(__xludf.DUMMYFUNCTION("""COMPUTED_VALUE"""),"BLACK")</f>
        <v>BLACK</v>
      </c>
      <c r="G10480" s="20" t="str">
        <f>IFERROR(__xludf.DUMMYFUNCTION("""COMPUTED_VALUE"""),"Uncle Sams Cider (04/04/2023)")</f>
        <v>Uncle Sams Cider (04/04/2023)</v>
      </c>
      <c r="H10480" s="19"/>
    </row>
    <row r="10481">
      <c r="A10481" s="9"/>
      <c r="B10481" s="15"/>
      <c r="C10481" s="9">
        <f>IFERROR(__xludf.DUMMYFUNCTION("""COMPUTED_VALUE"""),45034.1532085416)</f>
        <v>45034.15321</v>
      </c>
      <c r="D10481" s="15">
        <f>IFERROR(__xludf.DUMMYFUNCTION("""COMPUTED_VALUE"""),1.046)</f>
        <v>1.046</v>
      </c>
      <c r="E10481" s="16">
        <f>IFERROR(__xludf.DUMMYFUNCTION("""COMPUTED_VALUE"""),68.0)</f>
        <v>68</v>
      </c>
      <c r="F10481" s="19" t="str">
        <f>IFERROR(__xludf.DUMMYFUNCTION("""COMPUTED_VALUE"""),"BLACK")</f>
        <v>BLACK</v>
      </c>
      <c r="G10481" s="20" t="str">
        <f>IFERROR(__xludf.DUMMYFUNCTION("""COMPUTED_VALUE"""),"Uncle Sams Cider (04/04/2023)")</f>
        <v>Uncle Sams Cider (04/04/2023)</v>
      </c>
      <c r="H10481" s="19"/>
    </row>
    <row r="10482">
      <c r="A10482" s="9"/>
      <c r="B10482" s="15"/>
      <c r="C10482" s="9">
        <f>IFERROR(__xludf.DUMMYFUNCTION("""COMPUTED_VALUE"""),45034.1427886226)</f>
        <v>45034.14279</v>
      </c>
      <c r="D10482" s="15">
        <f>IFERROR(__xludf.DUMMYFUNCTION("""COMPUTED_VALUE"""),1.046)</f>
        <v>1.046</v>
      </c>
      <c r="E10482" s="16">
        <f>IFERROR(__xludf.DUMMYFUNCTION("""COMPUTED_VALUE"""),68.0)</f>
        <v>68</v>
      </c>
      <c r="F10482" s="19" t="str">
        <f>IFERROR(__xludf.DUMMYFUNCTION("""COMPUTED_VALUE"""),"BLACK")</f>
        <v>BLACK</v>
      </c>
      <c r="G10482" s="20" t="str">
        <f>IFERROR(__xludf.DUMMYFUNCTION("""COMPUTED_VALUE"""),"Uncle Sams Cider (04/04/2023)")</f>
        <v>Uncle Sams Cider (04/04/2023)</v>
      </c>
      <c r="H10482" s="19"/>
    </row>
    <row r="10483">
      <c r="A10483" s="9"/>
      <c r="B10483" s="15"/>
      <c r="C10483" s="9">
        <f>IFERROR(__xludf.DUMMYFUNCTION("""COMPUTED_VALUE"""),45034.132368287)</f>
        <v>45034.13237</v>
      </c>
      <c r="D10483" s="15">
        <f>IFERROR(__xludf.DUMMYFUNCTION("""COMPUTED_VALUE"""),1.046)</f>
        <v>1.046</v>
      </c>
      <c r="E10483" s="16">
        <f>IFERROR(__xludf.DUMMYFUNCTION("""COMPUTED_VALUE"""),68.0)</f>
        <v>68</v>
      </c>
      <c r="F10483" s="19" t="str">
        <f>IFERROR(__xludf.DUMMYFUNCTION("""COMPUTED_VALUE"""),"BLACK")</f>
        <v>BLACK</v>
      </c>
      <c r="G10483" s="20" t="str">
        <f>IFERROR(__xludf.DUMMYFUNCTION("""COMPUTED_VALUE"""),"Uncle Sams Cider (04/04/2023)")</f>
        <v>Uncle Sams Cider (04/04/2023)</v>
      </c>
      <c r="H10483" s="19"/>
    </row>
    <row r="10484">
      <c r="A10484" s="9"/>
      <c r="B10484" s="15"/>
      <c r="C10484" s="9">
        <f>IFERROR(__xludf.DUMMYFUNCTION("""COMPUTED_VALUE"""),45034.1219460532)</f>
        <v>45034.12195</v>
      </c>
      <c r="D10484" s="15">
        <f>IFERROR(__xludf.DUMMYFUNCTION("""COMPUTED_VALUE"""),1.046)</f>
        <v>1.046</v>
      </c>
      <c r="E10484" s="16">
        <f>IFERROR(__xludf.DUMMYFUNCTION("""COMPUTED_VALUE"""),68.0)</f>
        <v>68</v>
      </c>
      <c r="F10484" s="19" t="str">
        <f>IFERROR(__xludf.DUMMYFUNCTION("""COMPUTED_VALUE"""),"BLACK")</f>
        <v>BLACK</v>
      </c>
      <c r="G10484" s="20" t="str">
        <f>IFERROR(__xludf.DUMMYFUNCTION("""COMPUTED_VALUE"""),"Uncle Sams Cider (04/04/2023)")</f>
        <v>Uncle Sams Cider (04/04/2023)</v>
      </c>
      <c r="H10484" s="19"/>
    </row>
    <row r="10485">
      <c r="A10485" s="9"/>
      <c r="B10485" s="15"/>
      <c r="C10485" s="9">
        <f>IFERROR(__xludf.DUMMYFUNCTION("""COMPUTED_VALUE"""),45034.1115123495)</f>
        <v>45034.11151</v>
      </c>
      <c r="D10485" s="15">
        <f>IFERROR(__xludf.DUMMYFUNCTION("""COMPUTED_VALUE"""),1.046)</f>
        <v>1.046</v>
      </c>
      <c r="E10485" s="16">
        <f>IFERROR(__xludf.DUMMYFUNCTION("""COMPUTED_VALUE"""),68.0)</f>
        <v>68</v>
      </c>
      <c r="F10485" s="19" t="str">
        <f>IFERROR(__xludf.DUMMYFUNCTION("""COMPUTED_VALUE"""),"BLACK")</f>
        <v>BLACK</v>
      </c>
      <c r="G10485" s="20" t="str">
        <f>IFERROR(__xludf.DUMMYFUNCTION("""COMPUTED_VALUE"""),"Uncle Sams Cider (04/04/2023)")</f>
        <v>Uncle Sams Cider (04/04/2023)</v>
      </c>
      <c r="H10485" s="19"/>
    </row>
    <row r="10486">
      <c r="A10486" s="9"/>
      <c r="B10486" s="15"/>
      <c r="C10486" s="9">
        <f>IFERROR(__xludf.DUMMYFUNCTION("""COMPUTED_VALUE"""),45034.1010913425)</f>
        <v>45034.10109</v>
      </c>
      <c r="D10486" s="15">
        <f>IFERROR(__xludf.DUMMYFUNCTION("""COMPUTED_VALUE"""),1.046)</f>
        <v>1.046</v>
      </c>
      <c r="E10486" s="16">
        <f>IFERROR(__xludf.DUMMYFUNCTION("""COMPUTED_VALUE"""),68.0)</f>
        <v>68</v>
      </c>
      <c r="F10486" s="19" t="str">
        <f>IFERROR(__xludf.DUMMYFUNCTION("""COMPUTED_VALUE"""),"BLACK")</f>
        <v>BLACK</v>
      </c>
      <c r="G10486" s="20" t="str">
        <f>IFERROR(__xludf.DUMMYFUNCTION("""COMPUTED_VALUE"""),"Uncle Sams Cider (04/04/2023)")</f>
        <v>Uncle Sams Cider (04/04/2023)</v>
      </c>
      <c r="H10486" s="19"/>
    </row>
    <row r="10487">
      <c r="A10487" s="9"/>
      <c r="B10487" s="15"/>
      <c r="C10487" s="9">
        <f>IFERROR(__xludf.DUMMYFUNCTION("""COMPUTED_VALUE"""),45034.0906701041)</f>
        <v>45034.09067</v>
      </c>
      <c r="D10487" s="15">
        <f>IFERROR(__xludf.DUMMYFUNCTION("""COMPUTED_VALUE"""),1.046)</f>
        <v>1.046</v>
      </c>
      <c r="E10487" s="16">
        <f>IFERROR(__xludf.DUMMYFUNCTION("""COMPUTED_VALUE"""),68.0)</f>
        <v>68</v>
      </c>
      <c r="F10487" s="19" t="str">
        <f>IFERROR(__xludf.DUMMYFUNCTION("""COMPUTED_VALUE"""),"BLACK")</f>
        <v>BLACK</v>
      </c>
      <c r="G10487" s="20" t="str">
        <f>IFERROR(__xludf.DUMMYFUNCTION("""COMPUTED_VALUE"""),"Uncle Sams Cider (04/04/2023)")</f>
        <v>Uncle Sams Cider (04/04/2023)</v>
      </c>
      <c r="H10487" s="19"/>
    </row>
    <row r="10488">
      <c r="A10488" s="9"/>
      <c r="B10488" s="15"/>
      <c r="C10488" s="9">
        <f>IFERROR(__xludf.DUMMYFUNCTION("""COMPUTED_VALUE"""),45034.0802138078)</f>
        <v>45034.08021</v>
      </c>
      <c r="D10488" s="15">
        <f>IFERROR(__xludf.DUMMYFUNCTION("""COMPUTED_VALUE"""),1.046)</f>
        <v>1.046</v>
      </c>
      <c r="E10488" s="16">
        <f>IFERROR(__xludf.DUMMYFUNCTION("""COMPUTED_VALUE"""),68.0)</f>
        <v>68</v>
      </c>
      <c r="F10488" s="19" t="str">
        <f>IFERROR(__xludf.DUMMYFUNCTION("""COMPUTED_VALUE"""),"BLACK")</f>
        <v>BLACK</v>
      </c>
      <c r="G10488" s="20" t="str">
        <f>IFERROR(__xludf.DUMMYFUNCTION("""COMPUTED_VALUE"""),"Uncle Sams Cider (04/04/2023)")</f>
        <v>Uncle Sams Cider (04/04/2023)</v>
      </c>
      <c r="H10488" s="19"/>
    </row>
    <row r="10489">
      <c r="A10489" s="9"/>
      <c r="B10489" s="15"/>
      <c r="C10489" s="9">
        <f>IFERROR(__xludf.DUMMYFUNCTION("""COMPUTED_VALUE"""),45034.0697932407)</f>
        <v>45034.06979</v>
      </c>
      <c r="D10489" s="15">
        <f>IFERROR(__xludf.DUMMYFUNCTION("""COMPUTED_VALUE"""),1.046)</f>
        <v>1.046</v>
      </c>
      <c r="E10489" s="16">
        <f>IFERROR(__xludf.DUMMYFUNCTION("""COMPUTED_VALUE"""),68.0)</f>
        <v>68</v>
      </c>
      <c r="F10489" s="19" t="str">
        <f>IFERROR(__xludf.DUMMYFUNCTION("""COMPUTED_VALUE"""),"BLACK")</f>
        <v>BLACK</v>
      </c>
      <c r="G10489" s="20" t="str">
        <f>IFERROR(__xludf.DUMMYFUNCTION("""COMPUTED_VALUE"""),"Uncle Sams Cider (04/04/2023)")</f>
        <v>Uncle Sams Cider (04/04/2023)</v>
      </c>
      <c r="H10489" s="19"/>
    </row>
    <row r="10490">
      <c r="A10490" s="9"/>
      <c r="B10490" s="15"/>
      <c r="C10490" s="9">
        <f>IFERROR(__xludf.DUMMYFUNCTION("""COMPUTED_VALUE"""),45034.0593716898)</f>
        <v>45034.05937</v>
      </c>
      <c r="D10490" s="15">
        <f>IFERROR(__xludf.DUMMYFUNCTION("""COMPUTED_VALUE"""),1.046)</f>
        <v>1.046</v>
      </c>
      <c r="E10490" s="16">
        <f>IFERROR(__xludf.DUMMYFUNCTION("""COMPUTED_VALUE"""),68.0)</f>
        <v>68</v>
      </c>
      <c r="F10490" s="19" t="str">
        <f>IFERROR(__xludf.DUMMYFUNCTION("""COMPUTED_VALUE"""),"BLACK")</f>
        <v>BLACK</v>
      </c>
      <c r="G10490" s="20" t="str">
        <f>IFERROR(__xludf.DUMMYFUNCTION("""COMPUTED_VALUE"""),"Uncle Sams Cider (04/04/2023)")</f>
        <v>Uncle Sams Cider (04/04/2023)</v>
      </c>
      <c r="H10490" s="19"/>
    </row>
    <row r="10491">
      <c r="A10491" s="9"/>
      <c r="B10491" s="15"/>
      <c r="C10491" s="9">
        <f>IFERROR(__xludf.DUMMYFUNCTION("""COMPUTED_VALUE"""),45034.0489505902)</f>
        <v>45034.04895</v>
      </c>
      <c r="D10491" s="15">
        <f>IFERROR(__xludf.DUMMYFUNCTION("""COMPUTED_VALUE"""),1.046)</f>
        <v>1.046</v>
      </c>
      <c r="E10491" s="16">
        <f>IFERROR(__xludf.DUMMYFUNCTION("""COMPUTED_VALUE"""),68.0)</f>
        <v>68</v>
      </c>
      <c r="F10491" s="19" t="str">
        <f>IFERROR(__xludf.DUMMYFUNCTION("""COMPUTED_VALUE"""),"BLACK")</f>
        <v>BLACK</v>
      </c>
      <c r="G10491" s="20" t="str">
        <f>IFERROR(__xludf.DUMMYFUNCTION("""COMPUTED_VALUE"""),"Uncle Sams Cider (04/04/2023)")</f>
        <v>Uncle Sams Cider (04/04/2023)</v>
      </c>
      <c r="H10491" s="19"/>
    </row>
    <row r="10492">
      <c r="A10492" s="9"/>
      <c r="B10492" s="15"/>
      <c r="C10492" s="9">
        <f>IFERROR(__xludf.DUMMYFUNCTION("""COMPUTED_VALUE"""),45034.0385180787)</f>
        <v>45034.03852</v>
      </c>
      <c r="D10492" s="15">
        <f>IFERROR(__xludf.DUMMYFUNCTION("""COMPUTED_VALUE"""),1.046)</f>
        <v>1.046</v>
      </c>
      <c r="E10492" s="16">
        <f>IFERROR(__xludf.DUMMYFUNCTION("""COMPUTED_VALUE"""),68.0)</f>
        <v>68</v>
      </c>
      <c r="F10492" s="19" t="str">
        <f>IFERROR(__xludf.DUMMYFUNCTION("""COMPUTED_VALUE"""),"BLACK")</f>
        <v>BLACK</v>
      </c>
      <c r="G10492" s="20" t="str">
        <f>IFERROR(__xludf.DUMMYFUNCTION("""COMPUTED_VALUE"""),"Uncle Sams Cider (04/04/2023)")</f>
        <v>Uncle Sams Cider (04/04/2023)</v>
      </c>
      <c r="H10492" s="19"/>
    </row>
    <row r="10493">
      <c r="A10493" s="9"/>
      <c r="B10493" s="15"/>
      <c r="C10493" s="9">
        <f>IFERROR(__xludf.DUMMYFUNCTION("""COMPUTED_VALUE"""),45034.0280739004)</f>
        <v>45034.02807</v>
      </c>
      <c r="D10493" s="15">
        <f>IFERROR(__xludf.DUMMYFUNCTION("""COMPUTED_VALUE"""),1.046)</f>
        <v>1.046</v>
      </c>
      <c r="E10493" s="16">
        <f>IFERROR(__xludf.DUMMYFUNCTION("""COMPUTED_VALUE"""),68.0)</f>
        <v>68</v>
      </c>
      <c r="F10493" s="19" t="str">
        <f>IFERROR(__xludf.DUMMYFUNCTION("""COMPUTED_VALUE"""),"BLACK")</f>
        <v>BLACK</v>
      </c>
      <c r="G10493" s="20" t="str">
        <f>IFERROR(__xludf.DUMMYFUNCTION("""COMPUTED_VALUE"""),"Uncle Sams Cider (04/04/2023)")</f>
        <v>Uncle Sams Cider (04/04/2023)</v>
      </c>
      <c r="H10493" s="19"/>
    </row>
    <row r="10494">
      <c r="A10494" s="9"/>
      <c r="B10494" s="15"/>
      <c r="C10494" s="9">
        <f>IFERROR(__xludf.DUMMYFUNCTION("""COMPUTED_VALUE"""),45034.0176511342)</f>
        <v>45034.01765</v>
      </c>
      <c r="D10494" s="15">
        <f>IFERROR(__xludf.DUMMYFUNCTION("""COMPUTED_VALUE"""),1.046)</f>
        <v>1.046</v>
      </c>
      <c r="E10494" s="16">
        <f>IFERROR(__xludf.DUMMYFUNCTION("""COMPUTED_VALUE"""),68.0)</f>
        <v>68</v>
      </c>
      <c r="F10494" s="19" t="str">
        <f>IFERROR(__xludf.DUMMYFUNCTION("""COMPUTED_VALUE"""),"BLACK")</f>
        <v>BLACK</v>
      </c>
      <c r="G10494" s="20" t="str">
        <f>IFERROR(__xludf.DUMMYFUNCTION("""COMPUTED_VALUE"""),"Uncle Sams Cider (04/04/2023)")</f>
        <v>Uncle Sams Cider (04/04/2023)</v>
      </c>
      <c r="H10494" s="19"/>
    </row>
    <row r="10495">
      <c r="A10495" s="9"/>
      <c r="B10495" s="15"/>
      <c r="C10495" s="9">
        <f>IFERROR(__xludf.DUMMYFUNCTION("""COMPUTED_VALUE"""),45034.0072280092)</f>
        <v>45034.00723</v>
      </c>
      <c r="D10495" s="15">
        <f>IFERROR(__xludf.DUMMYFUNCTION("""COMPUTED_VALUE"""),1.046)</f>
        <v>1.046</v>
      </c>
      <c r="E10495" s="16">
        <f>IFERROR(__xludf.DUMMYFUNCTION("""COMPUTED_VALUE"""),68.0)</f>
        <v>68</v>
      </c>
      <c r="F10495" s="19" t="str">
        <f>IFERROR(__xludf.DUMMYFUNCTION("""COMPUTED_VALUE"""),"BLACK")</f>
        <v>BLACK</v>
      </c>
      <c r="G10495" s="20" t="str">
        <f>IFERROR(__xludf.DUMMYFUNCTION("""COMPUTED_VALUE"""),"Uncle Sams Cider (04/04/2023)")</f>
        <v>Uncle Sams Cider (04/04/2023)</v>
      </c>
      <c r="H10495" s="19"/>
    </row>
    <row r="10496">
      <c r="A10496" s="9"/>
      <c r="B10496" s="15"/>
      <c r="C10496" s="9">
        <f>IFERROR(__xludf.DUMMYFUNCTION("""COMPUTED_VALUE"""),45033.9968066898)</f>
        <v>45033.99681</v>
      </c>
      <c r="D10496" s="15">
        <f>IFERROR(__xludf.DUMMYFUNCTION("""COMPUTED_VALUE"""),1.046)</f>
        <v>1.046</v>
      </c>
      <c r="E10496" s="16">
        <f>IFERROR(__xludf.DUMMYFUNCTION("""COMPUTED_VALUE"""),68.0)</f>
        <v>68</v>
      </c>
      <c r="F10496" s="19" t="str">
        <f>IFERROR(__xludf.DUMMYFUNCTION("""COMPUTED_VALUE"""),"BLACK")</f>
        <v>BLACK</v>
      </c>
      <c r="G10496" s="20" t="str">
        <f>IFERROR(__xludf.DUMMYFUNCTION("""COMPUTED_VALUE"""),"Uncle Sams Cider (04/04/2023)")</f>
        <v>Uncle Sams Cider (04/04/2023)</v>
      </c>
      <c r="H10496" s="19"/>
    </row>
    <row r="10497">
      <c r="A10497" s="9"/>
      <c r="B10497" s="15"/>
      <c r="C10497" s="9">
        <f>IFERROR(__xludf.DUMMYFUNCTION("""COMPUTED_VALUE"""),45033.986352199)</f>
        <v>45033.98635</v>
      </c>
      <c r="D10497" s="15">
        <f>IFERROR(__xludf.DUMMYFUNCTION("""COMPUTED_VALUE"""),1.046)</f>
        <v>1.046</v>
      </c>
      <c r="E10497" s="16">
        <f>IFERROR(__xludf.DUMMYFUNCTION("""COMPUTED_VALUE"""),68.0)</f>
        <v>68</v>
      </c>
      <c r="F10497" s="19" t="str">
        <f>IFERROR(__xludf.DUMMYFUNCTION("""COMPUTED_VALUE"""),"BLACK")</f>
        <v>BLACK</v>
      </c>
      <c r="G10497" s="20" t="str">
        <f>IFERROR(__xludf.DUMMYFUNCTION("""COMPUTED_VALUE"""),"Uncle Sams Cider (04/04/2023)")</f>
        <v>Uncle Sams Cider (04/04/2023)</v>
      </c>
      <c r="H10497" s="19"/>
    </row>
    <row r="10498">
      <c r="A10498" s="9"/>
      <c r="B10498" s="15"/>
      <c r="C10498" s="9">
        <f>IFERROR(__xludf.DUMMYFUNCTION("""COMPUTED_VALUE"""),45033.9759307754)</f>
        <v>45033.97593</v>
      </c>
      <c r="D10498" s="15">
        <f>IFERROR(__xludf.DUMMYFUNCTION("""COMPUTED_VALUE"""),1.046)</f>
        <v>1.046</v>
      </c>
      <c r="E10498" s="16">
        <f>IFERROR(__xludf.DUMMYFUNCTION("""COMPUTED_VALUE"""),68.0)</f>
        <v>68</v>
      </c>
      <c r="F10498" s="19" t="str">
        <f>IFERROR(__xludf.DUMMYFUNCTION("""COMPUTED_VALUE"""),"BLACK")</f>
        <v>BLACK</v>
      </c>
      <c r="G10498" s="20" t="str">
        <f>IFERROR(__xludf.DUMMYFUNCTION("""COMPUTED_VALUE"""),"Uncle Sams Cider (04/04/2023)")</f>
        <v>Uncle Sams Cider (04/04/2023)</v>
      </c>
      <c r="H10498" s="19"/>
    </row>
    <row r="10499">
      <c r="A10499" s="9"/>
      <c r="B10499" s="15"/>
      <c r="C10499" s="9">
        <f>IFERROR(__xludf.DUMMYFUNCTION("""COMPUTED_VALUE"""),45033.965498831)</f>
        <v>45033.9655</v>
      </c>
      <c r="D10499" s="15">
        <f>IFERROR(__xludf.DUMMYFUNCTION("""COMPUTED_VALUE"""),1.046)</f>
        <v>1.046</v>
      </c>
      <c r="E10499" s="16">
        <f>IFERROR(__xludf.DUMMYFUNCTION("""COMPUTED_VALUE"""),68.0)</f>
        <v>68</v>
      </c>
      <c r="F10499" s="19" t="str">
        <f>IFERROR(__xludf.DUMMYFUNCTION("""COMPUTED_VALUE"""),"BLACK")</f>
        <v>BLACK</v>
      </c>
      <c r="G10499" s="20" t="str">
        <f>IFERROR(__xludf.DUMMYFUNCTION("""COMPUTED_VALUE"""),"Uncle Sams Cider (04/04/2023)")</f>
        <v>Uncle Sams Cider (04/04/2023)</v>
      </c>
      <c r="H10499" s="19"/>
    </row>
    <row r="10500">
      <c r="A10500" s="9"/>
      <c r="B10500" s="15"/>
      <c r="C10500" s="9">
        <f>IFERROR(__xludf.DUMMYFUNCTION("""COMPUTED_VALUE"""),45033.9550772916)</f>
        <v>45033.95508</v>
      </c>
      <c r="D10500" s="15">
        <f>IFERROR(__xludf.DUMMYFUNCTION("""COMPUTED_VALUE"""),1.046)</f>
        <v>1.046</v>
      </c>
      <c r="E10500" s="16">
        <f>IFERROR(__xludf.DUMMYFUNCTION("""COMPUTED_VALUE"""),68.0)</f>
        <v>68</v>
      </c>
      <c r="F10500" s="19" t="str">
        <f>IFERROR(__xludf.DUMMYFUNCTION("""COMPUTED_VALUE"""),"BLACK")</f>
        <v>BLACK</v>
      </c>
      <c r="G10500" s="20" t="str">
        <f>IFERROR(__xludf.DUMMYFUNCTION("""COMPUTED_VALUE"""),"Uncle Sams Cider (04/04/2023)")</f>
        <v>Uncle Sams Cider (04/04/2023)</v>
      </c>
      <c r="H10500" s="19"/>
    </row>
    <row r="10501">
      <c r="A10501" s="9"/>
      <c r="B10501" s="15"/>
      <c r="C10501" s="9">
        <f>IFERROR(__xludf.DUMMYFUNCTION("""COMPUTED_VALUE"""),45033.9446570023)</f>
        <v>45033.94466</v>
      </c>
      <c r="D10501" s="15">
        <f>IFERROR(__xludf.DUMMYFUNCTION("""COMPUTED_VALUE"""),1.046)</f>
        <v>1.046</v>
      </c>
      <c r="E10501" s="16">
        <f>IFERROR(__xludf.DUMMYFUNCTION("""COMPUTED_VALUE"""),68.0)</f>
        <v>68</v>
      </c>
      <c r="F10501" s="19" t="str">
        <f>IFERROR(__xludf.DUMMYFUNCTION("""COMPUTED_VALUE"""),"BLACK")</f>
        <v>BLACK</v>
      </c>
      <c r="G10501" s="20" t="str">
        <f>IFERROR(__xludf.DUMMYFUNCTION("""COMPUTED_VALUE"""),"Uncle Sams Cider (04/04/2023)")</f>
        <v>Uncle Sams Cider (04/04/2023)</v>
      </c>
      <c r="H10501" s="19"/>
    </row>
    <row r="10502">
      <c r="A10502" s="9"/>
      <c r="B10502" s="15"/>
      <c r="C10502" s="9">
        <f>IFERROR(__xludf.DUMMYFUNCTION("""COMPUTED_VALUE"""),45033.9342364236)</f>
        <v>45033.93424</v>
      </c>
      <c r="D10502" s="15">
        <f>IFERROR(__xludf.DUMMYFUNCTION("""COMPUTED_VALUE"""),1.047)</f>
        <v>1.047</v>
      </c>
      <c r="E10502" s="16">
        <f>IFERROR(__xludf.DUMMYFUNCTION("""COMPUTED_VALUE"""),68.0)</f>
        <v>68</v>
      </c>
      <c r="F10502" s="19" t="str">
        <f>IFERROR(__xludf.DUMMYFUNCTION("""COMPUTED_VALUE"""),"BLACK")</f>
        <v>BLACK</v>
      </c>
      <c r="G10502" s="20" t="str">
        <f>IFERROR(__xludf.DUMMYFUNCTION("""COMPUTED_VALUE"""),"Uncle Sams Cider (04/04/2023)")</f>
        <v>Uncle Sams Cider (04/04/2023)</v>
      </c>
      <c r="H10502" s="19"/>
    </row>
    <row r="10503">
      <c r="A10503" s="9"/>
      <c r="B10503" s="15"/>
      <c r="C10503" s="9">
        <f>IFERROR(__xludf.DUMMYFUNCTION("""COMPUTED_VALUE"""),45033.9238140856)</f>
        <v>45033.92381</v>
      </c>
      <c r="D10503" s="15">
        <f>IFERROR(__xludf.DUMMYFUNCTION("""COMPUTED_VALUE"""),1.046)</f>
        <v>1.046</v>
      </c>
      <c r="E10503" s="16">
        <f>IFERROR(__xludf.DUMMYFUNCTION("""COMPUTED_VALUE"""),68.0)</f>
        <v>68</v>
      </c>
      <c r="F10503" s="19" t="str">
        <f>IFERROR(__xludf.DUMMYFUNCTION("""COMPUTED_VALUE"""),"BLACK")</f>
        <v>BLACK</v>
      </c>
      <c r="G10503" s="20" t="str">
        <f>IFERROR(__xludf.DUMMYFUNCTION("""COMPUTED_VALUE"""),"Uncle Sams Cider (04/04/2023)")</f>
        <v>Uncle Sams Cider (04/04/2023)</v>
      </c>
      <c r="H10503" s="19"/>
    </row>
    <row r="10504">
      <c r="A10504" s="9"/>
      <c r="B10504" s="15"/>
      <c r="C10504" s="9">
        <f>IFERROR(__xludf.DUMMYFUNCTION("""COMPUTED_VALUE"""),45033.9133921064)</f>
        <v>45033.91339</v>
      </c>
      <c r="D10504" s="15">
        <f>IFERROR(__xludf.DUMMYFUNCTION("""COMPUTED_VALUE"""),1.047)</f>
        <v>1.047</v>
      </c>
      <c r="E10504" s="16">
        <f>IFERROR(__xludf.DUMMYFUNCTION("""COMPUTED_VALUE"""),68.0)</f>
        <v>68</v>
      </c>
      <c r="F10504" s="19" t="str">
        <f>IFERROR(__xludf.DUMMYFUNCTION("""COMPUTED_VALUE"""),"BLACK")</f>
        <v>BLACK</v>
      </c>
      <c r="G10504" s="20" t="str">
        <f>IFERROR(__xludf.DUMMYFUNCTION("""COMPUTED_VALUE"""),"Uncle Sams Cider (04/04/2023)")</f>
        <v>Uncle Sams Cider (04/04/2023)</v>
      </c>
      <c r="H10504" s="19"/>
    </row>
    <row r="10505">
      <c r="A10505" s="9"/>
      <c r="B10505" s="15"/>
      <c r="C10505" s="9">
        <f>IFERROR(__xludf.DUMMYFUNCTION("""COMPUTED_VALUE"""),45033.9029591898)</f>
        <v>45033.90296</v>
      </c>
      <c r="D10505" s="15">
        <f>IFERROR(__xludf.DUMMYFUNCTION("""COMPUTED_VALUE"""),1.046)</f>
        <v>1.046</v>
      </c>
      <c r="E10505" s="16">
        <f>IFERROR(__xludf.DUMMYFUNCTION("""COMPUTED_VALUE"""),68.0)</f>
        <v>68</v>
      </c>
      <c r="F10505" s="19" t="str">
        <f>IFERROR(__xludf.DUMMYFUNCTION("""COMPUTED_VALUE"""),"BLACK")</f>
        <v>BLACK</v>
      </c>
      <c r="G10505" s="20" t="str">
        <f>IFERROR(__xludf.DUMMYFUNCTION("""COMPUTED_VALUE"""),"Uncle Sams Cider (04/04/2023)")</f>
        <v>Uncle Sams Cider (04/04/2023)</v>
      </c>
      <c r="H10505" s="19"/>
    </row>
    <row r="10506">
      <c r="A10506" s="9"/>
      <c r="B10506" s="15"/>
      <c r="C10506" s="9">
        <f>IFERROR(__xludf.DUMMYFUNCTION("""COMPUTED_VALUE"""),45033.8925140393)</f>
        <v>45033.89251</v>
      </c>
      <c r="D10506" s="15">
        <f>IFERROR(__xludf.DUMMYFUNCTION("""COMPUTED_VALUE"""),1.046)</f>
        <v>1.046</v>
      </c>
      <c r="E10506" s="16">
        <f>IFERROR(__xludf.DUMMYFUNCTION("""COMPUTED_VALUE"""),68.0)</f>
        <v>68</v>
      </c>
      <c r="F10506" s="19" t="str">
        <f>IFERROR(__xludf.DUMMYFUNCTION("""COMPUTED_VALUE"""),"BLACK")</f>
        <v>BLACK</v>
      </c>
      <c r="G10506" s="20" t="str">
        <f>IFERROR(__xludf.DUMMYFUNCTION("""COMPUTED_VALUE"""),"Uncle Sams Cider (04/04/2023)")</f>
        <v>Uncle Sams Cider (04/04/2023)</v>
      </c>
      <c r="H10506" s="19"/>
    </row>
    <row r="10507">
      <c r="A10507" s="9"/>
      <c r="B10507" s="15"/>
      <c r="C10507" s="9">
        <f>IFERROR(__xludf.DUMMYFUNCTION("""COMPUTED_VALUE"""),45033.8820680208)</f>
        <v>45033.88207</v>
      </c>
      <c r="D10507" s="15">
        <f>IFERROR(__xludf.DUMMYFUNCTION("""COMPUTED_VALUE"""),1.046)</f>
        <v>1.046</v>
      </c>
      <c r="E10507" s="16">
        <f>IFERROR(__xludf.DUMMYFUNCTION("""COMPUTED_VALUE"""),68.0)</f>
        <v>68</v>
      </c>
      <c r="F10507" s="19" t="str">
        <f>IFERROR(__xludf.DUMMYFUNCTION("""COMPUTED_VALUE"""),"BLACK")</f>
        <v>BLACK</v>
      </c>
      <c r="G10507" s="20" t="str">
        <f>IFERROR(__xludf.DUMMYFUNCTION("""COMPUTED_VALUE"""),"Uncle Sams Cider (04/04/2023)")</f>
        <v>Uncle Sams Cider (04/04/2023)</v>
      </c>
      <c r="H10507" s="19"/>
    </row>
    <row r="10508">
      <c r="A10508" s="9"/>
      <c r="B10508" s="15"/>
      <c r="C10508" s="9">
        <f>IFERROR(__xludf.DUMMYFUNCTION("""COMPUTED_VALUE"""),45033.8716470833)</f>
        <v>45033.87165</v>
      </c>
      <c r="D10508" s="15">
        <f>IFERROR(__xludf.DUMMYFUNCTION("""COMPUTED_VALUE"""),1.047)</f>
        <v>1.047</v>
      </c>
      <c r="E10508" s="16">
        <f>IFERROR(__xludf.DUMMYFUNCTION("""COMPUTED_VALUE"""),68.0)</f>
        <v>68</v>
      </c>
      <c r="F10508" s="19" t="str">
        <f>IFERROR(__xludf.DUMMYFUNCTION("""COMPUTED_VALUE"""),"BLACK")</f>
        <v>BLACK</v>
      </c>
      <c r="G10508" s="20" t="str">
        <f>IFERROR(__xludf.DUMMYFUNCTION("""COMPUTED_VALUE"""),"Uncle Sams Cider (04/04/2023)")</f>
        <v>Uncle Sams Cider (04/04/2023)</v>
      </c>
      <c r="H10508" s="19"/>
    </row>
    <row r="10509">
      <c r="A10509" s="9"/>
      <c r="B10509" s="15"/>
      <c r="C10509" s="9">
        <f>IFERROR(__xludf.DUMMYFUNCTION("""COMPUTED_VALUE"""),45033.8612133449)</f>
        <v>45033.86121</v>
      </c>
      <c r="D10509" s="15">
        <f>IFERROR(__xludf.DUMMYFUNCTION("""COMPUTED_VALUE"""),1.046)</f>
        <v>1.046</v>
      </c>
      <c r="E10509" s="16">
        <f>IFERROR(__xludf.DUMMYFUNCTION("""COMPUTED_VALUE"""),68.0)</f>
        <v>68</v>
      </c>
      <c r="F10509" s="19" t="str">
        <f>IFERROR(__xludf.DUMMYFUNCTION("""COMPUTED_VALUE"""),"BLACK")</f>
        <v>BLACK</v>
      </c>
      <c r="G10509" s="20" t="str">
        <f>IFERROR(__xludf.DUMMYFUNCTION("""COMPUTED_VALUE"""),"Uncle Sams Cider (04/04/2023)")</f>
        <v>Uncle Sams Cider (04/04/2023)</v>
      </c>
      <c r="H10509" s="19"/>
    </row>
    <row r="10510">
      <c r="A10510" s="9"/>
      <c r="B10510" s="15"/>
      <c r="C10510" s="9">
        <f>IFERROR(__xludf.DUMMYFUNCTION("""COMPUTED_VALUE"""),45033.8507795949)</f>
        <v>45033.85078</v>
      </c>
      <c r="D10510" s="15">
        <f>IFERROR(__xludf.DUMMYFUNCTION("""COMPUTED_VALUE"""),1.047)</f>
        <v>1.047</v>
      </c>
      <c r="E10510" s="16">
        <f>IFERROR(__xludf.DUMMYFUNCTION("""COMPUTED_VALUE"""),68.0)</f>
        <v>68</v>
      </c>
      <c r="F10510" s="19" t="str">
        <f>IFERROR(__xludf.DUMMYFUNCTION("""COMPUTED_VALUE"""),"BLACK")</f>
        <v>BLACK</v>
      </c>
      <c r="G10510" s="20" t="str">
        <f>IFERROR(__xludf.DUMMYFUNCTION("""COMPUTED_VALUE"""),"Uncle Sams Cider (04/04/2023)")</f>
        <v>Uncle Sams Cider (04/04/2023)</v>
      </c>
      <c r="H10510" s="19"/>
    </row>
    <row r="10511">
      <c r="A10511" s="9"/>
      <c r="B10511" s="15"/>
      <c r="C10511" s="9">
        <f>IFERROR(__xludf.DUMMYFUNCTION("""COMPUTED_VALUE"""),45033.8403578935)</f>
        <v>45033.84036</v>
      </c>
      <c r="D10511" s="15">
        <f>IFERROR(__xludf.DUMMYFUNCTION("""COMPUTED_VALUE"""),1.047)</f>
        <v>1.047</v>
      </c>
      <c r="E10511" s="16">
        <f>IFERROR(__xludf.DUMMYFUNCTION("""COMPUTED_VALUE"""),68.0)</f>
        <v>68</v>
      </c>
      <c r="F10511" s="19" t="str">
        <f>IFERROR(__xludf.DUMMYFUNCTION("""COMPUTED_VALUE"""),"BLACK")</f>
        <v>BLACK</v>
      </c>
      <c r="G10511" s="20" t="str">
        <f>IFERROR(__xludf.DUMMYFUNCTION("""COMPUTED_VALUE"""),"Uncle Sams Cider (04/04/2023)")</f>
        <v>Uncle Sams Cider (04/04/2023)</v>
      </c>
      <c r="H10511" s="19"/>
    </row>
    <row r="10512">
      <c r="A10512" s="9"/>
      <c r="B10512" s="15"/>
      <c r="C10512" s="9">
        <f>IFERROR(__xludf.DUMMYFUNCTION("""COMPUTED_VALUE"""),45033.8299245949)</f>
        <v>45033.82992</v>
      </c>
      <c r="D10512" s="15">
        <f>IFERROR(__xludf.DUMMYFUNCTION("""COMPUTED_VALUE"""),1.047)</f>
        <v>1.047</v>
      </c>
      <c r="E10512" s="16">
        <f>IFERROR(__xludf.DUMMYFUNCTION("""COMPUTED_VALUE"""),68.0)</f>
        <v>68</v>
      </c>
      <c r="F10512" s="19" t="str">
        <f>IFERROR(__xludf.DUMMYFUNCTION("""COMPUTED_VALUE"""),"BLACK")</f>
        <v>BLACK</v>
      </c>
      <c r="G10512" s="20" t="str">
        <f>IFERROR(__xludf.DUMMYFUNCTION("""COMPUTED_VALUE"""),"Uncle Sams Cider (04/04/2023)")</f>
        <v>Uncle Sams Cider (04/04/2023)</v>
      </c>
      <c r="H10512" s="19"/>
    </row>
    <row r="10513">
      <c r="A10513" s="9"/>
      <c r="B10513" s="15"/>
      <c r="C10513" s="9">
        <f>IFERROR(__xludf.DUMMYFUNCTION("""COMPUTED_VALUE"""),45033.8195028819)</f>
        <v>45033.8195</v>
      </c>
      <c r="D10513" s="15">
        <f>IFERROR(__xludf.DUMMYFUNCTION("""COMPUTED_VALUE"""),1.047)</f>
        <v>1.047</v>
      </c>
      <c r="E10513" s="16">
        <f>IFERROR(__xludf.DUMMYFUNCTION("""COMPUTED_VALUE"""),68.0)</f>
        <v>68</v>
      </c>
      <c r="F10513" s="19" t="str">
        <f>IFERROR(__xludf.DUMMYFUNCTION("""COMPUTED_VALUE"""),"BLACK")</f>
        <v>BLACK</v>
      </c>
      <c r="G10513" s="20" t="str">
        <f>IFERROR(__xludf.DUMMYFUNCTION("""COMPUTED_VALUE"""),"Uncle Sams Cider (04/04/2023)")</f>
        <v>Uncle Sams Cider (04/04/2023)</v>
      </c>
      <c r="H10513" s="19"/>
    </row>
    <row r="10514">
      <c r="A10514" s="9"/>
      <c r="B10514" s="15"/>
      <c r="C10514" s="9">
        <f>IFERROR(__xludf.DUMMYFUNCTION("""COMPUTED_VALUE"""),45033.8090823958)</f>
        <v>45033.80908</v>
      </c>
      <c r="D10514" s="15">
        <f>IFERROR(__xludf.DUMMYFUNCTION("""COMPUTED_VALUE"""),1.047)</f>
        <v>1.047</v>
      </c>
      <c r="E10514" s="16">
        <f>IFERROR(__xludf.DUMMYFUNCTION("""COMPUTED_VALUE"""),68.0)</f>
        <v>68</v>
      </c>
      <c r="F10514" s="19" t="str">
        <f>IFERROR(__xludf.DUMMYFUNCTION("""COMPUTED_VALUE"""),"BLACK")</f>
        <v>BLACK</v>
      </c>
      <c r="G10514" s="20" t="str">
        <f>IFERROR(__xludf.DUMMYFUNCTION("""COMPUTED_VALUE"""),"Uncle Sams Cider (04/04/2023)")</f>
        <v>Uncle Sams Cider (04/04/2023)</v>
      </c>
      <c r="H10514" s="19"/>
    </row>
    <row r="10515">
      <c r="A10515" s="9"/>
      <c r="B10515" s="15"/>
      <c r="C10515" s="9">
        <f>IFERROR(__xludf.DUMMYFUNCTION("""COMPUTED_VALUE"""),45033.7986501157)</f>
        <v>45033.79865</v>
      </c>
      <c r="D10515" s="15">
        <f>IFERROR(__xludf.DUMMYFUNCTION("""COMPUTED_VALUE"""),1.047)</f>
        <v>1.047</v>
      </c>
      <c r="E10515" s="16">
        <f>IFERROR(__xludf.DUMMYFUNCTION("""COMPUTED_VALUE"""),68.0)</f>
        <v>68</v>
      </c>
      <c r="F10515" s="19" t="str">
        <f>IFERROR(__xludf.DUMMYFUNCTION("""COMPUTED_VALUE"""),"BLACK")</f>
        <v>BLACK</v>
      </c>
      <c r="G10515" s="20" t="str">
        <f>IFERROR(__xludf.DUMMYFUNCTION("""COMPUTED_VALUE"""),"Uncle Sams Cider (04/04/2023)")</f>
        <v>Uncle Sams Cider (04/04/2023)</v>
      </c>
      <c r="H10515" s="19"/>
    </row>
    <row r="10516">
      <c r="A10516" s="9"/>
      <c r="B10516" s="15"/>
      <c r="C10516" s="9">
        <f>IFERROR(__xludf.DUMMYFUNCTION("""COMPUTED_VALUE"""),45033.7882061111)</f>
        <v>45033.78821</v>
      </c>
      <c r="D10516" s="15">
        <f>IFERROR(__xludf.DUMMYFUNCTION("""COMPUTED_VALUE"""),1.047)</f>
        <v>1.047</v>
      </c>
      <c r="E10516" s="16">
        <f>IFERROR(__xludf.DUMMYFUNCTION("""COMPUTED_VALUE"""),68.0)</f>
        <v>68</v>
      </c>
      <c r="F10516" s="19" t="str">
        <f>IFERROR(__xludf.DUMMYFUNCTION("""COMPUTED_VALUE"""),"BLACK")</f>
        <v>BLACK</v>
      </c>
      <c r="G10516" s="20" t="str">
        <f>IFERROR(__xludf.DUMMYFUNCTION("""COMPUTED_VALUE"""),"Uncle Sams Cider (04/04/2023)")</f>
        <v>Uncle Sams Cider (04/04/2023)</v>
      </c>
      <c r="H10516" s="19"/>
    </row>
    <row r="10517">
      <c r="A10517" s="9"/>
      <c r="B10517" s="15"/>
      <c r="C10517" s="9">
        <f>IFERROR(__xludf.DUMMYFUNCTION("""COMPUTED_VALUE"""),45033.7777853472)</f>
        <v>45033.77779</v>
      </c>
      <c r="D10517" s="15">
        <f>IFERROR(__xludf.DUMMYFUNCTION("""COMPUTED_VALUE"""),1.047)</f>
        <v>1.047</v>
      </c>
      <c r="E10517" s="16">
        <f>IFERROR(__xludf.DUMMYFUNCTION("""COMPUTED_VALUE"""),68.0)</f>
        <v>68</v>
      </c>
      <c r="F10517" s="19" t="str">
        <f>IFERROR(__xludf.DUMMYFUNCTION("""COMPUTED_VALUE"""),"BLACK")</f>
        <v>BLACK</v>
      </c>
      <c r="G10517" s="20" t="str">
        <f>IFERROR(__xludf.DUMMYFUNCTION("""COMPUTED_VALUE"""),"Uncle Sams Cider (04/04/2023)")</f>
        <v>Uncle Sams Cider (04/04/2023)</v>
      </c>
      <c r="H10517" s="19"/>
    </row>
    <row r="10518">
      <c r="A10518" s="9"/>
      <c r="B10518" s="15"/>
      <c r="C10518" s="9">
        <f>IFERROR(__xludf.DUMMYFUNCTION("""COMPUTED_VALUE"""),45033.7673633217)</f>
        <v>45033.76736</v>
      </c>
      <c r="D10518" s="15">
        <f>IFERROR(__xludf.DUMMYFUNCTION("""COMPUTED_VALUE"""),1.047)</f>
        <v>1.047</v>
      </c>
      <c r="E10518" s="16">
        <f>IFERROR(__xludf.DUMMYFUNCTION("""COMPUTED_VALUE"""),68.0)</f>
        <v>68</v>
      </c>
      <c r="F10518" s="19" t="str">
        <f>IFERROR(__xludf.DUMMYFUNCTION("""COMPUTED_VALUE"""),"BLACK")</f>
        <v>BLACK</v>
      </c>
      <c r="G10518" s="20" t="str">
        <f>IFERROR(__xludf.DUMMYFUNCTION("""COMPUTED_VALUE"""),"Uncle Sams Cider (04/04/2023)")</f>
        <v>Uncle Sams Cider (04/04/2023)</v>
      </c>
      <c r="H10518" s="19"/>
    </row>
    <row r="10519">
      <c r="A10519" s="9"/>
      <c r="B10519" s="15"/>
      <c r="C10519" s="9">
        <f>IFERROR(__xludf.DUMMYFUNCTION("""COMPUTED_VALUE"""),45033.756918912)</f>
        <v>45033.75692</v>
      </c>
      <c r="D10519" s="15">
        <f>IFERROR(__xludf.DUMMYFUNCTION("""COMPUTED_VALUE"""),1.047)</f>
        <v>1.047</v>
      </c>
      <c r="E10519" s="16">
        <f>IFERROR(__xludf.DUMMYFUNCTION("""COMPUTED_VALUE"""),68.0)</f>
        <v>68</v>
      </c>
      <c r="F10519" s="19" t="str">
        <f>IFERROR(__xludf.DUMMYFUNCTION("""COMPUTED_VALUE"""),"BLACK")</f>
        <v>BLACK</v>
      </c>
      <c r="G10519" s="20" t="str">
        <f>IFERROR(__xludf.DUMMYFUNCTION("""COMPUTED_VALUE"""),"Uncle Sams Cider (04/04/2023)")</f>
        <v>Uncle Sams Cider (04/04/2023)</v>
      </c>
      <c r="H10519" s="19"/>
    </row>
    <row r="10520">
      <c r="A10520" s="9"/>
      <c r="B10520" s="15"/>
      <c r="C10520" s="9">
        <f>IFERROR(__xludf.DUMMYFUNCTION("""COMPUTED_VALUE"""),45033.7464978009)</f>
        <v>45033.7465</v>
      </c>
      <c r="D10520" s="15">
        <f>IFERROR(__xludf.DUMMYFUNCTION("""COMPUTED_VALUE"""),1.047)</f>
        <v>1.047</v>
      </c>
      <c r="E10520" s="16">
        <f>IFERROR(__xludf.DUMMYFUNCTION("""COMPUTED_VALUE"""),68.0)</f>
        <v>68</v>
      </c>
      <c r="F10520" s="19" t="str">
        <f>IFERROR(__xludf.DUMMYFUNCTION("""COMPUTED_VALUE"""),"BLACK")</f>
        <v>BLACK</v>
      </c>
      <c r="G10520" s="20" t="str">
        <f>IFERROR(__xludf.DUMMYFUNCTION("""COMPUTED_VALUE"""),"Uncle Sams Cider (04/04/2023)")</f>
        <v>Uncle Sams Cider (04/04/2023)</v>
      </c>
      <c r="H10520" s="19"/>
    </row>
    <row r="10521">
      <c r="A10521" s="9"/>
      <c r="B10521" s="15"/>
      <c r="C10521" s="9">
        <f>IFERROR(__xludf.DUMMYFUNCTION("""COMPUTED_VALUE"""),45033.736074537)</f>
        <v>45033.73607</v>
      </c>
      <c r="D10521" s="15">
        <f>IFERROR(__xludf.DUMMYFUNCTION("""COMPUTED_VALUE"""),1.047)</f>
        <v>1.047</v>
      </c>
      <c r="E10521" s="16">
        <f>IFERROR(__xludf.DUMMYFUNCTION("""COMPUTED_VALUE"""),68.0)</f>
        <v>68</v>
      </c>
      <c r="F10521" s="19" t="str">
        <f>IFERROR(__xludf.DUMMYFUNCTION("""COMPUTED_VALUE"""),"BLACK")</f>
        <v>BLACK</v>
      </c>
      <c r="G10521" s="20" t="str">
        <f>IFERROR(__xludf.DUMMYFUNCTION("""COMPUTED_VALUE"""),"Uncle Sams Cider (04/04/2023)")</f>
        <v>Uncle Sams Cider (04/04/2023)</v>
      </c>
      <c r="H10521" s="19"/>
    </row>
    <row r="10522">
      <c r="A10522" s="9"/>
      <c r="B10522" s="15"/>
      <c r="C10522" s="9">
        <f>IFERROR(__xludf.DUMMYFUNCTION("""COMPUTED_VALUE"""),45033.7256423032)</f>
        <v>45033.72564</v>
      </c>
      <c r="D10522" s="15">
        <f>IFERROR(__xludf.DUMMYFUNCTION("""COMPUTED_VALUE"""),1.047)</f>
        <v>1.047</v>
      </c>
      <c r="E10522" s="16">
        <f>IFERROR(__xludf.DUMMYFUNCTION("""COMPUTED_VALUE"""),68.0)</f>
        <v>68</v>
      </c>
      <c r="F10522" s="19" t="str">
        <f>IFERROR(__xludf.DUMMYFUNCTION("""COMPUTED_VALUE"""),"BLACK")</f>
        <v>BLACK</v>
      </c>
      <c r="G10522" s="20" t="str">
        <f>IFERROR(__xludf.DUMMYFUNCTION("""COMPUTED_VALUE"""),"Uncle Sams Cider (04/04/2023)")</f>
        <v>Uncle Sams Cider (04/04/2023)</v>
      </c>
      <c r="H10522" s="19"/>
    </row>
    <row r="10523">
      <c r="A10523" s="9"/>
      <c r="B10523" s="15"/>
      <c r="C10523" s="9">
        <f>IFERROR(__xludf.DUMMYFUNCTION("""COMPUTED_VALUE"""),45033.7152214351)</f>
        <v>45033.71522</v>
      </c>
      <c r="D10523" s="15">
        <f>IFERROR(__xludf.DUMMYFUNCTION("""COMPUTED_VALUE"""),1.047)</f>
        <v>1.047</v>
      </c>
      <c r="E10523" s="16">
        <f>IFERROR(__xludf.DUMMYFUNCTION("""COMPUTED_VALUE"""),68.0)</f>
        <v>68</v>
      </c>
      <c r="F10523" s="19" t="str">
        <f>IFERROR(__xludf.DUMMYFUNCTION("""COMPUTED_VALUE"""),"BLACK")</f>
        <v>BLACK</v>
      </c>
      <c r="G10523" s="20" t="str">
        <f>IFERROR(__xludf.DUMMYFUNCTION("""COMPUTED_VALUE"""),"Uncle Sams Cider (04/04/2023)")</f>
        <v>Uncle Sams Cider (04/04/2023)</v>
      </c>
      <c r="H10523" s="19"/>
    </row>
    <row r="10524">
      <c r="A10524" s="9"/>
      <c r="B10524" s="15"/>
      <c r="C10524" s="9">
        <f>IFERROR(__xludf.DUMMYFUNCTION("""COMPUTED_VALUE"""),45033.7047898958)</f>
        <v>45033.70479</v>
      </c>
      <c r="D10524" s="15">
        <f>IFERROR(__xludf.DUMMYFUNCTION("""COMPUTED_VALUE"""),1.047)</f>
        <v>1.047</v>
      </c>
      <c r="E10524" s="16">
        <f>IFERROR(__xludf.DUMMYFUNCTION("""COMPUTED_VALUE"""),68.0)</f>
        <v>68</v>
      </c>
      <c r="F10524" s="19" t="str">
        <f>IFERROR(__xludf.DUMMYFUNCTION("""COMPUTED_VALUE"""),"BLACK")</f>
        <v>BLACK</v>
      </c>
      <c r="G10524" s="20" t="str">
        <f>IFERROR(__xludf.DUMMYFUNCTION("""COMPUTED_VALUE"""),"Uncle Sams Cider (04/04/2023)")</f>
        <v>Uncle Sams Cider (04/04/2023)</v>
      </c>
      <c r="H10524" s="19"/>
    </row>
    <row r="10525">
      <c r="A10525" s="9"/>
      <c r="B10525" s="15"/>
      <c r="C10525" s="9">
        <f>IFERROR(__xludf.DUMMYFUNCTION("""COMPUTED_VALUE"""),45033.6943693171)</f>
        <v>45033.69437</v>
      </c>
      <c r="D10525" s="15">
        <f>IFERROR(__xludf.DUMMYFUNCTION("""COMPUTED_VALUE"""),1.047)</f>
        <v>1.047</v>
      </c>
      <c r="E10525" s="16">
        <f>IFERROR(__xludf.DUMMYFUNCTION("""COMPUTED_VALUE"""),68.0)</f>
        <v>68</v>
      </c>
      <c r="F10525" s="19" t="str">
        <f>IFERROR(__xludf.DUMMYFUNCTION("""COMPUTED_VALUE"""),"BLACK")</f>
        <v>BLACK</v>
      </c>
      <c r="G10525" s="20" t="str">
        <f>IFERROR(__xludf.DUMMYFUNCTION("""COMPUTED_VALUE"""),"Uncle Sams Cider (04/04/2023)")</f>
        <v>Uncle Sams Cider (04/04/2023)</v>
      </c>
      <c r="H10525" s="19"/>
    </row>
    <row r="10526">
      <c r="A10526" s="9"/>
      <c r="B10526" s="15"/>
      <c r="C10526" s="9">
        <f>IFERROR(__xludf.DUMMYFUNCTION("""COMPUTED_VALUE"""),45033.6839369097)</f>
        <v>45033.68394</v>
      </c>
      <c r="D10526" s="15">
        <f>IFERROR(__xludf.DUMMYFUNCTION("""COMPUTED_VALUE"""),1.047)</f>
        <v>1.047</v>
      </c>
      <c r="E10526" s="16">
        <f>IFERROR(__xludf.DUMMYFUNCTION("""COMPUTED_VALUE"""),68.0)</f>
        <v>68</v>
      </c>
      <c r="F10526" s="19" t="str">
        <f>IFERROR(__xludf.DUMMYFUNCTION("""COMPUTED_VALUE"""),"BLACK")</f>
        <v>BLACK</v>
      </c>
      <c r="G10526" s="20" t="str">
        <f>IFERROR(__xludf.DUMMYFUNCTION("""COMPUTED_VALUE"""),"Uncle Sams Cider (04/04/2023)")</f>
        <v>Uncle Sams Cider (04/04/2023)</v>
      </c>
      <c r="H10526" s="19"/>
    </row>
    <row r="10527">
      <c r="A10527" s="9"/>
      <c r="B10527" s="15"/>
      <c r="C10527" s="9">
        <f>IFERROR(__xludf.DUMMYFUNCTION("""COMPUTED_VALUE"""),45033.6735147916)</f>
        <v>45033.67351</v>
      </c>
      <c r="D10527" s="15">
        <f>IFERROR(__xludf.DUMMYFUNCTION("""COMPUTED_VALUE"""),1.047)</f>
        <v>1.047</v>
      </c>
      <c r="E10527" s="16">
        <f>IFERROR(__xludf.DUMMYFUNCTION("""COMPUTED_VALUE"""),68.0)</f>
        <v>68</v>
      </c>
      <c r="F10527" s="19" t="str">
        <f>IFERROR(__xludf.DUMMYFUNCTION("""COMPUTED_VALUE"""),"BLACK")</f>
        <v>BLACK</v>
      </c>
      <c r="G10527" s="20" t="str">
        <f>IFERROR(__xludf.DUMMYFUNCTION("""COMPUTED_VALUE"""),"Uncle Sams Cider (04/04/2023)")</f>
        <v>Uncle Sams Cider (04/04/2023)</v>
      </c>
      <c r="H10527" s="19"/>
    </row>
    <row r="10528">
      <c r="A10528" s="9"/>
      <c r="B10528" s="15"/>
      <c r="C10528" s="9">
        <f>IFERROR(__xludf.DUMMYFUNCTION("""COMPUTED_VALUE"""),45033.663081574)</f>
        <v>45033.66308</v>
      </c>
      <c r="D10528" s="15">
        <f>IFERROR(__xludf.DUMMYFUNCTION("""COMPUTED_VALUE"""),1.047)</f>
        <v>1.047</v>
      </c>
      <c r="E10528" s="16">
        <f>IFERROR(__xludf.DUMMYFUNCTION("""COMPUTED_VALUE"""),68.0)</f>
        <v>68</v>
      </c>
      <c r="F10528" s="19" t="str">
        <f>IFERROR(__xludf.DUMMYFUNCTION("""COMPUTED_VALUE"""),"BLACK")</f>
        <v>BLACK</v>
      </c>
      <c r="G10528" s="20" t="str">
        <f>IFERROR(__xludf.DUMMYFUNCTION("""COMPUTED_VALUE"""),"Uncle Sams Cider (04/04/2023)")</f>
        <v>Uncle Sams Cider (04/04/2023)</v>
      </c>
      <c r="H10528" s="19"/>
    </row>
    <row r="10529">
      <c r="A10529" s="9"/>
      <c r="B10529" s="15"/>
      <c r="C10529" s="9">
        <f>IFERROR(__xludf.DUMMYFUNCTION("""COMPUTED_VALUE"""),45033.6526603935)</f>
        <v>45033.65266</v>
      </c>
      <c r="D10529" s="15">
        <f>IFERROR(__xludf.DUMMYFUNCTION("""COMPUTED_VALUE"""),1.047)</f>
        <v>1.047</v>
      </c>
      <c r="E10529" s="16">
        <f>IFERROR(__xludf.DUMMYFUNCTION("""COMPUTED_VALUE"""),68.0)</f>
        <v>68</v>
      </c>
      <c r="F10529" s="19" t="str">
        <f>IFERROR(__xludf.DUMMYFUNCTION("""COMPUTED_VALUE"""),"BLACK")</f>
        <v>BLACK</v>
      </c>
      <c r="G10529" s="20" t="str">
        <f>IFERROR(__xludf.DUMMYFUNCTION("""COMPUTED_VALUE"""),"Uncle Sams Cider (04/04/2023)")</f>
        <v>Uncle Sams Cider (04/04/2023)</v>
      </c>
      <c r="H10529" s="19"/>
    </row>
    <row r="10530">
      <c r="A10530" s="9"/>
      <c r="B10530" s="15"/>
      <c r="C10530" s="9">
        <f>IFERROR(__xludf.DUMMYFUNCTION("""COMPUTED_VALUE"""),45033.6422383796)</f>
        <v>45033.64224</v>
      </c>
      <c r="D10530" s="15">
        <f>IFERROR(__xludf.DUMMYFUNCTION("""COMPUTED_VALUE"""),1.047)</f>
        <v>1.047</v>
      </c>
      <c r="E10530" s="16">
        <f>IFERROR(__xludf.DUMMYFUNCTION("""COMPUTED_VALUE"""),68.0)</f>
        <v>68</v>
      </c>
      <c r="F10530" s="19" t="str">
        <f>IFERROR(__xludf.DUMMYFUNCTION("""COMPUTED_VALUE"""),"BLACK")</f>
        <v>BLACK</v>
      </c>
      <c r="G10530" s="20" t="str">
        <f>IFERROR(__xludf.DUMMYFUNCTION("""COMPUTED_VALUE"""),"Uncle Sams Cider (04/04/2023)")</f>
        <v>Uncle Sams Cider (04/04/2023)</v>
      </c>
      <c r="H10530" s="19"/>
    </row>
    <row r="10531">
      <c r="A10531" s="9"/>
      <c r="B10531" s="15"/>
      <c r="C10531" s="9">
        <f>IFERROR(__xludf.DUMMYFUNCTION("""COMPUTED_VALUE"""),45033.6318149421)</f>
        <v>45033.63181</v>
      </c>
      <c r="D10531" s="15">
        <f>IFERROR(__xludf.DUMMYFUNCTION("""COMPUTED_VALUE"""),1.047)</f>
        <v>1.047</v>
      </c>
      <c r="E10531" s="16">
        <f>IFERROR(__xludf.DUMMYFUNCTION("""COMPUTED_VALUE"""),68.0)</f>
        <v>68</v>
      </c>
      <c r="F10531" s="19" t="str">
        <f>IFERROR(__xludf.DUMMYFUNCTION("""COMPUTED_VALUE"""),"BLACK")</f>
        <v>BLACK</v>
      </c>
      <c r="G10531" s="20" t="str">
        <f>IFERROR(__xludf.DUMMYFUNCTION("""COMPUTED_VALUE"""),"Uncle Sams Cider (04/04/2023)")</f>
        <v>Uncle Sams Cider (04/04/2023)</v>
      </c>
      <c r="H10531" s="19"/>
    </row>
    <row r="10532">
      <c r="A10532" s="9"/>
      <c r="B10532" s="15"/>
      <c r="C10532" s="9">
        <f>IFERROR(__xludf.DUMMYFUNCTION("""COMPUTED_VALUE"""),45033.6213948032)</f>
        <v>45033.62139</v>
      </c>
      <c r="D10532" s="15">
        <f>IFERROR(__xludf.DUMMYFUNCTION("""COMPUTED_VALUE"""),1.047)</f>
        <v>1.047</v>
      </c>
      <c r="E10532" s="16">
        <f>IFERROR(__xludf.DUMMYFUNCTION("""COMPUTED_VALUE"""),68.0)</f>
        <v>68</v>
      </c>
      <c r="F10532" s="19" t="str">
        <f>IFERROR(__xludf.DUMMYFUNCTION("""COMPUTED_VALUE"""),"BLACK")</f>
        <v>BLACK</v>
      </c>
      <c r="G10532" s="20" t="str">
        <f>IFERROR(__xludf.DUMMYFUNCTION("""COMPUTED_VALUE"""),"Uncle Sams Cider (04/04/2023)")</f>
        <v>Uncle Sams Cider (04/04/2023)</v>
      </c>
      <c r="H10532" s="19"/>
    </row>
    <row r="10533">
      <c r="A10533" s="9"/>
      <c r="B10533" s="15"/>
      <c r="C10533" s="9">
        <f>IFERROR(__xludf.DUMMYFUNCTION("""COMPUTED_VALUE"""),45033.6109745254)</f>
        <v>45033.61097</v>
      </c>
      <c r="D10533" s="15">
        <f>IFERROR(__xludf.DUMMYFUNCTION("""COMPUTED_VALUE"""),1.047)</f>
        <v>1.047</v>
      </c>
      <c r="E10533" s="16">
        <f>IFERROR(__xludf.DUMMYFUNCTION("""COMPUTED_VALUE"""),68.0)</f>
        <v>68</v>
      </c>
      <c r="F10533" s="19" t="str">
        <f>IFERROR(__xludf.DUMMYFUNCTION("""COMPUTED_VALUE"""),"BLACK")</f>
        <v>BLACK</v>
      </c>
      <c r="G10533" s="20" t="str">
        <f>IFERROR(__xludf.DUMMYFUNCTION("""COMPUTED_VALUE"""),"Uncle Sams Cider (04/04/2023)")</f>
        <v>Uncle Sams Cider (04/04/2023)</v>
      </c>
      <c r="H10533" s="19"/>
    </row>
    <row r="10534">
      <c r="A10534" s="9"/>
      <c r="B10534" s="15"/>
      <c r="C10534" s="9">
        <f>IFERROR(__xludf.DUMMYFUNCTION("""COMPUTED_VALUE"""),45033.6005413888)</f>
        <v>45033.60054</v>
      </c>
      <c r="D10534" s="15">
        <f>IFERROR(__xludf.DUMMYFUNCTION("""COMPUTED_VALUE"""),1.047)</f>
        <v>1.047</v>
      </c>
      <c r="E10534" s="16">
        <f>IFERROR(__xludf.DUMMYFUNCTION("""COMPUTED_VALUE"""),68.0)</f>
        <v>68</v>
      </c>
      <c r="F10534" s="19" t="str">
        <f>IFERROR(__xludf.DUMMYFUNCTION("""COMPUTED_VALUE"""),"BLACK")</f>
        <v>BLACK</v>
      </c>
      <c r="G10534" s="20" t="str">
        <f>IFERROR(__xludf.DUMMYFUNCTION("""COMPUTED_VALUE"""),"Uncle Sams Cider (04/04/2023)")</f>
        <v>Uncle Sams Cider (04/04/2023)</v>
      </c>
      <c r="H10534" s="19"/>
    </row>
    <row r="10535">
      <c r="A10535" s="9"/>
      <c r="B10535" s="15"/>
      <c r="C10535" s="9">
        <f>IFERROR(__xludf.DUMMYFUNCTION("""COMPUTED_VALUE"""),45033.5901078588)</f>
        <v>45033.59011</v>
      </c>
      <c r="D10535" s="15">
        <f>IFERROR(__xludf.DUMMYFUNCTION("""COMPUTED_VALUE"""),1.047)</f>
        <v>1.047</v>
      </c>
      <c r="E10535" s="16">
        <f>IFERROR(__xludf.DUMMYFUNCTION("""COMPUTED_VALUE"""),68.0)</f>
        <v>68</v>
      </c>
      <c r="F10535" s="19" t="str">
        <f>IFERROR(__xludf.DUMMYFUNCTION("""COMPUTED_VALUE"""),"BLACK")</f>
        <v>BLACK</v>
      </c>
      <c r="G10535" s="20" t="str">
        <f>IFERROR(__xludf.DUMMYFUNCTION("""COMPUTED_VALUE"""),"Uncle Sams Cider (04/04/2023)")</f>
        <v>Uncle Sams Cider (04/04/2023)</v>
      </c>
      <c r="H10535" s="19"/>
    </row>
    <row r="10536">
      <c r="A10536" s="9"/>
      <c r="B10536" s="15"/>
      <c r="C10536" s="9">
        <f>IFERROR(__xludf.DUMMYFUNCTION("""COMPUTED_VALUE"""),45033.5796741898)</f>
        <v>45033.57967</v>
      </c>
      <c r="D10536" s="15">
        <f>IFERROR(__xludf.DUMMYFUNCTION("""COMPUTED_VALUE"""),1.047)</f>
        <v>1.047</v>
      </c>
      <c r="E10536" s="16">
        <f>IFERROR(__xludf.DUMMYFUNCTION("""COMPUTED_VALUE"""),68.0)</f>
        <v>68</v>
      </c>
      <c r="F10536" s="19" t="str">
        <f>IFERROR(__xludf.DUMMYFUNCTION("""COMPUTED_VALUE"""),"BLACK")</f>
        <v>BLACK</v>
      </c>
      <c r="G10536" s="20" t="str">
        <f>IFERROR(__xludf.DUMMYFUNCTION("""COMPUTED_VALUE"""),"Uncle Sams Cider (04/04/2023)")</f>
        <v>Uncle Sams Cider (04/04/2023)</v>
      </c>
      <c r="H10536" s="19"/>
    </row>
    <row r="10537">
      <c r="A10537" s="9"/>
      <c r="B10537" s="15"/>
      <c r="C10537" s="9">
        <f>IFERROR(__xludf.DUMMYFUNCTION("""COMPUTED_VALUE"""),45033.5692539004)</f>
        <v>45033.56925</v>
      </c>
      <c r="D10537" s="15">
        <f>IFERROR(__xludf.DUMMYFUNCTION("""COMPUTED_VALUE"""),1.047)</f>
        <v>1.047</v>
      </c>
      <c r="E10537" s="16">
        <f>IFERROR(__xludf.DUMMYFUNCTION("""COMPUTED_VALUE"""),68.0)</f>
        <v>68</v>
      </c>
      <c r="F10537" s="19" t="str">
        <f>IFERROR(__xludf.DUMMYFUNCTION("""COMPUTED_VALUE"""),"BLACK")</f>
        <v>BLACK</v>
      </c>
      <c r="G10537" s="20" t="str">
        <f>IFERROR(__xludf.DUMMYFUNCTION("""COMPUTED_VALUE"""),"Uncle Sams Cider (04/04/2023)")</f>
        <v>Uncle Sams Cider (04/04/2023)</v>
      </c>
      <c r="H10537" s="19"/>
    </row>
    <row r="10538">
      <c r="A10538" s="9"/>
      <c r="B10538" s="15"/>
      <c r="C10538" s="9">
        <f>IFERROR(__xludf.DUMMYFUNCTION("""COMPUTED_VALUE"""),45033.5588326851)</f>
        <v>45033.55883</v>
      </c>
      <c r="D10538" s="15">
        <f>IFERROR(__xludf.DUMMYFUNCTION("""COMPUTED_VALUE"""),1.048)</f>
        <v>1.048</v>
      </c>
      <c r="E10538" s="16">
        <f>IFERROR(__xludf.DUMMYFUNCTION("""COMPUTED_VALUE"""),68.0)</f>
        <v>68</v>
      </c>
      <c r="F10538" s="19" t="str">
        <f>IFERROR(__xludf.DUMMYFUNCTION("""COMPUTED_VALUE"""),"BLACK")</f>
        <v>BLACK</v>
      </c>
      <c r="G10538" s="20" t="str">
        <f>IFERROR(__xludf.DUMMYFUNCTION("""COMPUTED_VALUE"""),"Uncle Sams Cider (04/04/2023)")</f>
        <v>Uncle Sams Cider (04/04/2023)</v>
      </c>
      <c r="H10538" s="19"/>
    </row>
    <row r="10539">
      <c r="A10539" s="9"/>
      <c r="B10539" s="15"/>
      <c r="C10539" s="9">
        <f>IFERROR(__xludf.DUMMYFUNCTION("""COMPUTED_VALUE"""),45033.5484008912)</f>
        <v>45033.5484</v>
      </c>
      <c r="D10539" s="15">
        <f>IFERROR(__xludf.DUMMYFUNCTION("""COMPUTED_VALUE"""),1.047)</f>
        <v>1.047</v>
      </c>
      <c r="E10539" s="16">
        <f>IFERROR(__xludf.DUMMYFUNCTION("""COMPUTED_VALUE"""),68.0)</f>
        <v>68</v>
      </c>
      <c r="F10539" s="19" t="str">
        <f>IFERROR(__xludf.DUMMYFUNCTION("""COMPUTED_VALUE"""),"BLACK")</f>
        <v>BLACK</v>
      </c>
      <c r="G10539" s="20" t="str">
        <f>IFERROR(__xludf.DUMMYFUNCTION("""COMPUTED_VALUE"""),"Uncle Sams Cider (04/04/2023)")</f>
        <v>Uncle Sams Cider (04/04/2023)</v>
      </c>
      <c r="H10539" s="19"/>
    </row>
    <row r="10540">
      <c r="A10540" s="9"/>
      <c r="B10540" s="15"/>
      <c r="C10540" s="9">
        <f>IFERROR(__xludf.DUMMYFUNCTION("""COMPUTED_VALUE"""),45033.5379682986)</f>
        <v>45033.53797</v>
      </c>
      <c r="D10540" s="15">
        <f>IFERROR(__xludf.DUMMYFUNCTION("""COMPUTED_VALUE"""),1.047)</f>
        <v>1.047</v>
      </c>
      <c r="E10540" s="16">
        <f>IFERROR(__xludf.DUMMYFUNCTION("""COMPUTED_VALUE"""),68.0)</f>
        <v>68</v>
      </c>
      <c r="F10540" s="19" t="str">
        <f>IFERROR(__xludf.DUMMYFUNCTION("""COMPUTED_VALUE"""),"BLACK")</f>
        <v>BLACK</v>
      </c>
      <c r="G10540" s="20" t="str">
        <f>IFERROR(__xludf.DUMMYFUNCTION("""COMPUTED_VALUE"""),"Uncle Sams Cider (04/04/2023)")</f>
        <v>Uncle Sams Cider (04/04/2023)</v>
      </c>
      <c r="H10540" s="19"/>
    </row>
    <row r="10541">
      <c r="A10541" s="9"/>
      <c r="B10541" s="15"/>
      <c r="C10541" s="9">
        <f>IFERROR(__xludf.DUMMYFUNCTION("""COMPUTED_VALUE"""),45033.5275368287)</f>
        <v>45033.52754</v>
      </c>
      <c r="D10541" s="15">
        <f>IFERROR(__xludf.DUMMYFUNCTION("""COMPUTED_VALUE"""),1.047)</f>
        <v>1.047</v>
      </c>
      <c r="E10541" s="16">
        <f>IFERROR(__xludf.DUMMYFUNCTION("""COMPUTED_VALUE"""),68.0)</f>
        <v>68</v>
      </c>
      <c r="F10541" s="19" t="str">
        <f>IFERROR(__xludf.DUMMYFUNCTION("""COMPUTED_VALUE"""),"BLACK")</f>
        <v>BLACK</v>
      </c>
      <c r="G10541" s="20" t="str">
        <f>IFERROR(__xludf.DUMMYFUNCTION("""COMPUTED_VALUE"""),"Uncle Sams Cider (04/04/2023)")</f>
        <v>Uncle Sams Cider (04/04/2023)</v>
      </c>
      <c r="H10541" s="19"/>
    </row>
    <row r="10542">
      <c r="A10542" s="9"/>
      <c r="B10542" s="15"/>
      <c r="C10542" s="9">
        <f>IFERROR(__xludf.DUMMYFUNCTION("""COMPUTED_VALUE"""),45033.5171151851)</f>
        <v>45033.51712</v>
      </c>
      <c r="D10542" s="15">
        <f>IFERROR(__xludf.DUMMYFUNCTION("""COMPUTED_VALUE"""),1.047)</f>
        <v>1.047</v>
      </c>
      <c r="E10542" s="16">
        <f>IFERROR(__xludf.DUMMYFUNCTION("""COMPUTED_VALUE"""),68.0)</f>
        <v>68</v>
      </c>
      <c r="F10542" s="19" t="str">
        <f>IFERROR(__xludf.DUMMYFUNCTION("""COMPUTED_VALUE"""),"BLACK")</f>
        <v>BLACK</v>
      </c>
      <c r="G10542" s="20" t="str">
        <f>IFERROR(__xludf.DUMMYFUNCTION("""COMPUTED_VALUE"""),"Uncle Sams Cider (04/04/2023)")</f>
        <v>Uncle Sams Cider (04/04/2023)</v>
      </c>
      <c r="H10542" s="19"/>
    </row>
    <row r="10543">
      <c r="A10543" s="9"/>
      <c r="B10543" s="15"/>
      <c r="C10543" s="9">
        <f>IFERROR(__xludf.DUMMYFUNCTION("""COMPUTED_VALUE"""),45033.5066926504)</f>
        <v>45033.50669</v>
      </c>
      <c r="D10543" s="15">
        <f>IFERROR(__xludf.DUMMYFUNCTION("""COMPUTED_VALUE"""),1.047)</f>
        <v>1.047</v>
      </c>
      <c r="E10543" s="16">
        <f>IFERROR(__xludf.DUMMYFUNCTION("""COMPUTED_VALUE"""),68.0)</f>
        <v>68</v>
      </c>
      <c r="F10543" s="19" t="str">
        <f>IFERROR(__xludf.DUMMYFUNCTION("""COMPUTED_VALUE"""),"BLACK")</f>
        <v>BLACK</v>
      </c>
      <c r="G10543" s="20" t="str">
        <f>IFERROR(__xludf.DUMMYFUNCTION("""COMPUTED_VALUE"""),"Uncle Sams Cider (04/04/2023)")</f>
        <v>Uncle Sams Cider (04/04/2023)</v>
      </c>
      <c r="H10543" s="19"/>
    </row>
    <row r="10544">
      <c r="A10544" s="9"/>
      <c r="B10544" s="15"/>
      <c r="C10544" s="9">
        <f>IFERROR(__xludf.DUMMYFUNCTION("""COMPUTED_VALUE"""),45033.4962712731)</f>
        <v>45033.49627</v>
      </c>
      <c r="D10544" s="15">
        <f>IFERROR(__xludf.DUMMYFUNCTION("""COMPUTED_VALUE"""),1.047)</f>
        <v>1.047</v>
      </c>
      <c r="E10544" s="16">
        <f>IFERROR(__xludf.DUMMYFUNCTION("""COMPUTED_VALUE"""),68.0)</f>
        <v>68</v>
      </c>
      <c r="F10544" s="19" t="str">
        <f>IFERROR(__xludf.DUMMYFUNCTION("""COMPUTED_VALUE"""),"BLACK")</f>
        <v>BLACK</v>
      </c>
      <c r="G10544" s="20" t="str">
        <f>IFERROR(__xludf.DUMMYFUNCTION("""COMPUTED_VALUE"""),"Uncle Sams Cider (04/04/2023)")</f>
        <v>Uncle Sams Cider (04/04/2023)</v>
      </c>
      <c r="H10544" s="19"/>
    </row>
    <row r="10545">
      <c r="A10545" s="9"/>
      <c r="B10545" s="15"/>
      <c r="C10545" s="9">
        <f>IFERROR(__xludf.DUMMYFUNCTION("""COMPUTED_VALUE"""),45033.4858510648)</f>
        <v>45033.48585</v>
      </c>
      <c r="D10545" s="15">
        <f>IFERROR(__xludf.DUMMYFUNCTION("""COMPUTED_VALUE"""),1.047)</f>
        <v>1.047</v>
      </c>
      <c r="E10545" s="16">
        <f>IFERROR(__xludf.DUMMYFUNCTION("""COMPUTED_VALUE"""),68.0)</f>
        <v>68</v>
      </c>
      <c r="F10545" s="19" t="str">
        <f>IFERROR(__xludf.DUMMYFUNCTION("""COMPUTED_VALUE"""),"BLACK")</f>
        <v>BLACK</v>
      </c>
      <c r="G10545" s="20" t="str">
        <f>IFERROR(__xludf.DUMMYFUNCTION("""COMPUTED_VALUE"""),"Uncle Sams Cider (04/04/2023)")</f>
        <v>Uncle Sams Cider (04/04/2023)</v>
      </c>
      <c r="H10545" s="19"/>
    </row>
    <row r="10546">
      <c r="A10546" s="9"/>
      <c r="B10546" s="15"/>
      <c r="C10546" s="9">
        <f>IFERROR(__xludf.DUMMYFUNCTION("""COMPUTED_VALUE"""),45033.4754310532)</f>
        <v>45033.47543</v>
      </c>
      <c r="D10546" s="15">
        <f>IFERROR(__xludf.DUMMYFUNCTION("""COMPUTED_VALUE"""),1.048)</f>
        <v>1.048</v>
      </c>
      <c r="E10546" s="16">
        <f>IFERROR(__xludf.DUMMYFUNCTION("""COMPUTED_VALUE"""),68.0)</f>
        <v>68</v>
      </c>
      <c r="F10546" s="19" t="str">
        <f>IFERROR(__xludf.DUMMYFUNCTION("""COMPUTED_VALUE"""),"BLACK")</f>
        <v>BLACK</v>
      </c>
      <c r="G10546" s="20" t="str">
        <f>IFERROR(__xludf.DUMMYFUNCTION("""COMPUTED_VALUE"""),"Uncle Sams Cider (04/04/2023)")</f>
        <v>Uncle Sams Cider (04/04/2023)</v>
      </c>
      <c r="H10546" s="19"/>
    </row>
    <row r="10547">
      <c r="A10547" s="9"/>
      <c r="B10547" s="15"/>
      <c r="C10547" s="9">
        <f>IFERROR(__xludf.DUMMYFUNCTION("""COMPUTED_VALUE"""),45033.4649977893)</f>
        <v>45033.465</v>
      </c>
      <c r="D10547" s="15">
        <f>IFERROR(__xludf.DUMMYFUNCTION("""COMPUTED_VALUE"""),1.047)</f>
        <v>1.047</v>
      </c>
      <c r="E10547" s="16">
        <f>IFERROR(__xludf.DUMMYFUNCTION("""COMPUTED_VALUE"""),68.0)</f>
        <v>68</v>
      </c>
      <c r="F10547" s="19" t="str">
        <f>IFERROR(__xludf.DUMMYFUNCTION("""COMPUTED_VALUE"""),"BLACK")</f>
        <v>BLACK</v>
      </c>
      <c r="G10547" s="20" t="str">
        <f>IFERROR(__xludf.DUMMYFUNCTION("""COMPUTED_VALUE"""),"Uncle Sams Cider (04/04/2023)")</f>
        <v>Uncle Sams Cider (04/04/2023)</v>
      </c>
      <c r="H10547" s="19"/>
    </row>
    <row r="10548">
      <c r="A10548" s="9"/>
      <c r="B10548" s="15"/>
      <c r="C10548" s="9">
        <f>IFERROR(__xludf.DUMMYFUNCTION("""COMPUTED_VALUE"""),45033.4545776504)</f>
        <v>45033.45458</v>
      </c>
      <c r="D10548" s="15">
        <f>IFERROR(__xludf.DUMMYFUNCTION("""COMPUTED_VALUE"""),1.047)</f>
        <v>1.047</v>
      </c>
      <c r="E10548" s="16">
        <f>IFERROR(__xludf.DUMMYFUNCTION("""COMPUTED_VALUE"""),68.0)</f>
        <v>68</v>
      </c>
      <c r="F10548" s="19" t="str">
        <f>IFERROR(__xludf.DUMMYFUNCTION("""COMPUTED_VALUE"""),"BLACK")</f>
        <v>BLACK</v>
      </c>
      <c r="G10548" s="20" t="str">
        <f>IFERROR(__xludf.DUMMYFUNCTION("""COMPUTED_VALUE"""),"Uncle Sams Cider (04/04/2023)")</f>
        <v>Uncle Sams Cider (04/04/2023)</v>
      </c>
      <c r="H10548" s="19"/>
    </row>
    <row r="10549">
      <c r="A10549" s="9"/>
      <c r="B10549" s="15"/>
      <c r="C10549" s="9">
        <f>IFERROR(__xludf.DUMMYFUNCTION("""COMPUTED_VALUE"""),45033.4441562268)</f>
        <v>45033.44416</v>
      </c>
      <c r="D10549" s="15">
        <f>IFERROR(__xludf.DUMMYFUNCTION("""COMPUTED_VALUE"""),1.048)</f>
        <v>1.048</v>
      </c>
      <c r="E10549" s="16">
        <f>IFERROR(__xludf.DUMMYFUNCTION("""COMPUTED_VALUE"""),68.0)</f>
        <v>68</v>
      </c>
      <c r="F10549" s="19" t="str">
        <f>IFERROR(__xludf.DUMMYFUNCTION("""COMPUTED_VALUE"""),"BLACK")</f>
        <v>BLACK</v>
      </c>
      <c r="G10549" s="20" t="str">
        <f>IFERROR(__xludf.DUMMYFUNCTION("""COMPUTED_VALUE"""),"Uncle Sams Cider (04/04/2023)")</f>
        <v>Uncle Sams Cider (04/04/2023)</v>
      </c>
      <c r="H10549" s="19"/>
    </row>
    <row r="10550">
      <c r="A10550" s="9"/>
      <c r="B10550" s="15"/>
      <c r="C10550" s="9">
        <f>IFERROR(__xludf.DUMMYFUNCTION("""COMPUTED_VALUE"""),45033.4337344213)</f>
        <v>45033.43373</v>
      </c>
      <c r="D10550" s="15">
        <f>IFERROR(__xludf.DUMMYFUNCTION("""COMPUTED_VALUE"""),1.048)</f>
        <v>1.048</v>
      </c>
      <c r="E10550" s="16">
        <f>IFERROR(__xludf.DUMMYFUNCTION("""COMPUTED_VALUE"""),68.0)</f>
        <v>68</v>
      </c>
      <c r="F10550" s="19" t="str">
        <f>IFERROR(__xludf.DUMMYFUNCTION("""COMPUTED_VALUE"""),"BLACK")</f>
        <v>BLACK</v>
      </c>
      <c r="G10550" s="20" t="str">
        <f>IFERROR(__xludf.DUMMYFUNCTION("""COMPUTED_VALUE"""),"Uncle Sams Cider (04/04/2023)")</f>
        <v>Uncle Sams Cider (04/04/2023)</v>
      </c>
      <c r="H10550" s="19"/>
    </row>
    <row r="10551">
      <c r="A10551" s="9"/>
      <c r="B10551" s="15"/>
      <c r="C10551" s="9">
        <f>IFERROR(__xludf.DUMMYFUNCTION("""COMPUTED_VALUE"""),45033.4233128588)</f>
        <v>45033.42331</v>
      </c>
      <c r="D10551" s="15">
        <f>IFERROR(__xludf.DUMMYFUNCTION("""COMPUTED_VALUE"""),1.048)</f>
        <v>1.048</v>
      </c>
      <c r="E10551" s="16">
        <f>IFERROR(__xludf.DUMMYFUNCTION("""COMPUTED_VALUE"""),68.0)</f>
        <v>68</v>
      </c>
      <c r="F10551" s="19" t="str">
        <f>IFERROR(__xludf.DUMMYFUNCTION("""COMPUTED_VALUE"""),"BLACK")</f>
        <v>BLACK</v>
      </c>
      <c r="G10551" s="20" t="str">
        <f>IFERROR(__xludf.DUMMYFUNCTION("""COMPUTED_VALUE"""),"Uncle Sams Cider (04/04/2023)")</f>
        <v>Uncle Sams Cider (04/04/2023)</v>
      </c>
      <c r="H10551" s="19"/>
    </row>
    <row r="10552">
      <c r="A10552" s="9"/>
      <c r="B10552" s="15"/>
      <c r="C10552" s="9">
        <f>IFERROR(__xludf.DUMMYFUNCTION("""COMPUTED_VALUE"""),45033.4128803125)</f>
        <v>45033.41288</v>
      </c>
      <c r="D10552" s="15">
        <f>IFERROR(__xludf.DUMMYFUNCTION("""COMPUTED_VALUE"""),1.048)</f>
        <v>1.048</v>
      </c>
      <c r="E10552" s="16">
        <f>IFERROR(__xludf.DUMMYFUNCTION("""COMPUTED_VALUE"""),68.0)</f>
        <v>68</v>
      </c>
      <c r="F10552" s="19" t="str">
        <f>IFERROR(__xludf.DUMMYFUNCTION("""COMPUTED_VALUE"""),"BLACK")</f>
        <v>BLACK</v>
      </c>
      <c r="G10552" s="20" t="str">
        <f>IFERROR(__xludf.DUMMYFUNCTION("""COMPUTED_VALUE"""),"Uncle Sams Cider (04/04/2023)")</f>
        <v>Uncle Sams Cider (04/04/2023)</v>
      </c>
      <c r="H10552" s="19"/>
    </row>
    <row r="10553">
      <c r="A10553" s="9"/>
      <c r="B10553" s="15"/>
      <c r="C10553" s="9">
        <f>IFERROR(__xludf.DUMMYFUNCTION("""COMPUTED_VALUE"""),45033.4024600462)</f>
        <v>45033.40246</v>
      </c>
      <c r="D10553" s="15">
        <f>IFERROR(__xludf.DUMMYFUNCTION("""COMPUTED_VALUE"""),1.048)</f>
        <v>1.048</v>
      </c>
      <c r="E10553" s="16">
        <f>IFERROR(__xludf.DUMMYFUNCTION("""COMPUTED_VALUE"""),68.0)</f>
        <v>68</v>
      </c>
      <c r="F10553" s="19" t="str">
        <f>IFERROR(__xludf.DUMMYFUNCTION("""COMPUTED_VALUE"""),"BLACK")</f>
        <v>BLACK</v>
      </c>
      <c r="G10553" s="20" t="str">
        <f>IFERROR(__xludf.DUMMYFUNCTION("""COMPUTED_VALUE"""),"Uncle Sams Cider (04/04/2023)")</f>
        <v>Uncle Sams Cider (04/04/2023)</v>
      </c>
      <c r="H10553" s="19"/>
    </row>
    <row r="10554">
      <c r="A10554" s="9"/>
      <c r="B10554" s="15"/>
      <c r="C10554" s="9">
        <f>IFERROR(__xludf.DUMMYFUNCTION("""COMPUTED_VALUE"""),45033.3920387152)</f>
        <v>45033.39204</v>
      </c>
      <c r="D10554" s="15">
        <f>IFERROR(__xludf.DUMMYFUNCTION("""COMPUTED_VALUE"""),1.048)</f>
        <v>1.048</v>
      </c>
      <c r="E10554" s="16">
        <f>IFERROR(__xludf.DUMMYFUNCTION("""COMPUTED_VALUE"""),68.0)</f>
        <v>68</v>
      </c>
      <c r="F10554" s="19" t="str">
        <f>IFERROR(__xludf.DUMMYFUNCTION("""COMPUTED_VALUE"""),"BLACK")</f>
        <v>BLACK</v>
      </c>
      <c r="G10554" s="20" t="str">
        <f>IFERROR(__xludf.DUMMYFUNCTION("""COMPUTED_VALUE"""),"Uncle Sams Cider (04/04/2023)")</f>
        <v>Uncle Sams Cider (04/04/2023)</v>
      </c>
      <c r="H10554" s="19"/>
    </row>
    <row r="10555">
      <c r="A10555" s="9"/>
      <c r="B10555" s="15"/>
      <c r="C10555" s="9">
        <f>IFERROR(__xludf.DUMMYFUNCTION("""COMPUTED_VALUE"""),45033.3816061458)</f>
        <v>45033.38161</v>
      </c>
      <c r="D10555" s="15">
        <f>IFERROR(__xludf.DUMMYFUNCTION("""COMPUTED_VALUE"""),1.048)</f>
        <v>1.048</v>
      </c>
      <c r="E10555" s="16">
        <f>IFERROR(__xludf.DUMMYFUNCTION("""COMPUTED_VALUE"""),68.0)</f>
        <v>68</v>
      </c>
      <c r="F10555" s="19" t="str">
        <f>IFERROR(__xludf.DUMMYFUNCTION("""COMPUTED_VALUE"""),"BLACK")</f>
        <v>BLACK</v>
      </c>
      <c r="G10555" s="20" t="str">
        <f>IFERROR(__xludf.DUMMYFUNCTION("""COMPUTED_VALUE"""),"Uncle Sams Cider (04/04/2023)")</f>
        <v>Uncle Sams Cider (04/04/2023)</v>
      </c>
      <c r="H10555" s="19"/>
    </row>
    <row r="10556">
      <c r="A10556" s="9"/>
      <c r="B10556" s="15"/>
      <c r="C10556" s="9">
        <f>IFERROR(__xludf.DUMMYFUNCTION("""COMPUTED_VALUE"""),45033.371184375)</f>
        <v>45033.37118</v>
      </c>
      <c r="D10556" s="15">
        <f>IFERROR(__xludf.DUMMYFUNCTION("""COMPUTED_VALUE"""),1.048)</f>
        <v>1.048</v>
      </c>
      <c r="E10556" s="16">
        <f>IFERROR(__xludf.DUMMYFUNCTION("""COMPUTED_VALUE"""),68.0)</f>
        <v>68</v>
      </c>
      <c r="F10556" s="19" t="str">
        <f>IFERROR(__xludf.DUMMYFUNCTION("""COMPUTED_VALUE"""),"BLACK")</f>
        <v>BLACK</v>
      </c>
      <c r="G10556" s="20" t="str">
        <f>IFERROR(__xludf.DUMMYFUNCTION("""COMPUTED_VALUE"""),"Uncle Sams Cider (04/04/2023)")</f>
        <v>Uncle Sams Cider (04/04/2023)</v>
      </c>
      <c r="H10556" s="19"/>
    </row>
    <row r="10557">
      <c r="A10557" s="9"/>
      <c r="B10557" s="15"/>
      <c r="C10557" s="9">
        <f>IFERROR(__xludf.DUMMYFUNCTION("""COMPUTED_VALUE"""),45033.3607639351)</f>
        <v>45033.36076</v>
      </c>
      <c r="D10557" s="15">
        <f>IFERROR(__xludf.DUMMYFUNCTION("""COMPUTED_VALUE"""),1.048)</f>
        <v>1.048</v>
      </c>
      <c r="E10557" s="16">
        <f>IFERROR(__xludf.DUMMYFUNCTION("""COMPUTED_VALUE"""),68.0)</f>
        <v>68</v>
      </c>
      <c r="F10557" s="19" t="str">
        <f>IFERROR(__xludf.DUMMYFUNCTION("""COMPUTED_VALUE"""),"BLACK")</f>
        <v>BLACK</v>
      </c>
      <c r="G10557" s="20" t="str">
        <f>IFERROR(__xludf.DUMMYFUNCTION("""COMPUTED_VALUE"""),"Uncle Sams Cider (04/04/2023)")</f>
        <v>Uncle Sams Cider (04/04/2023)</v>
      </c>
      <c r="H10557" s="19"/>
    </row>
    <row r="10558">
      <c r="A10558" s="9"/>
      <c r="B10558" s="15"/>
      <c r="C10558" s="9">
        <f>IFERROR(__xludf.DUMMYFUNCTION("""COMPUTED_VALUE"""),45033.3503436805)</f>
        <v>45033.35034</v>
      </c>
      <c r="D10558" s="15">
        <f>IFERROR(__xludf.DUMMYFUNCTION("""COMPUTED_VALUE"""),1.048)</f>
        <v>1.048</v>
      </c>
      <c r="E10558" s="16">
        <f>IFERROR(__xludf.DUMMYFUNCTION("""COMPUTED_VALUE"""),68.0)</f>
        <v>68</v>
      </c>
      <c r="F10558" s="19" t="str">
        <f>IFERROR(__xludf.DUMMYFUNCTION("""COMPUTED_VALUE"""),"BLACK")</f>
        <v>BLACK</v>
      </c>
      <c r="G10558" s="20" t="str">
        <f>IFERROR(__xludf.DUMMYFUNCTION("""COMPUTED_VALUE"""),"Uncle Sams Cider (04/04/2023)")</f>
        <v>Uncle Sams Cider (04/04/2023)</v>
      </c>
      <c r="H10558" s="19"/>
    </row>
    <row r="10559">
      <c r="A10559" s="9"/>
      <c r="B10559" s="15"/>
      <c r="C10559" s="9">
        <f>IFERROR(__xludf.DUMMYFUNCTION("""COMPUTED_VALUE"""),45033.3399213078)</f>
        <v>45033.33992</v>
      </c>
      <c r="D10559" s="15">
        <f>IFERROR(__xludf.DUMMYFUNCTION("""COMPUTED_VALUE"""),1.048)</f>
        <v>1.048</v>
      </c>
      <c r="E10559" s="16">
        <f>IFERROR(__xludf.DUMMYFUNCTION("""COMPUTED_VALUE"""),68.0)</f>
        <v>68</v>
      </c>
      <c r="F10559" s="19" t="str">
        <f>IFERROR(__xludf.DUMMYFUNCTION("""COMPUTED_VALUE"""),"BLACK")</f>
        <v>BLACK</v>
      </c>
      <c r="G10559" s="20" t="str">
        <f>IFERROR(__xludf.DUMMYFUNCTION("""COMPUTED_VALUE"""),"Uncle Sams Cider (04/04/2023)")</f>
        <v>Uncle Sams Cider (04/04/2023)</v>
      </c>
      <c r="H10559" s="19"/>
    </row>
    <row r="10560">
      <c r="A10560" s="9"/>
      <c r="B10560" s="15"/>
      <c r="C10560" s="9">
        <f>IFERROR(__xludf.DUMMYFUNCTION("""COMPUTED_VALUE"""),45033.329499618)</f>
        <v>45033.3295</v>
      </c>
      <c r="D10560" s="15">
        <f>IFERROR(__xludf.DUMMYFUNCTION("""COMPUTED_VALUE"""),1.048)</f>
        <v>1.048</v>
      </c>
      <c r="E10560" s="16">
        <f>IFERROR(__xludf.DUMMYFUNCTION("""COMPUTED_VALUE"""),68.0)</f>
        <v>68</v>
      </c>
      <c r="F10560" s="19" t="str">
        <f>IFERROR(__xludf.DUMMYFUNCTION("""COMPUTED_VALUE"""),"BLACK")</f>
        <v>BLACK</v>
      </c>
      <c r="G10560" s="20" t="str">
        <f>IFERROR(__xludf.DUMMYFUNCTION("""COMPUTED_VALUE"""),"Uncle Sams Cider (04/04/2023)")</f>
        <v>Uncle Sams Cider (04/04/2023)</v>
      </c>
      <c r="H10560" s="19"/>
    </row>
    <row r="10561">
      <c r="A10561" s="9"/>
      <c r="B10561" s="15"/>
      <c r="C10561" s="9">
        <f>IFERROR(__xludf.DUMMYFUNCTION("""COMPUTED_VALUE"""),45033.3190785185)</f>
        <v>45033.31908</v>
      </c>
      <c r="D10561" s="15">
        <f>IFERROR(__xludf.DUMMYFUNCTION("""COMPUTED_VALUE"""),1.048)</f>
        <v>1.048</v>
      </c>
      <c r="E10561" s="16">
        <f>IFERROR(__xludf.DUMMYFUNCTION("""COMPUTED_VALUE"""),68.0)</f>
        <v>68</v>
      </c>
      <c r="F10561" s="19" t="str">
        <f>IFERROR(__xludf.DUMMYFUNCTION("""COMPUTED_VALUE"""),"BLACK")</f>
        <v>BLACK</v>
      </c>
      <c r="G10561" s="20" t="str">
        <f>IFERROR(__xludf.DUMMYFUNCTION("""COMPUTED_VALUE"""),"Uncle Sams Cider (04/04/2023)")</f>
        <v>Uncle Sams Cider (04/04/2023)</v>
      </c>
      <c r="H10561" s="19"/>
    </row>
    <row r="10562">
      <c r="A10562" s="9"/>
      <c r="B10562" s="15"/>
      <c r="C10562" s="9">
        <f>IFERROR(__xludf.DUMMYFUNCTION("""COMPUTED_VALUE"""),45033.3086571875)</f>
        <v>45033.30866</v>
      </c>
      <c r="D10562" s="15">
        <f>IFERROR(__xludf.DUMMYFUNCTION("""COMPUTED_VALUE"""),1.048)</f>
        <v>1.048</v>
      </c>
      <c r="E10562" s="16">
        <f>IFERROR(__xludf.DUMMYFUNCTION("""COMPUTED_VALUE"""),68.0)</f>
        <v>68</v>
      </c>
      <c r="F10562" s="19" t="str">
        <f>IFERROR(__xludf.DUMMYFUNCTION("""COMPUTED_VALUE"""),"BLACK")</f>
        <v>BLACK</v>
      </c>
      <c r="G10562" s="20" t="str">
        <f>IFERROR(__xludf.DUMMYFUNCTION("""COMPUTED_VALUE"""),"Uncle Sams Cider (04/04/2023)")</f>
        <v>Uncle Sams Cider (04/04/2023)</v>
      </c>
      <c r="H10562" s="19"/>
    </row>
    <row r="10563">
      <c r="A10563" s="9"/>
      <c r="B10563" s="15"/>
      <c r="C10563" s="9">
        <f>IFERROR(__xludf.DUMMYFUNCTION("""COMPUTED_VALUE"""),45033.2982242129)</f>
        <v>45033.29822</v>
      </c>
      <c r="D10563" s="15">
        <f>IFERROR(__xludf.DUMMYFUNCTION("""COMPUTED_VALUE"""),1.048)</f>
        <v>1.048</v>
      </c>
      <c r="E10563" s="16">
        <f>IFERROR(__xludf.DUMMYFUNCTION("""COMPUTED_VALUE"""),68.0)</f>
        <v>68</v>
      </c>
      <c r="F10563" s="19" t="str">
        <f>IFERROR(__xludf.DUMMYFUNCTION("""COMPUTED_VALUE"""),"BLACK")</f>
        <v>BLACK</v>
      </c>
      <c r="G10563" s="20" t="str">
        <f>IFERROR(__xludf.DUMMYFUNCTION("""COMPUTED_VALUE"""),"Uncle Sams Cider (04/04/2023)")</f>
        <v>Uncle Sams Cider (04/04/2023)</v>
      </c>
      <c r="H10563" s="19"/>
    </row>
    <row r="10564">
      <c r="A10564" s="9"/>
      <c r="B10564" s="15"/>
      <c r="C10564" s="9">
        <f>IFERROR(__xludf.DUMMYFUNCTION("""COMPUTED_VALUE"""),45033.2878048842)</f>
        <v>45033.2878</v>
      </c>
      <c r="D10564" s="15">
        <f>IFERROR(__xludf.DUMMYFUNCTION("""COMPUTED_VALUE"""),1.048)</f>
        <v>1.048</v>
      </c>
      <c r="E10564" s="16">
        <f>IFERROR(__xludf.DUMMYFUNCTION("""COMPUTED_VALUE"""),68.0)</f>
        <v>68</v>
      </c>
      <c r="F10564" s="19" t="str">
        <f>IFERROR(__xludf.DUMMYFUNCTION("""COMPUTED_VALUE"""),"BLACK")</f>
        <v>BLACK</v>
      </c>
      <c r="G10564" s="20" t="str">
        <f>IFERROR(__xludf.DUMMYFUNCTION("""COMPUTED_VALUE"""),"Uncle Sams Cider (04/04/2023)")</f>
        <v>Uncle Sams Cider (04/04/2023)</v>
      </c>
      <c r="H10564" s="19"/>
    </row>
    <row r="10565">
      <c r="A10565" s="9"/>
      <c r="B10565" s="15"/>
      <c r="C10565" s="9">
        <f>IFERROR(__xludf.DUMMYFUNCTION("""COMPUTED_VALUE"""),45033.2773843865)</f>
        <v>45033.27738</v>
      </c>
      <c r="D10565" s="15">
        <f>IFERROR(__xludf.DUMMYFUNCTION("""COMPUTED_VALUE"""),1.048)</f>
        <v>1.048</v>
      </c>
      <c r="E10565" s="16">
        <f>IFERROR(__xludf.DUMMYFUNCTION("""COMPUTED_VALUE"""),68.0)</f>
        <v>68</v>
      </c>
      <c r="F10565" s="19" t="str">
        <f>IFERROR(__xludf.DUMMYFUNCTION("""COMPUTED_VALUE"""),"BLACK")</f>
        <v>BLACK</v>
      </c>
      <c r="G10565" s="20" t="str">
        <f>IFERROR(__xludf.DUMMYFUNCTION("""COMPUTED_VALUE"""),"Uncle Sams Cider (04/04/2023)")</f>
        <v>Uncle Sams Cider (04/04/2023)</v>
      </c>
      <c r="H10565" s="19"/>
    </row>
    <row r="10566">
      <c r="A10566" s="9"/>
      <c r="B10566" s="15"/>
      <c r="C10566" s="9">
        <f>IFERROR(__xludf.DUMMYFUNCTION("""COMPUTED_VALUE"""),45033.2669279398)</f>
        <v>45033.26693</v>
      </c>
      <c r="D10566" s="15">
        <f>IFERROR(__xludf.DUMMYFUNCTION("""COMPUTED_VALUE"""),1.048)</f>
        <v>1.048</v>
      </c>
      <c r="E10566" s="16">
        <f>IFERROR(__xludf.DUMMYFUNCTION("""COMPUTED_VALUE"""),68.0)</f>
        <v>68</v>
      </c>
      <c r="F10566" s="19" t="str">
        <f>IFERROR(__xludf.DUMMYFUNCTION("""COMPUTED_VALUE"""),"BLACK")</f>
        <v>BLACK</v>
      </c>
      <c r="G10566" s="20" t="str">
        <f>IFERROR(__xludf.DUMMYFUNCTION("""COMPUTED_VALUE"""),"Uncle Sams Cider (04/04/2023)")</f>
        <v>Uncle Sams Cider (04/04/2023)</v>
      </c>
      <c r="H10566" s="19"/>
    </row>
    <row r="10567">
      <c r="A10567" s="9"/>
      <c r="B10567" s="15"/>
      <c r="C10567" s="9">
        <f>IFERROR(__xludf.DUMMYFUNCTION("""COMPUTED_VALUE"""),45033.256505625)</f>
        <v>45033.25651</v>
      </c>
      <c r="D10567" s="15">
        <f>IFERROR(__xludf.DUMMYFUNCTION("""COMPUTED_VALUE"""),1.048)</f>
        <v>1.048</v>
      </c>
      <c r="E10567" s="16">
        <f>IFERROR(__xludf.DUMMYFUNCTION("""COMPUTED_VALUE"""),68.0)</f>
        <v>68</v>
      </c>
      <c r="F10567" s="19" t="str">
        <f>IFERROR(__xludf.DUMMYFUNCTION("""COMPUTED_VALUE"""),"BLACK")</f>
        <v>BLACK</v>
      </c>
      <c r="G10567" s="20" t="str">
        <f>IFERROR(__xludf.DUMMYFUNCTION("""COMPUTED_VALUE"""),"Uncle Sams Cider (04/04/2023)")</f>
        <v>Uncle Sams Cider (04/04/2023)</v>
      </c>
      <c r="H10567" s="19"/>
    </row>
    <row r="10568">
      <c r="A10568" s="9"/>
      <c r="B10568" s="15"/>
      <c r="C10568" s="9">
        <f>IFERROR(__xludf.DUMMYFUNCTION("""COMPUTED_VALUE"""),45033.2460831828)</f>
        <v>45033.24608</v>
      </c>
      <c r="D10568" s="15">
        <f>IFERROR(__xludf.DUMMYFUNCTION("""COMPUTED_VALUE"""),1.048)</f>
        <v>1.048</v>
      </c>
      <c r="E10568" s="16">
        <f>IFERROR(__xludf.DUMMYFUNCTION("""COMPUTED_VALUE"""),68.0)</f>
        <v>68</v>
      </c>
      <c r="F10568" s="19" t="str">
        <f>IFERROR(__xludf.DUMMYFUNCTION("""COMPUTED_VALUE"""),"BLACK")</f>
        <v>BLACK</v>
      </c>
      <c r="G10568" s="20" t="str">
        <f>IFERROR(__xludf.DUMMYFUNCTION("""COMPUTED_VALUE"""),"Uncle Sams Cider (04/04/2023)")</f>
        <v>Uncle Sams Cider (04/04/2023)</v>
      </c>
      <c r="H10568" s="19"/>
    </row>
    <row r="10569">
      <c r="A10569" s="9"/>
      <c r="B10569" s="15"/>
      <c r="C10569" s="9">
        <f>IFERROR(__xludf.DUMMYFUNCTION("""COMPUTED_VALUE"""),45033.2356376388)</f>
        <v>45033.23564</v>
      </c>
      <c r="D10569" s="15">
        <f>IFERROR(__xludf.DUMMYFUNCTION("""COMPUTED_VALUE"""),1.048)</f>
        <v>1.048</v>
      </c>
      <c r="E10569" s="16">
        <f>IFERROR(__xludf.DUMMYFUNCTION("""COMPUTED_VALUE"""),68.0)</f>
        <v>68</v>
      </c>
      <c r="F10569" s="19" t="str">
        <f>IFERROR(__xludf.DUMMYFUNCTION("""COMPUTED_VALUE"""),"BLACK")</f>
        <v>BLACK</v>
      </c>
      <c r="G10569" s="20" t="str">
        <f>IFERROR(__xludf.DUMMYFUNCTION("""COMPUTED_VALUE"""),"Uncle Sams Cider (04/04/2023)")</f>
        <v>Uncle Sams Cider (04/04/2023)</v>
      </c>
      <c r="H10569" s="19"/>
    </row>
    <row r="10570">
      <c r="A10570" s="9"/>
      <c r="B10570" s="15"/>
      <c r="C10570" s="9">
        <f>IFERROR(__xludf.DUMMYFUNCTION("""COMPUTED_VALUE"""),45033.2252178472)</f>
        <v>45033.22522</v>
      </c>
      <c r="D10570" s="15">
        <f>IFERROR(__xludf.DUMMYFUNCTION("""COMPUTED_VALUE"""),1.048)</f>
        <v>1.048</v>
      </c>
      <c r="E10570" s="16">
        <f>IFERROR(__xludf.DUMMYFUNCTION("""COMPUTED_VALUE"""),68.0)</f>
        <v>68</v>
      </c>
      <c r="F10570" s="19" t="str">
        <f>IFERROR(__xludf.DUMMYFUNCTION("""COMPUTED_VALUE"""),"BLACK")</f>
        <v>BLACK</v>
      </c>
      <c r="G10570" s="20" t="str">
        <f>IFERROR(__xludf.DUMMYFUNCTION("""COMPUTED_VALUE"""),"Uncle Sams Cider (04/04/2023)")</f>
        <v>Uncle Sams Cider (04/04/2023)</v>
      </c>
      <c r="H10570" s="19"/>
    </row>
    <row r="10571">
      <c r="A10571" s="9"/>
      <c r="B10571" s="15"/>
      <c r="C10571" s="9">
        <f>IFERROR(__xludf.DUMMYFUNCTION("""COMPUTED_VALUE"""),45033.2147837268)</f>
        <v>45033.21478</v>
      </c>
      <c r="D10571" s="15">
        <f>IFERROR(__xludf.DUMMYFUNCTION("""COMPUTED_VALUE"""),1.048)</f>
        <v>1.048</v>
      </c>
      <c r="E10571" s="16">
        <f>IFERROR(__xludf.DUMMYFUNCTION("""COMPUTED_VALUE"""),68.0)</f>
        <v>68</v>
      </c>
      <c r="F10571" s="19" t="str">
        <f>IFERROR(__xludf.DUMMYFUNCTION("""COMPUTED_VALUE"""),"BLACK")</f>
        <v>BLACK</v>
      </c>
      <c r="G10571" s="20" t="str">
        <f>IFERROR(__xludf.DUMMYFUNCTION("""COMPUTED_VALUE"""),"Uncle Sams Cider (04/04/2023)")</f>
        <v>Uncle Sams Cider (04/04/2023)</v>
      </c>
      <c r="H10571" s="19"/>
    </row>
    <row r="10572">
      <c r="A10572" s="9"/>
      <c r="B10572" s="15"/>
      <c r="C10572" s="9">
        <f>IFERROR(__xludf.DUMMYFUNCTION("""COMPUTED_VALUE"""),45033.2043633333)</f>
        <v>45033.20436</v>
      </c>
      <c r="D10572" s="15">
        <f>IFERROR(__xludf.DUMMYFUNCTION("""COMPUTED_VALUE"""),1.048)</f>
        <v>1.048</v>
      </c>
      <c r="E10572" s="16">
        <f>IFERROR(__xludf.DUMMYFUNCTION("""COMPUTED_VALUE"""),68.0)</f>
        <v>68</v>
      </c>
      <c r="F10572" s="19" t="str">
        <f>IFERROR(__xludf.DUMMYFUNCTION("""COMPUTED_VALUE"""),"BLACK")</f>
        <v>BLACK</v>
      </c>
      <c r="G10572" s="20" t="str">
        <f>IFERROR(__xludf.DUMMYFUNCTION("""COMPUTED_VALUE"""),"Uncle Sams Cider (04/04/2023)")</f>
        <v>Uncle Sams Cider (04/04/2023)</v>
      </c>
      <c r="H10572" s="19"/>
    </row>
    <row r="10573">
      <c r="A10573" s="9"/>
      <c r="B10573" s="15"/>
      <c r="C10573" s="9">
        <f>IFERROR(__xludf.DUMMYFUNCTION("""COMPUTED_VALUE"""),45033.1939413078)</f>
        <v>45033.19394</v>
      </c>
      <c r="D10573" s="15">
        <f>IFERROR(__xludf.DUMMYFUNCTION("""COMPUTED_VALUE"""),1.048)</f>
        <v>1.048</v>
      </c>
      <c r="E10573" s="16">
        <f>IFERROR(__xludf.DUMMYFUNCTION("""COMPUTED_VALUE"""),68.0)</f>
        <v>68</v>
      </c>
      <c r="F10573" s="19" t="str">
        <f>IFERROR(__xludf.DUMMYFUNCTION("""COMPUTED_VALUE"""),"BLACK")</f>
        <v>BLACK</v>
      </c>
      <c r="G10573" s="20" t="str">
        <f>IFERROR(__xludf.DUMMYFUNCTION("""COMPUTED_VALUE"""),"Uncle Sams Cider (04/04/2023)")</f>
        <v>Uncle Sams Cider (04/04/2023)</v>
      </c>
      <c r="H10573" s="19"/>
    </row>
    <row r="10574">
      <c r="A10574" s="9"/>
      <c r="B10574" s="15"/>
      <c r="C10574" s="9">
        <f>IFERROR(__xludf.DUMMYFUNCTION("""COMPUTED_VALUE"""),45033.1835210416)</f>
        <v>45033.18352</v>
      </c>
      <c r="D10574" s="15">
        <f>IFERROR(__xludf.DUMMYFUNCTION("""COMPUTED_VALUE"""),1.048)</f>
        <v>1.048</v>
      </c>
      <c r="E10574" s="16">
        <f>IFERROR(__xludf.DUMMYFUNCTION("""COMPUTED_VALUE"""),68.0)</f>
        <v>68</v>
      </c>
      <c r="F10574" s="19" t="str">
        <f>IFERROR(__xludf.DUMMYFUNCTION("""COMPUTED_VALUE"""),"BLACK")</f>
        <v>BLACK</v>
      </c>
      <c r="G10574" s="20" t="str">
        <f>IFERROR(__xludf.DUMMYFUNCTION("""COMPUTED_VALUE"""),"Uncle Sams Cider (04/04/2023)")</f>
        <v>Uncle Sams Cider (04/04/2023)</v>
      </c>
      <c r="H10574" s="19"/>
    </row>
    <row r="10575">
      <c r="A10575" s="9"/>
      <c r="B10575" s="15"/>
      <c r="C10575" s="9">
        <f>IFERROR(__xludf.DUMMYFUNCTION("""COMPUTED_VALUE"""),45033.1730995486)</f>
        <v>45033.1731</v>
      </c>
      <c r="D10575" s="15">
        <f>IFERROR(__xludf.DUMMYFUNCTION("""COMPUTED_VALUE"""),1.048)</f>
        <v>1.048</v>
      </c>
      <c r="E10575" s="16">
        <f>IFERROR(__xludf.DUMMYFUNCTION("""COMPUTED_VALUE"""),68.0)</f>
        <v>68</v>
      </c>
      <c r="F10575" s="19" t="str">
        <f>IFERROR(__xludf.DUMMYFUNCTION("""COMPUTED_VALUE"""),"BLACK")</f>
        <v>BLACK</v>
      </c>
      <c r="G10575" s="20" t="str">
        <f>IFERROR(__xludf.DUMMYFUNCTION("""COMPUTED_VALUE"""),"Uncle Sams Cider (04/04/2023)")</f>
        <v>Uncle Sams Cider (04/04/2023)</v>
      </c>
      <c r="H10575" s="19"/>
    </row>
    <row r="10576">
      <c r="A10576" s="9"/>
      <c r="B10576" s="15"/>
      <c r="C10576" s="9">
        <f>IFERROR(__xludf.DUMMYFUNCTION("""COMPUTED_VALUE"""),45033.16265625)</f>
        <v>45033.16266</v>
      </c>
      <c r="D10576" s="15">
        <f>IFERROR(__xludf.DUMMYFUNCTION("""COMPUTED_VALUE"""),1.049)</f>
        <v>1.049</v>
      </c>
      <c r="E10576" s="16">
        <f>IFERROR(__xludf.DUMMYFUNCTION("""COMPUTED_VALUE"""),68.0)</f>
        <v>68</v>
      </c>
      <c r="F10576" s="19" t="str">
        <f>IFERROR(__xludf.DUMMYFUNCTION("""COMPUTED_VALUE"""),"BLACK")</f>
        <v>BLACK</v>
      </c>
      <c r="G10576" s="20" t="str">
        <f>IFERROR(__xludf.DUMMYFUNCTION("""COMPUTED_VALUE"""),"Uncle Sams Cider (04/04/2023)")</f>
        <v>Uncle Sams Cider (04/04/2023)</v>
      </c>
      <c r="H10576" s="19"/>
    </row>
    <row r="10577">
      <c r="A10577" s="9"/>
      <c r="B10577" s="15"/>
      <c r="C10577" s="9">
        <f>IFERROR(__xludf.DUMMYFUNCTION("""COMPUTED_VALUE"""),45033.1522252083)</f>
        <v>45033.15223</v>
      </c>
      <c r="D10577" s="15">
        <f>IFERROR(__xludf.DUMMYFUNCTION("""COMPUTED_VALUE"""),1.048)</f>
        <v>1.048</v>
      </c>
      <c r="E10577" s="16">
        <f>IFERROR(__xludf.DUMMYFUNCTION("""COMPUTED_VALUE"""),68.0)</f>
        <v>68</v>
      </c>
      <c r="F10577" s="19" t="str">
        <f>IFERROR(__xludf.DUMMYFUNCTION("""COMPUTED_VALUE"""),"BLACK")</f>
        <v>BLACK</v>
      </c>
      <c r="G10577" s="20" t="str">
        <f>IFERROR(__xludf.DUMMYFUNCTION("""COMPUTED_VALUE"""),"Uncle Sams Cider (04/04/2023)")</f>
        <v>Uncle Sams Cider (04/04/2023)</v>
      </c>
      <c r="H10577" s="19"/>
    </row>
    <row r="10578">
      <c r="A10578" s="9"/>
      <c r="B10578" s="15"/>
      <c r="C10578" s="9">
        <f>IFERROR(__xludf.DUMMYFUNCTION("""COMPUTED_VALUE"""),45033.1418050578)</f>
        <v>45033.14181</v>
      </c>
      <c r="D10578" s="15">
        <f>IFERROR(__xludf.DUMMYFUNCTION("""COMPUTED_VALUE"""),1.048)</f>
        <v>1.048</v>
      </c>
      <c r="E10578" s="16">
        <f>IFERROR(__xludf.DUMMYFUNCTION("""COMPUTED_VALUE"""),68.0)</f>
        <v>68</v>
      </c>
      <c r="F10578" s="19" t="str">
        <f>IFERROR(__xludf.DUMMYFUNCTION("""COMPUTED_VALUE"""),"BLACK")</f>
        <v>BLACK</v>
      </c>
      <c r="G10578" s="20" t="str">
        <f>IFERROR(__xludf.DUMMYFUNCTION("""COMPUTED_VALUE"""),"Uncle Sams Cider (04/04/2023)")</f>
        <v>Uncle Sams Cider (04/04/2023)</v>
      </c>
      <c r="H10578" s="19"/>
    </row>
    <row r="10579">
      <c r="A10579" s="9"/>
      <c r="B10579" s="15"/>
      <c r="C10579" s="9">
        <f>IFERROR(__xludf.DUMMYFUNCTION("""COMPUTED_VALUE"""),45033.1313713541)</f>
        <v>45033.13137</v>
      </c>
      <c r="D10579" s="15">
        <f>IFERROR(__xludf.DUMMYFUNCTION("""COMPUTED_VALUE"""),1.048)</f>
        <v>1.048</v>
      </c>
      <c r="E10579" s="16">
        <f>IFERROR(__xludf.DUMMYFUNCTION("""COMPUTED_VALUE"""),68.0)</f>
        <v>68</v>
      </c>
      <c r="F10579" s="19" t="str">
        <f>IFERROR(__xludf.DUMMYFUNCTION("""COMPUTED_VALUE"""),"BLACK")</f>
        <v>BLACK</v>
      </c>
      <c r="G10579" s="20" t="str">
        <f>IFERROR(__xludf.DUMMYFUNCTION("""COMPUTED_VALUE"""),"Uncle Sams Cider (04/04/2023)")</f>
        <v>Uncle Sams Cider (04/04/2023)</v>
      </c>
      <c r="H10579" s="19"/>
    </row>
    <row r="10580">
      <c r="A10580" s="9"/>
      <c r="B10580" s="15"/>
      <c r="C10580" s="9">
        <f>IFERROR(__xludf.DUMMYFUNCTION("""COMPUTED_VALUE"""),45033.1209481944)</f>
        <v>45033.12095</v>
      </c>
      <c r="D10580" s="15">
        <f>IFERROR(__xludf.DUMMYFUNCTION("""COMPUTED_VALUE"""),1.048)</f>
        <v>1.048</v>
      </c>
      <c r="E10580" s="16">
        <f>IFERROR(__xludf.DUMMYFUNCTION("""COMPUTED_VALUE"""),68.0)</f>
        <v>68</v>
      </c>
      <c r="F10580" s="19" t="str">
        <f>IFERROR(__xludf.DUMMYFUNCTION("""COMPUTED_VALUE"""),"BLACK")</f>
        <v>BLACK</v>
      </c>
      <c r="G10580" s="20" t="str">
        <f>IFERROR(__xludf.DUMMYFUNCTION("""COMPUTED_VALUE"""),"Uncle Sams Cider (04/04/2023)")</f>
        <v>Uncle Sams Cider (04/04/2023)</v>
      </c>
      <c r="H10580" s="19"/>
    </row>
    <row r="10581">
      <c r="A10581" s="9"/>
      <c r="B10581" s="15"/>
      <c r="C10581" s="9">
        <f>IFERROR(__xludf.DUMMYFUNCTION("""COMPUTED_VALUE"""),45033.1105264467)</f>
        <v>45033.11053</v>
      </c>
      <c r="D10581" s="15">
        <f>IFERROR(__xludf.DUMMYFUNCTION("""COMPUTED_VALUE"""),1.049)</f>
        <v>1.049</v>
      </c>
      <c r="E10581" s="16">
        <f>IFERROR(__xludf.DUMMYFUNCTION("""COMPUTED_VALUE"""),68.0)</f>
        <v>68</v>
      </c>
      <c r="F10581" s="19" t="str">
        <f>IFERROR(__xludf.DUMMYFUNCTION("""COMPUTED_VALUE"""),"BLACK")</f>
        <v>BLACK</v>
      </c>
      <c r="G10581" s="20" t="str">
        <f>IFERROR(__xludf.DUMMYFUNCTION("""COMPUTED_VALUE"""),"Uncle Sams Cider (04/04/2023)")</f>
        <v>Uncle Sams Cider (04/04/2023)</v>
      </c>
      <c r="H10581" s="19"/>
    </row>
    <row r="10582">
      <c r="A10582" s="9"/>
      <c r="B10582" s="15"/>
      <c r="C10582" s="9">
        <f>IFERROR(__xludf.DUMMYFUNCTION("""COMPUTED_VALUE"""),45033.1000830439)</f>
        <v>45033.10008</v>
      </c>
      <c r="D10582" s="15">
        <f>IFERROR(__xludf.DUMMYFUNCTION("""COMPUTED_VALUE"""),1.049)</f>
        <v>1.049</v>
      </c>
      <c r="E10582" s="16">
        <f>IFERROR(__xludf.DUMMYFUNCTION("""COMPUTED_VALUE"""),68.0)</f>
        <v>68</v>
      </c>
      <c r="F10582" s="19" t="str">
        <f>IFERROR(__xludf.DUMMYFUNCTION("""COMPUTED_VALUE"""),"BLACK")</f>
        <v>BLACK</v>
      </c>
      <c r="G10582" s="20" t="str">
        <f>IFERROR(__xludf.DUMMYFUNCTION("""COMPUTED_VALUE"""),"Uncle Sams Cider (04/04/2023)")</f>
        <v>Uncle Sams Cider (04/04/2023)</v>
      </c>
      <c r="H10582" s="19"/>
    </row>
    <row r="10583">
      <c r="A10583" s="9"/>
      <c r="B10583" s="15"/>
      <c r="C10583" s="9">
        <f>IFERROR(__xludf.DUMMYFUNCTION("""COMPUTED_VALUE"""),45033.0896507407)</f>
        <v>45033.08965</v>
      </c>
      <c r="D10583" s="15">
        <f>IFERROR(__xludf.DUMMYFUNCTION("""COMPUTED_VALUE"""),1.049)</f>
        <v>1.049</v>
      </c>
      <c r="E10583" s="16">
        <f>IFERROR(__xludf.DUMMYFUNCTION("""COMPUTED_VALUE"""),68.0)</f>
        <v>68</v>
      </c>
      <c r="F10583" s="19" t="str">
        <f>IFERROR(__xludf.DUMMYFUNCTION("""COMPUTED_VALUE"""),"BLACK")</f>
        <v>BLACK</v>
      </c>
      <c r="G10583" s="20" t="str">
        <f>IFERROR(__xludf.DUMMYFUNCTION("""COMPUTED_VALUE"""),"Uncle Sams Cider (04/04/2023)")</f>
        <v>Uncle Sams Cider (04/04/2023)</v>
      </c>
      <c r="H10583" s="19"/>
    </row>
    <row r="10584">
      <c r="A10584" s="9"/>
      <c r="B10584" s="15"/>
      <c r="C10584" s="9">
        <f>IFERROR(__xludf.DUMMYFUNCTION("""COMPUTED_VALUE"""),45033.0792192708)</f>
        <v>45033.07922</v>
      </c>
      <c r="D10584" s="15">
        <f>IFERROR(__xludf.DUMMYFUNCTION("""COMPUTED_VALUE"""),1.049)</f>
        <v>1.049</v>
      </c>
      <c r="E10584" s="16">
        <f>IFERROR(__xludf.DUMMYFUNCTION("""COMPUTED_VALUE"""),68.0)</f>
        <v>68</v>
      </c>
      <c r="F10584" s="19" t="str">
        <f>IFERROR(__xludf.DUMMYFUNCTION("""COMPUTED_VALUE"""),"BLACK")</f>
        <v>BLACK</v>
      </c>
      <c r="G10584" s="20" t="str">
        <f>IFERROR(__xludf.DUMMYFUNCTION("""COMPUTED_VALUE"""),"Uncle Sams Cider (04/04/2023)")</f>
        <v>Uncle Sams Cider (04/04/2023)</v>
      </c>
      <c r="H10584" s="19"/>
    </row>
    <row r="10585">
      <c r="A10585" s="9"/>
      <c r="B10585" s="15"/>
      <c r="C10585" s="9">
        <f>IFERROR(__xludf.DUMMYFUNCTION("""COMPUTED_VALUE"""),45033.0687978472)</f>
        <v>45033.0688</v>
      </c>
      <c r="D10585" s="15">
        <f>IFERROR(__xludf.DUMMYFUNCTION("""COMPUTED_VALUE"""),1.049)</f>
        <v>1.049</v>
      </c>
      <c r="E10585" s="16">
        <f>IFERROR(__xludf.DUMMYFUNCTION("""COMPUTED_VALUE"""),68.0)</f>
        <v>68</v>
      </c>
      <c r="F10585" s="19" t="str">
        <f>IFERROR(__xludf.DUMMYFUNCTION("""COMPUTED_VALUE"""),"BLACK")</f>
        <v>BLACK</v>
      </c>
      <c r="G10585" s="20" t="str">
        <f>IFERROR(__xludf.DUMMYFUNCTION("""COMPUTED_VALUE"""),"Uncle Sams Cider (04/04/2023)")</f>
        <v>Uncle Sams Cider (04/04/2023)</v>
      </c>
      <c r="H10585" s="19"/>
    </row>
    <row r="10586">
      <c r="A10586" s="9"/>
      <c r="B10586" s="15"/>
      <c r="C10586" s="9">
        <f>IFERROR(__xludf.DUMMYFUNCTION("""COMPUTED_VALUE"""),45033.0583751736)</f>
        <v>45033.05838</v>
      </c>
      <c r="D10586" s="15">
        <f>IFERROR(__xludf.DUMMYFUNCTION("""COMPUTED_VALUE"""),1.049)</f>
        <v>1.049</v>
      </c>
      <c r="E10586" s="16">
        <f>IFERROR(__xludf.DUMMYFUNCTION("""COMPUTED_VALUE"""),68.0)</f>
        <v>68</v>
      </c>
      <c r="F10586" s="19" t="str">
        <f>IFERROR(__xludf.DUMMYFUNCTION("""COMPUTED_VALUE"""),"BLACK")</f>
        <v>BLACK</v>
      </c>
      <c r="G10586" s="20" t="str">
        <f>IFERROR(__xludf.DUMMYFUNCTION("""COMPUTED_VALUE"""),"Uncle Sams Cider (04/04/2023)")</f>
        <v>Uncle Sams Cider (04/04/2023)</v>
      </c>
      <c r="H10586" s="19"/>
    </row>
    <row r="10587">
      <c r="A10587" s="9"/>
      <c r="B10587" s="15"/>
      <c r="C10587" s="9">
        <f>IFERROR(__xludf.DUMMYFUNCTION("""COMPUTED_VALUE"""),45033.0479549652)</f>
        <v>45033.04795</v>
      </c>
      <c r="D10587" s="15">
        <f>IFERROR(__xludf.DUMMYFUNCTION("""COMPUTED_VALUE"""),1.049)</f>
        <v>1.049</v>
      </c>
      <c r="E10587" s="16">
        <f>IFERROR(__xludf.DUMMYFUNCTION("""COMPUTED_VALUE"""),68.0)</f>
        <v>68</v>
      </c>
      <c r="F10587" s="19" t="str">
        <f>IFERROR(__xludf.DUMMYFUNCTION("""COMPUTED_VALUE"""),"BLACK")</f>
        <v>BLACK</v>
      </c>
      <c r="G10587" s="20" t="str">
        <f>IFERROR(__xludf.DUMMYFUNCTION("""COMPUTED_VALUE"""),"Uncle Sams Cider (04/04/2023)")</f>
        <v>Uncle Sams Cider (04/04/2023)</v>
      </c>
      <c r="H10587" s="19"/>
    </row>
    <row r="10588">
      <c r="A10588" s="9"/>
      <c r="B10588" s="15"/>
      <c r="C10588" s="9">
        <f>IFERROR(__xludf.DUMMYFUNCTION("""COMPUTED_VALUE"""),45033.037534537)</f>
        <v>45033.03753</v>
      </c>
      <c r="D10588" s="15">
        <f>IFERROR(__xludf.DUMMYFUNCTION("""COMPUTED_VALUE"""),1.049)</f>
        <v>1.049</v>
      </c>
      <c r="E10588" s="16">
        <f>IFERROR(__xludf.DUMMYFUNCTION("""COMPUTED_VALUE"""),68.0)</f>
        <v>68</v>
      </c>
      <c r="F10588" s="19" t="str">
        <f>IFERROR(__xludf.DUMMYFUNCTION("""COMPUTED_VALUE"""),"BLACK")</f>
        <v>BLACK</v>
      </c>
      <c r="G10588" s="20" t="str">
        <f>IFERROR(__xludf.DUMMYFUNCTION("""COMPUTED_VALUE"""),"Uncle Sams Cider (04/04/2023)")</f>
        <v>Uncle Sams Cider (04/04/2023)</v>
      </c>
      <c r="H10588" s="19"/>
    </row>
    <row r="10589">
      <c r="A10589" s="9"/>
      <c r="B10589" s="15"/>
      <c r="C10589" s="9">
        <f>IFERROR(__xludf.DUMMYFUNCTION("""COMPUTED_VALUE"""),45033.0271016203)</f>
        <v>45033.0271</v>
      </c>
      <c r="D10589" s="15">
        <f>IFERROR(__xludf.DUMMYFUNCTION("""COMPUTED_VALUE"""),1.048)</f>
        <v>1.048</v>
      </c>
      <c r="E10589" s="16">
        <f>IFERROR(__xludf.DUMMYFUNCTION("""COMPUTED_VALUE"""),68.0)</f>
        <v>68</v>
      </c>
      <c r="F10589" s="19" t="str">
        <f>IFERROR(__xludf.DUMMYFUNCTION("""COMPUTED_VALUE"""),"BLACK")</f>
        <v>BLACK</v>
      </c>
      <c r="G10589" s="20" t="str">
        <f>IFERROR(__xludf.DUMMYFUNCTION("""COMPUTED_VALUE"""),"Uncle Sams Cider (04/04/2023)")</f>
        <v>Uncle Sams Cider (04/04/2023)</v>
      </c>
      <c r="H10589" s="19"/>
    </row>
    <row r="10590">
      <c r="A10590" s="9"/>
      <c r="B10590" s="15"/>
      <c r="C10590" s="9">
        <f>IFERROR(__xludf.DUMMYFUNCTION("""COMPUTED_VALUE"""),45033.0166790625)</f>
        <v>45033.01668</v>
      </c>
      <c r="D10590" s="15">
        <f>IFERROR(__xludf.DUMMYFUNCTION("""COMPUTED_VALUE"""),1.049)</f>
        <v>1.049</v>
      </c>
      <c r="E10590" s="16">
        <f>IFERROR(__xludf.DUMMYFUNCTION("""COMPUTED_VALUE"""),68.0)</f>
        <v>68</v>
      </c>
      <c r="F10590" s="19" t="str">
        <f>IFERROR(__xludf.DUMMYFUNCTION("""COMPUTED_VALUE"""),"BLACK")</f>
        <v>BLACK</v>
      </c>
      <c r="G10590" s="20" t="str">
        <f>IFERROR(__xludf.DUMMYFUNCTION("""COMPUTED_VALUE"""),"Uncle Sams Cider (04/04/2023)")</f>
        <v>Uncle Sams Cider (04/04/2023)</v>
      </c>
      <c r="H10590" s="19"/>
    </row>
    <row r="10591">
      <c r="A10591" s="9"/>
      <c r="B10591" s="15"/>
      <c r="C10591" s="9">
        <f>IFERROR(__xludf.DUMMYFUNCTION("""COMPUTED_VALUE"""),45033.0062573148)</f>
        <v>45033.00626</v>
      </c>
      <c r="D10591" s="15">
        <f>IFERROR(__xludf.DUMMYFUNCTION("""COMPUTED_VALUE"""),1.049)</f>
        <v>1.049</v>
      </c>
      <c r="E10591" s="16">
        <f>IFERROR(__xludf.DUMMYFUNCTION("""COMPUTED_VALUE"""),68.0)</f>
        <v>68</v>
      </c>
      <c r="F10591" s="19" t="str">
        <f>IFERROR(__xludf.DUMMYFUNCTION("""COMPUTED_VALUE"""),"BLACK")</f>
        <v>BLACK</v>
      </c>
      <c r="G10591" s="20" t="str">
        <f>IFERROR(__xludf.DUMMYFUNCTION("""COMPUTED_VALUE"""),"Uncle Sams Cider (04/04/2023)")</f>
        <v>Uncle Sams Cider (04/04/2023)</v>
      </c>
      <c r="H10591" s="19"/>
    </row>
    <row r="10592">
      <c r="A10592" s="9"/>
      <c r="B10592" s="15"/>
      <c r="C10592" s="9">
        <f>IFERROR(__xludf.DUMMYFUNCTION("""COMPUTED_VALUE"""),45032.9958338541)</f>
        <v>45032.99583</v>
      </c>
      <c r="D10592" s="15">
        <f>IFERROR(__xludf.DUMMYFUNCTION("""COMPUTED_VALUE"""),1.049)</f>
        <v>1.049</v>
      </c>
      <c r="E10592" s="16">
        <f>IFERROR(__xludf.DUMMYFUNCTION("""COMPUTED_VALUE"""),68.0)</f>
        <v>68</v>
      </c>
      <c r="F10592" s="19" t="str">
        <f>IFERROR(__xludf.DUMMYFUNCTION("""COMPUTED_VALUE"""),"BLACK")</f>
        <v>BLACK</v>
      </c>
      <c r="G10592" s="20" t="str">
        <f>IFERROR(__xludf.DUMMYFUNCTION("""COMPUTED_VALUE"""),"Uncle Sams Cider (04/04/2023)")</f>
        <v>Uncle Sams Cider (04/04/2023)</v>
      </c>
      <c r="H10592" s="19"/>
    </row>
    <row r="10593">
      <c r="A10593" s="9"/>
      <c r="B10593" s="15"/>
      <c r="C10593" s="9">
        <f>IFERROR(__xludf.DUMMYFUNCTION("""COMPUTED_VALUE"""),45032.9854120601)</f>
        <v>45032.98541</v>
      </c>
      <c r="D10593" s="15">
        <f>IFERROR(__xludf.DUMMYFUNCTION("""COMPUTED_VALUE"""),1.049)</f>
        <v>1.049</v>
      </c>
      <c r="E10593" s="16">
        <f>IFERROR(__xludf.DUMMYFUNCTION("""COMPUTED_VALUE"""),68.0)</f>
        <v>68</v>
      </c>
      <c r="F10593" s="19" t="str">
        <f>IFERROR(__xludf.DUMMYFUNCTION("""COMPUTED_VALUE"""),"BLACK")</f>
        <v>BLACK</v>
      </c>
      <c r="G10593" s="20" t="str">
        <f>IFERROR(__xludf.DUMMYFUNCTION("""COMPUTED_VALUE"""),"Uncle Sams Cider (04/04/2023)")</f>
        <v>Uncle Sams Cider (04/04/2023)</v>
      </c>
      <c r="H10593" s="19"/>
    </row>
    <row r="10594">
      <c r="A10594" s="9"/>
      <c r="B10594" s="15"/>
      <c r="C10594" s="9">
        <f>IFERROR(__xludf.DUMMYFUNCTION("""COMPUTED_VALUE"""),45032.9749908449)</f>
        <v>45032.97499</v>
      </c>
      <c r="D10594" s="15">
        <f>IFERROR(__xludf.DUMMYFUNCTION("""COMPUTED_VALUE"""),1.049)</f>
        <v>1.049</v>
      </c>
      <c r="E10594" s="16">
        <f>IFERROR(__xludf.DUMMYFUNCTION("""COMPUTED_VALUE"""),68.0)</f>
        <v>68</v>
      </c>
      <c r="F10594" s="19" t="str">
        <f>IFERROR(__xludf.DUMMYFUNCTION("""COMPUTED_VALUE"""),"BLACK")</f>
        <v>BLACK</v>
      </c>
      <c r="G10594" s="20" t="str">
        <f>IFERROR(__xludf.DUMMYFUNCTION("""COMPUTED_VALUE"""),"Uncle Sams Cider (04/04/2023)")</f>
        <v>Uncle Sams Cider (04/04/2023)</v>
      </c>
      <c r="H10594" s="19"/>
    </row>
    <row r="10595">
      <c r="A10595" s="9"/>
      <c r="B10595" s="15"/>
      <c r="C10595" s="9">
        <f>IFERROR(__xludf.DUMMYFUNCTION("""COMPUTED_VALUE"""),45032.9645705787)</f>
        <v>45032.96457</v>
      </c>
      <c r="D10595" s="15">
        <f>IFERROR(__xludf.DUMMYFUNCTION("""COMPUTED_VALUE"""),1.049)</f>
        <v>1.049</v>
      </c>
      <c r="E10595" s="16">
        <f>IFERROR(__xludf.DUMMYFUNCTION("""COMPUTED_VALUE"""),68.0)</f>
        <v>68</v>
      </c>
      <c r="F10595" s="19" t="str">
        <f>IFERROR(__xludf.DUMMYFUNCTION("""COMPUTED_VALUE"""),"BLACK")</f>
        <v>BLACK</v>
      </c>
      <c r="G10595" s="20" t="str">
        <f>IFERROR(__xludf.DUMMYFUNCTION("""COMPUTED_VALUE"""),"Uncle Sams Cider (04/04/2023)")</f>
        <v>Uncle Sams Cider (04/04/2023)</v>
      </c>
      <c r="H10595" s="19"/>
    </row>
    <row r="10596">
      <c r="A10596" s="9"/>
      <c r="B10596" s="15"/>
      <c r="C10596" s="9">
        <f>IFERROR(__xludf.DUMMYFUNCTION("""COMPUTED_VALUE"""),45032.9541502662)</f>
        <v>45032.95415</v>
      </c>
      <c r="D10596" s="15">
        <f>IFERROR(__xludf.DUMMYFUNCTION("""COMPUTED_VALUE"""),1.049)</f>
        <v>1.049</v>
      </c>
      <c r="E10596" s="16">
        <f>IFERROR(__xludf.DUMMYFUNCTION("""COMPUTED_VALUE"""),68.0)</f>
        <v>68</v>
      </c>
      <c r="F10596" s="19" t="str">
        <f>IFERROR(__xludf.DUMMYFUNCTION("""COMPUTED_VALUE"""),"BLACK")</f>
        <v>BLACK</v>
      </c>
      <c r="G10596" s="20" t="str">
        <f>IFERROR(__xludf.DUMMYFUNCTION("""COMPUTED_VALUE"""),"Uncle Sams Cider (04/04/2023)")</f>
        <v>Uncle Sams Cider (04/04/2023)</v>
      </c>
      <c r="H10596" s="19"/>
    </row>
    <row r="10597">
      <c r="A10597" s="9"/>
      <c r="B10597" s="15"/>
      <c r="C10597" s="9">
        <f>IFERROR(__xludf.DUMMYFUNCTION("""COMPUTED_VALUE"""),45032.943706574)</f>
        <v>45032.94371</v>
      </c>
      <c r="D10597" s="15">
        <f>IFERROR(__xludf.DUMMYFUNCTION("""COMPUTED_VALUE"""),1.049)</f>
        <v>1.049</v>
      </c>
      <c r="E10597" s="16">
        <f>IFERROR(__xludf.DUMMYFUNCTION("""COMPUTED_VALUE"""),68.0)</f>
        <v>68</v>
      </c>
      <c r="F10597" s="19" t="str">
        <f>IFERROR(__xludf.DUMMYFUNCTION("""COMPUTED_VALUE"""),"BLACK")</f>
        <v>BLACK</v>
      </c>
      <c r="G10597" s="20" t="str">
        <f>IFERROR(__xludf.DUMMYFUNCTION("""COMPUTED_VALUE"""),"Uncle Sams Cider (04/04/2023)")</f>
        <v>Uncle Sams Cider (04/04/2023)</v>
      </c>
      <c r="H10597" s="19"/>
    </row>
    <row r="10598">
      <c r="A10598" s="9"/>
      <c r="B10598" s="15"/>
      <c r="C10598" s="9">
        <f>IFERROR(__xludf.DUMMYFUNCTION("""COMPUTED_VALUE"""),45032.9332154513)</f>
        <v>45032.93322</v>
      </c>
      <c r="D10598" s="15">
        <f>IFERROR(__xludf.DUMMYFUNCTION("""COMPUTED_VALUE"""),1.049)</f>
        <v>1.049</v>
      </c>
      <c r="E10598" s="16">
        <f>IFERROR(__xludf.DUMMYFUNCTION("""COMPUTED_VALUE"""),68.0)</f>
        <v>68</v>
      </c>
      <c r="F10598" s="19" t="str">
        <f>IFERROR(__xludf.DUMMYFUNCTION("""COMPUTED_VALUE"""),"BLACK")</f>
        <v>BLACK</v>
      </c>
      <c r="G10598" s="20" t="str">
        <f>IFERROR(__xludf.DUMMYFUNCTION("""COMPUTED_VALUE"""),"Uncle Sams Cider (04/04/2023)")</f>
        <v>Uncle Sams Cider (04/04/2023)</v>
      </c>
      <c r="H10598" s="19"/>
    </row>
    <row r="10599">
      <c r="A10599" s="9"/>
      <c r="B10599" s="15"/>
      <c r="C10599" s="9">
        <f>IFERROR(__xludf.DUMMYFUNCTION("""COMPUTED_VALUE"""),45032.9227931481)</f>
        <v>45032.92279</v>
      </c>
      <c r="D10599" s="15">
        <f>IFERROR(__xludf.DUMMYFUNCTION("""COMPUTED_VALUE"""),1.049)</f>
        <v>1.049</v>
      </c>
      <c r="E10599" s="16">
        <f>IFERROR(__xludf.DUMMYFUNCTION("""COMPUTED_VALUE"""),68.0)</f>
        <v>68</v>
      </c>
      <c r="F10599" s="19" t="str">
        <f>IFERROR(__xludf.DUMMYFUNCTION("""COMPUTED_VALUE"""),"BLACK")</f>
        <v>BLACK</v>
      </c>
      <c r="G10599" s="20" t="str">
        <f>IFERROR(__xludf.DUMMYFUNCTION("""COMPUTED_VALUE"""),"Uncle Sams Cider (04/04/2023)")</f>
        <v>Uncle Sams Cider (04/04/2023)</v>
      </c>
      <c r="H10599" s="19"/>
    </row>
    <row r="10600">
      <c r="A10600" s="9"/>
      <c r="B10600" s="15"/>
      <c r="C10600" s="9">
        <f>IFERROR(__xludf.DUMMYFUNCTION("""COMPUTED_VALUE"""),45032.9123702314)</f>
        <v>45032.91237</v>
      </c>
      <c r="D10600" s="15">
        <f>IFERROR(__xludf.DUMMYFUNCTION("""COMPUTED_VALUE"""),1.049)</f>
        <v>1.049</v>
      </c>
      <c r="E10600" s="16">
        <f>IFERROR(__xludf.DUMMYFUNCTION("""COMPUTED_VALUE"""),68.0)</f>
        <v>68</v>
      </c>
      <c r="F10600" s="19" t="str">
        <f>IFERROR(__xludf.DUMMYFUNCTION("""COMPUTED_VALUE"""),"BLACK")</f>
        <v>BLACK</v>
      </c>
      <c r="G10600" s="20" t="str">
        <f>IFERROR(__xludf.DUMMYFUNCTION("""COMPUTED_VALUE"""),"Uncle Sams Cider (04/04/2023)")</f>
        <v>Uncle Sams Cider (04/04/2023)</v>
      </c>
      <c r="H10600" s="19"/>
    </row>
    <row r="10601">
      <c r="A10601" s="9"/>
      <c r="B10601" s="15"/>
      <c r="C10601" s="9">
        <f>IFERROR(__xludf.DUMMYFUNCTION("""COMPUTED_VALUE"""),45032.9019491666)</f>
        <v>45032.90195</v>
      </c>
      <c r="D10601" s="15">
        <f>IFERROR(__xludf.DUMMYFUNCTION("""COMPUTED_VALUE"""),1.049)</f>
        <v>1.049</v>
      </c>
      <c r="E10601" s="16">
        <f>IFERROR(__xludf.DUMMYFUNCTION("""COMPUTED_VALUE"""),68.0)</f>
        <v>68</v>
      </c>
      <c r="F10601" s="19" t="str">
        <f>IFERROR(__xludf.DUMMYFUNCTION("""COMPUTED_VALUE"""),"BLACK")</f>
        <v>BLACK</v>
      </c>
      <c r="G10601" s="20" t="str">
        <f>IFERROR(__xludf.DUMMYFUNCTION("""COMPUTED_VALUE"""),"Uncle Sams Cider (04/04/2023)")</f>
        <v>Uncle Sams Cider (04/04/2023)</v>
      </c>
      <c r="H10601" s="19"/>
    </row>
    <row r="10602">
      <c r="A10602" s="9"/>
      <c r="B10602" s="15"/>
      <c r="C10602" s="9">
        <f>IFERROR(__xludf.DUMMYFUNCTION("""COMPUTED_VALUE"""),45032.8915282407)</f>
        <v>45032.89153</v>
      </c>
      <c r="D10602" s="15">
        <f>IFERROR(__xludf.DUMMYFUNCTION("""COMPUTED_VALUE"""),1.049)</f>
        <v>1.049</v>
      </c>
      <c r="E10602" s="16">
        <f>IFERROR(__xludf.DUMMYFUNCTION("""COMPUTED_VALUE"""),68.0)</f>
        <v>68</v>
      </c>
      <c r="F10602" s="19" t="str">
        <f>IFERROR(__xludf.DUMMYFUNCTION("""COMPUTED_VALUE"""),"BLACK")</f>
        <v>BLACK</v>
      </c>
      <c r="G10602" s="20" t="str">
        <f>IFERROR(__xludf.DUMMYFUNCTION("""COMPUTED_VALUE"""),"Uncle Sams Cider (04/04/2023)")</f>
        <v>Uncle Sams Cider (04/04/2023)</v>
      </c>
      <c r="H10602" s="19"/>
    </row>
    <row r="10603">
      <c r="A10603" s="9"/>
      <c r="B10603" s="15"/>
      <c r="C10603" s="9">
        <f>IFERROR(__xludf.DUMMYFUNCTION("""COMPUTED_VALUE"""),45032.8811054976)</f>
        <v>45032.88111</v>
      </c>
      <c r="D10603" s="15">
        <f>IFERROR(__xludf.DUMMYFUNCTION("""COMPUTED_VALUE"""),1.049)</f>
        <v>1.049</v>
      </c>
      <c r="E10603" s="16">
        <f>IFERROR(__xludf.DUMMYFUNCTION("""COMPUTED_VALUE"""),68.0)</f>
        <v>68</v>
      </c>
      <c r="F10603" s="19" t="str">
        <f>IFERROR(__xludf.DUMMYFUNCTION("""COMPUTED_VALUE"""),"BLACK")</f>
        <v>BLACK</v>
      </c>
      <c r="G10603" s="20" t="str">
        <f>IFERROR(__xludf.DUMMYFUNCTION("""COMPUTED_VALUE"""),"Uncle Sams Cider (04/04/2023)")</f>
        <v>Uncle Sams Cider (04/04/2023)</v>
      </c>
      <c r="H10603" s="19"/>
    </row>
    <row r="10604">
      <c r="A10604" s="9"/>
      <c r="B10604" s="15"/>
      <c r="C10604" s="9">
        <f>IFERROR(__xludf.DUMMYFUNCTION("""COMPUTED_VALUE"""),45032.8706833333)</f>
        <v>45032.87068</v>
      </c>
      <c r="D10604" s="15">
        <f>IFERROR(__xludf.DUMMYFUNCTION("""COMPUTED_VALUE"""),1.049)</f>
        <v>1.049</v>
      </c>
      <c r="E10604" s="16">
        <f>IFERROR(__xludf.DUMMYFUNCTION("""COMPUTED_VALUE"""),68.0)</f>
        <v>68</v>
      </c>
      <c r="F10604" s="19" t="str">
        <f>IFERROR(__xludf.DUMMYFUNCTION("""COMPUTED_VALUE"""),"BLACK")</f>
        <v>BLACK</v>
      </c>
      <c r="G10604" s="20" t="str">
        <f>IFERROR(__xludf.DUMMYFUNCTION("""COMPUTED_VALUE"""),"Uncle Sams Cider (04/04/2023)")</f>
        <v>Uncle Sams Cider (04/04/2023)</v>
      </c>
      <c r="H10604" s="19"/>
    </row>
    <row r="10605">
      <c r="A10605" s="9"/>
      <c r="B10605" s="15"/>
      <c r="C10605" s="9">
        <f>IFERROR(__xludf.DUMMYFUNCTION("""COMPUTED_VALUE"""),45032.8602511689)</f>
        <v>45032.86025</v>
      </c>
      <c r="D10605" s="15">
        <f>IFERROR(__xludf.DUMMYFUNCTION("""COMPUTED_VALUE"""),1.049)</f>
        <v>1.049</v>
      </c>
      <c r="E10605" s="16">
        <f>IFERROR(__xludf.DUMMYFUNCTION("""COMPUTED_VALUE"""),68.0)</f>
        <v>68</v>
      </c>
      <c r="F10605" s="19" t="str">
        <f>IFERROR(__xludf.DUMMYFUNCTION("""COMPUTED_VALUE"""),"BLACK")</f>
        <v>BLACK</v>
      </c>
      <c r="G10605" s="20" t="str">
        <f>IFERROR(__xludf.DUMMYFUNCTION("""COMPUTED_VALUE"""),"Uncle Sams Cider (04/04/2023)")</f>
        <v>Uncle Sams Cider (04/04/2023)</v>
      </c>
      <c r="H10605" s="19"/>
    </row>
    <row r="10606">
      <c r="A10606" s="9"/>
      <c r="B10606" s="15"/>
      <c r="C10606" s="9">
        <f>IFERROR(__xludf.DUMMYFUNCTION("""COMPUTED_VALUE"""),45032.8498288541)</f>
        <v>45032.84983</v>
      </c>
      <c r="D10606" s="15">
        <f>IFERROR(__xludf.DUMMYFUNCTION("""COMPUTED_VALUE"""),1.049)</f>
        <v>1.049</v>
      </c>
      <c r="E10606" s="16">
        <f>IFERROR(__xludf.DUMMYFUNCTION("""COMPUTED_VALUE"""),68.0)</f>
        <v>68</v>
      </c>
      <c r="F10606" s="19" t="str">
        <f>IFERROR(__xludf.DUMMYFUNCTION("""COMPUTED_VALUE"""),"BLACK")</f>
        <v>BLACK</v>
      </c>
      <c r="G10606" s="20" t="str">
        <f>IFERROR(__xludf.DUMMYFUNCTION("""COMPUTED_VALUE"""),"Uncle Sams Cider (04/04/2023)")</f>
        <v>Uncle Sams Cider (04/04/2023)</v>
      </c>
      <c r="H10606" s="19"/>
    </row>
    <row r="10607">
      <c r="A10607" s="9"/>
      <c r="B10607" s="15"/>
      <c r="C10607" s="9">
        <f>IFERROR(__xludf.DUMMYFUNCTION("""COMPUTED_VALUE"""),45032.839408206)</f>
        <v>45032.83941</v>
      </c>
      <c r="D10607" s="15">
        <f>IFERROR(__xludf.DUMMYFUNCTION("""COMPUTED_VALUE"""),1.049)</f>
        <v>1.049</v>
      </c>
      <c r="E10607" s="16">
        <f>IFERROR(__xludf.DUMMYFUNCTION("""COMPUTED_VALUE"""),68.0)</f>
        <v>68</v>
      </c>
      <c r="F10607" s="19" t="str">
        <f>IFERROR(__xludf.DUMMYFUNCTION("""COMPUTED_VALUE"""),"BLACK")</f>
        <v>BLACK</v>
      </c>
      <c r="G10607" s="20" t="str">
        <f>IFERROR(__xludf.DUMMYFUNCTION("""COMPUTED_VALUE"""),"Uncle Sams Cider (04/04/2023)")</f>
        <v>Uncle Sams Cider (04/04/2023)</v>
      </c>
      <c r="H10607" s="19"/>
    </row>
    <row r="10608">
      <c r="A10608" s="9"/>
      <c r="B10608" s="15"/>
      <c r="C10608" s="9">
        <f>IFERROR(__xludf.DUMMYFUNCTION("""COMPUTED_VALUE"""),45032.8289892939)</f>
        <v>45032.82899</v>
      </c>
      <c r="D10608" s="15">
        <f>IFERROR(__xludf.DUMMYFUNCTION("""COMPUTED_VALUE"""),1.049)</f>
        <v>1.049</v>
      </c>
      <c r="E10608" s="16">
        <f>IFERROR(__xludf.DUMMYFUNCTION("""COMPUTED_VALUE"""),68.0)</f>
        <v>68</v>
      </c>
      <c r="F10608" s="19" t="str">
        <f>IFERROR(__xludf.DUMMYFUNCTION("""COMPUTED_VALUE"""),"BLACK")</f>
        <v>BLACK</v>
      </c>
      <c r="G10608" s="20" t="str">
        <f>IFERROR(__xludf.DUMMYFUNCTION("""COMPUTED_VALUE"""),"Uncle Sams Cider (04/04/2023)")</f>
        <v>Uncle Sams Cider (04/04/2023)</v>
      </c>
      <c r="H10608" s="19"/>
    </row>
    <row r="10609">
      <c r="A10609" s="9"/>
      <c r="B10609" s="15"/>
      <c r="C10609" s="9">
        <f>IFERROR(__xludf.DUMMYFUNCTION("""COMPUTED_VALUE"""),45032.8185464699)</f>
        <v>45032.81855</v>
      </c>
      <c r="D10609" s="15">
        <f>IFERROR(__xludf.DUMMYFUNCTION("""COMPUTED_VALUE"""),1.049)</f>
        <v>1.049</v>
      </c>
      <c r="E10609" s="16">
        <f>IFERROR(__xludf.DUMMYFUNCTION("""COMPUTED_VALUE"""),68.0)</f>
        <v>68</v>
      </c>
      <c r="F10609" s="19" t="str">
        <f>IFERROR(__xludf.DUMMYFUNCTION("""COMPUTED_VALUE"""),"BLACK")</f>
        <v>BLACK</v>
      </c>
      <c r="G10609" s="20" t="str">
        <f>IFERROR(__xludf.DUMMYFUNCTION("""COMPUTED_VALUE"""),"Uncle Sams Cider (04/04/2023)")</f>
        <v>Uncle Sams Cider (04/04/2023)</v>
      </c>
      <c r="H10609" s="19"/>
    </row>
    <row r="10610">
      <c r="A10610" s="9"/>
      <c r="B10610" s="15"/>
      <c r="C10610" s="9">
        <f>IFERROR(__xludf.DUMMYFUNCTION("""COMPUTED_VALUE"""),45032.8081141088)</f>
        <v>45032.80811</v>
      </c>
      <c r="D10610" s="15">
        <f>IFERROR(__xludf.DUMMYFUNCTION("""COMPUTED_VALUE"""),1.049)</f>
        <v>1.049</v>
      </c>
      <c r="E10610" s="16">
        <f>IFERROR(__xludf.DUMMYFUNCTION("""COMPUTED_VALUE"""),68.0)</f>
        <v>68</v>
      </c>
      <c r="F10610" s="19" t="str">
        <f>IFERROR(__xludf.DUMMYFUNCTION("""COMPUTED_VALUE"""),"BLACK")</f>
        <v>BLACK</v>
      </c>
      <c r="G10610" s="20" t="str">
        <f>IFERROR(__xludf.DUMMYFUNCTION("""COMPUTED_VALUE"""),"Uncle Sams Cider (04/04/2023)")</f>
        <v>Uncle Sams Cider (04/04/2023)</v>
      </c>
      <c r="H10610" s="19"/>
    </row>
    <row r="10611">
      <c r="A10611" s="9"/>
      <c r="B10611" s="15"/>
      <c r="C10611" s="9">
        <f>IFERROR(__xludf.DUMMYFUNCTION("""COMPUTED_VALUE"""),45032.7976930439)</f>
        <v>45032.79769</v>
      </c>
      <c r="D10611" s="15">
        <f>IFERROR(__xludf.DUMMYFUNCTION("""COMPUTED_VALUE"""),1.049)</f>
        <v>1.049</v>
      </c>
      <c r="E10611" s="16">
        <f>IFERROR(__xludf.DUMMYFUNCTION("""COMPUTED_VALUE"""),68.0)</f>
        <v>68</v>
      </c>
      <c r="F10611" s="19" t="str">
        <f>IFERROR(__xludf.DUMMYFUNCTION("""COMPUTED_VALUE"""),"BLACK")</f>
        <v>BLACK</v>
      </c>
      <c r="G10611" s="20" t="str">
        <f>IFERROR(__xludf.DUMMYFUNCTION("""COMPUTED_VALUE"""),"Uncle Sams Cider (04/04/2023)")</f>
        <v>Uncle Sams Cider (04/04/2023)</v>
      </c>
      <c r="H10611" s="19"/>
    </row>
    <row r="10612">
      <c r="A10612" s="9"/>
      <c r="B10612" s="15"/>
      <c r="C10612" s="9">
        <f>IFERROR(__xludf.DUMMYFUNCTION("""COMPUTED_VALUE"""),45032.7872494328)</f>
        <v>45032.78725</v>
      </c>
      <c r="D10612" s="15">
        <f>IFERROR(__xludf.DUMMYFUNCTION("""COMPUTED_VALUE"""),1.049)</f>
        <v>1.049</v>
      </c>
      <c r="E10612" s="16">
        <f>IFERROR(__xludf.DUMMYFUNCTION("""COMPUTED_VALUE"""),68.0)</f>
        <v>68</v>
      </c>
      <c r="F10612" s="19" t="str">
        <f>IFERROR(__xludf.DUMMYFUNCTION("""COMPUTED_VALUE"""),"BLACK")</f>
        <v>BLACK</v>
      </c>
      <c r="G10612" s="20" t="str">
        <f>IFERROR(__xludf.DUMMYFUNCTION("""COMPUTED_VALUE"""),"Uncle Sams Cider (04/04/2023)")</f>
        <v>Uncle Sams Cider (04/04/2023)</v>
      </c>
      <c r="H10612" s="19"/>
    </row>
    <row r="10613">
      <c r="A10613" s="9"/>
      <c r="B10613" s="15"/>
      <c r="C10613" s="9">
        <f>IFERROR(__xludf.DUMMYFUNCTION("""COMPUTED_VALUE"""),45032.7768270486)</f>
        <v>45032.77683</v>
      </c>
      <c r="D10613" s="15">
        <f>IFERROR(__xludf.DUMMYFUNCTION("""COMPUTED_VALUE"""),1.049)</f>
        <v>1.049</v>
      </c>
      <c r="E10613" s="16">
        <f>IFERROR(__xludf.DUMMYFUNCTION("""COMPUTED_VALUE"""),68.0)</f>
        <v>68</v>
      </c>
      <c r="F10613" s="19" t="str">
        <f>IFERROR(__xludf.DUMMYFUNCTION("""COMPUTED_VALUE"""),"BLACK")</f>
        <v>BLACK</v>
      </c>
      <c r="G10613" s="20" t="str">
        <f>IFERROR(__xludf.DUMMYFUNCTION("""COMPUTED_VALUE"""),"Uncle Sams Cider (04/04/2023)")</f>
        <v>Uncle Sams Cider (04/04/2023)</v>
      </c>
      <c r="H10613" s="19"/>
    </row>
    <row r="10614">
      <c r="A10614" s="9"/>
      <c r="B10614" s="15"/>
      <c r="C10614" s="9">
        <f>IFERROR(__xludf.DUMMYFUNCTION("""COMPUTED_VALUE"""),45032.7664061574)</f>
        <v>45032.76641</v>
      </c>
      <c r="D10614" s="15">
        <f>IFERROR(__xludf.DUMMYFUNCTION("""COMPUTED_VALUE"""),1.049)</f>
        <v>1.049</v>
      </c>
      <c r="E10614" s="16">
        <f>IFERROR(__xludf.DUMMYFUNCTION("""COMPUTED_VALUE"""),68.0)</f>
        <v>68</v>
      </c>
      <c r="F10614" s="19" t="str">
        <f>IFERROR(__xludf.DUMMYFUNCTION("""COMPUTED_VALUE"""),"BLACK")</f>
        <v>BLACK</v>
      </c>
      <c r="G10614" s="20" t="str">
        <f>IFERROR(__xludf.DUMMYFUNCTION("""COMPUTED_VALUE"""),"Uncle Sams Cider (04/04/2023)")</f>
        <v>Uncle Sams Cider (04/04/2023)</v>
      </c>
      <c r="H10614" s="19"/>
    </row>
    <row r="10615">
      <c r="A10615" s="9"/>
      <c r="B10615" s="15"/>
      <c r="C10615" s="9">
        <f>IFERROR(__xludf.DUMMYFUNCTION("""COMPUTED_VALUE"""),45032.755971412)</f>
        <v>45032.75597</v>
      </c>
      <c r="D10615" s="15">
        <f>IFERROR(__xludf.DUMMYFUNCTION("""COMPUTED_VALUE"""),1.049)</f>
        <v>1.049</v>
      </c>
      <c r="E10615" s="16">
        <f>IFERROR(__xludf.DUMMYFUNCTION("""COMPUTED_VALUE"""),68.0)</f>
        <v>68</v>
      </c>
      <c r="F10615" s="19" t="str">
        <f>IFERROR(__xludf.DUMMYFUNCTION("""COMPUTED_VALUE"""),"BLACK")</f>
        <v>BLACK</v>
      </c>
      <c r="G10615" s="20" t="str">
        <f>IFERROR(__xludf.DUMMYFUNCTION("""COMPUTED_VALUE"""),"Uncle Sams Cider (04/04/2023)")</f>
        <v>Uncle Sams Cider (04/04/2023)</v>
      </c>
      <c r="H10615" s="19"/>
    </row>
    <row r="10616">
      <c r="A10616" s="9"/>
      <c r="B10616" s="15"/>
      <c r="C10616" s="9">
        <f>IFERROR(__xludf.DUMMYFUNCTION("""COMPUTED_VALUE"""),45032.7455379629)</f>
        <v>45032.74554</v>
      </c>
      <c r="D10616" s="15">
        <f>IFERROR(__xludf.DUMMYFUNCTION("""COMPUTED_VALUE"""),1.049)</f>
        <v>1.049</v>
      </c>
      <c r="E10616" s="16">
        <f>IFERROR(__xludf.DUMMYFUNCTION("""COMPUTED_VALUE"""),68.0)</f>
        <v>68</v>
      </c>
      <c r="F10616" s="19" t="str">
        <f>IFERROR(__xludf.DUMMYFUNCTION("""COMPUTED_VALUE"""),"BLACK")</f>
        <v>BLACK</v>
      </c>
      <c r="G10616" s="20" t="str">
        <f>IFERROR(__xludf.DUMMYFUNCTION("""COMPUTED_VALUE"""),"Uncle Sams Cider (04/04/2023)")</f>
        <v>Uncle Sams Cider (04/04/2023)</v>
      </c>
      <c r="H10616" s="19"/>
    </row>
    <row r="10617">
      <c r="A10617" s="9"/>
      <c r="B10617" s="15"/>
      <c r="C10617" s="9">
        <f>IFERROR(__xludf.DUMMYFUNCTION("""COMPUTED_VALUE"""),45032.7351056944)</f>
        <v>45032.73511</v>
      </c>
      <c r="D10617" s="15">
        <f>IFERROR(__xludf.DUMMYFUNCTION("""COMPUTED_VALUE"""),1.049)</f>
        <v>1.049</v>
      </c>
      <c r="E10617" s="16">
        <f>IFERROR(__xludf.DUMMYFUNCTION("""COMPUTED_VALUE"""),68.0)</f>
        <v>68</v>
      </c>
      <c r="F10617" s="19" t="str">
        <f>IFERROR(__xludf.DUMMYFUNCTION("""COMPUTED_VALUE"""),"BLACK")</f>
        <v>BLACK</v>
      </c>
      <c r="G10617" s="20" t="str">
        <f>IFERROR(__xludf.DUMMYFUNCTION("""COMPUTED_VALUE"""),"Uncle Sams Cider (04/04/2023)")</f>
        <v>Uncle Sams Cider (04/04/2023)</v>
      </c>
      <c r="H10617" s="19"/>
    </row>
    <row r="10618">
      <c r="A10618" s="9"/>
      <c r="B10618" s="15"/>
      <c r="C10618" s="9">
        <f>IFERROR(__xludf.DUMMYFUNCTION("""COMPUTED_VALUE"""),45032.7246852199)</f>
        <v>45032.72469</v>
      </c>
      <c r="D10618" s="15">
        <f>IFERROR(__xludf.DUMMYFUNCTION("""COMPUTED_VALUE"""),1.049)</f>
        <v>1.049</v>
      </c>
      <c r="E10618" s="16">
        <f>IFERROR(__xludf.DUMMYFUNCTION("""COMPUTED_VALUE"""),68.0)</f>
        <v>68</v>
      </c>
      <c r="F10618" s="19" t="str">
        <f>IFERROR(__xludf.DUMMYFUNCTION("""COMPUTED_VALUE"""),"BLACK")</f>
        <v>BLACK</v>
      </c>
      <c r="G10618" s="20" t="str">
        <f>IFERROR(__xludf.DUMMYFUNCTION("""COMPUTED_VALUE"""),"Uncle Sams Cider (04/04/2023)")</f>
        <v>Uncle Sams Cider (04/04/2023)</v>
      </c>
      <c r="H10618" s="19"/>
    </row>
    <row r="10619">
      <c r="A10619" s="9"/>
      <c r="B10619" s="15"/>
      <c r="C10619" s="9">
        <f>IFERROR(__xludf.DUMMYFUNCTION("""COMPUTED_VALUE"""),45032.7142635185)</f>
        <v>45032.71426</v>
      </c>
      <c r="D10619" s="15">
        <f>IFERROR(__xludf.DUMMYFUNCTION("""COMPUTED_VALUE"""),1.049)</f>
        <v>1.049</v>
      </c>
      <c r="E10619" s="16">
        <f>IFERROR(__xludf.DUMMYFUNCTION("""COMPUTED_VALUE"""),68.0)</f>
        <v>68</v>
      </c>
      <c r="F10619" s="19" t="str">
        <f>IFERROR(__xludf.DUMMYFUNCTION("""COMPUTED_VALUE"""),"BLACK")</f>
        <v>BLACK</v>
      </c>
      <c r="G10619" s="20" t="str">
        <f>IFERROR(__xludf.DUMMYFUNCTION("""COMPUTED_VALUE"""),"Uncle Sams Cider (04/04/2023)")</f>
        <v>Uncle Sams Cider (04/04/2023)</v>
      </c>
      <c r="H10619" s="19"/>
    </row>
    <row r="10620">
      <c r="A10620" s="9"/>
      <c r="B10620" s="15"/>
      <c r="C10620" s="9">
        <f>IFERROR(__xludf.DUMMYFUNCTION("""COMPUTED_VALUE"""),45032.7038435069)</f>
        <v>45032.70384</v>
      </c>
      <c r="D10620" s="15">
        <f>IFERROR(__xludf.DUMMYFUNCTION("""COMPUTED_VALUE"""),1.05)</f>
        <v>1.05</v>
      </c>
      <c r="E10620" s="16">
        <f>IFERROR(__xludf.DUMMYFUNCTION("""COMPUTED_VALUE"""),68.0)</f>
        <v>68</v>
      </c>
      <c r="F10620" s="19" t="str">
        <f>IFERROR(__xludf.DUMMYFUNCTION("""COMPUTED_VALUE"""),"BLACK")</f>
        <v>BLACK</v>
      </c>
      <c r="G10620" s="20" t="str">
        <f>IFERROR(__xludf.DUMMYFUNCTION("""COMPUTED_VALUE"""),"Uncle Sams Cider (04/04/2023)")</f>
        <v>Uncle Sams Cider (04/04/2023)</v>
      </c>
      <c r="H10620" s="19"/>
    </row>
    <row r="10621">
      <c r="A10621" s="9"/>
      <c r="B10621" s="15"/>
      <c r="C10621" s="9">
        <f>IFERROR(__xludf.DUMMYFUNCTION("""COMPUTED_VALUE"""),45032.6934222801)</f>
        <v>45032.69342</v>
      </c>
      <c r="D10621" s="15">
        <f>IFERROR(__xludf.DUMMYFUNCTION("""COMPUTED_VALUE"""),1.05)</f>
        <v>1.05</v>
      </c>
      <c r="E10621" s="16">
        <f>IFERROR(__xludf.DUMMYFUNCTION("""COMPUTED_VALUE"""),68.0)</f>
        <v>68</v>
      </c>
      <c r="F10621" s="19" t="str">
        <f>IFERROR(__xludf.DUMMYFUNCTION("""COMPUTED_VALUE"""),"BLACK")</f>
        <v>BLACK</v>
      </c>
      <c r="G10621" s="20" t="str">
        <f>IFERROR(__xludf.DUMMYFUNCTION("""COMPUTED_VALUE"""),"Uncle Sams Cider (04/04/2023)")</f>
        <v>Uncle Sams Cider (04/04/2023)</v>
      </c>
      <c r="H10621" s="19"/>
    </row>
    <row r="10622">
      <c r="A10622" s="9"/>
      <c r="B10622" s="15"/>
      <c r="C10622" s="9">
        <f>IFERROR(__xludf.DUMMYFUNCTION("""COMPUTED_VALUE"""),45032.6830023032)</f>
        <v>45032.683</v>
      </c>
      <c r="D10622" s="15">
        <f>IFERROR(__xludf.DUMMYFUNCTION("""COMPUTED_VALUE"""),1.049)</f>
        <v>1.049</v>
      </c>
      <c r="E10622" s="16">
        <f>IFERROR(__xludf.DUMMYFUNCTION("""COMPUTED_VALUE"""),68.0)</f>
        <v>68</v>
      </c>
      <c r="F10622" s="19" t="str">
        <f>IFERROR(__xludf.DUMMYFUNCTION("""COMPUTED_VALUE"""),"BLACK")</f>
        <v>BLACK</v>
      </c>
      <c r="G10622" s="20" t="str">
        <f>IFERROR(__xludf.DUMMYFUNCTION("""COMPUTED_VALUE"""),"Uncle Sams Cider (04/04/2023)")</f>
        <v>Uncle Sams Cider (04/04/2023)</v>
      </c>
      <c r="H10622" s="19"/>
    </row>
    <row r="10623">
      <c r="A10623" s="9"/>
      <c r="B10623" s="15"/>
      <c r="C10623" s="9">
        <f>IFERROR(__xludf.DUMMYFUNCTION("""COMPUTED_VALUE"""),45032.672582662)</f>
        <v>45032.67258</v>
      </c>
      <c r="D10623" s="15">
        <f>IFERROR(__xludf.DUMMYFUNCTION("""COMPUTED_VALUE"""),1.05)</f>
        <v>1.05</v>
      </c>
      <c r="E10623" s="16">
        <f>IFERROR(__xludf.DUMMYFUNCTION("""COMPUTED_VALUE"""),68.0)</f>
        <v>68</v>
      </c>
      <c r="F10623" s="19" t="str">
        <f>IFERROR(__xludf.DUMMYFUNCTION("""COMPUTED_VALUE"""),"BLACK")</f>
        <v>BLACK</v>
      </c>
      <c r="G10623" s="20" t="str">
        <f>IFERROR(__xludf.DUMMYFUNCTION("""COMPUTED_VALUE"""),"Uncle Sams Cider (04/04/2023)")</f>
        <v>Uncle Sams Cider (04/04/2023)</v>
      </c>
      <c r="H10623" s="19"/>
    </row>
    <row r="10624">
      <c r="A10624" s="9"/>
      <c r="B10624" s="15"/>
      <c r="C10624" s="9">
        <f>IFERROR(__xludf.DUMMYFUNCTION("""COMPUTED_VALUE"""),45032.6621614467)</f>
        <v>45032.66216</v>
      </c>
      <c r="D10624" s="15">
        <f>IFERROR(__xludf.DUMMYFUNCTION("""COMPUTED_VALUE"""),1.05)</f>
        <v>1.05</v>
      </c>
      <c r="E10624" s="16">
        <f>IFERROR(__xludf.DUMMYFUNCTION("""COMPUTED_VALUE"""),68.0)</f>
        <v>68</v>
      </c>
      <c r="F10624" s="19" t="str">
        <f>IFERROR(__xludf.DUMMYFUNCTION("""COMPUTED_VALUE"""),"BLACK")</f>
        <v>BLACK</v>
      </c>
      <c r="G10624" s="20" t="str">
        <f>IFERROR(__xludf.DUMMYFUNCTION("""COMPUTED_VALUE"""),"Uncle Sams Cider (04/04/2023)")</f>
        <v>Uncle Sams Cider (04/04/2023)</v>
      </c>
      <c r="H10624" s="19"/>
    </row>
    <row r="10625">
      <c r="A10625" s="9"/>
      <c r="B10625" s="15"/>
      <c r="C10625" s="9">
        <f>IFERROR(__xludf.DUMMYFUNCTION("""COMPUTED_VALUE"""),45032.6517419213)</f>
        <v>45032.65174</v>
      </c>
      <c r="D10625" s="15">
        <f>IFERROR(__xludf.DUMMYFUNCTION("""COMPUTED_VALUE"""),1.05)</f>
        <v>1.05</v>
      </c>
      <c r="E10625" s="16">
        <f>IFERROR(__xludf.DUMMYFUNCTION("""COMPUTED_VALUE"""),68.0)</f>
        <v>68</v>
      </c>
      <c r="F10625" s="19" t="str">
        <f>IFERROR(__xludf.DUMMYFUNCTION("""COMPUTED_VALUE"""),"BLACK")</f>
        <v>BLACK</v>
      </c>
      <c r="G10625" s="20" t="str">
        <f>IFERROR(__xludf.DUMMYFUNCTION("""COMPUTED_VALUE"""),"Uncle Sams Cider (04/04/2023)")</f>
        <v>Uncle Sams Cider (04/04/2023)</v>
      </c>
      <c r="H10625" s="19"/>
    </row>
    <row r="10626">
      <c r="A10626" s="9"/>
      <c r="B10626" s="15"/>
      <c r="C10626" s="9">
        <f>IFERROR(__xludf.DUMMYFUNCTION("""COMPUTED_VALUE"""),45032.6413214351)</f>
        <v>45032.64132</v>
      </c>
      <c r="D10626" s="15">
        <f>IFERROR(__xludf.DUMMYFUNCTION("""COMPUTED_VALUE"""),1.05)</f>
        <v>1.05</v>
      </c>
      <c r="E10626" s="16">
        <f>IFERROR(__xludf.DUMMYFUNCTION("""COMPUTED_VALUE"""),68.0)</f>
        <v>68</v>
      </c>
      <c r="F10626" s="19" t="str">
        <f>IFERROR(__xludf.DUMMYFUNCTION("""COMPUTED_VALUE"""),"BLACK")</f>
        <v>BLACK</v>
      </c>
      <c r="G10626" s="20" t="str">
        <f>IFERROR(__xludf.DUMMYFUNCTION("""COMPUTED_VALUE"""),"Uncle Sams Cider (04/04/2023)")</f>
        <v>Uncle Sams Cider (04/04/2023)</v>
      </c>
      <c r="H10626" s="19"/>
    </row>
    <row r="10627">
      <c r="A10627" s="9"/>
      <c r="B10627" s="15"/>
      <c r="C10627" s="9">
        <f>IFERROR(__xludf.DUMMYFUNCTION("""COMPUTED_VALUE"""),45032.6309008796)</f>
        <v>45032.6309</v>
      </c>
      <c r="D10627" s="15">
        <f>IFERROR(__xludf.DUMMYFUNCTION("""COMPUTED_VALUE"""),1.05)</f>
        <v>1.05</v>
      </c>
      <c r="E10627" s="16">
        <f>IFERROR(__xludf.DUMMYFUNCTION("""COMPUTED_VALUE"""),68.0)</f>
        <v>68</v>
      </c>
      <c r="F10627" s="19" t="str">
        <f>IFERROR(__xludf.DUMMYFUNCTION("""COMPUTED_VALUE"""),"BLACK")</f>
        <v>BLACK</v>
      </c>
      <c r="G10627" s="20" t="str">
        <f>IFERROR(__xludf.DUMMYFUNCTION("""COMPUTED_VALUE"""),"Uncle Sams Cider (04/04/2023)")</f>
        <v>Uncle Sams Cider (04/04/2023)</v>
      </c>
      <c r="H10627" s="19"/>
    </row>
    <row r="10628">
      <c r="A10628" s="9"/>
      <c r="B10628" s="15"/>
      <c r="C10628" s="9">
        <f>IFERROR(__xludf.DUMMYFUNCTION("""COMPUTED_VALUE"""),45032.6204675926)</f>
        <v>45032.62047</v>
      </c>
      <c r="D10628" s="15">
        <f>IFERROR(__xludf.DUMMYFUNCTION("""COMPUTED_VALUE"""),1.05)</f>
        <v>1.05</v>
      </c>
      <c r="E10628" s="16">
        <f>IFERROR(__xludf.DUMMYFUNCTION("""COMPUTED_VALUE"""),68.0)</f>
        <v>68</v>
      </c>
      <c r="F10628" s="19" t="str">
        <f>IFERROR(__xludf.DUMMYFUNCTION("""COMPUTED_VALUE"""),"BLACK")</f>
        <v>BLACK</v>
      </c>
      <c r="G10628" s="20" t="str">
        <f>IFERROR(__xludf.DUMMYFUNCTION("""COMPUTED_VALUE"""),"Uncle Sams Cider (04/04/2023)")</f>
        <v>Uncle Sams Cider (04/04/2023)</v>
      </c>
      <c r="H10628" s="19"/>
    </row>
    <row r="10629">
      <c r="A10629" s="9"/>
      <c r="B10629" s="15"/>
      <c r="C10629" s="9">
        <f>IFERROR(__xludf.DUMMYFUNCTION("""COMPUTED_VALUE"""),45032.6100460879)</f>
        <v>45032.61005</v>
      </c>
      <c r="D10629" s="15">
        <f>IFERROR(__xludf.DUMMYFUNCTION("""COMPUTED_VALUE"""),1.05)</f>
        <v>1.05</v>
      </c>
      <c r="E10629" s="16">
        <f>IFERROR(__xludf.DUMMYFUNCTION("""COMPUTED_VALUE"""),68.0)</f>
        <v>68</v>
      </c>
      <c r="F10629" s="19" t="str">
        <f>IFERROR(__xludf.DUMMYFUNCTION("""COMPUTED_VALUE"""),"BLACK")</f>
        <v>BLACK</v>
      </c>
      <c r="G10629" s="20" t="str">
        <f>IFERROR(__xludf.DUMMYFUNCTION("""COMPUTED_VALUE"""),"Uncle Sams Cider (04/04/2023)")</f>
        <v>Uncle Sams Cider (04/04/2023)</v>
      </c>
      <c r="H10629" s="19"/>
    </row>
    <row r="10630">
      <c r="A10630" s="9"/>
      <c r="B10630" s="15"/>
      <c r="C10630" s="9">
        <f>IFERROR(__xludf.DUMMYFUNCTION("""COMPUTED_VALUE"""),45032.5996275231)</f>
        <v>45032.59963</v>
      </c>
      <c r="D10630" s="15">
        <f>IFERROR(__xludf.DUMMYFUNCTION("""COMPUTED_VALUE"""),1.05)</f>
        <v>1.05</v>
      </c>
      <c r="E10630" s="16">
        <f>IFERROR(__xludf.DUMMYFUNCTION("""COMPUTED_VALUE"""),68.0)</f>
        <v>68</v>
      </c>
      <c r="F10630" s="19" t="str">
        <f>IFERROR(__xludf.DUMMYFUNCTION("""COMPUTED_VALUE"""),"BLACK")</f>
        <v>BLACK</v>
      </c>
      <c r="G10630" s="20" t="str">
        <f>IFERROR(__xludf.DUMMYFUNCTION("""COMPUTED_VALUE"""),"Uncle Sams Cider (04/04/2023)")</f>
        <v>Uncle Sams Cider (04/04/2023)</v>
      </c>
      <c r="H10630" s="19"/>
    </row>
    <row r="10631">
      <c r="A10631" s="9"/>
      <c r="B10631" s="15"/>
      <c r="C10631" s="9">
        <f>IFERROR(__xludf.DUMMYFUNCTION("""COMPUTED_VALUE"""),45032.5892061921)</f>
        <v>45032.58921</v>
      </c>
      <c r="D10631" s="15">
        <f>IFERROR(__xludf.DUMMYFUNCTION("""COMPUTED_VALUE"""),1.05)</f>
        <v>1.05</v>
      </c>
      <c r="E10631" s="16">
        <f>IFERROR(__xludf.DUMMYFUNCTION("""COMPUTED_VALUE"""),68.0)</f>
        <v>68</v>
      </c>
      <c r="F10631" s="19" t="str">
        <f>IFERROR(__xludf.DUMMYFUNCTION("""COMPUTED_VALUE"""),"BLACK")</f>
        <v>BLACK</v>
      </c>
      <c r="G10631" s="20" t="str">
        <f>IFERROR(__xludf.DUMMYFUNCTION("""COMPUTED_VALUE"""),"Uncle Sams Cider (04/04/2023)")</f>
        <v>Uncle Sams Cider (04/04/2023)</v>
      </c>
      <c r="H10631" s="19"/>
    </row>
    <row r="10632">
      <c r="A10632" s="9"/>
      <c r="B10632" s="15"/>
      <c r="C10632" s="9">
        <f>IFERROR(__xludf.DUMMYFUNCTION("""COMPUTED_VALUE"""),45032.5787853009)</f>
        <v>45032.57879</v>
      </c>
      <c r="D10632" s="15">
        <f>IFERROR(__xludf.DUMMYFUNCTION("""COMPUTED_VALUE"""),1.05)</f>
        <v>1.05</v>
      </c>
      <c r="E10632" s="16">
        <f>IFERROR(__xludf.DUMMYFUNCTION("""COMPUTED_VALUE"""),68.0)</f>
        <v>68</v>
      </c>
      <c r="F10632" s="19" t="str">
        <f>IFERROR(__xludf.DUMMYFUNCTION("""COMPUTED_VALUE"""),"BLACK")</f>
        <v>BLACK</v>
      </c>
      <c r="G10632" s="20" t="str">
        <f>IFERROR(__xludf.DUMMYFUNCTION("""COMPUTED_VALUE"""),"Uncle Sams Cider (04/04/2023)")</f>
        <v>Uncle Sams Cider (04/04/2023)</v>
      </c>
      <c r="H10632" s="19"/>
    </row>
    <row r="10633">
      <c r="A10633" s="9"/>
      <c r="B10633" s="15"/>
      <c r="C10633" s="9">
        <f>IFERROR(__xludf.DUMMYFUNCTION("""COMPUTED_VALUE"""),45032.5683646759)</f>
        <v>45032.56836</v>
      </c>
      <c r="D10633" s="15">
        <f>IFERROR(__xludf.DUMMYFUNCTION("""COMPUTED_VALUE"""),1.05)</f>
        <v>1.05</v>
      </c>
      <c r="E10633" s="16">
        <f>IFERROR(__xludf.DUMMYFUNCTION("""COMPUTED_VALUE"""),68.0)</f>
        <v>68</v>
      </c>
      <c r="F10633" s="19" t="str">
        <f>IFERROR(__xludf.DUMMYFUNCTION("""COMPUTED_VALUE"""),"BLACK")</f>
        <v>BLACK</v>
      </c>
      <c r="G10633" s="20" t="str">
        <f>IFERROR(__xludf.DUMMYFUNCTION("""COMPUTED_VALUE"""),"Uncle Sams Cider (04/04/2023)")</f>
        <v>Uncle Sams Cider (04/04/2023)</v>
      </c>
      <c r="H10633" s="19"/>
    </row>
    <row r="10634">
      <c r="A10634" s="9"/>
      <c r="B10634" s="15"/>
      <c r="C10634" s="9">
        <f>IFERROR(__xludf.DUMMYFUNCTION("""COMPUTED_VALUE"""),45032.5579441088)</f>
        <v>45032.55794</v>
      </c>
      <c r="D10634" s="15">
        <f>IFERROR(__xludf.DUMMYFUNCTION("""COMPUTED_VALUE"""),1.05)</f>
        <v>1.05</v>
      </c>
      <c r="E10634" s="16">
        <f>IFERROR(__xludf.DUMMYFUNCTION("""COMPUTED_VALUE"""),68.0)</f>
        <v>68</v>
      </c>
      <c r="F10634" s="19" t="str">
        <f>IFERROR(__xludf.DUMMYFUNCTION("""COMPUTED_VALUE"""),"BLACK")</f>
        <v>BLACK</v>
      </c>
      <c r="G10634" s="20" t="str">
        <f>IFERROR(__xludf.DUMMYFUNCTION("""COMPUTED_VALUE"""),"Uncle Sams Cider (04/04/2023)")</f>
        <v>Uncle Sams Cider (04/04/2023)</v>
      </c>
      <c r="H10634" s="19"/>
    </row>
    <row r="10635">
      <c r="A10635" s="9"/>
      <c r="B10635" s="15"/>
      <c r="C10635" s="9">
        <f>IFERROR(__xludf.DUMMYFUNCTION("""COMPUTED_VALUE"""),45032.547500324)</f>
        <v>45032.5475</v>
      </c>
      <c r="D10635" s="15">
        <f>IFERROR(__xludf.DUMMYFUNCTION("""COMPUTED_VALUE"""),1.05)</f>
        <v>1.05</v>
      </c>
      <c r="E10635" s="16">
        <f>IFERROR(__xludf.DUMMYFUNCTION("""COMPUTED_VALUE"""),68.0)</f>
        <v>68</v>
      </c>
      <c r="F10635" s="19" t="str">
        <f>IFERROR(__xludf.DUMMYFUNCTION("""COMPUTED_VALUE"""),"BLACK")</f>
        <v>BLACK</v>
      </c>
      <c r="G10635" s="20" t="str">
        <f>IFERROR(__xludf.DUMMYFUNCTION("""COMPUTED_VALUE"""),"Uncle Sams Cider (04/04/2023)")</f>
        <v>Uncle Sams Cider (04/04/2023)</v>
      </c>
      <c r="H10635" s="19"/>
    </row>
    <row r="10636">
      <c r="A10636" s="9"/>
      <c r="B10636" s="15"/>
      <c r="C10636" s="9">
        <f>IFERROR(__xludf.DUMMYFUNCTION("""COMPUTED_VALUE"""),45032.5370786689)</f>
        <v>45032.53708</v>
      </c>
      <c r="D10636" s="15">
        <f>IFERROR(__xludf.DUMMYFUNCTION("""COMPUTED_VALUE"""),1.05)</f>
        <v>1.05</v>
      </c>
      <c r="E10636" s="16">
        <f>IFERROR(__xludf.DUMMYFUNCTION("""COMPUTED_VALUE"""),68.0)</f>
        <v>68</v>
      </c>
      <c r="F10636" s="19" t="str">
        <f>IFERROR(__xludf.DUMMYFUNCTION("""COMPUTED_VALUE"""),"BLACK")</f>
        <v>BLACK</v>
      </c>
      <c r="G10636" s="20" t="str">
        <f>IFERROR(__xludf.DUMMYFUNCTION("""COMPUTED_VALUE"""),"Uncle Sams Cider (04/04/2023)")</f>
        <v>Uncle Sams Cider (04/04/2023)</v>
      </c>
      <c r="H10636" s="19"/>
    </row>
    <row r="10637">
      <c r="A10637" s="9"/>
      <c r="B10637" s="15"/>
      <c r="C10637" s="9">
        <f>IFERROR(__xludf.DUMMYFUNCTION("""COMPUTED_VALUE"""),45032.5266569907)</f>
        <v>45032.52666</v>
      </c>
      <c r="D10637" s="15">
        <f>IFERROR(__xludf.DUMMYFUNCTION("""COMPUTED_VALUE"""),1.05)</f>
        <v>1.05</v>
      </c>
      <c r="E10637" s="16">
        <f>IFERROR(__xludf.DUMMYFUNCTION("""COMPUTED_VALUE"""),68.0)</f>
        <v>68</v>
      </c>
      <c r="F10637" s="19" t="str">
        <f>IFERROR(__xludf.DUMMYFUNCTION("""COMPUTED_VALUE"""),"BLACK")</f>
        <v>BLACK</v>
      </c>
      <c r="G10637" s="20" t="str">
        <f>IFERROR(__xludf.DUMMYFUNCTION("""COMPUTED_VALUE"""),"Uncle Sams Cider (04/04/2023)")</f>
        <v>Uncle Sams Cider (04/04/2023)</v>
      </c>
      <c r="H10637" s="19"/>
    </row>
    <row r="10638">
      <c r="A10638" s="9"/>
      <c r="B10638" s="15"/>
      <c r="C10638" s="9">
        <f>IFERROR(__xludf.DUMMYFUNCTION("""COMPUTED_VALUE"""),45032.5162239583)</f>
        <v>45032.51622</v>
      </c>
      <c r="D10638" s="15">
        <f>IFERROR(__xludf.DUMMYFUNCTION("""COMPUTED_VALUE"""),1.05)</f>
        <v>1.05</v>
      </c>
      <c r="E10638" s="16">
        <f>IFERROR(__xludf.DUMMYFUNCTION("""COMPUTED_VALUE"""),68.0)</f>
        <v>68</v>
      </c>
      <c r="F10638" s="19" t="str">
        <f>IFERROR(__xludf.DUMMYFUNCTION("""COMPUTED_VALUE"""),"BLACK")</f>
        <v>BLACK</v>
      </c>
      <c r="G10638" s="20" t="str">
        <f>IFERROR(__xludf.DUMMYFUNCTION("""COMPUTED_VALUE"""),"Uncle Sams Cider (04/04/2023)")</f>
        <v>Uncle Sams Cider (04/04/2023)</v>
      </c>
      <c r="H10638" s="19"/>
    </row>
    <row r="10639">
      <c r="A10639" s="9"/>
      <c r="B10639" s="15"/>
      <c r="C10639" s="9">
        <f>IFERROR(__xludf.DUMMYFUNCTION("""COMPUTED_VALUE"""),45032.5058025694)</f>
        <v>45032.5058</v>
      </c>
      <c r="D10639" s="15">
        <f>IFERROR(__xludf.DUMMYFUNCTION("""COMPUTED_VALUE"""),1.05)</f>
        <v>1.05</v>
      </c>
      <c r="E10639" s="16">
        <f>IFERROR(__xludf.DUMMYFUNCTION("""COMPUTED_VALUE"""),68.0)</f>
        <v>68</v>
      </c>
      <c r="F10639" s="19" t="str">
        <f>IFERROR(__xludf.DUMMYFUNCTION("""COMPUTED_VALUE"""),"BLACK")</f>
        <v>BLACK</v>
      </c>
      <c r="G10639" s="20" t="str">
        <f>IFERROR(__xludf.DUMMYFUNCTION("""COMPUTED_VALUE"""),"Uncle Sams Cider (04/04/2023)")</f>
        <v>Uncle Sams Cider (04/04/2023)</v>
      </c>
      <c r="H10639" s="19"/>
    </row>
    <row r="10640">
      <c r="A10640" s="9"/>
      <c r="B10640" s="15"/>
      <c r="C10640" s="9">
        <f>IFERROR(__xludf.DUMMYFUNCTION("""COMPUTED_VALUE"""),45032.4953809027)</f>
        <v>45032.49538</v>
      </c>
      <c r="D10640" s="15">
        <f>IFERROR(__xludf.DUMMYFUNCTION("""COMPUTED_VALUE"""),1.05)</f>
        <v>1.05</v>
      </c>
      <c r="E10640" s="16">
        <f>IFERROR(__xludf.DUMMYFUNCTION("""COMPUTED_VALUE"""),68.0)</f>
        <v>68</v>
      </c>
      <c r="F10640" s="19" t="str">
        <f>IFERROR(__xludf.DUMMYFUNCTION("""COMPUTED_VALUE"""),"BLACK")</f>
        <v>BLACK</v>
      </c>
      <c r="G10640" s="20" t="str">
        <f>IFERROR(__xludf.DUMMYFUNCTION("""COMPUTED_VALUE"""),"Uncle Sams Cider (04/04/2023)")</f>
        <v>Uncle Sams Cider (04/04/2023)</v>
      </c>
      <c r="H10640" s="19"/>
    </row>
    <row r="10641">
      <c r="A10641" s="9"/>
      <c r="B10641" s="15"/>
      <c r="C10641" s="9">
        <f>IFERROR(__xludf.DUMMYFUNCTION("""COMPUTED_VALUE"""),45032.4849613078)</f>
        <v>45032.48496</v>
      </c>
      <c r="D10641" s="15">
        <f>IFERROR(__xludf.DUMMYFUNCTION("""COMPUTED_VALUE"""),1.05)</f>
        <v>1.05</v>
      </c>
      <c r="E10641" s="16">
        <f>IFERROR(__xludf.DUMMYFUNCTION("""COMPUTED_VALUE"""),68.0)</f>
        <v>68</v>
      </c>
      <c r="F10641" s="19" t="str">
        <f>IFERROR(__xludf.DUMMYFUNCTION("""COMPUTED_VALUE"""),"BLACK")</f>
        <v>BLACK</v>
      </c>
      <c r="G10641" s="20" t="str">
        <f>IFERROR(__xludf.DUMMYFUNCTION("""COMPUTED_VALUE"""),"Uncle Sams Cider (04/04/2023)")</f>
        <v>Uncle Sams Cider (04/04/2023)</v>
      </c>
      <c r="H10641" s="19"/>
    </row>
    <row r="10642">
      <c r="A10642" s="9"/>
      <c r="B10642" s="15"/>
      <c r="C10642" s="9">
        <f>IFERROR(__xludf.DUMMYFUNCTION("""COMPUTED_VALUE"""),45032.4745402314)</f>
        <v>45032.47454</v>
      </c>
      <c r="D10642" s="15">
        <f>IFERROR(__xludf.DUMMYFUNCTION("""COMPUTED_VALUE"""),1.05)</f>
        <v>1.05</v>
      </c>
      <c r="E10642" s="16">
        <f>IFERROR(__xludf.DUMMYFUNCTION("""COMPUTED_VALUE"""),68.0)</f>
        <v>68</v>
      </c>
      <c r="F10642" s="19" t="str">
        <f>IFERROR(__xludf.DUMMYFUNCTION("""COMPUTED_VALUE"""),"BLACK")</f>
        <v>BLACK</v>
      </c>
      <c r="G10642" s="20" t="str">
        <f>IFERROR(__xludf.DUMMYFUNCTION("""COMPUTED_VALUE"""),"Uncle Sams Cider (04/04/2023)")</f>
        <v>Uncle Sams Cider (04/04/2023)</v>
      </c>
      <c r="H10642" s="19"/>
    </row>
    <row r="10643">
      <c r="A10643" s="9"/>
      <c r="B10643" s="15"/>
      <c r="C10643" s="9">
        <f>IFERROR(__xludf.DUMMYFUNCTION("""COMPUTED_VALUE"""),45032.4641196875)</f>
        <v>45032.46412</v>
      </c>
      <c r="D10643" s="15">
        <f>IFERROR(__xludf.DUMMYFUNCTION("""COMPUTED_VALUE"""),1.05)</f>
        <v>1.05</v>
      </c>
      <c r="E10643" s="16">
        <f>IFERROR(__xludf.DUMMYFUNCTION("""COMPUTED_VALUE"""),68.0)</f>
        <v>68</v>
      </c>
      <c r="F10643" s="19" t="str">
        <f>IFERROR(__xludf.DUMMYFUNCTION("""COMPUTED_VALUE"""),"BLACK")</f>
        <v>BLACK</v>
      </c>
      <c r="G10643" s="20" t="str">
        <f>IFERROR(__xludf.DUMMYFUNCTION("""COMPUTED_VALUE"""),"Uncle Sams Cider (04/04/2023)")</f>
        <v>Uncle Sams Cider (04/04/2023)</v>
      </c>
      <c r="H10643" s="19"/>
    </row>
    <row r="10644">
      <c r="A10644" s="9"/>
      <c r="B10644" s="15"/>
      <c r="C10644" s="9">
        <f>IFERROR(__xludf.DUMMYFUNCTION("""COMPUTED_VALUE"""),45032.4536887731)</f>
        <v>45032.45369</v>
      </c>
      <c r="D10644" s="15">
        <f>IFERROR(__xludf.DUMMYFUNCTION("""COMPUTED_VALUE"""),1.05)</f>
        <v>1.05</v>
      </c>
      <c r="E10644" s="16">
        <f>IFERROR(__xludf.DUMMYFUNCTION("""COMPUTED_VALUE"""),68.0)</f>
        <v>68</v>
      </c>
      <c r="F10644" s="19" t="str">
        <f>IFERROR(__xludf.DUMMYFUNCTION("""COMPUTED_VALUE"""),"BLACK")</f>
        <v>BLACK</v>
      </c>
      <c r="G10644" s="20" t="str">
        <f>IFERROR(__xludf.DUMMYFUNCTION("""COMPUTED_VALUE"""),"Uncle Sams Cider (04/04/2023)")</f>
        <v>Uncle Sams Cider (04/04/2023)</v>
      </c>
      <c r="H10644" s="19"/>
    </row>
    <row r="10645">
      <c r="A10645" s="9"/>
      <c r="B10645" s="15"/>
      <c r="C10645" s="9">
        <f>IFERROR(__xludf.DUMMYFUNCTION("""COMPUTED_VALUE"""),45032.4432669444)</f>
        <v>45032.44327</v>
      </c>
      <c r="D10645" s="15">
        <f>IFERROR(__xludf.DUMMYFUNCTION("""COMPUTED_VALUE"""),1.05)</f>
        <v>1.05</v>
      </c>
      <c r="E10645" s="16">
        <f>IFERROR(__xludf.DUMMYFUNCTION("""COMPUTED_VALUE"""),68.0)</f>
        <v>68</v>
      </c>
      <c r="F10645" s="19" t="str">
        <f>IFERROR(__xludf.DUMMYFUNCTION("""COMPUTED_VALUE"""),"BLACK")</f>
        <v>BLACK</v>
      </c>
      <c r="G10645" s="20" t="str">
        <f>IFERROR(__xludf.DUMMYFUNCTION("""COMPUTED_VALUE"""),"Uncle Sams Cider (04/04/2023)")</f>
        <v>Uncle Sams Cider (04/04/2023)</v>
      </c>
      <c r="H10645" s="19"/>
    </row>
    <row r="10646">
      <c r="A10646" s="9"/>
      <c r="B10646" s="15"/>
      <c r="C10646" s="9">
        <f>IFERROR(__xludf.DUMMYFUNCTION("""COMPUTED_VALUE"""),45032.4328456713)</f>
        <v>45032.43285</v>
      </c>
      <c r="D10646" s="15">
        <f>IFERROR(__xludf.DUMMYFUNCTION("""COMPUTED_VALUE"""),1.05)</f>
        <v>1.05</v>
      </c>
      <c r="E10646" s="16">
        <f>IFERROR(__xludf.DUMMYFUNCTION("""COMPUTED_VALUE"""),68.0)</f>
        <v>68</v>
      </c>
      <c r="F10646" s="19" t="str">
        <f>IFERROR(__xludf.DUMMYFUNCTION("""COMPUTED_VALUE"""),"BLACK")</f>
        <v>BLACK</v>
      </c>
      <c r="G10646" s="20" t="str">
        <f>IFERROR(__xludf.DUMMYFUNCTION("""COMPUTED_VALUE"""),"Uncle Sams Cider (04/04/2023)")</f>
        <v>Uncle Sams Cider (04/04/2023)</v>
      </c>
      <c r="H10646" s="19"/>
    </row>
    <row r="10647">
      <c r="A10647" s="9"/>
      <c r="B10647" s="15"/>
      <c r="C10647" s="9">
        <f>IFERROR(__xludf.DUMMYFUNCTION("""COMPUTED_VALUE"""),45032.4224242476)</f>
        <v>45032.42242</v>
      </c>
      <c r="D10647" s="15">
        <f>IFERROR(__xludf.DUMMYFUNCTION("""COMPUTED_VALUE"""),1.05)</f>
        <v>1.05</v>
      </c>
      <c r="E10647" s="16">
        <f>IFERROR(__xludf.DUMMYFUNCTION("""COMPUTED_VALUE"""),68.0)</f>
        <v>68</v>
      </c>
      <c r="F10647" s="19" t="str">
        <f>IFERROR(__xludf.DUMMYFUNCTION("""COMPUTED_VALUE"""),"BLACK")</f>
        <v>BLACK</v>
      </c>
      <c r="G10647" s="20" t="str">
        <f>IFERROR(__xludf.DUMMYFUNCTION("""COMPUTED_VALUE"""),"Uncle Sams Cider (04/04/2023)")</f>
        <v>Uncle Sams Cider (04/04/2023)</v>
      </c>
      <c r="H10647" s="19"/>
    </row>
    <row r="10648">
      <c r="A10648" s="9"/>
      <c r="B10648" s="15"/>
      <c r="C10648" s="9">
        <f>IFERROR(__xludf.DUMMYFUNCTION("""COMPUTED_VALUE"""),45032.4120028588)</f>
        <v>45032.412</v>
      </c>
      <c r="D10648" s="15">
        <f>IFERROR(__xludf.DUMMYFUNCTION("""COMPUTED_VALUE"""),1.051)</f>
        <v>1.051</v>
      </c>
      <c r="E10648" s="16">
        <f>IFERROR(__xludf.DUMMYFUNCTION("""COMPUTED_VALUE"""),68.0)</f>
        <v>68</v>
      </c>
      <c r="F10648" s="19" t="str">
        <f>IFERROR(__xludf.DUMMYFUNCTION("""COMPUTED_VALUE"""),"BLACK")</f>
        <v>BLACK</v>
      </c>
      <c r="G10648" s="20" t="str">
        <f>IFERROR(__xludf.DUMMYFUNCTION("""COMPUTED_VALUE"""),"Uncle Sams Cider (04/04/2023)")</f>
        <v>Uncle Sams Cider (04/04/2023)</v>
      </c>
      <c r="H10648" s="19"/>
    </row>
    <row r="10649">
      <c r="A10649" s="9"/>
      <c r="B10649" s="15"/>
      <c r="C10649" s="9">
        <f>IFERROR(__xludf.DUMMYFUNCTION("""COMPUTED_VALUE"""),45032.4015830555)</f>
        <v>45032.40158</v>
      </c>
      <c r="D10649" s="15">
        <f>IFERROR(__xludf.DUMMYFUNCTION("""COMPUTED_VALUE"""),1.051)</f>
        <v>1.051</v>
      </c>
      <c r="E10649" s="16">
        <f>IFERROR(__xludf.DUMMYFUNCTION("""COMPUTED_VALUE"""),68.0)</f>
        <v>68</v>
      </c>
      <c r="F10649" s="19" t="str">
        <f>IFERROR(__xludf.DUMMYFUNCTION("""COMPUTED_VALUE"""),"BLACK")</f>
        <v>BLACK</v>
      </c>
      <c r="G10649" s="20" t="str">
        <f>IFERROR(__xludf.DUMMYFUNCTION("""COMPUTED_VALUE"""),"Uncle Sams Cider (04/04/2023)")</f>
        <v>Uncle Sams Cider (04/04/2023)</v>
      </c>
      <c r="H10649" s="19"/>
    </row>
    <row r="10650">
      <c r="A10650" s="9"/>
      <c r="B10650" s="15"/>
      <c r="C10650" s="9">
        <f>IFERROR(__xludf.DUMMYFUNCTION("""COMPUTED_VALUE"""),45032.391148912)</f>
        <v>45032.39115</v>
      </c>
      <c r="D10650" s="15">
        <f>IFERROR(__xludf.DUMMYFUNCTION("""COMPUTED_VALUE"""),1.051)</f>
        <v>1.051</v>
      </c>
      <c r="E10650" s="16">
        <f>IFERROR(__xludf.DUMMYFUNCTION("""COMPUTED_VALUE"""),68.0)</f>
        <v>68</v>
      </c>
      <c r="F10650" s="19" t="str">
        <f>IFERROR(__xludf.DUMMYFUNCTION("""COMPUTED_VALUE"""),"BLACK")</f>
        <v>BLACK</v>
      </c>
      <c r="G10650" s="20" t="str">
        <f>IFERROR(__xludf.DUMMYFUNCTION("""COMPUTED_VALUE"""),"Uncle Sams Cider (04/04/2023)")</f>
        <v>Uncle Sams Cider (04/04/2023)</v>
      </c>
      <c r="H10650" s="19"/>
    </row>
    <row r="10651">
      <c r="A10651" s="9"/>
      <c r="B10651" s="15"/>
      <c r="C10651" s="9">
        <f>IFERROR(__xludf.DUMMYFUNCTION("""COMPUTED_VALUE"""),45032.3807292939)</f>
        <v>45032.38073</v>
      </c>
      <c r="D10651" s="15">
        <f>IFERROR(__xludf.DUMMYFUNCTION("""COMPUTED_VALUE"""),1.051)</f>
        <v>1.051</v>
      </c>
      <c r="E10651" s="16">
        <f>IFERROR(__xludf.DUMMYFUNCTION("""COMPUTED_VALUE"""),68.0)</f>
        <v>68</v>
      </c>
      <c r="F10651" s="19" t="str">
        <f>IFERROR(__xludf.DUMMYFUNCTION("""COMPUTED_VALUE"""),"BLACK")</f>
        <v>BLACK</v>
      </c>
      <c r="G10651" s="20" t="str">
        <f>IFERROR(__xludf.DUMMYFUNCTION("""COMPUTED_VALUE"""),"Uncle Sams Cider (04/04/2023)")</f>
        <v>Uncle Sams Cider (04/04/2023)</v>
      </c>
      <c r="H10651" s="19"/>
    </row>
    <row r="10652">
      <c r="A10652" s="9"/>
      <c r="B10652" s="15"/>
      <c r="C10652" s="9">
        <f>IFERROR(__xludf.DUMMYFUNCTION("""COMPUTED_VALUE"""),45032.3703066088)</f>
        <v>45032.37031</v>
      </c>
      <c r="D10652" s="15">
        <f>IFERROR(__xludf.DUMMYFUNCTION("""COMPUTED_VALUE"""),1.051)</f>
        <v>1.051</v>
      </c>
      <c r="E10652" s="16">
        <f>IFERROR(__xludf.DUMMYFUNCTION("""COMPUTED_VALUE"""),68.0)</f>
        <v>68</v>
      </c>
      <c r="F10652" s="19" t="str">
        <f>IFERROR(__xludf.DUMMYFUNCTION("""COMPUTED_VALUE"""),"BLACK")</f>
        <v>BLACK</v>
      </c>
      <c r="G10652" s="20" t="str">
        <f>IFERROR(__xludf.DUMMYFUNCTION("""COMPUTED_VALUE"""),"Uncle Sams Cider (04/04/2023)")</f>
        <v>Uncle Sams Cider (04/04/2023)</v>
      </c>
      <c r="H10652" s="19"/>
    </row>
    <row r="10653">
      <c r="A10653" s="9"/>
      <c r="B10653" s="15"/>
      <c r="C10653" s="9">
        <f>IFERROR(__xludf.DUMMYFUNCTION("""COMPUTED_VALUE"""),45032.3598852314)</f>
        <v>45032.35989</v>
      </c>
      <c r="D10653" s="15">
        <f>IFERROR(__xludf.DUMMYFUNCTION("""COMPUTED_VALUE"""),1.051)</f>
        <v>1.051</v>
      </c>
      <c r="E10653" s="16">
        <f>IFERROR(__xludf.DUMMYFUNCTION("""COMPUTED_VALUE"""),68.0)</f>
        <v>68</v>
      </c>
      <c r="F10653" s="19" t="str">
        <f>IFERROR(__xludf.DUMMYFUNCTION("""COMPUTED_VALUE"""),"BLACK")</f>
        <v>BLACK</v>
      </c>
      <c r="G10653" s="20" t="str">
        <f>IFERROR(__xludf.DUMMYFUNCTION("""COMPUTED_VALUE"""),"Uncle Sams Cider (04/04/2023)")</f>
        <v>Uncle Sams Cider (04/04/2023)</v>
      </c>
      <c r="H10653" s="19"/>
    </row>
    <row r="10654">
      <c r="A10654" s="9"/>
      <c r="B10654" s="15"/>
      <c r="C10654" s="9">
        <f>IFERROR(__xludf.DUMMYFUNCTION("""COMPUTED_VALUE"""),45032.3494651736)</f>
        <v>45032.34947</v>
      </c>
      <c r="D10654" s="15">
        <f>IFERROR(__xludf.DUMMYFUNCTION("""COMPUTED_VALUE"""),1.05)</f>
        <v>1.05</v>
      </c>
      <c r="E10654" s="16">
        <f>IFERROR(__xludf.DUMMYFUNCTION("""COMPUTED_VALUE"""),68.0)</f>
        <v>68</v>
      </c>
      <c r="F10654" s="19" t="str">
        <f>IFERROR(__xludf.DUMMYFUNCTION("""COMPUTED_VALUE"""),"BLACK")</f>
        <v>BLACK</v>
      </c>
      <c r="G10654" s="20" t="str">
        <f>IFERROR(__xludf.DUMMYFUNCTION("""COMPUTED_VALUE"""),"Uncle Sams Cider (04/04/2023)")</f>
        <v>Uncle Sams Cider (04/04/2023)</v>
      </c>
      <c r="H10654" s="19"/>
    </row>
    <row r="10655">
      <c r="A10655" s="9"/>
      <c r="B10655" s="15"/>
      <c r="C10655" s="9">
        <f>IFERROR(__xludf.DUMMYFUNCTION("""COMPUTED_VALUE"""),45032.339042581)</f>
        <v>45032.33904</v>
      </c>
      <c r="D10655" s="15">
        <f>IFERROR(__xludf.DUMMYFUNCTION("""COMPUTED_VALUE"""),1.051)</f>
        <v>1.051</v>
      </c>
      <c r="E10655" s="16">
        <f>IFERROR(__xludf.DUMMYFUNCTION("""COMPUTED_VALUE"""),68.0)</f>
        <v>68</v>
      </c>
      <c r="F10655" s="19" t="str">
        <f>IFERROR(__xludf.DUMMYFUNCTION("""COMPUTED_VALUE"""),"BLACK")</f>
        <v>BLACK</v>
      </c>
      <c r="G10655" s="20" t="str">
        <f>IFERROR(__xludf.DUMMYFUNCTION("""COMPUTED_VALUE"""),"Uncle Sams Cider (04/04/2023)")</f>
        <v>Uncle Sams Cider (04/04/2023)</v>
      </c>
      <c r="H10655" s="19"/>
    </row>
    <row r="10656">
      <c r="A10656" s="9"/>
      <c r="B10656" s="15"/>
      <c r="C10656" s="9">
        <f>IFERROR(__xludf.DUMMYFUNCTION("""COMPUTED_VALUE"""),45032.3286229514)</f>
        <v>45032.32862</v>
      </c>
      <c r="D10656" s="15">
        <f>IFERROR(__xludf.DUMMYFUNCTION("""COMPUTED_VALUE"""),1.051)</f>
        <v>1.051</v>
      </c>
      <c r="E10656" s="16">
        <f>IFERROR(__xludf.DUMMYFUNCTION("""COMPUTED_VALUE"""),68.0)</f>
        <v>68</v>
      </c>
      <c r="F10656" s="19" t="str">
        <f>IFERROR(__xludf.DUMMYFUNCTION("""COMPUTED_VALUE"""),"BLACK")</f>
        <v>BLACK</v>
      </c>
      <c r="G10656" s="20" t="str">
        <f>IFERROR(__xludf.DUMMYFUNCTION("""COMPUTED_VALUE"""),"Uncle Sams Cider (04/04/2023)")</f>
        <v>Uncle Sams Cider (04/04/2023)</v>
      </c>
      <c r="H10656" s="19"/>
    </row>
    <row r="10657">
      <c r="A10657" s="9"/>
      <c r="B10657" s="15"/>
      <c r="C10657" s="9">
        <f>IFERROR(__xludf.DUMMYFUNCTION("""COMPUTED_VALUE"""),45032.3182013888)</f>
        <v>45032.3182</v>
      </c>
      <c r="D10657" s="15">
        <f>IFERROR(__xludf.DUMMYFUNCTION("""COMPUTED_VALUE"""),1.051)</f>
        <v>1.051</v>
      </c>
      <c r="E10657" s="16">
        <f>IFERROR(__xludf.DUMMYFUNCTION("""COMPUTED_VALUE"""),68.0)</f>
        <v>68</v>
      </c>
      <c r="F10657" s="19" t="str">
        <f>IFERROR(__xludf.DUMMYFUNCTION("""COMPUTED_VALUE"""),"BLACK")</f>
        <v>BLACK</v>
      </c>
      <c r="G10657" s="20" t="str">
        <f>IFERROR(__xludf.DUMMYFUNCTION("""COMPUTED_VALUE"""),"Uncle Sams Cider (04/04/2023)")</f>
        <v>Uncle Sams Cider (04/04/2023)</v>
      </c>
      <c r="H10657" s="19"/>
    </row>
    <row r="10658">
      <c r="A10658" s="9"/>
      <c r="B10658" s="15"/>
      <c r="C10658" s="9">
        <f>IFERROR(__xludf.DUMMYFUNCTION("""COMPUTED_VALUE"""),45032.3077807291)</f>
        <v>45032.30778</v>
      </c>
      <c r="D10658" s="15">
        <f>IFERROR(__xludf.DUMMYFUNCTION("""COMPUTED_VALUE"""),1.051)</f>
        <v>1.051</v>
      </c>
      <c r="E10658" s="16">
        <f>IFERROR(__xludf.DUMMYFUNCTION("""COMPUTED_VALUE"""),68.0)</f>
        <v>68</v>
      </c>
      <c r="F10658" s="19" t="str">
        <f>IFERROR(__xludf.DUMMYFUNCTION("""COMPUTED_VALUE"""),"BLACK")</f>
        <v>BLACK</v>
      </c>
      <c r="G10658" s="20" t="str">
        <f>IFERROR(__xludf.DUMMYFUNCTION("""COMPUTED_VALUE"""),"Uncle Sams Cider (04/04/2023)")</f>
        <v>Uncle Sams Cider (04/04/2023)</v>
      </c>
      <c r="H10658" s="19"/>
    </row>
    <row r="10659">
      <c r="A10659" s="9"/>
      <c r="B10659" s="15"/>
      <c r="C10659" s="9">
        <f>IFERROR(__xludf.DUMMYFUNCTION("""COMPUTED_VALUE"""),45032.2973589583)</f>
        <v>45032.29736</v>
      </c>
      <c r="D10659" s="15">
        <f>IFERROR(__xludf.DUMMYFUNCTION("""COMPUTED_VALUE"""),1.051)</f>
        <v>1.051</v>
      </c>
      <c r="E10659" s="16">
        <f>IFERROR(__xludf.DUMMYFUNCTION("""COMPUTED_VALUE"""),68.0)</f>
        <v>68</v>
      </c>
      <c r="F10659" s="19" t="str">
        <f>IFERROR(__xludf.DUMMYFUNCTION("""COMPUTED_VALUE"""),"BLACK")</f>
        <v>BLACK</v>
      </c>
      <c r="G10659" s="20" t="str">
        <f>IFERROR(__xludf.DUMMYFUNCTION("""COMPUTED_VALUE"""),"Uncle Sams Cider (04/04/2023)")</f>
        <v>Uncle Sams Cider (04/04/2023)</v>
      </c>
      <c r="H10659" s="19"/>
    </row>
    <row r="10660">
      <c r="A10660" s="9"/>
      <c r="B10660" s="15"/>
      <c r="C10660" s="9">
        <f>IFERROR(__xludf.DUMMYFUNCTION("""COMPUTED_VALUE"""),45032.2869387847)</f>
        <v>45032.28694</v>
      </c>
      <c r="D10660" s="15">
        <f>IFERROR(__xludf.DUMMYFUNCTION("""COMPUTED_VALUE"""),1.051)</f>
        <v>1.051</v>
      </c>
      <c r="E10660" s="16">
        <f>IFERROR(__xludf.DUMMYFUNCTION("""COMPUTED_VALUE"""),68.0)</f>
        <v>68</v>
      </c>
      <c r="F10660" s="19" t="str">
        <f>IFERROR(__xludf.DUMMYFUNCTION("""COMPUTED_VALUE"""),"BLACK")</f>
        <v>BLACK</v>
      </c>
      <c r="G10660" s="20" t="str">
        <f>IFERROR(__xludf.DUMMYFUNCTION("""COMPUTED_VALUE"""),"Uncle Sams Cider (04/04/2023)")</f>
        <v>Uncle Sams Cider (04/04/2023)</v>
      </c>
      <c r="H10660" s="19"/>
    </row>
    <row r="10661">
      <c r="A10661" s="9"/>
      <c r="B10661" s="15"/>
      <c r="C10661" s="9">
        <f>IFERROR(__xludf.DUMMYFUNCTION("""COMPUTED_VALUE"""),45032.2765164699)</f>
        <v>45032.27652</v>
      </c>
      <c r="D10661" s="15">
        <f>IFERROR(__xludf.DUMMYFUNCTION("""COMPUTED_VALUE"""),1.051)</f>
        <v>1.051</v>
      </c>
      <c r="E10661" s="16">
        <f>IFERROR(__xludf.DUMMYFUNCTION("""COMPUTED_VALUE"""),68.0)</f>
        <v>68</v>
      </c>
      <c r="F10661" s="19" t="str">
        <f>IFERROR(__xludf.DUMMYFUNCTION("""COMPUTED_VALUE"""),"BLACK")</f>
        <v>BLACK</v>
      </c>
      <c r="G10661" s="20" t="str">
        <f>IFERROR(__xludf.DUMMYFUNCTION("""COMPUTED_VALUE"""),"Uncle Sams Cider (04/04/2023)")</f>
        <v>Uncle Sams Cider (04/04/2023)</v>
      </c>
      <c r="H10661" s="19"/>
    </row>
    <row r="10662">
      <c r="A10662" s="9"/>
      <c r="B10662" s="15"/>
      <c r="C10662" s="9">
        <f>IFERROR(__xludf.DUMMYFUNCTION("""COMPUTED_VALUE"""),45032.2660841203)</f>
        <v>45032.26608</v>
      </c>
      <c r="D10662" s="15">
        <f>IFERROR(__xludf.DUMMYFUNCTION("""COMPUTED_VALUE"""),1.051)</f>
        <v>1.051</v>
      </c>
      <c r="E10662" s="16">
        <f>IFERROR(__xludf.DUMMYFUNCTION("""COMPUTED_VALUE"""),68.0)</f>
        <v>68</v>
      </c>
      <c r="F10662" s="19" t="str">
        <f>IFERROR(__xludf.DUMMYFUNCTION("""COMPUTED_VALUE"""),"BLACK")</f>
        <v>BLACK</v>
      </c>
      <c r="G10662" s="20" t="str">
        <f>IFERROR(__xludf.DUMMYFUNCTION("""COMPUTED_VALUE"""),"Uncle Sams Cider (04/04/2023)")</f>
        <v>Uncle Sams Cider (04/04/2023)</v>
      </c>
      <c r="H10662" s="19"/>
    </row>
    <row r="10663">
      <c r="A10663" s="9"/>
      <c r="B10663" s="15"/>
      <c r="C10663" s="9">
        <f>IFERROR(__xludf.DUMMYFUNCTION("""COMPUTED_VALUE"""),45032.2556639814)</f>
        <v>45032.25566</v>
      </c>
      <c r="D10663" s="15">
        <f>IFERROR(__xludf.DUMMYFUNCTION("""COMPUTED_VALUE"""),1.051)</f>
        <v>1.051</v>
      </c>
      <c r="E10663" s="16">
        <f>IFERROR(__xludf.DUMMYFUNCTION("""COMPUTED_VALUE"""),68.0)</f>
        <v>68</v>
      </c>
      <c r="F10663" s="19" t="str">
        <f>IFERROR(__xludf.DUMMYFUNCTION("""COMPUTED_VALUE"""),"BLACK")</f>
        <v>BLACK</v>
      </c>
      <c r="G10663" s="20" t="str">
        <f>IFERROR(__xludf.DUMMYFUNCTION("""COMPUTED_VALUE"""),"Uncle Sams Cider (04/04/2023)")</f>
        <v>Uncle Sams Cider (04/04/2023)</v>
      </c>
      <c r="H10663" s="19"/>
    </row>
    <row r="10664">
      <c r="A10664" s="9"/>
      <c r="B10664" s="15"/>
      <c r="C10664" s="9">
        <f>IFERROR(__xludf.DUMMYFUNCTION("""COMPUTED_VALUE"""),45032.2452424305)</f>
        <v>45032.24524</v>
      </c>
      <c r="D10664" s="15">
        <f>IFERROR(__xludf.DUMMYFUNCTION("""COMPUTED_VALUE"""),1.051)</f>
        <v>1.051</v>
      </c>
      <c r="E10664" s="16">
        <f>IFERROR(__xludf.DUMMYFUNCTION("""COMPUTED_VALUE"""),68.0)</f>
        <v>68</v>
      </c>
      <c r="F10664" s="19" t="str">
        <f>IFERROR(__xludf.DUMMYFUNCTION("""COMPUTED_VALUE"""),"BLACK")</f>
        <v>BLACK</v>
      </c>
      <c r="G10664" s="20" t="str">
        <f>IFERROR(__xludf.DUMMYFUNCTION("""COMPUTED_VALUE"""),"Uncle Sams Cider (04/04/2023)")</f>
        <v>Uncle Sams Cider (04/04/2023)</v>
      </c>
      <c r="H10664" s="19"/>
    </row>
    <row r="10665">
      <c r="A10665" s="9"/>
      <c r="B10665" s="15"/>
      <c r="C10665" s="9">
        <f>IFERROR(__xludf.DUMMYFUNCTION("""COMPUTED_VALUE"""),45032.2348211805)</f>
        <v>45032.23482</v>
      </c>
      <c r="D10665" s="15">
        <f>IFERROR(__xludf.DUMMYFUNCTION("""COMPUTED_VALUE"""),1.051)</f>
        <v>1.051</v>
      </c>
      <c r="E10665" s="16">
        <f>IFERROR(__xludf.DUMMYFUNCTION("""COMPUTED_VALUE"""),68.0)</f>
        <v>68</v>
      </c>
      <c r="F10665" s="19" t="str">
        <f>IFERROR(__xludf.DUMMYFUNCTION("""COMPUTED_VALUE"""),"BLACK")</f>
        <v>BLACK</v>
      </c>
      <c r="G10665" s="20" t="str">
        <f>IFERROR(__xludf.DUMMYFUNCTION("""COMPUTED_VALUE"""),"Uncle Sams Cider (04/04/2023)")</f>
        <v>Uncle Sams Cider (04/04/2023)</v>
      </c>
      <c r="H10665" s="19"/>
    </row>
    <row r="10666">
      <c r="A10666" s="9"/>
      <c r="B10666" s="15"/>
      <c r="C10666" s="9">
        <f>IFERROR(__xludf.DUMMYFUNCTION("""COMPUTED_VALUE"""),45032.2244003472)</f>
        <v>45032.2244</v>
      </c>
      <c r="D10666" s="15">
        <f>IFERROR(__xludf.DUMMYFUNCTION("""COMPUTED_VALUE"""),1.051)</f>
        <v>1.051</v>
      </c>
      <c r="E10666" s="16">
        <f>IFERROR(__xludf.DUMMYFUNCTION("""COMPUTED_VALUE"""),68.0)</f>
        <v>68</v>
      </c>
      <c r="F10666" s="19" t="str">
        <f>IFERROR(__xludf.DUMMYFUNCTION("""COMPUTED_VALUE"""),"BLACK")</f>
        <v>BLACK</v>
      </c>
      <c r="G10666" s="20" t="str">
        <f>IFERROR(__xludf.DUMMYFUNCTION("""COMPUTED_VALUE"""),"Uncle Sams Cider (04/04/2023)")</f>
        <v>Uncle Sams Cider (04/04/2023)</v>
      </c>
      <c r="H10666" s="19"/>
    </row>
    <row r="10667">
      <c r="A10667" s="9"/>
      <c r="B10667" s="15"/>
      <c r="C10667" s="9">
        <f>IFERROR(__xludf.DUMMYFUNCTION("""COMPUTED_VALUE"""),45032.2139781828)</f>
        <v>45032.21398</v>
      </c>
      <c r="D10667" s="15">
        <f>IFERROR(__xludf.DUMMYFUNCTION("""COMPUTED_VALUE"""),1.051)</f>
        <v>1.051</v>
      </c>
      <c r="E10667" s="16">
        <f>IFERROR(__xludf.DUMMYFUNCTION("""COMPUTED_VALUE"""),68.0)</f>
        <v>68</v>
      </c>
      <c r="F10667" s="19" t="str">
        <f>IFERROR(__xludf.DUMMYFUNCTION("""COMPUTED_VALUE"""),"BLACK")</f>
        <v>BLACK</v>
      </c>
      <c r="G10667" s="20" t="str">
        <f>IFERROR(__xludf.DUMMYFUNCTION("""COMPUTED_VALUE"""),"Uncle Sams Cider (04/04/2023)")</f>
        <v>Uncle Sams Cider (04/04/2023)</v>
      </c>
      <c r="H10667" s="19"/>
    </row>
    <row r="10668">
      <c r="A10668" s="9"/>
      <c r="B10668" s="15"/>
      <c r="C10668" s="9">
        <f>IFERROR(__xludf.DUMMYFUNCTION("""COMPUTED_VALUE"""),45032.2035451041)</f>
        <v>45032.20355</v>
      </c>
      <c r="D10668" s="15">
        <f>IFERROR(__xludf.DUMMYFUNCTION("""COMPUTED_VALUE"""),1.051)</f>
        <v>1.051</v>
      </c>
      <c r="E10668" s="16">
        <f>IFERROR(__xludf.DUMMYFUNCTION("""COMPUTED_VALUE"""),68.0)</f>
        <v>68</v>
      </c>
      <c r="F10668" s="19" t="str">
        <f>IFERROR(__xludf.DUMMYFUNCTION("""COMPUTED_VALUE"""),"BLACK")</f>
        <v>BLACK</v>
      </c>
      <c r="G10668" s="20" t="str">
        <f>IFERROR(__xludf.DUMMYFUNCTION("""COMPUTED_VALUE"""),"Uncle Sams Cider (04/04/2023)")</f>
        <v>Uncle Sams Cider (04/04/2023)</v>
      </c>
      <c r="H10668" s="19"/>
    </row>
    <row r="10669">
      <c r="A10669" s="9"/>
      <c r="B10669" s="15"/>
      <c r="C10669" s="9">
        <f>IFERROR(__xludf.DUMMYFUNCTION("""COMPUTED_VALUE"""),45032.1931252893)</f>
        <v>45032.19313</v>
      </c>
      <c r="D10669" s="15">
        <f>IFERROR(__xludf.DUMMYFUNCTION("""COMPUTED_VALUE"""),1.051)</f>
        <v>1.051</v>
      </c>
      <c r="E10669" s="16">
        <f>IFERROR(__xludf.DUMMYFUNCTION("""COMPUTED_VALUE"""),68.0)</f>
        <v>68</v>
      </c>
      <c r="F10669" s="19" t="str">
        <f>IFERROR(__xludf.DUMMYFUNCTION("""COMPUTED_VALUE"""),"BLACK")</f>
        <v>BLACK</v>
      </c>
      <c r="G10669" s="20" t="str">
        <f>IFERROR(__xludf.DUMMYFUNCTION("""COMPUTED_VALUE"""),"Uncle Sams Cider (04/04/2023)")</f>
        <v>Uncle Sams Cider (04/04/2023)</v>
      </c>
      <c r="H10669" s="19"/>
    </row>
    <row r="10670">
      <c r="A10670" s="9"/>
      <c r="B10670" s="15"/>
      <c r="C10670" s="9">
        <f>IFERROR(__xludf.DUMMYFUNCTION("""COMPUTED_VALUE"""),45032.1826810185)</f>
        <v>45032.18268</v>
      </c>
      <c r="D10670" s="15">
        <f>IFERROR(__xludf.DUMMYFUNCTION("""COMPUTED_VALUE"""),1.051)</f>
        <v>1.051</v>
      </c>
      <c r="E10670" s="16">
        <f>IFERROR(__xludf.DUMMYFUNCTION("""COMPUTED_VALUE"""),68.0)</f>
        <v>68</v>
      </c>
      <c r="F10670" s="19" t="str">
        <f>IFERROR(__xludf.DUMMYFUNCTION("""COMPUTED_VALUE"""),"BLACK")</f>
        <v>BLACK</v>
      </c>
      <c r="G10670" s="20" t="str">
        <f>IFERROR(__xludf.DUMMYFUNCTION("""COMPUTED_VALUE"""),"Uncle Sams Cider (04/04/2023)")</f>
        <v>Uncle Sams Cider (04/04/2023)</v>
      </c>
      <c r="H10670" s="19"/>
    </row>
    <row r="10671">
      <c r="A10671" s="9"/>
      <c r="B10671" s="15"/>
      <c r="C10671" s="9">
        <f>IFERROR(__xludf.DUMMYFUNCTION("""COMPUTED_VALUE"""),45032.1722500694)</f>
        <v>45032.17225</v>
      </c>
      <c r="D10671" s="15">
        <f>IFERROR(__xludf.DUMMYFUNCTION("""COMPUTED_VALUE"""),1.051)</f>
        <v>1.051</v>
      </c>
      <c r="E10671" s="16">
        <f>IFERROR(__xludf.DUMMYFUNCTION("""COMPUTED_VALUE"""),68.0)</f>
        <v>68</v>
      </c>
      <c r="F10671" s="19" t="str">
        <f>IFERROR(__xludf.DUMMYFUNCTION("""COMPUTED_VALUE"""),"BLACK")</f>
        <v>BLACK</v>
      </c>
      <c r="G10671" s="20" t="str">
        <f>IFERROR(__xludf.DUMMYFUNCTION("""COMPUTED_VALUE"""),"Uncle Sams Cider (04/04/2023)")</f>
        <v>Uncle Sams Cider (04/04/2023)</v>
      </c>
      <c r="H10671" s="19"/>
    </row>
    <row r="10672">
      <c r="A10672" s="9"/>
      <c r="B10672" s="15"/>
      <c r="C10672" s="9">
        <f>IFERROR(__xludf.DUMMYFUNCTION("""COMPUTED_VALUE"""),45032.1618282523)</f>
        <v>45032.16183</v>
      </c>
      <c r="D10672" s="15">
        <f>IFERROR(__xludf.DUMMYFUNCTION("""COMPUTED_VALUE"""),1.051)</f>
        <v>1.051</v>
      </c>
      <c r="E10672" s="16">
        <f>IFERROR(__xludf.DUMMYFUNCTION("""COMPUTED_VALUE"""),68.0)</f>
        <v>68</v>
      </c>
      <c r="F10672" s="19" t="str">
        <f>IFERROR(__xludf.DUMMYFUNCTION("""COMPUTED_VALUE"""),"BLACK")</f>
        <v>BLACK</v>
      </c>
      <c r="G10672" s="20" t="str">
        <f>IFERROR(__xludf.DUMMYFUNCTION("""COMPUTED_VALUE"""),"Uncle Sams Cider (04/04/2023)")</f>
        <v>Uncle Sams Cider (04/04/2023)</v>
      </c>
      <c r="H10672" s="19"/>
    </row>
    <row r="10673">
      <c r="A10673" s="9"/>
      <c r="B10673" s="15"/>
      <c r="C10673" s="9">
        <f>IFERROR(__xludf.DUMMYFUNCTION("""COMPUTED_VALUE"""),45032.1514087847)</f>
        <v>45032.15141</v>
      </c>
      <c r="D10673" s="15">
        <f>IFERROR(__xludf.DUMMYFUNCTION("""COMPUTED_VALUE"""),1.051)</f>
        <v>1.051</v>
      </c>
      <c r="E10673" s="16">
        <f>IFERROR(__xludf.DUMMYFUNCTION("""COMPUTED_VALUE"""),68.0)</f>
        <v>68</v>
      </c>
      <c r="F10673" s="19" t="str">
        <f>IFERROR(__xludf.DUMMYFUNCTION("""COMPUTED_VALUE"""),"BLACK")</f>
        <v>BLACK</v>
      </c>
      <c r="G10673" s="20" t="str">
        <f>IFERROR(__xludf.DUMMYFUNCTION("""COMPUTED_VALUE"""),"Uncle Sams Cider (04/04/2023)")</f>
        <v>Uncle Sams Cider (04/04/2023)</v>
      </c>
      <c r="H10673" s="19"/>
    </row>
    <row r="10674">
      <c r="A10674" s="9"/>
      <c r="B10674" s="15"/>
      <c r="C10674" s="9">
        <f>IFERROR(__xludf.DUMMYFUNCTION("""COMPUTED_VALUE"""),45032.1409878009)</f>
        <v>45032.14099</v>
      </c>
      <c r="D10674" s="15">
        <f>IFERROR(__xludf.DUMMYFUNCTION("""COMPUTED_VALUE"""),1.051)</f>
        <v>1.051</v>
      </c>
      <c r="E10674" s="16">
        <f>IFERROR(__xludf.DUMMYFUNCTION("""COMPUTED_VALUE"""),68.0)</f>
        <v>68</v>
      </c>
      <c r="F10674" s="19" t="str">
        <f>IFERROR(__xludf.DUMMYFUNCTION("""COMPUTED_VALUE"""),"BLACK")</f>
        <v>BLACK</v>
      </c>
      <c r="G10674" s="20" t="str">
        <f>IFERROR(__xludf.DUMMYFUNCTION("""COMPUTED_VALUE"""),"Uncle Sams Cider (04/04/2023)")</f>
        <v>Uncle Sams Cider (04/04/2023)</v>
      </c>
      <c r="H10674" s="19"/>
    </row>
    <row r="10675">
      <c r="A10675" s="9"/>
      <c r="B10675" s="15"/>
      <c r="C10675" s="9">
        <f>IFERROR(__xludf.DUMMYFUNCTION("""COMPUTED_VALUE"""),45032.1305673379)</f>
        <v>45032.13057</v>
      </c>
      <c r="D10675" s="15">
        <f>IFERROR(__xludf.DUMMYFUNCTION("""COMPUTED_VALUE"""),1.051)</f>
        <v>1.051</v>
      </c>
      <c r="E10675" s="16">
        <f>IFERROR(__xludf.DUMMYFUNCTION("""COMPUTED_VALUE"""),68.0)</f>
        <v>68</v>
      </c>
      <c r="F10675" s="19" t="str">
        <f>IFERROR(__xludf.DUMMYFUNCTION("""COMPUTED_VALUE"""),"BLACK")</f>
        <v>BLACK</v>
      </c>
      <c r="G10675" s="20" t="str">
        <f>IFERROR(__xludf.DUMMYFUNCTION("""COMPUTED_VALUE"""),"Uncle Sams Cider (04/04/2023)")</f>
        <v>Uncle Sams Cider (04/04/2023)</v>
      </c>
      <c r="H10675" s="19"/>
    </row>
    <row r="10676">
      <c r="A10676" s="9"/>
      <c r="B10676" s="15"/>
      <c r="C10676" s="9">
        <f>IFERROR(__xludf.DUMMYFUNCTION("""COMPUTED_VALUE"""),45032.1201473842)</f>
        <v>45032.12015</v>
      </c>
      <c r="D10676" s="15">
        <f>IFERROR(__xludf.DUMMYFUNCTION("""COMPUTED_VALUE"""),1.052)</f>
        <v>1.052</v>
      </c>
      <c r="E10676" s="16">
        <f>IFERROR(__xludf.DUMMYFUNCTION("""COMPUTED_VALUE"""),68.0)</f>
        <v>68</v>
      </c>
      <c r="F10676" s="19" t="str">
        <f>IFERROR(__xludf.DUMMYFUNCTION("""COMPUTED_VALUE"""),"BLACK")</f>
        <v>BLACK</v>
      </c>
      <c r="G10676" s="20" t="str">
        <f>IFERROR(__xludf.DUMMYFUNCTION("""COMPUTED_VALUE"""),"Uncle Sams Cider (04/04/2023)")</f>
        <v>Uncle Sams Cider (04/04/2023)</v>
      </c>
      <c r="H10676" s="19"/>
    </row>
    <row r="10677">
      <c r="A10677" s="9"/>
      <c r="B10677" s="15"/>
      <c r="C10677" s="9">
        <f>IFERROR(__xludf.DUMMYFUNCTION("""COMPUTED_VALUE"""),45032.109727743)</f>
        <v>45032.10973</v>
      </c>
      <c r="D10677" s="15">
        <f>IFERROR(__xludf.DUMMYFUNCTION("""COMPUTED_VALUE"""),1.052)</f>
        <v>1.052</v>
      </c>
      <c r="E10677" s="16">
        <f>IFERROR(__xludf.DUMMYFUNCTION("""COMPUTED_VALUE"""),68.0)</f>
        <v>68</v>
      </c>
      <c r="F10677" s="19" t="str">
        <f>IFERROR(__xludf.DUMMYFUNCTION("""COMPUTED_VALUE"""),"BLACK")</f>
        <v>BLACK</v>
      </c>
      <c r="G10677" s="20" t="str">
        <f>IFERROR(__xludf.DUMMYFUNCTION("""COMPUTED_VALUE"""),"Uncle Sams Cider (04/04/2023)")</f>
        <v>Uncle Sams Cider (04/04/2023)</v>
      </c>
      <c r="H10677" s="19"/>
    </row>
    <row r="10678">
      <c r="A10678" s="9"/>
      <c r="B10678" s="15"/>
      <c r="C10678" s="9">
        <f>IFERROR(__xludf.DUMMYFUNCTION("""COMPUTED_VALUE"""),45032.0993068981)</f>
        <v>45032.09931</v>
      </c>
      <c r="D10678" s="15">
        <f>IFERROR(__xludf.DUMMYFUNCTION("""COMPUTED_VALUE"""),1.052)</f>
        <v>1.052</v>
      </c>
      <c r="E10678" s="16">
        <f>IFERROR(__xludf.DUMMYFUNCTION("""COMPUTED_VALUE"""),68.0)</f>
        <v>68</v>
      </c>
      <c r="F10678" s="19" t="str">
        <f>IFERROR(__xludf.DUMMYFUNCTION("""COMPUTED_VALUE"""),"BLACK")</f>
        <v>BLACK</v>
      </c>
      <c r="G10678" s="20" t="str">
        <f>IFERROR(__xludf.DUMMYFUNCTION("""COMPUTED_VALUE"""),"Uncle Sams Cider (04/04/2023)")</f>
        <v>Uncle Sams Cider (04/04/2023)</v>
      </c>
      <c r="H10678" s="19"/>
    </row>
    <row r="10679">
      <c r="A10679" s="9"/>
      <c r="B10679" s="15"/>
      <c r="C10679" s="9">
        <f>IFERROR(__xludf.DUMMYFUNCTION("""COMPUTED_VALUE"""),45032.0888867361)</f>
        <v>45032.08889</v>
      </c>
      <c r="D10679" s="15">
        <f>IFERROR(__xludf.DUMMYFUNCTION("""COMPUTED_VALUE"""),1.052)</f>
        <v>1.052</v>
      </c>
      <c r="E10679" s="16">
        <f>IFERROR(__xludf.DUMMYFUNCTION("""COMPUTED_VALUE"""),68.0)</f>
        <v>68</v>
      </c>
      <c r="F10679" s="19" t="str">
        <f>IFERROR(__xludf.DUMMYFUNCTION("""COMPUTED_VALUE"""),"BLACK")</f>
        <v>BLACK</v>
      </c>
      <c r="G10679" s="20" t="str">
        <f>IFERROR(__xludf.DUMMYFUNCTION("""COMPUTED_VALUE"""),"Uncle Sams Cider (04/04/2023)")</f>
        <v>Uncle Sams Cider (04/04/2023)</v>
      </c>
      <c r="H10679" s="19"/>
    </row>
    <row r="10680">
      <c r="A10680" s="9"/>
      <c r="B10680" s="15"/>
      <c r="C10680" s="9">
        <f>IFERROR(__xludf.DUMMYFUNCTION("""COMPUTED_VALUE"""),45032.0784645254)</f>
        <v>45032.07846</v>
      </c>
      <c r="D10680" s="15">
        <f>IFERROR(__xludf.DUMMYFUNCTION("""COMPUTED_VALUE"""),1.051)</f>
        <v>1.051</v>
      </c>
      <c r="E10680" s="16">
        <f>IFERROR(__xludf.DUMMYFUNCTION("""COMPUTED_VALUE"""),68.0)</f>
        <v>68</v>
      </c>
      <c r="F10680" s="19" t="str">
        <f>IFERROR(__xludf.DUMMYFUNCTION("""COMPUTED_VALUE"""),"BLACK")</f>
        <v>BLACK</v>
      </c>
      <c r="G10680" s="20" t="str">
        <f>IFERROR(__xludf.DUMMYFUNCTION("""COMPUTED_VALUE"""),"Uncle Sams Cider (04/04/2023)")</f>
        <v>Uncle Sams Cider (04/04/2023)</v>
      </c>
      <c r="H10680" s="19"/>
    </row>
    <row r="10681">
      <c r="A10681" s="9"/>
      <c r="B10681" s="15"/>
      <c r="C10681" s="9">
        <f>IFERROR(__xludf.DUMMYFUNCTION("""COMPUTED_VALUE"""),45032.0680324305)</f>
        <v>45032.06803</v>
      </c>
      <c r="D10681" s="15">
        <f>IFERROR(__xludf.DUMMYFUNCTION("""COMPUTED_VALUE"""),1.051)</f>
        <v>1.051</v>
      </c>
      <c r="E10681" s="16">
        <f>IFERROR(__xludf.DUMMYFUNCTION("""COMPUTED_VALUE"""),68.0)</f>
        <v>68</v>
      </c>
      <c r="F10681" s="19" t="str">
        <f>IFERROR(__xludf.DUMMYFUNCTION("""COMPUTED_VALUE"""),"BLACK")</f>
        <v>BLACK</v>
      </c>
      <c r="G10681" s="20" t="str">
        <f>IFERROR(__xludf.DUMMYFUNCTION("""COMPUTED_VALUE"""),"Uncle Sams Cider (04/04/2023)")</f>
        <v>Uncle Sams Cider (04/04/2023)</v>
      </c>
      <c r="H10681" s="19"/>
    </row>
    <row r="10682">
      <c r="A10682" s="9"/>
      <c r="B10682" s="15"/>
      <c r="C10682" s="9">
        <f>IFERROR(__xludf.DUMMYFUNCTION("""COMPUTED_VALUE"""),45032.0576116551)</f>
        <v>45032.05761</v>
      </c>
      <c r="D10682" s="15">
        <f>IFERROR(__xludf.DUMMYFUNCTION("""COMPUTED_VALUE"""),1.052)</f>
        <v>1.052</v>
      </c>
      <c r="E10682" s="16">
        <f>IFERROR(__xludf.DUMMYFUNCTION("""COMPUTED_VALUE"""),68.0)</f>
        <v>68</v>
      </c>
      <c r="F10682" s="19" t="str">
        <f>IFERROR(__xludf.DUMMYFUNCTION("""COMPUTED_VALUE"""),"BLACK")</f>
        <v>BLACK</v>
      </c>
      <c r="G10682" s="20" t="str">
        <f>IFERROR(__xludf.DUMMYFUNCTION("""COMPUTED_VALUE"""),"Uncle Sams Cider (04/04/2023)")</f>
        <v>Uncle Sams Cider (04/04/2023)</v>
      </c>
      <c r="H10682" s="19"/>
    </row>
    <row r="10683">
      <c r="A10683" s="9"/>
      <c r="B10683" s="15"/>
      <c r="C10683" s="9">
        <f>IFERROR(__xludf.DUMMYFUNCTION("""COMPUTED_VALUE"""),45032.0471898611)</f>
        <v>45032.04719</v>
      </c>
      <c r="D10683" s="15">
        <f>IFERROR(__xludf.DUMMYFUNCTION("""COMPUTED_VALUE"""),1.052)</f>
        <v>1.052</v>
      </c>
      <c r="E10683" s="16">
        <f>IFERROR(__xludf.DUMMYFUNCTION("""COMPUTED_VALUE"""),68.0)</f>
        <v>68</v>
      </c>
      <c r="F10683" s="19" t="str">
        <f>IFERROR(__xludf.DUMMYFUNCTION("""COMPUTED_VALUE"""),"BLACK")</f>
        <v>BLACK</v>
      </c>
      <c r="G10683" s="20" t="str">
        <f>IFERROR(__xludf.DUMMYFUNCTION("""COMPUTED_VALUE"""),"Uncle Sams Cider (04/04/2023)")</f>
        <v>Uncle Sams Cider (04/04/2023)</v>
      </c>
      <c r="H10683" s="19"/>
    </row>
    <row r="10684">
      <c r="A10684" s="9"/>
      <c r="B10684" s="15"/>
      <c r="C10684" s="9">
        <f>IFERROR(__xludf.DUMMYFUNCTION("""COMPUTED_VALUE"""),45032.0367558449)</f>
        <v>45032.03676</v>
      </c>
      <c r="D10684" s="15">
        <f>IFERROR(__xludf.DUMMYFUNCTION("""COMPUTED_VALUE"""),1.052)</f>
        <v>1.052</v>
      </c>
      <c r="E10684" s="16">
        <f>IFERROR(__xludf.DUMMYFUNCTION("""COMPUTED_VALUE"""),68.0)</f>
        <v>68</v>
      </c>
      <c r="F10684" s="19" t="str">
        <f>IFERROR(__xludf.DUMMYFUNCTION("""COMPUTED_VALUE"""),"BLACK")</f>
        <v>BLACK</v>
      </c>
      <c r="G10684" s="20" t="str">
        <f>IFERROR(__xludf.DUMMYFUNCTION("""COMPUTED_VALUE"""),"Uncle Sams Cider (04/04/2023)")</f>
        <v>Uncle Sams Cider (04/04/2023)</v>
      </c>
      <c r="H10684" s="19"/>
    </row>
    <row r="10685">
      <c r="A10685" s="9"/>
      <c r="B10685" s="15"/>
      <c r="C10685" s="9">
        <f>IFERROR(__xludf.DUMMYFUNCTION("""COMPUTED_VALUE"""),45032.0263347106)</f>
        <v>45032.02633</v>
      </c>
      <c r="D10685" s="15">
        <f>IFERROR(__xludf.DUMMYFUNCTION("""COMPUTED_VALUE"""),1.052)</f>
        <v>1.052</v>
      </c>
      <c r="E10685" s="16">
        <f>IFERROR(__xludf.DUMMYFUNCTION("""COMPUTED_VALUE"""),68.0)</f>
        <v>68</v>
      </c>
      <c r="F10685" s="19" t="str">
        <f>IFERROR(__xludf.DUMMYFUNCTION("""COMPUTED_VALUE"""),"BLACK")</f>
        <v>BLACK</v>
      </c>
      <c r="G10685" s="20" t="str">
        <f>IFERROR(__xludf.DUMMYFUNCTION("""COMPUTED_VALUE"""),"Uncle Sams Cider (04/04/2023)")</f>
        <v>Uncle Sams Cider (04/04/2023)</v>
      </c>
      <c r="H10685" s="19"/>
    </row>
    <row r="10686">
      <c r="A10686" s="9"/>
      <c r="B10686" s="15"/>
      <c r="C10686" s="9">
        <f>IFERROR(__xludf.DUMMYFUNCTION("""COMPUTED_VALUE"""),45032.0159135416)</f>
        <v>45032.01591</v>
      </c>
      <c r="D10686" s="15">
        <f>IFERROR(__xludf.DUMMYFUNCTION("""COMPUTED_VALUE"""),1.052)</f>
        <v>1.052</v>
      </c>
      <c r="E10686" s="16">
        <f>IFERROR(__xludf.DUMMYFUNCTION("""COMPUTED_VALUE"""),68.0)</f>
        <v>68</v>
      </c>
      <c r="F10686" s="19" t="str">
        <f>IFERROR(__xludf.DUMMYFUNCTION("""COMPUTED_VALUE"""),"BLACK")</f>
        <v>BLACK</v>
      </c>
      <c r="G10686" s="20" t="str">
        <f>IFERROR(__xludf.DUMMYFUNCTION("""COMPUTED_VALUE"""),"Uncle Sams Cider (04/04/2023)")</f>
        <v>Uncle Sams Cider (04/04/2023)</v>
      </c>
      <c r="H10686" s="19"/>
    </row>
    <row r="10687">
      <c r="A10687" s="9"/>
      <c r="B10687" s="15"/>
      <c r="C10687" s="9">
        <f>IFERROR(__xludf.DUMMYFUNCTION("""COMPUTED_VALUE"""),45032.0054896759)</f>
        <v>45032.00549</v>
      </c>
      <c r="D10687" s="15">
        <f>IFERROR(__xludf.DUMMYFUNCTION("""COMPUTED_VALUE"""),1.052)</f>
        <v>1.052</v>
      </c>
      <c r="E10687" s="16">
        <f>IFERROR(__xludf.DUMMYFUNCTION("""COMPUTED_VALUE"""),68.0)</f>
        <v>68</v>
      </c>
      <c r="F10687" s="19" t="str">
        <f>IFERROR(__xludf.DUMMYFUNCTION("""COMPUTED_VALUE"""),"BLACK")</f>
        <v>BLACK</v>
      </c>
      <c r="G10687" s="20" t="str">
        <f>IFERROR(__xludf.DUMMYFUNCTION("""COMPUTED_VALUE"""),"Uncle Sams Cider (04/04/2023)")</f>
        <v>Uncle Sams Cider (04/04/2023)</v>
      </c>
      <c r="H10687" s="19"/>
    </row>
    <row r="10688">
      <c r="A10688" s="9"/>
      <c r="B10688" s="15"/>
      <c r="C10688" s="9">
        <f>IFERROR(__xludf.DUMMYFUNCTION("""COMPUTED_VALUE"""),45031.9950669444)</f>
        <v>45031.99507</v>
      </c>
      <c r="D10688" s="15">
        <f>IFERROR(__xludf.DUMMYFUNCTION("""COMPUTED_VALUE"""),1.052)</f>
        <v>1.052</v>
      </c>
      <c r="E10688" s="16">
        <f>IFERROR(__xludf.DUMMYFUNCTION("""COMPUTED_VALUE"""),68.0)</f>
        <v>68</v>
      </c>
      <c r="F10688" s="19" t="str">
        <f>IFERROR(__xludf.DUMMYFUNCTION("""COMPUTED_VALUE"""),"BLACK")</f>
        <v>BLACK</v>
      </c>
      <c r="G10688" s="20" t="str">
        <f>IFERROR(__xludf.DUMMYFUNCTION("""COMPUTED_VALUE"""),"Uncle Sams Cider (04/04/2023)")</f>
        <v>Uncle Sams Cider (04/04/2023)</v>
      </c>
      <c r="H10688" s="19"/>
    </row>
    <row r="10689">
      <c r="A10689" s="9"/>
      <c r="B10689" s="15"/>
      <c r="C10689" s="9">
        <f>IFERROR(__xludf.DUMMYFUNCTION("""COMPUTED_VALUE"""),45031.984645081)</f>
        <v>45031.98465</v>
      </c>
      <c r="D10689" s="15">
        <f>IFERROR(__xludf.DUMMYFUNCTION("""COMPUTED_VALUE"""),1.052)</f>
        <v>1.052</v>
      </c>
      <c r="E10689" s="16">
        <f>IFERROR(__xludf.DUMMYFUNCTION("""COMPUTED_VALUE"""),68.0)</f>
        <v>68</v>
      </c>
      <c r="F10689" s="19" t="str">
        <f>IFERROR(__xludf.DUMMYFUNCTION("""COMPUTED_VALUE"""),"BLACK")</f>
        <v>BLACK</v>
      </c>
      <c r="G10689" s="20" t="str">
        <f>IFERROR(__xludf.DUMMYFUNCTION("""COMPUTED_VALUE"""),"Uncle Sams Cider (04/04/2023)")</f>
        <v>Uncle Sams Cider (04/04/2023)</v>
      </c>
      <c r="H10689" s="19"/>
    </row>
    <row r="10690">
      <c r="A10690" s="9"/>
      <c r="B10690" s="15"/>
      <c r="C10690" s="9">
        <f>IFERROR(__xludf.DUMMYFUNCTION("""COMPUTED_VALUE"""),45031.9741901967)</f>
        <v>45031.97419</v>
      </c>
      <c r="D10690" s="15">
        <f>IFERROR(__xludf.DUMMYFUNCTION("""COMPUTED_VALUE"""),1.052)</f>
        <v>1.052</v>
      </c>
      <c r="E10690" s="16">
        <f>IFERROR(__xludf.DUMMYFUNCTION("""COMPUTED_VALUE"""),68.0)</f>
        <v>68</v>
      </c>
      <c r="F10690" s="19" t="str">
        <f>IFERROR(__xludf.DUMMYFUNCTION("""COMPUTED_VALUE"""),"BLACK")</f>
        <v>BLACK</v>
      </c>
      <c r="G10690" s="20" t="str">
        <f>IFERROR(__xludf.DUMMYFUNCTION("""COMPUTED_VALUE"""),"Uncle Sams Cider (04/04/2023)")</f>
        <v>Uncle Sams Cider (04/04/2023)</v>
      </c>
      <c r="H10690" s="19"/>
    </row>
    <row r="10691">
      <c r="A10691" s="9"/>
      <c r="B10691" s="15"/>
      <c r="C10691" s="9">
        <f>IFERROR(__xludf.DUMMYFUNCTION("""COMPUTED_VALUE"""),45031.96376853)</f>
        <v>45031.96377</v>
      </c>
      <c r="D10691" s="15">
        <f>IFERROR(__xludf.DUMMYFUNCTION("""COMPUTED_VALUE"""),1.052)</f>
        <v>1.052</v>
      </c>
      <c r="E10691" s="16">
        <f>IFERROR(__xludf.DUMMYFUNCTION("""COMPUTED_VALUE"""),68.0)</f>
        <v>68</v>
      </c>
      <c r="F10691" s="19" t="str">
        <f>IFERROR(__xludf.DUMMYFUNCTION("""COMPUTED_VALUE"""),"BLACK")</f>
        <v>BLACK</v>
      </c>
      <c r="G10691" s="20" t="str">
        <f>IFERROR(__xludf.DUMMYFUNCTION("""COMPUTED_VALUE"""),"Uncle Sams Cider (04/04/2023)")</f>
        <v>Uncle Sams Cider (04/04/2023)</v>
      </c>
      <c r="H10691" s="19"/>
    </row>
    <row r="10692">
      <c r="A10692" s="9"/>
      <c r="B10692" s="15"/>
      <c r="C10692" s="9">
        <f>IFERROR(__xludf.DUMMYFUNCTION("""COMPUTED_VALUE"""),45031.9533472569)</f>
        <v>45031.95335</v>
      </c>
      <c r="D10692" s="15">
        <f>IFERROR(__xludf.DUMMYFUNCTION("""COMPUTED_VALUE"""),1.052)</f>
        <v>1.052</v>
      </c>
      <c r="E10692" s="16">
        <f>IFERROR(__xludf.DUMMYFUNCTION("""COMPUTED_VALUE"""),68.0)</f>
        <v>68</v>
      </c>
      <c r="F10692" s="19" t="str">
        <f>IFERROR(__xludf.DUMMYFUNCTION("""COMPUTED_VALUE"""),"BLACK")</f>
        <v>BLACK</v>
      </c>
      <c r="G10692" s="20" t="str">
        <f>IFERROR(__xludf.DUMMYFUNCTION("""COMPUTED_VALUE"""),"Uncle Sams Cider (04/04/2023)")</f>
        <v>Uncle Sams Cider (04/04/2023)</v>
      </c>
      <c r="H10692" s="19"/>
    </row>
    <row r="10693">
      <c r="A10693" s="9"/>
      <c r="B10693" s="15"/>
      <c r="C10693" s="9">
        <f>IFERROR(__xludf.DUMMYFUNCTION("""COMPUTED_VALUE"""),45031.9429143402)</f>
        <v>45031.94291</v>
      </c>
      <c r="D10693" s="15">
        <f>IFERROR(__xludf.DUMMYFUNCTION("""COMPUTED_VALUE"""),1.052)</f>
        <v>1.052</v>
      </c>
      <c r="E10693" s="16">
        <f>IFERROR(__xludf.DUMMYFUNCTION("""COMPUTED_VALUE"""),68.0)</f>
        <v>68</v>
      </c>
      <c r="F10693" s="19" t="str">
        <f>IFERROR(__xludf.DUMMYFUNCTION("""COMPUTED_VALUE"""),"BLACK")</f>
        <v>BLACK</v>
      </c>
      <c r="G10693" s="20" t="str">
        <f>IFERROR(__xludf.DUMMYFUNCTION("""COMPUTED_VALUE"""),"Uncle Sams Cider (04/04/2023)")</f>
        <v>Uncle Sams Cider (04/04/2023)</v>
      </c>
      <c r="H10693" s="19"/>
    </row>
    <row r="10694">
      <c r="A10694" s="9"/>
      <c r="B10694" s="15"/>
      <c r="C10694" s="9">
        <f>IFERROR(__xludf.DUMMYFUNCTION("""COMPUTED_VALUE"""),45031.9324923263)</f>
        <v>45031.93249</v>
      </c>
      <c r="D10694" s="15">
        <f>IFERROR(__xludf.DUMMYFUNCTION("""COMPUTED_VALUE"""),1.052)</f>
        <v>1.052</v>
      </c>
      <c r="E10694" s="16">
        <f>IFERROR(__xludf.DUMMYFUNCTION("""COMPUTED_VALUE"""),68.0)</f>
        <v>68</v>
      </c>
      <c r="F10694" s="19" t="str">
        <f>IFERROR(__xludf.DUMMYFUNCTION("""COMPUTED_VALUE"""),"BLACK")</f>
        <v>BLACK</v>
      </c>
      <c r="G10694" s="20" t="str">
        <f>IFERROR(__xludf.DUMMYFUNCTION("""COMPUTED_VALUE"""),"Uncle Sams Cider (04/04/2023)")</f>
        <v>Uncle Sams Cider (04/04/2023)</v>
      </c>
      <c r="H10694" s="19"/>
    </row>
    <row r="10695">
      <c r="A10695" s="9"/>
      <c r="B10695" s="15"/>
      <c r="C10695" s="9">
        <f>IFERROR(__xludf.DUMMYFUNCTION("""COMPUTED_VALUE"""),45031.922071412)</f>
        <v>45031.92207</v>
      </c>
      <c r="D10695" s="15">
        <f>IFERROR(__xludf.DUMMYFUNCTION("""COMPUTED_VALUE"""),1.052)</f>
        <v>1.052</v>
      </c>
      <c r="E10695" s="16">
        <f>IFERROR(__xludf.DUMMYFUNCTION("""COMPUTED_VALUE"""),68.0)</f>
        <v>68</v>
      </c>
      <c r="F10695" s="19" t="str">
        <f>IFERROR(__xludf.DUMMYFUNCTION("""COMPUTED_VALUE"""),"BLACK")</f>
        <v>BLACK</v>
      </c>
      <c r="G10695" s="20" t="str">
        <f>IFERROR(__xludf.DUMMYFUNCTION("""COMPUTED_VALUE"""),"Uncle Sams Cider (04/04/2023)")</f>
        <v>Uncle Sams Cider (04/04/2023)</v>
      </c>
      <c r="H10695" s="19"/>
    </row>
    <row r="10696">
      <c r="A10696" s="9"/>
      <c r="B10696" s="15"/>
      <c r="C10696" s="9">
        <f>IFERROR(__xludf.DUMMYFUNCTION("""COMPUTED_VALUE"""),45031.911650706)</f>
        <v>45031.91165</v>
      </c>
      <c r="D10696" s="15">
        <f>IFERROR(__xludf.DUMMYFUNCTION("""COMPUTED_VALUE"""),1.052)</f>
        <v>1.052</v>
      </c>
      <c r="E10696" s="16">
        <f>IFERROR(__xludf.DUMMYFUNCTION("""COMPUTED_VALUE"""),68.0)</f>
        <v>68</v>
      </c>
      <c r="F10696" s="19" t="str">
        <f>IFERROR(__xludf.DUMMYFUNCTION("""COMPUTED_VALUE"""),"BLACK")</f>
        <v>BLACK</v>
      </c>
      <c r="G10696" s="20" t="str">
        <f>IFERROR(__xludf.DUMMYFUNCTION("""COMPUTED_VALUE"""),"Uncle Sams Cider (04/04/2023)")</f>
        <v>Uncle Sams Cider (04/04/2023)</v>
      </c>
      <c r="H10696" s="19"/>
    </row>
    <row r="10697">
      <c r="A10697" s="9"/>
      <c r="B10697" s="15"/>
      <c r="C10697" s="9">
        <f>IFERROR(__xludf.DUMMYFUNCTION("""COMPUTED_VALUE"""),45031.9012284606)</f>
        <v>45031.90123</v>
      </c>
      <c r="D10697" s="15">
        <f>IFERROR(__xludf.DUMMYFUNCTION("""COMPUTED_VALUE"""),1.052)</f>
        <v>1.052</v>
      </c>
      <c r="E10697" s="16">
        <f>IFERROR(__xludf.DUMMYFUNCTION("""COMPUTED_VALUE"""),68.0)</f>
        <v>68</v>
      </c>
      <c r="F10697" s="19" t="str">
        <f>IFERROR(__xludf.DUMMYFUNCTION("""COMPUTED_VALUE"""),"BLACK")</f>
        <v>BLACK</v>
      </c>
      <c r="G10697" s="20" t="str">
        <f>IFERROR(__xludf.DUMMYFUNCTION("""COMPUTED_VALUE"""),"Uncle Sams Cider (04/04/2023)")</f>
        <v>Uncle Sams Cider (04/04/2023)</v>
      </c>
      <c r="H10697" s="19"/>
    </row>
    <row r="10698">
      <c r="A10698" s="9"/>
      <c r="B10698" s="15"/>
      <c r="C10698" s="9">
        <f>IFERROR(__xludf.DUMMYFUNCTION("""COMPUTED_VALUE"""),45031.8908085763)</f>
        <v>45031.89081</v>
      </c>
      <c r="D10698" s="15">
        <f>IFERROR(__xludf.DUMMYFUNCTION("""COMPUTED_VALUE"""),1.052)</f>
        <v>1.052</v>
      </c>
      <c r="E10698" s="16">
        <f>IFERROR(__xludf.DUMMYFUNCTION("""COMPUTED_VALUE"""),68.0)</f>
        <v>68</v>
      </c>
      <c r="F10698" s="19" t="str">
        <f>IFERROR(__xludf.DUMMYFUNCTION("""COMPUTED_VALUE"""),"BLACK")</f>
        <v>BLACK</v>
      </c>
      <c r="G10698" s="20" t="str">
        <f>IFERROR(__xludf.DUMMYFUNCTION("""COMPUTED_VALUE"""),"Uncle Sams Cider (04/04/2023)")</f>
        <v>Uncle Sams Cider (04/04/2023)</v>
      </c>
      <c r="H10698" s="19"/>
    </row>
    <row r="10699">
      <c r="A10699" s="9"/>
      <c r="B10699" s="15"/>
      <c r="C10699" s="9">
        <f>IFERROR(__xludf.DUMMYFUNCTION("""COMPUTED_VALUE"""),45031.880388912)</f>
        <v>45031.88039</v>
      </c>
      <c r="D10699" s="15">
        <f>IFERROR(__xludf.DUMMYFUNCTION("""COMPUTED_VALUE"""),1.052)</f>
        <v>1.052</v>
      </c>
      <c r="E10699" s="16">
        <f>IFERROR(__xludf.DUMMYFUNCTION("""COMPUTED_VALUE"""),68.0)</f>
        <v>68</v>
      </c>
      <c r="F10699" s="19" t="str">
        <f>IFERROR(__xludf.DUMMYFUNCTION("""COMPUTED_VALUE"""),"BLACK")</f>
        <v>BLACK</v>
      </c>
      <c r="G10699" s="20" t="str">
        <f>IFERROR(__xludf.DUMMYFUNCTION("""COMPUTED_VALUE"""),"Uncle Sams Cider (04/04/2023)")</f>
        <v>Uncle Sams Cider (04/04/2023)</v>
      </c>
      <c r="H10699" s="19"/>
    </row>
    <row r="10700">
      <c r="A10700" s="9"/>
      <c r="B10700" s="15"/>
      <c r="C10700" s="9">
        <f>IFERROR(__xludf.DUMMYFUNCTION("""COMPUTED_VALUE"""),45031.8699661458)</f>
        <v>45031.86997</v>
      </c>
      <c r="D10700" s="15">
        <f>IFERROR(__xludf.DUMMYFUNCTION("""COMPUTED_VALUE"""),1.052)</f>
        <v>1.052</v>
      </c>
      <c r="E10700" s="16">
        <f>IFERROR(__xludf.DUMMYFUNCTION("""COMPUTED_VALUE"""),68.0)</f>
        <v>68</v>
      </c>
      <c r="F10700" s="19" t="str">
        <f>IFERROR(__xludf.DUMMYFUNCTION("""COMPUTED_VALUE"""),"BLACK")</f>
        <v>BLACK</v>
      </c>
      <c r="G10700" s="20" t="str">
        <f>IFERROR(__xludf.DUMMYFUNCTION("""COMPUTED_VALUE"""),"Uncle Sams Cider (04/04/2023)")</f>
        <v>Uncle Sams Cider (04/04/2023)</v>
      </c>
      <c r="H10700" s="19"/>
    </row>
    <row r="10701">
      <c r="A10701" s="9"/>
      <c r="B10701" s="15"/>
      <c r="C10701" s="9">
        <f>IFERROR(__xludf.DUMMYFUNCTION("""COMPUTED_VALUE"""),45031.8595438425)</f>
        <v>45031.85954</v>
      </c>
      <c r="D10701" s="15">
        <f>IFERROR(__xludf.DUMMYFUNCTION("""COMPUTED_VALUE"""),1.052)</f>
        <v>1.052</v>
      </c>
      <c r="E10701" s="16">
        <f>IFERROR(__xludf.DUMMYFUNCTION("""COMPUTED_VALUE"""),68.0)</f>
        <v>68</v>
      </c>
      <c r="F10701" s="19" t="str">
        <f>IFERROR(__xludf.DUMMYFUNCTION("""COMPUTED_VALUE"""),"BLACK")</f>
        <v>BLACK</v>
      </c>
      <c r="G10701" s="20" t="str">
        <f>IFERROR(__xludf.DUMMYFUNCTION("""COMPUTED_VALUE"""),"Uncle Sams Cider (04/04/2023)")</f>
        <v>Uncle Sams Cider (04/04/2023)</v>
      </c>
      <c r="H10701" s="19"/>
    </row>
    <row r="10702">
      <c r="A10702" s="9"/>
      <c r="B10702" s="15"/>
      <c r="C10702" s="9">
        <f>IFERROR(__xludf.DUMMYFUNCTION("""COMPUTED_VALUE"""),45031.8491228935)</f>
        <v>45031.84912</v>
      </c>
      <c r="D10702" s="15">
        <f>IFERROR(__xludf.DUMMYFUNCTION("""COMPUTED_VALUE"""),1.052)</f>
        <v>1.052</v>
      </c>
      <c r="E10702" s="16">
        <f>IFERROR(__xludf.DUMMYFUNCTION("""COMPUTED_VALUE"""),68.0)</f>
        <v>68</v>
      </c>
      <c r="F10702" s="19" t="str">
        <f>IFERROR(__xludf.DUMMYFUNCTION("""COMPUTED_VALUE"""),"BLACK")</f>
        <v>BLACK</v>
      </c>
      <c r="G10702" s="20" t="str">
        <f>IFERROR(__xludf.DUMMYFUNCTION("""COMPUTED_VALUE"""),"Uncle Sams Cider (04/04/2023)")</f>
        <v>Uncle Sams Cider (04/04/2023)</v>
      </c>
      <c r="H10702" s="19"/>
    </row>
    <row r="10703">
      <c r="A10703" s="9"/>
      <c r="B10703" s="15"/>
      <c r="C10703" s="9">
        <f>IFERROR(__xludf.DUMMYFUNCTION("""COMPUTED_VALUE"""),45031.8387027199)</f>
        <v>45031.8387</v>
      </c>
      <c r="D10703" s="15">
        <f>IFERROR(__xludf.DUMMYFUNCTION("""COMPUTED_VALUE"""),1.052)</f>
        <v>1.052</v>
      </c>
      <c r="E10703" s="16">
        <f>IFERROR(__xludf.DUMMYFUNCTION("""COMPUTED_VALUE"""),68.0)</f>
        <v>68</v>
      </c>
      <c r="F10703" s="19" t="str">
        <f>IFERROR(__xludf.DUMMYFUNCTION("""COMPUTED_VALUE"""),"BLACK")</f>
        <v>BLACK</v>
      </c>
      <c r="G10703" s="20" t="str">
        <f>IFERROR(__xludf.DUMMYFUNCTION("""COMPUTED_VALUE"""),"Uncle Sams Cider (04/04/2023)")</f>
        <v>Uncle Sams Cider (04/04/2023)</v>
      </c>
      <c r="H10703" s="19"/>
    </row>
    <row r="10704">
      <c r="A10704" s="9"/>
      <c r="B10704" s="15"/>
      <c r="C10704" s="9">
        <f>IFERROR(__xludf.DUMMYFUNCTION("""COMPUTED_VALUE"""),45031.8282817129)</f>
        <v>45031.82828</v>
      </c>
      <c r="D10704" s="15">
        <f>IFERROR(__xludf.DUMMYFUNCTION("""COMPUTED_VALUE"""),1.053)</f>
        <v>1.053</v>
      </c>
      <c r="E10704" s="16">
        <f>IFERROR(__xludf.DUMMYFUNCTION("""COMPUTED_VALUE"""),68.0)</f>
        <v>68</v>
      </c>
      <c r="F10704" s="19" t="str">
        <f>IFERROR(__xludf.DUMMYFUNCTION("""COMPUTED_VALUE"""),"BLACK")</f>
        <v>BLACK</v>
      </c>
      <c r="G10704" s="20" t="str">
        <f>IFERROR(__xludf.DUMMYFUNCTION("""COMPUTED_VALUE"""),"Uncle Sams Cider (04/04/2023)")</f>
        <v>Uncle Sams Cider (04/04/2023)</v>
      </c>
      <c r="H10704" s="19"/>
    </row>
    <row r="10705">
      <c r="A10705" s="9"/>
      <c r="B10705" s="15"/>
      <c r="C10705" s="9">
        <f>IFERROR(__xludf.DUMMYFUNCTION("""COMPUTED_VALUE"""),45031.8178353587)</f>
        <v>45031.81784</v>
      </c>
      <c r="D10705" s="15">
        <f>IFERROR(__xludf.DUMMYFUNCTION("""COMPUTED_VALUE"""),1.053)</f>
        <v>1.053</v>
      </c>
      <c r="E10705" s="16">
        <f>IFERROR(__xludf.DUMMYFUNCTION("""COMPUTED_VALUE"""),68.0)</f>
        <v>68</v>
      </c>
      <c r="F10705" s="19" t="str">
        <f>IFERROR(__xludf.DUMMYFUNCTION("""COMPUTED_VALUE"""),"BLACK")</f>
        <v>BLACK</v>
      </c>
      <c r="G10705" s="20" t="str">
        <f>IFERROR(__xludf.DUMMYFUNCTION("""COMPUTED_VALUE"""),"Uncle Sams Cider (04/04/2023)")</f>
        <v>Uncle Sams Cider (04/04/2023)</v>
      </c>
      <c r="H10705" s="19"/>
    </row>
    <row r="10706">
      <c r="A10706" s="9"/>
      <c r="B10706" s="15"/>
      <c r="C10706" s="9">
        <f>IFERROR(__xludf.DUMMYFUNCTION("""COMPUTED_VALUE"""),45031.8074147801)</f>
        <v>45031.80741</v>
      </c>
      <c r="D10706" s="15">
        <f>IFERROR(__xludf.DUMMYFUNCTION("""COMPUTED_VALUE"""),1.053)</f>
        <v>1.053</v>
      </c>
      <c r="E10706" s="16">
        <f>IFERROR(__xludf.DUMMYFUNCTION("""COMPUTED_VALUE"""),68.0)</f>
        <v>68</v>
      </c>
      <c r="F10706" s="19" t="str">
        <f>IFERROR(__xludf.DUMMYFUNCTION("""COMPUTED_VALUE"""),"BLACK")</f>
        <v>BLACK</v>
      </c>
      <c r="G10706" s="20" t="str">
        <f>IFERROR(__xludf.DUMMYFUNCTION("""COMPUTED_VALUE"""),"Uncle Sams Cider (04/04/2023)")</f>
        <v>Uncle Sams Cider (04/04/2023)</v>
      </c>
      <c r="H10706" s="19"/>
    </row>
    <row r="10707">
      <c r="A10707" s="9"/>
      <c r="B10707" s="15"/>
      <c r="C10707" s="9">
        <f>IFERROR(__xludf.DUMMYFUNCTION("""COMPUTED_VALUE"""),45031.7969954166)</f>
        <v>45031.797</v>
      </c>
      <c r="D10707" s="15">
        <f>IFERROR(__xludf.DUMMYFUNCTION("""COMPUTED_VALUE"""),1.053)</f>
        <v>1.053</v>
      </c>
      <c r="E10707" s="16">
        <f>IFERROR(__xludf.DUMMYFUNCTION("""COMPUTED_VALUE"""),68.0)</f>
        <v>68</v>
      </c>
      <c r="F10707" s="19" t="str">
        <f>IFERROR(__xludf.DUMMYFUNCTION("""COMPUTED_VALUE"""),"BLACK")</f>
        <v>BLACK</v>
      </c>
      <c r="G10707" s="20" t="str">
        <f>IFERROR(__xludf.DUMMYFUNCTION("""COMPUTED_VALUE"""),"Uncle Sams Cider (04/04/2023)")</f>
        <v>Uncle Sams Cider (04/04/2023)</v>
      </c>
      <c r="H10707" s="19"/>
    </row>
    <row r="10708">
      <c r="A10708" s="9"/>
      <c r="B10708" s="15"/>
      <c r="C10708" s="9">
        <f>IFERROR(__xludf.DUMMYFUNCTION("""COMPUTED_VALUE"""),45031.7865741203)</f>
        <v>45031.78657</v>
      </c>
      <c r="D10708" s="15">
        <f>IFERROR(__xludf.DUMMYFUNCTION("""COMPUTED_VALUE"""),1.053)</f>
        <v>1.053</v>
      </c>
      <c r="E10708" s="16">
        <f>IFERROR(__xludf.DUMMYFUNCTION("""COMPUTED_VALUE"""),68.0)</f>
        <v>68</v>
      </c>
      <c r="F10708" s="19" t="str">
        <f>IFERROR(__xludf.DUMMYFUNCTION("""COMPUTED_VALUE"""),"BLACK")</f>
        <v>BLACK</v>
      </c>
      <c r="G10708" s="20" t="str">
        <f>IFERROR(__xludf.DUMMYFUNCTION("""COMPUTED_VALUE"""),"Uncle Sams Cider (04/04/2023)")</f>
        <v>Uncle Sams Cider (04/04/2023)</v>
      </c>
      <c r="H10708" s="19"/>
    </row>
    <row r="10709">
      <c r="A10709" s="9"/>
      <c r="B10709" s="15"/>
      <c r="C10709" s="9">
        <f>IFERROR(__xludf.DUMMYFUNCTION("""COMPUTED_VALUE"""),45031.7761423148)</f>
        <v>45031.77614</v>
      </c>
      <c r="D10709" s="15">
        <f>IFERROR(__xludf.DUMMYFUNCTION("""COMPUTED_VALUE"""),1.053)</f>
        <v>1.053</v>
      </c>
      <c r="E10709" s="16">
        <f>IFERROR(__xludf.DUMMYFUNCTION("""COMPUTED_VALUE"""),68.0)</f>
        <v>68</v>
      </c>
      <c r="F10709" s="19" t="str">
        <f>IFERROR(__xludf.DUMMYFUNCTION("""COMPUTED_VALUE"""),"BLACK")</f>
        <v>BLACK</v>
      </c>
      <c r="G10709" s="20" t="str">
        <f>IFERROR(__xludf.DUMMYFUNCTION("""COMPUTED_VALUE"""),"Uncle Sams Cider (04/04/2023)")</f>
        <v>Uncle Sams Cider (04/04/2023)</v>
      </c>
      <c r="H10709" s="19"/>
    </row>
    <row r="10710">
      <c r="A10710" s="9"/>
      <c r="B10710" s="15"/>
      <c r="C10710" s="9">
        <f>IFERROR(__xludf.DUMMYFUNCTION("""COMPUTED_VALUE"""),45031.7657215509)</f>
        <v>45031.76572</v>
      </c>
      <c r="D10710" s="15">
        <f>IFERROR(__xludf.DUMMYFUNCTION("""COMPUTED_VALUE"""),1.053)</f>
        <v>1.053</v>
      </c>
      <c r="E10710" s="16">
        <f>IFERROR(__xludf.DUMMYFUNCTION("""COMPUTED_VALUE"""),68.0)</f>
        <v>68</v>
      </c>
      <c r="F10710" s="19" t="str">
        <f>IFERROR(__xludf.DUMMYFUNCTION("""COMPUTED_VALUE"""),"BLACK")</f>
        <v>BLACK</v>
      </c>
      <c r="G10710" s="20" t="str">
        <f>IFERROR(__xludf.DUMMYFUNCTION("""COMPUTED_VALUE"""),"Uncle Sams Cider (04/04/2023)")</f>
        <v>Uncle Sams Cider (04/04/2023)</v>
      </c>
      <c r="H10710" s="19"/>
    </row>
    <row r="10711">
      <c r="A10711" s="9"/>
      <c r="B10711" s="15"/>
      <c r="C10711" s="9">
        <f>IFERROR(__xludf.DUMMYFUNCTION("""COMPUTED_VALUE"""),45031.7553001273)</f>
        <v>45031.7553</v>
      </c>
      <c r="D10711" s="15">
        <f>IFERROR(__xludf.DUMMYFUNCTION("""COMPUTED_VALUE"""),1.053)</f>
        <v>1.053</v>
      </c>
      <c r="E10711" s="16">
        <f>IFERROR(__xludf.DUMMYFUNCTION("""COMPUTED_VALUE"""),68.0)</f>
        <v>68</v>
      </c>
      <c r="F10711" s="19" t="str">
        <f>IFERROR(__xludf.DUMMYFUNCTION("""COMPUTED_VALUE"""),"BLACK")</f>
        <v>BLACK</v>
      </c>
      <c r="G10711" s="20" t="str">
        <f>IFERROR(__xludf.DUMMYFUNCTION("""COMPUTED_VALUE"""),"Uncle Sams Cider (04/04/2023)")</f>
        <v>Uncle Sams Cider (04/04/2023)</v>
      </c>
      <c r="H10711" s="19"/>
    </row>
    <row r="10712">
      <c r="A10712" s="9"/>
      <c r="B10712" s="15"/>
      <c r="C10712" s="9">
        <f>IFERROR(__xludf.DUMMYFUNCTION("""COMPUTED_VALUE"""),45031.7448778472)</f>
        <v>45031.74488</v>
      </c>
      <c r="D10712" s="15">
        <f>IFERROR(__xludf.DUMMYFUNCTION("""COMPUTED_VALUE"""),1.053)</f>
        <v>1.053</v>
      </c>
      <c r="E10712" s="16">
        <f>IFERROR(__xludf.DUMMYFUNCTION("""COMPUTED_VALUE"""),68.0)</f>
        <v>68</v>
      </c>
      <c r="F10712" s="19" t="str">
        <f>IFERROR(__xludf.DUMMYFUNCTION("""COMPUTED_VALUE"""),"BLACK")</f>
        <v>BLACK</v>
      </c>
      <c r="G10712" s="20" t="str">
        <f>IFERROR(__xludf.DUMMYFUNCTION("""COMPUTED_VALUE"""),"Uncle Sams Cider (04/04/2023)")</f>
        <v>Uncle Sams Cider (04/04/2023)</v>
      </c>
      <c r="H10712" s="19"/>
    </row>
    <row r="10713">
      <c r="A10713" s="9"/>
      <c r="B10713" s="15"/>
      <c r="C10713" s="9">
        <f>IFERROR(__xludf.DUMMYFUNCTION("""COMPUTED_VALUE"""),45031.7344567129)</f>
        <v>45031.73446</v>
      </c>
      <c r="D10713" s="15">
        <f>IFERROR(__xludf.DUMMYFUNCTION("""COMPUTED_VALUE"""),1.053)</f>
        <v>1.053</v>
      </c>
      <c r="E10713" s="16">
        <f>IFERROR(__xludf.DUMMYFUNCTION("""COMPUTED_VALUE"""),68.0)</f>
        <v>68</v>
      </c>
      <c r="F10713" s="19" t="str">
        <f>IFERROR(__xludf.DUMMYFUNCTION("""COMPUTED_VALUE"""),"BLACK")</f>
        <v>BLACK</v>
      </c>
      <c r="G10713" s="20" t="str">
        <f>IFERROR(__xludf.DUMMYFUNCTION("""COMPUTED_VALUE"""),"Uncle Sams Cider (04/04/2023)")</f>
        <v>Uncle Sams Cider (04/04/2023)</v>
      </c>
      <c r="H10713" s="19"/>
    </row>
    <row r="10714">
      <c r="A10714" s="9"/>
      <c r="B10714" s="15"/>
      <c r="C10714" s="9">
        <f>IFERROR(__xludf.DUMMYFUNCTION("""COMPUTED_VALUE"""),45031.7240246296)</f>
        <v>45031.72402</v>
      </c>
      <c r="D10714" s="15">
        <f>IFERROR(__xludf.DUMMYFUNCTION("""COMPUTED_VALUE"""),1.053)</f>
        <v>1.053</v>
      </c>
      <c r="E10714" s="16">
        <f>IFERROR(__xludf.DUMMYFUNCTION("""COMPUTED_VALUE"""),68.0)</f>
        <v>68</v>
      </c>
      <c r="F10714" s="19" t="str">
        <f>IFERROR(__xludf.DUMMYFUNCTION("""COMPUTED_VALUE"""),"BLACK")</f>
        <v>BLACK</v>
      </c>
      <c r="G10714" s="20" t="str">
        <f>IFERROR(__xludf.DUMMYFUNCTION("""COMPUTED_VALUE"""),"Uncle Sams Cider (04/04/2023)")</f>
        <v>Uncle Sams Cider (04/04/2023)</v>
      </c>
      <c r="H10714" s="19"/>
    </row>
    <row r="10715">
      <c r="A10715" s="9"/>
      <c r="B10715" s="15"/>
      <c r="C10715" s="9">
        <f>IFERROR(__xludf.DUMMYFUNCTION("""COMPUTED_VALUE"""),45031.7135939351)</f>
        <v>45031.71359</v>
      </c>
      <c r="D10715" s="15">
        <f>IFERROR(__xludf.DUMMYFUNCTION("""COMPUTED_VALUE"""),1.053)</f>
        <v>1.053</v>
      </c>
      <c r="E10715" s="16">
        <f>IFERROR(__xludf.DUMMYFUNCTION("""COMPUTED_VALUE"""),68.0)</f>
        <v>68</v>
      </c>
      <c r="F10715" s="19" t="str">
        <f>IFERROR(__xludf.DUMMYFUNCTION("""COMPUTED_VALUE"""),"BLACK")</f>
        <v>BLACK</v>
      </c>
      <c r="G10715" s="20" t="str">
        <f>IFERROR(__xludf.DUMMYFUNCTION("""COMPUTED_VALUE"""),"Uncle Sams Cider (04/04/2023)")</f>
        <v>Uncle Sams Cider (04/04/2023)</v>
      </c>
      <c r="H10715" s="19"/>
    </row>
    <row r="10716">
      <c r="A10716" s="9"/>
      <c r="B10716" s="15"/>
      <c r="C10716" s="9">
        <f>IFERROR(__xludf.DUMMYFUNCTION("""COMPUTED_VALUE"""),45031.7031714699)</f>
        <v>45031.70317</v>
      </c>
      <c r="D10716" s="15">
        <f>IFERROR(__xludf.DUMMYFUNCTION("""COMPUTED_VALUE"""),1.053)</f>
        <v>1.053</v>
      </c>
      <c r="E10716" s="16">
        <f>IFERROR(__xludf.DUMMYFUNCTION("""COMPUTED_VALUE"""),68.0)</f>
        <v>68</v>
      </c>
      <c r="F10716" s="19" t="str">
        <f>IFERROR(__xludf.DUMMYFUNCTION("""COMPUTED_VALUE"""),"BLACK")</f>
        <v>BLACK</v>
      </c>
      <c r="G10716" s="20" t="str">
        <f>IFERROR(__xludf.DUMMYFUNCTION("""COMPUTED_VALUE"""),"Uncle Sams Cider (04/04/2023)")</f>
        <v>Uncle Sams Cider (04/04/2023)</v>
      </c>
      <c r="H10716" s="19"/>
    </row>
    <row r="10717">
      <c r="A10717" s="9"/>
      <c r="B10717" s="15"/>
      <c r="C10717" s="9">
        <f>IFERROR(__xludf.DUMMYFUNCTION("""COMPUTED_VALUE"""),45031.6927488194)</f>
        <v>45031.69275</v>
      </c>
      <c r="D10717" s="15">
        <f>IFERROR(__xludf.DUMMYFUNCTION("""COMPUTED_VALUE"""),1.053)</f>
        <v>1.053</v>
      </c>
      <c r="E10717" s="16">
        <f>IFERROR(__xludf.DUMMYFUNCTION("""COMPUTED_VALUE"""),68.0)</f>
        <v>68</v>
      </c>
      <c r="F10717" s="19" t="str">
        <f>IFERROR(__xludf.DUMMYFUNCTION("""COMPUTED_VALUE"""),"BLACK")</f>
        <v>BLACK</v>
      </c>
      <c r="G10717" s="20" t="str">
        <f>IFERROR(__xludf.DUMMYFUNCTION("""COMPUTED_VALUE"""),"Uncle Sams Cider (04/04/2023)")</f>
        <v>Uncle Sams Cider (04/04/2023)</v>
      </c>
      <c r="H10717" s="19"/>
    </row>
    <row r="10718">
      <c r="A10718" s="9"/>
      <c r="B10718" s="15"/>
      <c r="C10718" s="9">
        <f>IFERROR(__xludf.DUMMYFUNCTION("""COMPUTED_VALUE"""),45031.6823279166)</f>
        <v>45031.68233</v>
      </c>
      <c r="D10718" s="15">
        <f>IFERROR(__xludf.DUMMYFUNCTION("""COMPUTED_VALUE"""),1.053)</f>
        <v>1.053</v>
      </c>
      <c r="E10718" s="16">
        <f>IFERROR(__xludf.DUMMYFUNCTION("""COMPUTED_VALUE"""),68.0)</f>
        <v>68</v>
      </c>
      <c r="F10718" s="19" t="str">
        <f>IFERROR(__xludf.DUMMYFUNCTION("""COMPUTED_VALUE"""),"BLACK")</f>
        <v>BLACK</v>
      </c>
      <c r="G10718" s="20" t="str">
        <f>IFERROR(__xludf.DUMMYFUNCTION("""COMPUTED_VALUE"""),"Uncle Sams Cider (04/04/2023)")</f>
        <v>Uncle Sams Cider (04/04/2023)</v>
      </c>
      <c r="H10718" s="19"/>
    </row>
    <row r="10719">
      <c r="A10719" s="9"/>
      <c r="B10719" s="15"/>
      <c r="C10719" s="9">
        <f>IFERROR(__xludf.DUMMYFUNCTION("""COMPUTED_VALUE"""),45031.6719062037)</f>
        <v>45031.67191</v>
      </c>
      <c r="D10719" s="15">
        <f>IFERROR(__xludf.DUMMYFUNCTION("""COMPUTED_VALUE"""),1.053)</f>
        <v>1.053</v>
      </c>
      <c r="E10719" s="16">
        <f>IFERROR(__xludf.DUMMYFUNCTION("""COMPUTED_VALUE"""),68.0)</f>
        <v>68</v>
      </c>
      <c r="F10719" s="19" t="str">
        <f>IFERROR(__xludf.DUMMYFUNCTION("""COMPUTED_VALUE"""),"BLACK")</f>
        <v>BLACK</v>
      </c>
      <c r="G10719" s="20" t="str">
        <f>IFERROR(__xludf.DUMMYFUNCTION("""COMPUTED_VALUE"""),"Uncle Sams Cider (04/04/2023)")</f>
        <v>Uncle Sams Cider (04/04/2023)</v>
      </c>
      <c r="H10719" s="19"/>
    </row>
    <row r="10720">
      <c r="A10720" s="9"/>
      <c r="B10720" s="15"/>
      <c r="C10720" s="9">
        <f>IFERROR(__xludf.DUMMYFUNCTION("""COMPUTED_VALUE"""),45031.6614841203)</f>
        <v>45031.66148</v>
      </c>
      <c r="D10720" s="15">
        <f>IFERROR(__xludf.DUMMYFUNCTION("""COMPUTED_VALUE"""),1.053)</f>
        <v>1.053</v>
      </c>
      <c r="E10720" s="16">
        <f>IFERROR(__xludf.DUMMYFUNCTION("""COMPUTED_VALUE"""),68.0)</f>
        <v>68</v>
      </c>
      <c r="F10720" s="19" t="str">
        <f>IFERROR(__xludf.DUMMYFUNCTION("""COMPUTED_VALUE"""),"BLACK")</f>
        <v>BLACK</v>
      </c>
      <c r="G10720" s="20" t="str">
        <f>IFERROR(__xludf.DUMMYFUNCTION("""COMPUTED_VALUE"""),"Uncle Sams Cider (04/04/2023)")</f>
        <v>Uncle Sams Cider (04/04/2023)</v>
      </c>
      <c r="H10720" s="19"/>
    </row>
    <row r="10721">
      <c r="A10721" s="9"/>
      <c r="B10721" s="15"/>
      <c r="C10721" s="9">
        <f>IFERROR(__xludf.DUMMYFUNCTION("""COMPUTED_VALUE"""),45031.6510624768)</f>
        <v>45031.65106</v>
      </c>
      <c r="D10721" s="15">
        <f>IFERROR(__xludf.DUMMYFUNCTION("""COMPUTED_VALUE"""),1.053)</f>
        <v>1.053</v>
      </c>
      <c r="E10721" s="16">
        <f>IFERROR(__xludf.DUMMYFUNCTION("""COMPUTED_VALUE"""),68.0)</f>
        <v>68</v>
      </c>
      <c r="F10721" s="19" t="str">
        <f>IFERROR(__xludf.DUMMYFUNCTION("""COMPUTED_VALUE"""),"BLACK")</f>
        <v>BLACK</v>
      </c>
      <c r="G10721" s="20" t="str">
        <f>IFERROR(__xludf.DUMMYFUNCTION("""COMPUTED_VALUE"""),"Uncle Sams Cider (04/04/2023)")</f>
        <v>Uncle Sams Cider (04/04/2023)</v>
      </c>
      <c r="H10721" s="19"/>
    </row>
    <row r="10722">
      <c r="A10722" s="9"/>
      <c r="B10722" s="15"/>
      <c r="C10722" s="9">
        <f>IFERROR(__xludf.DUMMYFUNCTION("""COMPUTED_VALUE"""),45031.6406409143)</f>
        <v>45031.64064</v>
      </c>
      <c r="D10722" s="15">
        <f>IFERROR(__xludf.DUMMYFUNCTION("""COMPUTED_VALUE"""),1.053)</f>
        <v>1.053</v>
      </c>
      <c r="E10722" s="16">
        <f>IFERROR(__xludf.DUMMYFUNCTION("""COMPUTED_VALUE"""),68.0)</f>
        <v>68</v>
      </c>
      <c r="F10722" s="19" t="str">
        <f>IFERROR(__xludf.DUMMYFUNCTION("""COMPUTED_VALUE"""),"BLACK")</f>
        <v>BLACK</v>
      </c>
      <c r="G10722" s="20" t="str">
        <f>IFERROR(__xludf.DUMMYFUNCTION("""COMPUTED_VALUE"""),"Uncle Sams Cider (04/04/2023)")</f>
        <v>Uncle Sams Cider (04/04/2023)</v>
      </c>
      <c r="H10722" s="19"/>
    </row>
    <row r="10723">
      <c r="A10723" s="9"/>
      <c r="B10723" s="15"/>
      <c r="C10723" s="9">
        <f>IFERROR(__xludf.DUMMYFUNCTION("""COMPUTED_VALUE"""),45031.630220162)</f>
        <v>45031.63022</v>
      </c>
      <c r="D10723" s="15">
        <f>IFERROR(__xludf.DUMMYFUNCTION("""COMPUTED_VALUE"""),1.053)</f>
        <v>1.053</v>
      </c>
      <c r="E10723" s="16">
        <f>IFERROR(__xludf.DUMMYFUNCTION("""COMPUTED_VALUE"""),68.0)</f>
        <v>68</v>
      </c>
      <c r="F10723" s="19" t="str">
        <f>IFERROR(__xludf.DUMMYFUNCTION("""COMPUTED_VALUE"""),"BLACK")</f>
        <v>BLACK</v>
      </c>
      <c r="G10723" s="20" t="str">
        <f>IFERROR(__xludf.DUMMYFUNCTION("""COMPUTED_VALUE"""),"Uncle Sams Cider (04/04/2023)")</f>
        <v>Uncle Sams Cider (04/04/2023)</v>
      </c>
      <c r="H10723" s="19"/>
    </row>
    <row r="10724">
      <c r="A10724" s="9"/>
      <c r="B10724" s="15"/>
      <c r="C10724" s="9">
        <f>IFERROR(__xludf.DUMMYFUNCTION("""COMPUTED_VALUE"""),45031.6197994676)</f>
        <v>45031.6198</v>
      </c>
      <c r="D10724" s="15">
        <f>IFERROR(__xludf.DUMMYFUNCTION("""COMPUTED_VALUE"""),1.053)</f>
        <v>1.053</v>
      </c>
      <c r="E10724" s="16">
        <f>IFERROR(__xludf.DUMMYFUNCTION("""COMPUTED_VALUE"""),68.0)</f>
        <v>68</v>
      </c>
      <c r="F10724" s="19" t="str">
        <f>IFERROR(__xludf.DUMMYFUNCTION("""COMPUTED_VALUE"""),"BLACK")</f>
        <v>BLACK</v>
      </c>
      <c r="G10724" s="20" t="str">
        <f>IFERROR(__xludf.DUMMYFUNCTION("""COMPUTED_VALUE"""),"Uncle Sams Cider (04/04/2023)")</f>
        <v>Uncle Sams Cider (04/04/2023)</v>
      </c>
      <c r="H10724" s="19"/>
    </row>
    <row r="10725">
      <c r="A10725" s="9"/>
      <c r="B10725" s="15"/>
      <c r="C10725" s="9">
        <f>IFERROR(__xludf.DUMMYFUNCTION("""COMPUTED_VALUE"""),45031.6093674421)</f>
        <v>45031.60937</v>
      </c>
      <c r="D10725" s="15">
        <f>IFERROR(__xludf.DUMMYFUNCTION("""COMPUTED_VALUE"""),1.053)</f>
        <v>1.053</v>
      </c>
      <c r="E10725" s="16">
        <f>IFERROR(__xludf.DUMMYFUNCTION("""COMPUTED_VALUE"""),68.0)</f>
        <v>68</v>
      </c>
      <c r="F10725" s="19" t="str">
        <f>IFERROR(__xludf.DUMMYFUNCTION("""COMPUTED_VALUE"""),"BLACK")</f>
        <v>BLACK</v>
      </c>
      <c r="G10725" s="20" t="str">
        <f>IFERROR(__xludf.DUMMYFUNCTION("""COMPUTED_VALUE"""),"Uncle Sams Cider (04/04/2023)")</f>
        <v>Uncle Sams Cider (04/04/2023)</v>
      </c>
      <c r="H10725" s="19"/>
    </row>
    <row r="10726">
      <c r="A10726" s="9"/>
      <c r="B10726" s="15"/>
      <c r="C10726" s="9">
        <f>IFERROR(__xludf.DUMMYFUNCTION("""COMPUTED_VALUE"""),45031.5989458564)</f>
        <v>45031.59895</v>
      </c>
      <c r="D10726" s="15">
        <f>IFERROR(__xludf.DUMMYFUNCTION("""COMPUTED_VALUE"""),1.053)</f>
        <v>1.053</v>
      </c>
      <c r="E10726" s="16">
        <f>IFERROR(__xludf.DUMMYFUNCTION("""COMPUTED_VALUE"""),68.0)</f>
        <v>68</v>
      </c>
      <c r="F10726" s="19" t="str">
        <f>IFERROR(__xludf.DUMMYFUNCTION("""COMPUTED_VALUE"""),"BLACK")</f>
        <v>BLACK</v>
      </c>
      <c r="G10726" s="20" t="str">
        <f>IFERROR(__xludf.DUMMYFUNCTION("""COMPUTED_VALUE"""),"Uncle Sams Cider (04/04/2023)")</f>
        <v>Uncle Sams Cider (04/04/2023)</v>
      </c>
      <c r="H10726" s="19"/>
    </row>
    <row r="10727">
      <c r="A10727" s="9"/>
      <c r="B10727" s="15"/>
      <c r="C10727" s="9">
        <f>IFERROR(__xludf.DUMMYFUNCTION("""COMPUTED_VALUE"""),45031.5885247106)</f>
        <v>45031.58852</v>
      </c>
      <c r="D10727" s="15">
        <f>IFERROR(__xludf.DUMMYFUNCTION("""COMPUTED_VALUE"""),1.053)</f>
        <v>1.053</v>
      </c>
      <c r="E10727" s="16">
        <f>IFERROR(__xludf.DUMMYFUNCTION("""COMPUTED_VALUE"""),68.0)</f>
        <v>68</v>
      </c>
      <c r="F10727" s="19" t="str">
        <f>IFERROR(__xludf.DUMMYFUNCTION("""COMPUTED_VALUE"""),"BLACK")</f>
        <v>BLACK</v>
      </c>
      <c r="G10727" s="20" t="str">
        <f>IFERROR(__xludf.DUMMYFUNCTION("""COMPUTED_VALUE"""),"Uncle Sams Cider (04/04/2023)")</f>
        <v>Uncle Sams Cider (04/04/2023)</v>
      </c>
      <c r="H10727" s="19"/>
    </row>
    <row r="10728">
      <c r="A10728" s="9"/>
      <c r="B10728" s="15"/>
      <c r="C10728" s="9">
        <f>IFERROR(__xludf.DUMMYFUNCTION("""COMPUTED_VALUE"""),45031.5780701851)</f>
        <v>45031.57807</v>
      </c>
      <c r="D10728" s="15">
        <f>IFERROR(__xludf.DUMMYFUNCTION("""COMPUTED_VALUE"""),1.053)</f>
        <v>1.053</v>
      </c>
      <c r="E10728" s="16">
        <f>IFERROR(__xludf.DUMMYFUNCTION("""COMPUTED_VALUE"""),68.0)</f>
        <v>68</v>
      </c>
      <c r="F10728" s="19" t="str">
        <f>IFERROR(__xludf.DUMMYFUNCTION("""COMPUTED_VALUE"""),"BLACK")</f>
        <v>BLACK</v>
      </c>
      <c r="G10728" s="20" t="str">
        <f>IFERROR(__xludf.DUMMYFUNCTION("""COMPUTED_VALUE"""),"Uncle Sams Cider (04/04/2023)")</f>
        <v>Uncle Sams Cider (04/04/2023)</v>
      </c>
      <c r="H10728" s="19"/>
    </row>
    <row r="10729">
      <c r="A10729" s="9"/>
      <c r="B10729" s="15"/>
      <c r="C10729" s="9">
        <f>IFERROR(__xludf.DUMMYFUNCTION("""COMPUTED_VALUE"""),45031.5676497338)</f>
        <v>45031.56765</v>
      </c>
      <c r="D10729" s="15">
        <f>IFERROR(__xludf.DUMMYFUNCTION("""COMPUTED_VALUE"""),1.053)</f>
        <v>1.053</v>
      </c>
      <c r="E10729" s="16">
        <f>IFERROR(__xludf.DUMMYFUNCTION("""COMPUTED_VALUE"""),68.0)</f>
        <v>68</v>
      </c>
      <c r="F10729" s="19" t="str">
        <f>IFERROR(__xludf.DUMMYFUNCTION("""COMPUTED_VALUE"""),"BLACK")</f>
        <v>BLACK</v>
      </c>
      <c r="G10729" s="20" t="str">
        <f>IFERROR(__xludf.DUMMYFUNCTION("""COMPUTED_VALUE"""),"Uncle Sams Cider (04/04/2023)")</f>
        <v>Uncle Sams Cider (04/04/2023)</v>
      </c>
      <c r="H10729" s="19"/>
    </row>
    <row r="10730">
      <c r="A10730" s="9"/>
      <c r="B10730" s="15"/>
      <c r="C10730" s="9">
        <f>IFERROR(__xludf.DUMMYFUNCTION("""COMPUTED_VALUE"""),45031.5572296527)</f>
        <v>45031.55723</v>
      </c>
      <c r="D10730" s="15">
        <f>IFERROR(__xludf.DUMMYFUNCTION("""COMPUTED_VALUE"""),1.053)</f>
        <v>1.053</v>
      </c>
      <c r="E10730" s="16">
        <f>IFERROR(__xludf.DUMMYFUNCTION("""COMPUTED_VALUE"""),68.0)</f>
        <v>68</v>
      </c>
      <c r="F10730" s="19" t="str">
        <f>IFERROR(__xludf.DUMMYFUNCTION("""COMPUTED_VALUE"""),"BLACK")</f>
        <v>BLACK</v>
      </c>
      <c r="G10730" s="20" t="str">
        <f>IFERROR(__xludf.DUMMYFUNCTION("""COMPUTED_VALUE"""),"Uncle Sams Cider (04/04/2023)")</f>
        <v>Uncle Sams Cider (04/04/2023)</v>
      </c>
      <c r="H10730" s="19"/>
    </row>
    <row r="10731">
      <c r="A10731" s="9"/>
      <c r="B10731" s="15"/>
      <c r="C10731" s="9">
        <f>IFERROR(__xludf.DUMMYFUNCTION("""COMPUTED_VALUE"""),45031.5467972685)</f>
        <v>45031.5468</v>
      </c>
      <c r="D10731" s="15">
        <f>IFERROR(__xludf.DUMMYFUNCTION("""COMPUTED_VALUE"""),1.053)</f>
        <v>1.053</v>
      </c>
      <c r="E10731" s="16">
        <f>IFERROR(__xludf.DUMMYFUNCTION("""COMPUTED_VALUE"""),68.0)</f>
        <v>68</v>
      </c>
      <c r="F10731" s="19" t="str">
        <f>IFERROR(__xludf.DUMMYFUNCTION("""COMPUTED_VALUE"""),"BLACK")</f>
        <v>BLACK</v>
      </c>
      <c r="G10731" s="20" t="str">
        <f>IFERROR(__xludf.DUMMYFUNCTION("""COMPUTED_VALUE"""),"Uncle Sams Cider (04/04/2023)")</f>
        <v>Uncle Sams Cider (04/04/2023)</v>
      </c>
      <c r="H10731" s="19"/>
    </row>
    <row r="10732">
      <c r="A10732" s="9"/>
      <c r="B10732" s="15"/>
      <c r="C10732" s="9">
        <f>IFERROR(__xludf.DUMMYFUNCTION("""COMPUTED_VALUE"""),45031.5363764004)</f>
        <v>45031.53638</v>
      </c>
      <c r="D10732" s="15">
        <f>IFERROR(__xludf.DUMMYFUNCTION("""COMPUTED_VALUE"""),1.054)</f>
        <v>1.054</v>
      </c>
      <c r="E10732" s="16">
        <f>IFERROR(__xludf.DUMMYFUNCTION("""COMPUTED_VALUE"""),68.0)</f>
        <v>68</v>
      </c>
      <c r="F10732" s="19" t="str">
        <f>IFERROR(__xludf.DUMMYFUNCTION("""COMPUTED_VALUE"""),"BLACK")</f>
        <v>BLACK</v>
      </c>
      <c r="G10732" s="20" t="str">
        <f>IFERROR(__xludf.DUMMYFUNCTION("""COMPUTED_VALUE"""),"Uncle Sams Cider (04/04/2023)")</f>
        <v>Uncle Sams Cider (04/04/2023)</v>
      </c>
      <c r="H10732" s="19"/>
    </row>
    <row r="10733">
      <c r="A10733" s="9"/>
      <c r="B10733" s="15"/>
      <c r="C10733" s="9">
        <f>IFERROR(__xludf.DUMMYFUNCTION("""COMPUTED_VALUE"""),45031.5259552199)</f>
        <v>45031.52596</v>
      </c>
      <c r="D10733" s="15">
        <f>IFERROR(__xludf.DUMMYFUNCTION("""COMPUTED_VALUE"""),1.053)</f>
        <v>1.053</v>
      </c>
      <c r="E10733" s="16">
        <f>IFERROR(__xludf.DUMMYFUNCTION("""COMPUTED_VALUE"""),68.0)</f>
        <v>68</v>
      </c>
      <c r="F10733" s="19" t="str">
        <f>IFERROR(__xludf.DUMMYFUNCTION("""COMPUTED_VALUE"""),"BLACK")</f>
        <v>BLACK</v>
      </c>
      <c r="G10733" s="20" t="str">
        <f>IFERROR(__xludf.DUMMYFUNCTION("""COMPUTED_VALUE"""),"Uncle Sams Cider (04/04/2023)")</f>
        <v>Uncle Sams Cider (04/04/2023)</v>
      </c>
      <c r="H10733" s="19"/>
    </row>
    <row r="10734">
      <c r="A10734" s="9"/>
      <c r="B10734" s="15"/>
      <c r="C10734" s="9">
        <f>IFERROR(__xludf.DUMMYFUNCTION("""COMPUTED_VALUE"""),45031.5154887615)</f>
        <v>45031.51549</v>
      </c>
      <c r="D10734" s="15">
        <f>IFERROR(__xludf.DUMMYFUNCTION("""COMPUTED_VALUE"""),1.054)</f>
        <v>1.054</v>
      </c>
      <c r="E10734" s="16">
        <f>IFERROR(__xludf.DUMMYFUNCTION("""COMPUTED_VALUE"""),68.0)</f>
        <v>68</v>
      </c>
      <c r="F10734" s="19" t="str">
        <f>IFERROR(__xludf.DUMMYFUNCTION("""COMPUTED_VALUE"""),"BLACK")</f>
        <v>BLACK</v>
      </c>
      <c r="G10734" s="20" t="str">
        <f>IFERROR(__xludf.DUMMYFUNCTION("""COMPUTED_VALUE"""),"Uncle Sams Cider (04/04/2023)")</f>
        <v>Uncle Sams Cider (04/04/2023)</v>
      </c>
      <c r="H10734" s="19"/>
    </row>
    <row r="10735">
      <c r="A10735" s="9"/>
      <c r="B10735" s="15"/>
      <c r="C10735" s="9">
        <f>IFERROR(__xludf.DUMMYFUNCTION("""COMPUTED_VALUE"""),45031.5050309606)</f>
        <v>45031.50503</v>
      </c>
      <c r="D10735" s="15">
        <f>IFERROR(__xludf.DUMMYFUNCTION("""COMPUTED_VALUE"""),1.054)</f>
        <v>1.054</v>
      </c>
      <c r="E10735" s="16">
        <f>IFERROR(__xludf.DUMMYFUNCTION("""COMPUTED_VALUE"""),68.0)</f>
        <v>68</v>
      </c>
      <c r="F10735" s="19" t="str">
        <f>IFERROR(__xludf.DUMMYFUNCTION("""COMPUTED_VALUE"""),"BLACK")</f>
        <v>BLACK</v>
      </c>
      <c r="G10735" s="20" t="str">
        <f>IFERROR(__xludf.DUMMYFUNCTION("""COMPUTED_VALUE"""),"Uncle Sams Cider (04/04/2023)")</f>
        <v>Uncle Sams Cider (04/04/2023)</v>
      </c>
      <c r="H10735" s="19"/>
    </row>
    <row r="10736">
      <c r="A10736" s="9"/>
      <c r="B10736" s="15"/>
      <c r="C10736" s="9">
        <f>IFERROR(__xludf.DUMMYFUNCTION("""COMPUTED_VALUE"""),45031.4946094907)</f>
        <v>45031.49461</v>
      </c>
      <c r="D10736" s="15">
        <f>IFERROR(__xludf.DUMMYFUNCTION("""COMPUTED_VALUE"""),1.053)</f>
        <v>1.053</v>
      </c>
      <c r="E10736" s="16">
        <f>IFERROR(__xludf.DUMMYFUNCTION("""COMPUTED_VALUE"""),68.0)</f>
        <v>68</v>
      </c>
      <c r="F10736" s="19" t="str">
        <f>IFERROR(__xludf.DUMMYFUNCTION("""COMPUTED_VALUE"""),"BLACK")</f>
        <v>BLACK</v>
      </c>
      <c r="G10736" s="20" t="str">
        <f>IFERROR(__xludf.DUMMYFUNCTION("""COMPUTED_VALUE"""),"Uncle Sams Cider (04/04/2023)")</f>
        <v>Uncle Sams Cider (04/04/2023)</v>
      </c>
      <c r="H10736" s="19"/>
    </row>
    <row r="10737">
      <c r="A10737" s="9"/>
      <c r="B10737" s="15"/>
      <c r="C10737" s="9">
        <f>IFERROR(__xludf.DUMMYFUNCTION("""COMPUTED_VALUE"""),45031.4841872453)</f>
        <v>45031.48419</v>
      </c>
      <c r="D10737" s="15">
        <f>IFERROR(__xludf.DUMMYFUNCTION("""COMPUTED_VALUE"""),1.053)</f>
        <v>1.053</v>
      </c>
      <c r="E10737" s="16">
        <f>IFERROR(__xludf.DUMMYFUNCTION("""COMPUTED_VALUE"""),68.0)</f>
        <v>68</v>
      </c>
      <c r="F10737" s="19" t="str">
        <f>IFERROR(__xludf.DUMMYFUNCTION("""COMPUTED_VALUE"""),"BLACK")</f>
        <v>BLACK</v>
      </c>
      <c r="G10737" s="20" t="str">
        <f>IFERROR(__xludf.DUMMYFUNCTION("""COMPUTED_VALUE"""),"Uncle Sams Cider (04/04/2023)")</f>
        <v>Uncle Sams Cider (04/04/2023)</v>
      </c>
      <c r="H10737" s="19"/>
    </row>
    <row r="10738">
      <c r="A10738" s="9"/>
      <c r="B10738" s="15"/>
      <c r="C10738" s="9">
        <f>IFERROR(__xludf.DUMMYFUNCTION("""COMPUTED_VALUE"""),45031.4737660532)</f>
        <v>45031.47377</v>
      </c>
      <c r="D10738" s="15">
        <f>IFERROR(__xludf.DUMMYFUNCTION("""COMPUTED_VALUE"""),1.054)</f>
        <v>1.054</v>
      </c>
      <c r="E10738" s="16">
        <f>IFERROR(__xludf.DUMMYFUNCTION("""COMPUTED_VALUE"""),68.0)</f>
        <v>68</v>
      </c>
      <c r="F10738" s="19" t="str">
        <f>IFERROR(__xludf.DUMMYFUNCTION("""COMPUTED_VALUE"""),"BLACK")</f>
        <v>BLACK</v>
      </c>
      <c r="G10738" s="20" t="str">
        <f>IFERROR(__xludf.DUMMYFUNCTION("""COMPUTED_VALUE"""),"Uncle Sams Cider (04/04/2023)")</f>
        <v>Uncle Sams Cider (04/04/2023)</v>
      </c>
      <c r="H10738" s="19"/>
    </row>
    <row r="10739">
      <c r="A10739" s="9"/>
      <c r="B10739" s="15"/>
      <c r="C10739" s="9">
        <f>IFERROR(__xludf.DUMMYFUNCTION("""COMPUTED_VALUE"""),45031.4633458564)</f>
        <v>45031.46335</v>
      </c>
      <c r="D10739" s="15">
        <f>IFERROR(__xludf.DUMMYFUNCTION("""COMPUTED_VALUE"""),1.054)</f>
        <v>1.054</v>
      </c>
      <c r="E10739" s="16">
        <f>IFERROR(__xludf.DUMMYFUNCTION("""COMPUTED_VALUE"""),68.0)</f>
        <v>68</v>
      </c>
      <c r="F10739" s="19" t="str">
        <f>IFERROR(__xludf.DUMMYFUNCTION("""COMPUTED_VALUE"""),"BLACK")</f>
        <v>BLACK</v>
      </c>
      <c r="G10739" s="20" t="str">
        <f>IFERROR(__xludf.DUMMYFUNCTION("""COMPUTED_VALUE"""),"Uncle Sams Cider (04/04/2023)")</f>
        <v>Uncle Sams Cider (04/04/2023)</v>
      </c>
      <c r="H10739" s="19"/>
    </row>
    <row r="10740">
      <c r="A10740" s="9"/>
      <c r="B10740" s="15"/>
      <c r="C10740" s="9">
        <f>IFERROR(__xludf.DUMMYFUNCTION("""COMPUTED_VALUE"""),45031.452926331)</f>
        <v>45031.45293</v>
      </c>
      <c r="D10740" s="15">
        <f>IFERROR(__xludf.DUMMYFUNCTION("""COMPUTED_VALUE"""),1.054)</f>
        <v>1.054</v>
      </c>
      <c r="E10740" s="16">
        <f>IFERROR(__xludf.DUMMYFUNCTION("""COMPUTED_VALUE"""),68.0)</f>
        <v>68</v>
      </c>
      <c r="F10740" s="19" t="str">
        <f>IFERROR(__xludf.DUMMYFUNCTION("""COMPUTED_VALUE"""),"BLACK")</f>
        <v>BLACK</v>
      </c>
      <c r="G10740" s="20" t="str">
        <f>IFERROR(__xludf.DUMMYFUNCTION("""COMPUTED_VALUE"""),"Uncle Sams Cider (04/04/2023)")</f>
        <v>Uncle Sams Cider (04/04/2023)</v>
      </c>
      <c r="H10740" s="19"/>
    </row>
    <row r="10741">
      <c r="A10741" s="9"/>
      <c r="B10741" s="15"/>
      <c r="C10741" s="9">
        <f>IFERROR(__xludf.DUMMYFUNCTION("""COMPUTED_VALUE"""),45031.4425036111)</f>
        <v>45031.4425</v>
      </c>
      <c r="D10741" s="15">
        <f>IFERROR(__xludf.DUMMYFUNCTION("""COMPUTED_VALUE"""),1.054)</f>
        <v>1.054</v>
      </c>
      <c r="E10741" s="16">
        <f>IFERROR(__xludf.DUMMYFUNCTION("""COMPUTED_VALUE"""),68.0)</f>
        <v>68</v>
      </c>
      <c r="F10741" s="19" t="str">
        <f>IFERROR(__xludf.DUMMYFUNCTION("""COMPUTED_VALUE"""),"BLACK")</f>
        <v>BLACK</v>
      </c>
      <c r="G10741" s="20" t="str">
        <f>IFERROR(__xludf.DUMMYFUNCTION("""COMPUTED_VALUE"""),"Uncle Sams Cider (04/04/2023)")</f>
        <v>Uncle Sams Cider (04/04/2023)</v>
      </c>
      <c r="H10741" s="19"/>
    </row>
    <row r="10742">
      <c r="A10742" s="9"/>
      <c r="B10742" s="15"/>
      <c r="C10742" s="9">
        <f>IFERROR(__xludf.DUMMYFUNCTION("""COMPUTED_VALUE"""),45031.4320821759)</f>
        <v>45031.43208</v>
      </c>
      <c r="D10742" s="15">
        <f>IFERROR(__xludf.DUMMYFUNCTION("""COMPUTED_VALUE"""),1.054)</f>
        <v>1.054</v>
      </c>
      <c r="E10742" s="16">
        <f>IFERROR(__xludf.DUMMYFUNCTION("""COMPUTED_VALUE"""),68.0)</f>
        <v>68</v>
      </c>
      <c r="F10742" s="19" t="str">
        <f>IFERROR(__xludf.DUMMYFUNCTION("""COMPUTED_VALUE"""),"BLACK")</f>
        <v>BLACK</v>
      </c>
      <c r="G10742" s="20" t="str">
        <f>IFERROR(__xludf.DUMMYFUNCTION("""COMPUTED_VALUE"""),"Uncle Sams Cider (04/04/2023)")</f>
        <v>Uncle Sams Cider (04/04/2023)</v>
      </c>
      <c r="H10742" s="19"/>
    </row>
    <row r="10743">
      <c r="A10743" s="9"/>
      <c r="B10743" s="15"/>
      <c r="C10743" s="9">
        <f>IFERROR(__xludf.DUMMYFUNCTION("""COMPUTED_VALUE"""),45031.4216608912)</f>
        <v>45031.42166</v>
      </c>
      <c r="D10743" s="15">
        <f>IFERROR(__xludf.DUMMYFUNCTION("""COMPUTED_VALUE"""),1.054)</f>
        <v>1.054</v>
      </c>
      <c r="E10743" s="16">
        <f>IFERROR(__xludf.DUMMYFUNCTION("""COMPUTED_VALUE"""),68.0)</f>
        <v>68</v>
      </c>
      <c r="F10743" s="19" t="str">
        <f>IFERROR(__xludf.DUMMYFUNCTION("""COMPUTED_VALUE"""),"BLACK")</f>
        <v>BLACK</v>
      </c>
      <c r="G10743" s="20" t="str">
        <f>IFERROR(__xludf.DUMMYFUNCTION("""COMPUTED_VALUE"""),"Uncle Sams Cider (04/04/2023)")</f>
        <v>Uncle Sams Cider (04/04/2023)</v>
      </c>
      <c r="H10743" s="19"/>
    </row>
    <row r="10744">
      <c r="A10744" s="9"/>
      <c r="B10744" s="15"/>
      <c r="C10744" s="9">
        <f>IFERROR(__xludf.DUMMYFUNCTION("""COMPUTED_VALUE"""),45031.4112405324)</f>
        <v>45031.41124</v>
      </c>
      <c r="D10744" s="15">
        <f>IFERROR(__xludf.DUMMYFUNCTION("""COMPUTED_VALUE"""),1.054)</f>
        <v>1.054</v>
      </c>
      <c r="E10744" s="16">
        <f>IFERROR(__xludf.DUMMYFUNCTION("""COMPUTED_VALUE"""),68.0)</f>
        <v>68</v>
      </c>
      <c r="F10744" s="19" t="str">
        <f>IFERROR(__xludf.DUMMYFUNCTION("""COMPUTED_VALUE"""),"BLACK")</f>
        <v>BLACK</v>
      </c>
      <c r="G10744" s="20" t="str">
        <f>IFERROR(__xludf.DUMMYFUNCTION("""COMPUTED_VALUE"""),"Uncle Sams Cider (04/04/2023)")</f>
        <v>Uncle Sams Cider (04/04/2023)</v>
      </c>
      <c r="H10744" s="19"/>
    </row>
    <row r="10745">
      <c r="A10745" s="9"/>
      <c r="B10745" s="15"/>
      <c r="C10745" s="9">
        <f>IFERROR(__xludf.DUMMYFUNCTION("""COMPUTED_VALUE"""),45031.4008178009)</f>
        <v>45031.40082</v>
      </c>
      <c r="D10745" s="15">
        <f>IFERROR(__xludf.DUMMYFUNCTION("""COMPUTED_VALUE"""),1.054)</f>
        <v>1.054</v>
      </c>
      <c r="E10745" s="16">
        <f>IFERROR(__xludf.DUMMYFUNCTION("""COMPUTED_VALUE"""),68.0)</f>
        <v>68</v>
      </c>
      <c r="F10745" s="19" t="str">
        <f>IFERROR(__xludf.DUMMYFUNCTION("""COMPUTED_VALUE"""),"BLACK")</f>
        <v>BLACK</v>
      </c>
      <c r="G10745" s="20" t="str">
        <f>IFERROR(__xludf.DUMMYFUNCTION("""COMPUTED_VALUE"""),"Uncle Sams Cider (04/04/2023)")</f>
        <v>Uncle Sams Cider (04/04/2023)</v>
      </c>
      <c r="H10745" s="19"/>
    </row>
    <row r="10746">
      <c r="A10746" s="9"/>
      <c r="B10746" s="15"/>
      <c r="C10746" s="9">
        <f>IFERROR(__xludf.DUMMYFUNCTION("""COMPUTED_VALUE"""),45031.3903866435)</f>
        <v>45031.39039</v>
      </c>
      <c r="D10746" s="15">
        <f>IFERROR(__xludf.DUMMYFUNCTION("""COMPUTED_VALUE"""),1.054)</f>
        <v>1.054</v>
      </c>
      <c r="E10746" s="16">
        <f>IFERROR(__xludf.DUMMYFUNCTION("""COMPUTED_VALUE"""),68.0)</f>
        <v>68</v>
      </c>
      <c r="F10746" s="19" t="str">
        <f>IFERROR(__xludf.DUMMYFUNCTION("""COMPUTED_VALUE"""),"BLACK")</f>
        <v>BLACK</v>
      </c>
      <c r="G10746" s="20" t="str">
        <f>IFERROR(__xludf.DUMMYFUNCTION("""COMPUTED_VALUE"""),"Uncle Sams Cider (04/04/2023)")</f>
        <v>Uncle Sams Cider (04/04/2023)</v>
      </c>
      <c r="H10746" s="19"/>
    </row>
    <row r="10747">
      <c r="A10747" s="9"/>
      <c r="B10747" s="15"/>
      <c r="C10747" s="9">
        <f>IFERROR(__xludf.DUMMYFUNCTION("""COMPUTED_VALUE"""),45031.3799655902)</f>
        <v>45031.37997</v>
      </c>
      <c r="D10747" s="15">
        <f>IFERROR(__xludf.DUMMYFUNCTION("""COMPUTED_VALUE"""),1.054)</f>
        <v>1.054</v>
      </c>
      <c r="E10747" s="16">
        <f>IFERROR(__xludf.DUMMYFUNCTION("""COMPUTED_VALUE"""),68.0)</f>
        <v>68</v>
      </c>
      <c r="F10747" s="19" t="str">
        <f>IFERROR(__xludf.DUMMYFUNCTION("""COMPUTED_VALUE"""),"BLACK")</f>
        <v>BLACK</v>
      </c>
      <c r="G10747" s="20" t="str">
        <f>IFERROR(__xludf.DUMMYFUNCTION("""COMPUTED_VALUE"""),"Uncle Sams Cider (04/04/2023)")</f>
        <v>Uncle Sams Cider (04/04/2023)</v>
      </c>
      <c r="H10747" s="19"/>
    </row>
    <row r="10748">
      <c r="A10748" s="9"/>
      <c r="B10748" s="15"/>
      <c r="C10748" s="9">
        <f>IFERROR(__xludf.DUMMYFUNCTION("""COMPUTED_VALUE"""),45031.3695428472)</f>
        <v>45031.36954</v>
      </c>
      <c r="D10748" s="15">
        <f>IFERROR(__xludf.DUMMYFUNCTION("""COMPUTED_VALUE"""),1.054)</f>
        <v>1.054</v>
      </c>
      <c r="E10748" s="16">
        <f>IFERROR(__xludf.DUMMYFUNCTION("""COMPUTED_VALUE"""),68.0)</f>
        <v>68</v>
      </c>
      <c r="F10748" s="19" t="str">
        <f>IFERROR(__xludf.DUMMYFUNCTION("""COMPUTED_VALUE"""),"BLACK")</f>
        <v>BLACK</v>
      </c>
      <c r="G10748" s="20" t="str">
        <f>IFERROR(__xludf.DUMMYFUNCTION("""COMPUTED_VALUE"""),"Uncle Sams Cider (04/04/2023)")</f>
        <v>Uncle Sams Cider (04/04/2023)</v>
      </c>
      <c r="H10748" s="19"/>
    </row>
    <row r="10749">
      <c r="A10749" s="9"/>
      <c r="B10749" s="15"/>
      <c r="C10749" s="9">
        <f>IFERROR(__xludf.DUMMYFUNCTION("""COMPUTED_VALUE"""),45031.3591092708)</f>
        <v>45031.35911</v>
      </c>
      <c r="D10749" s="15">
        <f>IFERROR(__xludf.DUMMYFUNCTION("""COMPUTED_VALUE"""),1.054)</f>
        <v>1.054</v>
      </c>
      <c r="E10749" s="16">
        <f>IFERROR(__xludf.DUMMYFUNCTION("""COMPUTED_VALUE"""),68.0)</f>
        <v>68</v>
      </c>
      <c r="F10749" s="19" t="str">
        <f>IFERROR(__xludf.DUMMYFUNCTION("""COMPUTED_VALUE"""),"BLACK")</f>
        <v>BLACK</v>
      </c>
      <c r="G10749" s="20" t="str">
        <f>IFERROR(__xludf.DUMMYFUNCTION("""COMPUTED_VALUE"""),"Uncle Sams Cider (04/04/2023)")</f>
        <v>Uncle Sams Cider (04/04/2023)</v>
      </c>
      <c r="H10749" s="19"/>
    </row>
    <row r="10750">
      <c r="A10750" s="9"/>
      <c r="B10750" s="15"/>
      <c r="C10750" s="9">
        <f>IFERROR(__xludf.DUMMYFUNCTION("""COMPUTED_VALUE"""),45031.3486891666)</f>
        <v>45031.34869</v>
      </c>
      <c r="D10750" s="15">
        <f>IFERROR(__xludf.DUMMYFUNCTION("""COMPUTED_VALUE"""),1.054)</f>
        <v>1.054</v>
      </c>
      <c r="E10750" s="16">
        <f>IFERROR(__xludf.DUMMYFUNCTION("""COMPUTED_VALUE"""),68.0)</f>
        <v>68</v>
      </c>
      <c r="F10750" s="19" t="str">
        <f>IFERROR(__xludf.DUMMYFUNCTION("""COMPUTED_VALUE"""),"BLACK")</f>
        <v>BLACK</v>
      </c>
      <c r="G10750" s="20" t="str">
        <f>IFERROR(__xludf.DUMMYFUNCTION("""COMPUTED_VALUE"""),"Uncle Sams Cider (04/04/2023)")</f>
        <v>Uncle Sams Cider (04/04/2023)</v>
      </c>
      <c r="H10750" s="19"/>
    </row>
    <row r="10751">
      <c r="A10751" s="9"/>
      <c r="B10751" s="15"/>
      <c r="C10751" s="9">
        <f>IFERROR(__xludf.DUMMYFUNCTION("""COMPUTED_VALUE"""),45031.3382554166)</f>
        <v>45031.33826</v>
      </c>
      <c r="D10751" s="15">
        <f>IFERROR(__xludf.DUMMYFUNCTION("""COMPUTED_VALUE"""),1.054)</f>
        <v>1.054</v>
      </c>
      <c r="E10751" s="16">
        <f>IFERROR(__xludf.DUMMYFUNCTION("""COMPUTED_VALUE"""),68.0)</f>
        <v>68</v>
      </c>
      <c r="F10751" s="19" t="str">
        <f>IFERROR(__xludf.DUMMYFUNCTION("""COMPUTED_VALUE"""),"BLACK")</f>
        <v>BLACK</v>
      </c>
      <c r="G10751" s="20" t="str">
        <f>IFERROR(__xludf.DUMMYFUNCTION("""COMPUTED_VALUE"""),"Uncle Sams Cider (04/04/2023)")</f>
        <v>Uncle Sams Cider (04/04/2023)</v>
      </c>
      <c r="H10751" s="19"/>
    </row>
    <row r="10752">
      <c r="A10752" s="9"/>
      <c r="B10752" s="15"/>
      <c r="C10752" s="9">
        <f>IFERROR(__xludf.DUMMYFUNCTION("""COMPUTED_VALUE"""),45031.3278345717)</f>
        <v>45031.32783</v>
      </c>
      <c r="D10752" s="15">
        <f>IFERROR(__xludf.DUMMYFUNCTION("""COMPUTED_VALUE"""),1.054)</f>
        <v>1.054</v>
      </c>
      <c r="E10752" s="16">
        <f>IFERROR(__xludf.DUMMYFUNCTION("""COMPUTED_VALUE"""),68.0)</f>
        <v>68</v>
      </c>
      <c r="F10752" s="19" t="str">
        <f>IFERROR(__xludf.DUMMYFUNCTION("""COMPUTED_VALUE"""),"BLACK")</f>
        <v>BLACK</v>
      </c>
      <c r="G10752" s="20" t="str">
        <f>IFERROR(__xludf.DUMMYFUNCTION("""COMPUTED_VALUE"""),"Uncle Sams Cider (04/04/2023)")</f>
        <v>Uncle Sams Cider (04/04/2023)</v>
      </c>
      <c r="H10752" s="19"/>
    </row>
    <row r="10753">
      <c r="A10753" s="9"/>
      <c r="B10753" s="15"/>
      <c r="C10753" s="9">
        <f>IFERROR(__xludf.DUMMYFUNCTION("""COMPUTED_VALUE"""),45031.3174146875)</f>
        <v>45031.31741</v>
      </c>
      <c r="D10753" s="15">
        <f>IFERROR(__xludf.DUMMYFUNCTION("""COMPUTED_VALUE"""),1.054)</f>
        <v>1.054</v>
      </c>
      <c r="E10753" s="16">
        <f>IFERROR(__xludf.DUMMYFUNCTION("""COMPUTED_VALUE"""),68.0)</f>
        <v>68</v>
      </c>
      <c r="F10753" s="19" t="str">
        <f>IFERROR(__xludf.DUMMYFUNCTION("""COMPUTED_VALUE"""),"BLACK")</f>
        <v>BLACK</v>
      </c>
      <c r="G10753" s="20" t="str">
        <f>IFERROR(__xludf.DUMMYFUNCTION("""COMPUTED_VALUE"""),"Uncle Sams Cider (04/04/2023)")</f>
        <v>Uncle Sams Cider (04/04/2023)</v>
      </c>
      <c r="H10753" s="19"/>
    </row>
    <row r="10754">
      <c r="A10754" s="9"/>
      <c r="B10754" s="15"/>
      <c r="C10754" s="9">
        <f>IFERROR(__xludf.DUMMYFUNCTION("""COMPUTED_VALUE"""),45031.3069937615)</f>
        <v>45031.30699</v>
      </c>
      <c r="D10754" s="15">
        <f>IFERROR(__xludf.DUMMYFUNCTION("""COMPUTED_VALUE"""),1.054)</f>
        <v>1.054</v>
      </c>
      <c r="E10754" s="16">
        <f>IFERROR(__xludf.DUMMYFUNCTION("""COMPUTED_VALUE"""),68.0)</f>
        <v>68</v>
      </c>
      <c r="F10754" s="19" t="str">
        <f>IFERROR(__xludf.DUMMYFUNCTION("""COMPUTED_VALUE"""),"BLACK")</f>
        <v>BLACK</v>
      </c>
      <c r="G10754" s="20" t="str">
        <f>IFERROR(__xludf.DUMMYFUNCTION("""COMPUTED_VALUE"""),"Uncle Sams Cider (04/04/2023)")</f>
        <v>Uncle Sams Cider (04/04/2023)</v>
      </c>
      <c r="H10754" s="19"/>
    </row>
    <row r="10755">
      <c r="A10755" s="9"/>
      <c r="B10755" s="15"/>
      <c r="C10755" s="9">
        <f>IFERROR(__xludf.DUMMYFUNCTION("""COMPUTED_VALUE"""),45031.2965488078)</f>
        <v>45031.29655</v>
      </c>
      <c r="D10755" s="15">
        <f>IFERROR(__xludf.DUMMYFUNCTION("""COMPUTED_VALUE"""),1.054)</f>
        <v>1.054</v>
      </c>
      <c r="E10755" s="16">
        <f>IFERROR(__xludf.DUMMYFUNCTION("""COMPUTED_VALUE"""),68.0)</f>
        <v>68</v>
      </c>
      <c r="F10755" s="19" t="str">
        <f>IFERROR(__xludf.DUMMYFUNCTION("""COMPUTED_VALUE"""),"BLACK")</f>
        <v>BLACK</v>
      </c>
      <c r="G10755" s="20" t="str">
        <f>IFERROR(__xludf.DUMMYFUNCTION("""COMPUTED_VALUE"""),"Uncle Sams Cider (04/04/2023)")</f>
        <v>Uncle Sams Cider (04/04/2023)</v>
      </c>
      <c r="H10755" s="19"/>
    </row>
    <row r="10756">
      <c r="A10756" s="9"/>
      <c r="B10756" s="15"/>
      <c r="C10756" s="9">
        <f>IFERROR(__xludf.DUMMYFUNCTION("""COMPUTED_VALUE"""),45031.2861280555)</f>
        <v>45031.28613</v>
      </c>
      <c r="D10756" s="15">
        <f>IFERROR(__xludf.DUMMYFUNCTION("""COMPUTED_VALUE"""),1.054)</f>
        <v>1.054</v>
      </c>
      <c r="E10756" s="16">
        <f>IFERROR(__xludf.DUMMYFUNCTION("""COMPUTED_VALUE"""),68.0)</f>
        <v>68</v>
      </c>
      <c r="F10756" s="19" t="str">
        <f>IFERROR(__xludf.DUMMYFUNCTION("""COMPUTED_VALUE"""),"BLACK")</f>
        <v>BLACK</v>
      </c>
      <c r="G10756" s="20" t="str">
        <f>IFERROR(__xludf.DUMMYFUNCTION("""COMPUTED_VALUE"""),"Uncle Sams Cider (04/04/2023)")</f>
        <v>Uncle Sams Cider (04/04/2023)</v>
      </c>
      <c r="H10756" s="19"/>
    </row>
    <row r="10757">
      <c r="A10757" s="9"/>
      <c r="B10757" s="15"/>
      <c r="C10757" s="9">
        <f>IFERROR(__xludf.DUMMYFUNCTION("""COMPUTED_VALUE"""),45031.275704618)</f>
        <v>45031.2757</v>
      </c>
      <c r="D10757" s="15">
        <f>IFERROR(__xludf.DUMMYFUNCTION("""COMPUTED_VALUE"""),1.054)</f>
        <v>1.054</v>
      </c>
      <c r="E10757" s="16">
        <f>IFERROR(__xludf.DUMMYFUNCTION("""COMPUTED_VALUE"""),68.0)</f>
        <v>68</v>
      </c>
      <c r="F10757" s="19" t="str">
        <f>IFERROR(__xludf.DUMMYFUNCTION("""COMPUTED_VALUE"""),"BLACK")</f>
        <v>BLACK</v>
      </c>
      <c r="G10757" s="20" t="str">
        <f>IFERROR(__xludf.DUMMYFUNCTION("""COMPUTED_VALUE"""),"Uncle Sams Cider (04/04/2023)")</f>
        <v>Uncle Sams Cider (04/04/2023)</v>
      </c>
      <c r="H10757" s="19"/>
    </row>
    <row r="10758">
      <c r="A10758" s="9"/>
      <c r="B10758" s="15"/>
      <c r="C10758" s="9">
        <f>IFERROR(__xludf.DUMMYFUNCTION("""COMPUTED_VALUE"""),45031.2652731481)</f>
        <v>45031.26527</v>
      </c>
      <c r="D10758" s="15">
        <f>IFERROR(__xludf.DUMMYFUNCTION("""COMPUTED_VALUE"""),1.054)</f>
        <v>1.054</v>
      </c>
      <c r="E10758" s="16">
        <f>IFERROR(__xludf.DUMMYFUNCTION("""COMPUTED_VALUE"""),68.0)</f>
        <v>68</v>
      </c>
      <c r="F10758" s="19" t="str">
        <f>IFERROR(__xludf.DUMMYFUNCTION("""COMPUTED_VALUE"""),"BLACK")</f>
        <v>BLACK</v>
      </c>
      <c r="G10758" s="20" t="str">
        <f>IFERROR(__xludf.DUMMYFUNCTION("""COMPUTED_VALUE"""),"Uncle Sams Cider (04/04/2023)")</f>
        <v>Uncle Sams Cider (04/04/2023)</v>
      </c>
      <c r="H10758" s="19"/>
    </row>
    <row r="10759">
      <c r="A10759" s="9"/>
      <c r="B10759" s="15"/>
      <c r="C10759" s="9">
        <f>IFERROR(__xludf.DUMMYFUNCTION("""COMPUTED_VALUE"""),45031.2548524189)</f>
        <v>45031.25485</v>
      </c>
      <c r="D10759" s="15">
        <f>IFERROR(__xludf.DUMMYFUNCTION("""COMPUTED_VALUE"""),1.054)</f>
        <v>1.054</v>
      </c>
      <c r="E10759" s="16">
        <f>IFERROR(__xludf.DUMMYFUNCTION("""COMPUTED_VALUE"""),68.0)</f>
        <v>68</v>
      </c>
      <c r="F10759" s="19" t="str">
        <f>IFERROR(__xludf.DUMMYFUNCTION("""COMPUTED_VALUE"""),"BLACK")</f>
        <v>BLACK</v>
      </c>
      <c r="G10759" s="20" t="str">
        <f>IFERROR(__xludf.DUMMYFUNCTION("""COMPUTED_VALUE"""),"Uncle Sams Cider (04/04/2023)")</f>
        <v>Uncle Sams Cider (04/04/2023)</v>
      </c>
      <c r="H10759" s="19"/>
    </row>
    <row r="10760">
      <c r="A10760" s="9"/>
      <c r="B10760" s="15"/>
      <c r="C10760" s="9">
        <f>IFERROR(__xludf.DUMMYFUNCTION("""COMPUTED_VALUE"""),45031.2444313194)</f>
        <v>45031.24443</v>
      </c>
      <c r="D10760" s="15">
        <f>IFERROR(__xludf.DUMMYFUNCTION("""COMPUTED_VALUE"""),1.055)</f>
        <v>1.055</v>
      </c>
      <c r="E10760" s="16">
        <f>IFERROR(__xludf.DUMMYFUNCTION("""COMPUTED_VALUE"""),68.0)</f>
        <v>68</v>
      </c>
      <c r="F10760" s="19" t="str">
        <f>IFERROR(__xludf.DUMMYFUNCTION("""COMPUTED_VALUE"""),"BLACK")</f>
        <v>BLACK</v>
      </c>
      <c r="G10760" s="20" t="str">
        <f>IFERROR(__xludf.DUMMYFUNCTION("""COMPUTED_VALUE"""),"Uncle Sams Cider (04/04/2023)")</f>
        <v>Uncle Sams Cider (04/04/2023)</v>
      </c>
      <c r="H10760" s="19"/>
    </row>
    <row r="10761">
      <c r="A10761" s="9"/>
      <c r="B10761" s="15"/>
      <c r="C10761" s="9">
        <f>IFERROR(__xludf.DUMMYFUNCTION("""COMPUTED_VALUE"""),45031.2340009259)</f>
        <v>45031.234</v>
      </c>
      <c r="D10761" s="15">
        <f>IFERROR(__xludf.DUMMYFUNCTION("""COMPUTED_VALUE"""),1.054)</f>
        <v>1.054</v>
      </c>
      <c r="E10761" s="16">
        <f>IFERROR(__xludf.DUMMYFUNCTION("""COMPUTED_VALUE"""),68.0)</f>
        <v>68</v>
      </c>
      <c r="F10761" s="19" t="str">
        <f>IFERROR(__xludf.DUMMYFUNCTION("""COMPUTED_VALUE"""),"BLACK")</f>
        <v>BLACK</v>
      </c>
      <c r="G10761" s="20" t="str">
        <f>IFERROR(__xludf.DUMMYFUNCTION("""COMPUTED_VALUE"""),"Uncle Sams Cider (04/04/2023)")</f>
        <v>Uncle Sams Cider (04/04/2023)</v>
      </c>
      <c r="H10761" s="19"/>
    </row>
    <row r="10762">
      <c r="A10762" s="9"/>
      <c r="B10762" s="15"/>
      <c r="C10762" s="9">
        <f>IFERROR(__xludf.DUMMYFUNCTION("""COMPUTED_VALUE"""),45031.2235795254)</f>
        <v>45031.22358</v>
      </c>
      <c r="D10762" s="15">
        <f>IFERROR(__xludf.DUMMYFUNCTION("""COMPUTED_VALUE"""),1.054)</f>
        <v>1.054</v>
      </c>
      <c r="E10762" s="16">
        <f>IFERROR(__xludf.DUMMYFUNCTION("""COMPUTED_VALUE"""),68.0)</f>
        <v>68</v>
      </c>
      <c r="F10762" s="19" t="str">
        <f>IFERROR(__xludf.DUMMYFUNCTION("""COMPUTED_VALUE"""),"BLACK")</f>
        <v>BLACK</v>
      </c>
      <c r="G10762" s="20" t="str">
        <f>IFERROR(__xludf.DUMMYFUNCTION("""COMPUTED_VALUE"""),"Uncle Sams Cider (04/04/2023)")</f>
        <v>Uncle Sams Cider (04/04/2023)</v>
      </c>
      <c r="H10762" s="19"/>
    </row>
    <row r="10763">
      <c r="A10763" s="9"/>
      <c r="B10763" s="15"/>
      <c r="C10763" s="9">
        <f>IFERROR(__xludf.DUMMYFUNCTION("""COMPUTED_VALUE"""),45031.2131468287)</f>
        <v>45031.21315</v>
      </c>
      <c r="D10763" s="15">
        <f>IFERROR(__xludf.DUMMYFUNCTION("""COMPUTED_VALUE"""),1.055)</f>
        <v>1.055</v>
      </c>
      <c r="E10763" s="16">
        <f>IFERROR(__xludf.DUMMYFUNCTION("""COMPUTED_VALUE"""),68.0)</f>
        <v>68</v>
      </c>
      <c r="F10763" s="19" t="str">
        <f>IFERROR(__xludf.DUMMYFUNCTION("""COMPUTED_VALUE"""),"BLACK")</f>
        <v>BLACK</v>
      </c>
      <c r="G10763" s="20" t="str">
        <f>IFERROR(__xludf.DUMMYFUNCTION("""COMPUTED_VALUE"""),"Uncle Sams Cider (04/04/2023)")</f>
        <v>Uncle Sams Cider (04/04/2023)</v>
      </c>
      <c r="H10763" s="19"/>
    </row>
    <row r="10764">
      <c r="A10764" s="9"/>
      <c r="B10764" s="15"/>
      <c r="C10764" s="9">
        <f>IFERROR(__xludf.DUMMYFUNCTION("""COMPUTED_VALUE"""),45031.2027256713)</f>
        <v>45031.20273</v>
      </c>
      <c r="D10764" s="15">
        <f>IFERROR(__xludf.DUMMYFUNCTION("""COMPUTED_VALUE"""),1.055)</f>
        <v>1.055</v>
      </c>
      <c r="E10764" s="16">
        <f>IFERROR(__xludf.DUMMYFUNCTION("""COMPUTED_VALUE"""),68.0)</f>
        <v>68</v>
      </c>
      <c r="F10764" s="19" t="str">
        <f>IFERROR(__xludf.DUMMYFUNCTION("""COMPUTED_VALUE"""),"BLACK")</f>
        <v>BLACK</v>
      </c>
      <c r="G10764" s="20" t="str">
        <f>IFERROR(__xludf.DUMMYFUNCTION("""COMPUTED_VALUE"""),"Uncle Sams Cider (04/04/2023)")</f>
        <v>Uncle Sams Cider (04/04/2023)</v>
      </c>
      <c r="H10764" s="19"/>
    </row>
    <row r="10765">
      <c r="A10765" s="9"/>
      <c r="B10765" s="15"/>
      <c r="C10765" s="9">
        <f>IFERROR(__xludf.DUMMYFUNCTION("""COMPUTED_VALUE"""),45031.1923051157)</f>
        <v>45031.19231</v>
      </c>
      <c r="D10765" s="15">
        <f>IFERROR(__xludf.DUMMYFUNCTION("""COMPUTED_VALUE"""),1.054)</f>
        <v>1.054</v>
      </c>
      <c r="E10765" s="16">
        <f>IFERROR(__xludf.DUMMYFUNCTION("""COMPUTED_VALUE"""),68.0)</f>
        <v>68</v>
      </c>
      <c r="F10765" s="19" t="str">
        <f>IFERROR(__xludf.DUMMYFUNCTION("""COMPUTED_VALUE"""),"BLACK")</f>
        <v>BLACK</v>
      </c>
      <c r="G10765" s="20" t="str">
        <f>IFERROR(__xludf.DUMMYFUNCTION("""COMPUTED_VALUE"""),"Uncle Sams Cider (04/04/2023)")</f>
        <v>Uncle Sams Cider (04/04/2023)</v>
      </c>
      <c r="H10765" s="19"/>
    </row>
    <row r="10766">
      <c r="A10766" s="9"/>
      <c r="B10766" s="15"/>
      <c r="C10766" s="9">
        <f>IFERROR(__xludf.DUMMYFUNCTION("""COMPUTED_VALUE"""),45031.1818840393)</f>
        <v>45031.18188</v>
      </c>
      <c r="D10766" s="15">
        <f>IFERROR(__xludf.DUMMYFUNCTION("""COMPUTED_VALUE"""),1.055)</f>
        <v>1.055</v>
      </c>
      <c r="E10766" s="16">
        <f>IFERROR(__xludf.DUMMYFUNCTION("""COMPUTED_VALUE"""),68.0)</f>
        <v>68</v>
      </c>
      <c r="F10766" s="19" t="str">
        <f>IFERROR(__xludf.DUMMYFUNCTION("""COMPUTED_VALUE"""),"BLACK")</f>
        <v>BLACK</v>
      </c>
      <c r="G10766" s="20" t="str">
        <f>IFERROR(__xludf.DUMMYFUNCTION("""COMPUTED_VALUE"""),"Uncle Sams Cider (04/04/2023)")</f>
        <v>Uncle Sams Cider (04/04/2023)</v>
      </c>
      <c r="H10766" s="19"/>
    </row>
    <row r="10767">
      <c r="A10767" s="9"/>
      <c r="B10767" s="15"/>
      <c r="C10767" s="9">
        <f>IFERROR(__xludf.DUMMYFUNCTION("""COMPUTED_VALUE"""),45031.1714620254)</f>
        <v>45031.17146</v>
      </c>
      <c r="D10767" s="15">
        <f>IFERROR(__xludf.DUMMYFUNCTION("""COMPUTED_VALUE"""),1.055)</f>
        <v>1.055</v>
      </c>
      <c r="E10767" s="16">
        <f>IFERROR(__xludf.DUMMYFUNCTION("""COMPUTED_VALUE"""),68.0)</f>
        <v>68</v>
      </c>
      <c r="F10767" s="19" t="str">
        <f>IFERROR(__xludf.DUMMYFUNCTION("""COMPUTED_VALUE"""),"BLACK")</f>
        <v>BLACK</v>
      </c>
      <c r="G10767" s="20" t="str">
        <f>IFERROR(__xludf.DUMMYFUNCTION("""COMPUTED_VALUE"""),"Uncle Sams Cider (04/04/2023)")</f>
        <v>Uncle Sams Cider (04/04/2023)</v>
      </c>
      <c r="H10767" s="19"/>
    </row>
    <row r="10768">
      <c r="A10768" s="9"/>
      <c r="B10768" s="15"/>
      <c r="C10768" s="9">
        <f>IFERROR(__xludf.DUMMYFUNCTION("""COMPUTED_VALUE"""),45031.1610404398)</f>
        <v>45031.16104</v>
      </c>
      <c r="D10768" s="15">
        <f>IFERROR(__xludf.DUMMYFUNCTION("""COMPUTED_VALUE"""),1.055)</f>
        <v>1.055</v>
      </c>
      <c r="E10768" s="16">
        <f>IFERROR(__xludf.DUMMYFUNCTION("""COMPUTED_VALUE"""),68.0)</f>
        <v>68</v>
      </c>
      <c r="F10768" s="19" t="str">
        <f>IFERROR(__xludf.DUMMYFUNCTION("""COMPUTED_VALUE"""),"BLACK")</f>
        <v>BLACK</v>
      </c>
      <c r="G10768" s="20" t="str">
        <f>IFERROR(__xludf.DUMMYFUNCTION("""COMPUTED_VALUE"""),"Uncle Sams Cider (04/04/2023)")</f>
        <v>Uncle Sams Cider (04/04/2023)</v>
      </c>
      <c r="H10768" s="19"/>
    </row>
    <row r="10769">
      <c r="A10769" s="9"/>
      <c r="B10769" s="15"/>
      <c r="C10769" s="9">
        <f>IFERROR(__xludf.DUMMYFUNCTION("""COMPUTED_VALUE"""),45031.1506079166)</f>
        <v>45031.15061</v>
      </c>
      <c r="D10769" s="15">
        <f>IFERROR(__xludf.DUMMYFUNCTION("""COMPUTED_VALUE"""),1.055)</f>
        <v>1.055</v>
      </c>
      <c r="E10769" s="16">
        <f>IFERROR(__xludf.DUMMYFUNCTION("""COMPUTED_VALUE"""),68.0)</f>
        <v>68</v>
      </c>
      <c r="F10769" s="19" t="str">
        <f>IFERROR(__xludf.DUMMYFUNCTION("""COMPUTED_VALUE"""),"BLACK")</f>
        <v>BLACK</v>
      </c>
      <c r="G10769" s="20" t="str">
        <f>IFERROR(__xludf.DUMMYFUNCTION("""COMPUTED_VALUE"""),"Uncle Sams Cider (04/04/2023)")</f>
        <v>Uncle Sams Cider (04/04/2023)</v>
      </c>
      <c r="H10769" s="19"/>
    </row>
    <row r="10770">
      <c r="A10770" s="9"/>
      <c r="B10770" s="15"/>
      <c r="C10770" s="9">
        <f>IFERROR(__xludf.DUMMYFUNCTION("""COMPUTED_VALUE"""),45031.1401875)</f>
        <v>45031.14019</v>
      </c>
      <c r="D10770" s="15">
        <f>IFERROR(__xludf.DUMMYFUNCTION("""COMPUTED_VALUE"""),1.055)</f>
        <v>1.055</v>
      </c>
      <c r="E10770" s="16">
        <f>IFERROR(__xludf.DUMMYFUNCTION("""COMPUTED_VALUE"""),68.0)</f>
        <v>68</v>
      </c>
      <c r="F10770" s="19" t="str">
        <f>IFERROR(__xludf.DUMMYFUNCTION("""COMPUTED_VALUE"""),"BLACK")</f>
        <v>BLACK</v>
      </c>
      <c r="G10770" s="20" t="str">
        <f>IFERROR(__xludf.DUMMYFUNCTION("""COMPUTED_VALUE"""),"Uncle Sams Cider (04/04/2023)")</f>
        <v>Uncle Sams Cider (04/04/2023)</v>
      </c>
      <c r="H10770" s="19"/>
    </row>
    <row r="10771">
      <c r="A10771" s="9"/>
      <c r="B10771" s="15"/>
      <c r="C10771" s="9">
        <f>IFERROR(__xludf.DUMMYFUNCTION("""COMPUTED_VALUE"""),45031.1297654629)</f>
        <v>45031.12977</v>
      </c>
      <c r="D10771" s="15">
        <f>IFERROR(__xludf.DUMMYFUNCTION("""COMPUTED_VALUE"""),1.055)</f>
        <v>1.055</v>
      </c>
      <c r="E10771" s="16">
        <f>IFERROR(__xludf.DUMMYFUNCTION("""COMPUTED_VALUE"""),68.0)</f>
        <v>68</v>
      </c>
      <c r="F10771" s="19" t="str">
        <f>IFERROR(__xludf.DUMMYFUNCTION("""COMPUTED_VALUE"""),"BLACK")</f>
        <v>BLACK</v>
      </c>
      <c r="G10771" s="20" t="str">
        <f>IFERROR(__xludf.DUMMYFUNCTION("""COMPUTED_VALUE"""),"Uncle Sams Cider (04/04/2023)")</f>
        <v>Uncle Sams Cider (04/04/2023)</v>
      </c>
      <c r="H10771" s="19"/>
    </row>
    <row r="10772">
      <c r="A10772" s="9"/>
      <c r="B10772" s="15"/>
      <c r="C10772" s="9">
        <f>IFERROR(__xludf.DUMMYFUNCTION("""COMPUTED_VALUE"""),45031.1193200347)</f>
        <v>45031.11932</v>
      </c>
      <c r="D10772" s="15">
        <f>IFERROR(__xludf.DUMMYFUNCTION("""COMPUTED_VALUE"""),1.055)</f>
        <v>1.055</v>
      </c>
      <c r="E10772" s="16">
        <f>IFERROR(__xludf.DUMMYFUNCTION("""COMPUTED_VALUE"""),68.0)</f>
        <v>68</v>
      </c>
      <c r="F10772" s="19" t="str">
        <f>IFERROR(__xludf.DUMMYFUNCTION("""COMPUTED_VALUE"""),"BLACK")</f>
        <v>BLACK</v>
      </c>
      <c r="G10772" s="20" t="str">
        <f>IFERROR(__xludf.DUMMYFUNCTION("""COMPUTED_VALUE"""),"Uncle Sams Cider (04/04/2023)")</f>
        <v>Uncle Sams Cider (04/04/2023)</v>
      </c>
      <c r="H10772" s="19"/>
    </row>
    <row r="10773">
      <c r="A10773" s="9"/>
      <c r="B10773" s="15"/>
      <c r="C10773" s="9">
        <f>IFERROR(__xludf.DUMMYFUNCTION("""COMPUTED_VALUE"""),45031.1088973148)</f>
        <v>45031.1089</v>
      </c>
      <c r="D10773" s="15">
        <f>IFERROR(__xludf.DUMMYFUNCTION("""COMPUTED_VALUE"""),1.055)</f>
        <v>1.055</v>
      </c>
      <c r="E10773" s="16">
        <f>IFERROR(__xludf.DUMMYFUNCTION("""COMPUTED_VALUE"""),68.0)</f>
        <v>68</v>
      </c>
      <c r="F10773" s="19" t="str">
        <f>IFERROR(__xludf.DUMMYFUNCTION("""COMPUTED_VALUE"""),"BLACK")</f>
        <v>BLACK</v>
      </c>
      <c r="G10773" s="20" t="str">
        <f>IFERROR(__xludf.DUMMYFUNCTION("""COMPUTED_VALUE"""),"Uncle Sams Cider (04/04/2023)")</f>
        <v>Uncle Sams Cider (04/04/2023)</v>
      </c>
      <c r="H10773" s="19"/>
    </row>
    <row r="10774">
      <c r="A10774" s="9"/>
      <c r="B10774" s="15"/>
      <c r="C10774" s="9">
        <f>IFERROR(__xludf.DUMMYFUNCTION("""COMPUTED_VALUE"""),45031.0984767245)</f>
        <v>45031.09848</v>
      </c>
      <c r="D10774" s="15">
        <f>IFERROR(__xludf.DUMMYFUNCTION("""COMPUTED_VALUE"""),1.055)</f>
        <v>1.055</v>
      </c>
      <c r="E10774" s="16">
        <f>IFERROR(__xludf.DUMMYFUNCTION("""COMPUTED_VALUE"""),68.0)</f>
        <v>68</v>
      </c>
      <c r="F10774" s="19" t="str">
        <f>IFERROR(__xludf.DUMMYFUNCTION("""COMPUTED_VALUE"""),"BLACK")</f>
        <v>BLACK</v>
      </c>
      <c r="G10774" s="20" t="str">
        <f>IFERROR(__xludf.DUMMYFUNCTION("""COMPUTED_VALUE"""),"Uncle Sams Cider (04/04/2023)")</f>
        <v>Uncle Sams Cider (04/04/2023)</v>
      </c>
      <c r="H10774" s="19"/>
    </row>
    <row r="10775">
      <c r="A10775" s="9"/>
      <c r="B10775" s="15"/>
      <c r="C10775" s="9">
        <f>IFERROR(__xludf.DUMMYFUNCTION("""COMPUTED_VALUE"""),45031.0880445138)</f>
        <v>45031.08804</v>
      </c>
      <c r="D10775" s="15">
        <f>IFERROR(__xludf.DUMMYFUNCTION("""COMPUTED_VALUE"""),1.055)</f>
        <v>1.055</v>
      </c>
      <c r="E10775" s="16">
        <f>IFERROR(__xludf.DUMMYFUNCTION("""COMPUTED_VALUE"""),68.0)</f>
        <v>68</v>
      </c>
      <c r="F10775" s="19" t="str">
        <f>IFERROR(__xludf.DUMMYFUNCTION("""COMPUTED_VALUE"""),"BLACK")</f>
        <v>BLACK</v>
      </c>
      <c r="G10775" s="20" t="str">
        <f>IFERROR(__xludf.DUMMYFUNCTION("""COMPUTED_VALUE"""),"Uncle Sams Cider (04/04/2023)")</f>
        <v>Uncle Sams Cider (04/04/2023)</v>
      </c>
      <c r="H10775" s="19"/>
    </row>
    <row r="10776">
      <c r="A10776" s="9"/>
      <c r="B10776" s="15"/>
      <c r="C10776" s="9">
        <f>IFERROR(__xludf.DUMMYFUNCTION("""COMPUTED_VALUE"""),45031.0776229861)</f>
        <v>45031.07762</v>
      </c>
      <c r="D10776" s="15">
        <f>IFERROR(__xludf.DUMMYFUNCTION("""COMPUTED_VALUE"""),1.055)</f>
        <v>1.055</v>
      </c>
      <c r="E10776" s="16">
        <f>IFERROR(__xludf.DUMMYFUNCTION("""COMPUTED_VALUE"""),68.0)</f>
        <v>68</v>
      </c>
      <c r="F10776" s="19" t="str">
        <f>IFERROR(__xludf.DUMMYFUNCTION("""COMPUTED_VALUE"""),"BLACK")</f>
        <v>BLACK</v>
      </c>
      <c r="G10776" s="20" t="str">
        <f>IFERROR(__xludf.DUMMYFUNCTION("""COMPUTED_VALUE"""),"Uncle Sams Cider (04/04/2023)")</f>
        <v>Uncle Sams Cider (04/04/2023)</v>
      </c>
      <c r="H10776" s="19"/>
    </row>
    <row r="10777">
      <c r="A10777" s="9"/>
      <c r="B10777" s="15"/>
      <c r="C10777" s="9">
        <f>IFERROR(__xludf.DUMMYFUNCTION("""COMPUTED_VALUE"""),45031.0671881828)</f>
        <v>45031.06719</v>
      </c>
      <c r="D10777" s="15">
        <f>IFERROR(__xludf.DUMMYFUNCTION("""COMPUTED_VALUE"""),1.055)</f>
        <v>1.055</v>
      </c>
      <c r="E10777" s="16">
        <f>IFERROR(__xludf.DUMMYFUNCTION("""COMPUTED_VALUE"""),68.0)</f>
        <v>68</v>
      </c>
      <c r="F10777" s="19" t="str">
        <f>IFERROR(__xludf.DUMMYFUNCTION("""COMPUTED_VALUE"""),"BLACK")</f>
        <v>BLACK</v>
      </c>
      <c r="G10777" s="20" t="str">
        <f>IFERROR(__xludf.DUMMYFUNCTION("""COMPUTED_VALUE"""),"Uncle Sams Cider (04/04/2023)")</f>
        <v>Uncle Sams Cider (04/04/2023)</v>
      </c>
      <c r="H10777" s="19"/>
    </row>
    <row r="10778">
      <c r="A10778" s="9"/>
      <c r="B10778" s="15"/>
      <c r="C10778" s="9">
        <f>IFERROR(__xludf.DUMMYFUNCTION("""COMPUTED_VALUE"""),45031.0567681134)</f>
        <v>45031.05677</v>
      </c>
      <c r="D10778" s="15">
        <f>IFERROR(__xludf.DUMMYFUNCTION("""COMPUTED_VALUE"""),1.055)</f>
        <v>1.055</v>
      </c>
      <c r="E10778" s="16">
        <f>IFERROR(__xludf.DUMMYFUNCTION("""COMPUTED_VALUE"""),68.0)</f>
        <v>68</v>
      </c>
      <c r="F10778" s="19" t="str">
        <f>IFERROR(__xludf.DUMMYFUNCTION("""COMPUTED_VALUE"""),"BLACK")</f>
        <v>BLACK</v>
      </c>
      <c r="G10778" s="20" t="str">
        <f>IFERROR(__xludf.DUMMYFUNCTION("""COMPUTED_VALUE"""),"Uncle Sams Cider (04/04/2023)")</f>
        <v>Uncle Sams Cider (04/04/2023)</v>
      </c>
      <c r="H10778" s="19"/>
    </row>
    <row r="10779">
      <c r="A10779" s="9"/>
      <c r="B10779" s="15"/>
      <c r="C10779" s="9">
        <f>IFERROR(__xludf.DUMMYFUNCTION("""COMPUTED_VALUE"""),45031.0463466088)</f>
        <v>45031.04635</v>
      </c>
      <c r="D10779" s="15">
        <f>IFERROR(__xludf.DUMMYFUNCTION("""COMPUTED_VALUE"""),1.055)</f>
        <v>1.055</v>
      </c>
      <c r="E10779" s="16">
        <f>IFERROR(__xludf.DUMMYFUNCTION("""COMPUTED_VALUE"""),68.0)</f>
        <v>68</v>
      </c>
      <c r="F10779" s="19" t="str">
        <f>IFERROR(__xludf.DUMMYFUNCTION("""COMPUTED_VALUE"""),"BLACK")</f>
        <v>BLACK</v>
      </c>
      <c r="G10779" s="20" t="str">
        <f>IFERROR(__xludf.DUMMYFUNCTION("""COMPUTED_VALUE"""),"Uncle Sams Cider (04/04/2023)")</f>
        <v>Uncle Sams Cider (04/04/2023)</v>
      </c>
      <c r="H10779" s="19"/>
    </row>
    <row r="10780">
      <c r="A10780" s="9"/>
      <c r="B10780" s="15"/>
      <c r="C10780" s="9">
        <f>IFERROR(__xludf.DUMMYFUNCTION("""COMPUTED_VALUE"""),45031.0359125)</f>
        <v>45031.03591</v>
      </c>
      <c r="D10780" s="15">
        <f>IFERROR(__xludf.DUMMYFUNCTION("""COMPUTED_VALUE"""),1.055)</f>
        <v>1.055</v>
      </c>
      <c r="E10780" s="16">
        <f>IFERROR(__xludf.DUMMYFUNCTION("""COMPUTED_VALUE"""),68.0)</f>
        <v>68</v>
      </c>
      <c r="F10780" s="19" t="str">
        <f>IFERROR(__xludf.DUMMYFUNCTION("""COMPUTED_VALUE"""),"BLACK")</f>
        <v>BLACK</v>
      </c>
      <c r="G10780" s="20" t="str">
        <f>IFERROR(__xludf.DUMMYFUNCTION("""COMPUTED_VALUE"""),"Uncle Sams Cider (04/04/2023)")</f>
        <v>Uncle Sams Cider (04/04/2023)</v>
      </c>
      <c r="H10780" s="19"/>
    </row>
    <row r="10781">
      <c r="A10781" s="9"/>
      <c r="B10781" s="15"/>
      <c r="C10781" s="9">
        <f>IFERROR(__xludf.DUMMYFUNCTION("""COMPUTED_VALUE"""),45031.025490625)</f>
        <v>45031.02549</v>
      </c>
      <c r="D10781" s="15">
        <f>IFERROR(__xludf.DUMMYFUNCTION("""COMPUTED_VALUE"""),1.055)</f>
        <v>1.055</v>
      </c>
      <c r="E10781" s="16">
        <f>IFERROR(__xludf.DUMMYFUNCTION("""COMPUTED_VALUE"""),68.0)</f>
        <v>68</v>
      </c>
      <c r="F10781" s="19" t="str">
        <f>IFERROR(__xludf.DUMMYFUNCTION("""COMPUTED_VALUE"""),"BLACK")</f>
        <v>BLACK</v>
      </c>
      <c r="G10781" s="20" t="str">
        <f>IFERROR(__xludf.DUMMYFUNCTION("""COMPUTED_VALUE"""),"Uncle Sams Cider (04/04/2023)")</f>
        <v>Uncle Sams Cider (04/04/2023)</v>
      </c>
      <c r="H10781" s="19"/>
    </row>
    <row r="10782">
      <c r="A10782" s="9"/>
      <c r="B10782" s="15"/>
      <c r="C10782" s="9">
        <f>IFERROR(__xludf.DUMMYFUNCTION("""COMPUTED_VALUE"""),45031.0150696527)</f>
        <v>45031.01507</v>
      </c>
      <c r="D10782" s="15">
        <f>IFERROR(__xludf.DUMMYFUNCTION("""COMPUTED_VALUE"""),1.055)</f>
        <v>1.055</v>
      </c>
      <c r="E10782" s="16">
        <f>IFERROR(__xludf.DUMMYFUNCTION("""COMPUTED_VALUE"""),68.0)</f>
        <v>68</v>
      </c>
      <c r="F10782" s="19" t="str">
        <f>IFERROR(__xludf.DUMMYFUNCTION("""COMPUTED_VALUE"""),"BLACK")</f>
        <v>BLACK</v>
      </c>
      <c r="G10782" s="20" t="str">
        <f>IFERROR(__xludf.DUMMYFUNCTION("""COMPUTED_VALUE"""),"Uncle Sams Cider (04/04/2023)")</f>
        <v>Uncle Sams Cider (04/04/2023)</v>
      </c>
      <c r="H10782" s="19"/>
    </row>
    <row r="10783">
      <c r="A10783" s="9"/>
      <c r="B10783" s="15"/>
      <c r="C10783" s="9">
        <f>IFERROR(__xludf.DUMMYFUNCTION("""COMPUTED_VALUE"""),45031.0046474768)</f>
        <v>45031.00465</v>
      </c>
      <c r="D10783" s="15">
        <f>IFERROR(__xludf.DUMMYFUNCTION("""COMPUTED_VALUE"""),1.056)</f>
        <v>1.056</v>
      </c>
      <c r="E10783" s="16">
        <f>IFERROR(__xludf.DUMMYFUNCTION("""COMPUTED_VALUE"""),68.0)</f>
        <v>68</v>
      </c>
      <c r="F10783" s="19" t="str">
        <f>IFERROR(__xludf.DUMMYFUNCTION("""COMPUTED_VALUE"""),"BLACK")</f>
        <v>BLACK</v>
      </c>
      <c r="G10783" s="20" t="str">
        <f>IFERROR(__xludf.DUMMYFUNCTION("""COMPUTED_VALUE"""),"Uncle Sams Cider (04/04/2023)")</f>
        <v>Uncle Sams Cider (04/04/2023)</v>
      </c>
      <c r="H10783" s="19"/>
    </row>
    <row r="10784">
      <c r="A10784" s="9"/>
      <c r="B10784" s="15"/>
      <c r="C10784" s="9">
        <f>IFERROR(__xludf.DUMMYFUNCTION("""COMPUTED_VALUE"""),45030.9942034143)</f>
        <v>45030.9942</v>
      </c>
      <c r="D10784" s="15">
        <f>IFERROR(__xludf.DUMMYFUNCTION("""COMPUTED_VALUE"""),1.055)</f>
        <v>1.055</v>
      </c>
      <c r="E10784" s="16">
        <f>IFERROR(__xludf.DUMMYFUNCTION("""COMPUTED_VALUE"""),68.0)</f>
        <v>68</v>
      </c>
      <c r="F10784" s="19" t="str">
        <f>IFERROR(__xludf.DUMMYFUNCTION("""COMPUTED_VALUE"""),"BLACK")</f>
        <v>BLACK</v>
      </c>
      <c r="G10784" s="20" t="str">
        <f>IFERROR(__xludf.DUMMYFUNCTION("""COMPUTED_VALUE"""),"Uncle Sams Cider (04/04/2023)")</f>
        <v>Uncle Sams Cider (04/04/2023)</v>
      </c>
      <c r="H10784" s="19"/>
    </row>
    <row r="10785">
      <c r="A10785" s="9"/>
      <c r="B10785" s="15"/>
      <c r="C10785" s="9">
        <f>IFERROR(__xludf.DUMMYFUNCTION("""COMPUTED_VALUE"""),45030.9837832291)</f>
        <v>45030.98378</v>
      </c>
      <c r="D10785" s="15">
        <f>IFERROR(__xludf.DUMMYFUNCTION("""COMPUTED_VALUE"""),1.055)</f>
        <v>1.055</v>
      </c>
      <c r="E10785" s="16">
        <f>IFERROR(__xludf.DUMMYFUNCTION("""COMPUTED_VALUE"""),68.0)</f>
        <v>68</v>
      </c>
      <c r="F10785" s="19" t="str">
        <f>IFERROR(__xludf.DUMMYFUNCTION("""COMPUTED_VALUE"""),"BLACK")</f>
        <v>BLACK</v>
      </c>
      <c r="G10785" s="20" t="str">
        <f>IFERROR(__xludf.DUMMYFUNCTION("""COMPUTED_VALUE"""),"Uncle Sams Cider (04/04/2023)")</f>
        <v>Uncle Sams Cider (04/04/2023)</v>
      </c>
      <c r="H10785" s="19"/>
    </row>
    <row r="10786">
      <c r="A10786" s="9"/>
      <c r="B10786" s="15"/>
      <c r="C10786" s="9">
        <f>IFERROR(__xludf.DUMMYFUNCTION("""COMPUTED_VALUE"""),45030.9733612152)</f>
        <v>45030.97336</v>
      </c>
      <c r="D10786" s="15">
        <f>IFERROR(__xludf.DUMMYFUNCTION("""COMPUTED_VALUE"""),1.055)</f>
        <v>1.055</v>
      </c>
      <c r="E10786" s="16">
        <f>IFERROR(__xludf.DUMMYFUNCTION("""COMPUTED_VALUE"""),68.0)</f>
        <v>68</v>
      </c>
      <c r="F10786" s="19" t="str">
        <f>IFERROR(__xludf.DUMMYFUNCTION("""COMPUTED_VALUE"""),"BLACK")</f>
        <v>BLACK</v>
      </c>
      <c r="G10786" s="20" t="str">
        <f>IFERROR(__xludf.DUMMYFUNCTION("""COMPUTED_VALUE"""),"Uncle Sams Cider (04/04/2023)")</f>
        <v>Uncle Sams Cider (04/04/2023)</v>
      </c>
      <c r="H10786" s="19"/>
    </row>
    <row r="10787">
      <c r="A10787" s="9"/>
      <c r="B10787" s="15"/>
      <c r="C10787" s="9">
        <f>IFERROR(__xludf.DUMMYFUNCTION("""COMPUTED_VALUE"""),45030.9629403009)</f>
        <v>45030.96294</v>
      </c>
      <c r="D10787" s="15">
        <f>IFERROR(__xludf.DUMMYFUNCTION("""COMPUTED_VALUE"""),1.056)</f>
        <v>1.056</v>
      </c>
      <c r="E10787" s="16">
        <f>IFERROR(__xludf.DUMMYFUNCTION("""COMPUTED_VALUE"""),68.0)</f>
        <v>68</v>
      </c>
      <c r="F10787" s="19" t="str">
        <f>IFERROR(__xludf.DUMMYFUNCTION("""COMPUTED_VALUE"""),"BLACK")</f>
        <v>BLACK</v>
      </c>
      <c r="G10787" s="20" t="str">
        <f>IFERROR(__xludf.DUMMYFUNCTION("""COMPUTED_VALUE"""),"Uncle Sams Cider (04/04/2023)")</f>
        <v>Uncle Sams Cider (04/04/2023)</v>
      </c>
      <c r="H10787" s="19"/>
    </row>
    <row r="10788">
      <c r="A10788" s="9"/>
      <c r="B10788" s="15"/>
      <c r="C10788" s="9">
        <f>IFERROR(__xludf.DUMMYFUNCTION("""COMPUTED_VALUE"""),45030.9525188426)</f>
        <v>45030.95252</v>
      </c>
      <c r="D10788" s="15">
        <f>IFERROR(__xludf.DUMMYFUNCTION("""COMPUTED_VALUE"""),1.055)</f>
        <v>1.055</v>
      </c>
      <c r="E10788" s="16">
        <f>IFERROR(__xludf.DUMMYFUNCTION("""COMPUTED_VALUE"""),68.0)</f>
        <v>68</v>
      </c>
      <c r="F10788" s="19" t="str">
        <f>IFERROR(__xludf.DUMMYFUNCTION("""COMPUTED_VALUE"""),"BLACK")</f>
        <v>BLACK</v>
      </c>
      <c r="G10788" s="20" t="str">
        <f>IFERROR(__xludf.DUMMYFUNCTION("""COMPUTED_VALUE"""),"Uncle Sams Cider (04/04/2023)")</f>
        <v>Uncle Sams Cider (04/04/2023)</v>
      </c>
      <c r="H10788" s="19"/>
    </row>
    <row r="10789">
      <c r="A10789" s="9"/>
      <c r="B10789" s="15"/>
      <c r="C10789" s="9">
        <f>IFERROR(__xludf.DUMMYFUNCTION("""COMPUTED_VALUE"""),45030.9420615046)</f>
        <v>45030.94206</v>
      </c>
      <c r="D10789" s="15">
        <f>IFERROR(__xludf.DUMMYFUNCTION("""COMPUTED_VALUE"""),1.056)</f>
        <v>1.056</v>
      </c>
      <c r="E10789" s="16">
        <f>IFERROR(__xludf.DUMMYFUNCTION("""COMPUTED_VALUE"""),68.0)</f>
        <v>68</v>
      </c>
      <c r="F10789" s="19" t="str">
        <f>IFERROR(__xludf.DUMMYFUNCTION("""COMPUTED_VALUE"""),"BLACK")</f>
        <v>BLACK</v>
      </c>
      <c r="G10789" s="20" t="str">
        <f>IFERROR(__xludf.DUMMYFUNCTION("""COMPUTED_VALUE"""),"Uncle Sams Cider (04/04/2023)")</f>
        <v>Uncle Sams Cider (04/04/2023)</v>
      </c>
      <c r="H10789" s="19"/>
    </row>
    <row r="10790">
      <c r="A10790" s="9"/>
      <c r="B10790" s="15"/>
      <c r="C10790" s="9">
        <f>IFERROR(__xludf.DUMMYFUNCTION("""COMPUTED_VALUE"""),45030.9316291551)</f>
        <v>45030.93163</v>
      </c>
      <c r="D10790" s="15">
        <f>IFERROR(__xludf.DUMMYFUNCTION("""COMPUTED_VALUE"""),1.056)</f>
        <v>1.056</v>
      </c>
      <c r="E10790" s="16">
        <f>IFERROR(__xludf.DUMMYFUNCTION("""COMPUTED_VALUE"""),67.0)</f>
        <v>67</v>
      </c>
      <c r="F10790" s="19" t="str">
        <f>IFERROR(__xludf.DUMMYFUNCTION("""COMPUTED_VALUE"""),"BLACK")</f>
        <v>BLACK</v>
      </c>
      <c r="G10790" s="20" t="str">
        <f>IFERROR(__xludf.DUMMYFUNCTION("""COMPUTED_VALUE"""),"Uncle Sams Cider (04/04/2023)")</f>
        <v>Uncle Sams Cider (04/04/2023)</v>
      </c>
      <c r="H10790" s="19"/>
    </row>
    <row r="10791">
      <c r="A10791" s="9"/>
      <c r="B10791" s="15"/>
      <c r="C10791" s="9">
        <f>IFERROR(__xludf.DUMMYFUNCTION("""COMPUTED_VALUE"""),45030.9212073611)</f>
        <v>45030.92121</v>
      </c>
      <c r="D10791" s="15">
        <f>IFERROR(__xludf.DUMMYFUNCTION("""COMPUTED_VALUE"""),1.056)</f>
        <v>1.056</v>
      </c>
      <c r="E10791" s="16">
        <f>IFERROR(__xludf.DUMMYFUNCTION("""COMPUTED_VALUE"""),68.0)</f>
        <v>68</v>
      </c>
      <c r="F10791" s="19" t="str">
        <f>IFERROR(__xludf.DUMMYFUNCTION("""COMPUTED_VALUE"""),"BLACK")</f>
        <v>BLACK</v>
      </c>
      <c r="G10791" s="20" t="str">
        <f>IFERROR(__xludf.DUMMYFUNCTION("""COMPUTED_VALUE"""),"Uncle Sams Cider (04/04/2023)")</f>
        <v>Uncle Sams Cider (04/04/2023)</v>
      </c>
      <c r="H10791" s="19"/>
    </row>
    <row r="10792">
      <c r="A10792" s="9"/>
      <c r="B10792" s="15"/>
      <c r="C10792" s="9">
        <f>IFERROR(__xludf.DUMMYFUNCTION("""COMPUTED_VALUE"""),45030.9107859838)</f>
        <v>45030.91079</v>
      </c>
      <c r="D10792" s="15">
        <f>IFERROR(__xludf.DUMMYFUNCTION("""COMPUTED_VALUE"""),1.056)</f>
        <v>1.056</v>
      </c>
      <c r="E10792" s="16">
        <f>IFERROR(__xludf.DUMMYFUNCTION("""COMPUTED_VALUE"""),68.0)</f>
        <v>68</v>
      </c>
      <c r="F10792" s="19" t="str">
        <f>IFERROR(__xludf.DUMMYFUNCTION("""COMPUTED_VALUE"""),"BLACK")</f>
        <v>BLACK</v>
      </c>
      <c r="G10792" s="20" t="str">
        <f>IFERROR(__xludf.DUMMYFUNCTION("""COMPUTED_VALUE"""),"Uncle Sams Cider (04/04/2023)")</f>
        <v>Uncle Sams Cider (04/04/2023)</v>
      </c>
      <c r="H10792" s="19"/>
    </row>
    <row r="10793">
      <c r="A10793" s="9"/>
      <c r="B10793" s="15"/>
      <c r="C10793" s="9">
        <f>IFERROR(__xludf.DUMMYFUNCTION("""COMPUTED_VALUE"""),45030.9003640046)</f>
        <v>45030.90036</v>
      </c>
      <c r="D10793" s="15">
        <f>IFERROR(__xludf.DUMMYFUNCTION("""COMPUTED_VALUE"""),1.056)</f>
        <v>1.056</v>
      </c>
      <c r="E10793" s="16">
        <f>IFERROR(__xludf.DUMMYFUNCTION("""COMPUTED_VALUE"""),67.0)</f>
        <v>67</v>
      </c>
      <c r="F10793" s="19" t="str">
        <f>IFERROR(__xludf.DUMMYFUNCTION("""COMPUTED_VALUE"""),"BLACK")</f>
        <v>BLACK</v>
      </c>
      <c r="G10793" s="20" t="str">
        <f>IFERROR(__xludf.DUMMYFUNCTION("""COMPUTED_VALUE"""),"Uncle Sams Cider (04/04/2023)")</f>
        <v>Uncle Sams Cider (04/04/2023)</v>
      </c>
      <c r="H10793" s="19"/>
    </row>
    <row r="10794">
      <c r="A10794" s="9"/>
      <c r="B10794" s="15"/>
      <c r="C10794" s="9">
        <f>IFERROR(__xludf.DUMMYFUNCTION("""COMPUTED_VALUE"""),45030.8899434375)</f>
        <v>45030.88994</v>
      </c>
      <c r="D10794" s="15">
        <f>IFERROR(__xludf.DUMMYFUNCTION("""COMPUTED_VALUE"""),1.056)</f>
        <v>1.056</v>
      </c>
      <c r="E10794" s="16">
        <f>IFERROR(__xludf.DUMMYFUNCTION("""COMPUTED_VALUE"""),67.0)</f>
        <v>67</v>
      </c>
      <c r="F10794" s="19" t="str">
        <f>IFERROR(__xludf.DUMMYFUNCTION("""COMPUTED_VALUE"""),"BLACK")</f>
        <v>BLACK</v>
      </c>
      <c r="G10794" s="20" t="str">
        <f>IFERROR(__xludf.DUMMYFUNCTION("""COMPUTED_VALUE"""),"Uncle Sams Cider (04/04/2023)")</f>
        <v>Uncle Sams Cider (04/04/2023)</v>
      </c>
      <c r="H10794" s="19"/>
    </row>
    <row r="10795">
      <c r="A10795" s="9"/>
      <c r="B10795" s="15"/>
      <c r="C10795" s="9">
        <f>IFERROR(__xludf.DUMMYFUNCTION("""COMPUTED_VALUE"""),45030.8795119444)</f>
        <v>45030.87951</v>
      </c>
      <c r="D10795" s="15">
        <f>IFERROR(__xludf.DUMMYFUNCTION("""COMPUTED_VALUE"""),1.056)</f>
        <v>1.056</v>
      </c>
      <c r="E10795" s="16">
        <f>IFERROR(__xludf.DUMMYFUNCTION("""COMPUTED_VALUE"""),67.0)</f>
        <v>67</v>
      </c>
      <c r="F10795" s="19" t="str">
        <f>IFERROR(__xludf.DUMMYFUNCTION("""COMPUTED_VALUE"""),"BLACK")</f>
        <v>BLACK</v>
      </c>
      <c r="G10795" s="20" t="str">
        <f>IFERROR(__xludf.DUMMYFUNCTION("""COMPUTED_VALUE"""),"Uncle Sams Cider (04/04/2023)")</f>
        <v>Uncle Sams Cider (04/04/2023)</v>
      </c>
      <c r="H10795" s="19"/>
    </row>
    <row r="10796">
      <c r="A10796" s="9"/>
      <c r="B10796" s="15"/>
      <c r="C10796" s="9">
        <f>IFERROR(__xludf.DUMMYFUNCTION("""COMPUTED_VALUE"""),45030.8690898726)</f>
        <v>45030.86909</v>
      </c>
      <c r="D10796" s="15">
        <f>IFERROR(__xludf.DUMMYFUNCTION("""COMPUTED_VALUE"""),1.056)</f>
        <v>1.056</v>
      </c>
      <c r="E10796" s="16">
        <f>IFERROR(__xludf.DUMMYFUNCTION("""COMPUTED_VALUE"""),67.0)</f>
        <v>67</v>
      </c>
      <c r="F10796" s="19" t="str">
        <f>IFERROR(__xludf.DUMMYFUNCTION("""COMPUTED_VALUE"""),"BLACK")</f>
        <v>BLACK</v>
      </c>
      <c r="G10796" s="20" t="str">
        <f>IFERROR(__xludf.DUMMYFUNCTION("""COMPUTED_VALUE"""),"Uncle Sams Cider (04/04/2023)")</f>
        <v>Uncle Sams Cider (04/04/2023)</v>
      </c>
      <c r="H10796" s="19"/>
    </row>
    <row r="10797">
      <c r="A10797" s="9"/>
      <c r="B10797" s="15"/>
      <c r="C10797" s="9">
        <f>IFERROR(__xludf.DUMMYFUNCTION("""COMPUTED_VALUE"""),45030.8586699884)</f>
        <v>45030.85867</v>
      </c>
      <c r="D10797" s="15">
        <f>IFERROR(__xludf.DUMMYFUNCTION("""COMPUTED_VALUE"""),1.056)</f>
        <v>1.056</v>
      </c>
      <c r="E10797" s="16">
        <f>IFERROR(__xludf.DUMMYFUNCTION("""COMPUTED_VALUE"""),67.0)</f>
        <v>67</v>
      </c>
      <c r="F10797" s="19" t="str">
        <f>IFERROR(__xludf.DUMMYFUNCTION("""COMPUTED_VALUE"""),"BLACK")</f>
        <v>BLACK</v>
      </c>
      <c r="G10797" s="20" t="str">
        <f>IFERROR(__xludf.DUMMYFUNCTION("""COMPUTED_VALUE"""),"Uncle Sams Cider (04/04/2023)")</f>
        <v>Uncle Sams Cider (04/04/2023)</v>
      </c>
      <c r="H10797" s="19"/>
    </row>
    <row r="10798">
      <c r="A10798" s="9"/>
      <c r="B10798" s="15"/>
      <c r="C10798" s="9">
        <f>IFERROR(__xludf.DUMMYFUNCTION("""COMPUTED_VALUE"""),45030.8482494907)</f>
        <v>45030.84825</v>
      </c>
      <c r="D10798" s="15">
        <f>IFERROR(__xludf.DUMMYFUNCTION("""COMPUTED_VALUE"""),1.056)</f>
        <v>1.056</v>
      </c>
      <c r="E10798" s="16">
        <f>IFERROR(__xludf.DUMMYFUNCTION("""COMPUTED_VALUE"""),67.0)</f>
        <v>67</v>
      </c>
      <c r="F10798" s="19" t="str">
        <f>IFERROR(__xludf.DUMMYFUNCTION("""COMPUTED_VALUE"""),"BLACK")</f>
        <v>BLACK</v>
      </c>
      <c r="G10798" s="20" t="str">
        <f>IFERROR(__xludf.DUMMYFUNCTION("""COMPUTED_VALUE"""),"Uncle Sams Cider (04/04/2023)")</f>
        <v>Uncle Sams Cider (04/04/2023)</v>
      </c>
      <c r="H10798" s="19"/>
    </row>
    <row r="10799">
      <c r="A10799" s="9"/>
      <c r="B10799" s="15"/>
      <c r="C10799" s="9">
        <f>IFERROR(__xludf.DUMMYFUNCTION("""COMPUTED_VALUE"""),45030.8377824652)</f>
        <v>45030.83778</v>
      </c>
      <c r="D10799" s="15">
        <f>IFERROR(__xludf.DUMMYFUNCTION("""COMPUTED_VALUE"""),1.056)</f>
        <v>1.056</v>
      </c>
      <c r="E10799" s="16">
        <f>IFERROR(__xludf.DUMMYFUNCTION("""COMPUTED_VALUE"""),67.0)</f>
        <v>67</v>
      </c>
      <c r="F10799" s="19" t="str">
        <f>IFERROR(__xludf.DUMMYFUNCTION("""COMPUTED_VALUE"""),"BLACK")</f>
        <v>BLACK</v>
      </c>
      <c r="G10799" s="20" t="str">
        <f>IFERROR(__xludf.DUMMYFUNCTION("""COMPUTED_VALUE"""),"Uncle Sams Cider (04/04/2023)")</f>
        <v>Uncle Sams Cider (04/04/2023)</v>
      </c>
      <c r="H10799" s="19"/>
    </row>
    <row r="10800">
      <c r="A10800" s="9"/>
      <c r="B10800" s="15"/>
      <c r="C10800" s="9">
        <f>IFERROR(__xludf.DUMMYFUNCTION("""COMPUTED_VALUE"""),45030.8273513657)</f>
        <v>45030.82735</v>
      </c>
      <c r="D10800" s="15">
        <f>IFERROR(__xludf.DUMMYFUNCTION("""COMPUTED_VALUE"""),1.056)</f>
        <v>1.056</v>
      </c>
      <c r="E10800" s="16">
        <f>IFERROR(__xludf.DUMMYFUNCTION("""COMPUTED_VALUE"""),67.0)</f>
        <v>67</v>
      </c>
      <c r="F10800" s="19" t="str">
        <f>IFERROR(__xludf.DUMMYFUNCTION("""COMPUTED_VALUE"""),"BLACK")</f>
        <v>BLACK</v>
      </c>
      <c r="G10800" s="20" t="str">
        <f>IFERROR(__xludf.DUMMYFUNCTION("""COMPUTED_VALUE"""),"Uncle Sams Cider (04/04/2023)")</f>
        <v>Uncle Sams Cider (04/04/2023)</v>
      </c>
      <c r="H10800" s="19"/>
    </row>
    <row r="10801">
      <c r="A10801" s="9"/>
      <c r="B10801" s="15"/>
      <c r="C10801" s="9">
        <f>IFERROR(__xludf.DUMMYFUNCTION("""COMPUTED_VALUE"""),45030.8169294444)</f>
        <v>45030.81693</v>
      </c>
      <c r="D10801" s="15">
        <f>IFERROR(__xludf.DUMMYFUNCTION("""COMPUTED_VALUE"""),1.056)</f>
        <v>1.056</v>
      </c>
      <c r="E10801" s="16">
        <f>IFERROR(__xludf.DUMMYFUNCTION("""COMPUTED_VALUE"""),67.0)</f>
        <v>67</v>
      </c>
      <c r="F10801" s="19" t="str">
        <f>IFERROR(__xludf.DUMMYFUNCTION("""COMPUTED_VALUE"""),"BLACK")</f>
        <v>BLACK</v>
      </c>
      <c r="G10801" s="20" t="str">
        <f>IFERROR(__xludf.DUMMYFUNCTION("""COMPUTED_VALUE"""),"Uncle Sams Cider (04/04/2023)")</f>
        <v>Uncle Sams Cider (04/04/2023)</v>
      </c>
      <c r="H10801" s="19"/>
    </row>
    <row r="10802">
      <c r="A10802" s="9"/>
      <c r="B10802" s="15"/>
      <c r="C10802" s="9">
        <f>IFERROR(__xludf.DUMMYFUNCTION("""COMPUTED_VALUE"""),45030.8064852314)</f>
        <v>45030.80649</v>
      </c>
      <c r="D10802" s="15">
        <f>IFERROR(__xludf.DUMMYFUNCTION("""COMPUTED_VALUE"""),1.056)</f>
        <v>1.056</v>
      </c>
      <c r="E10802" s="16">
        <f>IFERROR(__xludf.DUMMYFUNCTION("""COMPUTED_VALUE"""),67.0)</f>
        <v>67</v>
      </c>
      <c r="F10802" s="19" t="str">
        <f>IFERROR(__xludf.DUMMYFUNCTION("""COMPUTED_VALUE"""),"BLACK")</f>
        <v>BLACK</v>
      </c>
      <c r="G10802" s="20" t="str">
        <f>IFERROR(__xludf.DUMMYFUNCTION("""COMPUTED_VALUE"""),"Uncle Sams Cider (04/04/2023)")</f>
        <v>Uncle Sams Cider (04/04/2023)</v>
      </c>
      <c r="H10802" s="19"/>
    </row>
    <row r="10803">
      <c r="A10803" s="9"/>
      <c r="B10803" s="15"/>
      <c r="C10803" s="9">
        <f>IFERROR(__xludf.DUMMYFUNCTION("""COMPUTED_VALUE"""),45030.7960653588)</f>
        <v>45030.79607</v>
      </c>
      <c r="D10803" s="15">
        <f>IFERROR(__xludf.DUMMYFUNCTION("""COMPUTED_VALUE"""),1.056)</f>
        <v>1.056</v>
      </c>
      <c r="E10803" s="16">
        <f>IFERROR(__xludf.DUMMYFUNCTION("""COMPUTED_VALUE"""),67.0)</f>
        <v>67</v>
      </c>
      <c r="F10803" s="19" t="str">
        <f>IFERROR(__xludf.DUMMYFUNCTION("""COMPUTED_VALUE"""),"BLACK")</f>
        <v>BLACK</v>
      </c>
      <c r="G10803" s="20" t="str">
        <f>IFERROR(__xludf.DUMMYFUNCTION("""COMPUTED_VALUE"""),"Uncle Sams Cider (04/04/2023)")</f>
        <v>Uncle Sams Cider (04/04/2023)</v>
      </c>
      <c r="H10803" s="19"/>
    </row>
    <row r="10804">
      <c r="A10804" s="9"/>
      <c r="B10804" s="15"/>
      <c r="C10804" s="9">
        <f>IFERROR(__xludf.DUMMYFUNCTION("""COMPUTED_VALUE"""),45030.7856325)</f>
        <v>45030.78563</v>
      </c>
      <c r="D10804" s="15">
        <f>IFERROR(__xludf.DUMMYFUNCTION("""COMPUTED_VALUE"""),1.056)</f>
        <v>1.056</v>
      </c>
      <c r="E10804" s="16">
        <f>IFERROR(__xludf.DUMMYFUNCTION("""COMPUTED_VALUE"""),67.0)</f>
        <v>67</v>
      </c>
      <c r="F10804" s="19" t="str">
        <f>IFERROR(__xludf.DUMMYFUNCTION("""COMPUTED_VALUE"""),"BLACK")</f>
        <v>BLACK</v>
      </c>
      <c r="G10804" s="20" t="str">
        <f>IFERROR(__xludf.DUMMYFUNCTION("""COMPUTED_VALUE"""),"Uncle Sams Cider (04/04/2023)")</f>
        <v>Uncle Sams Cider (04/04/2023)</v>
      </c>
      <c r="H10804" s="19"/>
    </row>
    <row r="10805">
      <c r="A10805" s="9"/>
      <c r="B10805" s="15"/>
      <c r="C10805" s="9">
        <f>IFERROR(__xludf.DUMMYFUNCTION("""COMPUTED_VALUE"""),45030.7752137963)</f>
        <v>45030.77521</v>
      </c>
      <c r="D10805" s="15">
        <f>IFERROR(__xludf.DUMMYFUNCTION("""COMPUTED_VALUE"""),1.056)</f>
        <v>1.056</v>
      </c>
      <c r="E10805" s="16">
        <f>IFERROR(__xludf.DUMMYFUNCTION("""COMPUTED_VALUE"""),67.0)</f>
        <v>67</v>
      </c>
      <c r="F10805" s="19" t="str">
        <f>IFERROR(__xludf.DUMMYFUNCTION("""COMPUTED_VALUE"""),"BLACK")</f>
        <v>BLACK</v>
      </c>
      <c r="G10805" s="20" t="str">
        <f>IFERROR(__xludf.DUMMYFUNCTION("""COMPUTED_VALUE"""),"Uncle Sams Cider (04/04/2023)")</f>
        <v>Uncle Sams Cider (04/04/2023)</v>
      </c>
      <c r="H10805" s="19"/>
    </row>
    <row r="10806">
      <c r="A10806" s="9"/>
      <c r="B10806" s="15"/>
      <c r="C10806" s="9">
        <f>IFERROR(__xludf.DUMMYFUNCTION("""COMPUTED_VALUE"""),45030.7647808217)</f>
        <v>45030.76478</v>
      </c>
      <c r="D10806" s="15">
        <f>IFERROR(__xludf.DUMMYFUNCTION("""COMPUTED_VALUE"""),1.056)</f>
        <v>1.056</v>
      </c>
      <c r="E10806" s="16">
        <f>IFERROR(__xludf.DUMMYFUNCTION("""COMPUTED_VALUE"""),67.0)</f>
        <v>67</v>
      </c>
      <c r="F10806" s="19" t="str">
        <f>IFERROR(__xludf.DUMMYFUNCTION("""COMPUTED_VALUE"""),"BLACK")</f>
        <v>BLACK</v>
      </c>
      <c r="G10806" s="20" t="str">
        <f>IFERROR(__xludf.DUMMYFUNCTION("""COMPUTED_VALUE"""),"Uncle Sams Cider (04/04/2023)")</f>
        <v>Uncle Sams Cider (04/04/2023)</v>
      </c>
      <c r="H10806" s="19"/>
    </row>
    <row r="10807">
      <c r="A10807" s="9"/>
      <c r="B10807" s="15"/>
      <c r="C10807" s="9">
        <f>IFERROR(__xludf.DUMMYFUNCTION("""COMPUTED_VALUE"""),45030.7543589351)</f>
        <v>45030.75436</v>
      </c>
      <c r="D10807" s="15">
        <f>IFERROR(__xludf.DUMMYFUNCTION("""COMPUTED_VALUE"""),1.056)</f>
        <v>1.056</v>
      </c>
      <c r="E10807" s="16">
        <f>IFERROR(__xludf.DUMMYFUNCTION("""COMPUTED_VALUE"""),67.0)</f>
        <v>67</v>
      </c>
      <c r="F10807" s="19" t="str">
        <f>IFERROR(__xludf.DUMMYFUNCTION("""COMPUTED_VALUE"""),"BLACK")</f>
        <v>BLACK</v>
      </c>
      <c r="G10807" s="20" t="str">
        <f>IFERROR(__xludf.DUMMYFUNCTION("""COMPUTED_VALUE"""),"Uncle Sams Cider (04/04/2023)")</f>
        <v>Uncle Sams Cider (04/04/2023)</v>
      </c>
      <c r="H10807" s="19"/>
    </row>
    <row r="10808">
      <c r="A10808" s="9"/>
      <c r="B10808" s="15"/>
      <c r="C10808" s="9">
        <f>IFERROR(__xludf.DUMMYFUNCTION("""COMPUTED_VALUE"""),45030.7439261111)</f>
        <v>45030.74393</v>
      </c>
      <c r="D10808" s="15">
        <f>IFERROR(__xludf.DUMMYFUNCTION("""COMPUTED_VALUE"""),1.056)</f>
        <v>1.056</v>
      </c>
      <c r="E10808" s="16">
        <f>IFERROR(__xludf.DUMMYFUNCTION("""COMPUTED_VALUE"""),67.0)</f>
        <v>67</v>
      </c>
      <c r="F10808" s="19" t="str">
        <f>IFERROR(__xludf.DUMMYFUNCTION("""COMPUTED_VALUE"""),"BLACK")</f>
        <v>BLACK</v>
      </c>
      <c r="G10808" s="20" t="str">
        <f>IFERROR(__xludf.DUMMYFUNCTION("""COMPUTED_VALUE"""),"Uncle Sams Cider (04/04/2023)")</f>
        <v>Uncle Sams Cider (04/04/2023)</v>
      </c>
      <c r="H10808" s="19"/>
    </row>
    <row r="10809">
      <c r="A10809" s="9"/>
      <c r="B10809" s="15"/>
      <c r="C10809" s="9">
        <f>IFERROR(__xludf.DUMMYFUNCTION("""COMPUTED_VALUE"""),45030.7334933796)</f>
        <v>45030.73349</v>
      </c>
      <c r="D10809" s="15">
        <f>IFERROR(__xludf.DUMMYFUNCTION("""COMPUTED_VALUE"""),1.056)</f>
        <v>1.056</v>
      </c>
      <c r="E10809" s="16">
        <f>IFERROR(__xludf.DUMMYFUNCTION("""COMPUTED_VALUE"""),67.0)</f>
        <v>67</v>
      </c>
      <c r="F10809" s="19" t="str">
        <f>IFERROR(__xludf.DUMMYFUNCTION("""COMPUTED_VALUE"""),"BLACK")</f>
        <v>BLACK</v>
      </c>
      <c r="G10809" s="20" t="str">
        <f>IFERROR(__xludf.DUMMYFUNCTION("""COMPUTED_VALUE"""),"Uncle Sams Cider (04/04/2023)")</f>
        <v>Uncle Sams Cider (04/04/2023)</v>
      </c>
      <c r="H10809" s="19"/>
    </row>
    <row r="10810">
      <c r="A10810" s="9"/>
      <c r="B10810" s="15"/>
      <c r="C10810" s="9">
        <f>IFERROR(__xludf.DUMMYFUNCTION("""COMPUTED_VALUE"""),45030.7230612731)</f>
        <v>45030.72306</v>
      </c>
      <c r="D10810" s="15">
        <f>IFERROR(__xludf.DUMMYFUNCTION("""COMPUTED_VALUE"""),1.056)</f>
        <v>1.056</v>
      </c>
      <c r="E10810" s="16">
        <f>IFERROR(__xludf.DUMMYFUNCTION("""COMPUTED_VALUE"""),67.0)</f>
        <v>67</v>
      </c>
      <c r="F10810" s="19" t="str">
        <f>IFERROR(__xludf.DUMMYFUNCTION("""COMPUTED_VALUE"""),"BLACK")</f>
        <v>BLACK</v>
      </c>
      <c r="G10810" s="20" t="str">
        <f>IFERROR(__xludf.DUMMYFUNCTION("""COMPUTED_VALUE"""),"Uncle Sams Cider (04/04/2023)")</f>
        <v>Uncle Sams Cider (04/04/2023)</v>
      </c>
      <c r="H10810" s="19"/>
    </row>
    <row r="10811">
      <c r="A10811" s="9"/>
      <c r="B10811" s="15"/>
      <c r="C10811" s="9">
        <f>IFERROR(__xludf.DUMMYFUNCTION("""COMPUTED_VALUE"""),45030.712642199)</f>
        <v>45030.71264</v>
      </c>
      <c r="D10811" s="15">
        <f>IFERROR(__xludf.DUMMYFUNCTION("""COMPUTED_VALUE"""),1.057)</f>
        <v>1.057</v>
      </c>
      <c r="E10811" s="16">
        <f>IFERROR(__xludf.DUMMYFUNCTION("""COMPUTED_VALUE"""),67.0)</f>
        <v>67</v>
      </c>
      <c r="F10811" s="19" t="str">
        <f>IFERROR(__xludf.DUMMYFUNCTION("""COMPUTED_VALUE"""),"BLACK")</f>
        <v>BLACK</v>
      </c>
      <c r="G10811" s="20" t="str">
        <f>IFERROR(__xludf.DUMMYFUNCTION("""COMPUTED_VALUE"""),"Uncle Sams Cider (04/04/2023)")</f>
        <v>Uncle Sams Cider (04/04/2023)</v>
      </c>
      <c r="H10811" s="19"/>
    </row>
    <row r="10812">
      <c r="A10812" s="9"/>
      <c r="B10812" s="15"/>
      <c r="C10812" s="9">
        <f>IFERROR(__xludf.DUMMYFUNCTION("""COMPUTED_VALUE"""),45030.7022201851)</f>
        <v>45030.70222</v>
      </c>
      <c r="D10812" s="15">
        <f>IFERROR(__xludf.DUMMYFUNCTION("""COMPUTED_VALUE"""),1.056)</f>
        <v>1.056</v>
      </c>
      <c r="E10812" s="16">
        <f>IFERROR(__xludf.DUMMYFUNCTION("""COMPUTED_VALUE"""),67.0)</f>
        <v>67</v>
      </c>
      <c r="F10812" s="19" t="str">
        <f>IFERROR(__xludf.DUMMYFUNCTION("""COMPUTED_VALUE"""),"BLACK")</f>
        <v>BLACK</v>
      </c>
      <c r="G10812" s="20" t="str">
        <f>IFERROR(__xludf.DUMMYFUNCTION("""COMPUTED_VALUE"""),"Uncle Sams Cider (04/04/2023)")</f>
        <v>Uncle Sams Cider (04/04/2023)</v>
      </c>
      <c r="H10812" s="19"/>
    </row>
    <row r="10813">
      <c r="A10813" s="9"/>
      <c r="B10813" s="15"/>
      <c r="C10813" s="9">
        <f>IFERROR(__xludf.DUMMYFUNCTION("""COMPUTED_VALUE"""),45030.6918000694)</f>
        <v>45030.6918</v>
      </c>
      <c r="D10813" s="15">
        <f>IFERROR(__xludf.DUMMYFUNCTION("""COMPUTED_VALUE"""),1.056)</f>
        <v>1.056</v>
      </c>
      <c r="E10813" s="16">
        <f>IFERROR(__xludf.DUMMYFUNCTION("""COMPUTED_VALUE"""),67.0)</f>
        <v>67</v>
      </c>
      <c r="F10813" s="19" t="str">
        <f>IFERROR(__xludf.DUMMYFUNCTION("""COMPUTED_VALUE"""),"BLACK")</f>
        <v>BLACK</v>
      </c>
      <c r="G10813" s="20" t="str">
        <f>IFERROR(__xludf.DUMMYFUNCTION("""COMPUTED_VALUE"""),"Uncle Sams Cider (04/04/2023)")</f>
        <v>Uncle Sams Cider (04/04/2023)</v>
      </c>
      <c r="H10813" s="19"/>
    </row>
    <row r="10814">
      <c r="A10814" s="9"/>
      <c r="B10814" s="15"/>
      <c r="C10814" s="9">
        <f>IFERROR(__xludf.DUMMYFUNCTION("""COMPUTED_VALUE"""),45030.6813790625)</f>
        <v>45030.68138</v>
      </c>
      <c r="D10814" s="15">
        <f>IFERROR(__xludf.DUMMYFUNCTION("""COMPUTED_VALUE"""),1.057)</f>
        <v>1.057</v>
      </c>
      <c r="E10814" s="16">
        <f>IFERROR(__xludf.DUMMYFUNCTION("""COMPUTED_VALUE"""),67.0)</f>
        <v>67</v>
      </c>
      <c r="F10814" s="19" t="str">
        <f>IFERROR(__xludf.DUMMYFUNCTION("""COMPUTED_VALUE"""),"BLACK")</f>
        <v>BLACK</v>
      </c>
      <c r="G10814" s="20" t="str">
        <f>IFERROR(__xludf.DUMMYFUNCTION("""COMPUTED_VALUE"""),"Uncle Sams Cider (04/04/2023)")</f>
        <v>Uncle Sams Cider (04/04/2023)</v>
      </c>
      <c r="H10814" s="19"/>
    </row>
    <row r="10815">
      <c r="A10815" s="9"/>
      <c r="B10815" s="15"/>
      <c r="C10815" s="9">
        <f>IFERROR(__xludf.DUMMYFUNCTION("""COMPUTED_VALUE"""),45030.6709580324)</f>
        <v>45030.67096</v>
      </c>
      <c r="D10815" s="15">
        <f>IFERROR(__xludf.DUMMYFUNCTION("""COMPUTED_VALUE"""),1.056)</f>
        <v>1.056</v>
      </c>
      <c r="E10815" s="16">
        <f>IFERROR(__xludf.DUMMYFUNCTION("""COMPUTED_VALUE"""),67.0)</f>
        <v>67</v>
      </c>
      <c r="F10815" s="19" t="str">
        <f>IFERROR(__xludf.DUMMYFUNCTION("""COMPUTED_VALUE"""),"BLACK")</f>
        <v>BLACK</v>
      </c>
      <c r="G10815" s="20" t="str">
        <f>IFERROR(__xludf.DUMMYFUNCTION("""COMPUTED_VALUE"""),"Uncle Sams Cider (04/04/2023)")</f>
        <v>Uncle Sams Cider (04/04/2023)</v>
      </c>
      <c r="H10815" s="19"/>
    </row>
    <row r="10816">
      <c r="A10816" s="9"/>
      <c r="B10816" s="15"/>
      <c r="C10816" s="9">
        <f>IFERROR(__xludf.DUMMYFUNCTION("""COMPUTED_VALUE"""),45030.6605241435)</f>
        <v>45030.66052</v>
      </c>
      <c r="D10816" s="15">
        <f>IFERROR(__xludf.DUMMYFUNCTION("""COMPUTED_VALUE"""),1.056)</f>
        <v>1.056</v>
      </c>
      <c r="E10816" s="16">
        <f>IFERROR(__xludf.DUMMYFUNCTION("""COMPUTED_VALUE"""),67.0)</f>
        <v>67</v>
      </c>
      <c r="F10816" s="19" t="str">
        <f>IFERROR(__xludf.DUMMYFUNCTION("""COMPUTED_VALUE"""),"BLACK")</f>
        <v>BLACK</v>
      </c>
      <c r="G10816" s="20" t="str">
        <f>IFERROR(__xludf.DUMMYFUNCTION("""COMPUTED_VALUE"""),"Uncle Sams Cider (04/04/2023)")</f>
        <v>Uncle Sams Cider (04/04/2023)</v>
      </c>
      <c r="H10816" s="19"/>
    </row>
    <row r="10817">
      <c r="A10817" s="9"/>
      <c r="B10817" s="15"/>
      <c r="C10817" s="9">
        <f>IFERROR(__xludf.DUMMYFUNCTION("""COMPUTED_VALUE"""),45030.6500888541)</f>
        <v>45030.65009</v>
      </c>
      <c r="D10817" s="15">
        <f>IFERROR(__xludf.DUMMYFUNCTION("""COMPUTED_VALUE"""),1.057)</f>
        <v>1.057</v>
      </c>
      <c r="E10817" s="16">
        <f>IFERROR(__xludf.DUMMYFUNCTION("""COMPUTED_VALUE"""),67.0)</f>
        <v>67</v>
      </c>
      <c r="F10817" s="19" t="str">
        <f>IFERROR(__xludf.DUMMYFUNCTION("""COMPUTED_VALUE"""),"BLACK")</f>
        <v>BLACK</v>
      </c>
      <c r="G10817" s="20" t="str">
        <f>IFERROR(__xludf.DUMMYFUNCTION("""COMPUTED_VALUE"""),"Uncle Sams Cider (04/04/2023)")</f>
        <v>Uncle Sams Cider (04/04/2023)</v>
      </c>
      <c r="H10817" s="19"/>
    </row>
    <row r="10818">
      <c r="A10818" s="9"/>
      <c r="B10818" s="15"/>
      <c r="C10818" s="9">
        <f>IFERROR(__xludf.DUMMYFUNCTION("""COMPUTED_VALUE"""),45030.639655162)</f>
        <v>45030.63966</v>
      </c>
      <c r="D10818" s="15">
        <f>IFERROR(__xludf.DUMMYFUNCTION("""COMPUTED_VALUE"""),1.057)</f>
        <v>1.057</v>
      </c>
      <c r="E10818" s="16">
        <f>IFERROR(__xludf.DUMMYFUNCTION("""COMPUTED_VALUE"""),67.0)</f>
        <v>67</v>
      </c>
      <c r="F10818" s="19" t="str">
        <f>IFERROR(__xludf.DUMMYFUNCTION("""COMPUTED_VALUE"""),"BLACK")</f>
        <v>BLACK</v>
      </c>
      <c r="G10818" s="20" t="str">
        <f>IFERROR(__xludf.DUMMYFUNCTION("""COMPUTED_VALUE"""),"Uncle Sams Cider (04/04/2023)")</f>
        <v>Uncle Sams Cider (04/04/2023)</v>
      </c>
      <c r="H10818" s="19"/>
    </row>
    <row r="10819">
      <c r="A10819" s="9"/>
      <c r="B10819" s="15"/>
      <c r="C10819" s="9">
        <f>IFERROR(__xludf.DUMMYFUNCTION("""COMPUTED_VALUE"""),45030.6292353009)</f>
        <v>45030.62924</v>
      </c>
      <c r="D10819" s="15">
        <f>IFERROR(__xludf.DUMMYFUNCTION("""COMPUTED_VALUE"""),1.056)</f>
        <v>1.056</v>
      </c>
      <c r="E10819" s="16">
        <f>IFERROR(__xludf.DUMMYFUNCTION("""COMPUTED_VALUE"""),67.0)</f>
        <v>67</v>
      </c>
      <c r="F10819" s="19" t="str">
        <f>IFERROR(__xludf.DUMMYFUNCTION("""COMPUTED_VALUE"""),"BLACK")</f>
        <v>BLACK</v>
      </c>
      <c r="G10819" s="20" t="str">
        <f>IFERROR(__xludf.DUMMYFUNCTION("""COMPUTED_VALUE"""),"Uncle Sams Cider (04/04/2023)")</f>
        <v>Uncle Sams Cider (04/04/2023)</v>
      </c>
      <c r="H10819" s="19"/>
    </row>
    <row r="10820">
      <c r="A10820" s="9"/>
      <c r="B10820" s="15"/>
      <c r="C10820" s="9">
        <f>IFERROR(__xludf.DUMMYFUNCTION("""COMPUTED_VALUE"""),45030.6188127777)</f>
        <v>45030.61881</v>
      </c>
      <c r="D10820" s="15">
        <f>IFERROR(__xludf.DUMMYFUNCTION("""COMPUTED_VALUE"""),1.057)</f>
        <v>1.057</v>
      </c>
      <c r="E10820" s="16">
        <f>IFERROR(__xludf.DUMMYFUNCTION("""COMPUTED_VALUE"""),67.0)</f>
        <v>67</v>
      </c>
      <c r="F10820" s="19" t="str">
        <f>IFERROR(__xludf.DUMMYFUNCTION("""COMPUTED_VALUE"""),"BLACK")</f>
        <v>BLACK</v>
      </c>
      <c r="G10820" s="20" t="str">
        <f>IFERROR(__xludf.DUMMYFUNCTION("""COMPUTED_VALUE"""),"Uncle Sams Cider (04/04/2023)")</f>
        <v>Uncle Sams Cider (04/04/2023)</v>
      </c>
      <c r="H10820" s="19"/>
    </row>
    <row r="10821">
      <c r="A10821" s="9"/>
      <c r="B10821" s="15"/>
      <c r="C10821" s="9">
        <f>IFERROR(__xludf.DUMMYFUNCTION("""COMPUTED_VALUE"""),45030.6083907175)</f>
        <v>45030.60839</v>
      </c>
      <c r="D10821" s="15">
        <f>IFERROR(__xludf.DUMMYFUNCTION("""COMPUTED_VALUE"""),1.057)</f>
        <v>1.057</v>
      </c>
      <c r="E10821" s="16">
        <f>IFERROR(__xludf.DUMMYFUNCTION("""COMPUTED_VALUE"""),67.0)</f>
        <v>67</v>
      </c>
      <c r="F10821" s="19" t="str">
        <f>IFERROR(__xludf.DUMMYFUNCTION("""COMPUTED_VALUE"""),"BLACK")</f>
        <v>BLACK</v>
      </c>
      <c r="G10821" s="20" t="str">
        <f>IFERROR(__xludf.DUMMYFUNCTION("""COMPUTED_VALUE"""),"Uncle Sams Cider (04/04/2023)")</f>
        <v>Uncle Sams Cider (04/04/2023)</v>
      </c>
      <c r="H10821" s="19"/>
    </row>
    <row r="10822">
      <c r="A10822" s="9"/>
      <c r="B10822" s="15"/>
      <c r="C10822" s="9">
        <f>IFERROR(__xludf.DUMMYFUNCTION("""COMPUTED_VALUE"""),45030.5979693055)</f>
        <v>45030.59797</v>
      </c>
      <c r="D10822" s="15">
        <f>IFERROR(__xludf.DUMMYFUNCTION("""COMPUTED_VALUE"""),1.057)</f>
        <v>1.057</v>
      </c>
      <c r="E10822" s="16">
        <f>IFERROR(__xludf.DUMMYFUNCTION("""COMPUTED_VALUE"""),67.0)</f>
        <v>67</v>
      </c>
      <c r="F10822" s="19" t="str">
        <f>IFERROR(__xludf.DUMMYFUNCTION("""COMPUTED_VALUE"""),"BLACK")</f>
        <v>BLACK</v>
      </c>
      <c r="G10822" s="20" t="str">
        <f>IFERROR(__xludf.DUMMYFUNCTION("""COMPUTED_VALUE"""),"Uncle Sams Cider (04/04/2023)")</f>
        <v>Uncle Sams Cider (04/04/2023)</v>
      </c>
      <c r="H10822" s="19"/>
    </row>
    <row r="10823">
      <c r="A10823" s="9"/>
      <c r="B10823" s="15"/>
      <c r="C10823" s="9">
        <f>IFERROR(__xludf.DUMMYFUNCTION("""COMPUTED_VALUE"""),45030.5875348379)</f>
        <v>45030.58753</v>
      </c>
      <c r="D10823" s="15">
        <f>IFERROR(__xludf.DUMMYFUNCTION("""COMPUTED_VALUE"""),1.057)</f>
        <v>1.057</v>
      </c>
      <c r="E10823" s="16">
        <f>IFERROR(__xludf.DUMMYFUNCTION("""COMPUTED_VALUE"""),67.0)</f>
        <v>67</v>
      </c>
      <c r="F10823" s="19" t="str">
        <f>IFERROR(__xludf.DUMMYFUNCTION("""COMPUTED_VALUE"""),"BLACK")</f>
        <v>BLACK</v>
      </c>
      <c r="G10823" s="20" t="str">
        <f>IFERROR(__xludf.DUMMYFUNCTION("""COMPUTED_VALUE"""),"Uncle Sams Cider (04/04/2023)")</f>
        <v>Uncle Sams Cider (04/04/2023)</v>
      </c>
      <c r="H10823" s="19"/>
    </row>
    <row r="10824">
      <c r="A10824" s="9"/>
      <c r="B10824" s="15"/>
      <c r="C10824" s="9">
        <f>IFERROR(__xludf.DUMMYFUNCTION("""COMPUTED_VALUE"""),45030.5771020254)</f>
        <v>45030.5771</v>
      </c>
      <c r="D10824" s="15">
        <f>IFERROR(__xludf.DUMMYFUNCTION("""COMPUTED_VALUE"""),1.057)</f>
        <v>1.057</v>
      </c>
      <c r="E10824" s="16">
        <f>IFERROR(__xludf.DUMMYFUNCTION("""COMPUTED_VALUE"""),67.0)</f>
        <v>67</v>
      </c>
      <c r="F10824" s="19" t="str">
        <f>IFERROR(__xludf.DUMMYFUNCTION("""COMPUTED_VALUE"""),"BLACK")</f>
        <v>BLACK</v>
      </c>
      <c r="G10824" s="20" t="str">
        <f>IFERROR(__xludf.DUMMYFUNCTION("""COMPUTED_VALUE"""),"Uncle Sams Cider (04/04/2023)")</f>
        <v>Uncle Sams Cider (04/04/2023)</v>
      </c>
      <c r="H10824" s="19"/>
    </row>
    <row r="10825">
      <c r="A10825" s="9"/>
      <c r="B10825" s="15"/>
      <c r="C10825" s="9">
        <f>IFERROR(__xludf.DUMMYFUNCTION("""COMPUTED_VALUE"""),45030.5666811805)</f>
        <v>45030.56668</v>
      </c>
      <c r="D10825" s="15">
        <f>IFERROR(__xludf.DUMMYFUNCTION("""COMPUTED_VALUE"""),1.057)</f>
        <v>1.057</v>
      </c>
      <c r="E10825" s="16">
        <f>IFERROR(__xludf.DUMMYFUNCTION("""COMPUTED_VALUE"""),67.0)</f>
        <v>67</v>
      </c>
      <c r="F10825" s="19" t="str">
        <f>IFERROR(__xludf.DUMMYFUNCTION("""COMPUTED_VALUE"""),"BLACK")</f>
        <v>BLACK</v>
      </c>
      <c r="G10825" s="20" t="str">
        <f>IFERROR(__xludf.DUMMYFUNCTION("""COMPUTED_VALUE"""),"Uncle Sams Cider (04/04/2023)")</f>
        <v>Uncle Sams Cider (04/04/2023)</v>
      </c>
      <c r="H10825" s="19"/>
    </row>
    <row r="10826">
      <c r="A10826" s="9"/>
      <c r="B10826" s="15"/>
      <c r="C10826" s="9">
        <f>IFERROR(__xludf.DUMMYFUNCTION("""COMPUTED_VALUE"""),45030.5562596759)</f>
        <v>45030.55626</v>
      </c>
      <c r="D10826" s="15">
        <f>IFERROR(__xludf.DUMMYFUNCTION("""COMPUTED_VALUE"""),1.057)</f>
        <v>1.057</v>
      </c>
      <c r="E10826" s="16">
        <f>IFERROR(__xludf.DUMMYFUNCTION("""COMPUTED_VALUE"""),67.0)</f>
        <v>67</v>
      </c>
      <c r="F10826" s="19" t="str">
        <f>IFERROR(__xludf.DUMMYFUNCTION("""COMPUTED_VALUE"""),"BLACK")</f>
        <v>BLACK</v>
      </c>
      <c r="G10826" s="20" t="str">
        <f>IFERROR(__xludf.DUMMYFUNCTION("""COMPUTED_VALUE"""),"Uncle Sams Cider (04/04/2023)")</f>
        <v>Uncle Sams Cider (04/04/2023)</v>
      </c>
      <c r="H10826" s="19"/>
    </row>
    <row r="10827">
      <c r="A10827" s="9"/>
      <c r="B10827" s="15"/>
      <c r="C10827" s="9">
        <f>IFERROR(__xludf.DUMMYFUNCTION("""COMPUTED_VALUE"""),45030.5458386111)</f>
        <v>45030.54584</v>
      </c>
      <c r="D10827" s="15">
        <f>IFERROR(__xludf.DUMMYFUNCTION("""COMPUTED_VALUE"""),1.057)</f>
        <v>1.057</v>
      </c>
      <c r="E10827" s="16">
        <f>IFERROR(__xludf.DUMMYFUNCTION("""COMPUTED_VALUE"""),67.0)</f>
        <v>67</v>
      </c>
      <c r="F10827" s="19" t="str">
        <f>IFERROR(__xludf.DUMMYFUNCTION("""COMPUTED_VALUE"""),"BLACK")</f>
        <v>BLACK</v>
      </c>
      <c r="G10827" s="20" t="str">
        <f>IFERROR(__xludf.DUMMYFUNCTION("""COMPUTED_VALUE"""),"Uncle Sams Cider (04/04/2023)")</f>
        <v>Uncle Sams Cider (04/04/2023)</v>
      </c>
      <c r="H10827" s="19"/>
    </row>
    <row r="10828">
      <c r="A10828" s="9"/>
      <c r="B10828" s="15"/>
      <c r="C10828" s="9">
        <f>IFERROR(__xludf.DUMMYFUNCTION("""COMPUTED_VALUE"""),45030.5354162847)</f>
        <v>45030.53542</v>
      </c>
      <c r="D10828" s="15">
        <f>IFERROR(__xludf.DUMMYFUNCTION("""COMPUTED_VALUE"""),1.057)</f>
        <v>1.057</v>
      </c>
      <c r="E10828" s="16">
        <f>IFERROR(__xludf.DUMMYFUNCTION("""COMPUTED_VALUE"""),67.0)</f>
        <v>67</v>
      </c>
      <c r="F10828" s="19" t="str">
        <f>IFERROR(__xludf.DUMMYFUNCTION("""COMPUTED_VALUE"""),"BLACK")</f>
        <v>BLACK</v>
      </c>
      <c r="G10828" s="20" t="str">
        <f>IFERROR(__xludf.DUMMYFUNCTION("""COMPUTED_VALUE"""),"Uncle Sams Cider (04/04/2023)")</f>
        <v>Uncle Sams Cider (04/04/2023)</v>
      </c>
      <c r="H10828" s="19"/>
    </row>
    <row r="10829">
      <c r="A10829" s="9"/>
      <c r="B10829" s="15"/>
      <c r="C10829" s="9">
        <f>IFERROR(__xludf.DUMMYFUNCTION("""COMPUTED_VALUE"""),45030.5249944791)</f>
        <v>45030.52499</v>
      </c>
      <c r="D10829" s="15">
        <f>IFERROR(__xludf.DUMMYFUNCTION("""COMPUTED_VALUE"""),1.057)</f>
        <v>1.057</v>
      </c>
      <c r="E10829" s="16">
        <f>IFERROR(__xludf.DUMMYFUNCTION("""COMPUTED_VALUE"""),67.0)</f>
        <v>67</v>
      </c>
      <c r="F10829" s="19" t="str">
        <f>IFERROR(__xludf.DUMMYFUNCTION("""COMPUTED_VALUE"""),"BLACK")</f>
        <v>BLACK</v>
      </c>
      <c r="G10829" s="20" t="str">
        <f>IFERROR(__xludf.DUMMYFUNCTION("""COMPUTED_VALUE"""),"Uncle Sams Cider (04/04/2023)")</f>
        <v>Uncle Sams Cider (04/04/2023)</v>
      </c>
      <c r="H10829" s="19"/>
    </row>
    <row r="10830">
      <c r="A10830" s="9"/>
      <c r="B10830" s="15"/>
      <c r="C10830" s="9">
        <f>IFERROR(__xludf.DUMMYFUNCTION("""COMPUTED_VALUE"""),45030.5145627083)</f>
        <v>45030.51456</v>
      </c>
      <c r="D10830" s="15">
        <f>IFERROR(__xludf.DUMMYFUNCTION("""COMPUTED_VALUE"""),1.057)</f>
        <v>1.057</v>
      </c>
      <c r="E10830" s="16">
        <f>IFERROR(__xludf.DUMMYFUNCTION("""COMPUTED_VALUE"""),67.0)</f>
        <v>67</v>
      </c>
      <c r="F10830" s="19" t="str">
        <f>IFERROR(__xludf.DUMMYFUNCTION("""COMPUTED_VALUE"""),"BLACK")</f>
        <v>BLACK</v>
      </c>
      <c r="G10830" s="20" t="str">
        <f>IFERROR(__xludf.DUMMYFUNCTION("""COMPUTED_VALUE"""),"Uncle Sams Cider (04/04/2023)")</f>
        <v>Uncle Sams Cider (04/04/2023)</v>
      </c>
      <c r="H10830" s="19"/>
    </row>
    <row r="10831">
      <c r="A10831" s="9"/>
      <c r="B10831" s="15"/>
      <c r="C10831" s="9">
        <f>IFERROR(__xludf.DUMMYFUNCTION("""COMPUTED_VALUE"""),45030.5041422569)</f>
        <v>45030.50414</v>
      </c>
      <c r="D10831" s="15">
        <f>IFERROR(__xludf.DUMMYFUNCTION("""COMPUTED_VALUE"""),1.057)</f>
        <v>1.057</v>
      </c>
      <c r="E10831" s="16">
        <f>IFERROR(__xludf.DUMMYFUNCTION("""COMPUTED_VALUE"""),67.0)</f>
        <v>67</v>
      </c>
      <c r="F10831" s="19" t="str">
        <f>IFERROR(__xludf.DUMMYFUNCTION("""COMPUTED_VALUE"""),"BLACK")</f>
        <v>BLACK</v>
      </c>
      <c r="G10831" s="20" t="str">
        <f>IFERROR(__xludf.DUMMYFUNCTION("""COMPUTED_VALUE"""),"Uncle Sams Cider (04/04/2023)")</f>
        <v>Uncle Sams Cider (04/04/2023)</v>
      </c>
      <c r="H10831" s="19"/>
    </row>
    <row r="10832">
      <c r="A10832" s="9"/>
      <c r="B10832" s="15"/>
      <c r="C10832" s="9">
        <f>IFERROR(__xludf.DUMMYFUNCTION("""COMPUTED_VALUE"""),45030.4937098958)</f>
        <v>45030.49371</v>
      </c>
      <c r="D10832" s="15">
        <f>IFERROR(__xludf.DUMMYFUNCTION("""COMPUTED_VALUE"""),1.057)</f>
        <v>1.057</v>
      </c>
      <c r="E10832" s="16">
        <f>IFERROR(__xludf.DUMMYFUNCTION("""COMPUTED_VALUE"""),67.0)</f>
        <v>67</v>
      </c>
      <c r="F10832" s="19" t="str">
        <f>IFERROR(__xludf.DUMMYFUNCTION("""COMPUTED_VALUE"""),"BLACK")</f>
        <v>BLACK</v>
      </c>
      <c r="G10832" s="20" t="str">
        <f>IFERROR(__xludf.DUMMYFUNCTION("""COMPUTED_VALUE"""),"Uncle Sams Cider (04/04/2023)")</f>
        <v>Uncle Sams Cider (04/04/2023)</v>
      </c>
      <c r="H10832" s="19"/>
    </row>
    <row r="10833">
      <c r="A10833" s="9"/>
      <c r="B10833" s="15"/>
      <c r="C10833" s="9">
        <f>IFERROR(__xludf.DUMMYFUNCTION("""COMPUTED_VALUE"""),45030.4832898726)</f>
        <v>45030.48329</v>
      </c>
      <c r="D10833" s="15">
        <f>IFERROR(__xludf.DUMMYFUNCTION("""COMPUTED_VALUE"""),1.057)</f>
        <v>1.057</v>
      </c>
      <c r="E10833" s="16">
        <f>IFERROR(__xludf.DUMMYFUNCTION("""COMPUTED_VALUE"""),67.0)</f>
        <v>67</v>
      </c>
      <c r="F10833" s="19" t="str">
        <f>IFERROR(__xludf.DUMMYFUNCTION("""COMPUTED_VALUE"""),"BLACK")</f>
        <v>BLACK</v>
      </c>
      <c r="G10833" s="20" t="str">
        <f>IFERROR(__xludf.DUMMYFUNCTION("""COMPUTED_VALUE"""),"Uncle Sams Cider (04/04/2023)")</f>
        <v>Uncle Sams Cider (04/04/2023)</v>
      </c>
      <c r="H10833" s="19"/>
    </row>
    <row r="10834">
      <c r="A10834" s="9"/>
      <c r="B10834" s="15"/>
      <c r="C10834" s="9">
        <f>IFERROR(__xludf.DUMMYFUNCTION("""COMPUTED_VALUE"""),45030.4728711458)</f>
        <v>45030.47287</v>
      </c>
      <c r="D10834" s="15">
        <f>IFERROR(__xludf.DUMMYFUNCTION("""COMPUTED_VALUE"""),1.057)</f>
        <v>1.057</v>
      </c>
      <c r="E10834" s="16">
        <f>IFERROR(__xludf.DUMMYFUNCTION("""COMPUTED_VALUE"""),67.0)</f>
        <v>67</v>
      </c>
      <c r="F10834" s="19" t="str">
        <f>IFERROR(__xludf.DUMMYFUNCTION("""COMPUTED_VALUE"""),"BLACK")</f>
        <v>BLACK</v>
      </c>
      <c r="G10834" s="20" t="str">
        <f>IFERROR(__xludf.DUMMYFUNCTION("""COMPUTED_VALUE"""),"Uncle Sams Cider (04/04/2023)")</f>
        <v>Uncle Sams Cider (04/04/2023)</v>
      </c>
      <c r="H10834" s="19"/>
    </row>
    <row r="10835">
      <c r="A10835" s="9"/>
      <c r="B10835" s="15"/>
      <c r="C10835" s="9">
        <f>IFERROR(__xludf.DUMMYFUNCTION("""COMPUTED_VALUE"""),45030.4624255324)</f>
        <v>45030.46243</v>
      </c>
      <c r="D10835" s="15">
        <f>IFERROR(__xludf.DUMMYFUNCTION("""COMPUTED_VALUE"""),1.057)</f>
        <v>1.057</v>
      </c>
      <c r="E10835" s="16">
        <f>IFERROR(__xludf.DUMMYFUNCTION("""COMPUTED_VALUE"""),67.0)</f>
        <v>67</v>
      </c>
      <c r="F10835" s="19" t="str">
        <f>IFERROR(__xludf.DUMMYFUNCTION("""COMPUTED_VALUE"""),"BLACK")</f>
        <v>BLACK</v>
      </c>
      <c r="G10835" s="20" t="str">
        <f>IFERROR(__xludf.DUMMYFUNCTION("""COMPUTED_VALUE"""),"Uncle Sams Cider (04/04/2023)")</f>
        <v>Uncle Sams Cider (04/04/2023)</v>
      </c>
      <c r="H10835" s="19"/>
    </row>
    <row r="10836">
      <c r="A10836" s="9"/>
      <c r="B10836" s="15"/>
      <c r="C10836" s="9">
        <f>IFERROR(__xludf.DUMMYFUNCTION("""COMPUTED_VALUE"""),45030.452004074)</f>
        <v>45030.452</v>
      </c>
      <c r="D10836" s="15">
        <f>IFERROR(__xludf.DUMMYFUNCTION("""COMPUTED_VALUE"""),1.057)</f>
        <v>1.057</v>
      </c>
      <c r="E10836" s="16">
        <f>IFERROR(__xludf.DUMMYFUNCTION("""COMPUTED_VALUE"""),67.0)</f>
        <v>67</v>
      </c>
      <c r="F10836" s="19" t="str">
        <f>IFERROR(__xludf.DUMMYFUNCTION("""COMPUTED_VALUE"""),"BLACK")</f>
        <v>BLACK</v>
      </c>
      <c r="G10836" s="20" t="str">
        <f>IFERROR(__xludf.DUMMYFUNCTION("""COMPUTED_VALUE"""),"Uncle Sams Cider (04/04/2023)")</f>
        <v>Uncle Sams Cider (04/04/2023)</v>
      </c>
      <c r="H10836" s="19"/>
    </row>
    <row r="10837">
      <c r="A10837" s="9"/>
      <c r="B10837" s="15"/>
      <c r="C10837" s="9">
        <f>IFERROR(__xludf.DUMMYFUNCTION("""COMPUTED_VALUE"""),45030.4415849074)</f>
        <v>45030.44158</v>
      </c>
      <c r="D10837" s="15">
        <f>IFERROR(__xludf.DUMMYFUNCTION("""COMPUTED_VALUE"""),1.057)</f>
        <v>1.057</v>
      </c>
      <c r="E10837" s="16">
        <f>IFERROR(__xludf.DUMMYFUNCTION("""COMPUTED_VALUE"""),67.0)</f>
        <v>67</v>
      </c>
      <c r="F10837" s="19" t="str">
        <f>IFERROR(__xludf.DUMMYFUNCTION("""COMPUTED_VALUE"""),"BLACK")</f>
        <v>BLACK</v>
      </c>
      <c r="G10837" s="20" t="str">
        <f>IFERROR(__xludf.DUMMYFUNCTION("""COMPUTED_VALUE"""),"Uncle Sams Cider (04/04/2023)")</f>
        <v>Uncle Sams Cider (04/04/2023)</v>
      </c>
      <c r="H10837" s="19"/>
    </row>
    <row r="10838">
      <c r="A10838" s="9"/>
      <c r="B10838" s="15"/>
      <c r="C10838" s="9">
        <f>IFERROR(__xludf.DUMMYFUNCTION("""COMPUTED_VALUE"""),45030.4311661805)</f>
        <v>45030.43117</v>
      </c>
      <c r="D10838" s="15">
        <f>IFERROR(__xludf.DUMMYFUNCTION("""COMPUTED_VALUE"""),1.057)</f>
        <v>1.057</v>
      </c>
      <c r="E10838" s="16">
        <f>IFERROR(__xludf.DUMMYFUNCTION("""COMPUTED_VALUE"""),67.0)</f>
        <v>67</v>
      </c>
      <c r="F10838" s="19" t="str">
        <f>IFERROR(__xludf.DUMMYFUNCTION("""COMPUTED_VALUE"""),"BLACK")</f>
        <v>BLACK</v>
      </c>
      <c r="G10838" s="20" t="str">
        <f>IFERROR(__xludf.DUMMYFUNCTION("""COMPUTED_VALUE"""),"Uncle Sams Cider (04/04/2023)")</f>
        <v>Uncle Sams Cider (04/04/2023)</v>
      </c>
      <c r="H10838" s="19"/>
    </row>
    <row r="10839">
      <c r="A10839" s="9"/>
      <c r="B10839" s="15"/>
      <c r="C10839" s="9">
        <f>IFERROR(__xludf.DUMMYFUNCTION("""COMPUTED_VALUE"""),45030.420732905)</f>
        <v>45030.42073</v>
      </c>
      <c r="D10839" s="15">
        <f>IFERROR(__xludf.DUMMYFUNCTION("""COMPUTED_VALUE"""),1.057)</f>
        <v>1.057</v>
      </c>
      <c r="E10839" s="16">
        <f>IFERROR(__xludf.DUMMYFUNCTION("""COMPUTED_VALUE"""),67.0)</f>
        <v>67</v>
      </c>
      <c r="F10839" s="19" t="str">
        <f>IFERROR(__xludf.DUMMYFUNCTION("""COMPUTED_VALUE"""),"BLACK")</f>
        <v>BLACK</v>
      </c>
      <c r="G10839" s="20" t="str">
        <f>IFERROR(__xludf.DUMMYFUNCTION("""COMPUTED_VALUE"""),"Uncle Sams Cider (04/04/2023)")</f>
        <v>Uncle Sams Cider (04/04/2023)</v>
      </c>
      <c r="H10839" s="19"/>
    </row>
    <row r="10840">
      <c r="A10840" s="9"/>
      <c r="B10840" s="15"/>
      <c r="C10840" s="9">
        <f>IFERROR(__xludf.DUMMYFUNCTION("""COMPUTED_VALUE"""),45030.4102776388)</f>
        <v>45030.41028</v>
      </c>
      <c r="D10840" s="15">
        <f>IFERROR(__xludf.DUMMYFUNCTION("""COMPUTED_VALUE"""),1.057)</f>
        <v>1.057</v>
      </c>
      <c r="E10840" s="16">
        <f>IFERROR(__xludf.DUMMYFUNCTION("""COMPUTED_VALUE"""),67.0)</f>
        <v>67</v>
      </c>
      <c r="F10840" s="19" t="str">
        <f>IFERROR(__xludf.DUMMYFUNCTION("""COMPUTED_VALUE"""),"BLACK")</f>
        <v>BLACK</v>
      </c>
      <c r="G10840" s="20" t="str">
        <f>IFERROR(__xludf.DUMMYFUNCTION("""COMPUTED_VALUE"""),"Uncle Sams Cider (04/04/2023)")</f>
        <v>Uncle Sams Cider (04/04/2023)</v>
      </c>
      <c r="H10840" s="19"/>
    </row>
    <row r="10841">
      <c r="A10841" s="9"/>
      <c r="B10841" s="15"/>
      <c r="C10841" s="9">
        <f>IFERROR(__xludf.DUMMYFUNCTION("""COMPUTED_VALUE"""),45030.3998444328)</f>
        <v>45030.39984</v>
      </c>
      <c r="D10841" s="15">
        <f>IFERROR(__xludf.DUMMYFUNCTION("""COMPUTED_VALUE"""),1.057)</f>
        <v>1.057</v>
      </c>
      <c r="E10841" s="16">
        <f>IFERROR(__xludf.DUMMYFUNCTION("""COMPUTED_VALUE"""),67.0)</f>
        <v>67</v>
      </c>
      <c r="F10841" s="19" t="str">
        <f>IFERROR(__xludf.DUMMYFUNCTION("""COMPUTED_VALUE"""),"BLACK")</f>
        <v>BLACK</v>
      </c>
      <c r="G10841" s="20" t="str">
        <f>IFERROR(__xludf.DUMMYFUNCTION("""COMPUTED_VALUE"""),"Uncle Sams Cider (04/04/2023)")</f>
        <v>Uncle Sams Cider (04/04/2023)</v>
      </c>
      <c r="H10841" s="19"/>
    </row>
    <row r="10842">
      <c r="A10842" s="9"/>
      <c r="B10842" s="15"/>
      <c r="C10842" s="9">
        <f>IFERROR(__xludf.DUMMYFUNCTION("""COMPUTED_VALUE"""),45030.389421574)</f>
        <v>45030.38942</v>
      </c>
      <c r="D10842" s="15">
        <f>IFERROR(__xludf.DUMMYFUNCTION("""COMPUTED_VALUE"""),1.058)</f>
        <v>1.058</v>
      </c>
      <c r="E10842" s="16">
        <f>IFERROR(__xludf.DUMMYFUNCTION("""COMPUTED_VALUE"""),67.0)</f>
        <v>67</v>
      </c>
      <c r="F10842" s="19" t="str">
        <f>IFERROR(__xludf.DUMMYFUNCTION("""COMPUTED_VALUE"""),"BLACK")</f>
        <v>BLACK</v>
      </c>
      <c r="G10842" s="20" t="str">
        <f>IFERROR(__xludf.DUMMYFUNCTION("""COMPUTED_VALUE"""),"Uncle Sams Cider (04/04/2023)")</f>
        <v>Uncle Sams Cider (04/04/2023)</v>
      </c>
      <c r="H10842" s="19"/>
    </row>
    <row r="10843">
      <c r="A10843" s="9"/>
      <c r="B10843" s="15"/>
      <c r="C10843" s="9">
        <f>IFERROR(__xludf.DUMMYFUNCTION("""COMPUTED_VALUE"""),45030.379001412)</f>
        <v>45030.379</v>
      </c>
      <c r="D10843" s="15">
        <f>IFERROR(__xludf.DUMMYFUNCTION("""COMPUTED_VALUE"""),1.058)</f>
        <v>1.058</v>
      </c>
      <c r="E10843" s="16">
        <f>IFERROR(__xludf.DUMMYFUNCTION("""COMPUTED_VALUE"""),67.0)</f>
        <v>67</v>
      </c>
      <c r="F10843" s="19" t="str">
        <f>IFERROR(__xludf.DUMMYFUNCTION("""COMPUTED_VALUE"""),"BLACK")</f>
        <v>BLACK</v>
      </c>
      <c r="G10843" s="20" t="str">
        <f>IFERROR(__xludf.DUMMYFUNCTION("""COMPUTED_VALUE"""),"Uncle Sams Cider (04/04/2023)")</f>
        <v>Uncle Sams Cider (04/04/2023)</v>
      </c>
      <c r="H10843" s="19"/>
    </row>
    <row r="10844">
      <c r="A10844" s="9"/>
      <c r="B10844" s="15"/>
      <c r="C10844" s="9">
        <f>IFERROR(__xludf.DUMMYFUNCTION("""COMPUTED_VALUE"""),45030.3685572569)</f>
        <v>45030.36856</v>
      </c>
      <c r="D10844" s="15">
        <f>IFERROR(__xludf.DUMMYFUNCTION("""COMPUTED_VALUE"""),1.057)</f>
        <v>1.057</v>
      </c>
      <c r="E10844" s="16">
        <f>IFERROR(__xludf.DUMMYFUNCTION("""COMPUTED_VALUE"""),67.0)</f>
        <v>67</v>
      </c>
      <c r="F10844" s="19" t="str">
        <f>IFERROR(__xludf.DUMMYFUNCTION("""COMPUTED_VALUE"""),"BLACK")</f>
        <v>BLACK</v>
      </c>
      <c r="G10844" s="20" t="str">
        <f>IFERROR(__xludf.DUMMYFUNCTION("""COMPUTED_VALUE"""),"Uncle Sams Cider (04/04/2023)")</f>
        <v>Uncle Sams Cider (04/04/2023)</v>
      </c>
      <c r="H10844" s="19"/>
    </row>
    <row r="10845">
      <c r="A10845" s="9"/>
      <c r="B10845" s="15"/>
      <c r="C10845" s="9">
        <f>IFERROR(__xludf.DUMMYFUNCTION("""COMPUTED_VALUE"""),45030.3581365162)</f>
        <v>45030.35814</v>
      </c>
      <c r="D10845" s="15">
        <f>IFERROR(__xludf.DUMMYFUNCTION("""COMPUTED_VALUE"""),1.058)</f>
        <v>1.058</v>
      </c>
      <c r="E10845" s="16">
        <f>IFERROR(__xludf.DUMMYFUNCTION("""COMPUTED_VALUE"""),67.0)</f>
        <v>67</v>
      </c>
      <c r="F10845" s="19" t="str">
        <f>IFERROR(__xludf.DUMMYFUNCTION("""COMPUTED_VALUE"""),"BLACK")</f>
        <v>BLACK</v>
      </c>
      <c r="G10845" s="20" t="str">
        <f>IFERROR(__xludf.DUMMYFUNCTION("""COMPUTED_VALUE"""),"Uncle Sams Cider (04/04/2023)")</f>
        <v>Uncle Sams Cider (04/04/2023)</v>
      </c>
      <c r="H10845" s="19"/>
    </row>
    <row r="10846">
      <c r="A10846" s="9"/>
      <c r="B10846" s="15"/>
      <c r="C10846" s="9">
        <f>IFERROR(__xludf.DUMMYFUNCTION("""COMPUTED_VALUE"""),45030.3477173148)</f>
        <v>45030.34772</v>
      </c>
      <c r="D10846" s="15">
        <f>IFERROR(__xludf.DUMMYFUNCTION("""COMPUTED_VALUE"""),1.058)</f>
        <v>1.058</v>
      </c>
      <c r="E10846" s="16">
        <f>IFERROR(__xludf.DUMMYFUNCTION("""COMPUTED_VALUE"""),67.0)</f>
        <v>67</v>
      </c>
      <c r="F10846" s="19" t="str">
        <f>IFERROR(__xludf.DUMMYFUNCTION("""COMPUTED_VALUE"""),"BLACK")</f>
        <v>BLACK</v>
      </c>
      <c r="G10846" s="20" t="str">
        <f>IFERROR(__xludf.DUMMYFUNCTION("""COMPUTED_VALUE"""),"Uncle Sams Cider (04/04/2023)")</f>
        <v>Uncle Sams Cider (04/04/2023)</v>
      </c>
      <c r="H10846" s="19"/>
    </row>
    <row r="10847">
      <c r="A10847" s="9"/>
      <c r="B10847" s="15"/>
      <c r="C10847" s="9">
        <f>IFERROR(__xludf.DUMMYFUNCTION("""COMPUTED_VALUE"""),45030.3372961111)</f>
        <v>45030.3373</v>
      </c>
      <c r="D10847" s="15">
        <f>IFERROR(__xludf.DUMMYFUNCTION("""COMPUTED_VALUE"""),1.058)</f>
        <v>1.058</v>
      </c>
      <c r="E10847" s="16">
        <f>IFERROR(__xludf.DUMMYFUNCTION("""COMPUTED_VALUE"""),67.0)</f>
        <v>67</v>
      </c>
      <c r="F10847" s="19" t="str">
        <f>IFERROR(__xludf.DUMMYFUNCTION("""COMPUTED_VALUE"""),"BLACK")</f>
        <v>BLACK</v>
      </c>
      <c r="G10847" s="20" t="str">
        <f>IFERROR(__xludf.DUMMYFUNCTION("""COMPUTED_VALUE"""),"Uncle Sams Cider (04/04/2023)")</f>
        <v>Uncle Sams Cider (04/04/2023)</v>
      </c>
      <c r="H10847" s="19"/>
    </row>
    <row r="10848">
      <c r="A10848" s="9"/>
      <c r="B10848" s="15"/>
      <c r="C10848" s="9">
        <f>IFERROR(__xludf.DUMMYFUNCTION("""COMPUTED_VALUE"""),45030.3268760532)</f>
        <v>45030.32688</v>
      </c>
      <c r="D10848" s="15">
        <f>IFERROR(__xludf.DUMMYFUNCTION("""COMPUTED_VALUE"""),1.058)</f>
        <v>1.058</v>
      </c>
      <c r="E10848" s="16">
        <f>IFERROR(__xludf.DUMMYFUNCTION("""COMPUTED_VALUE"""),67.0)</f>
        <v>67</v>
      </c>
      <c r="F10848" s="19" t="str">
        <f>IFERROR(__xludf.DUMMYFUNCTION("""COMPUTED_VALUE"""),"BLACK")</f>
        <v>BLACK</v>
      </c>
      <c r="G10848" s="20" t="str">
        <f>IFERROR(__xludf.DUMMYFUNCTION("""COMPUTED_VALUE"""),"Uncle Sams Cider (04/04/2023)")</f>
        <v>Uncle Sams Cider (04/04/2023)</v>
      </c>
      <c r="H10848" s="19"/>
    </row>
    <row r="10849">
      <c r="A10849" s="9"/>
      <c r="B10849" s="15"/>
      <c r="C10849" s="9">
        <f>IFERROR(__xludf.DUMMYFUNCTION("""COMPUTED_VALUE"""),45030.3164540046)</f>
        <v>45030.31645</v>
      </c>
      <c r="D10849" s="15">
        <f>IFERROR(__xludf.DUMMYFUNCTION("""COMPUTED_VALUE"""),1.058)</f>
        <v>1.058</v>
      </c>
      <c r="E10849" s="16">
        <f>IFERROR(__xludf.DUMMYFUNCTION("""COMPUTED_VALUE"""),67.0)</f>
        <v>67</v>
      </c>
      <c r="F10849" s="19" t="str">
        <f>IFERROR(__xludf.DUMMYFUNCTION("""COMPUTED_VALUE"""),"BLACK")</f>
        <v>BLACK</v>
      </c>
      <c r="G10849" s="20" t="str">
        <f>IFERROR(__xludf.DUMMYFUNCTION("""COMPUTED_VALUE"""),"Uncle Sams Cider (04/04/2023)")</f>
        <v>Uncle Sams Cider (04/04/2023)</v>
      </c>
      <c r="H10849" s="19"/>
    </row>
    <row r="10850">
      <c r="A10850" s="9"/>
      <c r="B10850" s="15"/>
      <c r="C10850" s="9">
        <f>IFERROR(__xludf.DUMMYFUNCTION("""COMPUTED_VALUE"""),45030.3059976157)</f>
        <v>45030.306</v>
      </c>
      <c r="D10850" s="15">
        <f>IFERROR(__xludf.DUMMYFUNCTION("""COMPUTED_VALUE"""),1.058)</f>
        <v>1.058</v>
      </c>
      <c r="E10850" s="16">
        <f>IFERROR(__xludf.DUMMYFUNCTION("""COMPUTED_VALUE"""),67.0)</f>
        <v>67</v>
      </c>
      <c r="F10850" s="19" t="str">
        <f>IFERROR(__xludf.DUMMYFUNCTION("""COMPUTED_VALUE"""),"BLACK")</f>
        <v>BLACK</v>
      </c>
      <c r="G10850" s="20" t="str">
        <f>IFERROR(__xludf.DUMMYFUNCTION("""COMPUTED_VALUE"""),"Uncle Sams Cider (04/04/2023)")</f>
        <v>Uncle Sams Cider (04/04/2023)</v>
      </c>
      <c r="H10850" s="19"/>
    </row>
    <row r="10851">
      <c r="A10851" s="9"/>
      <c r="B10851" s="15"/>
      <c r="C10851" s="9">
        <f>IFERROR(__xludf.DUMMYFUNCTION("""COMPUTED_VALUE"""),45030.2955767013)</f>
        <v>45030.29558</v>
      </c>
      <c r="D10851" s="15">
        <f>IFERROR(__xludf.DUMMYFUNCTION("""COMPUTED_VALUE"""),1.058)</f>
        <v>1.058</v>
      </c>
      <c r="E10851" s="16">
        <f>IFERROR(__xludf.DUMMYFUNCTION("""COMPUTED_VALUE"""),67.0)</f>
        <v>67</v>
      </c>
      <c r="F10851" s="19" t="str">
        <f>IFERROR(__xludf.DUMMYFUNCTION("""COMPUTED_VALUE"""),"BLACK")</f>
        <v>BLACK</v>
      </c>
      <c r="G10851" s="20" t="str">
        <f>IFERROR(__xludf.DUMMYFUNCTION("""COMPUTED_VALUE"""),"Uncle Sams Cider (04/04/2023)")</f>
        <v>Uncle Sams Cider (04/04/2023)</v>
      </c>
      <c r="H10851" s="19"/>
    </row>
    <row r="10852">
      <c r="A10852" s="9"/>
      <c r="B10852" s="15"/>
      <c r="C10852" s="9">
        <f>IFERROR(__xludf.DUMMYFUNCTION("""COMPUTED_VALUE"""),45030.2851439467)</f>
        <v>45030.28514</v>
      </c>
      <c r="D10852" s="15">
        <f>IFERROR(__xludf.DUMMYFUNCTION("""COMPUTED_VALUE"""),1.058)</f>
        <v>1.058</v>
      </c>
      <c r="E10852" s="16">
        <f>IFERROR(__xludf.DUMMYFUNCTION("""COMPUTED_VALUE"""),67.0)</f>
        <v>67</v>
      </c>
      <c r="F10852" s="19" t="str">
        <f>IFERROR(__xludf.DUMMYFUNCTION("""COMPUTED_VALUE"""),"BLACK")</f>
        <v>BLACK</v>
      </c>
      <c r="G10852" s="20" t="str">
        <f>IFERROR(__xludf.DUMMYFUNCTION("""COMPUTED_VALUE"""),"Uncle Sams Cider (04/04/2023)")</f>
        <v>Uncle Sams Cider (04/04/2023)</v>
      </c>
      <c r="H10852" s="19"/>
    </row>
    <row r="10853">
      <c r="A10853" s="9"/>
      <c r="B10853" s="15"/>
      <c r="C10853" s="9">
        <f>IFERROR(__xludf.DUMMYFUNCTION("""COMPUTED_VALUE"""),45030.274724375)</f>
        <v>45030.27472</v>
      </c>
      <c r="D10853" s="15">
        <f>IFERROR(__xludf.DUMMYFUNCTION("""COMPUTED_VALUE"""),1.058)</f>
        <v>1.058</v>
      </c>
      <c r="E10853" s="16">
        <f>IFERROR(__xludf.DUMMYFUNCTION("""COMPUTED_VALUE"""),67.0)</f>
        <v>67</v>
      </c>
      <c r="F10853" s="19" t="str">
        <f>IFERROR(__xludf.DUMMYFUNCTION("""COMPUTED_VALUE"""),"BLACK")</f>
        <v>BLACK</v>
      </c>
      <c r="G10853" s="20" t="str">
        <f>IFERROR(__xludf.DUMMYFUNCTION("""COMPUTED_VALUE"""),"Uncle Sams Cider (04/04/2023)")</f>
        <v>Uncle Sams Cider (04/04/2023)</v>
      </c>
      <c r="H10853" s="19"/>
    </row>
    <row r="10854">
      <c r="A10854" s="9"/>
      <c r="B10854" s="15"/>
      <c r="C10854" s="9">
        <f>IFERROR(__xludf.DUMMYFUNCTION("""COMPUTED_VALUE"""),45030.2642916088)</f>
        <v>45030.26429</v>
      </c>
      <c r="D10854" s="15">
        <f>IFERROR(__xludf.DUMMYFUNCTION("""COMPUTED_VALUE"""),1.058)</f>
        <v>1.058</v>
      </c>
      <c r="E10854" s="16">
        <f>IFERROR(__xludf.DUMMYFUNCTION("""COMPUTED_VALUE"""),67.0)</f>
        <v>67</v>
      </c>
      <c r="F10854" s="19" t="str">
        <f>IFERROR(__xludf.DUMMYFUNCTION("""COMPUTED_VALUE"""),"BLACK")</f>
        <v>BLACK</v>
      </c>
      <c r="G10854" s="20" t="str">
        <f>IFERROR(__xludf.DUMMYFUNCTION("""COMPUTED_VALUE"""),"Uncle Sams Cider (04/04/2023)")</f>
        <v>Uncle Sams Cider (04/04/2023)</v>
      </c>
      <c r="H10854" s="19"/>
    </row>
    <row r="10855">
      <c r="A10855" s="9"/>
      <c r="B10855" s="15"/>
      <c r="C10855" s="9">
        <f>IFERROR(__xludf.DUMMYFUNCTION("""COMPUTED_VALUE"""),45030.2538705787)</f>
        <v>45030.25387</v>
      </c>
      <c r="D10855" s="15">
        <f>IFERROR(__xludf.DUMMYFUNCTION("""COMPUTED_VALUE"""),1.058)</f>
        <v>1.058</v>
      </c>
      <c r="E10855" s="16">
        <f>IFERROR(__xludf.DUMMYFUNCTION("""COMPUTED_VALUE"""),67.0)</f>
        <v>67</v>
      </c>
      <c r="F10855" s="19" t="str">
        <f>IFERROR(__xludf.DUMMYFUNCTION("""COMPUTED_VALUE"""),"BLACK")</f>
        <v>BLACK</v>
      </c>
      <c r="G10855" s="20" t="str">
        <f>IFERROR(__xludf.DUMMYFUNCTION("""COMPUTED_VALUE"""),"Uncle Sams Cider (04/04/2023)")</f>
        <v>Uncle Sams Cider (04/04/2023)</v>
      </c>
      <c r="H10855" s="19"/>
    </row>
    <row r="10856">
      <c r="A10856" s="9"/>
      <c r="B10856" s="15"/>
      <c r="C10856" s="9">
        <f>IFERROR(__xludf.DUMMYFUNCTION("""COMPUTED_VALUE"""),45030.2434493981)</f>
        <v>45030.24345</v>
      </c>
      <c r="D10856" s="15">
        <f>IFERROR(__xludf.DUMMYFUNCTION("""COMPUTED_VALUE"""),1.058)</f>
        <v>1.058</v>
      </c>
      <c r="E10856" s="16">
        <f>IFERROR(__xludf.DUMMYFUNCTION("""COMPUTED_VALUE"""),67.0)</f>
        <v>67</v>
      </c>
      <c r="F10856" s="19" t="str">
        <f>IFERROR(__xludf.DUMMYFUNCTION("""COMPUTED_VALUE"""),"BLACK")</f>
        <v>BLACK</v>
      </c>
      <c r="G10856" s="20" t="str">
        <f>IFERROR(__xludf.DUMMYFUNCTION("""COMPUTED_VALUE"""),"Uncle Sams Cider (04/04/2023)")</f>
        <v>Uncle Sams Cider (04/04/2023)</v>
      </c>
      <c r="H10856" s="19"/>
    </row>
    <row r="10857">
      <c r="A10857" s="9"/>
      <c r="B10857" s="15"/>
      <c r="C10857" s="9">
        <f>IFERROR(__xludf.DUMMYFUNCTION("""COMPUTED_VALUE"""),45030.2330285648)</f>
        <v>45030.23303</v>
      </c>
      <c r="D10857" s="15">
        <f>IFERROR(__xludf.DUMMYFUNCTION("""COMPUTED_VALUE"""),1.059)</f>
        <v>1.059</v>
      </c>
      <c r="E10857" s="16">
        <f>IFERROR(__xludf.DUMMYFUNCTION("""COMPUTED_VALUE"""),67.0)</f>
        <v>67</v>
      </c>
      <c r="F10857" s="19" t="str">
        <f>IFERROR(__xludf.DUMMYFUNCTION("""COMPUTED_VALUE"""),"BLACK")</f>
        <v>BLACK</v>
      </c>
      <c r="G10857" s="20" t="str">
        <f>IFERROR(__xludf.DUMMYFUNCTION("""COMPUTED_VALUE"""),"Uncle Sams Cider (04/04/2023)")</f>
        <v>Uncle Sams Cider (04/04/2023)</v>
      </c>
      <c r="H10857" s="19"/>
    </row>
    <row r="10858">
      <c r="A10858" s="9"/>
      <c r="B10858" s="15"/>
      <c r="C10858" s="9">
        <f>IFERROR(__xludf.DUMMYFUNCTION("""COMPUTED_VALUE"""),45030.2226078125)</f>
        <v>45030.22261</v>
      </c>
      <c r="D10858" s="15">
        <f>IFERROR(__xludf.DUMMYFUNCTION("""COMPUTED_VALUE"""),1.058)</f>
        <v>1.058</v>
      </c>
      <c r="E10858" s="16">
        <f>IFERROR(__xludf.DUMMYFUNCTION("""COMPUTED_VALUE"""),67.0)</f>
        <v>67</v>
      </c>
      <c r="F10858" s="19" t="str">
        <f>IFERROR(__xludf.DUMMYFUNCTION("""COMPUTED_VALUE"""),"BLACK")</f>
        <v>BLACK</v>
      </c>
      <c r="G10858" s="20" t="str">
        <f>IFERROR(__xludf.DUMMYFUNCTION("""COMPUTED_VALUE"""),"Uncle Sams Cider (04/04/2023)")</f>
        <v>Uncle Sams Cider (04/04/2023)</v>
      </c>
      <c r="H10858" s="19"/>
    </row>
    <row r="10859">
      <c r="A10859" s="9"/>
      <c r="B10859" s="15"/>
      <c r="C10859" s="9">
        <f>IFERROR(__xludf.DUMMYFUNCTION("""COMPUTED_VALUE"""),45030.2121862384)</f>
        <v>45030.21219</v>
      </c>
      <c r="D10859" s="15">
        <f>IFERROR(__xludf.DUMMYFUNCTION("""COMPUTED_VALUE"""),1.058)</f>
        <v>1.058</v>
      </c>
      <c r="E10859" s="16">
        <f>IFERROR(__xludf.DUMMYFUNCTION("""COMPUTED_VALUE"""),67.0)</f>
        <v>67</v>
      </c>
      <c r="F10859" s="19" t="str">
        <f>IFERROR(__xludf.DUMMYFUNCTION("""COMPUTED_VALUE"""),"BLACK")</f>
        <v>BLACK</v>
      </c>
      <c r="G10859" s="20" t="str">
        <f>IFERROR(__xludf.DUMMYFUNCTION("""COMPUTED_VALUE"""),"Uncle Sams Cider (04/04/2023)")</f>
        <v>Uncle Sams Cider (04/04/2023)</v>
      </c>
      <c r="H10859" s="19"/>
    </row>
    <row r="10860">
      <c r="A10860" s="9"/>
      <c r="B10860" s="15"/>
      <c r="C10860" s="9">
        <f>IFERROR(__xludf.DUMMYFUNCTION("""COMPUTED_VALUE"""),45030.2017651967)</f>
        <v>45030.20177</v>
      </c>
      <c r="D10860" s="15">
        <f>IFERROR(__xludf.DUMMYFUNCTION("""COMPUTED_VALUE"""),1.059)</f>
        <v>1.059</v>
      </c>
      <c r="E10860" s="16">
        <f>IFERROR(__xludf.DUMMYFUNCTION("""COMPUTED_VALUE"""),67.0)</f>
        <v>67</v>
      </c>
      <c r="F10860" s="19" t="str">
        <f>IFERROR(__xludf.DUMMYFUNCTION("""COMPUTED_VALUE"""),"BLACK")</f>
        <v>BLACK</v>
      </c>
      <c r="G10860" s="20" t="str">
        <f>IFERROR(__xludf.DUMMYFUNCTION("""COMPUTED_VALUE"""),"Uncle Sams Cider (04/04/2023)")</f>
        <v>Uncle Sams Cider (04/04/2023)</v>
      </c>
      <c r="H10860" s="19"/>
    </row>
    <row r="10861">
      <c r="A10861" s="9"/>
      <c r="B10861" s="15"/>
      <c r="C10861" s="9">
        <f>IFERROR(__xludf.DUMMYFUNCTION("""COMPUTED_VALUE"""),45030.1913339351)</f>
        <v>45030.19133</v>
      </c>
      <c r="D10861" s="15">
        <f>IFERROR(__xludf.DUMMYFUNCTION("""COMPUTED_VALUE"""),1.059)</f>
        <v>1.059</v>
      </c>
      <c r="E10861" s="16">
        <f>IFERROR(__xludf.DUMMYFUNCTION("""COMPUTED_VALUE"""),67.0)</f>
        <v>67</v>
      </c>
      <c r="F10861" s="19" t="str">
        <f>IFERROR(__xludf.DUMMYFUNCTION("""COMPUTED_VALUE"""),"BLACK")</f>
        <v>BLACK</v>
      </c>
      <c r="G10861" s="20" t="str">
        <f>IFERROR(__xludf.DUMMYFUNCTION("""COMPUTED_VALUE"""),"Uncle Sams Cider (04/04/2023)")</f>
        <v>Uncle Sams Cider (04/04/2023)</v>
      </c>
      <c r="H10861" s="19"/>
    </row>
    <row r="10862">
      <c r="A10862" s="9"/>
      <c r="B10862" s="15"/>
      <c r="C10862" s="9">
        <f>IFERROR(__xludf.DUMMYFUNCTION("""COMPUTED_VALUE"""),45030.1809004629)</f>
        <v>45030.1809</v>
      </c>
      <c r="D10862" s="15">
        <f>IFERROR(__xludf.DUMMYFUNCTION("""COMPUTED_VALUE"""),1.059)</f>
        <v>1.059</v>
      </c>
      <c r="E10862" s="16">
        <f>IFERROR(__xludf.DUMMYFUNCTION("""COMPUTED_VALUE"""),67.0)</f>
        <v>67</v>
      </c>
      <c r="F10862" s="19" t="str">
        <f>IFERROR(__xludf.DUMMYFUNCTION("""COMPUTED_VALUE"""),"BLACK")</f>
        <v>BLACK</v>
      </c>
      <c r="G10862" s="20" t="str">
        <f>IFERROR(__xludf.DUMMYFUNCTION("""COMPUTED_VALUE"""),"Uncle Sams Cider (04/04/2023)")</f>
        <v>Uncle Sams Cider (04/04/2023)</v>
      </c>
      <c r="H10862" s="19"/>
    </row>
    <row r="10863">
      <c r="A10863" s="9"/>
      <c r="B10863" s="15"/>
      <c r="C10863" s="9">
        <f>IFERROR(__xludf.DUMMYFUNCTION("""COMPUTED_VALUE"""),45030.1704685069)</f>
        <v>45030.17047</v>
      </c>
      <c r="D10863" s="15">
        <f>IFERROR(__xludf.DUMMYFUNCTION("""COMPUTED_VALUE"""),1.058)</f>
        <v>1.058</v>
      </c>
      <c r="E10863" s="16">
        <f>IFERROR(__xludf.DUMMYFUNCTION("""COMPUTED_VALUE"""),67.0)</f>
        <v>67</v>
      </c>
      <c r="F10863" s="19" t="str">
        <f>IFERROR(__xludf.DUMMYFUNCTION("""COMPUTED_VALUE"""),"BLACK")</f>
        <v>BLACK</v>
      </c>
      <c r="G10863" s="20" t="str">
        <f>IFERROR(__xludf.DUMMYFUNCTION("""COMPUTED_VALUE"""),"Uncle Sams Cider (04/04/2023)")</f>
        <v>Uncle Sams Cider (04/04/2023)</v>
      </c>
      <c r="H10863" s="19"/>
    </row>
    <row r="10864">
      <c r="A10864" s="9"/>
      <c r="B10864" s="15"/>
      <c r="C10864" s="9">
        <f>IFERROR(__xludf.DUMMYFUNCTION("""COMPUTED_VALUE"""),45030.1600466203)</f>
        <v>45030.16005</v>
      </c>
      <c r="D10864" s="15">
        <f>IFERROR(__xludf.DUMMYFUNCTION("""COMPUTED_VALUE"""),1.059)</f>
        <v>1.059</v>
      </c>
      <c r="E10864" s="16">
        <f>IFERROR(__xludf.DUMMYFUNCTION("""COMPUTED_VALUE"""),67.0)</f>
        <v>67</v>
      </c>
      <c r="F10864" s="19" t="str">
        <f>IFERROR(__xludf.DUMMYFUNCTION("""COMPUTED_VALUE"""),"BLACK")</f>
        <v>BLACK</v>
      </c>
      <c r="G10864" s="20" t="str">
        <f>IFERROR(__xludf.DUMMYFUNCTION("""COMPUTED_VALUE"""),"Uncle Sams Cider (04/04/2023)")</f>
        <v>Uncle Sams Cider (04/04/2023)</v>
      </c>
      <c r="H10864" s="19"/>
    </row>
    <row r="10865">
      <c r="A10865" s="9"/>
      <c r="B10865" s="15"/>
      <c r="C10865" s="9">
        <f>IFERROR(__xludf.DUMMYFUNCTION("""COMPUTED_VALUE"""),45030.1496144676)</f>
        <v>45030.14961</v>
      </c>
      <c r="D10865" s="15">
        <f>IFERROR(__xludf.DUMMYFUNCTION("""COMPUTED_VALUE"""),1.059)</f>
        <v>1.059</v>
      </c>
      <c r="E10865" s="16">
        <f>IFERROR(__xludf.DUMMYFUNCTION("""COMPUTED_VALUE"""),67.0)</f>
        <v>67</v>
      </c>
      <c r="F10865" s="19" t="str">
        <f>IFERROR(__xludf.DUMMYFUNCTION("""COMPUTED_VALUE"""),"BLACK")</f>
        <v>BLACK</v>
      </c>
      <c r="G10865" s="20" t="str">
        <f>IFERROR(__xludf.DUMMYFUNCTION("""COMPUTED_VALUE"""),"Uncle Sams Cider (04/04/2023)")</f>
        <v>Uncle Sams Cider (04/04/2023)</v>
      </c>
      <c r="H10865" s="19"/>
    </row>
    <row r="10866">
      <c r="A10866" s="9"/>
      <c r="B10866" s="15"/>
      <c r="C10866" s="9">
        <f>IFERROR(__xludf.DUMMYFUNCTION("""COMPUTED_VALUE"""),45030.1391922685)</f>
        <v>45030.13919</v>
      </c>
      <c r="D10866" s="15">
        <f>IFERROR(__xludf.DUMMYFUNCTION("""COMPUTED_VALUE"""),1.059)</f>
        <v>1.059</v>
      </c>
      <c r="E10866" s="16">
        <f>IFERROR(__xludf.DUMMYFUNCTION("""COMPUTED_VALUE"""),67.0)</f>
        <v>67</v>
      </c>
      <c r="F10866" s="19" t="str">
        <f>IFERROR(__xludf.DUMMYFUNCTION("""COMPUTED_VALUE"""),"BLACK")</f>
        <v>BLACK</v>
      </c>
      <c r="G10866" s="20" t="str">
        <f>IFERROR(__xludf.DUMMYFUNCTION("""COMPUTED_VALUE"""),"Uncle Sams Cider (04/04/2023)")</f>
        <v>Uncle Sams Cider (04/04/2023)</v>
      </c>
      <c r="H10866" s="19"/>
    </row>
    <row r="10867">
      <c r="A10867" s="9"/>
      <c r="B10867" s="15"/>
      <c r="C10867" s="9">
        <f>IFERROR(__xludf.DUMMYFUNCTION("""COMPUTED_VALUE"""),45030.128768912)</f>
        <v>45030.12877</v>
      </c>
      <c r="D10867" s="15">
        <f>IFERROR(__xludf.DUMMYFUNCTION("""COMPUTED_VALUE"""),1.059)</f>
        <v>1.059</v>
      </c>
      <c r="E10867" s="16">
        <f>IFERROR(__xludf.DUMMYFUNCTION("""COMPUTED_VALUE"""),67.0)</f>
        <v>67</v>
      </c>
      <c r="F10867" s="19" t="str">
        <f>IFERROR(__xludf.DUMMYFUNCTION("""COMPUTED_VALUE"""),"BLACK")</f>
        <v>BLACK</v>
      </c>
      <c r="G10867" s="20" t="str">
        <f>IFERROR(__xludf.DUMMYFUNCTION("""COMPUTED_VALUE"""),"Uncle Sams Cider (04/04/2023)")</f>
        <v>Uncle Sams Cider (04/04/2023)</v>
      </c>
      <c r="H10867" s="19"/>
    </row>
    <row r="10868">
      <c r="A10868" s="9"/>
      <c r="B10868" s="15"/>
      <c r="C10868" s="9">
        <f>IFERROR(__xludf.DUMMYFUNCTION("""COMPUTED_VALUE"""),45030.1183238888)</f>
        <v>45030.11832</v>
      </c>
      <c r="D10868" s="15">
        <f>IFERROR(__xludf.DUMMYFUNCTION("""COMPUTED_VALUE"""),1.059)</f>
        <v>1.059</v>
      </c>
      <c r="E10868" s="16">
        <f>IFERROR(__xludf.DUMMYFUNCTION("""COMPUTED_VALUE"""),67.0)</f>
        <v>67</v>
      </c>
      <c r="F10868" s="19" t="str">
        <f>IFERROR(__xludf.DUMMYFUNCTION("""COMPUTED_VALUE"""),"BLACK")</f>
        <v>BLACK</v>
      </c>
      <c r="G10868" s="20" t="str">
        <f>IFERROR(__xludf.DUMMYFUNCTION("""COMPUTED_VALUE"""),"Uncle Sams Cider (04/04/2023)")</f>
        <v>Uncle Sams Cider (04/04/2023)</v>
      </c>
      <c r="H10868" s="19"/>
    </row>
    <row r="10869">
      <c r="A10869" s="9"/>
      <c r="B10869" s="15"/>
      <c r="C10869" s="9">
        <f>IFERROR(__xludf.DUMMYFUNCTION("""COMPUTED_VALUE"""),45030.1079020601)</f>
        <v>45030.1079</v>
      </c>
      <c r="D10869" s="15">
        <f>IFERROR(__xludf.DUMMYFUNCTION("""COMPUTED_VALUE"""),1.059)</f>
        <v>1.059</v>
      </c>
      <c r="E10869" s="16">
        <f>IFERROR(__xludf.DUMMYFUNCTION("""COMPUTED_VALUE"""),67.0)</f>
        <v>67</v>
      </c>
      <c r="F10869" s="19" t="str">
        <f>IFERROR(__xludf.DUMMYFUNCTION("""COMPUTED_VALUE"""),"BLACK")</f>
        <v>BLACK</v>
      </c>
      <c r="G10869" s="20" t="str">
        <f>IFERROR(__xludf.DUMMYFUNCTION("""COMPUTED_VALUE"""),"Uncle Sams Cider (04/04/2023)")</f>
        <v>Uncle Sams Cider (04/04/2023)</v>
      </c>
      <c r="H10869" s="19"/>
    </row>
    <row r="10870">
      <c r="A10870" s="9"/>
      <c r="B10870" s="15"/>
      <c r="C10870" s="9">
        <f>IFERROR(__xludf.DUMMYFUNCTION("""COMPUTED_VALUE"""),45030.0974818518)</f>
        <v>45030.09748</v>
      </c>
      <c r="D10870" s="15">
        <f>IFERROR(__xludf.DUMMYFUNCTION("""COMPUTED_VALUE"""),1.059)</f>
        <v>1.059</v>
      </c>
      <c r="E10870" s="16">
        <f>IFERROR(__xludf.DUMMYFUNCTION("""COMPUTED_VALUE"""),67.0)</f>
        <v>67</v>
      </c>
      <c r="F10870" s="19" t="str">
        <f>IFERROR(__xludf.DUMMYFUNCTION("""COMPUTED_VALUE"""),"BLACK")</f>
        <v>BLACK</v>
      </c>
      <c r="G10870" s="20" t="str">
        <f>IFERROR(__xludf.DUMMYFUNCTION("""COMPUTED_VALUE"""),"Uncle Sams Cider (04/04/2023)")</f>
        <v>Uncle Sams Cider (04/04/2023)</v>
      </c>
      <c r="H10870" s="19"/>
    </row>
    <row r="10871">
      <c r="A10871" s="9"/>
      <c r="B10871" s="15"/>
      <c r="C10871" s="9">
        <f>IFERROR(__xludf.DUMMYFUNCTION("""COMPUTED_VALUE"""),45030.0870609375)</f>
        <v>45030.08706</v>
      </c>
      <c r="D10871" s="15">
        <f>IFERROR(__xludf.DUMMYFUNCTION("""COMPUTED_VALUE"""),1.059)</f>
        <v>1.059</v>
      </c>
      <c r="E10871" s="16">
        <f>IFERROR(__xludf.DUMMYFUNCTION("""COMPUTED_VALUE"""),67.0)</f>
        <v>67</v>
      </c>
      <c r="F10871" s="19" t="str">
        <f>IFERROR(__xludf.DUMMYFUNCTION("""COMPUTED_VALUE"""),"BLACK")</f>
        <v>BLACK</v>
      </c>
      <c r="G10871" s="20" t="str">
        <f>IFERROR(__xludf.DUMMYFUNCTION("""COMPUTED_VALUE"""),"Uncle Sams Cider (04/04/2023)")</f>
        <v>Uncle Sams Cider (04/04/2023)</v>
      </c>
      <c r="H10871" s="19"/>
    </row>
    <row r="10872">
      <c r="A10872" s="9"/>
      <c r="B10872" s="15"/>
      <c r="C10872" s="9">
        <f>IFERROR(__xludf.DUMMYFUNCTION("""COMPUTED_VALUE"""),45030.0766404513)</f>
        <v>45030.07664</v>
      </c>
      <c r="D10872" s="15">
        <f>IFERROR(__xludf.DUMMYFUNCTION("""COMPUTED_VALUE"""),1.059)</f>
        <v>1.059</v>
      </c>
      <c r="E10872" s="16">
        <f>IFERROR(__xludf.DUMMYFUNCTION("""COMPUTED_VALUE"""),67.0)</f>
        <v>67</v>
      </c>
      <c r="F10872" s="19" t="str">
        <f>IFERROR(__xludf.DUMMYFUNCTION("""COMPUTED_VALUE"""),"BLACK")</f>
        <v>BLACK</v>
      </c>
      <c r="G10872" s="20" t="str">
        <f>IFERROR(__xludf.DUMMYFUNCTION("""COMPUTED_VALUE"""),"Uncle Sams Cider (04/04/2023)")</f>
        <v>Uncle Sams Cider (04/04/2023)</v>
      </c>
      <c r="H10872" s="19"/>
    </row>
    <row r="10873">
      <c r="A10873" s="9"/>
      <c r="B10873" s="15"/>
      <c r="C10873" s="9">
        <f>IFERROR(__xludf.DUMMYFUNCTION("""COMPUTED_VALUE"""),45030.0662191203)</f>
        <v>45030.06622</v>
      </c>
      <c r="D10873" s="15">
        <f>IFERROR(__xludf.DUMMYFUNCTION("""COMPUTED_VALUE"""),1.059)</f>
        <v>1.059</v>
      </c>
      <c r="E10873" s="16">
        <f>IFERROR(__xludf.DUMMYFUNCTION("""COMPUTED_VALUE"""),67.0)</f>
        <v>67</v>
      </c>
      <c r="F10873" s="19" t="str">
        <f>IFERROR(__xludf.DUMMYFUNCTION("""COMPUTED_VALUE"""),"BLACK")</f>
        <v>BLACK</v>
      </c>
      <c r="G10873" s="20" t="str">
        <f>IFERROR(__xludf.DUMMYFUNCTION("""COMPUTED_VALUE"""),"Uncle Sams Cider (04/04/2023)")</f>
        <v>Uncle Sams Cider (04/04/2023)</v>
      </c>
      <c r="H10873" s="19"/>
    </row>
    <row r="10874">
      <c r="A10874" s="9"/>
      <c r="B10874" s="15"/>
      <c r="C10874" s="9">
        <f>IFERROR(__xludf.DUMMYFUNCTION("""COMPUTED_VALUE"""),45030.0557981365)</f>
        <v>45030.0558</v>
      </c>
      <c r="D10874" s="15">
        <f>IFERROR(__xludf.DUMMYFUNCTION("""COMPUTED_VALUE"""),1.059)</f>
        <v>1.059</v>
      </c>
      <c r="E10874" s="16">
        <f>IFERROR(__xludf.DUMMYFUNCTION("""COMPUTED_VALUE"""),67.0)</f>
        <v>67</v>
      </c>
      <c r="F10874" s="19" t="str">
        <f>IFERROR(__xludf.DUMMYFUNCTION("""COMPUTED_VALUE"""),"BLACK")</f>
        <v>BLACK</v>
      </c>
      <c r="G10874" s="20" t="str">
        <f>IFERROR(__xludf.DUMMYFUNCTION("""COMPUTED_VALUE"""),"Uncle Sams Cider (04/04/2023)")</f>
        <v>Uncle Sams Cider (04/04/2023)</v>
      </c>
      <c r="H10874" s="19"/>
    </row>
    <row r="10875">
      <c r="A10875" s="9"/>
      <c r="B10875" s="15"/>
      <c r="C10875" s="9">
        <f>IFERROR(__xludf.DUMMYFUNCTION("""COMPUTED_VALUE"""),45030.0453418055)</f>
        <v>45030.04534</v>
      </c>
      <c r="D10875" s="15">
        <f>IFERROR(__xludf.DUMMYFUNCTION("""COMPUTED_VALUE"""),1.059)</f>
        <v>1.059</v>
      </c>
      <c r="E10875" s="16">
        <f>IFERROR(__xludf.DUMMYFUNCTION("""COMPUTED_VALUE"""),67.0)</f>
        <v>67</v>
      </c>
      <c r="F10875" s="19" t="str">
        <f>IFERROR(__xludf.DUMMYFUNCTION("""COMPUTED_VALUE"""),"BLACK")</f>
        <v>BLACK</v>
      </c>
      <c r="G10875" s="20" t="str">
        <f>IFERROR(__xludf.DUMMYFUNCTION("""COMPUTED_VALUE"""),"Uncle Sams Cider (04/04/2023)")</f>
        <v>Uncle Sams Cider (04/04/2023)</v>
      </c>
      <c r="H10875" s="19"/>
    </row>
    <row r="10876">
      <c r="A10876" s="9"/>
      <c r="B10876" s="15"/>
      <c r="C10876" s="9">
        <f>IFERROR(__xludf.DUMMYFUNCTION("""COMPUTED_VALUE"""),45030.0349214814)</f>
        <v>45030.03492</v>
      </c>
      <c r="D10876" s="15">
        <f>IFERROR(__xludf.DUMMYFUNCTION("""COMPUTED_VALUE"""),1.06)</f>
        <v>1.06</v>
      </c>
      <c r="E10876" s="16">
        <f>IFERROR(__xludf.DUMMYFUNCTION("""COMPUTED_VALUE"""),67.0)</f>
        <v>67</v>
      </c>
      <c r="F10876" s="19" t="str">
        <f>IFERROR(__xludf.DUMMYFUNCTION("""COMPUTED_VALUE"""),"BLACK")</f>
        <v>BLACK</v>
      </c>
      <c r="G10876" s="20" t="str">
        <f>IFERROR(__xludf.DUMMYFUNCTION("""COMPUTED_VALUE"""),"Uncle Sams Cider (04/04/2023)")</f>
        <v>Uncle Sams Cider (04/04/2023)</v>
      </c>
      <c r="H10876" s="19"/>
    </row>
    <row r="10877">
      <c r="A10877" s="9"/>
      <c r="B10877" s="15"/>
      <c r="C10877" s="9">
        <f>IFERROR(__xludf.DUMMYFUNCTION("""COMPUTED_VALUE"""),45030.0244999652)</f>
        <v>45030.0245</v>
      </c>
      <c r="D10877" s="15">
        <f>IFERROR(__xludf.DUMMYFUNCTION("""COMPUTED_VALUE"""),1.06)</f>
        <v>1.06</v>
      </c>
      <c r="E10877" s="16">
        <f>IFERROR(__xludf.DUMMYFUNCTION("""COMPUTED_VALUE"""),67.0)</f>
        <v>67</v>
      </c>
      <c r="F10877" s="19" t="str">
        <f>IFERROR(__xludf.DUMMYFUNCTION("""COMPUTED_VALUE"""),"BLACK")</f>
        <v>BLACK</v>
      </c>
      <c r="G10877" s="20" t="str">
        <f>IFERROR(__xludf.DUMMYFUNCTION("""COMPUTED_VALUE"""),"Uncle Sams Cider (04/04/2023)")</f>
        <v>Uncle Sams Cider (04/04/2023)</v>
      </c>
      <c r="H10877" s="19"/>
    </row>
    <row r="10878">
      <c r="A10878" s="9"/>
      <c r="B10878" s="15"/>
      <c r="C10878" s="9">
        <f>IFERROR(__xludf.DUMMYFUNCTION("""COMPUTED_VALUE"""),45030.0140769212)</f>
        <v>45030.01408</v>
      </c>
      <c r="D10878" s="15">
        <f>IFERROR(__xludf.DUMMYFUNCTION("""COMPUTED_VALUE"""),1.06)</f>
        <v>1.06</v>
      </c>
      <c r="E10878" s="16">
        <f>IFERROR(__xludf.DUMMYFUNCTION("""COMPUTED_VALUE"""),67.0)</f>
        <v>67</v>
      </c>
      <c r="F10878" s="19" t="str">
        <f>IFERROR(__xludf.DUMMYFUNCTION("""COMPUTED_VALUE"""),"BLACK")</f>
        <v>BLACK</v>
      </c>
      <c r="G10878" s="20" t="str">
        <f>IFERROR(__xludf.DUMMYFUNCTION("""COMPUTED_VALUE"""),"Uncle Sams Cider (04/04/2023)")</f>
        <v>Uncle Sams Cider (04/04/2023)</v>
      </c>
      <c r="H10878" s="19"/>
    </row>
    <row r="10879">
      <c r="A10879" s="9"/>
      <c r="B10879" s="15"/>
      <c r="C10879" s="9">
        <f>IFERROR(__xludf.DUMMYFUNCTION("""COMPUTED_VALUE"""),45030.0036445717)</f>
        <v>45030.00364</v>
      </c>
      <c r="D10879" s="15">
        <f>IFERROR(__xludf.DUMMYFUNCTION("""COMPUTED_VALUE"""),1.059)</f>
        <v>1.059</v>
      </c>
      <c r="E10879" s="16">
        <f>IFERROR(__xludf.DUMMYFUNCTION("""COMPUTED_VALUE"""),67.0)</f>
        <v>67</v>
      </c>
      <c r="F10879" s="19" t="str">
        <f>IFERROR(__xludf.DUMMYFUNCTION("""COMPUTED_VALUE"""),"BLACK")</f>
        <v>BLACK</v>
      </c>
      <c r="G10879" s="20" t="str">
        <f>IFERROR(__xludf.DUMMYFUNCTION("""COMPUTED_VALUE"""),"Uncle Sams Cider (04/04/2023)")</f>
        <v>Uncle Sams Cider (04/04/2023)</v>
      </c>
      <c r="H10879" s="19"/>
    </row>
    <row r="10880">
      <c r="A10880" s="9"/>
      <c r="B10880" s="15"/>
      <c r="C10880" s="9">
        <f>IFERROR(__xludf.DUMMYFUNCTION("""COMPUTED_VALUE"""),45029.9932115277)</f>
        <v>45029.99321</v>
      </c>
      <c r="D10880" s="15">
        <f>IFERROR(__xludf.DUMMYFUNCTION("""COMPUTED_VALUE"""),1.06)</f>
        <v>1.06</v>
      </c>
      <c r="E10880" s="16">
        <f>IFERROR(__xludf.DUMMYFUNCTION("""COMPUTED_VALUE"""),67.0)</f>
        <v>67</v>
      </c>
      <c r="F10880" s="19" t="str">
        <f>IFERROR(__xludf.DUMMYFUNCTION("""COMPUTED_VALUE"""),"BLACK")</f>
        <v>BLACK</v>
      </c>
      <c r="G10880" s="20" t="str">
        <f>IFERROR(__xludf.DUMMYFUNCTION("""COMPUTED_VALUE"""),"Uncle Sams Cider (04/04/2023)")</f>
        <v>Uncle Sams Cider (04/04/2023)</v>
      </c>
      <c r="H10880" s="19"/>
    </row>
    <row r="10881">
      <c r="A10881" s="9"/>
      <c r="B10881" s="15"/>
      <c r="C10881" s="9">
        <f>IFERROR(__xludf.DUMMYFUNCTION("""COMPUTED_VALUE"""),45029.9827673842)</f>
        <v>45029.98277</v>
      </c>
      <c r="D10881" s="15">
        <f>IFERROR(__xludf.DUMMYFUNCTION("""COMPUTED_VALUE"""),1.06)</f>
        <v>1.06</v>
      </c>
      <c r="E10881" s="16">
        <f>IFERROR(__xludf.DUMMYFUNCTION("""COMPUTED_VALUE"""),67.0)</f>
        <v>67</v>
      </c>
      <c r="F10881" s="19" t="str">
        <f>IFERROR(__xludf.DUMMYFUNCTION("""COMPUTED_VALUE"""),"BLACK")</f>
        <v>BLACK</v>
      </c>
      <c r="G10881" s="20" t="str">
        <f>IFERROR(__xludf.DUMMYFUNCTION("""COMPUTED_VALUE"""),"Uncle Sams Cider (04/04/2023)")</f>
        <v>Uncle Sams Cider (04/04/2023)</v>
      </c>
      <c r="H10881" s="19"/>
    </row>
    <row r="10882">
      <c r="A10882" s="9"/>
      <c r="B10882" s="15"/>
      <c r="C10882" s="9">
        <f>IFERROR(__xludf.DUMMYFUNCTION("""COMPUTED_VALUE"""),45029.9723237037)</f>
        <v>45029.97232</v>
      </c>
      <c r="D10882" s="15">
        <f>IFERROR(__xludf.DUMMYFUNCTION("""COMPUTED_VALUE"""),1.06)</f>
        <v>1.06</v>
      </c>
      <c r="E10882" s="16">
        <f>IFERROR(__xludf.DUMMYFUNCTION("""COMPUTED_VALUE"""),67.0)</f>
        <v>67</v>
      </c>
      <c r="F10882" s="19" t="str">
        <f>IFERROR(__xludf.DUMMYFUNCTION("""COMPUTED_VALUE"""),"BLACK")</f>
        <v>BLACK</v>
      </c>
      <c r="G10882" s="20" t="str">
        <f>IFERROR(__xludf.DUMMYFUNCTION("""COMPUTED_VALUE"""),"Uncle Sams Cider (04/04/2023)")</f>
        <v>Uncle Sams Cider (04/04/2023)</v>
      </c>
      <c r="H10882" s="19"/>
    </row>
    <row r="10883">
      <c r="A10883" s="9"/>
      <c r="B10883" s="15"/>
      <c r="C10883" s="9">
        <f>IFERROR(__xludf.DUMMYFUNCTION("""COMPUTED_VALUE"""),45029.9619017592)</f>
        <v>45029.9619</v>
      </c>
      <c r="D10883" s="15">
        <f>IFERROR(__xludf.DUMMYFUNCTION("""COMPUTED_VALUE"""),1.06)</f>
        <v>1.06</v>
      </c>
      <c r="E10883" s="16">
        <f>IFERROR(__xludf.DUMMYFUNCTION("""COMPUTED_VALUE"""),67.0)</f>
        <v>67</v>
      </c>
      <c r="F10883" s="19" t="str">
        <f>IFERROR(__xludf.DUMMYFUNCTION("""COMPUTED_VALUE"""),"BLACK")</f>
        <v>BLACK</v>
      </c>
      <c r="G10883" s="20" t="str">
        <f>IFERROR(__xludf.DUMMYFUNCTION("""COMPUTED_VALUE"""),"Uncle Sams Cider (04/04/2023)")</f>
        <v>Uncle Sams Cider (04/04/2023)</v>
      </c>
      <c r="H10883" s="19"/>
    </row>
    <row r="10884">
      <c r="A10884" s="9"/>
      <c r="B10884" s="15"/>
      <c r="C10884" s="9">
        <f>IFERROR(__xludf.DUMMYFUNCTION("""COMPUTED_VALUE"""),45029.9514811574)</f>
        <v>45029.95148</v>
      </c>
      <c r="D10884" s="15">
        <f>IFERROR(__xludf.DUMMYFUNCTION("""COMPUTED_VALUE"""),1.06)</f>
        <v>1.06</v>
      </c>
      <c r="E10884" s="16">
        <f>IFERROR(__xludf.DUMMYFUNCTION("""COMPUTED_VALUE"""),67.0)</f>
        <v>67</v>
      </c>
      <c r="F10884" s="19" t="str">
        <f>IFERROR(__xludf.DUMMYFUNCTION("""COMPUTED_VALUE"""),"BLACK")</f>
        <v>BLACK</v>
      </c>
      <c r="G10884" s="20" t="str">
        <f>IFERROR(__xludf.DUMMYFUNCTION("""COMPUTED_VALUE"""),"Uncle Sams Cider (04/04/2023)")</f>
        <v>Uncle Sams Cider (04/04/2023)</v>
      </c>
      <c r="H10884" s="19"/>
    </row>
    <row r="10885">
      <c r="A10885" s="9"/>
      <c r="B10885" s="15"/>
      <c r="C10885" s="9">
        <f>IFERROR(__xludf.DUMMYFUNCTION("""COMPUTED_VALUE"""),45029.9410585995)</f>
        <v>45029.94106</v>
      </c>
      <c r="D10885" s="15">
        <f>IFERROR(__xludf.DUMMYFUNCTION("""COMPUTED_VALUE"""),1.06)</f>
        <v>1.06</v>
      </c>
      <c r="E10885" s="16">
        <f>IFERROR(__xludf.DUMMYFUNCTION("""COMPUTED_VALUE"""),67.0)</f>
        <v>67</v>
      </c>
      <c r="F10885" s="19" t="str">
        <f>IFERROR(__xludf.DUMMYFUNCTION("""COMPUTED_VALUE"""),"BLACK")</f>
        <v>BLACK</v>
      </c>
      <c r="G10885" s="20" t="str">
        <f>IFERROR(__xludf.DUMMYFUNCTION("""COMPUTED_VALUE"""),"Uncle Sams Cider (04/04/2023)")</f>
        <v>Uncle Sams Cider (04/04/2023)</v>
      </c>
      <c r="H10885" s="19"/>
    </row>
    <row r="10886">
      <c r="A10886" s="9"/>
      <c r="B10886" s="15"/>
      <c r="C10886" s="9">
        <f>IFERROR(__xludf.DUMMYFUNCTION("""COMPUTED_VALUE"""),45029.9306383449)</f>
        <v>45029.93064</v>
      </c>
      <c r="D10886" s="15">
        <f>IFERROR(__xludf.DUMMYFUNCTION("""COMPUTED_VALUE"""),1.06)</f>
        <v>1.06</v>
      </c>
      <c r="E10886" s="16">
        <f>IFERROR(__xludf.DUMMYFUNCTION("""COMPUTED_VALUE"""),67.0)</f>
        <v>67</v>
      </c>
      <c r="F10886" s="19" t="str">
        <f>IFERROR(__xludf.DUMMYFUNCTION("""COMPUTED_VALUE"""),"BLACK")</f>
        <v>BLACK</v>
      </c>
      <c r="G10886" s="20" t="str">
        <f>IFERROR(__xludf.DUMMYFUNCTION("""COMPUTED_VALUE"""),"Uncle Sams Cider (04/04/2023)")</f>
        <v>Uncle Sams Cider (04/04/2023)</v>
      </c>
      <c r="H10886" s="19"/>
    </row>
    <row r="10887">
      <c r="A10887" s="9"/>
      <c r="B10887" s="15"/>
      <c r="C10887" s="9">
        <f>IFERROR(__xludf.DUMMYFUNCTION("""COMPUTED_VALUE"""),45029.9202197337)</f>
        <v>45029.92022</v>
      </c>
      <c r="D10887" s="15">
        <f>IFERROR(__xludf.DUMMYFUNCTION("""COMPUTED_VALUE"""),1.06)</f>
        <v>1.06</v>
      </c>
      <c r="E10887" s="16">
        <f>IFERROR(__xludf.DUMMYFUNCTION("""COMPUTED_VALUE"""),67.0)</f>
        <v>67</v>
      </c>
      <c r="F10887" s="19" t="str">
        <f>IFERROR(__xludf.DUMMYFUNCTION("""COMPUTED_VALUE"""),"BLACK")</f>
        <v>BLACK</v>
      </c>
      <c r="G10887" s="20" t="str">
        <f>IFERROR(__xludf.DUMMYFUNCTION("""COMPUTED_VALUE"""),"Uncle Sams Cider (04/04/2023)")</f>
        <v>Uncle Sams Cider (04/04/2023)</v>
      </c>
      <c r="H10887" s="19"/>
    </row>
    <row r="10888">
      <c r="A10888" s="9"/>
      <c r="B10888" s="15"/>
      <c r="C10888" s="9">
        <f>IFERROR(__xludf.DUMMYFUNCTION("""COMPUTED_VALUE"""),45029.9097980787)</f>
        <v>45029.9098</v>
      </c>
      <c r="D10888" s="15">
        <f>IFERROR(__xludf.DUMMYFUNCTION("""COMPUTED_VALUE"""),1.06)</f>
        <v>1.06</v>
      </c>
      <c r="E10888" s="16">
        <f>IFERROR(__xludf.DUMMYFUNCTION("""COMPUTED_VALUE"""),67.0)</f>
        <v>67</v>
      </c>
      <c r="F10888" s="19" t="str">
        <f>IFERROR(__xludf.DUMMYFUNCTION("""COMPUTED_VALUE"""),"BLACK")</f>
        <v>BLACK</v>
      </c>
      <c r="G10888" s="20" t="str">
        <f>IFERROR(__xludf.DUMMYFUNCTION("""COMPUTED_VALUE"""),"Uncle Sams Cider (04/04/2023)")</f>
        <v>Uncle Sams Cider (04/04/2023)</v>
      </c>
      <c r="H10888" s="19"/>
    </row>
    <row r="10889">
      <c r="A10889" s="9"/>
      <c r="B10889" s="15"/>
      <c r="C10889" s="9">
        <f>IFERROR(__xludf.DUMMYFUNCTION("""COMPUTED_VALUE"""),45029.8993657407)</f>
        <v>45029.89937</v>
      </c>
      <c r="D10889" s="15">
        <f>IFERROR(__xludf.DUMMYFUNCTION("""COMPUTED_VALUE"""),1.06)</f>
        <v>1.06</v>
      </c>
      <c r="E10889" s="16">
        <f>IFERROR(__xludf.DUMMYFUNCTION("""COMPUTED_VALUE"""),67.0)</f>
        <v>67</v>
      </c>
      <c r="F10889" s="19" t="str">
        <f>IFERROR(__xludf.DUMMYFUNCTION("""COMPUTED_VALUE"""),"BLACK")</f>
        <v>BLACK</v>
      </c>
      <c r="G10889" s="20" t="str">
        <f>IFERROR(__xludf.DUMMYFUNCTION("""COMPUTED_VALUE"""),"Uncle Sams Cider (04/04/2023)")</f>
        <v>Uncle Sams Cider (04/04/2023)</v>
      </c>
      <c r="H10889" s="19"/>
    </row>
    <row r="10890">
      <c r="A10890" s="9"/>
      <c r="B10890" s="15"/>
      <c r="C10890" s="9">
        <f>IFERROR(__xludf.DUMMYFUNCTION("""COMPUTED_VALUE"""),45029.8889438194)</f>
        <v>45029.88894</v>
      </c>
      <c r="D10890" s="15">
        <f>IFERROR(__xludf.DUMMYFUNCTION("""COMPUTED_VALUE"""),1.06)</f>
        <v>1.06</v>
      </c>
      <c r="E10890" s="16">
        <f>IFERROR(__xludf.DUMMYFUNCTION("""COMPUTED_VALUE"""),67.0)</f>
        <v>67</v>
      </c>
      <c r="F10890" s="19" t="str">
        <f>IFERROR(__xludf.DUMMYFUNCTION("""COMPUTED_VALUE"""),"BLACK")</f>
        <v>BLACK</v>
      </c>
      <c r="G10890" s="20" t="str">
        <f>IFERROR(__xludf.DUMMYFUNCTION("""COMPUTED_VALUE"""),"Uncle Sams Cider (04/04/2023)")</f>
        <v>Uncle Sams Cider (04/04/2023)</v>
      </c>
      <c r="H10890" s="19"/>
    </row>
    <row r="10891">
      <c r="A10891" s="9"/>
      <c r="B10891" s="15"/>
      <c r="C10891" s="9">
        <f>IFERROR(__xludf.DUMMYFUNCTION("""COMPUTED_VALUE"""),45029.8784984838)</f>
        <v>45029.8785</v>
      </c>
      <c r="D10891" s="15">
        <f>IFERROR(__xludf.DUMMYFUNCTION("""COMPUTED_VALUE"""),1.06)</f>
        <v>1.06</v>
      </c>
      <c r="E10891" s="16">
        <f>IFERROR(__xludf.DUMMYFUNCTION("""COMPUTED_VALUE"""),67.0)</f>
        <v>67</v>
      </c>
      <c r="F10891" s="19" t="str">
        <f>IFERROR(__xludf.DUMMYFUNCTION("""COMPUTED_VALUE"""),"BLACK")</f>
        <v>BLACK</v>
      </c>
      <c r="G10891" s="20" t="str">
        <f>IFERROR(__xludf.DUMMYFUNCTION("""COMPUTED_VALUE"""),"Uncle Sams Cider (04/04/2023)")</f>
        <v>Uncle Sams Cider (04/04/2023)</v>
      </c>
      <c r="H10891" s="19"/>
    </row>
    <row r="10892">
      <c r="A10892" s="9"/>
      <c r="B10892" s="15"/>
      <c r="C10892" s="9">
        <f>IFERROR(__xludf.DUMMYFUNCTION("""COMPUTED_VALUE"""),45029.8680778356)</f>
        <v>45029.86808</v>
      </c>
      <c r="D10892" s="15">
        <f>IFERROR(__xludf.DUMMYFUNCTION("""COMPUTED_VALUE"""),1.06)</f>
        <v>1.06</v>
      </c>
      <c r="E10892" s="16">
        <f>IFERROR(__xludf.DUMMYFUNCTION("""COMPUTED_VALUE"""),67.0)</f>
        <v>67</v>
      </c>
      <c r="F10892" s="19" t="str">
        <f>IFERROR(__xludf.DUMMYFUNCTION("""COMPUTED_VALUE"""),"BLACK")</f>
        <v>BLACK</v>
      </c>
      <c r="G10892" s="20" t="str">
        <f>IFERROR(__xludf.DUMMYFUNCTION("""COMPUTED_VALUE"""),"Uncle Sams Cider (04/04/2023)")</f>
        <v>Uncle Sams Cider (04/04/2023)</v>
      </c>
      <c r="H10892" s="19"/>
    </row>
    <row r="10893">
      <c r="A10893" s="9"/>
      <c r="B10893" s="15"/>
      <c r="C10893" s="9">
        <f>IFERROR(__xludf.DUMMYFUNCTION("""COMPUTED_VALUE"""),45029.8576218865)</f>
        <v>45029.85762</v>
      </c>
      <c r="D10893" s="15">
        <f>IFERROR(__xludf.DUMMYFUNCTION("""COMPUTED_VALUE"""),1.06)</f>
        <v>1.06</v>
      </c>
      <c r="E10893" s="16">
        <f>IFERROR(__xludf.DUMMYFUNCTION("""COMPUTED_VALUE"""),67.0)</f>
        <v>67</v>
      </c>
      <c r="F10893" s="19" t="str">
        <f>IFERROR(__xludf.DUMMYFUNCTION("""COMPUTED_VALUE"""),"BLACK")</f>
        <v>BLACK</v>
      </c>
      <c r="G10893" s="20" t="str">
        <f>IFERROR(__xludf.DUMMYFUNCTION("""COMPUTED_VALUE"""),"Uncle Sams Cider (04/04/2023)")</f>
        <v>Uncle Sams Cider (04/04/2023)</v>
      </c>
      <c r="H10893" s="19"/>
    </row>
    <row r="10894">
      <c r="A10894" s="9"/>
      <c r="B10894" s="15"/>
      <c r="C10894" s="9">
        <f>IFERROR(__xludf.DUMMYFUNCTION("""COMPUTED_VALUE"""),45029.8471773611)</f>
        <v>45029.84718</v>
      </c>
      <c r="D10894" s="15">
        <f>IFERROR(__xludf.DUMMYFUNCTION("""COMPUTED_VALUE"""),1.06)</f>
        <v>1.06</v>
      </c>
      <c r="E10894" s="16">
        <f>IFERROR(__xludf.DUMMYFUNCTION("""COMPUTED_VALUE"""),67.0)</f>
        <v>67</v>
      </c>
      <c r="F10894" s="19" t="str">
        <f>IFERROR(__xludf.DUMMYFUNCTION("""COMPUTED_VALUE"""),"BLACK")</f>
        <v>BLACK</v>
      </c>
      <c r="G10894" s="20" t="str">
        <f>IFERROR(__xludf.DUMMYFUNCTION("""COMPUTED_VALUE"""),"Uncle Sams Cider (04/04/2023)")</f>
        <v>Uncle Sams Cider (04/04/2023)</v>
      </c>
      <c r="H10894" s="19"/>
    </row>
    <row r="10895">
      <c r="A10895" s="9"/>
      <c r="B10895" s="15"/>
      <c r="C10895" s="9">
        <f>IFERROR(__xludf.DUMMYFUNCTION("""COMPUTED_VALUE"""),45029.8367467245)</f>
        <v>45029.83675</v>
      </c>
      <c r="D10895" s="15">
        <f>IFERROR(__xludf.DUMMYFUNCTION("""COMPUTED_VALUE"""),1.061)</f>
        <v>1.061</v>
      </c>
      <c r="E10895" s="16">
        <f>IFERROR(__xludf.DUMMYFUNCTION("""COMPUTED_VALUE"""),67.0)</f>
        <v>67</v>
      </c>
      <c r="F10895" s="19" t="str">
        <f>IFERROR(__xludf.DUMMYFUNCTION("""COMPUTED_VALUE"""),"BLACK")</f>
        <v>BLACK</v>
      </c>
      <c r="G10895" s="20" t="str">
        <f>IFERROR(__xludf.DUMMYFUNCTION("""COMPUTED_VALUE"""),"Uncle Sams Cider (04/04/2023)")</f>
        <v>Uncle Sams Cider (04/04/2023)</v>
      </c>
      <c r="H10895" s="19"/>
    </row>
    <row r="10896">
      <c r="A10896" s="9"/>
      <c r="B10896" s="15"/>
      <c r="C10896" s="9">
        <f>IFERROR(__xludf.DUMMYFUNCTION("""COMPUTED_VALUE"""),45029.8262923726)</f>
        <v>45029.82629</v>
      </c>
      <c r="D10896" s="15">
        <f>IFERROR(__xludf.DUMMYFUNCTION("""COMPUTED_VALUE"""),1.06)</f>
        <v>1.06</v>
      </c>
      <c r="E10896" s="16">
        <f>IFERROR(__xludf.DUMMYFUNCTION("""COMPUTED_VALUE"""),67.0)</f>
        <v>67</v>
      </c>
      <c r="F10896" s="19" t="str">
        <f>IFERROR(__xludf.DUMMYFUNCTION("""COMPUTED_VALUE"""),"BLACK")</f>
        <v>BLACK</v>
      </c>
      <c r="G10896" s="20" t="str">
        <f>IFERROR(__xludf.DUMMYFUNCTION("""COMPUTED_VALUE"""),"Uncle Sams Cider (04/04/2023)")</f>
        <v>Uncle Sams Cider (04/04/2023)</v>
      </c>
      <c r="H10896" s="19"/>
    </row>
    <row r="10897">
      <c r="A10897" s="9"/>
      <c r="B10897" s="15"/>
      <c r="C10897" s="9">
        <f>IFERROR(__xludf.DUMMYFUNCTION("""COMPUTED_VALUE"""),45029.8158729976)</f>
        <v>45029.81587</v>
      </c>
      <c r="D10897" s="15">
        <f>IFERROR(__xludf.DUMMYFUNCTION("""COMPUTED_VALUE"""),1.061)</f>
        <v>1.061</v>
      </c>
      <c r="E10897" s="16">
        <f>IFERROR(__xludf.DUMMYFUNCTION("""COMPUTED_VALUE"""),67.0)</f>
        <v>67</v>
      </c>
      <c r="F10897" s="19" t="str">
        <f>IFERROR(__xludf.DUMMYFUNCTION("""COMPUTED_VALUE"""),"BLACK")</f>
        <v>BLACK</v>
      </c>
      <c r="G10897" s="20" t="str">
        <f>IFERROR(__xludf.DUMMYFUNCTION("""COMPUTED_VALUE"""),"Uncle Sams Cider (04/04/2023)")</f>
        <v>Uncle Sams Cider (04/04/2023)</v>
      </c>
      <c r="H10897" s="19"/>
    </row>
    <row r="10898">
      <c r="A10898" s="9"/>
      <c r="B10898" s="15"/>
      <c r="C10898" s="9">
        <f>IFERROR(__xludf.DUMMYFUNCTION("""COMPUTED_VALUE"""),45029.8054284027)</f>
        <v>45029.80543</v>
      </c>
      <c r="D10898" s="15">
        <f>IFERROR(__xludf.DUMMYFUNCTION("""COMPUTED_VALUE"""),1.06)</f>
        <v>1.06</v>
      </c>
      <c r="E10898" s="16">
        <f>IFERROR(__xludf.DUMMYFUNCTION("""COMPUTED_VALUE"""),67.0)</f>
        <v>67</v>
      </c>
      <c r="F10898" s="19" t="str">
        <f>IFERROR(__xludf.DUMMYFUNCTION("""COMPUTED_VALUE"""),"BLACK")</f>
        <v>BLACK</v>
      </c>
      <c r="G10898" s="20" t="str">
        <f>IFERROR(__xludf.DUMMYFUNCTION("""COMPUTED_VALUE"""),"Uncle Sams Cider (04/04/2023)")</f>
        <v>Uncle Sams Cider (04/04/2023)</v>
      </c>
      <c r="H10898" s="19"/>
    </row>
    <row r="10899">
      <c r="A10899" s="9"/>
      <c r="B10899" s="15"/>
      <c r="C10899" s="9">
        <f>IFERROR(__xludf.DUMMYFUNCTION("""COMPUTED_VALUE"""),45029.7950051157)</f>
        <v>45029.79501</v>
      </c>
      <c r="D10899" s="15">
        <f>IFERROR(__xludf.DUMMYFUNCTION("""COMPUTED_VALUE"""),1.06)</f>
        <v>1.06</v>
      </c>
      <c r="E10899" s="16">
        <f>IFERROR(__xludf.DUMMYFUNCTION("""COMPUTED_VALUE"""),67.0)</f>
        <v>67</v>
      </c>
      <c r="F10899" s="19" t="str">
        <f>IFERROR(__xludf.DUMMYFUNCTION("""COMPUTED_VALUE"""),"BLACK")</f>
        <v>BLACK</v>
      </c>
      <c r="G10899" s="20" t="str">
        <f>IFERROR(__xludf.DUMMYFUNCTION("""COMPUTED_VALUE"""),"Uncle Sams Cider (04/04/2023)")</f>
        <v>Uncle Sams Cider (04/04/2023)</v>
      </c>
      <c r="H10899" s="19"/>
    </row>
    <row r="10900">
      <c r="A10900" s="9"/>
      <c r="B10900" s="15"/>
      <c r="C10900" s="9">
        <f>IFERROR(__xludf.DUMMYFUNCTION("""COMPUTED_VALUE"""),45029.7845842824)</f>
        <v>45029.78458</v>
      </c>
      <c r="D10900" s="15">
        <f>IFERROR(__xludf.DUMMYFUNCTION("""COMPUTED_VALUE"""),1.061)</f>
        <v>1.061</v>
      </c>
      <c r="E10900" s="16">
        <f>IFERROR(__xludf.DUMMYFUNCTION("""COMPUTED_VALUE"""),67.0)</f>
        <v>67</v>
      </c>
      <c r="F10900" s="19" t="str">
        <f>IFERROR(__xludf.DUMMYFUNCTION("""COMPUTED_VALUE"""),"BLACK")</f>
        <v>BLACK</v>
      </c>
      <c r="G10900" s="20" t="str">
        <f>IFERROR(__xludf.DUMMYFUNCTION("""COMPUTED_VALUE"""),"Uncle Sams Cider (04/04/2023)")</f>
        <v>Uncle Sams Cider (04/04/2023)</v>
      </c>
      <c r="H10900" s="19"/>
    </row>
    <row r="10901">
      <c r="A10901" s="9"/>
      <c r="B10901" s="15"/>
      <c r="C10901" s="9">
        <f>IFERROR(__xludf.DUMMYFUNCTION("""COMPUTED_VALUE"""),45029.7741626388)</f>
        <v>45029.77416</v>
      </c>
      <c r="D10901" s="15">
        <f>IFERROR(__xludf.DUMMYFUNCTION("""COMPUTED_VALUE"""),1.06)</f>
        <v>1.06</v>
      </c>
      <c r="E10901" s="16">
        <f>IFERROR(__xludf.DUMMYFUNCTION("""COMPUTED_VALUE"""),67.0)</f>
        <v>67</v>
      </c>
      <c r="F10901" s="19" t="str">
        <f>IFERROR(__xludf.DUMMYFUNCTION("""COMPUTED_VALUE"""),"BLACK")</f>
        <v>BLACK</v>
      </c>
      <c r="G10901" s="20" t="str">
        <f>IFERROR(__xludf.DUMMYFUNCTION("""COMPUTED_VALUE"""),"Uncle Sams Cider (04/04/2023)")</f>
        <v>Uncle Sams Cider (04/04/2023)</v>
      </c>
      <c r="H10901" s="19"/>
    </row>
    <row r="10902">
      <c r="A10902" s="9"/>
      <c r="B10902" s="15"/>
      <c r="C10902" s="9">
        <f>IFERROR(__xludf.DUMMYFUNCTION("""COMPUTED_VALUE"""),45029.7637406828)</f>
        <v>45029.76374</v>
      </c>
      <c r="D10902" s="15">
        <f>IFERROR(__xludf.DUMMYFUNCTION("""COMPUTED_VALUE"""),1.06)</f>
        <v>1.06</v>
      </c>
      <c r="E10902" s="16">
        <f>IFERROR(__xludf.DUMMYFUNCTION("""COMPUTED_VALUE"""),67.0)</f>
        <v>67</v>
      </c>
      <c r="F10902" s="19" t="str">
        <f>IFERROR(__xludf.DUMMYFUNCTION("""COMPUTED_VALUE"""),"BLACK")</f>
        <v>BLACK</v>
      </c>
      <c r="G10902" s="20" t="str">
        <f>IFERROR(__xludf.DUMMYFUNCTION("""COMPUTED_VALUE"""),"Uncle Sams Cider (04/04/2023)")</f>
        <v>Uncle Sams Cider (04/04/2023)</v>
      </c>
      <c r="H10902" s="19"/>
    </row>
    <row r="10903">
      <c r="A10903" s="9"/>
      <c r="B10903" s="15"/>
      <c r="C10903" s="9">
        <f>IFERROR(__xludf.DUMMYFUNCTION("""COMPUTED_VALUE"""),45029.7533086921)</f>
        <v>45029.75331</v>
      </c>
      <c r="D10903" s="15">
        <f>IFERROR(__xludf.DUMMYFUNCTION("""COMPUTED_VALUE"""),1.06)</f>
        <v>1.06</v>
      </c>
      <c r="E10903" s="16">
        <f>IFERROR(__xludf.DUMMYFUNCTION("""COMPUTED_VALUE"""),67.0)</f>
        <v>67</v>
      </c>
      <c r="F10903" s="19" t="str">
        <f>IFERROR(__xludf.DUMMYFUNCTION("""COMPUTED_VALUE"""),"BLACK")</f>
        <v>BLACK</v>
      </c>
      <c r="G10903" s="20" t="str">
        <f>IFERROR(__xludf.DUMMYFUNCTION("""COMPUTED_VALUE"""),"Uncle Sams Cider (04/04/2023)")</f>
        <v>Uncle Sams Cider (04/04/2023)</v>
      </c>
      <c r="H10903" s="19"/>
    </row>
    <row r="10904">
      <c r="A10904" s="9"/>
      <c r="B10904" s="15"/>
      <c r="C10904" s="9">
        <f>IFERROR(__xludf.DUMMYFUNCTION("""COMPUTED_VALUE"""),45029.7428739467)</f>
        <v>45029.74287</v>
      </c>
      <c r="D10904" s="15">
        <f>IFERROR(__xludf.DUMMYFUNCTION("""COMPUTED_VALUE"""),1.061)</f>
        <v>1.061</v>
      </c>
      <c r="E10904" s="16">
        <f>IFERROR(__xludf.DUMMYFUNCTION("""COMPUTED_VALUE"""),67.0)</f>
        <v>67</v>
      </c>
      <c r="F10904" s="19" t="str">
        <f>IFERROR(__xludf.DUMMYFUNCTION("""COMPUTED_VALUE"""),"BLACK")</f>
        <v>BLACK</v>
      </c>
      <c r="G10904" s="20" t="str">
        <f>IFERROR(__xludf.DUMMYFUNCTION("""COMPUTED_VALUE"""),"Uncle Sams Cider (04/04/2023)")</f>
        <v>Uncle Sams Cider (04/04/2023)</v>
      </c>
      <c r="H10904" s="19"/>
    </row>
    <row r="10905">
      <c r="A10905" s="9"/>
      <c r="B10905" s="15"/>
      <c r="C10905" s="9">
        <f>IFERROR(__xludf.DUMMYFUNCTION("""COMPUTED_VALUE"""),45029.7323847569)</f>
        <v>45029.73238</v>
      </c>
      <c r="D10905" s="15">
        <f>IFERROR(__xludf.DUMMYFUNCTION("""COMPUTED_VALUE"""),1.061)</f>
        <v>1.061</v>
      </c>
      <c r="E10905" s="16">
        <f>IFERROR(__xludf.DUMMYFUNCTION("""COMPUTED_VALUE"""),67.0)</f>
        <v>67</v>
      </c>
      <c r="F10905" s="19" t="str">
        <f>IFERROR(__xludf.DUMMYFUNCTION("""COMPUTED_VALUE"""),"BLACK")</f>
        <v>BLACK</v>
      </c>
      <c r="G10905" s="20" t="str">
        <f>IFERROR(__xludf.DUMMYFUNCTION("""COMPUTED_VALUE"""),"Uncle Sams Cider (04/04/2023)")</f>
        <v>Uncle Sams Cider (04/04/2023)</v>
      </c>
      <c r="H10905" s="19"/>
    </row>
    <row r="10906">
      <c r="A10906" s="9"/>
      <c r="B10906" s="15"/>
      <c r="C10906" s="9">
        <f>IFERROR(__xludf.DUMMYFUNCTION("""COMPUTED_VALUE"""),45029.7219642476)</f>
        <v>45029.72196</v>
      </c>
      <c r="D10906" s="15">
        <f>IFERROR(__xludf.DUMMYFUNCTION("""COMPUTED_VALUE"""),1.061)</f>
        <v>1.061</v>
      </c>
      <c r="E10906" s="16">
        <f>IFERROR(__xludf.DUMMYFUNCTION("""COMPUTED_VALUE"""),67.0)</f>
        <v>67</v>
      </c>
      <c r="F10906" s="19" t="str">
        <f>IFERROR(__xludf.DUMMYFUNCTION("""COMPUTED_VALUE"""),"BLACK")</f>
        <v>BLACK</v>
      </c>
      <c r="G10906" s="20" t="str">
        <f>IFERROR(__xludf.DUMMYFUNCTION("""COMPUTED_VALUE"""),"Uncle Sams Cider (04/04/2023)")</f>
        <v>Uncle Sams Cider (04/04/2023)</v>
      </c>
      <c r="H10906" s="19"/>
    </row>
    <row r="10907">
      <c r="A10907" s="9"/>
      <c r="B10907" s="15"/>
      <c r="C10907" s="9">
        <f>IFERROR(__xludf.DUMMYFUNCTION("""COMPUTED_VALUE"""),45029.7115419444)</f>
        <v>45029.71154</v>
      </c>
      <c r="D10907" s="15">
        <f>IFERROR(__xludf.DUMMYFUNCTION("""COMPUTED_VALUE"""),1.061)</f>
        <v>1.061</v>
      </c>
      <c r="E10907" s="16">
        <f>IFERROR(__xludf.DUMMYFUNCTION("""COMPUTED_VALUE"""),67.0)</f>
        <v>67</v>
      </c>
      <c r="F10907" s="19" t="str">
        <f>IFERROR(__xludf.DUMMYFUNCTION("""COMPUTED_VALUE"""),"BLACK")</f>
        <v>BLACK</v>
      </c>
      <c r="G10907" s="20" t="str">
        <f>IFERROR(__xludf.DUMMYFUNCTION("""COMPUTED_VALUE"""),"Uncle Sams Cider (04/04/2023)")</f>
        <v>Uncle Sams Cider (04/04/2023)</v>
      </c>
      <c r="H10907" s="19"/>
    </row>
    <row r="10908">
      <c r="A10908" s="9"/>
      <c r="B10908" s="15"/>
      <c r="C10908" s="9">
        <f>IFERROR(__xludf.DUMMYFUNCTION("""COMPUTED_VALUE"""),45029.7011205439)</f>
        <v>45029.70112</v>
      </c>
      <c r="D10908" s="15">
        <f>IFERROR(__xludf.DUMMYFUNCTION("""COMPUTED_VALUE"""),1.061)</f>
        <v>1.061</v>
      </c>
      <c r="E10908" s="16">
        <f>IFERROR(__xludf.DUMMYFUNCTION("""COMPUTED_VALUE"""),67.0)</f>
        <v>67</v>
      </c>
      <c r="F10908" s="19" t="str">
        <f>IFERROR(__xludf.DUMMYFUNCTION("""COMPUTED_VALUE"""),"BLACK")</f>
        <v>BLACK</v>
      </c>
      <c r="G10908" s="20" t="str">
        <f>IFERROR(__xludf.DUMMYFUNCTION("""COMPUTED_VALUE"""),"Uncle Sams Cider (04/04/2023)")</f>
        <v>Uncle Sams Cider (04/04/2023)</v>
      </c>
      <c r="H10908" s="19"/>
    </row>
    <row r="10909">
      <c r="A10909" s="9"/>
      <c r="B10909" s="15"/>
      <c r="C10909" s="9">
        <f>IFERROR(__xludf.DUMMYFUNCTION("""COMPUTED_VALUE"""),45029.6906998726)</f>
        <v>45029.6907</v>
      </c>
      <c r="D10909" s="15">
        <f>IFERROR(__xludf.DUMMYFUNCTION("""COMPUTED_VALUE"""),1.061)</f>
        <v>1.061</v>
      </c>
      <c r="E10909" s="16">
        <f>IFERROR(__xludf.DUMMYFUNCTION("""COMPUTED_VALUE"""),67.0)</f>
        <v>67</v>
      </c>
      <c r="F10909" s="19" t="str">
        <f>IFERROR(__xludf.DUMMYFUNCTION("""COMPUTED_VALUE"""),"BLACK")</f>
        <v>BLACK</v>
      </c>
      <c r="G10909" s="20" t="str">
        <f>IFERROR(__xludf.DUMMYFUNCTION("""COMPUTED_VALUE"""),"Uncle Sams Cider (04/04/2023)")</f>
        <v>Uncle Sams Cider (04/04/2023)</v>
      </c>
      <c r="H10909" s="19"/>
    </row>
    <row r="10910">
      <c r="A10910" s="9"/>
      <c r="B10910" s="15"/>
      <c r="C10910" s="9">
        <f>IFERROR(__xludf.DUMMYFUNCTION("""COMPUTED_VALUE"""),45029.6802778009)</f>
        <v>45029.68028</v>
      </c>
      <c r="D10910" s="15">
        <f>IFERROR(__xludf.DUMMYFUNCTION("""COMPUTED_VALUE"""),1.061)</f>
        <v>1.061</v>
      </c>
      <c r="E10910" s="16">
        <f>IFERROR(__xludf.DUMMYFUNCTION("""COMPUTED_VALUE"""),67.0)</f>
        <v>67</v>
      </c>
      <c r="F10910" s="19" t="str">
        <f>IFERROR(__xludf.DUMMYFUNCTION("""COMPUTED_VALUE"""),"BLACK")</f>
        <v>BLACK</v>
      </c>
      <c r="G10910" s="20" t="str">
        <f>IFERROR(__xludf.DUMMYFUNCTION("""COMPUTED_VALUE"""),"Uncle Sams Cider (04/04/2023)")</f>
        <v>Uncle Sams Cider (04/04/2023)</v>
      </c>
      <c r="H10910" s="19"/>
    </row>
    <row r="10911">
      <c r="A10911" s="9"/>
      <c r="B10911" s="15"/>
      <c r="C10911" s="9">
        <f>IFERROR(__xludf.DUMMYFUNCTION("""COMPUTED_VALUE"""),45029.6698565509)</f>
        <v>45029.66986</v>
      </c>
      <c r="D10911" s="15">
        <f>IFERROR(__xludf.DUMMYFUNCTION("""COMPUTED_VALUE"""),1.061)</f>
        <v>1.061</v>
      </c>
      <c r="E10911" s="16">
        <f>IFERROR(__xludf.DUMMYFUNCTION("""COMPUTED_VALUE"""),67.0)</f>
        <v>67</v>
      </c>
      <c r="F10911" s="19" t="str">
        <f>IFERROR(__xludf.DUMMYFUNCTION("""COMPUTED_VALUE"""),"BLACK")</f>
        <v>BLACK</v>
      </c>
      <c r="G10911" s="20" t="str">
        <f>IFERROR(__xludf.DUMMYFUNCTION("""COMPUTED_VALUE"""),"Uncle Sams Cider (04/04/2023)")</f>
        <v>Uncle Sams Cider (04/04/2023)</v>
      </c>
      <c r="H10911" s="19"/>
    </row>
    <row r="10912">
      <c r="A10912" s="9"/>
      <c r="B10912" s="15"/>
      <c r="C10912" s="9">
        <f>IFERROR(__xludf.DUMMYFUNCTION("""COMPUTED_VALUE"""),45029.6594214004)</f>
        <v>45029.65942</v>
      </c>
      <c r="D10912" s="15">
        <f>IFERROR(__xludf.DUMMYFUNCTION("""COMPUTED_VALUE"""),1.061)</f>
        <v>1.061</v>
      </c>
      <c r="E10912" s="16">
        <f>IFERROR(__xludf.DUMMYFUNCTION("""COMPUTED_VALUE"""),67.0)</f>
        <v>67</v>
      </c>
      <c r="F10912" s="19" t="str">
        <f>IFERROR(__xludf.DUMMYFUNCTION("""COMPUTED_VALUE"""),"BLACK")</f>
        <v>BLACK</v>
      </c>
      <c r="G10912" s="20" t="str">
        <f>IFERROR(__xludf.DUMMYFUNCTION("""COMPUTED_VALUE"""),"Uncle Sams Cider (04/04/2023)")</f>
        <v>Uncle Sams Cider (04/04/2023)</v>
      </c>
      <c r="H10912" s="19"/>
    </row>
    <row r="10913">
      <c r="A10913" s="9"/>
      <c r="B10913" s="15"/>
      <c r="C10913" s="9">
        <f>IFERROR(__xludf.DUMMYFUNCTION("""COMPUTED_VALUE"""),45029.6489872106)</f>
        <v>45029.64899</v>
      </c>
      <c r="D10913" s="15">
        <f>IFERROR(__xludf.DUMMYFUNCTION("""COMPUTED_VALUE"""),1.061)</f>
        <v>1.061</v>
      </c>
      <c r="E10913" s="16">
        <f>IFERROR(__xludf.DUMMYFUNCTION("""COMPUTED_VALUE"""),67.0)</f>
        <v>67</v>
      </c>
      <c r="F10913" s="19" t="str">
        <f>IFERROR(__xludf.DUMMYFUNCTION("""COMPUTED_VALUE"""),"BLACK")</f>
        <v>BLACK</v>
      </c>
      <c r="G10913" s="20" t="str">
        <f>IFERROR(__xludf.DUMMYFUNCTION("""COMPUTED_VALUE"""),"Uncle Sams Cider (04/04/2023)")</f>
        <v>Uncle Sams Cider (04/04/2023)</v>
      </c>
      <c r="H10913" s="19"/>
    </row>
    <row r="10914">
      <c r="A10914" s="9"/>
      <c r="B10914" s="15"/>
      <c r="C10914" s="9">
        <f>IFERROR(__xludf.DUMMYFUNCTION("""COMPUTED_VALUE"""),45029.6385651851)</f>
        <v>45029.63857</v>
      </c>
      <c r="D10914" s="15">
        <f>IFERROR(__xludf.DUMMYFUNCTION("""COMPUTED_VALUE"""),1.061)</f>
        <v>1.061</v>
      </c>
      <c r="E10914" s="16">
        <f>IFERROR(__xludf.DUMMYFUNCTION("""COMPUTED_VALUE"""),67.0)</f>
        <v>67</v>
      </c>
      <c r="F10914" s="19" t="str">
        <f>IFERROR(__xludf.DUMMYFUNCTION("""COMPUTED_VALUE"""),"BLACK")</f>
        <v>BLACK</v>
      </c>
      <c r="G10914" s="20" t="str">
        <f>IFERROR(__xludf.DUMMYFUNCTION("""COMPUTED_VALUE"""),"Uncle Sams Cider (04/04/2023)")</f>
        <v>Uncle Sams Cider (04/04/2023)</v>
      </c>
      <c r="H10914" s="19"/>
    </row>
    <row r="10915">
      <c r="A10915" s="9"/>
      <c r="B10915" s="15"/>
      <c r="C10915" s="9">
        <f>IFERROR(__xludf.DUMMYFUNCTION("""COMPUTED_VALUE"""),45029.6281321527)</f>
        <v>45029.62813</v>
      </c>
      <c r="D10915" s="15">
        <f>IFERROR(__xludf.DUMMYFUNCTION("""COMPUTED_VALUE"""),1.061)</f>
        <v>1.061</v>
      </c>
      <c r="E10915" s="16">
        <f>IFERROR(__xludf.DUMMYFUNCTION("""COMPUTED_VALUE"""),67.0)</f>
        <v>67</v>
      </c>
      <c r="F10915" s="19" t="str">
        <f>IFERROR(__xludf.DUMMYFUNCTION("""COMPUTED_VALUE"""),"BLACK")</f>
        <v>BLACK</v>
      </c>
      <c r="G10915" s="20" t="str">
        <f>IFERROR(__xludf.DUMMYFUNCTION("""COMPUTED_VALUE"""),"Uncle Sams Cider (04/04/2023)")</f>
        <v>Uncle Sams Cider (04/04/2023)</v>
      </c>
      <c r="H10915" s="19"/>
    </row>
    <row r="10916">
      <c r="A10916" s="9"/>
      <c r="B10916" s="15"/>
      <c r="C10916" s="9">
        <f>IFERROR(__xludf.DUMMYFUNCTION("""COMPUTED_VALUE"""),45029.6177111574)</f>
        <v>45029.61771</v>
      </c>
      <c r="D10916" s="15">
        <f>IFERROR(__xludf.DUMMYFUNCTION("""COMPUTED_VALUE"""),1.061)</f>
        <v>1.061</v>
      </c>
      <c r="E10916" s="16">
        <f>IFERROR(__xludf.DUMMYFUNCTION("""COMPUTED_VALUE"""),66.0)</f>
        <v>66</v>
      </c>
      <c r="F10916" s="19" t="str">
        <f>IFERROR(__xludf.DUMMYFUNCTION("""COMPUTED_VALUE"""),"BLACK")</f>
        <v>BLACK</v>
      </c>
      <c r="G10916" s="20" t="str">
        <f>IFERROR(__xludf.DUMMYFUNCTION("""COMPUTED_VALUE"""),"Uncle Sams Cider (04/04/2023)")</f>
        <v>Uncle Sams Cider (04/04/2023)</v>
      </c>
      <c r="H10916" s="19"/>
    </row>
    <row r="10917">
      <c r="A10917" s="9"/>
      <c r="B10917" s="15"/>
      <c r="C10917" s="9">
        <f>IFERROR(__xludf.DUMMYFUNCTION("""COMPUTED_VALUE"""),45029.607279074)</f>
        <v>45029.60728</v>
      </c>
      <c r="D10917" s="15">
        <f>IFERROR(__xludf.DUMMYFUNCTION("""COMPUTED_VALUE"""),1.061)</f>
        <v>1.061</v>
      </c>
      <c r="E10917" s="16">
        <f>IFERROR(__xludf.DUMMYFUNCTION("""COMPUTED_VALUE"""),67.0)</f>
        <v>67</v>
      </c>
      <c r="F10917" s="19" t="str">
        <f>IFERROR(__xludf.DUMMYFUNCTION("""COMPUTED_VALUE"""),"BLACK")</f>
        <v>BLACK</v>
      </c>
      <c r="G10917" s="20" t="str">
        <f>IFERROR(__xludf.DUMMYFUNCTION("""COMPUTED_VALUE"""),"Uncle Sams Cider (04/04/2023)")</f>
        <v>Uncle Sams Cider (04/04/2023)</v>
      </c>
      <c r="H10917" s="19"/>
    </row>
    <row r="10918">
      <c r="A10918" s="9"/>
      <c r="B10918" s="15"/>
      <c r="C10918" s="9">
        <f>IFERROR(__xludf.DUMMYFUNCTION("""COMPUTED_VALUE"""),45029.5968572453)</f>
        <v>45029.59686</v>
      </c>
      <c r="D10918" s="15">
        <f>IFERROR(__xludf.DUMMYFUNCTION("""COMPUTED_VALUE"""),1.061)</f>
        <v>1.061</v>
      </c>
      <c r="E10918" s="16">
        <f>IFERROR(__xludf.DUMMYFUNCTION("""COMPUTED_VALUE"""),67.0)</f>
        <v>67</v>
      </c>
      <c r="F10918" s="19" t="str">
        <f>IFERROR(__xludf.DUMMYFUNCTION("""COMPUTED_VALUE"""),"BLACK")</f>
        <v>BLACK</v>
      </c>
      <c r="G10918" s="20" t="str">
        <f>IFERROR(__xludf.DUMMYFUNCTION("""COMPUTED_VALUE"""),"Uncle Sams Cider (04/04/2023)")</f>
        <v>Uncle Sams Cider (04/04/2023)</v>
      </c>
      <c r="H10918" s="19"/>
    </row>
    <row r="10919">
      <c r="A10919" s="9"/>
      <c r="B10919" s="15"/>
      <c r="C10919" s="9">
        <f>IFERROR(__xludf.DUMMYFUNCTION("""COMPUTED_VALUE"""),45029.5863899884)</f>
        <v>45029.58639</v>
      </c>
      <c r="D10919" s="15">
        <f>IFERROR(__xludf.DUMMYFUNCTION("""COMPUTED_VALUE"""),1.061)</f>
        <v>1.061</v>
      </c>
      <c r="E10919" s="16">
        <f>IFERROR(__xludf.DUMMYFUNCTION("""COMPUTED_VALUE"""),67.0)</f>
        <v>67</v>
      </c>
      <c r="F10919" s="19" t="str">
        <f>IFERROR(__xludf.DUMMYFUNCTION("""COMPUTED_VALUE"""),"BLACK")</f>
        <v>BLACK</v>
      </c>
      <c r="G10919" s="20" t="str">
        <f>IFERROR(__xludf.DUMMYFUNCTION("""COMPUTED_VALUE"""),"Uncle Sams Cider (04/04/2023)")</f>
        <v>Uncle Sams Cider (04/04/2023)</v>
      </c>
      <c r="H10919" s="19"/>
    </row>
    <row r="10920">
      <c r="A10920" s="9"/>
      <c r="B10920" s="15"/>
      <c r="C10920" s="9">
        <f>IFERROR(__xludf.DUMMYFUNCTION("""COMPUTED_VALUE"""),45029.575921956)</f>
        <v>45029.57592</v>
      </c>
      <c r="D10920" s="15">
        <f>IFERROR(__xludf.DUMMYFUNCTION("""COMPUTED_VALUE"""),1.061)</f>
        <v>1.061</v>
      </c>
      <c r="E10920" s="16">
        <f>IFERROR(__xludf.DUMMYFUNCTION("""COMPUTED_VALUE"""),67.0)</f>
        <v>67</v>
      </c>
      <c r="F10920" s="19" t="str">
        <f>IFERROR(__xludf.DUMMYFUNCTION("""COMPUTED_VALUE"""),"BLACK")</f>
        <v>BLACK</v>
      </c>
      <c r="G10920" s="20" t="str">
        <f>IFERROR(__xludf.DUMMYFUNCTION("""COMPUTED_VALUE"""),"Uncle Sams Cider (04/04/2023)")</f>
        <v>Uncle Sams Cider (04/04/2023)</v>
      </c>
      <c r="H10920" s="19"/>
    </row>
    <row r="10921">
      <c r="A10921" s="9"/>
      <c r="B10921" s="15"/>
      <c r="C10921" s="9">
        <f>IFERROR(__xludf.DUMMYFUNCTION("""COMPUTED_VALUE"""),45029.5654890625)</f>
        <v>45029.56549</v>
      </c>
      <c r="D10921" s="15">
        <f>IFERROR(__xludf.DUMMYFUNCTION("""COMPUTED_VALUE"""),1.061)</f>
        <v>1.061</v>
      </c>
      <c r="E10921" s="16">
        <f>IFERROR(__xludf.DUMMYFUNCTION("""COMPUTED_VALUE"""),67.0)</f>
        <v>67</v>
      </c>
      <c r="F10921" s="19" t="str">
        <f>IFERROR(__xludf.DUMMYFUNCTION("""COMPUTED_VALUE"""),"BLACK")</f>
        <v>BLACK</v>
      </c>
      <c r="G10921" s="20" t="str">
        <f>IFERROR(__xludf.DUMMYFUNCTION("""COMPUTED_VALUE"""),"Uncle Sams Cider (04/04/2023)")</f>
        <v>Uncle Sams Cider (04/04/2023)</v>
      </c>
      <c r="H10921" s="19"/>
    </row>
    <row r="10922">
      <c r="A10922" s="9"/>
      <c r="B10922" s="15"/>
      <c r="C10922" s="9">
        <f>IFERROR(__xludf.DUMMYFUNCTION("""COMPUTED_VALUE"""),45029.5550437037)</f>
        <v>45029.55504</v>
      </c>
      <c r="D10922" s="15">
        <f>IFERROR(__xludf.DUMMYFUNCTION("""COMPUTED_VALUE"""),1.061)</f>
        <v>1.061</v>
      </c>
      <c r="E10922" s="16">
        <f>IFERROR(__xludf.DUMMYFUNCTION("""COMPUTED_VALUE"""),67.0)</f>
        <v>67</v>
      </c>
      <c r="F10922" s="19" t="str">
        <f>IFERROR(__xludf.DUMMYFUNCTION("""COMPUTED_VALUE"""),"BLACK")</f>
        <v>BLACK</v>
      </c>
      <c r="G10922" s="20" t="str">
        <f>IFERROR(__xludf.DUMMYFUNCTION("""COMPUTED_VALUE"""),"Uncle Sams Cider (04/04/2023)")</f>
        <v>Uncle Sams Cider (04/04/2023)</v>
      </c>
      <c r="H10922" s="19"/>
    </row>
    <row r="10923">
      <c r="A10923" s="9"/>
      <c r="B10923" s="15"/>
      <c r="C10923" s="9">
        <f>IFERROR(__xludf.DUMMYFUNCTION("""COMPUTED_VALUE"""),45029.5445998148)</f>
        <v>45029.5446</v>
      </c>
      <c r="D10923" s="15">
        <f>IFERROR(__xludf.DUMMYFUNCTION("""COMPUTED_VALUE"""),1.061)</f>
        <v>1.061</v>
      </c>
      <c r="E10923" s="16">
        <f>IFERROR(__xludf.DUMMYFUNCTION("""COMPUTED_VALUE"""),67.0)</f>
        <v>67</v>
      </c>
      <c r="F10923" s="19" t="str">
        <f>IFERROR(__xludf.DUMMYFUNCTION("""COMPUTED_VALUE"""),"BLACK")</f>
        <v>BLACK</v>
      </c>
      <c r="G10923" s="20" t="str">
        <f>IFERROR(__xludf.DUMMYFUNCTION("""COMPUTED_VALUE"""),"Uncle Sams Cider (04/04/2023)")</f>
        <v>Uncle Sams Cider (04/04/2023)</v>
      </c>
      <c r="H10923" s="19"/>
    </row>
    <row r="10924">
      <c r="A10924" s="9"/>
      <c r="B10924" s="15"/>
      <c r="C10924" s="9">
        <f>IFERROR(__xludf.DUMMYFUNCTION("""COMPUTED_VALUE"""),45029.5341673611)</f>
        <v>45029.53417</v>
      </c>
      <c r="D10924" s="15">
        <f>IFERROR(__xludf.DUMMYFUNCTION("""COMPUTED_VALUE"""),1.061)</f>
        <v>1.061</v>
      </c>
      <c r="E10924" s="16">
        <f>IFERROR(__xludf.DUMMYFUNCTION("""COMPUTED_VALUE"""),66.0)</f>
        <v>66</v>
      </c>
      <c r="F10924" s="19" t="str">
        <f>IFERROR(__xludf.DUMMYFUNCTION("""COMPUTED_VALUE"""),"BLACK")</f>
        <v>BLACK</v>
      </c>
      <c r="G10924" s="20" t="str">
        <f>IFERROR(__xludf.DUMMYFUNCTION("""COMPUTED_VALUE"""),"Uncle Sams Cider (04/04/2023)")</f>
        <v>Uncle Sams Cider (04/04/2023)</v>
      </c>
      <c r="H10924" s="19"/>
    </row>
    <row r="10925">
      <c r="A10925" s="9"/>
      <c r="B10925" s="15"/>
      <c r="C10925" s="9">
        <f>IFERROR(__xludf.DUMMYFUNCTION("""COMPUTED_VALUE"""),45029.5237342013)</f>
        <v>45029.52373</v>
      </c>
      <c r="D10925" s="15">
        <f>IFERROR(__xludf.DUMMYFUNCTION("""COMPUTED_VALUE"""),1.061)</f>
        <v>1.061</v>
      </c>
      <c r="E10925" s="16">
        <f>IFERROR(__xludf.DUMMYFUNCTION("""COMPUTED_VALUE"""),66.0)</f>
        <v>66</v>
      </c>
      <c r="F10925" s="19" t="str">
        <f>IFERROR(__xludf.DUMMYFUNCTION("""COMPUTED_VALUE"""),"BLACK")</f>
        <v>BLACK</v>
      </c>
      <c r="G10925" s="20" t="str">
        <f>IFERROR(__xludf.DUMMYFUNCTION("""COMPUTED_VALUE"""),"Uncle Sams Cider (04/04/2023)")</f>
        <v>Uncle Sams Cider (04/04/2023)</v>
      </c>
      <c r="H10925" s="19"/>
    </row>
    <row r="10926">
      <c r="A10926" s="9"/>
      <c r="B10926" s="15"/>
      <c r="C10926" s="9">
        <f>IFERROR(__xludf.DUMMYFUNCTION("""COMPUTED_VALUE"""),45029.5133120833)</f>
        <v>45029.51331</v>
      </c>
      <c r="D10926" s="15">
        <f>IFERROR(__xludf.DUMMYFUNCTION("""COMPUTED_VALUE"""),1.061)</f>
        <v>1.061</v>
      </c>
      <c r="E10926" s="16">
        <f>IFERROR(__xludf.DUMMYFUNCTION("""COMPUTED_VALUE"""),66.0)</f>
        <v>66</v>
      </c>
      <c r="F10926" s="19" t="str">
        <f>IFERROR(__xludf.DUMMYFUNCTION("""COMPUTED_VALUE"""),"BLACK")</f>
        <v>BLACK</v>
      </c>
      <c r="G10926" s="20" t="str">
        <f>IFERROR(__xludf.DUMMYFUNCTION("""COMPUTED_VALUE"""),"Uncle Sams Cider (04/04/2023)")</f>
        <v>Uncle Sams Cider (04/04/2023)</v>
      </c>
      <c r="H10926" s="19"/>
    </row>
    <row r="10927">
      <c r="A10927" s="9"/>
      <c r="B10927" s="15"/>
      <c r="C10927" s="9">
        <f>IFERROR(__xludf.DUMMYFUNCTION("""COMPUTED_VALUE"""),45029.5028788541)</f>
        <v>45029.50288</v>
      </c>
      <c r="D10927" s="15">
        <f>IFERROR(__xludf.DUMMYFUNCTION("""COMPUTED_VALUE"""),1.062)</f>
        <v>1.062</v>
      </c>
      <c r="E10927" s="16">
        <f>IFERROR(__xludf.DUMMYFUNCTION("""COMPUTED_VALUE"""),66.0)</f>
        <v>66</v>
      </c>
      <c r="F10927" s="19" t="str">
        <f>IFERROR(__xludf.DUMMYFUNCTION("""COMPUTED_VALUE"""),"BLACK")</f>
        <v>BLACK</v>
      </c>
      <c r="G10927" s="20" t="str">
        <f>IFERROR(__xludf.DUMMYFUNCTION("""COMPUTED_VALUE"""),"Uncle Sams Cider (04/04/2023)")</f>
        <v>Uncle Sams Cider (04/04/2023)</v>
      </c>
      <c r="H10927" s="19"/>
    </row>
    <row r="10928">
      <c r="A10928" s="9"/>
      <c r="B10928" s="15"/>
      <c r="C10928" s="9">
        <f>IFERROR(__xludf.DUMMYFUNCTION("""COMPUTED_VALUE"""),45029.4924459838)</f>
        <v>45029.49245</v>
      </c>
      <c r="D10928" s="15">
        <f>IFERROR(__xludf.DUMMYFUNCTION("""COMPUTED_VALUE"""),1.062)</f>
        <v>1.062</v>
      </c>
      <c r="E10928" s="16">
        <f>IFERROR(__xludf.DUMMYFUNCTION("""COMPUTED_VALUE"""),66.0)</f>
        <v>66</v>
      </c>
      <c r="F10928" s="19" t="str">
        <f>IFERROR(__xludf.DUMMYFUNCTION("""COMPUTED_VALUE"""),"BLACK")</f>
        <v>BLACK</v>
      </c>
      <c r="G10928" s="20" t="str">
        <f>IFERROR(__xludf.DUMMYFUNCTION("""COMPUTED_VALUE"""),"Uncle Sams Cider (04/04/2023)")</f>
        <v>Uncle Sams Cider (04/04/2023)</v>
      </c>
      <c r="H10928" s="19"/>
    </row>
    <row r="10929">
      <c r="A10929" s="9"/>
      <c r="B10929" s="15"/>
      <c r="C10929" s="9">
        <f>IFERROR(__xludf.DUMMYFUNCTION("""COMPUTED_VALUE"""),45029.4820234838)</f>
        <v>45029.48202</v>
      </c>
      <c r="D10929" s="15">
        <f>IFERROR(__xludf.DUMMYFUNCTION("""COMPUTED_VALUE"""),1.062)</f>
        <v>1.062</v>
      </c>
      <c r="E10929" s="16">
        <f>IFERROR(__xludf.DUMMYFUNCTION("""COMPUTED_VALUE"""),66.0)</f>
        <v>66</v>
      </c>
      <c r="F10929" s="19" t="str">
        <f>IFERROR(__xludf.DUMMYFUNCTION("""COMPUTED_VALUE"""),"BLACK")</f>
        <v>BLACK</v>
      </c>
      <c r="G10929" s="20" t="str">
        <f>IFERROR(__xludf.DUMMYFUNCTION("""COMPUTED_VALUE"""),"Uncle Sams Cider (04/04/2023)")</f>
        <v>Uncle Sams Cider (04/04/2023)</v>
      </c>
      <c r="H10929" s="19"/>
    </row>
    <row r="10930">
      <c r="A10930" s="9"/>
      <c r="B10930" s="15"/>
      <c r="C10930" s="9">
        <f>IFERROR(__xludf.DUMMYFUNCTION("""COMPUTED_VALUE"""),45029.4715901967)</f>
        <v>45029.47159</v>
      </c>
      <c r="D10930" s="15">
        <f>IFERROR(__xludf.DUMMYFUNCTION("""COMPUTED_VALUE"""),1.062)</f>
        <v>1.062</v>
      </c>
      <c r="E10930" s="16">
        <f>IFERROR(__xludf.DUMMYFUNCTION("""COMPUTED_VALUE"""),66.0)</f>
        <v>66</v>
      </c>
      <c r="F10930" s="19" t="str">
        <f>IFERROR(__xludf.DUMMYFUNCTION("""COMPUTED_VALUE"""),"BLACK")</f>
        <v>BLACK</v>
      </c>
      <c r="G10930" s="20" t="str">
        <f>IFERROR(__xludf.DUMMYFUNCTION("""COMPUTED_VALUE"""),"Uncle Sams Cider (04/04/2023)")</f>
        <v>Uncle Sams Cider (04/04/2023)</v>
      </c>
      <c r="H10930" s="19"/>
    </row>
    <row r="10931">
      <c r="A10931" s="9"/>
      <c r="B10931" s="15"/>
      <c r="C10931" s="9">
        <f>IFERROR(__xludf.DUMMYFUNCTION("""COMPUTED_VALUE"""),45029.46116875)</f>
        <v>45029.46117</v>
      </c>
      <c r="D10931" s="15">
        <f>IFERROR(__xludf.DUMMYFUNCTION("""COMPUTED_VALUE"""),1.061)</f>
        <v>1.061</v>
      </c>
      <c r="E10931" s="16">
        <f>IFERROR(__xludf.DUMMYFUNCTION("""COMPUTED_VALUE"""),66.0)</f>
        <v>66</v>
      </c>
      <c r="F10931" s="19" t="str">
        <f>IFERROR(__xludf.DUMMYFUNCTION("""COMPUTED_VALUE"""),"BLACK")</f>
        <v>BLACK</v>
      </c>
      <c r="G10931" s="20" t="str">
        <f>IFERROR(__xludf.DUMMYFUNCTION("""COMPUTED_VALUE"""),"Uncle Sams Cider (04/04/2023)")</f>
        <v>Uncle Sams Cider (04/04/2023)</v>
      </c>
      <c r="H10931" s="19"/>
    </row>
    <row r="10932">
      <c r="A10932" s="9"/>
      <c r="B10932" s="15"/>
      <c r="C10932" s="9">
        <f>IFERROR(__xludf.DUMMYFUNCTION("""COMPUTED_VALUE"""),45029.4507483796)</f>
        <v>45029.45075</v>
      </c>
      <c r="D10932" s="15">
        <f>IFERROR(__xludf.DUMMYFUNCTION("""COMPUTED_VALUE"""),1.062)</f>
        <v>1.062</v>
      </c>
      <c r="E10932" s="16">
        <f>IFERROR(__xludf.DUMMYFUNCTION("""COMPUTED_VALUE"""),66.0)</f>
        <v>66</v>
      </c>
      <c r="F10932" s="19" t="str">
        <f>IFERROR(__xludf.DUMMYFUNCTION("""COMPUTED_VALUE"""),"BLACK")</f>
        <v>BLACK</v>
      </c>
      <c r="G10932" s="20" t="str">
        <f>IFERROR(__xludf.DUMMYFUNCTION("""COMPUTED_VALUE"""),"Uncle Sams Cider (04/04/2023)")</f>
        <v>Uncle Sams Cider (04/04/2023)</v>
      </c>
      <c r="H10932" s="19"/>
    </row>
    <row r="10933">
      <c r="A10933" s="9"/>
      <c r="B10933" s="15"/>
      <c r="C10933" s="9">
        <f>IFERROR(__xludf.DUMMYFUNCTION("""COMPUTED_VALUE"""),45029.4403165046)</f>
        <v>45029.44032</v>
      </c>
      <c r="D10933" s="15">
        <f>IFERROR(__xludf.DUMMYFUNCTION("""COMPUTED_VALUE"""),1.062)</f>
        <v>1.062</v>
      </c>
      <c r="E10933" s="16">
        <f>IFERROR(__xludf.DUMMYFUNCTION("""COMPUTED_VALUE"""),66.0)</f>
        <v>66</v>
      </c>
      <c r="F10933" s="19" t="str">
        <f>IFERROR(__xludf.DUMMYFUNCTION("""COMPUTED_VALUE"""),"BLACK")</f>
        <v>BLACK</v>
      </c>
      <c r="G10933" s="20" t="str">
        <f>IFERROR(__xludf.DUMMYFUNCTION("""COMPUTED_VALUE"""),"Uncle Sams Cider (04/04/2023)")</f>
        <v>Uncle Sams Cider (04/04/2023)</v>
      </c>
      <c r="H10933" s="19"/>
    </row>
    <row r="10934">
      <c r="A10934" s="9"/>
      <c r="B10934" s="15"/>
      <c r="C10934" s="9">
        <f>IFERROR(__xludf.DUMMYFUNCTION("""COMPUTED_VALUE"""),45029.4298151273)</f>
        <v>45029.42982</v>
      </c>
      <c r="D10934" s="15">
        <f>IFERROR(__xludf.DUMMYFUNCTION("""COMPUTED_VALUE"""),1.062)</f>
        <v>1.062</v>
      </c>
      <c r="E10934" s="16">
        <f>IFERROR(__xludf.DUMMYFUNCTION("""COMPUTED_VALUE"""),66.0)</f>
        <v>66</v>
      </c>
      <c r="F10934" s="19" t="str">
        <f>IFERROR(__xludf.DUMMYFUNCTION("""COMPUTED_VALUE"""),"BLACK")</f>
        <v>BLACK</v>
      </c>
      <c r="G10934" s="20" t="str">
        <f>IFERROR(__xludf.DUMMYFUNCTION("""COMPUTED_VALUE"""),"Uncle Sams Cider (04/04/2023)")</f>
        <v>Uncle Sams Cider (04/04/2023)</v>
      </c>
      <c r="H10934" s="19"/>
    </row>
    <row r="10935">
      <c r="A10935" s="9"/>
      <c r="B10935" s="15"/>
      <c r="C10935" s="9">
        <f>IFERROR(__xludf.DUMMYFUNCTION("""COMPUTED_VALUE"""),45029.4193937384)</f>
        <v>45029.41939</v>
      </c>
      <c r="D10935" s="15">
        <f>IFERROR(__xludf.DUMMYFUNCTION("""COMPUTED_VALUE"""),1.062)</f>
        <v>1.062</v>
      </c>
      <c r="E10935" s="16">
        <f>IFERROR(__xludf.DUMMYFUNCTION("""COMPUTED_VALUE"""),66.0)</f>
        <v>66</v>
      </c>
      <c r="F10935" s="19" t="str">
        <f>IFERROR(__xludf.DUMMYFUNCTION("""COMPUTED_VALUE"""),"BLACK")</f>
        <v>BLACK</v>
      </c>
      <c r="G10935" s="20" t="str">
        <f>IFERROR(__xludf.DUMMYFUNCTION("""COMPUTED_VALUE"""),"Uncle Sams Cider (04/04/2023)")</f>
        <v>Uncle Sams Cider (04/04/2023)</v>
      </c>
      <c r="H10935" s="19"/>
    </row>
    <row r="10936">
      <c r="A10936" s="9"/>
      <c r="B10936" s="15"/>
      <c r="C10936" s="9">
        <f>IFERROR(__xludf.DUMMYFUNCTION("""COMPUTED_VALUE"""),45029.4089717476)</f>
        <v>45029.40897</v>
      </c>
      <c r="D10936" s="15">
        <f>IFERROR(__xludf.DUMMYFUNCTION("""COMPUTED_VALUE"""),1.062)</f>
        <v>1.062</v>
      </c>
      <c r="E10936" s="16">
        <f>IFERROR(__xludf.DUMMYFUNCTION("""COMPUTED_VALUE"""),66.0)</f>
        <v>66</v>
      </c>
      <c r="F10936" s="19" t="str">
        <f>IFERROR(__xludf.DUMMYFUNCTION("""COMPUTED_VALUE"""),"BLACK")</f>
        <v>BLACK</v>
      </c>
      <c r="G10936" s="20" t="str">
        <f>IFERROR(__xludf.DUMMYFUNCTION("""COMPUTED_VALUE"""),"Uncle Sams Cider (04/04/2023)")</f>
        <v>Uncle Sams Cider (04/04/2023)</v>
      </c>
      <c r="H10936" s="19"/>
    </row>
    <row r="10937">
      <c r="A10937" s="9"/>
      <c r="B10937" s="15"/>
      <c r="C10937" s="9">
        <f>IFERROR(__xludf.DUMMYFUNCTION("""COMPUTED_VALUE"""),45029.398550949)</f>
        <v>45029.39855</v>
      </c>
      <c r="D10937" s="15">
        <f>IFERROR(__xludf.DUMMYFUNCTION("""COMPUTED_VALUE"""),1.062)</f>
        <v>1.062</v>
      </c>
      <c r="E10937" s="16">
        <f>IFERROR(__xludf.DUMMYFUNCTION("""COMPUTED_VALUE"""),66.0)</f>
        <v>66</v>
      </c>
      <c r="F10937" s="19" t="str">
        <f>IFERROR(__xludf.DUMMYFUNCTION("""COMPUTED_VALUE"""),"BLACK")</f>
        <v>BLACK</v>
      </c>
      <c r="G10937" s="20" t="str">
        <f>IFERROR(__xludf.DUMMYFUNCTION("""COMPUTED_VALUE"""),"Uncle Sams Cider (04/04/2023)")</f>
        <v>Uncle Sams Cider (04/04/2023)</v>
      </c>
      <c r="H10937" s="19"/>
    </row>
    <row r="10938">
      <c r="A10938" s="9"/>
      <c r="B10938" s="15"/>
      <c r="C10938" s="9">
        <f>IFERROR(__xludf.DUMMYFUNCTION("""COMPUTED_VALUE"""),45029.3881169444)</f>
        <v>45029.38812</v>
      </c>
      <c r="D10938" s="15">
        <f>IFERROR(__xludf.DUMMYFUNCTION("""COMPUTED_VALUE"""),1.062)</f>
        <v>1.062</v>
      </c>
      <c r="E10938" s="16">
        <f>IFERROR(__xludf.DUMMYFUNCTION("""COMPUTED_VALUE"""),66.0)</f>
        <v>66</v>
      </c>
      <c r="F10938" s="19" t="str">
        <f>IFERROR(__xludf.DUMMYFUNCTION("""COMPUTED_VALUE"""),"BLACK")</f>
        <v>BLACK</v>
      </c>
      <c r="G10938" s="20" t="str">
        <f>IFERROR(__xludf.DUMMYFUNCTION("""COMPUTED_VALUE"""),"Uncle Sams Cider (04/04/2023)")</f>
        <v>Uncle Sams Cider (04/04/2023)</v>
      </c>
      <c r="H10938" s="19"/>
    </row>
    <row r="10939">
      <c r="A10939" s="9"/>
      <c r="B10939" s="15"/>
      <c r="C10939" s="9">
        <f>IFERROR(__xludf.DUMMYFUNCTION("""COMPUTED_VALUE"""),45029.3776710648)</f>
        <v>45029.37767</v>
      </c>
      <c r="D10939" s="15">
        <f>IFERROR(__xludf.DUMMYFUNCTION("""COMPUTED_VALUE"""),1.062)</f>
        <v>1.062</v>
      </c>
      <c r="E10939" s="16">
        <f>IFERROR(__xludf.DUMMYFUNCTION("""COMPUTED_VALUE"""),66.0)</f>
        <v>66</v>
      </c>
      <c r="F10939" s="19" t="str">
        <f>IFERROR(__xludf.DUMMYFUNCTION("""COMPUTED_VALUE"""),"BLACK")</f>
        <v>BLACK</v>
      </c>
      <c r="G10939" s="20" t="str">
        <f>IFERROR(__xludf.DUMMYFUNCTION("""COMPUTED_VALUE"""),"Uncle Sams Cider (04/04/2023)")</f>
        <v>Uncle Sams Cider (04/04/2023)</v>
      </c>
      <c r="H10939" s="19"/>
    </row>
    <row r="10940">
      <c r="A10940" s="9"/>
      <c r="B10940" s="15"/>
      <c r="C10940" s="9">
        <f>IFERROR(__xludf.DUMMYFUNCTION("""COMPUTED_VALUE"""),45029.3672267245)</f>
        <v>45029.36723</v>
      </c>
      <c r="D10940" s="15">
        <f>IFERROR(__xludf.DUMMYFUNCTION("""COMPUTED_VALUE"""),1.062)</f>
        <v>1.062</v>
      </c>
      <c r="E10940" s="16">
        <f>IFERROR(__xludf.DUMMYFUNCTION("""COMPUTED_VALUE"""),66.0)</f>
        <v>66</v>
      </c>
      <c r="F10940" s="19" t="str">
        <f>IFERROR(__xludf.DUMMYFUNCTION("""COMPUTED_VALUE"""),"BLACK")</f>
        <v>BLACK</v>
      </c>
      <c r="G10940" s="20" t="str">
        <f>IFERROR(__xludf.DUMMYFUNCTION("""COMPUTED_VALUE"""),"Uncle Sams Cider (04/04/2023)")</f>
        <v>Uncle Sams Cider (04/04/2023)</v>
      </c>
      <c r="H10940" s="19"/>
    </row>
    <row r="10941">
      <c r="A10941" s="9"/>
      <c r="B10941" s="15"/>
      <c r="C10941" s="9">
        <f>IFERROR(__xludf.DUMMYFUNCTION("""COMPUTED_VALUE"""),45029.3567953125)</f>
        <v>45029.3568</v>
      </c>
      <c r="D10941" s="15">
        <f>IFERROR(__xludf.DUMMYFUNCTION("""COMPUTED_VALUE"""),1.062)</f>
        <v>1.062</v>
      </c>
      <c r="E10941" s="16">
        <f>IFERROR(__xludf.DUMMYFUNCTION("""COMPUTED_VALUE"""),66.0)</f>
        <v>66</v>
      </c>
      <c r="F10941" s="19" t="str">
        <f>IFERROR(__xludf.DUMMYFUNCTION("""COMPUTED_VALUE"""),"BLACK")</f>
        <v>BLACK</v>
      </c>
      <c r="G10941" s="20" t="str">
        <f>IFERROR(__xludf.DUMMYFUNCTION("""COMPUTED_VALUE"""),"Uncle Sams Cider (04/04/2023)")</f>
        <v>Uncle Sams Cider (04/04/2023)</v>
      </c>
      <c r="H10941" s="19"/>
    </row>
    <row r="10942">
      <c r="A10942" s="9"/>
      <c r="B10942" s="15"/>
      <c r="C10942" s="9">
        <f>IFERROR(__xludf.DUMMYFUNCTION("""COMPUTED_VALUE"""),45029.3463617245)</f>
        <v>45029.34636</v>
      </c>
      <c r="D10942" s="15">
        <f>IFERROR(__xludf.DUMMYFUNCTION("""COMPUTED_VALUE"""),1.062)</f>
        <v>1.062</v>
      </c>
      <c r="E10942" s="16">
        <f>IFERROR(__xludf.DUMMYFUNCTION("""COMPUTED_VALUE"""),66.0)</f>
        <v>66</v>
      </c>
      <c r="F10942" s="19" t="str">
        <f>IFERROR(__xludf.DUMMYFUNCTION("""COMPUTED_VALUE"""),"BLACK")</f>
        <v>BLACK</v>
      </c>
      <c r="G10942" s="20" t="str">
        <f>IFERROR(__xludf.DUMMYFUNCTION("""COMPUTED_VALUE"""),"Uncle Sams Cider (04/04/2023)")</f>
        <v>Uncle Sams Cider (04/04/2023)</v>
      </c>
      <c r="H10942" s="19"/>
    </row>
    <row r="10943">
      <c r="A10943" s="9"/>
      <c r="B10943" s="15"/>
      <c r="C10943" s="9">
        <f>IFERROR(__xludf.DUMMYFUNCTION("""COMPUTED_VALUE"""),45029.3359167708)</f>
        <v>45029.33592</v>
      </c>
      <c r="D10943" s="15">
        <f>IFERROR(__xludf.DUMMYFUNCTION("""COMPUTED_VALUE"""),1.062)</f>
        <v>1.062</v>
      </c>
      <c r="E10943" s="16">
        <f>IFERROR(__xludf.DUMMYFUNCTION("""COMPUTED_VALUE"""),66.0)</f>
        <v>66</v>
      </c>
      <c r="F10943" s="19" t="str">
        <f>IFERROR(__xludf.DUMMYFUNCTION("""COMPUTED_VALUE"""),"BLACK")</f>
        <v>BLACK</v>
      </c>
      <c r="G10943" s="20" t="str">
        <f>IFERROR(__xludf.DUMMYFUNCTION("""COMPUTED_VALUE"""),"Uncle Sams Cider (04/04/2023)")</f>
        <v>Uncle Sams Cider (04/04/2023)</v>
      </c>
      <c r="H10943" s="19"/>
    </row>
    <row r="10944">
      <c r="A10944" s="9"/>
      <c r="B10944" s="15"/>
      <c r="C10944" s="9">
        <f>IFERROR(__xludf.DUMMYFUNCTION("""COMPUTED_VALUE"""),45029.3254834606)</f>
        <v>45029.32548</v>
      </c>
      <c r="D10944" s="15">
        <f>IFERROR(__xludf.DUMMYFUNCTION("""COMPUTED_VALUE"""),1.062)</f>
        <v>1.062</v>
      </c>
      <c r="E10944" s="16">
        <f>IFERROR(__xludf.DUMMYFUNCTION("""COMPUTED_VALUE"""),66.0)</f>
        <v>66</v>
      </c>
      <c r="F10944" s="19" t="str">
        <f>IFERROR(__xludf.DUMMYFUNCTION("""COMPUTED_VALUE"""),"BLACK")</f>
        <v>BLACK</v>
      </c>
      <c r="G10944" s="20" t="str">
        <f>IFERROR(__xludf.DUMMYFUNCTION("""COMPUTED_VALUE"""),"Uncle Sams Cider (04/04/2023)")</f>
        <v>Uncle Sams Cider (04/04/2023)</v>
      </c>
      <c r="H10944" s="19"/>
    </row>
    <row r="10945">
      <c r="A10945" s="9"/>
      <c r="B10945" s="15"/>
      <c r="C10945" s="9">
        <f>IFERROR(__xludf.DUMMYFUNCTION("""COMPUTED_VALUE"""),45029.3150628703)</f>
        <v>45029.31506</v>
      </c>
      <c r="D10945" s="15">
        <f>IFERROR(__xludf.DUMMYFUNCTION("""COMPUTED_VALUE"""),1.062)</f>
        <v>1.062</v>
      </c>
      <c r="E10945" s="16">
        <f>IFERROR(__xludf.DUMMYFUNCTION("""COMPUTED_VALUE"""),66.0)</f>
        <v>66</v>
      </c>
      <c r="F10945" s="19" t="str">
        <f>IFERROR(__xludf.DUMMYFUNCTION("""COMPUTED_VALUE"""),"BLACK")</f>
        <v>BLACK</v>
      </c>
      <c r="G10945" s="20" t="str">
        <f>IFERROR(__xludf.DUMMYFUNCTION("""COMPUTED_VALUE"""),"Uncle Sams Cider (04/04/2023)")</f>
        <v>Uncle Sams Cider (04/04/2023)</v>
      </c>
      <c r="H10945" s="19"/>
    </row>
    <row r="10946">
      <c r="A10946" s="9"/>
      <c r="B10946" s="15"/>
      <c r="C10946" s="9">
        <f>IFERROR(__xludf.DUMMYFUNCTION("""COMPUTED_VALUE"""),45029.3046404745)</f>
        <v>45029.30464</v>
      </c>
      <c r="D10946" s="15">
        <f>IFERROR(__xludf.DUMMYFUNCTION("""COMPUTED_VALUE"""),1.062)</f>
        <v>1.062</v>
      </c>
      <c r="E10946" s="16">
        <f>IFERROR(__xludf.DUMMYFUNCTION("""COMPUTED_VALUE"""),66.0)</f>
        <v>66</v>
      </c>
      <c r="F10946" s="19" t="str">
        <f>IFERROR(__xludf.DUMMYFUNCTION("""COMPUTED_VALUE"""),"BLACK")</f>
        <v>BLACK</v>
      </c>
      <c r="G10946" s="20" t="str">
        <f>IFERROR(__xludf.DUMMYFUNCTION("""COMPUTED_VALUE"""),"Uncle Sams Cider (04/04/2023)")</f>
        <v>Uncle Sams Cider (04/04/2023)</v>
      </c>
      <c r="H10946" s="19"/>
    </row>
    <row r="10947">
      <c r="A10947" s="9"/>
      <c r="B10947" s="15"/>
      <c r="C10947" s="9">
        <f>IFERROR(__xludf.DUMMYFUNCTION("""COMPUTED_VALUE"""),45029.2942073611)</f>
        <v>45029.29421</v>
      </c>
      <c r="D10947" s="15">
        <f>IFERROR(__xludf.DUMMYFUNCTION("""COMPUTED_VALUE"""),1.062)</f>
        <v>1.062</v>
      </c>
      <c r="E10947" s="16">
        <f>IFERROR(__xludf.DUMMYFUNCTION("""COMPUTED_VALUE"""),66.0)</f>
        <v>66</v>
      </c>
      <c r="F10947" s="19" t="str">
        <f>IFERROR(__xludf.DUMMYFUNCTION("""COMPUTED_VALUE"""),"BLACK")</f>
        <v>BLACK</v>
      </c>
      <c r="G10947" s="20" t="str">
        <f>IFERROR(__xludf.DUMMYFUNCTION("""COMPUTED_VALUE"""),"Uncle Sams Cider (04/04/2023)")</f>
        <v>Uncle Sams Cider (04/04/2023)</v>
      </c>
      <c r="H10947" s="19"/>
    </row>
    <row r="10948">
      <c r="A10948" s="9"/>
      <c r="B10948" s="15"/>
      <c r="C10948" s="9">
        <f>IFERROR(__xludf.DUMMYFUNCTION("""COMPUTED_VALUE"""),45029.2837759953)</f>
        <v>45029.28378</v>
      </c>
      <c r="D10948" s="15">
        <f>IFERROR(__xludf.DUMMYFUNCTION("""COMPUTED_VALUE"""),1.062)</f>
        <v>1.062</v>
      </c>
      <c r="E10948" s="16">
        <f>IFERROR(__xludf.DUMMYFUNCTION("""COMPUTED_VALUE"""),66.0)</f>
        <v>66</v>
      </c>
      <c r="F10948" s="19" t="str">
        <f>IFERROR(__xludf.DUMMYFUNCTION("""COMPUTED_VALUE"""),"BLACK")</f>
        <v>BLACK</v>
      </c>
      <c r="G10948" s="20" t="str">
        <f>IFERROR(__xludf.DUMMYFUNCTION("""COMPUTED_VALUE"""),"Uncle Sams Cider (04/04/2023)")</f>
        <v>Uncle Sams Cider (04/04/2023)</v>
      </c>
      <c r="H10948" s="19"/>
    </row>
    <row r="10949">
      <c r="A10949" s="9"/>
      <c r="B10949" s="15"/>
      <c r="C10949" s="9">
        <f>IFERROR(__xludf.DUMMYFUNCTION("""COMPUTED_VALUE"""),45029.2733553935)</f>
        <v>45029.27336</v>
      </c>
      <c r="D10949" s="15">
        <f>IFERROR(__xludf.DUMMYFUNCTION("""COMPUTED_VALUE"""),1.063)</f>
        <v>1.063</v>
      </c>
      <c r="E10949" s="16">
        <f>IFERROR(__xludf.DUMMYFUNCTION("""COMPUTED_VALUE"""),66.0)</f>
        <v>66</v>
      </c>
      <c r="F10949" s="19" t="str">
        <f>IFERROR(__xludf.DUMMYFUNCTION("""COMPUTED_VALUE"""),"BLACK")</f>
        <v>BLACK</v>
      </c>
      <c r="G10949" s="20" t="str">
        <f>IFERROR(__xludf.DUMMYFUNCTION("""COMPUTED_VALUE"""),"Uncle Sams Cider (04/04/2023)")</f>
        <v>Uncle Sams Cider (04/04/2023)</v>
      </c>
      <c r="H10949" s="19"/>
    </row>
    <row r="10950">
      <c r="A10950" s="9"/>
      <c r="B10950" s="15"/>
      <c r="C10950" s="9">
        <f>IFERROR(__xludf.DUMMYFUNCTION("""COMPUTED_VALUE"""),45029.2629113541)</f>
        <v>45029.26291</v>
      </c>
      <c r="D10950" s="15">
        <f>IFERROR(__xludf.DUMMYFUNCTION("""COMPUTED_VALUE"""),1.062)</f>
        <v>1.062</v>
      </c>
      <c r="E10950" s="16">
        <f>IFERROR(__xludf.DUMMYFUNCTION("""COMPUTED_VALUE"""),66.0)</f>
        <v>66</v>
      </c>
      <c r="F10950" s="19" t="str">
        <f>IFERROR(__xludf.DUMMYFUNCTION("""COMPUTED_VALUE"""),"BLACK")</f>
        <v>BLACK</v>
      </c>
      <c r="G10950" s="20" t="str">
        <f>IFERROR(__xludf.DUMMYFUNCTION("""COMPUTED_VALUE"""),"Uncle Sams Cider (04/04/2023)")</f>
        <v>Uncle Sams Cider (04/04/2023)</v>
      </c>
      <c r="H10950" s="19"/>
    </row>
    <row r="10951">
      <c r="A10951" s="9"/>
      <c r="B10951" s="15"/>
      <c r="C10951" s="9">
        <f>IFERROR(__xludf.DUMMYFUNCTION("""COMPUTED_VALUE"""),45029.2524903125)</f>
        <v>45029.25249</v>
      </c>
      <c r="D10951" s="15">
        <f>IFERROR(__xludf.DUMMYFUNCTION("""COMPUTED_VALUE"""),1.063)</f>
        <v>1.063</v>
      </c>
      <c r="E10951" s="16">
        <f>IFERROR(__xludf.DUMMYFUNCTION("""COMPUTED_VALUE"""),66.0)</f>
        <v>66</v>
      </c>
      <c r="F10951" s="19" t="str">
        <f>IFERROR(__xludf.DUMMYFUNCTION("""COMPUTED_VALUE"""),"BLACK")</f>
        <v>BLACK</v>
      </c>
      <c r="G10951" s="20" t="str">
        <f>IFERROR(__xludf.DUMMYFUNCTION("""COMPUTED_VALUE"""),"Uncle Sams Cider (04/04/2023)")</f>
        <v>Uncle Sams Cider (04/04/2023)</v>
      </c>
      <c r="H10951" s="19"/>
    </row>
    <row r="10952">
      <c r="A10952" s="9"/>
      <c r="B10952" s="15"/>
      <c r="C10952" s="9">
        <f>IFERROR(__xludf.DUMMYFUNCTION("""COMPUTED_VALUE"""),45029.2420686805)</f>
        <v>45029.24207</v>
      </c>
      <c r="D10952" s="15">
        <f>IFERROR(__xludf.DUMMYFUNCTION("""COMPUTED_VALUE"""),1.062)</f>
        <v>1.062</v>
      </c>
      <c r="E10952" s="16">
        <f>IFERROR(__xludf.DUMMYFUNCTION("""COMPUTED_VALUE"""),66.0)</f>
        <v>66</v>
      </c>
      <c r="F10952" s="19" t="str">
        <f>IFERROR(__xludf.DUMMYFUNCTION("""COMPUTED_VALUE"""),"BLACK")</f>
        <v>BLACK</v>
      </c>
      <c r="G10952" s="20" t="str">
        <f>IFERROR(__xludf.DUMMYFUNCTION("""COMPUTED_VALUE"""),"Uncle Sams Cider (04/04/2023)")</f>
        <v>Uncle Sams Cider (04/04/2023)</v>
      </c>
      <c r="H10952" s="19"/>
    </row>
    <row r="10953">
      <c r="A10953" s="9"/>
      <c r="B10953" s="15"/>
      <c r="C10953" s="9">
        <f>IFERROR(__xludf.DUMMYFUNCTION("""COMPUTED_VALUE"""),45029.2316468055)</f>
        <v>45029.23165</v>
      </c>
      <c r="D10953" s="15">
        <f>IFERROR(__xludf.DUMMYFUNCTION("""COMPUTED_VALUE"""),1.063)</f>
        <v>1.063</v>
      </c>
      <c r="E10953" s="16">
        <f>IFERROR(__xludf.DUMMYFUNCTION("""COMPUTED_VALUE"""),66.0)</f>
        <v>66</v>
      </c>
      <c r="F10953" s="19" t="str">
        <f>IFERROR(__xludf.DUMMYFUNCTION("""COMPUTED_VALUE"""),"BLACK")</f>
        <v>BLACK</v>
      </c>
      <c r="G10953" s="20" t="str">
        <f>IFERROR(__xludf.DUMMYFUNCTION("""COMPUTED_VALUE"""),"Uncle Sams Cider (04/04/2023)")</f>
        <v>Uncle Sams Cider (04/04/2023)</v>
      </c>
      <c r="H10953" s="19"/>
    </row>
    <row r="10954">
      <c r="A10954" s="9"/>
      <c r="B10954" s="15"/>
      <c r="C10954" s="9">
        <f>IFERROR(__xludf.DUMMYFUNCTION("""COMPUTED_VALUE"""),45029.2212244791)</f>
        <v>45029.22122</v>
      </c>
      <c r="D10954" s="15">
        <f>IFERROR(__xludf.DUMMYFUNCTION("""COMPUTED_VALUE"""),1.063)</f>
        <v>1.063</v>
      </c>
      <c r="E10954" s="16">
        <f>IFERROR(__xludf.DUMMYFUNCTION("""COMPUTED_VALUE"""),66.0)</f>
        <v>66</v>
      </c>
      <c r="F10954" s="19" t="str">
        <f>IFERROR(__xludf.DUMMYFUNCTION("""COMPUTED_VALUE"""),"BLACK")</f>
        <v>BLACK</v>
      </c>
      <c r="G10954" s="20" t="str">
        <f>IFERROR(__xludf.DUMMYFUNCTION("""COMPUTED_VALUE"""),"Uncle Sams Cider (04/04/2023)")</f>
        <v>Uncle Sams Cider (04/04/2023)</v>
      </c>
      <c r="H10954" s="19"/>
    </row>
    <row r="10955">
      <c r="A10955" s="9"/>
      <c r="B10955" s="15"/>
      <c r="C10955" s="9">
        <f>IFERROR(__xludf.DUMMYFUNCTION("""COMPUTED_VALUE"""),45029.2108041203)</f>
        <v>45029.2108</v>
      </c>
      <c r="D10955" s="15">
        <f>IFERROR(__xludf.DUMMYFUNCTION("""COMPUTED_VALUE"""),1.063)</f>
        <v>1.063</v>
      </c>
      <c r="E10955" s="16">
        <f>IFERROR(__xludf.DUMMYFUNCTION("""COMPUTED_VALUE"""),66.0)</f>
        <v>66</v>
      </c>
      <c r="F10955" s="19" t="str">
        <f>IFERROR(__xludf.DUMMYFUNCTION("""COMPUTED_VALUE"""),"BLACK")</f>
        <v>BLACK</v>
      </c>
      <c r="G10955" s="20" t="str">
        <f>IFERROR(__xludf.DUMMYFUNCTION("""COMPUTED_VALUE"""),"Uncle Sams Cider (04/04/2023)")</f>
        <v>Uncle Sams Cider (04/04/2023)</v>
      </c>
      <c r="H10955" s="19"/>
    </row>
    <row r="10956">
      <c r="A10956" s="9"/>
      <c r="B10956" s="15"/>
      <c r="C10956" s="9">
        <f>IFERROR(__xludf.DUMMYFUNCTION("""COMPUTED_VALUE"""),45029.2003843865)</f>
        <v>45029.20038</v>
      </c>
      <c r="D10956" s="15">
        <f>IFERROR(__xludf.DUMMYFUNCTION("""COMPUTED_VALUE"""),1.063)</f>
        <v>1.063</v>
      </c>
      <c r="E10956" s="16">
        <f>IFERROR(__xludf.DUMMYFUNCTION("""COMPUTED_VALUE"""),66.0)</f>
        <v>66</v>
      </c>
      <c r="F10956" s="19" t="str">
        <f>IFERROR(__xludf.DUMMYFUNCTION("""COMPUTED_VALUE"""),"BLACK")</f>
        <v>BLACK</v>
      </c>
      <c r="G10956" s="20" t="str">
        <f>IFERROR(__xludf.DUMMYFUNCTION("""COMPUTED_VALUE"""),"Uncle Sams Cider (04/04/2023)")</f>
        <v>Uncle Sams Cider (04/04/2023)</v>
      </c>
      <c r="H10956" s="19"/>
    </row>
    <row r="10957">
      <c r="A10957" s="9"/>
      <c r="B10957" s="15"/>
      <c r="C10957" s="9">
        <f>IFERROR(__xludf.DUMMYFUNCTION("""COMPUTED_VALUE"""),45029.1899609606)</f>
        <v>45029.18996</v>
      </c>
      <c r="D10957" s="15">
        <f>IFERROR(__xludf.DUMMYFUNCTION("""COMPUTED_VALUE"""),1.063)</f>
        <v>1.063</v>
      </c>
      <c r="E10957" s="16">
        <f>IFERROR(__xludf.DUMMYFUNCTION("""COMPUTED_VALUE"""),66.0)</f>
        <v>66</v>
      </c>
      <c r="F10957" s="19" t="str">
        <f>IFERROR(__xludf.DUMMYFUNCTION("""COMPUTED_VALUE"""),"BLACK")</f>
        <v>BLACK</v>
      </c>
      <c r="G10957" s="20" t="str">
        <f>IFERROR(__xludf.DUMMYFUNCTION("""COMPUTED_VALUE"""),"Uncle Sams Cider (04/04/2023)")</f>
        <v>Uncle Sams Cider (04/04/2023)</v>
      </c>
      <c r="H10957" s="19"/>
    </row>
    <row r="10958">
      <c r="A10958" s="9"/>
      <c r="B10958" s="15"/>
      <c r="C10958" s="9">
        <f>IFERROR(__xludf.DUMMYFUNCTION("""COMPUTED_VALUE"""),45029.1795392592)</f>
        <v>45029.17954</v>
      </c>
      <c r="D10958" s="15">
        <f>IFERROR(__xludf.DUMMYFUNCTION("""COMPUTED_VALUE"""),1.063)</f>
        <v>1.063</v>
      </c>
      <c r="E10958" s="16">
        <f>IFERROR(__xludf.DUMMYFUNCTION("""COMPUTED_VALUE"""),66.0)</f>
        <v>66</v>
      </c>
      <c r="F10958" s="19" t="str">
        <f>IFERROR(__xludf.DUMMYFUNCTION("""COMPUTED_VALUE"""),"BLACK")</f>
        <v>BLACK</v>
      </c>
      <c r="G10958" s="20" t="str">
        <f>IFERROR(__xludf.DUMMYFUNCTION("""COMPUTED_VALUE"""),"Uncle Sams Cider (04/04/2023)")</f>
        <v>Uncle Sams Cider (04/04/2023)</v>
      </c>
      <c r="H10958" s="19"/>
    </row>
    <row r="10959">
      <c r="A10959" s="9"/>
      <c r="B10959" s="15"/>
      <c r="C10959" s="9">
        <f>IFERROR(__xludf.DUMMYFUNCTION("""COMPUTED_VALUE"""),45029.1691197685)</f>
        <v>45029.16912</v>
      </c>
      <c r="D10959" s="15">
        <f>IFERROR(__xludf.DUMMYFUNCTION("""COMPUTED_VALUE"""),1.063)</f>
        <v>1.063</v>
      </c>
      <c r="E10959" s="16">
        <f>IFERROR(__xludf.DUMMYFUNCTION("""COMPUTED_VALUE"""),66.0)</f>
        <v>66</v>
      </c>
      <c r="F10959" s="19" t="str">
        <f>IFERROR(__xludf.DUMMYFUNCTION("""COMPUTED_VALUE"""),"BLACK")</f>
        <v>BLACK</v>
      </c>
      <c r="G10959" s="20" t="str">
        <f>IFERROR(__xludf.DUMMYFUNCTION("""COMPUTED_VALUE"""),"Uncle Sams Cider (04/04/2023)")</f>
        <v>Uncle Sams Cider (04/04/2023)</v>
      </c>
      <c r="H10959" s="19"/>
    </row>
    <row r="10960">
      <c r="A10960" s="9"/>
      <c r="B10960" s="15"/>
      <c r="C10960" s="9">
        <f>IFERROR(__xludf.DUMMYFUNCTION("""COMPUTED_VALUE"""),45029.1586979861)</f>
        <v>45029.1587</v>
      </c>
      <c r="D10960" s="15">
        <f>IFERROR(__xludf.DUMMYFUNCTION("""COMPUTED_VALUE"""),1.063)</f>
        <v>1.063</v>
      </c>
      <c r="E10960" s="16">
        <f>IFERROR(__xludf.DUMMYFUNCTION("""COMPUTED_VALUE"""),66.0)</f>
        <v>66</v>
      </c>
      <c r="F10960" s="19" t="str">
        <f>IFERROR(__xludf.DUMMYFUNCTION("""COMPUTED_VALUE"""),"BLACK")</f>
        <v>BLACK</v>
      </c>
      <c r="G10960" s="20" t="str">
        <f>IFERROR(__xludf.DUMMYFUNCTION("""COMPUTED_VALUE"""),"Uncle Sams Cider (04/04/2023)")</f>
        <v>Uncle Sams Cider (04/04/2023)</v>
      </c>
      <c r="H10960" s="19"/>
    </row>
    <row r="10961">
      <c r="A10961" s="9"/>
      <c r="B10961" s="15"/>
      <c r="C10961" s="9">
        <f>IFERROR(__xludf.DUMMYFUNCTION("""COMPUTED_VALUE"""),45029.148276331)</f>
        <v>45029.14828</v>
      </c>
      <c r="D10961" s="15">
        <f>IFERROR(__xludf.DUMMYFUNCTION("""COMPUTED_VALUE"""),1.063)</f>
        <v>1.063</v>
      </c>
      <c r="E10961" s="16">
        <f>IFERROR(__xludf.DUMMYFUNCTION("""COMPUTED_VALUE"""),66.0)</f>
        <v>66</v>
      </c>
      <c r="F10961" s="19" t="str">
        <f>IFERROR(__xludf.DUMMYFUNCTION("""COMPUTED_VALUE"""),"BLACK")</f>
        <v>BLACK</v>
      </c>
      <c r="G10961" s="20" t="str">
        <f>IFERROR(__xludf.DUMMYFUNCTION("""COMPUTED_VALUE"""),"Uncle Sams Cider (04/04/2023)")</f>
        <v>Uncle Sams Cider (04/04/2023)</v>
      </c>
      <c r="H10961" s="19"/>
    </row>
    <row r="10962">
      <c r="A10962" s="9"/>
      <c r="B10962" s="15"/>
      <c r="C10962" s="9">
        <f>IFERROR(__xludf.DUMMYFUNCTION("""COMPUTED_VALUE"""),45029.1378437615)</f>
        <v>45029.13784</v>
      </c>
      <c r="D10962" s="15">
        <f>IFERROR(__xludf.DUMMYFUNCTION("""COMPUTED_VALUE"""),1.063)</f>
        <v>1.063</v>
      </c>
      <c r="E10962" s="16">
        <f>IFERROR(__xludf.DUMMYFUNCTION("""COMPUTED_VALUE"""),66.0)</f>
        <v>66</v>
      </c>
      <c r="F10962" s="19" t="str">
        <f>IFERROR(__xludf.DUMMYFUNCTION("""COMPUTED_VALUE"""),"BLACK")</f>
        <v>BLACK</v>
      </c>
      <c r="G10962" s="20" t="str">
        <f>IFERROR(__xludf.DUMMYFUNCTION("""COMPUTED_VALUE"""),"Uncle Sams Cider (04/04/2023)")</f>
        <v>Uncle Sams Cider (04/04/2023)</v>
      </c>
      <c r="H10962" s="19"/>
    </row>
    <row r="10963">
      <c r="A10963" s="9"/>
      <c r="B10963" s="15"/>
      <c r="C10963" s="9">
        <f>IFERROR(__xludf.DUMMYFUNCTION("""COMPUTED_VALUE"""),45029.1274231944)</f>
        <v>45029.12742</v>
      </c>
      <c r="D10963" s="15">
        <f>IFERROR(__xludf.DUMMYFUNCTION("""COMPUTED_VALUE"""),1.063)</f>
        <v>1.063</v>
      </c>
      <c r="E10963" s="16">
        <f>IFERROR(__xludf.DUMMYFUNCTION("""COMPUTED_VALUE"""),66.0)</f>
        <v>66</v>
      </c>
      <c r="F10963" s="19" t="str">
        <f>IFERROR(__xludf.DUMMYFUNCTION("""COMPUTED_VALUE"""),"BLACK")</f>
        <v>BLACK</v>
      </c>
      <c r="G10963" s="20" t="str">
        <f>IFERROR(__xludf.DUMMYFUNCTION("""COMPUTED_VALUE"""),"Uncle Sams Cider (04/04/2023)")</f>
        <v>Uncle Sams Cider (04/04/2023)</v>
      </c>
      <c r="H10963" s="19"/>
    </row>
    <row r="10964">
      <c r="A10964" s="9"/>
      <c r="B10964" s="15"/>
      <c r="C10964" s="9">
        <f>IFERROR(__xludf.DUMMYFUNCTION("""COMPUTED_VALUE"""),45029.1169783101)</f>
        <v>45029.11698</v>
      </c>
      <c r="D10964" s="15">
        <f>IFERROR(__xludf.DUMMYFUNCTION("""COMPUTED_VALUE"""),1.063)</f>
        <v>1.063</v>
      </c>
      <c r="E10964" s="16">
        <f>IFERROR(__xludf.DUMMYFUNCTION("""COMPUTED_VALUE"""),66.0)</f>
        <v>66</v>
      </c>
      <c r="F10964" s="19" t="str">
        <f>IFERROR(__xludf.DUMMYFUNCTION("""COMPUTED_VALUE"""),"BLACK")</f>
        <v>BLACK</v>
      </c>
      <c r="G10964" s="20" t="str">
        <f>IFERROR(__xludf.DUMMYFUNCTION("""COMPUTED_VALUE"""),"Uncle Sams Cider (04/04/2023)")</f>
        <v>Uncle Sams Cider (04/04/2023)</v>
      </c>
      <c r="H10964" s="19"/>
    </row>
    <row r="10965">
      <c r="A10965" s="9"/>
      <c r="B10965" s="15"/>
      <c r="C10965" s="9">
        <f>IFERROR(__xludf.DUMMYFUNCTION("""COMPUTED_VALUE"""),45029.106521493)</f>
        <v>45029.10652</v>
      </c>
      <c r="D10965" s="15">
        <f>IFERROR(__xludf.DUMMYFUNCTION("""COMPUTED_VALUE"""),1.063)</f>
        <v>1.063</v>
      </c>
      <c r="E10965" s="16">
        <f>IFERROR(__xludf.DUMMYFUNCTION("""COMPUTED_VALUE"""),66.0)</f>
        <v>66</v>
      </c>
      <c r="F10965" s="19" t="str">
        <f>IFERROR(__xludf.DUMMYFUNCTION("""COMPUTED_VALUE"""),"BLACK")</f>
        <v>BLACK</v>
      </c>
      <c r="G10965" s="20" t="str">
        <f>IFERROR(__xludf.DUMMYFUNCTION("""COMPUTED_VALUE"""),"Uncle Sams Cider (04/04/2023)")</f>
        <v>Uncle Sams Cider (04/04/2023)</v>
      </c>
      <c r="H10965" s="19"/>
    </row>
    <row r="10966">
      <c r="A10966" s="9"/>
      <c r="B10966" s="15"/>
      <c r="C10966" s="9">
        <f>IFERROR(__xludf.DUMMYFUNCTION("""COMPUTED_VALUE"""),45029.0961012037)</f>
        <v>45029.0961</v>
      </c>
      <c r="D10966" s="15">
        <f>IFERROR(__xludf.DUMMYFUNCTION("""COMPUTED_VALUE"""),1.063)</f>
        <v>1.063</v>
      </c>
      <c r="E10966" s="16">
        <f>IFERROR(__xludf.DUMMYFUNCTION("""COMPUTED_VALUE"""),66.0)</f>
        <v>66</v>
      </c>
      <c r="F10966" s="19" t="str">
        <f>IFERROR(__xludf.DUMMYFUNCTION("""COMPUTED_VALUE"""),"BLACK")</f>
        <v>BLACK</v>
      </c>
      <c r="G10966" s="20" t="str">
        <f>IFERROR(__xludf.DUMMYFUNCTION("""COMPUTED_VALUE"""),"Uncle Sams Cider (04/04/2023)")</f>
        <v>Uncle Sams Cider (04/04/2023)</v>
      </c>
      <c r="H10966" s="19"/>
    </row>
    <row r="10967">
      <c r="A10967" s="9"/>
      <c r="B10967" s="15"/>
      <c r="C10967" s="9">
        <f>IFERROR(__xludf.DUMMYFUNCTION("""COMPUTED_VALUE"""),45029.0856796296)</f>
        <v>45029.08568</v>
      </c>
      <c r="D10967" s="15">
        <f>IFERROR(__xludf.DUMMYFUNCTION("""COMPUTED_VALUE"""),1.063)</f>
        <v>1.063</v>
      </c>
      <c r="E10967" s="16">
        <f>IFERROR(__xludf.DUMMYFUNCTION("""COMPUTED_VALUE"""),66.0)</f>
        <v>66</v>
      </c>
      <c r="F10967" s="19" t="str">
        <f>IFERROR(__xludf.DUMMYFUNCTION("""COMPUTED_VALUE"""),"BLACK")</f>
        <v>BLACK</v>
      </c>
      <c r="G10967" s="20" t="str">
        <f>IFERROR(__xludf.DUMMYFUNCTION("""COMPUTED_VALUE"""),"Uncle Sams Cider (04/04/2023)")</f>
        <v>Uncle Sams Cider (04/04/2023)</v>
      </c>
      <c r="H10967" s="19"/>
    </row>
    <row r="10968">
      <c r="A10968" s="9"/>
      <c r="B10968" s="15"/>
      <c r="C10968" s="9">
        <f>IFERROR(__xludf.DUMMYFUNCTION("""COMPUTED_VALUE"""),45029.0752564351)</f>
        <v>45029.07526</v>
      </c>
      <c r="D10968" s="15">
        <f>IFERROR(__xludf.DUMMYFUNCTION("""COMPUTED_VALUE"""),1.063)</f>
        <v>1.063</v>
      </c>
      <c r="E10968" s="16">
        <f>IFERROR(__xludf.DUMMYFUNCTION("""COMPUTED_VALUE"""),66.0)</f>
        <v>66</v>
      </c>
      <c r="F10968" s="19" t="str">
        <f>IFERROR(__xludf.DUMMYFUNCTION("""COMPUTED_VALUE"""),"BLACK")</f>
        <v>BLACK</v>
      </c>
      <c r="G10968" s="20" t="str">
        <f>IFERROR(__xludf.DUMMYFUNCTION("""COMPUTED_VALUE"""),"Uncle Sams Cider (04/04/2023)")</f>
        <v>Uncle Sams Cider (04/04/2023)</v>
      </c>
      <c r="H10968" s="19"/>
    </row>
    <row r="10969">
      <c r="A10969" s="9"/>
      <c r="B10969" s="15"/>
      <c r="C10969" s="9">
        <f>IFERROR(__xludf.DUMMYFUNCTION("""COMPUTED_VALUE"""),45029.0648354398)</f>
        <v>45029.06484</v>
      </c>
      <c r="D10969" s="15">
        <f>IFERROR(__xludf.DUMMYFUNCTION("""COMPUTED_VALUE"""),1.063)</f>
        <v>1.063</v>
      </c>
      <c r="E10969" s="16">
        <f>IFERROR(__xludf.DUMMYFUNCTION("""COMPUTED_VALUE"""),66.0)</f>
        <v>66</v>
      </c>
      <c r="F10969" s="19" t="str">
        <f>IFERROR(__xludf.DUMMYFUNCTION("""COMPUTED_VALUE"""),"BLACK")</f>
        <v>BLACK</v>
      </c>
      <c r="G10969" s="20" t="str">
        <f>IFERROR(__xludf.DUMMYFUNCTION("""COMPUTED_VALUE"""),"Uncle Sams Cider (04/04/2023)")</f>
        <v>Uncle Sams Cider (04/04/2023)</v>
      </c>
      <c r="H10969" s="19"/>
    </row>
    <row r="10970">
      <c r="A10970" s="9"/>
      <c r="B10970" s="15"/>
      <c r="C10970" s="9">
        <f>IFERROR(__xludf.DUMMYFUNCTION("""COMPUTED_VALUE"""),45029.0544141666)</f>
        <v>45029.05441</v>
      </c>
      <c r="D10970" s="15">
        <f>IFERROR(__xludf.DUMMYFUNCTION("""COMPUTED_VALUE"""),1.063)</f>
        <v>1.063</v>
      </c>
      <c r="E10970" s="16">
        <f>IFERROR(__xludf.DUMMYFUNCTION("""COMPUTED_VALUE"""),66.0)</f>
        <v>66</v>
      </c>
      <c r="F10970" s="19" t="str">
        <f>IFERROR(__xludf.DUMMYFUNCTION("""COMPUTED_VALUE"""),"BLACK")</f>
        <v>BLACK</v>
      </c>
      <c r="G10970" s="20" t="str">
        <f>IFERROR(__xludf.DUMMYFUNCTION("""COMPUTED_VALUE"""),"Uncle Sams Cider (04/04/2023)")</f>
        <v>Uncle Sams Cider (04/04/2023)</v>
      </c>
      <c r="H10970" s="19"/>
    </row>
    <row r="10971">
      <c r="A10971" s="9"/>
      <c r="B10971" s="15"/>
      <c r="C10971" s="9">
        <f>IFERROR(__xludf.DUMMYFUNCTION("""COMPUTED_VALUE"""),45029.0439945254)</f>
        <v>45029.04399</v>
      </c>
      <c r="D10971" s="15">
        <f>IFERROR(__xludf.DUMMYFUNCTION("""COMPUTED_VALUE"""),1.063)</f>
        <v>1.063</v>
      </c>
      <c r="E10971" s="16">
        <f>IFERROR(__xludf.DUMMYFUNCTION("""COMPUTED_VALUE"""),66.0)</f>
        <v>66</v>
      </c>
      <c r="F10971" s="19" t="str">
        <f>IFERROR(__xludf.DUMMYFUNCTION("""COMPUTED_VALUE"""),"BLACK")</f>
        <v>BLACK</v>
      </c>
      <c r="G10971" s="20" t="str">
        <f>IFERROR(__xludf.DUMMYFUNCTION("""COMPUTED_VALUE"""),"Uncle Sams Cider (04/04/2023)")</f>
        <v>Uncle Sams Cider (04/04/2023)</v>
      </c>
      <c r="H10971" s="19"/>
    </row>
    <row r="10972">
      <c r="A10972" s="9"/>
      <c r="B10972" s="15"/>
      <c r="C10972" s="9">
        <f>IFERROR(__xludf.DUMMYFUNCTION("""COMPUTED_VALUE"""),45029.0335491319)</f>
        <v>45029.03355</v>
      </c>
      <c r="D10972" s="15">
        <f>IFERROR(__xludf.DUMMYFUNCTION("""COMPUTED_VALUE"""),1.063)</f>
        <v>1.063</v>
      </c>
      <c r="E10972" s="16">
        <f>IFERROR(__xludf.DUMMYFUNCTION("""COMPUTED_VALUE"""),66.0)</f>
        <v>66</v>
      </c>
      <c r="F10972" s="19" t="str">
        <f>IFERROR(__xludf.DUMMYFUNCTION("""COMPUTED_VALUE"""),"BLACK")</f>
        <v>BLACK</v>
      </c>
      <c r="G10972" s="20" t="str">
        <f>IFERROR(__xludf.DUMMYFUNCTION("""COMPUTED_VALUE"""),"Uncle Sams Cider (04/04/2023)")</f>
        <v>Uncle Sams Cider (04/04/2023)</v>
      </c>
      <c r="H10972" s="19"/>
    </row>
    <row r="10973">
      <c r="A10973" s="9"/>
      <c r="B10973" s="15"/>
      <c r="C10973" s="9">
        <f>IFERROR(__xludf.DUMMYFUNCTION("""COMPUTED_VALUE"""),45029.0231281828)</f>
        <v>45029.02313</v>
      </c>
      <c r="D10973" s="15">
        <f>IFERROR(__xludf.DUMMYFUNCTION("""COMPUTED_VALUE"""),1.064)</f>
        <v>1.064</v>
      </c>
      <c r="E10973" s="16">
        <f>IFERROR(__xludf.DUMMYFUNCTION("""COMPUTED_VALUE"""),66.0)</f>
        <v>66</v>
      </c>
      <c r="F10973" s="19" t="str">
        <f>IFERROR(__xludf.DUMMYFUNCTION("""COMPUTED_VALUE"""),"BLACK")</f>
        <v>BLACK</v>
      </c>
      <c r="G10973" s="20" t="str">
        <f>IFERROR(__xludf.DUMMYFUNCTION("""COMPUTED_VALUE"""),"Uncle Sams Cider (04/04/2023)")</f>
        <v>Uncle Sams Cider (04/04/2023)</v>
      </c>
      <c r="H10973" s="19"/>
    </row>
    <row r="10974">
      <c r="A10974" s="9"/>
      <c r="B10974" s="15"/>
      <c r="C10974" s="9">
        <f>IFERROR(__xludf.DUMMYFUNCTION("""COMPUTED_VALUE"""),45029.0126959143)</f>
        <v>45029.0127</v>
      </c>
      <c r="D10974" s="15">
        <f>IFERROR(__xludf.DUMMYFUNCTION("""COMPUTED_VALUE"""),1.064)</f>
        <v>1.064</v>
      </c>
      <c r="E10974" s="16">
        <f>IFERROR(__xludf.DUMMYFUNCTION("""COMPUTED_VALUE"""),66.0)</f>
        <v>66</v>
      </c>
      <c r="F10974" s="19" t="str">
        <f>IFERROR(__xludf.DUMMYFUNCTION("""COMPUTED_VALUE"""),"BLACK")</f>
        <v>BLACK</v>
      </c>
      <c r="G10974" s="20" t="str">
        <f>IFERROR(__xludf.DUMMYFUNCTION("""COMPUTED_VALUE"""),"Uncle Sams Cider (04/04/2023)")</f>
        <v>Uncle Sams Cider (04/04/2023)</v>
      </c>
      <c r="H10974" s="19"/>
    </row>
    <row r="10975">
      <c r="A10975" s="9"/>
      <c r="B10975" s="15"/>
      <c r="C10975" s="9">
        <f>IFERROR(__xludf.DUMMYFUNCTION("""COMPUTED_VALUE"""),45029.0022745717)</f>
        <v>45029.00227</v>
      </c>
      <c r="D10975" s="15">
        <f>IFERROR(__xludf.DUMMYFUNCTION("""COMPUTED_VALUE"""),1.064)</f>
        <v>1.064</v>
      </c>
      <c r="E10975" s="16">
        <f>IFERROR(__xludf.DUMMYFUNCTION("""COMPUTED_VALUE"""),66.0)</f>
        <v>66</v>
      </c>
      <c r="F10975" s="19" t="str">
        <f>IFERROR(__xludf.DUMMYFUNCTION("""COMPUTED_VALUE"""),"BLACK")</f>
        <v>BLACK</v>
      </c>
      <c r="G10975" s="20" t="str">
        <f>IFERROR(__xludf.DUMMYFUNCTION("""COMPUTED_VALUE"""),"Uncle Sams Cider (04/04/2023)")</f>
        <v>Uncle Sams Cider (04/04/2023)</v>
      </c>
      <c r="H10975" s="19"/>
    </row>
    <row r="10976">
      <c r="A10976" s="9"/>
      <c r="B10976" s="15"/>
      <c r="C10976" s="9">
        <f>IFERROR(__xludf.DUMMYFUNCTION("""COMPUTED_VALUE"""),45028.9918549768)</f>
        <v>45028.99185</v>
      </c>
      <c r="D10976" s="15">
        <f>IFERROR(__xludf.DUMMYFUNCTION("""COMPUTED_VALUE"""),1.064)</f>
        <v>1.064</v>
      </c>
      <c r="E10976" s="16">
        <f>IFERROR(__xludf.DUMMYFUNCTION("""COMPUTED_VALUE"""),66.0)</f>
        <v>66</v>
      </c>
      <c r="F10976" s="19" t="str">
        <f>IFERROR(__xludf.DUMMYFUNCTION("""COMPUTED_VALUE"""),"BLACK")</f>
        <v>BLACK</v>
      </c>
      <c r="G10976" s="20" t="str">
        <f>IFERROR(__xludf.DUMMYFUNCTION("""COMPUTED_VALUE"""),"Uncle Sams Cider (04/04/2023)")</f>
        <v>Uncle Sams Cider (04/04/2023)</v>
      </c>
      <c r="H10976" s="19"/>
    </row>
    <row r="10977">
      <c r="A10977" s="9"/>
      <c r="B10977" s="15"/>
      <c r="C10977" s="9">
        <f>IFERROR(__xludf.DUMMYFUNCTION("""COMPUTED_VALUE"""),45028.9814344328)</f>
        <v>45028.98143</v>
      </c>
      <c r="D10977" s="15">
        <f>IFERROR(__xludf.DUMMYFUNCTION("""COMPUTED_VALUE"""),1.064)</f>
        <v>1.064</v>
      </c>
      <c r="E10977" s="16">
        <f>IFERROR(__xludf.DUMMYFUNCTION("""COMPUTED_VALUE"""),66.0)</f>
        <v>66</v>
      </c>
      <c r="F10977" s="19" t="str">
        <f>IFERROR(__xludf.DUMMYFUNCTION("""COMPUTED_VALUE"""),"BLACK")</f>
        <v>BLACK</v>
      </c>
      <c r="G10977" s="20" t="str">
        <f>IFERROR(__xludf.DUMMYFUNCTION("""COMPUTED_VALUE"""),"Uncle Sams Cider (04/04/2023)")</f>
        <v>Uncle Sams Cider (04/04/2023)</v>
      </c>
      <c r="H10977" s="19"/>
    </row>
    <row r="10978">
      <c r="A10978" s="9"/>
      <c r="B10978" s="15"/>
      <c r="C10978" s="9">
        <f>IFERROR(__xludf.DUMMYFUNCTION("""COMPUTED_VALUE"""),45028.9710130092)</f>
        <v>45028.97101</v>
      </c>
      <c r="D10978" s="15">
        <f>IFERROR(__xludf.DUMMYFUNCTION("""COMPUTED_VALUE"""),1.064)</f>
        <v>1.064</v>
      </c>
      <c r="E10978" s="16">
        <f>IFERROR(__xludf.DUMMYFUNCTION("""COMPUTED_VALUE"""),66.0)</f>
        <v>66</v>
      </c>
      <c r="F10978" s="19" t="str">
        <f>IFERROR(__xludf.DUMMYFUNCTION("""COMPUTED_VALUE"""),"BLACK")</f>
        <v>BLACK</v>
      </c>
      <c r="G10978" s="20" t="str">
        <f>IFERROR(__xludf.DUMMYFUNCTION("""COMPUTED_VALUE"""),"Uncle Sams Cider (04/04/2023)")</f>
        <v>Uncle Sams Cider (04/04/2023)</v>
      </c>
      <c r="H10978" s="19"/>
    </row>
    <row r="10979">
      <c r="A10979" s="9"/>
      <c r="B10979" s="15"/>
      <c r="C10979" s="9">
        <f>IFERROR(__xludf.DUMMYFUNCTION("""COMPUTED_VALUE"""),45028.9605916088)</f>
        <v>45028.96059</v>
      </c>
      <c r="D10979" s="15">
        <f>IFERROR(__xludf.DUMMYFUNCTION("""COMPUTED_VALUE"""),1.064)</f>
        <v>1.064</v>
      </c>
      <c r="E10979" s="16">
        <f>IFERROR(__xludf.DUMMYFUNCTION("""COMPUTED_VALUE"""),66.0)</f>
        <v>66</v>
      </c>
      <c r="F10979" s="19" t="str">
        <f>IFERROR(__xludf.DUMMYFUNCTION("""COMPUTED_VALUE"""),"BLACK")</f>
        <v>BLACK</v>
      </c>
      <c r="G10979" s="20" t="str">
        <f>IFERROR(__xludf.DUMMYFUNCTION("""COMPUTED_VALUE"""),"Uncle Sams Cider (04/04/2023)")</f>
        <v>Uncle Sams Cider (04/04/2023)</v>
      </c>
      <c r="H10979" s="19"/>
    </row>
    <row r="10980">
      <c r="A10980" s="9"/>
      <c r="B10980" s="15"/>
      <c r="C10980" s="9">
        <f>IFERROR(__xludf.DUMMYFUNCTION("""COMPUTED_VALUE"""),45028.9501701504)</f>
        <v>45028.95017</v>
      </c>
      <c r="D10980" s="15">
        <f>IFERROR(__xludf.DUMMYFUNCTION("""COMPUTED_VALUE"""),1.064)</f>
        <v>1.064</v>
      </c>
      <c r="E10980" s="16">
        <f>IFERROR(__xludf.DUMMYFUNCTION("""COMPUTED_VALUE"""),66.0)</f>
        <v>66</v>
      </c>
      <c r="F10980" s="19" t="str">
        <f>IFERROR(__xludf.DUMMYFUNCTION("""COMPUTED_VALUE"""),"BLACK")</f>
        <v>BLACK</v>
      </c>
      <c r="G10980" s="20" t="str">
        <f>IFERROR(__xludf.DUMMYFUNCTION("""COMPUTED_VALUE"""),"Uncle Sams Cider (04/04/2023)")</f>
        <v>Uncle Sams Cider (04/04/2023)</v>
      </c>
      <c r="H10980" s="19"/>
    </row>
    <row r="10981">
      <c r="A10981" s="9"/>
      <c r="B10981" s="15"/>
      <c r="C10981" s="9">
        <f>IFERROR(__xludf.DUMMYFUNCTION("""COMPUTED_VALUE"""),45028.9397363888)</f>
        <v>45028.93974</v>
      </c>
      <c r="D10981" s="15">
        <f>IFERROR(__xludf.DUMMYFUNCTION("""COMPUTED_VALUE"""),1.064)</f>
        <v>1.064</v>
      </c>
      <c r="E10981" s="16">
        <f>IFERROR(__xludf.DUMMYFUNCTION("""COMPUTED_VALUE"""),66.0)</f>
        <v>66</v>
      </c>
      <c r="F10981" s="19" t="str">
        <f>IFERROR(__xludf.DUMMYFUNCTION("""COMPUTED_VALUE"""),"BLACK")</f>
        <v>BLACK</v>
      </c>
      <c r="G10981" s="20" t="str">
        <f>IFERROR(__xludf.DUMMYFUNCTION("""COMPUTED_VALUE"""),"Uncle Sams Cider (04/04/2023)")</f>
        <v>Uncle Sams Cider (04/04/2023)</v>
      </c>
      <c r="H10981" s="19"/>
    </row>
    <row r="10982">
      <c r="A10982" s="9"/>
      <c r="B10982" s="15"/>
      <c r="C10982" s="9">
        <f>IFERROR(__xludf.DUMMYFUNCTION("""COMPUTED_VALUE"""),45028.9293131944)</f>
        <v>45028.92931</v>
      </c>
      <c r="D10982" s="15">
        <f>IFERROR(__xludf.DUMMYFUNCTION("""COMPUTED_VALUE"""),1.064)</f>
        <v>1.064</v>
      </c>
      <c r="E10982" s="16">
        <f>IFERROR(__xludf.DUMMYFUNCTION("""COMPUTED_VALUE"""),66.0)</f>
        <v>66</v>
      </c>
      <c r="F10982" s="19" t="str">
        <f>IFERROR(__xludf.DUMMYFUNCTION("""COMPUTED_VALUE"""),"BLACK")</f>
        <v>BLACK</v>
      </c>
      <c r="G10982" s="20" t="str">
        <f>IFERROR(__xludf.DUMMYFUNCTION("""COMPUTED_VALUE"""),"Uncle Sams Cider (04/04/2023)")</f>
        <v>Uncle Sams Cider (04/04/2023)</v>
      </c>
      <c r="H10982" s="19"/>
    </row>
    <row r="10983">
      <c r="A10983" s="9"/>
      <c r="B10983" s="15"/>
      <c r="C10983" s="9">
        <f>IFERROR(__xludf.DUMMYFUNCTION("""COMPUTED_VALUE"""),45028.9188931597)</f>
        <v>45028.91889</v>
      </c>
      <c r="D10983" s="15">
        <f>IFERROR(__xludf.DUMMYFUNCTION("""COMPUTED_VALUE"""),1.064)</f>
        <v>1.064</v>
      </c>
      <c r="E10983" s="16">
        <f>IFERROR(__xludf.DUMMYFUNCTION("""COMPUTED_VALUE"""),66.0)</f>
        <v>66</v>
      </c>
      <c r="F10983" s="19" t="str">
        <f>IFERROR(__xludf.DUMMYFUNCTION("""COMPUTED_VALUE"""),"BLACK")</f>
        <v>BLACK</v>
      </c>
      <c r="G10983" s="20" t="str">
        <f>IFERROR(__xludf.DUMMYFUNCTION("""COMPUTED_VALUE"""),"Uncle Sams Cider (04/04/2023)")</f>
        <v>Uncle Sams Cider (04/04/2023)</v>
      </c>
      <c r="H10983" s="19"/>
    </row>
    <row r="10984">
      <c r="A10984" s="9"/>
      <c r="B10984" s="15"/>
      <c r="C10984" s="9">
        <f>IFERROR(__xludf.DUMMYFUNCTION("""COMPUTED_VALUE"""),45028.9084720254)</f>
        <v>45028.90847</v>
      </c>
      <c r="D10984" s="15">
        <f>IFERROR(__xludf.DUMMYFUNCTION("""COMPUTED_VALUE"""),1.064)</f>
        <v>1.064</v>
      </c>
      <c r="E10984" s="16">
        <f>IFERROR(__xludf.DUMMYFUNCTION("""COMPUTED_VALUE"""),66.0)</f>
        <v>66</v>
      </c>
      <c r="F10984" s="19" t="str">
        <f>IFERROR(__xludf.DUMMYFUNCTION("""COMPUTED_VALUE"""),"BLACK")</f>
        <v>BLACK</v>
      </c>
      <c r="G10984" s="20" t="str">
        <f>IFERROR(__xludf.DUMMYFUNCTION("""COMPUTED_VALUE"""),"Uncle Sams Cider (04/04/2023)")</f>
        <v>Uncle Sams Cider (04/04/2023)</v>
      </c>
      <c r="H10984" s="19"/>
    </row>
    <row r="10985">
      <c r="A10985" s="9"/>
      <c r="B10985" s="15"/>
      <c r="C10985" s="9">
        <f>IFERROR(__xludf.DUMMYFUNCTION("""COMPUTED_VALUE"""),45028.898037581)</f>
        <v>45028.89804</v>
      </c>
      <c r="D10985" s="15">
        <f>IFERROR(__xludf.DUMMYFUNCTION("""COMPUTED_VALUE"""),1.064)</f>
        <v>1.064</v>
      </c>
      <c r="E10985" s="16">
        <f>IFERROR(__xludf.DUMMYFUNCTION("""COMPUTED_VALUE"""),66.0)</f>
        <v>66</v>
      </c>
      <c r="F10985" s="19" t="str">
        <f>IFERROR(__xludf.DUMMYFUNCTION("""COMPUTED_VALUE"""),"BLACK")</f>
        <v>BLACK</v>
      </c>
      <c r="G10985" s="20" t="str">
        <f>IFERROR(__xludf.DUMMYFUNCTION("""COMPUTED_VALUE"""),"Uncle Sams Cider (04/04/2023)")</f>
        <v>Uncle Sams Cider (04/04/2023)</v>
      </c>
      <c r="H10985" s="19"/>
    </row>
    <row r="10986">
      <c r="A10986" s="9"/>
      <c r="B10986" s="15"/>
      <c r="C10986" s="9">
        <f>IFERROR(__xludf.DUMMYFUNCTION("""COMPUTED_VALUE"""),45028.8876063541)</f>
        <v>45028.88761</v>
      </c>
      <c r="D10986" s="15">
        <f>IFERROR(__xludf.DUMMYFUNCTION("""COMPUTED_VALUE"""),1.064)</f>
        <v>1.064</v>
      </c>
      <c r="E10986" s="16">
        <f>IFERROR(__xludf.DUMMYFUNCTION("""COMPUTED_VALUE"""),66.0)</f>
        <v>66</v>
      </c>
      <c r="F10986" s="19" t="str">
        <f>IFERROR(__xludf.DUMMYFUNCTION("""COMPUTED_VALUE"""),"BLACK")</f>
        <v>BLACK</v>
      </c>
      <c r="G10986" s="20" t="str">
        <f>IFERROR(__xludf.DUMMYFUNCTION("""COMPUTED_VALUE"""),"Uncle Sams Cider (04/04/2023)")</f>
        <v>Uncle Sams Cider (04/04/2023)</v>
      </c>
      <c r="H10986" s="19"/>
    </row>
    <row r="10987">
      <c r="A10987" s="9"/>
      <c r="B10987" s="15"/>
      <c r="C10987" s="9">
        <f>IFERROR(__xludf.DUMMYFUNCTION("""COMPUTED_VALUE"""),45028.8771741898)</f>
        <v>45028.87717</v>
      </c>
      <c r="D10987" s="15">
        <f>IFERROR(__xludf.DUMMYFUNCTION("""COMPUTED_VALUE"""),1.064)</f>
        <v>1.064</v>
      </c>
      <c r="E10987" s="16">
        <f>IFERROR(__xludf.DUMMYFUNCTION("""COMPUTED_VALUE"""),66.0)</f>
        <v>66</v>
      </c>
      <c r="F10987" s="19" t="str">
        <f>IFERROR(__xludf.DUMMYFUNCTION("""COMPUTED_VALUE"""),"BLACK")</f>
        <v>BLACK</v>
      </c>
      <c r="G10987" s="20" t="str">
        <f>IFERROR(__xludf.DUMMYFUNCTION("""COMPUTED_VALUE"""),"Uncle Sams Cider (04/04/2023)")</f>
        <v>Uncle Sams Cider (04/04/2023)</v>
      </c>
      <c r="H10987" s="19"/>
    </row>
    <row r="10988">
      <c r="A10988" s="9"/>
      <c r="B10988" s="15"/>
      <c r="C10988" s="9">
        <f>IFERROR(__xludf.DUMMYFUNCTION("""COMPUTED_VALUE"""),45028.8667530208)</f>
        <v>45028.86675</v>
      </c>
      <c r="D10988" s="15">
        <f>IFERROR(__xludf.DUMMYFUNCTION("""COMPUTED_VALUE"""),1.064)</f>
        <v>1.064</v>
      </c>
      <c r="E10988" s="16">
        <f>IFERROR(__xludf.DUMMYFUNCTION("""COMPUTED_VALUE"""),66.0)</f>
        <v>66</v>
      </c>
      <c r="F10988" s="19" t="str">
        <f>IFERROR(__xludf.DUMMYFUNCTION("""COMPUTED_VALUE"""),"BLACK")</f>
        <v>BLACK</v>
      </c>
      <c r="G10988" s="20" t="str">
        <f>IFERROR(__xludf.DUMMYFUNCTION("""COMPUTED_VALUE"""),"Uncle Sams Cider (04/04/2023)")</f>
        <v>Uncle Sams Cider (04/04/2023)</v>
      </c>
      <c r="H10988" s="19"/>
    </row>
    <row r="10989">
      <c r="A10989" s="9"/>
      <c r="B10989" s="15"/>
      <c r="C10989" s="9">
        <f>IFERROR(__xludf.DUMMYFUNCTION("""COMPUTED_VALUE"""),45028.8563309722)</f>
        <v>45028.85633</v>
      </c>
      <c r="D10989" s="15">
        <f>IFERROR(__xludf.DUMMYFUNCTION("""COMPUTED_VALUE"""),1.064)</f>
        <v>1.064</v>
      </c>
      <c r="E10989" s="16">
        <f>IFERROR(__xludf.DUMMYFUNCTION("""COMPUTED_VALUE"""),66.0)</f>
        <v>66</v>
      </c>
      <c r="F10989" s="19" t="str">
        <f>IFERROR(__xludf.DUMMYFUNCTION("""COMPUTED_VALUE"""),"BLACK")</f>
        <v>BLACK</v>
      </c>
      <c r="G10989" s="20" t="str">
        <f>IFERROR(__xludf.DUMMYFUNCTION("""COMPUTED_VALUE"""),"Uncle Sams Cider (04/04/2023)")</f>
        <v>Uncle Sams Cider (04/04/2023)</v>
      </c>
      <c r="H10989" s="19"/>
    </row>
    <row r="10990">
      <c r="A10990" s="9"/>
      <c r="B10990" s="15"/>
      <c r="C10990" s="9">
        <f>IFERROR(__xludf.DUMMYFUNCTION("""COMPUTED_VALUE"""),45028.8458985879)</f>
        <v>45028.8459</v>
      </c>
      <c r="D10990" s="15">
        <f>IFERROR(__xludf.DUMMYFUNCTION("""COMPUTED_VALUE"""),1.064)</f>
        <v>1.064</v>
      </c>
      <c r="E10990" s="16">
        <f>IFERROR(__xludf.DUMMYFUNCTION("""COMPUTED_VALUE"""),66.0)</f>
        <v>66</v>
      </c>
      <c r="F10990" s="19" t="str">
        <f>IFERROR(__xludf.DUMMYFUNCTION("""COMPUTED_VALUE"""),"BLACK")</f>
        <v>BLACK</v>
      </c>
      <c r="G10990" s="20" t="str">
        <f>IFERROR(__xludf.DUMMYFUNCTION("""COMPUTED_VALUE"""),"Uncle Sams Cider (04/04/2023)")</f>
        <v>Uncle Sams Cider (04/04/2023)</v>
      </c>
      <c r="H10990" s="19"/>
    </row>
    <row r="10991">
      <c r="A10991" s="9"/>
      <c r="B10991" s="15"/>
      <c r="C10991" s="9">
        <f>IFERROR(__xludf.DUMMYFUNCTION("""COMPUTED_VALUE"""),45028.8354788194)</f>
        <v>45028.83548</v>
      </c>
      <c r="D10991" s="15">
        <f>IFERROR(__xludf.DUMMYFUNCTION("""COMPUTED_VALUE"""),1.064)</f>
        <v>1.064</v>
      </c>
      <c r="E10991" s="16">
        <f>IFERROR(__xludf.DUMMYFUNCTION("""COMPUTED_VALUE"""),66.0)</f>
        <v>66</v>
      </c>
      <c r="F10991" s="19" t="str">
        <f>IFERROR(__xludf.DUMMYFUNCTION("""COMPUTED_VALUE"""),"BLACK")</f>
        <v>BLACK</v>
      </c>
      <c r="G10991" s="20" t="str">
        <f>IFERROR(__xludf.DUMMYFUNCTION("""COMPUTED_VALUE"""),"Uncle Sams Cider (04/04/2023)")</f>
        <v>Uncle Sams Cider (04/04/2023)</v>
      </c>
      <c r="H10991" s="19"/>
    </row>
    <row r="10992">
      <c r="A10992" s="9"/>
      <c r="B10992" s="15"/>
      <c r="C10992" s="9">
        <f>IFERROR(__xludf.DUMMYFUNCTION("""COMPUTED_VALUE"""),45028.8250455902)</f>
        <v>45028.82505</v>
      </c>
      <c r="D10992" s="15">
        <f>IFERROR(__xludf.DUMMYFUNCTION("""COMPUTED_VALUE"""),1.064)</f>
        <v>1.064</v>
      </c>
      <c r="E10992" s="16">
        <f>IFERROR(__xludf.DUMMYFUNCTION("""COMPUTED_VALUE"""),66.0)</f>
        <v>66</v>
      </c>
      <c r="F10992" s="19" t="str">
        <f>IFERROR(__xludf.DUMMYFUNCTION("""COMPUTED_VALUE"""),"BLACK")</f>
        <v>BLACK</v>
      </c>
      <c r="G10992" s="20" t="str">
        <f>IFERROR(__xludf.DUMMYFUNCTION("""COMPUTED_VALUE"""),"Uncle Sams Cider (04/04/2023)")</f>
        <v>Uncle Sams Cider (04/04/2023)</v>
      </c>
      <c r="H10992" s="19"/>
    </row>
    <row r="10993">
      <c r="A10993" s="9"/>
      <c r="B10993" s="15"/>
      <c r="C10993" s="9">
        <f>IFERROR(__xludf.DUMMYFUNCTION("""COMPUTED_VALUE"""),45028.8146247106)</f>
        <v>45028.81462</v>
      </c>
      <c r="D10993" s="15">
        <f>IFERROR(__xludf.DUMMYFUNCTION("""COMPUTED_VALUE"""),1.064)</f>
        <v>1.064</v>
      </c>
      <c r="E10993" s="16">
        <f>IFERROR(__xludf.DUMMYFUNCTION("""COMPUTED_VALUE"""),66.0)</f>
        <v>66</v>
      </c>
      <c r="F10993" s="19" t="str">
        <f>IFERROR(__xludf.DUMMYFUNCTION("""COMPUTED_VALUE"""),"BLACK")</f>
        <v>BLACK</v>
      </c>
      <c r="G10993" s="20" t="str">
        <f>IFERROR(__xludf.DUMMYFUNCTION("""COMPUTED_VALUE"""),"Uncle Sams Cider (04/04/2023)")</f>
        <v>Uncle Sams Cider (04/04/2023)</v>
      </c>
      <c r="H10993" s="19"/>
    </row>
    <row r="10994">
      <c r="A10994" s="9"/>
      <c r="B10994" s="15"/>
      <c r="C10994" s="9">
        <f>IFERROR(__xludf.DUMMYFUNCTION("""COMPUTED_VALUE"""),45028.804201875)</f>
        <v>45028.8042</v>
      </c>
      <c r="D10994" s="15">
        <f>IFERROR(__xludf.DUMMYFUNCTION("""COMPUTED_VALUE"""),1.064)</f>
        <v>1.064</v>
      </c>
      <c r="E10994" s="16">
        <f>IFERROR(__xludf.DUMMYFUNCTION("""COMPUTED_VALUE"""),66.0)</f>
        <v>66</v>
      </c>
      <c r="F10994" s="19" t="str">
        <f>IFERROR(__xludf.DUMMYFUNCTION("""COMPUTED_VALUE"""),"BLACK")</f>
        <v>BLACK</v>
      </c>
      <c r="G10994" s="20" t="str">
        <f>IFERROR(__xludf.DUMMYFUNCTION("""COMPUTED_VALUE"""),"Uncle Sams Cider (04/04/2023)")</f>
        <v>Uncle Sams Cider (04/04/2023)</v>
      </c>
      <c r="H10994" s="19"/>
    </row>
    <row r="10995">
      <c r="A10995" s="9"/>
      <c r="B10995" s="15"/>
      <c r="C10995" s="9">
        <f>IFERROR(__xludf.DUMMYFUNCTION("""COMPUTED_VALUE"""),45028.7937459953)</f>
        <v>45028.79375</v>
      </c>
      <c r="D10995" s="15">
        <f>IFERROR(__xludf.DUMMYFUNCTION("""COMPUTED_VALUE"""),1.065)</f>
        <v>1.065</v>
      </c>
      <c r="E10995" s="16">
        <f>IFERROR(__xludf.DUMMYFUNCTION("""COMPUTED_VALUE"""),66.0)</f>
        <v>66</v>
      </c>
      <c r="F10995" s="19" t="str">
        <f>IFERROR(__xludf.DUMMYFUNCTION("""COMPUTED_VALUE"""),"BLACK")</f>
        <v>BLACK</v>
      </c>
      <c r="G10995" s="20" t="str">
        <f>IFERROR(__xludf.DUMMYFUNCTION("""COMPUTED_VALUE"""),"Uncle Sams Cider (04/04/2023)")</f>
        <v>Uncle Sams Cider (04/04/2023)</v>
      </c>
      <c r="H10995" s="19"/>
    </row>
    <row r="10996">
      <c r="A10996" s="9"/>
      <c r="B10996" s="15"/>
      <c r="C10996" s="9">
        <f>IFERROR(__xludf.DUMMYFUNCTION("""COMPUTED_VALUE"""),45028.783325243)</f>
        <v>45028.78333</v>
      </c>
      <c r="D10996" s="15">
        <f>IFERROR(__xludf.DUMMYFUNCTION("""COMPUTED_VALUE"""),1.064)</f>
        <v>1.064</v>
      </c>
      <c r="E10996" s="16">
        <f>IFERROR(__xludf.DUMMYFUNCTION("""COMPUTED_VALUE"""),66.0)</f>
        <v>66</v>
      </c>
      <c r="F10996" s="19" t="str">
        <f>IFERROR(__xludf.DUMMYFUNCTION("""COMPUTED_VALUE"""),"BLACK")</f>
        <v>BLACK</v>
      </c>
      <c r="G10996" s="20" t="str">
        <f>IFERROR(__xludf.DUMMYFUNCTION("""COMPUTED_VALUE"""),"Uncle Sams Cider (04/04/2023)")</f>
        <v>Uncle Sams Cider (04/04/2023)</v>
      </c>
      <c r="H10996" s="19"/>
    </row>
    <row r="10997">
      <c r="A10997" s="9"/>
      <c r="B10997" s="15"/>
      <c r="C10997" s="9">
        <f>IFERROR(__xludf.DUMMYFUNCTION("""COMPUTED_VALUE"""),45028.7728795601)</f>
        <v>45028.77288</v>
      </c>
      <c r="D10997" s="15">
        <f>IFERROR(__xludf.DUMMYFUNCTION("""COMPUTED_VALUE"""),1.064)</f>
        <v>1.064</v>
      </c>
      <c r="E10997" s="16">
        <f>IFERROR(__xludf.DUMMYFUNCTION("""COMPUTED_VALUE"""),66.0)</f>
        <v>66</v>
      </c>
      <c r="F10997" s="19" t="str">
        <f>IFERROR(__xludf.DUMMYFUNCTION("""COMPUTED_VALUE"""),"BLACK")</f>
        <v>BLACK</v>
      </c>
      <c r="G10997" s="20" t="str">
        <f>IFERROR(__xludf.DUMMYFUNCTION("""COMPUTED_VALUE"""),"Uncle Sams Cider (04/04/2023)")</f>
        <v>Uncle Sams Cider (04/04/2023)</v>
      </c>
      <c r="H10997" s="19"/>
    </row>
    <row r="10998">
      <c r="A10998" s="9"/>
      <c r="B10998" s="15"/>
      <c r="C10998" s="9">
        <f>IFERROR(__xludf.DUMMYFUNCTION("""COMPUTED_VALUE"""),45028.7624226388)</f>
        <v>45028.76242</v>
      </c>
      <c r="D10998" s="15">
        <f>IFERROR(__xludf.DUMMYFUNCTION("""COMPUTED_VALUE"""),1.065)</f>
        <v>1.065</v>
      </c>
      <c r="E10998" s="16">
        <f>IFERROR(__xludf.DUMMYFUNCTION("""COMPUTED_VALUE"""),66.0)</f>
        <v>66</v>
      </c>
      <c r="F10998" s="19" t="str">
        <f>IFERROR(__xludf.DUMMYFUNCTION("""COMPUTED_VALUE"""),"BLACK")</f>
        <v>BLACK</v>
      </c>
      <c r="G10998" s="20" t="str">
        <f>IFERROR(__xludf.DUMMYFUNCTION("""COMPUTED_VALUE"""),"Uncle Sams Cider (04/04/2023)")</f>
        <v>Uncle Sams Cider (04/04/2023)</v>
      </c>
      <c r="H10998" s="19"/>
    </row>
    <row r="10999">
      <c r="A10999" s="9"/>
      <c r="B10999" s="15"/>
      <c r="C10999" s="9">
        <f>IFERROR(__xludf.DUMMYFUNCTION("""COMPUTED_VALUE"""),45028.7520003935)</f>
        <v>45028.752</v>
      </c>
      <c r="D10999" s="15">
        <f>IFERROR(__xludf.DUMMYFUNCTION("""COMPUTED_VALUE"""),1.065)</f>
        <v>1.065</v>
      </c>
      <c r="E10999" s="16">
        <f>IFERROR(__xludf.DUMMYFUNCTION("""COMPUTED_VALUE"""),66.0)</f>
        <v>66</v>
      </c>
      <c r="F10999" s="19" t="str">
        <f>IFERROR(__xludf.DUMMYFUNCTION("""COMPUTED_VALUE"""),"BLACK")</f>
        <v>BLACK</v>
      </c>
      <c r="G10999" s="20" t="str">
        <f>IFERROR(__xludf.DUMMYFUNCTION("""COMPUTED_VALUE"""),"Uncle Sams Cider (04/04/2023)")</f>
        <v>Uncle Sams Cider (04/04/2023)</v>
      </c>
      <c r="H10999" s="19"/>
    </row>
    <row r="11000">
      <c r="A11000" s="9"/>
      <c r="B11000" s="15"/>
      <c r="C11000" s="9">
        <f>IFERROR(__xludf.DUMMYFUNCTION("""COMPUTED_VALUE"""),45028.7415792013)</f>
        <v>45028.74158</v>
      </c>
      <c r="D11000" s="15">
        <f>IFERROR(__xludf.DUMMYFUNCTION("""COMPUTED_VALUE"""),1.064)</f>
        <v>1.064</v>
      </c>
      <c r="E11000" s="16">
        <f>IFERROR(__xludf.DUMMYFUNCTION("""COMPUTED_VALUE"""),66.0)</f>
        <v>66</v>
      </c>
      <c r="F11000" s="19" t="str">
        <f>IFERROR(__xludf.DUMMYFUNCTION("""COMPUTED_VALUE"""),"BLACK")</f>
        <v>BLACK</v>
      </c>
      <c r="G11000" s="20" t="str">
        <f>IFERROR(__xludf.DUMMYFUNCTION("""COMPUTED_VALUE"""),"Uncle Sams Cider (04/04/2023)")</f>
        <v>Uncle Sams Cider (04/04/2023)</v>
      </c>
      <c r="H11000" s="19"/>
    </row>
    <row r="11001">
      <c r="A11001" s="9"/>
      <c r="B11001" s="15"/>
      <c r="C11001" s="9">
        <f>IFERROR(__xludf.DUMMYFUNCTION("""COMPUTED_VALUE"""),45028.7311583912)</f>
        <v>45028.73116</v>
      </c>
      <c r="D11001" s="15">
        <f>IFERROR(__xludf.DUMMYFUNCTION("""COMPUTED_VALUE"""),1.065)</f>
        <v>1.065</v>
      </c>
      <c r="E11001" s="16">
        <f>IFERROR(__xludf.DUMMYFUNCTION("""COMPUTED_VALUE"""),66.0)</f>
        <v>66</v>
      </c>
      <c r="F11001" s="19" t="str">
        <f>IFERROR(__xludf.DUMMYFUNCTION("""COMPUTED_VALUE"""),"BLACK")</f>
        <v>BLACK</v>
      </c>
      <c r="G11001" s="20" t="str">
        <f>IFERROR(__xludf.DUMMYFUNCTION("""COMPUTED_VALUE"""),"Uncle Sams Cider (04/04/2023)")</f>
        <v>Uncle Sams Cider (04/04/2023)</v>
      </c>
      <c r="H11001" s="19"/>
    </row>
    <row r="11002">
      <c r="A11002" s="9"/>
      <c r="B11002" s="15"/>
      <c r="C11002" s="9">
        <f>IFERROR(__xludf.DUMMYFUNCTION("""COMPUTED_VALUE"""),45028.7207377546)</f>
        <v>45028.72074</v>
      </c>
      <c r="D11002" s="15">
        <f>IFERROR(__xludf.DUMMYFUNCTION("""COMPUTED_VALUE"""),1.065)</f>
        <v>1.065</v>
      </c>
      <c r="E11002" s="16">
        <f>IFERROR(__xludf.DUMMYFUNCTION("""COMPUTED_VALUE"""),66.0)</f>
        <v>66</v>
      </c>
      <c r="F11002" s="19" t="str">
        <f>IFERROR(__xludf.DUMMYFUNCTION("""COMPUTED_VALUE"""),"BLACK")</f>
        <v>BLACK</v>
      </c>
      <c r="G11002" s="20" t="str">
        <f>IFERROR(__xludf.DUMMYFUNCTION("""COMPUTED_VALUE"""),"Uncle Sams Cider (04/04/2023)")</f>
        <v>Uncle Sams Cider (04/04/2023)</v>
      </c>
      <c r="H11002" s="19"/>
    </row>
    <row r="11003">
      <c r="A11003" s="9"/>
      <c r="B11003" s="15"/>
      <c r="C11003" s="9">
        <f>IFERROR(__xludf.DUMMYFUNCTION("""COMPUTED_VALUE"""),45028.7103169213)</f>
        <v>45028.71032</v>
      </c>
      <c r="D11003" s="15">
        <f>IFERROR(__xludf.DUMMYFUNCTION("""COMPUTED_VALUE"""),1.065)</f>
        <v>1.065</v>
      </c>
      <c r="E11003" s="16">
        <f>IFERROR(__xludf.DUMMYFUNCTION("""COMPUTED_VALUE"""),66.0)</f>
        <v>66</v>
      </c>
      <c r="F11003" s="19" t="str">
        <f>IFERROR(__xludf.DUMMYFUNCTION("""COMPUTED_VALUE"""),"BLACK")</f>
        <v>BLACK</v>
      </c>
      <c r="G11003" s="20" t="str">
        <f>IFERROR(__xludf.DUMMYFUNCTION("""COMPUTED_VALUE"""),"Uncle Sams Cider (04/04/2023)")</f>
        <v>Uncle Sams Cider (04/04/2023)</v>
      </c>
      <c r="H11003" s="19"/>
    </row>
    <row r="11004">
      <c r="A11004" s="9"/>
      <c r="B11004" s="15"/>
      <c r="C11004" s="9">
        <f>IFERROR(__xludf.DUMMYFUNCTION("""COMPUTED_VALUE"""),45028.6998964467)</f>
        <v>45028.6999</v>
      </c>
      <c r="D11004" s="15">
        <f>IFERROR(__xludf.DUMMYFUNCTION("""COMPUTED_VALUE"""),1.065)</f>
        <v>1.065</v>
      </c>
      <c r="E11004" s="16">
        <f>IFERROR(__xludf.DUMMYFUNCTION("""COMPUTED_VALUE"""),66.0)</f>
        <v>66</v>
      </c>
      <c r="F11004" s="19" t="str">
        <f>IFERROR(__xludf.DUMMYFUNCTION("""COMPUTED_VALUE"""),"BLACK")</f>
        <v>BLACK</v>
      </c>
      <c r="G11004" s="20" t="str">
        <f>IFERROR(__xludf.DUMMYFUNCTION("""COMPUTED_VALUE"""),"Uncle Sams Cider (04/04/2023)")</f>
        <v>Uncle Sams Cider (04/04/2023)</v>
      </c>
      <c r="H11004" s="19"/>
    </row>
    <row r="11005">
      <c r="A11005" s="9"/>
      <c r="B11005" s="15"/>
      <c r="C11005" s="9">
        <f>IFERROR(__xludf.DUMMYFUNCTION("""COMPUTED_VALUE"""),45028.6894514236)</f>
        <v>45028.68945</v>
      </c>
      <c r="D11005" s="15">
        <f>IFERROR(__xludf.DUMMYFUNCTION("""COMPUTED_VALUE"""),1.065)</f>
        <v>1.065</v>
      </c>
      <c r="E11005" s="16">
        <f>IFERROR(__xludf.DUMMYFUNCTION("""COMPUTED_VALUE"""),66.0)</f>
        <v>66</v>
      </c>
      <c r="F11005" s="19" t="str">
        <f>IFERROR(__xludf.DUMMYFUNCTION("""COMPUTED_VALUE"""),"BLACK")</f>
        <v>BLACK</v>
      </c>
      <c r="G11005" s="20" t="str">
        <f>IFERROR(__xludf.DUMMYFUNCTION("""COMPUTED_VALUE"""),"Uncle Sams Cider (04/04/2023)")</f>
        <v>Uncle Sams Cider (04/04/2023)</v>
      </c>
      <c r="H11005" s="19"/>
    </row>
    <row r="11006">
      <c r="A11006" s="9"/>
      <c r="B11006" s="15"/>
      <c r="C11006" s="9">
        <f>IFERROR(__xludf.DUMMYFUNCTION("""COMPUTED_VALUE"""),45028.6790311689)</f>
        <v>45028.67903</v>
      </c>
      <c r="D11006" s="15">
        <f>IFERROR(__xludf.DUMMYFUNCTION("""COMPUTED_VALUE"""),1.065)</f>
        <v>1.065</v>
      </c>
      <c r="E11006" s="16">
        <f>IFERROR(__xludf.DUMMYFUNCTION("""COMPUTED_VALUE"""),66.0)</f>
        <v>66</v>
      </c>
      <c r="F11006" s="19" t="str">
        <f>IFERROR(__xludf.DUMMYFUNCTION("""COMPUTED_VALUE"""),"BLACK")</f>
        <v>BLACK</v>
      </c>
      <c r="G11006" s="20" t="str">
        <f>IFERROR(__xludf.DUMMYFUNCTION("""COMPUTED_VALUE"""),"Uncle Sams Cider (04/04/2023)")</f>
        <v>Uncle Sams Cider (04/04/2023)</v>
      </c>
      <c r="H11006" s="19"/>
    </row>
    <row r="11007">
      <c r="A11007" s="9"/>
      <c r="B11007" s="15"/>
      <c r="C11007" s="9">
        <f>IFERROR(__xludf.DUMMYFUNCTION("""COMPUTED_VALUE"""),45028.6686075578)</f>
        <v>45028.66861</v>
      </c>
      <c r="D11007" s="15">
        <f>IFERROR(__xludf.DUMMYFUNCTION("""COMPUTED_VALUE"""),1.065)</f>
        <v>1.065</v>
      </c>
      <c r="E11007" s="16">
        <f>IFERROR(__xludf.DUMMYFUNCTION("""COMPUTED_VALUE"""),66.0)</f>
        <v>66</v>
      </c>
      <c r="F11007" s="19" t="str">
        <f>IFERROR(__xludf.DUMMYFUNCTION("""COMPUTED_VALUE"""),"BLACK")</f>
        <v>BLACK</v>
      </c>
      <c r="G11007" s="20" t="str">
        <f>IFERROR(__xludf.DUMMYFUNCTION("""COMPUTED_VALUE"""),"Uncle Sams Cider (04/04/2023)")</f>
        <v>Uncle Sams Cider (04/04/2023)</v>
      </c>
      <c r="H11007" s="19"/>
    </row>
    <row r="11008">
      <c r="A11008" s="9"/>
      <c r="B11008" s="15"/>
      <c r="C11008" s="9">
        <f>IFERROR(__xludf.DUMMYFUNCTION("""COMPUTED_VALUE"""),45028.6581879513)</f>
        <v>45028.65819</v>
      </c>
      <c r="D11008" s="15">
        <f>IFERROR(__xludf.DUMMYFUNCTION("""COMPUTED_VALUE"""),1.065)</f>
        <v>1.065</v>
      </c>
      <c r="E11008" s="16">
        <f>IFERROR(__xludf.DUMMYFUNCTION("""COMPUTED_VALUE"""),66.0)</f>
        <v>66</v>
      </c>
      <c r="F11008" s="19" t="str">
        <f>IFERROR(__xludf.DUMMYFUNCTION("""COMPUTED_VALUE"""),"BLACK")</f>
        <v>BLACK</v>
      </c>
      <c r="G11008" s="20" t="str">
        <f>IFERROR(__xludf.DUMMYFUNCTION("""COMPUTED_VALUE"""),"Uncle Sams Cider (04/04/2023)")</f>
        <v>Uncle Sams Cider (04/04/2023)</v>
      </c>
      <c r="H11008" s="19"/>
    </row>
    <row r="11009">
      <c r="A11009" s="9"/>
      <c r="B11009" s="15"/>
      <c r="C11009" s="9">
        <f>IFERROR(__xludf.DUMMYFUNCTION("""COMPUTED_VALUE"""),45028.6477661574)</f>
        <v>45028.64777</v>
      </c>
      <c r="D11009" s="15">
        <f>IFERROR(__xludf.DUMMYFUNCTION("""COMPUTED_VALUE"""),1.065)</f>
        <v>1.065</v>
      </c>
      <c r="E11009" s="16">
        <f>IFERROR(__xludf.DUMMYFUNCTION("""COMPUTED_VALUE"""),66.0)</f>
        <v>66</v>
      </c>
      <c r="F11009" s="19" t="str">
        <f>IFERROR(__xludf.DUMMYFUNCTION("""COMPUTED_VALUE"""),"BLACK")</f>
        <v>BLACK</v>
      </c>
      <c r="G11009" s="20" t="str">
        <f>IFERROR(__xludf.DUMMYFUNCTION("""COMPUTED_VALUE"""),"Uncle Sams Cider (04/04/2023)")</f>
        <v>Uncle Sams Cider (04/04/2023)</v>
      </c>
      <c r="H11009" s="19"/>
    </row>
    <row r="11010">
      <c r="A11010" s="9"/>
      <c r="B11010" s="15"/>
      <c r="C11010" s="9">
        <f>IFERROR(__xludf.DUMMYFUNCTION("""COMPUTED_VALUE"""),45028.6373325694)</f>
        <v>45028.63733</v>
      </c>
      <c r="D11010" s="15">
        <f>IFERROR(__xludf.DUMMYFUNCTION("""COMPUTED_VALUE"""),1.065)</f>
        <v>1.065</v>
      </c>
      <c r="E11010" s="16">
        <f>IFERROR(__xludf.DUMMYFUNCTION("""COMPUTED_VALUE"""),66.0)</f>
        <v>66</v>
      </c>
      <c r="F11010" s="19" t="str">
        <f>IFERROR(__xludf.DUMMYFUNCTION("""COMPUTED_VALUE"""),"BLACK")</f>
        <v>BLACK</v>
      </c>
      <c r="G11010" s="20" t="str">
        <f>IFERROR(__xludf.DUMMYFUNCTION("""COMPUTED_VALUE"""),"Uncle Sams Cider (04/04/2023)")</f>
        <v>Uncle Sams Cider (04/04/2023)</v>
      </c>
      <c r="H11010" s="19"/>
    </row>
    <row r="11011">
      <c r="A11011" s="9"/>
      <c r="B11011" s="15"/>
      <c r="C11011" s="9">
        <f>IFERROR(__xludf.DUMMYFUNCTION("""COMPUTED_VALUE"""),45028.6269116898)</f>
        <v>45028.62691</v>
      </c>
      <c r="D11011" s="15">
        <f>IFERROR(__xludf.DUMMYFUNCTION("""COMPUTED_VALUE"""),1.065)</f>
        <v>1.065</v>
      </c>
      <c r="E11011" s="16">
        <f>IFERROR(__xludf.DUMMYFUNCTION("""COMPUTED_VALUE"""),66.0)</f>
        <v>66</v>
      </c>
      <c r="F11011" s="19" t="str">
        <f>IFERROR(__xludf.DUMMYFUNCTION("""COMPUTED_VALUE"""),"BLACK")</f>
        <v>BLACK</v>
      </c>
      <c r="G11011" s="20" t="str">
        <f>IFERROR(__xludf.DUMMYFUNCTION("""COMPUTED_VALUE"""),"Uncle Sams Cider (04/04/2023)")</f>
        <v>Uncle Sams Cider (04/04/2023)</v>
      </c>
      <c r="H11011" s="19"/>
    </row>
    <row r="11012">
      <c r="A11012" s="9"/>
      <c r="B11012" s="15"/>
      <c r="C11012" s="9">
        <f>IFERROR(__xludf.DUMMYFUNCTION("""COMPUTED_VALUE"""),45028.6164903472)</f>
        <v>45028.61649</v>
      </c>
      <c r="D11012" s="15">
        <f>IFERROR(__xludf.DUMMYFUNCTION("""COMPUTED_VALUE"""),1.065)</f>
        <v>1.065</v>
      </c>
      <c r="E11012" s="16">
        <f>IFERROR(__xludf.DUMMYFUNCTION("""COMPUTED_VALUE"""),66.0)</f>
        <v>66</v>
      </c>
      <c r="F11012" s="19" t="str">
        <f>IFERROR(__xludf.DUMMYFUNCTION("""COMPUTED_VALUE"""),"BLACK")</f>
        <v>BLACK</v>
      </c>
      <c r="G11012" s="20" t="str">
        <f>IFERROR(__xludf.DUMMYFUNCTION("""COMPUTED_VALUE"""),"Uncle Sams Cider (04/04/2023)")</f>
        <v>Uncle Sams Cider (04/04/2023)</v>
      </c>
      <c r="H11012" s="19"/>
    </row>
    <row r="11013">
      <c r="A11013" s="9"/>
      <c r="B11013" s="15"/>
      <c r="C11013" s="9">
        <f>IFERROR(__xludf.DUMMYFUNCTION("""COMPUTED_VALUE"""),45028.6060596412)</f>
        <v>45028.60606</v>
      </c>
      <c r="D11013" s="15">
        <f>IFERROR(__xludf.DUMMYFUNCTION("""COMPUTED_VALUE"""),1.065)</f>
        <v>1.065</v>
      </c>
      <c r="E11013" s="16">
        <f>IFERROR(__xludf.DUMMYFUNCTION("""COMPUTED_VALUE"""),66.0)</f>
        <v>66</v>
      </c>
      <c r="F11013" s="19" t="str">
        <f>IFERROR(__xludf.DUMMYFUNCTION("""COMPUTED_VALUE"""),"BLACK")</f>
        <v>BLACK</v>
      </c>
      <c r="G11013" s="20" t="str">
        <f>IFERROR(__xludf.DUMMYFUNCTION("""COMPUTED_VALUE"""),"Uncle Sams Cider (04/04/2023)")</f>
        <v>Uncle Sams Cider (04/04/2023)</v>
      </c>
      <c r="H11013" s="19"/>
    </row>
    <row r="11014">
      <c r="A11014" s="9"/>
      <c r="B11014" s="15"/>
      <c r="C11014" s="9">
        <f>IFERROR(__xludf.DUMMYFUNCTION("""COMPUTED_VALUE"""),45028.595636956)</f>
        <v>45028.59564</v>
      </c>
      <c r="D11014" s="15">
        <f>IFERROR(__xludf.DUMMYFUNCTION("""COMPUTED_VALUE"""),1.065)</f>
        <v>1.065</v>
      </c>
      <c r="E11014" s="16">
        <f>IFERROR(__xludf.DUMMYFUNCTION("""COMPUTED_VALUE"""),66.0)</f>
        <v>66</v>
      </c>
      <c r="F11014" s="19" t="str">
        <f>IFERROR(__xludf.DUMMYFUNCTION("""COMPUTED_VALUE"""),"BLACK")</f>
        <v>BLACK</v>
      </c>
      <c r="G11014" s="20" t="str">
        <f>IFERROR(__xludf.DUMMYFUNCTION("""COMPUTED_VALUE"""),"Uncle Sams Cider (04/04/2023)")</f>
        <v>Uncle Sams Cider (04/04/2023)</v>
      </c>
      <c r="H11014" s="19"/>
    </row>
    <row r="11015">
      <c r="A11015" s="9"/>
      <c r="B11015" s="15"/>
      <c r="C11015" s="9">
        <f>IFERROR(__xludf.DUMMYFUNCTION("""COMPUTED_VALUE"""),45028.5852158912)</f>
        <v>45028.58522</v>
      </c>
      <c r="D11015" s="15">
        <f>IFERROR(__xludf.DUMMYFUNCTION("""COMPUTED_VALUE"""),1.065)</f>
        <v>1.065</v>
      </c>
      <c r="E11015" s="16">
        <f>IFERROR(__xludf.DUMMYFUNCTION("""COMPUTED_VALUE"""),66.0)</f>
        <v>66</v>
      </c>
      <c r="F11015" s="19" t="str">
        <f>IFERROR(__xludf.DUMMYFUNCTION("""COMPUTED_VALUE"""),"BLACK")</f>
        <v>BLACK</v>
      </c>
      <c r="G11015" s="20" t="str">
        <f>IFERROR(__xludf.DUMMYFUNCTION("""COMPUTED_VALUE"""),"Uncle Sams Cider (04/04/2023)")</f>
        <v>Uncle Sams Cider (04/04/2023)</v>
      </c>
      <c r="H11015" s="19"/>
    </row>
    <row r="11016">
      <c r="A11016" s="9"/>
      <c r="B11016" s="15"/>
      <c r="C11016" s="9">
        <f>IFERROR(__xludf.DUMMYFUNCTION("""COMPUTED_VALUE"""),45028.5747836226)</f>
        <v>45028.57478</v>
      </c>
      <c r="D11016" s="15">
        <f>IFERROR(__xludf.DUMMYFUNCTION("""COMPUTED_VALUE"""),1.065)</f>
        <v>1.065</v>
      </c>
      <c r="E11016" s="16">
        <f>IFERROR(__xludf.DUMMYFUNCTION("""COMPUTED_VALUE"""),66.0)</f>
        <v>66</v>
      </c>
      <c r="F11016" s="19" t="str">
        <f>IFERROR(__xludf.DUMMYFUNCTION("""COMPUTED_VALUE"""),"BLACK")</f>
        <v>BLACK</v>
      </c>
      <c r="G11016" s="20" t="str">
        <f>IFERROR(__xludf.DUMMYFUNCTION("""COMPUTED_VALUE"""),"Uncle Sams Cider (04/04/2023)")</f>
        <v>Uncle Sams Cider (04/04/2023)</v>
      </c>
      <c r="H11016" s="19"/>
    </row>
    <row r="11017">
      <c r="A11017" s="9"/>
      <c r="B11017" s="15"/>
      <c r="C11017" s="9">
        <f>IFERROR(__xludf.DUMMYFUNCTION("""COMPUTED_VALUE"""),45028.5643634027)</f>
        <v>45028.56436</v>
      </c>
      <c r="D11017" s="15">
        <f>IFERROR(__xludf.DUMMYFUNCTION("""COMPUTED_VALUE"""),1.065)</f>
        <v>1.065</v>
      </c>
      <c r="E11017" s="16">
        <f>IFERROR(__xludf.DUMMYFUNCTION("""COMPUTED_VALUE"""),66.0)</f>
        <v>66</v>
      </c>
      <c r="F11017" s="19" t="str">
        <f>IFERROR(__xludf.DUMMYFUNCTION("""COMPUTED_VALUE"""),"BLACK")</f>
        <v>BLACK</v>
      </c>
      <c r="G11017" s="20" t="str">
        <f>IFERROR(__xludf.DUMMYFUNCTION("""COMPUTED_VALUE"""),"Uncle Sams Cider (04/04/2023)")</f>
        <v>Uncle Sams Cider (04/04/2023)</v>
      </c>
      <c r="H11017" s="19"/>
    </row>
    <row r="11018">
      <c r="A11018" s="9"/>
      <c r="B11018" s="15"/>
      <c r="C11018" s="9">
        <f>IFERROR(__xludf.DUMMYFUNCTION("""COMPUTED_VALUE"""),45028.5539426157)</f>
        <v>45028.55394</v>
      </c>
      <c r="D11018" s="15">
        <f>IFERROR(__xludf.DUMMYFUNCTION("""COMPUTED_VALUE"""),1.066)</f>
        <v>1.066</v>
      </c>
      <c r="E11018" s="16">
        <f>IFERROR(__xludf.DUMMYFUNCTION("""COMPUTED_VALUE"""),66.0)</f>
        <v>66</v>
      </c>
      <c r="F11018" s="19" t="str">
        <f>IFERROR(__xludf.DUMMYFUNCTION("""COMPUTED_VALUE"""),"BLACK")</f>
        <v>BLACK</v>
      </c>
      <c r="G11018" s="20" t="str">
        <f>IFERROR(__xludf.DUMMYFUNCTION("""COMPUTED_VALUE"""),"Uncle Sams Cider (04/04/2023)")</f>
        <v>Uncle Sams Cider (04/04/2023)</v>
      </c>
      <c r="H11018" s="19"/>
    </row>
    <row r="11019">
      <c r="A11019" s="9"/>
      <c r="B11019" s="15"/>
      <c r="C11019" s="9">
        <f>IFERROR(__xludf.DUMMYFUNCTION("""COMPUTED_VALUE"""),45028.5434877199)</f>
        <v>45028.54349</v>
      </c>
      <c r="D11019" s="15">
        <f>IFERROR(__xludf.DUMMYFUNCTION("""COMPUTED_VALUE"""),1.066)</f>
        <v>1.066</v>
      </c>
      <c r="E11019" s="16">
        <f>IFERROR(__xludf.DUMMYFUNCTION("""COMPUTED_VALUE"""),66.0)</f>
        <v>66</v>
      </c>
      <c r="F11019" s="19" t="str">
        <f>IFERROR(__xludf.DUMMYFUNCTION("""COMPUTED_VALUE"""),"BLACK")</f>
        <v>BLACK</v>
      </c>
      <c r="G11019" s="20" t="str">
        <f>IFERROR(__xludf.DUMMYFUNCTION("""COMPUTED_VALUE"""),"Uncle Sams Cider (04/04/2023)")</f>
        <v>Uncle Sams Cider (04/04/2023)</v>
      </c>
      <c r="H11019" s="19"/>
    </row>
    <row r="11020">
      <c r="A11020" s="9"/>
      <c r="B11020" s="15"/>
      <c r="C11020" s="9">
        <f>IFERROR(__xludf.DUMMYFUNCTION("""COMPUTED_VALUE"""),45028.5330558101)</f>
        <v>45028.53306</v>
      </c>
      <c r="D11020" s="15">
        <f>IFERROR(__xludf.DUMMYFUNCTION("""COMPUTED_VALUE"""),1.065)</f>
        <v>1.065</v>
      </c>
      <c r="E11020" s="16">
        <f>IFERROR(__xludf.DUMMYFUNCTION("""COMPUTED_VALUE"""),66.0)</f>
        <v>66</v>
      </c>
      <c r="F11020" s="19" t="str">
        <f>IFERROR(__xludf.DUMMYFUNCTION("""COMPUTED_VALUE"""),"BLACK")</f>
        <v>BLACK</v>
      </c>
      <c r="G11020" s="20" t="str">
        <f>IFERROR(__xludf.DUMMYFUNCTION("""COMPUTED_VALUE"""),"Uncle Sams Cider (04/04/2023)")</f>
        <v>Uncle Sams Cider (04/04/2023)</v>
      </c>
      <c r="H11020" s="19"/>
    </row>
    <row r="11021">
      <c r="A11021" s="9"/>
      <c r="B11021" s="15"/>
      <c r="C11021" s="9">
        <f>IFERROR(__xludf.DUMMYFUNCTION("""COMPUTED_VALUE"""),45028.522631412)</f>
        <v>45028.52263</v>
      </c>
      <c r="D11021" s="15">
        <f>IFERROR(__xludf.DUMMYFUNCTION("""COMPUTED_VALUE"""),1.066)</f>
        <v>1.066</v>
      </c>
      <c r="E11021" s="16">
        <f>IFERROR(__xludf.DUMMYFUNCTION("""COMPUTED_VALUE"""),66.0)</f>
        <v>66</v>
      </c>
      <c r="F11021" s="19" t="str">
        <f>IFERROR(__xludf.DUMMYFUNCTION("""COMPUTED_VALUE"""),"BLACK")</f>
        <v>BLACK</v>
      </c>
      <c r="G11021" s="20" t="str">
        <f>IFERROR(__xludf.DUMMYFUNCTION("""COMPUTED_VALUE"""),"Uncle Sams Cider (04/04/2023)")</f>
        <v>Uncle Sams Cider (04/04/2023)</v>
      </c>
      <c r="H11021" s="19"/>
    </row>
    <row r="11022">
      <c r="A11022" s="9"/>
      <c r="B11022" s="15"/>
      <c r="C11022" s="9">
        <f>IFERROR(__xludf.DUMMYFUNCTION("""COMPUTED_VALUE"""),45028.5121983101)</f>
        <v>45028.5122</v>
      </c>
      <c r="D11022" s="15">
        <f>IFERROR(__xludf.DUMMYFUNCTION("""COMPUTED_VALUE"""),1.066)</f>
        <v>1.066</v>
      </c>
      <c r="E11022" s="16">
        <f>IFERROR(__xludf.DUMMYFUNCTION("""COMPUTED_VALUE"""),66.0)</f>
        <v>66</v>
      </c>
      <c r="F11022" s="19" t="str">
        <f>IFERROR(__xludf.DUMMYFUNCTION("""COMPUTED_VALUE"""),"BLACK")</f>
        <v>BLACK</v>
      </c>
      <c r="G11022" s="20" t="str">
        <f>IFERROR(__xludf.DUMMYFUNCTION("""COMPUTED_VALUE"""),"Uncle Sams Cider (04/04/2023)")</f>
        <v>Uncle Sams Cider (04/04/2023)</v>
      </c>
      <c r="H11022" s="19"/>
    </row>
    <row r="11023">
      <c r="A11023" s="9"/>
      <c r="B11023" s="15"/>
      <c r="C11023" s="9">
        <f>IFERROR(__xludf.DUMMYFUNCTION("""COMPUTED_VALUE"""),45028.5017793171)</f>
        <v>45028.50178</v>
      </c>
      <c r="D11023" s="15">
        <f>IFERROR(__xludf.DUMMYFUNCTION("""COMPUTED_VALUE"""),1.066)</f>
        <v>1.066</v>
      </c>
      <c r="E11023" s="16">
        <f>IFERROR(__xludf.DUMMYFUNCTION("""COMPUTED_VALUE"""),66.0)</f>
        <v>66</v>
      </c>
      <c r="F11023" s="19" t="str">
        <f>IFERROR(__xludf.DUMMYFUNCTION("""COMPUTED_VALUE"""),"BLACK")</f>
        <v>BLACK</v>
      </c>
      <c r="G11023" s="20" t="str">
        <f>IFERROR(__xludf.DUMMYFUNCTION("""COMPUTED_VALUE"""),"Uncle Sams Cider (04/04/2023)")</f>
        <v>Uncle Sams Cider (04/04/2023)</v>
      </c>
      <c r="H11023" s="19"/>
    </row>
    <row r="11024">
      <c r="A11024" s="9"/>
      <c r="B11024" s="15"/>
      <c r="C11024" s="9">
        <f>IFERROR(__xludf.DUMMYFUNCTION("""COMPUTED_VALUE"""),45028.4913370601)</f>
        <v>45028.49134</v>
      </c>
      <c r="D11024" s="15">
        <f>IFERROR(__xludf.DUMMYFUNCTION("""COMPUTED_VALUE"""),1.066)</f>
        <v>1.066</v>
      </c>
      <c r="E11024" s="16">
        <f>IFERROR(__xludf.DUMMYFUNCTION("""COMPUTED_VALUE"""),66.0)</f>
        <v>66</v>
      </c>
      <c r="F11024" s="19" t="str">
        <f>IFERROR(__xludf.DUMMYFUNCTION("""COMPUTED_VALUE"""),"BLACK")</f>
        <v>BLACK</v>
      </c>
      <c r="G11024" s="20" t="str">
        <f>IFERROR(__xludf.DUMMYFUNCTION("""COMPUTED_VALUE"""),"Uncle Sams Cider (04/04/2023)")</f>
        <v>Uncle Sams Cider (04/04/2023)</v>
      </c>
      <c r="H11024" s="19"/>
    </row>
    <row r="11025">
      <c r="A11025" s="9"/>
      <c r="B11025" s="15"/>
      <c r="C11025" s="9">
        <f>IFERROR(__xludf.DUMMYFUNCTION("""COMPUTED_VALUE"""),45028.4809045601)</f>
        <v>45028.4809</v>
      </c>
      <c r="D11025" s="15">
        <f>IFERROR(__xludf.DUMMYFUNCTION("""COMPUTED_VALUE"""),1.066)</f>
        <v>1.066</v>
      </c>
      <c r="E11025" s="16">
        <f>IFERROR(__xludf.DUMMYFUNCTION("""COMPUTED_VALUE"""),66.0)</f>
        <v>66</v>
      </c>
      <c r="F11025" s="19" t="str">
        <f>IFERROR(__xludf.DUMMYFUNCTION("""COMPUTED_VALUE"""),"BLACK")</f>
        <v>BLACK</v>
      </c>
      <c r="G11025" s="20" t="str">
        <f>IFERROR(__xludf.DUMMYFUNCTION("""COMPUTED_VALUE"""),"Uncle Sams Cider (04/04/2023)")</f>
        <v>Uncle Sams Cider (04/04/2023)</v>
      </c>
      <c r="H11025" s="19"/>
    </row>
    <row r="11026">
      <c r="A11026" s="9"/>
      <c r="B11026" s="15"/>
      <c r="C11026" s="9">
        <f>IFERROR(__xludf.DUMMYFUNCTION("""COMPUTED_VALUE"""),45028.4704829976)</f>
        <v>45028.47048</v>
      </c>
      <c r="D11026" s="15">
        <f>IFERROR(__xludf.DUMMYFUNCTION("""COMPUTED_VALUE"""),1.066)</f>
        <v>1.066</v>
      </c>
      <c r="E11026" s="16">
        <f>IFERROR(__xludf.DUMMYFUNCTION("""COMPUTED_VALUE"""),66.0)</f>
        <v>66</v>
      </c>
      <c r="F11026" s="19" t="str">
        <f>IFERROR(__xludf.DUMMYFUNCTION("""COMPUTED_VALUE"""),"BLACK")</f>
        <v>BLACK</v>
      </c>
      <c r="G11026" s="20" t="str">
        <f>IFERROR(__xludf.DUMMYFUNCTION("""COMPUTED_VALUE"""),"Uncle Sams Cider (04/04/2023)")</f>
        <v>Uncle Sams Cider (04/04/2023)</v>
      </c>
      <c r="H11026" s="19"/>
    </row>
    <row r="11027">
      <c r="A11027" s="9"/>
      <c r="B11027" s="15"/>
      <c r="C11027" s="9">
        <f>IFERROR(__xludf.DUMMYFUNCTION("""COMPUTED_VALUE"""),45028.4600611689)</f>
        <v>45028.46006</v>
      </c>
      <c r="D11027" s="15">
        <f>IFERROR(__xludf.DUMMYFUNCTION("""COMPUTED_VALUE"""),1.066)</f>
        <v>1.066</v>
      </c>
      <c r="E11027" s="16">
        <f>IFERROR(__xludf.DUMMYFUNCTION("""COMPUTED_VALUE"""),66.0)</f>
        <v>66</v>
      </c>
      <c r="F11027" s="19" t="str">
        <f>IFERROR(__xludf.DUMMYFUNCTION("""COMPUTED_VALUE"""),"BLACK")</f>
        <v>BLACK</v>
      </c>
      <c r="G11027" s="20" t="str">
        <f>IFERROR(__xludf.DUMMYFUNCTION("""COMPUTED_VALUE"""),"Uncle Sams Cider (04/04/2023)")</f>
        <v>Uncle Sams Cider (04/04/2023)</v>
      </c>
      <c r="H11027" s="19"/>
    </row>
    <row r="11028">
      <c r="A11028" s="9"/>
      <c r="B11028" s="15"/>
      <c r="C11028" s="9">
        <f>IFERROR(__xludf.DUMMYFUNCTION("""COMPUTED_VALUE"""),45028.4496416319)</f>
        <v>45028.44964</v>
      </c>
      <c r="D11028" s="15">
        <f>IFERROR(__xludf.DUMMYFUNCTION("""COMPUTED_VALUE"""),1.066)</f>
        <v>1.066</v>
      </c>
      <c r="E11028" s="16">
        <f>IFERROR(__xludf.DUMMYFUNCTION("""COMPUTED_VALUE"""),66.0)</f>
        <v>66</v>
      </c>
      <c r="F11028" s="19" t="str">
        <f>IFERROR(__xludf.DUMMYFUNCTION("""COMPUTED_VALUE"""),"BLACK")</f>
        <v>BLACK</v>
      </c>
      <c r="G11028" s="20" t="str">
        <f>IFERROR(__xludf.DUMMYFUNCTION("""COMPUTED_VALUE"""),"Uncle Sams Cider (04/04/2023)")</f>
        <v>Uncle Sams Cider (04/04/2023)</v>
      </c>
      <c r="H11028" s="19"/>
    </row>
    <row r="11029">
      <c r="A11029" s="9"/>
      <c r="B11029" s="15"/>
      <c r="C11029" s="9">
        <f>IFERROR(__xludf.DUMMYFUNCTION("""COMPUTED_VALUE"""),45028.4392069444)</f>
        <v>45028.43921</v>
      </c>
      <c r="D11029" s="15">
        <f>IFERROR(__xludf.DUMMYFUNCTION("""COMPUTED_VALUE"""),1.066)</f>
        <v>1.066</v>
      </c>
      <c r="E11029" s="16">
        <f>IFERROR(__xludf.DUMMYFUNCTION("""COMPUTED_VALUE"""),66.0)</f>
        <v>66</v>
      </c>
      <c r="F11029" s="19" t="str">
        <f>IFERROR(__xludf.DUMMYFUNCTION("""COMPUTED_VALUE"""),"BLACK")</f>
        <v>BLACK</v>
      </c>
      <c r="G11029" s="20" t="str">
        <f>IFERROR(__xludf.DUMMYFUNCTION("""COMPUTED_VALUE"""),"Uncle Sams Cider (04/04/2023)")</f>
        <v>Uncle Sams Cider (04/04/2023)</v>
      </c>
      <c r="H11029" s="19"/>
    </row>
    <row r="11030">
      <c r="A11030" s="9"/>
      <c r="B11030" s="15"/>
      <c r="C11030" s="9">
        <f>IFERROR(__xludf.DUMMYFUNCTION("""COMPUTED_VALUE"""),45028.4287845949)</f>
        <v>45028.42878</v>
      </c>
      <c r="D11030" s="15">
        <f>IFERROR(__xludf.DUMMYFUNCTION("""COMPUTED_VALUE"""),1.066)</f>
        <v>1.066</v>
      </c>
      <c r="E11030" s="16">
        <f>IFERROR(__xludf.DUMMYFUNCTION("""COMPUTED_VALUE"""),66.0)</f>
        <v>66</v>
      </c>
      <c r="F11030" s="19" t="str">
        <f>IFERROR(__xludf.DUMMYFUNCTION("""COMPUTED_VALUE"""),"BLACK")</f>
        <v>BLACK</v>
      </c>
      <c r="G11030" s="20" t="str">
        <f>IFERROR(__xludf.DUMMYFUNCTION("""COMPUTED_VALUE"""),"Uncle Sams Cider (04/04/2023)")</f>
        <v>Uncle Sams Cider (04/04/2023)</v>
      </c>
      <c r="H11030" s="19"/>
    </row>
    <row r="11031">
      <c r="A11031" s="9"/>
      <c r="B11031" s="15"/>
      <c r="C11031" s="9">
        <f>IFERROR(__xludf.DUMMYFUNCTION("""COMPUTED_VALUE"""),45028.4183645601)</f>
        <v>45028.41836</v>
      </c>
      <c r="D11031" s="15">
        <f>IFERROR(__xludf.DUMMYFUNCTION("""COMPUTED_VALUE"""),1.066)</f>
        <v>1.066</v>
      </c>
      <c r="E11031" s="16">
        <f>IFERROR(__xludf.DUMMYFUNCTION("""COMPUTED_VALUE"""),66.0)</f>
        <v>66</v>
      </c>
      <c r="F11031" s="19" t="str">
        <f>IFERROR(__xludf.DUMMYFUNCTION("""COMPUTED_VALUE"""),"BLACK")</f>
        <v>BLACK</v>
      </c>
      <c r="G11031" s="20" t="str">
        <f>IFERROR(__xludf.DUMMYFUNCTION("""COMPUTED_VALUE"""),"Uncle Sams Cider (04/04/2023)")</f>
        <v>Uncle Sams Cider (04/04/2023)</v>
      </c>
      <c r="H11031" s="19"/>
    </row>
    <row r="11032">
      <c r="A11032" s="9"/>
      <c r="B11032" s="15"/>
      <c r="C11032" s="9">
        <f>IFERROR(__xludf.DUMMYFUNCTION("""COMPUTED_VALUE"""),45028.4079429051)</f>
        <v>45028.40794</v>
      </c>
      <c r="D11032" s="15">
        <f>IFERROR(__xludf.DUMMYFUNCTION("""COMPUTED_VALUE"""),1.066)</f>
        <v>1.066</v>
      </c>
      <c r="E11032" s="16">
        <f>IFERROR(__xludf.DUMMYFUNCTION("""COMPUTED_VALUE"""),66.0)</f>
        <v>66</v>
      </c>
      <c r="F11032" s="19" t="str">
        <f>IFERROR(__xludf.DUMMYFUNCTION("""COMPUTED_VALUE"""),"BLACK")</f>
        <v>BLACK</v>
      </c>
      <c r="G11032" s="20" t="str">
        <f>IFERROR(__xludf.DUMMYFUNCTION("""COMPUTED_VALUE"""),"Uncle Sams Cider (04/04/2023)")</f>
        <v>Uncle Sams Cider (04/04/2023)</v>
      </c>
      <c r="H11032" s="19"/>
    </row>
    <row r="11033">
      <c r="A11033" s="9"/>
      <c r="B11033" s="15"/>
      <c r="C11033" s="9">
        <f>IFERROR(__xludf.DUMMYFUNCTION("""COMPUTED_VALUE"""),45028.3975104629)</f>
        <v>45028.39751</v>
      </c>
      <c r="D11033" s="15">
        <f>IFERROR(__xludf.DUMMYFUNCTION("""COMPUTED_VALUE"""),1.066)</f>
        <v>1.066</v>
      </c>
      <c r="E11033" s="16">
        <f>IFERROR(__xludf.DUMMYFUNCTION("""COMPUTED_VALUE"""),66.0)</f>
        <v>66</v>
      </c>
      <c r="F11033" s="19" t="str">
        <f>IFERROR(__xludf.DUMMYFUNCTION("""COMPUTED_VALUE"""),"BLACK")</f>
        <v>BLACK</v>
      </c>
      <c r="G11033" s="20" t="str">
        <f>IFERROR(__xludf.DUMMYFUNCTION("""COMPUTED_VALUE"""),"Uncle Sams Cider (04/04/2023)")</f>
        <v>Uncle Sams Cider (04/04/2023)</v>
      </c>
      <c r="H11033" s="19"/>
    </row>
    <row r="11034">
      <c r="A11034" s="9"/>
      <c r="B11034" s="15"/>
      <c r="C11034" s="9">
        <f>IFERROR(__xludf.DUMMYFUNCTION("""COMPUTED_VALUE"""),45028.3870897338)</f>
        <v>45028.38709</v>
      </c>
      <c r="D11034" s="15">
        <f>IFERROR(__xludf.DUMMYFUNCTION("""COMPUTED_VALUE"""),1.066)</f>
        <v>1.066</v>
      </c>
      <c r="E11034" s="16">
        <f>IFERROR(__xludf.DUMMYFUNCTION("""COMPUTED_VALUE"""),66.0)</f>
        <v>66</v>
      </c>
      <c r="F11034" s="19" t="str">
        <f>IFERROR(__xludf.DUMMYFUNCTION("""COMPUTED_VALUE"""),"BLACK")</f>
        <v>BLACK</v>
      </c>
      <c r="G11034" s="20" t="str">
        <f>IFERROR(__xludf.DUMMYFUNCTION("""COMPUTED_VALUE"""),"Uncle Sams Cider (04/04/2023)")</f>
        <v>Uncle Sams Cider (04/04/2023)</v>
      </c>
      <c r="H11034" s="19"/>
    </row>
    <row r="11035">
      <c r="A11035" s="9"/>
      <c r="B11035" s="15"/>
      <c r="C11035" s="9">
        <f>IFERROR(__xludf.DUMMYFUNCTION("""COMPUTED_VALUE"""),45028.3766703819)</f>
        <v>45028.37667</v>
      </c>
      <c r="D11035" s="15">
        <f>IFERROR(__xludf.DUMMYFUNCTION("""COMPUTED_VALUE"""),1.066)</f>
        <v>1.066</v>
      </c>
      <c r="E11035" s="16">
        <f>IFERROR(__xludf.DUMMYFUNCTION("""COMPUTED_VALUE"""),66.0)</f>
        <v>66</v>
      </c>
      <c r="F11035" s="19" t="str">
        <f>IFERROR(__xludf.DUMMYFUNCTION("""COMPUTED_VALUE"""),"BLACK")</f>
        <v>BLACK</v>
      </c>
      <c r="G11035" s="20" t="str">
        <f>IFERROR(__xludf.DUMMYFUNCTION("""COMPUTED_VALUE"""),"Uncle Sams Cider (04/04/2023)")</f>
        <v>Uncle Sams Cider (04/04/2023)</v>
      </c>
      <c r="H11035" s="19"/>
    </row>
    <row r="11036">
      <c r="A11036" s="9"/>
      <c r="B11036" s="15"/>
      <c r="C11036" s="9">
        <f>IFERROR(__xludf.DUMMYFUNCTION("""COMPUTED_VALUE"""),45028.3662476157)</f>
        <v>45028.36625</v>
      </c>
      <c r="D11036" s="15">
        <f>IFERROR(__xludf.DUMMYFUNCTION("""COMPUTED_VALUE"""),1.066)</f>
        <v>1.066</v>
      </c>
      <c r="E11036" s="16">
        <f>IFERROR(__xludf.DUMMYFUNCTION("""COMPUTED_VALUE"""),66.0)</f>
        <v>66</v>
      </c>
      <c r="F11036" s="19" t="str">
        <f>IFERROR(__xludf.DUMMYFUNCTION("""COMPUTED_VALUE"""),"BLACK")</f>
        <v>BLACK</v>
      </c>
      <c r="G11036" s="20" t="str">
        <f>IFERROR(__xludf.DUMMYFUNCTION("""COMPUTED_VALUE"""),"Uncle Sams Cider (04/04/2023)")</f>
        <v>Uncle Sams Cider (04/04/2023)</v>
      </c>
      <c r="H11036" s="19"/>
    </row>
    <row r="11037">
      <c r="A11037" s="9"/>
      <c r="B11037" s="15"/>
      <c r="C11037" s="9">
        <f>IFERROR(__xludf.DUMMYFUNCTION("""COMPUTED_VALUE"""),45028.3558163541)</f>
        <v>45028.35582</v>
      </c>
      <c r="D11037" s="15">
        <f>IFERROR(__xludf.DUMMYFUNCTION("""COMPUTED_VALUE"""),1.066)</f>
        <v>1.066</v>
      </c>
      <c r="E11037" s="16">
        <f>IFERROR(__xludf.DUMMYFUNCTION("""COMPUTED_VALUE"""),66.0)</f>
        <v>66</v>
      </c>
      <c r="F11037" s="19" t="str">
        <f>IFERROR(__xludf.DUMMYFUNCTION("""COMPUTED_VALUE"""),"BLACK")</f>
        <v>BLACK</v>
      </c>
      <c r="G11037" s="20" t="str">
        <f>IFERROR(__xludf.DUMMYFUNCTION("""COMPUTED_VALUE"""),"Uncle Sams Cider (04/04/2023)")</f>
        <v>Uncle Sams Cider (04/04/2023)</v>
      </c>
      <c r="H11037" s="19"/>
    </row>
    <row r="11038">
      <c r="A11038" s="9"/>
      <c r="B11038" s="15"/>
      <c r="C11038" s="9">
        <f>IFERROR(__xludf.DUMMYFUNCTION("""COMPUTED_VALUE"""),45028.3453822916)</f>
        <v>45028.34538</v>
      </c>
      <c r="D11038" s="15">
        <f>IFERROR(__xludf.DUMMYFUNCTION("""COMPUTED_VALUE"""),1.066)</f>
        <v>1.066</v>
      </c>
      <c r="E11038" s="16">
        <f>IFERROR(__xludf.DUMMYFUNCTION("""COMPUTED_VALUE"""),66.0)</f>
        <v>66</v>
      </c>
      <c r="F11038" s="19" t="str">
        <f>IFERROR(__xludf.DUMMYFUNCTION("""COMPUTED_VALUE"""),"BLACK")</f>
        <v>BLACK</v>
      </c>
      <c r="G11038" s="20" t="str">
        <f>IFERROR(__xludf.DUMMYFUNCTION("""COMPUTED_VALUE"""),"Uncle Sams Cider (04/04/2023)")</f>
        <v>Uncle Sams Cider (04/04/2023)</v>
      </c>
      <c r="H11038" s="19"/>
    </row>
    <row r="11039">
      <c r="A11039" s="9"/>
      <c r="B11039" s="15"/>
      <c r="C11039" s="9">
        <f>IFERROR(__xludf.DUMMYFUNCTION("""COMPUTED_VALUE"""),45028.3349373263)</f>
        <v>45028.33494</v>
      </c>
      <c r="D11039" s="15">
        <f>IFERROR(__xludf.DUMMYFUNCTION("""COMPUTED_VALUE"""),1.066)</f>
        <v>1.066</v>
      </c>
      <c r="E11039" s="16">
        <f>IFERROR(__xludf.DUMMYFUNCTION("""COMPUTED_VALUE"""),66.0)</f>
        <v>66</v>
      </c>
      <c r="F11039" s="19" t="str">
        <f>IFERROR(__xludf.DUMMYFUNCTION("""COMPUTED_VALUE"""),"BLACK")</f>
        <v>BLACK</v>
      </c>
      <c r="G11039" s="20" t="str">
        <f>IFERROR(__xludf.DUMMYFUNCTION("""COMPUTED_VALUE"""),"Uncle Sams Cider (04/04/2023)")</f>
        <v>Uncle Sams Cider (04/04/2023)</v>
      </c>
      <c r="H11039" s="19"/>
    </row>
    <row r="11040">
      <c r="A11040" s="9"/>
      <c r="B11040" s="15"/>
      <c r="C11040" s="9">
        <f>IFERROR(__xludf.DUMMYFUNCTION("""COMPUTED_VALUE"""),45028.32450478)</f>
        <v>45028.3245</v>
      </c>
      <c r="D11040" s="15">
        <f>IFERROR(__xludf.DUMMYFUNCTION("""COMPUTED_VALUE"""),1.066)</f>
        <v>1.066</v>
      </c>
      <c r="E11040" s="16">
        <f>IFERROR(__xludf.DUMMYFUNCTION("""COMPUTED_VALUE"""),66.0)</f>
        <v>66</v>
      </c>
      <c r="F11040" s="19" t="str">
        <f>IFERROR(__xludf.DUMMYFUNCTION("""COMPUTED_VALUE"""),"BLACK")</f>
        <v>BLACK</v>
      </c>
      <c r="G11040" s="20" t="str">
        <f>IFERROR(__xludf.DUMMYFUNCTION("""COMPUTED_VALUE"""),"Uncle Sams Cider (04/04/2023)")</f>
        <v>Uncle Sams Cider (04/04/2023)</v>
      </c>
      <c r="H11040" s="19"/>
    </row>
    <row r="11041">
      <c r="A11041" s="9"/>
      <c r="B11041" s="15"/>
      <c r="C11041" s="9">
        <f>IFERROR(__xludf.DUMMYFUNCTION("""COMPUTED_VALUE"""),45028.3140835069)</f>
        <v>45028.31408</v>
      </c>
      <c r="D11041" s="15">
        <f>IFERROR(__xludf.DUMMYFUNCTION("""COMPUTED_VALUE"""),1.066)</f>
        <v>1.066</v>
      </c>
      <c r="E11041" s="16">
        <f>IFERROR(__xludf.DUMMYFUNCTION("""COMPUTED_VALUE"""),66.0)</f>
        <v>66</v>
      </c>
      <c r="F11041" s="19" t="str">
        <f>IFERROR(__xludf.DUMMYFUNCTION("""COMPUTED_VALUE"""),"BLACK")</f>
        <v>BLACK</v>
      </c>
      <c r="G11041" s="20" t="str">
        <f>IFERROR(__xludf.DUMMYFUNCTION("""COMPUTED_VALUE"""),"Uncle Sams Cider (04/04/2023)")</f>
        <v>Uncle Sams Cider (04/04/2023)</v>
      </c>
      <c r="H11041" s="19"/>
    </row>
    <row r="11042">
      <c r="A11042" s="9"/>
      <c r="B11042" s="15"/>
      <c r="C11042" s="9">
        <f>IFERROR(__xludf.DUMMYFUNCTION("""COMPUTED_VALUE"""),45028.3036498379)</f>
        <v>45028.30365</v>
      </c>
      <c r="D11042" s="15">
        <f>IFERROR(__xludf.DUMMYFUNCTION("""COMPUTED_VALUE"""),1.067)</f>
        <v>1.067</v>
      </c>
      <c r="E11042" s="16">
        <f>IFERROR(__xludf.DUMMYFUNCTION("""COMPUTED_VALUE"""),66.0)</f>
        <v>66</v>
      </c>
      <c r="F11042" s="19" t="str">
        <f>IFERROR(__xludf.DUMMYFUNCTION("""COMPUTED_VALUE"""),"BLACK")</f>
        <v>BLACK</v>
      </c>
      <c r="G11042" s="20" t="str">
        <f>IFERROR(__xludf.DUMMYFUNCTION("""COMPUTED_VALUE"""),"Uncle Sams Cider (04/04/2023)")</f>
        <v>Uncle Sams Cider (04/04/2023)</v>
      </c>
      <c r="H11042" s="19"/>
    </row>
    <row r="11043">
      <c r="A11043" s="9"/>
      <c r="B11043" s="15"/>
      <c r="C11043" s="9">
        <f>IFERROR(__xludf.DUMMYFUNCTION("""COMPUTED_VALUE"""),45028.2932301273)</f>
        <v>45028.29323</v>
      </c>
      <c r="D11043" s="15">
        <f>IFERROR(__xludf.DUMMYFUNCTION("""COMPUTED_VALUE"""),1.066)</f>
        <v>1.066</v>
      </c>
      <c r="E11043" s="16">
        <f>IFERROR(__xludf.DUMMYFUNCTION("""COMPUTED_VALUE"""),66.0)</f>
        <v>66</v>
      </c>
      <c r="F11043" s="19" t="str">
        <f>IFERROR(__xludf.DUMMYFUNCTION("""COMPUTED_VALUE"""),"BLACK")</f>
        <v>BLACK</v>
      </c>
      <c r="G11043" s="20" t="str">
        <f>IFERROR(__xludf.DUMMYFUNCTION("""COMPUTED_VALUE"""),"Uncle Sams Cider (04/04/2023)")</f>
        <v>Uncle Sams Cider (04/04/2023)</v>
      </c>
      <c r="H11043" s="19"/>
    </row>
    <row r="11044">
      <c r="A11044" s="9"/>
      <c r="B11044" s="15"/>
      <c r="C11044" s="9">
        <f>IFERROR(__xludf.DUMMYFUNCTION("""COMPUTED_VALUE"""),45028.2827963194)</f>
        <v>45028.2828</v>
      </c>
      <c r="D11044" s="15">
        <f>IFERROR(__xludf.DUMMYFUNCTION("""COMPUTED_VALUE"""),1.067)</f>
        <v>1.067</v>
      </c>
      <c r="E11044" s="16">
        <f>IFERROR(__xludf.DUMMYFUNCTION("""COMPUTED_VALUE"""),66.0)</f>
        <v>66</v>
      </c>
      <c r="F11044" s="19" t="str">
        <f>IFERROR(__xludf.DUMMYFUNCTION("""COMPUTED_VALUE"""),"BLACK")</f>
        <v>BLACK</v>
      </c>
      <c r="G11044" s="20" t="str">
        <f>IFERROR(__xludf.DUMMYFUNCTION("""COMPUTED_VALUE"""),"Uncle Sams Cider (04/04/2023)")</f>
        <v>Uncle Sams Cider (04/04/2023)</v>
      </c>
      <c r="H11044" s="19"/>
    </row>
    <row r="11045">
      <c r="A11045" s="9"/>
      <c r="B11045" s="15"/>
      <c r="C11045" s="9">
        <f>IFERROR(__xludf.DUMMYFUNCTION("""COMPUTED_VALUE"""),45028.2723757291)</f>
        <v>45028.27238</v>
      </c>
      <c r="D11045" s="15">
        <f>IFERROR(__xludf.DUMMYFUNCTION("""COMPUTED_VALUE"""),1.066)</f>
        <v>1.066</v>
      </c>
      <c r="E11045" s="16">
        <f>IFERROR(__xludf.DUMMYFUNCTION("""COMPUTED_VALUE"""),66.0)</f>
        <v>66</v>
      </c>
      <c r="F11045" s="19" t="str">
        <f>IFERROR(__xludf.DUMMYFUNCTION("""COMPUTED_VALUE"""),"BLACK")</f>
        <v>BLACK</v>
      </c>
      <c r="G11045" s="20" t="str">
        <f>IFERROR(__xludf.DUMMYFUNCTION("""COMPUTED_VALUE"""),"Uncle Sams Cider (04/04/2023)")</f>
        <v>Uncle Sams Cider (04/04/2023)</v>
      </c>
      <c r="H11045" s="19"/>
    </row>
    <row r="11046">
      <c r="A11046" s="9"/>
      <c r="B11046" s="15"/>
      <c r="C11046" s="9">
        <f>IFERROR(__xludf.DUMMYFUNCTION("""COMPUTED_VALUE"""),45028.2619435185)</f>
        <v>45028.26194</v>
      </c>
      <c r="D11046" s="15">
        <f>IFERROR(__xludf.DUMMYFUNCTION("""COMPUTED_VALUE"""),1.067)</f>
        <v>1.067</v>
      </c>
      <c r="E11046" s="16">
        <f>IFERROR(__xludf.DUMMYFUNCTION("""COMPUTED_VALUE"""),66.0)</f>
        <v>66</v>
      </c>
      <c r="F11046" s="19" t="str">
        <f>IFERROR(__xludf.DUMMYFUNCTION("""COMPUTED_VALUE"""),"BLACK")</f>
        <v>BLACK</v>
      </c>
      <c r="G11046" s="20" t="str">
        <f>IFERROR(__xludf.DUMMYFUNCTION("""COMPUTED_VALUE"""),"Uncle Sams Cider (04/04/2023)")</f>
        <v>Uncle Sams Cider (04/04/2023)</v>
      </c>
      <c r="H11046" s="19"/>
    </row>
    <row r="11047">
      <c r="A11047" s="9"/>
      <c r="B11047" s="15"/>
      <c r="C11047" s="9">
        <f>IFERROR(__xludf.DUMMYFUNCTION("""COMPUTED_VALUE"""),45028.2515212847)</f>
        <v>45028.25152</v>
      </c>
      <c r="D11047" s="15">
        <f>IFERROR(__xludf.DUMMYFUNCTION("""COMPUTED_VALUE"""),1.067)</f>
        <v>1.067</v>
      </c>
      <c r="E11047" s="16">
        <f>IFERROR(__xludf.DUMMYFUNCTION("""COMPUTED_VALUE"""),66.0)</f>
        <v>66</v>
      </c>
      <c r="F11047" s="19" t="str">
        <f>IFERROR(__xludf.DUMMYFUNCTION("""COMPUTED_VALUE"""),"BLACK")</f>
        <v>BLACK</v>
      </c>
      <c r="G11047" s="20" t="str">
        <f>IFERROR(__xludf.DUMMYFUNCTION("""COMPUTED_VALUE"""),"Uncle Sams Cider (04/04/2023)")</f>
        <v>Uncle Sams Cider (04/04/2023)</v>
      </c>
      <c r="H11047" s="19"/>
    </row>
    <row r="11048">
      <c r="A11048" s="9"/>
      <c r="B11048" s="15"/>
      <c r="C11048" s="9">
        <f>IFERROR(__xludf.DUMMYFUNCTION("""COMPUTED_VALUE"""),45028.2410899537)</f>
        <v>45028.24109</v>
      </c>
      <c r="D11048" s="15">
        <f>IFERROR(__xludf.DUMMYFUNCTION("""COMPUTED_VALUE"""),1.067)</f>
        <v>1.067</v>
      </c>
      <c r="E11048" s="16">
        <f>IFERROR(__xludf.DUMMYFUNCTION("""COMPUTED_VALUE"""),66.0)</f>
        <v>66</v>
      </c>
      <c r="F11048" s="19" t="str">
        <f>IFERROR(__xludf.DUMMYFUNCTION("""COMPUTED_VALUE"""),"BLACK")</f>
        <v>BLACK</v>
      </c>
      <c r="G11048" s="20" t="str">
        <f>IFERROR(__xludf.DUMMYFUNCTION("""COMPUTED_VALUE"""),"Uncle Sams Cider (04/04/2023)")</f>
        <v>Uncle Sams Cider (04/04/2023)</v>
      </c>
      <c r="H11048" s="19"/>
    </row>
    <row r="11049">
      <c r="A11049" s="9"/>
      <c r="B11049" s="15"/>
      <c r="C11049" s="9">
        <f>IFERROR(__xludf.DUMMYFUNCTION("""COMPUTED_VALUE"""),45028.2306696412)</f>
        <v>45028.23067</v>
      </c>
      <c r="D11049" s="15">
        <f>IFERROR(__xludf.DUMMYFUNCTION("""COMPUTED_VALUE"""),1.067)</f>
        <v>1.067</v>
      </c>
      <c r="E11049" s="16">
        <f>IFERROR(__xludf.DUMMYFUNCTION("""COMPUTED_VALUE"""),66.0)</f>
        <v>66</v>
      </c>
      <c r="F11049" s="19" t="str">
        <f>IFERROR(__xludf.DUMMYFUNCTION("""COMPUTED_VALUE"""),"BLACK")</f>
        <v>BLACK</v>
      </c>
      <c r="G11049" s="20" t="str">
        <f>IFERROR(__xludf.DUMMYFUNCTION("""COMPUTED_VALUE"""),"Uncle Sams Cider (04/04/2023)")</f>
        <v>Uncle Sams Cider (04/04/2023)</v>
      </c>
      <c r="H11049" s="19"/>
    </row>
    <row r="11050">
      <c r="A11050" s="9"/>
      <c r="B11050" s="15"/>
      <c r="C11050" s="9">
        <f>IFERROR(__xludf.DUMMYFUNCTION("""COMPUTED_VALUE"""),45028.220249375)</f>
        <v>45028.22025</v>
      </c>
      <c r="D11050" s="15">
        <f>IFERROR(__xludf.DUMMYFUNCTION("""COMPUTED_VALUE"""),1.067)</f>
        <v>1.067</v>
      </c>
      <c r="E11050" s="16">
        <f>IFERROR(__xludf.DUMMYFUNCTION("""COMPUTED_VALUE"""),66.0)</f>
        <v>66</v>
      </c>
      <c r="F11050" s="19" t="str">
        <f>IFERROR(__xludf.DUMMYFUNCTION("""COMPUTED_VALUE"""),"BLACK")</f>
        <v>BLACK</v>
      </c>
      <c r="G11050" s="20" t="str">
        <f>IFERROR(__xludf.DUMMYFUNCTION("""COMPUTED_VALUE"""),"Uncle Sams Cider (04/04/2023)")</f>
        <v>Uncle Sams Cider (04/04/2023)</v>
      </c>
      <c r="H11050" s="19"/>
    </row>
    <row r="11051">
      <c r="A11051" s="9"/>
      <c r="B11051" s="15"/>
      <c r="C11051" s="9">
        <f>IFERROR(__xludf.DUMMYFUNCTION("""COMPUTED_VALUE"""),45028.2098266435)</f>
        <v>45028.20983</v>
      </c>
      <c r="D11051" s="15">
        <f>IFERROR(__xludf.DUMMYFUNCTION("""COMPUTED_VALUE"""),1.067)</f>
        <v>1.067</v>
      </c>
      <c r="E11051" s="16">
        <f>IFERROR(__xludf.DUMMYFUNCTION("""COMPUTED_VALUE"""),66.0)</f>
        <v>66</v>
      </c>
      <c r="F11051" s="19" t="str">
        <f>IFERROR(__xludf.DUMMYFUNCTION("""COMPUTED_VALUE"""),"BLACK")</f>
        <v>BLACK</v>
      </c>
      <c r="G11051" s="20" t="str">
        <f>IFERROR(__xludf.DUMMYFUNCTION("""COMPUTED_VALUE"""),"Uncle Sams Cider (04/04/2023)")</f>
        <v>Uncle Sams Cider (04/04/2023)</v>
      </c>
      <c r="H11051" s="19"/>
    </row>
    <row r="11052">
      <c r="A11052" s="9"/>
      <c r="B11052" s="15"/>
      <c r="C11052" s="9">
        <f>IFERROR(__xludf.DUMMYFUNCTION("""COMPUTED_VALUE"""),45028.1994038657)</f>
        <v>45028.1994</v>
      </c>
      <c r="D11052" s="15">
        <f>IFERROR(__xludf.DUMMYFUNCTION("""COMPUTED_VALUE"""),1.067)</f>
        <v>1.067</v>
      </c>
      <c r="E11052" s="16">
        <f>IFERROR(__xludf.DUMMYFUNCTION("""COMPUTED_VALUE"""),66.0)</f>
        <v>66</v>
      </c>
      <c r="F11052" s="19" t="str">
        <f>IFERROR(__xludf.DUMMYFUNCTION("""COMPUTED_VALUE"""),"BLACK")</f>
        <v>BLACK</v>
      </c>
      <c r="G11052" s="20" t="str">
        <f>IFERROR(__xludf.DUMMYFUNCTION("""COMPUTED_VALUE"""),"Uncle Sams Cider (04/04/2023)")</f>
        <v>Uncle Sams Cider (04/04/2023)</v>
      </c>
      <c r="H11052" s="19"/>
    </row>
    <row r="11053">
      <c r="A11053" s="9"/>
      <c r="B11053" s="15"/>
      <c r="C11053" s="9">
        <f>IFERROR(__xludf.DUMMYFUNCTION("""COMPUTED_VALUE"""),45028.1889836226)</f>
        <v>45028.18898</v>
      </c>
      <c r="D11053" s="15">
        <f>IFERROR(__xludf.DUMMYFUNCTION("""COMPUTED_VALUE"""),1.067)</f>
        <v>1.067</v>
      </c>
      <c r="E11053" s="16">
        <f>IFERROR(__xludf.DUMMYFUNCTION("""COMPUTED_VALUE"""),66.0)</f>
        <v>66</v>
      </c>
      <c r="F11053" s="19" t="str">
        <f>IFERROR(__xludf.DUMMYFUNCTION("""COMPUTED_VALUE"""),"BLACK")</f>
        <v>BLACK</v>
      </c>
      <c r="G11053" s="20" t="str">
        <f>IFERROR(__xludf.DUMMYFUNCTION("""COMPUTED_VALUE"""),"Uncle Sams Cider (04/04/2023)")</f>
        <v>Uncle Sams Cider (04/04/2023)</v>
      </c>
      <c r="H11053" s="19"/>
    </row>
    <row r="11054">
      <c r="A11054" s="9"/>
      <c r="B11054" s="15"/>
      <c r="C11054" s="9">
        <f>IFERROR(__xludf.DUMMYFUNCTION("""COMPUTED_VALUE"""),45028.1785629398)</f>
        <v>45028.17856</v>
      </c>
      <c r="D11054" s="15">
        <f>IFERROR(__xludf.DUMMYFUNCTION("""COMPUTED_VALUE"""),1.067)</f>
        <v>1.067</v>
      </c>
      <c r="E11054" s="16">
        <f>IFERROR(__xludf.DUMMYFUNCTION("""COMPUTED_VALUE"""),66.0)</f>
        <v>66</v>
      </c>
      <c r="F11054" s="19" t="str">
        <f>IFERROR(__xludf.DUMMYFUNCTION("""COMPUTED_VALUE"""),"BLACK")</f>
        <v>BLACK</v>
      </c>
      <c r="G11054" s="20" t="str">
        <f>IFERROR(__xludf.DUMMYFUNCTION("""COMPUTED_VALUE"""),"Uncle Sams Cider (04/04/2023)")</f>
        <v>Uncle Sams Cider (04/04/2023)</v>
      </c>
      <c r="H11054" s="19"/>
    </row>
    <row r="11055">
      <c r="A11055" s="9"/>
      <c r="B11055" s="15"/>
      <c r="C11055" s="9">
        <f>IFERROR(__xludf.DUMMYFUNCTION("""COMPUTED_VALUE"""),45028.1681292129)</f>
        <v>45028.16813</v>
      </c>
      <c r="D11055" s="15">
        <f>IFERROR(__xludf.DUMMYFUNCTION("""COMPUTED_VALUE"""),1.067)</f>
        <v>1.067</v>
      </c>
      <c r="E11055" s="16">
        <f>IFERROR(__xludf.DUMMYFUNCTION("""COMPUTED_VALUE"""),66.0)</f>
        <v>66</v>
      </c>
      <c r="F11055" s="19" t="str">
        <f>IFERROR(__xludf.DUMMYFUNCTION("""COMPUTED_VALUE"""),"BLACK")</f>
        <v>BLACK</v>
      </c>
      <c r="G11055" s="20" t="str">
        <f>IFERROR(__xludf.DUMMYFUNCTION("""COMPUTED_VALUE"""),"Uncle Sams Cider (04/04/2023)")</f>
        <v>Uncle Sams Cider (04/04/2023)</v>
      </c>
      <c r="H11055" s="19"/>
    </row>
    <row r="11056">
      <c r="A11056" s="9"/>
      <c r="B11056" s="15"/>
      <c r="C11056" s="9">
        <f>IFERROR(__xludf.DUMMYFUNCTION("""COMPUTED_VALUE"""),45028.1577082407)</f>
        <v>45028.15771</v>
      </c>
      <c r="D11056" s="15">
        <f>IFERROR(__xludf.DUMMYFUNCTION("""COMPUTED_VALUE"""),1.067)</f>
        <v>1.067</v>
      </c>
      <c r="E11056" s="16">
        <f>IFERROR(__xludf.DUMMYFUNCTION("""COMPUTED_VALUE"""),66.0)</f>
        <v>66</v>
      </c>
      <c r="F11056" s="19" t="str">
        <f>IFERROR(__xludf.DUMMYFUNCTION("""COMPUTED_VALUE"""),"BLACK")</f>
        <v>BLACK</v>
      </c>
      <c r="G11056" s="20" t="str">
        <f>IFERROR(__xludf.DUMMYFUNCTION("""COMPUTED_VALUE"""),"Uncle Sams Cider (04/04/2023)")</f>
        <v>Uncle Sams Cider (04/04/2023)</v>
      </c>
      <c r="H11056" s="19"/>
    </row>
    <row r="11057">
      <c r="A11057" s="9"/>
      <c r="B11057" s="15"/>
      <c r="C11057" s="9">
        <f>IFERROR(__xludf.DUMMYFUNCTION("""COMPUTED_VALUE"""),45028.1472746412)</f>
        <v>45028.14727</v>
      </c>
      <c r="D11057" s="15">
        <f>IFERROR(__xludf.DUMMYFUNCTION("""COMPUTED_VALUE"""),1.067)</f>
        <v>1.067</v>
      </c>
      <c r="E11057" s="16">
        <f>IFERROR(__xludf.DUMMYFUNCTION("""COMPUTED_VALUE"""),66.0)</f>
        <v>66</v>
      </c>
      <c r="F11057" s="19" t="str">
        <f>IFERROR(__xludf.DUMMYFUNCTION("""COMPUTED_VALUE"""),"BLACK")</f>
        <v>BLACK</v>
      </c>
      <c r="G11057" s="20" t="str">
        <f>IFERROR(__xludf.DUMMYFUNCTION("""COMPUTED_VALUE"""),"Uncle Sams Cider (04/04/2023)")</f>
        <v>Uncle Sams Cider (04/04/2023)</v>
      </c>
      <c r="H11057" s="19"/>
    </row>
    <row r="11058">
      <c r="A11058" s="9"/>
      <c r="B11058" s="15"/>
      <c r="C11058" s="9">
        <f>IFERROR(__xludf.DUMMYFUNCTION("""COMPUTED_VALUE"""),45028.1368407176)</f>
        <v>45028.13684</v>
      </c>
      <c r="D11058" s="15">
        <f>IFERROR(__xludf.DUMMYFUNCTION("""COMPUTED_VALUE"""),1.067)</f>
        <v>1.067</v>
      </c>
      <c r="E11058" s="16">
        <f>IFERROR(__xludf.DUMMYFUNCTION("""COMPUTED_VALUE"""),66.0)</f>
        <v>66</v>
      </c>
      <c r="F11058" s="19" t="str">
        <f>IFERROR(__xludf.DUMMYFUNCTION("""COMPUTED_VALUE"""),"BLACK")</f>
        <v>BLACK</v>
      </c>
      <c r="G11058" s="20" t="str">
        <f>IFERROR(__xludf.DUMMYFUNCTION("""COMPUTED_VALUE"""),"Uncle Sams Cider (04/04/2023)")</f>
        <v>Uncle Sams Cider (04/04/2023)</v>
      </c>
      <c r="H11058" s="19"/>
    </row>
    <row r="11059">
      <c r="A11059" s="9"/>
      <c r="B11059" s="15"/>
      <c r="C11059" s="9">
        <f>IFERROR(__xludf.DUMMYFUNCTION("""COMPUTED_VALUE"""),45028.1264205092)</f>
        <v>45028.12642</v>
      </c>
      <c r="D11059" s="15">
        <f>IFERROR(__xludf.DUMMYFUNCTION("""COMPUTED_VALUE"""),1.067)</f>
        <v>1.067</v>
      </c>
      <c r="E11059" s="16">
        <f>IFERROR(__xludf.DUMMYFUNCTION("""COMPUTED_VALUE"""),66.0)</f>
        <v>66</v>
      </c>
      <c r="F11059" s="19" t="str">
        <f>IFERROR(__xludf.DUMMYFUNCTION("""COMPUTED_VALUE"""),"BLACK")</f>
        <v>BLACK</v>
      </c>
      <c r="G11059" s="20" t="str">
        <f>IFERROR(__xludf.DUMMYFUNCTION("""COMPUTED_VALUE"""),"Uncle Sams Cider (04/04/2023)")</f>
        <v>Uncle Sams Cider (04/04/2023)</v>
      </c>
      <c r="H11059" s="19"/>
    </row>
    <row r="11060">
      <c r="A11060" s="9"/>
      <c r="B11060" s="15"/>
      <c r="C11060" s="9">
        <f>IFERROR(__xludf.DUMMYFUNCTION("""COMPUTED_VALUE"""),45028.1159994213)</f>
        <v>45028.116</v>
      </c>
      <c r="D11060" s="15">
        <f>IFERROR(__xludf.DUMMYFUNCTION("""COMPUTED_VALUE"""),1.067)</f>
        <v>1.067</v>
      </c>
      <c r="E11060" s="16">
        <f>IFERROR(__xludf.DUMMYFUNCTION("""COMPUTED_VALUE"""),66.0)</f>
        <v>66</v>
      </c>
      <c r="F11060" s="19" t="str">
        <f>IFERROR(__xludf.DUMMYFUNCTION("""COMPUTED_VALUE"""),"BLACK")</f>
        <v>BLACK</v>
      </c>
      <c r="G11060" s="20" t="str">
        <f>IFERROR(__xludf.DUMMYFUNCTION("""COMPUTED_VALUE"""),"Uncle Sams Cider (04/04/2023)")</f>
        <v>Uncle Sams Cider (04/04/2023)</v>
      </c>
      <c r="H11060" s="19"/>
    </row>
    <row r="11061">
      <c r="A11061" s="9"/>
      <c r="B11061" s="15"/>
      <c r="C11061" s="9">
        <f>IFERROR(__xludf.DUMMYFUNCTION("""COMPUTED_VALUE"""),45028.1055783449)</f>
        <v>45028.10558</v>
      </c>
      <c r="D11061" s="15">
        <f>IFERROR(__xludf.DUMMYFUNCTION("""COMPUTED_VALUE"""),1.067)</f>
        <v>1.067</v>
      </c>
      <c r="E11061" s="16">
        <f>IFERROR(__xludf.DUMMYFUNCTION("""COMPUTED_VALUE"""),66.0)</f>
        <v>66</v>
      </c>
      <c r="F11061" s="19" t="str">
        <f>IFERROR(__xludf.DUMMYFUNCTION("""COMPUTED_VALUE"""),"BLACK")</f>
        <v>BLACK</v>
      </c>
      <c r="G11061" s="20" t="str">
        <f>IFERROR(__xludf.DUMMYFUNCTION("""COMPUTED_VALUE"""),"Uncle Sams Cider (04/04/2023)")</f>
        <v>Uncle Sams Cider (04/04/2023)</v>
      </c>
      <c r="H11061" s="19"/>
    </row>
    <row r="11062">
      <c r="A11062" s="9"/>
      <c r="B11062" s="15"/>
      <c r="C11062" s="9">
        <f>IFERROR(__xludf.DUMMYFUNCTION("""COMPUTED_VALUE"""),45028.0951453472)</f>
        <v>45028.09515</v>
      </c>
      <c r="D11062" s="15">
        <f>IFERROR(__xludf.DUMMYFUNCTION("""COMPUTED_VALUE"""),1.067)</f>
        <v>1.067</v>
      </c>
      <c r="E11062" s="16">
        <f>IFERROR(__xludf.DUMMYFUNCTION("""COMPUTED_VALUE"""),66.0)</f>
        <v>66</v>
      </c>
      <c r="F11062" s="19" t="str">
        <f>IFERROR(__xludf.DUMMYFUNCTION("""COMPUTED_VALUE"""),"BLACK")</f>
        <v>BLACK</v>
      </c>
      <c r="G11062" s="20" t="str">
        <f>IFERROR(__xludf.DUMMYFUNCTION("""COMPUTED_VALUE"""),"Uncle Sams Cider (04/04/2023)")</f>
        <v>Uncle Sams Cider (04/04/2023)</v>
      </c>
      <c r="H11062" s="19"/>
    </row>
    <row r="11063">
      <c r="A11063" s="9"/>
      <c r="B11063" s="15"/>
      <c r="C11063" s="9">
        <f>IFERROR(__xludf.DUMMYFUNCTION("""COMPUTED_VALUE"""),45028.0847233796)</f>
        <v>45028.08472</v>
      </c>
      <c r="D11063" s="15">
        <f>IFERROR(__xludf.DUMMYFUNCTION("""COMPUTED_VALUE"""),1.067)</f>
        <v>1.067</v>
      </c>
      <c r="E11063" s="16">
        <f>IFERROR(__xludf.DUMMYFUNCTION("""COMPUTED_VALUE"""),66.0)</f>
        <v>66</v>
      </c>
      <c r="F11063" s="19" t="str">
        <f>IFERROR(__xludf.DUMMYFUNCTION("""COMPUTED_VALUE"""),"BLACK")</f>
        <v>BLACK</v>
      </c>
      <c r="G11063" s="20" t="str">
        <f>IFERROR(__xludf.DUMMYFUNCTION("""COMPUTED_VALUE"""),"Uncle Sams Cider (04/04/2023)")</f>
        <v>Uncle Sams Cider (04/04/2023)</v>
      </c>
      <c r="H11063" s="19"/>
    </row>
    <row r="11064">
      <c r="A11064" s="9"/>
      <c r="B11064" s="15"/>
      <c r="C11064" s="9">
        <f>IFERROR(__xludf.DUMMYFUNCTION("""COMPUTED_VALUE"""),45028.0743010879)</f>
        <v>45028.0743</v>
      </c>
      <c r="D11064" s="15">
        <f>IFERROR(__xludf.DUMMYFUNCTION("""COMPUTED_VALUE"""),1.067)</f>
        <v>1.067</v>
      </c>
      <c r="E11064" s="16">
        <f>IFERROR(__xludf.DUMMYFUNCTION("""COMPUTED_VALUE"""),66.0)</f>
        <v>66</v>
      </c>
      <c r="F11064" s="19" t="str">
        <f>IFERROR(__xludf.DUMMYFUNCTION("""COMPUTED_VALUE"""),"BLACK")</f>
        <v>BLACK</v>
      </c>
      <c r="G11064" s="20" t="str">
        <f>IFERROR(__xludf.DUMMYFUNCTION("""COMPUTED_VALUE"""),"Uncle Sams Cider (04/04/2023)")</f>
        <v>Uncle Sams Cider (04/04/2023)</v>
      </c>
      <c r="H11064" s="19"/>
    </row>
    <row r="11065">
      <c r="A11065" s="9"/>
      <c r="B11065" s="15"/>
      <c r="C11065" s="9">
        <f>IFERROR(__xludf.DUMMYFUNCTION("""COMPUTED_VALUE"""),45028.0638805208)</f>
        <v>45028.06388</v>
      </c>
      <c r="D11065" s="15">
        <f>IFERROR(__xludf.DUMMYFUNCTION("""COMPUTED_VALUE"""),1.068)</f>
        <v>1.068</v>
      </c>
      <c r="E11065" s="16">
        <f>IFERROR(__xludf.DUMMYFUNCTION("""COMPUTED_VALUE"""),66.0)</f>
        <v>66</v>
      </c>
      <c r="F11065" s="19" t="str">
        <f>IFERROR(__xludf.DUMMYFUNCTION("""COMPUTED_VALUE"""),"BLACK")</f>
        <v>BLACK</v>
      </c>
      <c r="G11065" s="20" t="str">
        <f>IFERROR(__xludf.DUMMYFUNCTION("""COMPUTED_VALUE"""),"Uncle Sams Cider (04/04/2023)")</f>
        <v>Uncle Sams Cider (04/04/2023)</v>
      </c>
      <c r="H11065" s="19"/>
    </row>
    <row r="11066">
      <c r="A11066" s="9"/>
      <c r="B11066" s="15"/>
      <c r="C11066" s="9">
        <f>IFERROR(__xludf.DUMMYFUNCTION("""COMPUTED_VALUE"""),45028.0534587615)</f>
        <v>45028.05346</v>
      </c>
      <c r="D11066" s="15">
        <f>IFERROR(__xludf.DUMMYFUNCTION("""COMPUTED_VALUE"""),1.068)</f>
        <v>1.068</v>
      </c>
      <c r="E11066" s="16">
        <f>IFERROR(__xludf.DUMMYFUNCTION("""COMPUTED_VALUE"""),66.0)</f>
        <v>66</v>
      </c>
      <c r="F11066" s="19" t="str">
        <f>IFERROR(__xludf.DUMMYFUNCTION("""COMPUTED_VALUE"""),"BLACK")</f>
        <v>BLACK</v>
      </c>
      <c r="G11066" s="20" t="str">
        <f>IFERROR(__xludf.DUMMYFUNCTION("""COMPUTED_VALUE"""),"Uncle Sams Cider (04/04/2023)")</f>
        <v>Uncle Sams Cider (04/04/2023)</v>
      </c>
      <c r="H11066" s="19"/>
    </row>
    <row r="11067">
      <c r="A11067" s="9"/>
      <c r="B11067" s="15"/>
      <c r="C11067" s="9">
        <f>IFERROR(__xludf.DUMMYFUNCTION("""COMPUTED_VALUE"""),45028.043025243)</f>
        <v>45028.04303</v>
      </c>
      <c r="D11067" s="15">
        <f>IFERROR(__xludf.DUMMYFUNCTION("""COMPUTED_VALUE"""),1.068)</f>
        <v>1.068</v>
      </c>
      <c r="E11067" s="16">
        <f>IFERROR(__xludf.DUMMYFUNCTION("""COMPUTED_VALUE"""),66.0)</f>
        <v>66</v>
      </c>
      <c r="F11067" s="19" t="str">
        <f>IFERROR(__xludf.DUMMYFUNCTION("""COMPUTED_VALUE"""),"BLACK")</f>
        <v>BLACK</v>
      </c>
      <c r="G11067" s="20" t="str">
        <f>IFERROR(__xludf.DUMMYFUNCTION("""COMPUTED_VALUE"""),"Uncle Sams Cider (04/04/2023)")</f>
        <v>Uncle Sams Cider (04/04/2023)</v>
      </c>
      <c r="H11067" s="19"/>
    </row>
    <row r="11068">
      <c r="A11068" s="9"/>
      <c r="B11068" s="15"/>
      <c r="C11068" s="9">
        <f>IFERROR(__xludf.DUMMYFUNCTION("""COMPUTED_VALUE"""),45028.0325809143)</f>
        <v>45028.03258</v>
      </c>
      <c r="D11068" s="15">
        <f>IFERROR(__xludf.DUMMYFUNCTION("""COMPUTED_VALUE"""),1.068)</f>
        <v>1.068</v>
      </c>
      <c r="E11068" s="16">
        <f>IFERROR(__xludf.DUMMYFUNCTION("""COMPUTED_VALUE"""),66.0)</f>
        <v>66</v>
      </c>
      <c r="F11068" s="19" t="str">
        <f>IFERROR(__xludf.DUMMYFUNCTION("""COMPUTED_VALUE"""),"BLACK")</f>
        <v>BLACK</v>
      </c>
      <c r="G11068" s="20" t="str">
        <f>IFERROR(__xludf.DUMMYFUNCTION("""COMPUTED_VALUE"""),"Uncle Sams Cider (04/04/2023)")</f>
        <v>Uncle Sams Cider (04/04/2023)</v>
      </c>
      <c r="H11068" s="19"/>
    </row>
    <row r="11069">
      <c r="A11069" s="9"/>
      <c r="B11069" s="15"/>
      <c r="C11069" s="9">
        <f>IFERROR(__xludf.DUMMYFUNCTION("""COMPUTED_VALUE"""),45028.0221588657)</f>
        <v>45028.02216</v>
      </c>
      <c r="D11069" s="15">
        <f>IFERROR(__xludf.DUMMYFUNCTION("""COMPUTED_VALUE"""),1.068)</f>
        <v>1.068</v>
      </c>
      <c r="E11069" s="16">
        <f>IFERROR(__xludf.DUMMYFUNCTION("""COMPUTED_VALUE"""),66.0)</f>
        <v>66</v>
      </c>
      <c r="F11069" s="19" t="str">
        <f>IFERROR(__xludf.DUMMYFUNCTION("""COMPUTED_VALUE"""),"BLACK")</f>
        <v>BLACK</v>
      </c>
      <c r="G11069" s="20" t="str">
        <f>IFERROR(__xludf.DUMMYFUNCTION("""COMPUTED_VALUE"""),"Uncle Sams Cider (04/04/2023)")</f>
        <v>Uncle Sams Cider (04/04/2023)</v>
      </c>
      <c r="H11069" s="19"/>
    </row>
    <row r="11070">
      <c r="A11070" s="9"/>
      <c r="B11070" s="15"/>
      <c r="C11070" s="9">
        <f>IFERROR(__xludf.DUMMYFUNCTION("""COMPUTED_VALUE"""),45028.0117253356)</f>
        <v>45028.01173</v>
      </c>
      <c r="D11070" s="15">
        <f>IFERROR(__xludf.DUMMYFUNCTION("""COMPUTED_VALUE"""),1.068)</f>
        <v>1.068</v>
      </c>
      <c r="E11070" s="16">
        <f>IFERROR(__xludf.DUMMYFUNCTION("""COMPUTED_VALUE"""),66.0)</f>
        <v>66</v>
      </c>
      <c r="F11070" s="19" t="str">
        <f>IFERROR(__xludf.DUMMYFUNCTION("""COMPUTED_VALUE"""),"BLACK")</f>
        <v>BLACK</v>
      </c>
      <c r="G11070" s="20" t="str">
        <f>IFERROR(__xludf.DUMMYFUNCTION("""COMPUTED_VALUE"""),"Uncle Sams Cider (04/04/2023)")</f>
        <v>Uncle Sams Cider (04/04/2023)</v>
      </c>
      <c r="H11070" s="19"/>
    </row>
    <row r="11071">
      <c r="A11071" s="9"/>
      <c r="B11071" s="15"/>
      <c r="C11071" s="9">
        <f>IFERROR(__xludf.DUMMYFUNCTION("""COMPUTED_VALUE"""),45028.0012571412)</f>
        <v>45028.00126</v>
      </c>
      <c r="D11071" s="15">
        <f>IFERROR(__xludf.DUMMYFUNCTION("""COMPUTED_VALUE"""),1.068)</f>
        <v>1.068</v>
      </c>
      <c r="E11071" s="16">
        <f>IFERROR(__xludf.DUMMYFUNCTION("""COMPUTED_VALUE"""),66.0)</f>
        <v>66</v>
      </c>
      <c r="F11071" s="19" t="str">
        <f>IFERROR(__xludf.DUMMYFUNCTION("""COMPUTED_VALUE"""),"BLACK")</f>
        <v>BLACK</v>
      </c>
      <c r="G11071" s="20" t="str">
        <f>IFERROR(__xludf.DUMMYFUNCTION("""COMPUTED_VALUE"""),"Uncle Sams Cider (04/04/2023)")</f>
        <v>Uncle Sams Cider (04/04/2023)</v>
      </c>
      <c r="H11071" s="19"/>
    </row>
    <row r="11072">
      <c r="A11072" s="9"/>
      <c r="B11072" s="15"/>
      <c r="C11072" s="9">
        <f>IFERROR(__xludf.DUMMYFUNCTION("""COMPUTED_VALUE"""),45027.990835787)</f>
        <v>45027.99084</v>
      </c>
      <c r="D11072" s="15">
        <f>IFERROR(__xludf.DUMMYFUNCTION("""COMPUTED_VALUE"""),1.068)</f>
        <v>1.068</v>
      </c>
      <c r="E11072" s="16">
        <f>IFERROR(__xludf.DUMMYFUNCTION("""COMPUTED_VALUE"""),66.0)</f>
        <v>66</v>
      </c>
      <c r="F11072" s="19" t="str">
        <f>IFERROR(__xludf.DUMMYFUNCTION("""COMPUTED_VALUE"""),"BLACK")</f>
        <v>BLACK</v>
      </c>
      <c r="G11072" s="20" t="str">
        <f>IFERROR(__xludf.DUMMYFUNCTION("""COMPUTED_VALUE"""),"Uncle Sams Cider (04/04/2023)")</f>
        <v>Uncle Sams Cider (04/04/2023)</v>
      </c>
      <c r="H11072" s="19"/>
    </row>
    <row r="11073">
      <c r="A11073" s="9"/>
      <c r="B11073" s="15"/>
      <c r="C11073" s="9">
        <f>IFERROR(__xludf.DUMMYFUNCTION("""COMPUTED_VALUE"""),45027.9804170254)</f>
        <v>45027.98042</v>
      </c>
      <c r="D11073" s="15">
        <f>IFERROR(__xludf.DUMMYFUNCTION("""COMPUTED_VALUE"""),1.068)</f>
        <v>1.068</v>
      </c>
      <c r="E11073" s="16">
        <f>IFERROR(__xludf.DUMMYFUNCTION("""COMPUTED_VALUE"""),66.0)</f>
        <v>66</v>
      </c>
      <c r="F11073" s="19" t="str">
        <f>IFERROR(__xludf.DUMMYFUNCTION("""COMPUTED_VALUE"""),"BLACK")</f>
        <v>BLACK</v>
      </c>
      <c r="G11073" s="20" t="str">
        <f>IFERROR(__xludf.DUMMYFUNCTION("""COMPUTED_VALUE"""),"Uncle Sams Cider (04/04/2023)")</f>
        <v>Uncle Sams Cider (04/04/2023)</v>
      </c>
      <c r="H11073" s="19"/>
    </row>
    <row r="11074">
      <c r="A11074" s="9"/>
      <c r="B11074" s="15"/>
      <c r="C11074" s="9">
        <f>IFERROR(__xludf.DUMMYFUNCTION("""COMPUTED_VALUE"""),45027.9699969444)</f>
        <v>45027.97</v>
      </c>
      <c r="D11074" s="15">
        <f>IFERROR(__xludf.DUMMYFUNCTION("""COMPUTED_VALUE"""),1.068)</f>
        <v>1.068</v>
      </c>
      <c r="E11074" s="16">
        <f>IFERROR(__xludf.DUMMYFUNCTION("""COMPUTED_VALUE"""),66.0)</f>
        <v>66</v>
      </c>
      <c r="F11074" s="19" t="str">
        <f>IFERROR(__xludf.DUMMYFUNCTION("""COMPUTED_VALUE"""),"BLACK")</f>
        <v>BLACK</v>
      </c>
      <c r="G11074" s="20" t="str">
        <f>IFERROR(__xludf.DUMMYFUNCTION("""COMPUTED_VALUE"""),"Uncle Sams Cider (04/04/2023)")</f>
        <v>Uncle Sams Cider (04/04/2023)</v>
      </c>
      <c r="H11074" s="19"/>
    </row>
    <row r="11075">
      <c r="A11075" s="9"/>
      <c r="B11075" s="15"/>
      <c r="C11075" s="9">
        <f>IFERROR(__xludf.DUMMYFUNCTION("""COMPUTED_VALUE"""),45027.9595639699)</f>
        <v>45027.95956</v>
      </c>
      <c r="D11075" s="15">
        <f>IFERROR(__xludf.DUMMYFUNCTION("""COMPUTED_VALUE"""),1.068)</f>
        <v>1.068</v>
      </c>
      <c r="E11075" s="16">
        <f>IFERROR(__xludf.DUMMYFUNCTION("""COMPUTED_VALUE"""),66.0)</f>
        <v>66</v>
      </c>
      <c r="F11075" s="19" t="str">
        <f>IFERROR(__xludf.DUMMYFUNCTION("""COMPUTED_VALUE"""),"BLACK")</f>
        <v>BLACK</v>
      </c>
      <c r="G11075" s="20" t="str">
        <f>IFERROR(__xludf.DUMMYFUNCTION("""COMPUTED_VALUE"""),"Uncle Sams Cider (04/04/2023)")</f>
        <v>Uncle Sams Cider (04/04/2023)</v>
      </c>
      <c r="H11075" s="19"/>
    </row>
    <row r="11076">
      <c r="A11076" s="9"/>
      <c r="B11076" s="15"/>
      <c r="C11076" s="9">
        <f>IFERROR(__xludf.DUMMYFUNCTION("""COMPUTED_VALUE"""),45027.9491433449)</f>
        <v>45027.94914</v>
      </c>
      <c r="D11076" s="15">
        <f>IFERROR(__xludf.DUMMYFUNCTION("""COMPUTED_VALUE"""),1.068)</f>
        <v>1.068</v>
      </c>
      <c r="E11076" s="16">
        <f>IFERROR(__xludf.DUMMYFUNCTION("""COMPUTED_VALUE"""),66.0)</f>
        <v>66</v>
      </c>
      <c r="F11076" s="19" t="str">
        <f>IFERROR(__xludf.DUMMYFUNCTION("""COMPUTED_VALUE"""),"BLACK")</f>
        <v>BLACK</v>
      </c>
      <c r="G11076" s="20" t="str">
        <f>IFERROR(__xludf.DUMMYFUNCTION("""COMPUTED_VALUE"""),"Uncle Sams Cider (04/04/2023)")</f>
        <v>Uncle Sams Cider (04/04/2023)</v>
      </c>
      <c r="H11076" s="19"/>
    </row>
    <row r="11077">
      <c r="A11077" s="9"/>
      <c r="B11077" s="15"/>
      <c r="C11077" s="9">
        <f>IFERROR(__xludf.DUMMYFUNCTION("""COMPUTED_VALUE"""),45027.9387219213)</f>
        <v>45027.93872</v>
      </c>
      <c r="D11077" s="15">
        <f>IFERROR(__xludf.DUMMYFUNCTION("""COMPUTED_VALUE"""),1.069)</f>
        <v>1.069</v>
      </c>
      <c r="E11077" s="16">
        <f>IFERROR(__xludf.DUMMYFUNCTION("""COMPUTED_VALUE"""),66.0)</f>
        <v>66</v>
      </c>
      <c r="F11077" s="19" t="str">
        <f>IFERROR(__xludf.DUMMYFUNCTION("""COMPUTED_VALUE"""),"BLACK")</f>
        <v>BLACK</v>
      </c>
      <c r="G11077" s="20" t="str">
        <f>IFERROR(__xludf.DUMMYFUNCTION("""COMPUTED_VALUE"""),"Uncle Sams Cider (04/04/2023)")</f>
        <v>Uncle Sams Cider (04/04/2023)</v>
      </c>
      <c r="H11077" s="19"/>
    </row>
    <row r="11078">
      <c r="A11078" s="9"/>
      <c r="B11078" s="15"/>
      <c r="C11078" s="9">
        <f>IFERROR(__xludf.DUMMYFUNCTION("""COMPUTED_VALUE"""),45027.9282869907)</f>
        <v>45027.92829</v>
      </c>
      <c r="D11078" s="15">
        <f>IFERROR(__xludf.DUMMYFUNCTION("""COMPUTED_VALUE"""),1.068)</f>
        <v>1.068</v>
      </c>
      <c r="E11078" s="16">
        <f>IFERROR(__xludf.DUMMYFUNCTION("""COMPUTED_VALUE"""),66.0)</f>
        <v>66</v>
      </c>
      <c r="F11078" s="19" t="str">
        <f>IFERROR(__xludf.DUMMYFUNCTION("""COMPUTED_VALUE"""),"BLACK")</f>
        <v>BLACK</v>
      </c>
      <c r="G11078" s="20" t="str">
        <f>IFERROR(__xludf.DUMMYFUNCTION("""COMPUTED_VALUE"""),"Uncle Sams Cider (04/04/2023)")</f>
        <v>Uncle Sams Cider (04/04/2023)</v>
      </c>
      <c r="H11078" s="19"/>
    </row>
    <row r="11079">
      <c r="A11079" s="9"/>
      <c r="B11079" s="15"/>
      <c r="C11079" s="9">
        <f>IFERROR(__xludf.DUMMYFUNCTION("""COMPUTED_VALUE"""),45027.9178671875)</f>
        <v>45027.91787</v>
      </c>
      <c r="D11079" s="15">
        <f>IFERROR(__xludf.DUMMYFUNCTION("""COMPUTED_VALUE"""),1.068)</f>
        <v>1.068</v>
      </c>
      <c r="E11079" s="16">
        <f>IFERROR(__xludf.DUMMYFUNCTION("""COMPUTED_VALUE"""),66.0)</f>
        <v>66</v>
      </c>
      <c r="F11079" s="19" t="str">
        <f>IFERROR(__xludf.DUMMYFUNCTION("""COMPUTED_VALUE"""),"BLACK")</f>
        <v>BLACK</v>
      </c>
      <c r="G11079" s="20" t="str">
        <f>IFERROR(__xludf.DUMMYFUNCTION("""COMPUTED_VALUE"""),"Uncle Sams Cider (04/04/2023)")</f>
        <v>Uncle Sams Cider (04/04/2023)</v>
      </c>
      <c r="H11079" s="19"/>
    </row>
    <row r="11080">
      <c r="A11080" s="9"/>
      <c r="B11080" s="15"/>
      <c r="C11080" s="9">
        <f>IFERROR(__xludf.DUMMYFUNCTION("""COMPUTED_VALUE"""),45027.9074337731)</f>
        <v>45027.90743</v>
      </c>
      <c r="D11080" s="15">
        <f>IFERROR(__xludf.DUMMYFUNCTION("""COMPUTED_VALUE"""),1.068)</f>
        <v>1.068</v>
      </c>
      <c r="E11080" s="16">
        <f>IFERROR(__xludf.DUMMYFUNCTION("""COMPUTED_VALUE"""),66.0)</f>
        <v>66</v>
      </c>
      <c r="F11080" s="19" t="str">
        <f>IFERROR(__xludf.DUMMYFUNCTION("""COMPUTED_VALUE"""),"BLACK")</f>
        <v>BLACK</v>
      </c>
      <c r="G11080" s="20" t="str">
        <f>IFERROR(__xludf.DUMMYFUNCTION("""COMPUTED_VALUE"""),"Uncle Sams Cider (04/04/2023)")</f>
        <v>Uncle Sams Cider (04/04/2023)</v>
      </c>
      <c r="H11080" s="19"/>
    </row>
    <row r="11081">
      <c r="A11081" s="9"/>
      <c r="B11081" s="15"/>
      <c r="C11081" s="9">
        <f>IFERROR(__xludf.DUMMYFUNCTION("""COMPUTED_VALUE"""),45027.8970138657)</f>
        <v>45027.89701</v>
      </c>
      <c r="D11081" s="15">
        <f>IFERROR(__xludf.DUMMYFUNCTION("""COMPUTED_VALUE"""),1.068)</f>
        <v>1.068</v>
      </c>
      <c r="E11081" s="16">
        <f>IFERROR(__xludf.DUMMYFUNCTION("""COMPUTED_VALUE"""),66.0)</f>
        <v>66</v>
      </c>
      <c r="F11081" s="19" t="str">
        <f>IFERROR(__xludf.DUMMYFUNCTION("""COMPUTED_VALUE"""),"BLACK")</f>
        <v>BLACK</v>
      </c>
      <c r="G11081" s="20" t="str">
        <f>IFERROR(__xludf.DUMMYFUNCTION("""COMPUTED_VALUE"""),"Uncle Sams Cider (04/04/2023)")</f>
        <v>Uncle Sams Cider (04/04/2023)</v>
      </c>
      <c r="H11081" s="19"/>
    </row>
    <row r="11082">
      <c r="A11082" s="9"/>
      <c r="B11082" s="15"/>
      <c r="C11082" s="9">
        <f>IFERROR(__xludf.DUMMYFUNCTION("""COMPUTED_VALUE"""),45027.8865922685)</f>
        <v>45027.88659</v>
      </c>
      <c r="D11082" s="15">
        <f>IFERROR(__xludf.DUMMYFUNCTION("""COMPUTED_VALUE"""),1.069)</f>
        <v>1.069</v>
      </c>
      <c r="E11082" s="16">
        <f>IFERROR(__xludf.DUMMYFUNCTION("""COMPUTED_VALUE"""),66.0)</f>
        <v>66</v>
      </c>
      <c r="F11082" s="19" t="str">
        <f>IFERROR(__xludf.DUMMYFUNCTION("""COMPUTED_VALUE"""),"BLACK")</f>
        <v>BLACK</v>
      </c>
      <c r="G11082" s="20" t="str">
        <f>IFERROR(__xludf.DUMMYFUNCTION("""COMPUTED_VALUE"""),"Uncle Sams Cider (04/04/2023)")</f>
        <v>Uncle Sams Cider (04/04/2023)</v>
      </c>
      <c r="H11082" s="19"/>
    </row>
    <row r="11083">
      <c r="A11083" s="9"/>
      <c r="B11083" s="15"/>
      <c r="C11083" s="9">
        <f>IFERROR(__xludf.DUMMYFUNCTION("""COMPUTED_VALUE"""),45027.8761485301)</f>
        <v>45027.87615</v>
      </c>
      <c r="D11083" s="15">
        <f>IFERROR(__xludf.DUMMYFUNCTION("""COMPUTED_VALUE"""),1.069)</f>
        <v>1.069</v>
      </c>
      <c r="E11083" s="16">
        <f>IFERROR(__xludf.DUMMYFUNCTION("""COMPUTED_VALUE"""),66.0)</f>
        <v>66</v>
      </c>
      <c r="F11083" s="19" t="str">
        <f>IFERROR(__xludf.DUMMYFUNCTION("""COMPUTED_VALUE"""),"BLACK")</f>
        <v>BLACK</v>
      </c>
      <c r="G11083" s="20" t="str">
        <f>IFERROR(__xludf.DUMMYFUNCTION("""COMPUTED_VALUE"""),"Uncle Sams Cider (04/04/2023)")</f>
        <v>Uncle Sams Cider (04/04/2023)</v>
      </c>
      <c r="H11083" s="19"/>
    </row>
    <row r="11084">
      <c r="A11084" s="9"/>
      <c r="B11084" s="15"/>
      <c r="C11084" s="9">
        <f>IFERROR(__xludf.DUMMYFUNCTION("""COMPUTED_VALUE"""),45027.8657271064)</f>
        <v>45027.86573</v>
      </c>
      <c r="D11084" s="15">
        <f>IFERROR(__xludf.DUMMYFUNCTION("""COMPUTED_VALUE"""),1.069)</f>
        <v>1.069</v>
      </c>
      <c r="E11084" s="16">
        <f>IFERROR(__xludf.DUMMYFUNCTION("""COMPUTED_VALUE"""),66.0)</f>
        <v>66</v>
      </c>
      <c r="F11084" s="19" t="str">
        <f>IFERROR(__xludf.DUMMYFUNCTION("""COMPUTED_VALUE"""),"BLACK")</f>
        <v>BLACK</v>
      </c>
      <c r="G11084" s="20" t="str">
        <f>IFERROR(__xludf.DUMMYFUNCTION("""COMPUTED_VALUE"""),"Uncle Sams Cider (04/04/2023)")</f>
        <v>Uncle Sams Cider (04/04/2023)</v>
      </c>
      <c r="H11084" s="19"/>
    </row>
    <row r="11085">
      <c r="A11085" s="9"/>
      <c r="B11085" s="15"/>
      <c r="C11085" s="9">
        <f>IFERROR(__xludf.DUMMYFUNCTION("""COMPUTED_VALUE"""),45027.8552957986)</f>
        <v>45027.8553</v>
      </c>
      <c r="D11085" s="15">
        <f>IFERROR(__xludf.DUMMYFUNCTION("""COMPUTED_VALUE"""),1.069)</f>
        <v>1.069</v>
      </c>
      <c r="E11085" s="16">
        <f>IFERROR(__xludf.DUMMYFUNCTION("""COMPUTED_VALUE"""),66.0)</f>
        <v>66</v>
      </c>
      <c r="F11085" s="19" t="str">
        <f>IFERROR(__xludf.DUMMYFUNCTION("""COMPUTED_VALUE"""),"BLACK")</f>
        <v>BLACK</v>
      </c>
      <c r="G11085" s="20" t="str">
        <f>IFERROR(__xludf.DUMMYFUNCTION("""COMPUTED_VALUE"""),"Uncle Sams Cider (04/04/2023)")</f>
        <v>Uncle Sams Cider (04/04/2023)</v>
      </c>
      <c r="H11085" s="19"/>
    </row>
    <row r="11086">
      <c r="A11086" s="9"/>
      <c r="B11086" s="15"/>
      <c r="C11086" s="9">
        <f>IFERROR(__xludf.DUMMYFUNCTION("""COMPUTED_VALUE"""),45027.8448637384)</f>
        <v>45027.84486</v>
      </c>
      <c r="D11086" s="15">
        <f>IFERROR(__xludf.DUMMYFUNCTION("""COMPUTED_VALUE"""),1.069)</f>
        <v>1.069</v>
      </c>
      <c r="E11086" s="16">
        <f>IFERROR(__xludf.DUMMYFUNCTION("""COMPUTED_VALUE"""),66.0)</f>
        <v>66</v>
      </c>
      <c r="F11086" s="19" t="str">
        <f>IFERROR(__xludf.DUMMYFUNCTION("""COMPUTED_VALUE"""),"BLACK")</f>
        <v>BLACK</v>
      </c>
      <c r="G11086" s="20" t="str">
        <f>IFERROR(__xludf.DUMMYFUNCTION("""COMPUTED_VALUE"""),"Uncle Sams Cider (04/04/2023)")</f>
        <v>Uncle Sams Cider (04/04/2023)</v>
      </c>
      <c r="H11086" s="19"/>
    </row>
    <row r="11087">
      <c r="A11087" s="9"/>
      <c r="B11087" s="15"/>
      <c r="C11087" s="9">
        <f>IFERROR(__xludf.DUMMYFUNCTION("""COMPUTED_VALUE"""),45027.8344430671)</f>
        <v>45027.83444</v>
      </c>
      <c r="D11087" s="15">
        <f>IFERROR(__xludf.DUMMYFUNCTION("""COMPUTED_VALUE"""),1.069)</f>
        <v>1.069</v>
      </c>
      <c r="E11087" s="16">
        <f>IFERROR(__xludf.DUMMYFUNCTION("""COMPUTED_VALUE"""),66.0)</f>
        <v>66</v>
      </c>
      <c r="F11087" s="19" t="str">
        <f>IFERROR(__xludf.DUMMYFUNCTION("""COMPUTED_VALUE"""),"BLACK")</f>
        <v>BLACK</v>
      </c>
      <c r="G11087" s="20" t="str">
        <f>IFERROR(__xludf.DUMMYFUNCTION("""COMPUTED_VALUE"""),"Uncle Sams Cider (04/04/2023)")</f>
        <v>Uncle Sams Cider (04/04/2023)</v>
      </c>
      <c r="H11087" s="19"/>
    </row>
    <row r="11088">
      <c r="A11088" s="9"/>
      <c r="B11088" s="15"/>
      <c r="C11088" s="9">
        <f>IFERROR(__xludf.DUMMYFUNCTION("""COMPUTED_VALUE"""),45027.824023206)</f>
        <v>45027.82402</v>
      </c>
      <c r="D11088" s="15">
        <f>IFERROR(__xludf.DUMMYFUNCTION("""COMPUTED_VALUE"""),1.069)</f>
        <v>1.069</v>
      </c>
      <c r="E11088" s="16">
        <f>IFERROR(__xludf.DUMMYFUNCTION("""COMPUTED_VALUE"""),66.0)</f>
        <v>66</v>
      </c>
      <c r="F11088" s="19" t="str">
        <f>IFERROR(__xludf.DUMMYFUNCTION("""COMPUTED_VALUE"""),"BLACK")</f>
        <v>BLACK</v>
      </c>
      <c r="G11088" s="20" t="str">
        <f>IFERROR(__xludf.DUMMYFUNCTION("""COMPUTED_VALUE"""),"Uncle Sams Cider (04/04/2023)")</f>
        <v>Uncle Sams Cider (04/04/2023)</v>
      </c>
      <c r="H11088" s="19"/>
    </row>
    <row r="11089">
      <c r="A11089" s="9"/>
      <c r="B11089" s="15"/>
      <c r="C11089" s="9">
        <f>IFERROR(__xludf.DUMMYFUNCTION("""COMPUTED_VALUE"""),45027.8136032176)</f>
        <v>45027.8136</v>
      </c>
      <c r="D11089" s="15">
        <f>IFERROR(__xludf.DUMMYFUNCTION("""COMPUTED_VALUE"""),1.069)</f>
        <v>1.069</v>
      </c>
      <c r="E11089" s="16">
        <f>IFERROR(__xludf.DUMMYFUNCTION("""COMPUTED_VALUE"""),66.0)</f>
        <v>66</v>
      </c>
      <c r="F11089" s="19" t="str">
        <f>IFERROR(__xludf.DUMMYFUNCTION("""COMPUTED_VALUE"""),"BLACK")</f>
        <v>BLACK</v>
      </c>
      <c r="G11089" s="20" t="str">
        <f>IFERROR(__xludf.DUMMYFUNCTION("""COMPUTED_VALUE"""),"Uncle Sams Cider (04/04/2023)")</f>
        <v>Uncle Sams Cider (04/04/2023)</v>
      </c>
      <c r="H11089" s="19"/>
    </row>
    <row r="11090">
      <c r="A11090" s="9"/>
      <c r="B11090" s="15"/>
      <c r="C11090" s="9">
        <f>IFERROR(__xludf.DUMMYFUNCTION("""COMPUTED_VALUE"""),45027.8031820717)</f>
        <v>45027.80318</v>
      </c>
      <c r="D11090" s="15">
        <f>IFERROR(__xludf.DUMMYFUNCTION("""COMPUTED_VALUE"""),1.069)</f>
        <v>1.069</v>
      </c>
      <c r="E11090" s="16">
        <f>IFERROR(__xludf.DUMMYFUNCTION("""COMPUTED_VALUE"""),66.0)</f>
        <v>66</v>
      </c>
      <c r="F11090" s="19" t="str">
        <f>IFERROR(__xludf.DUMMYFUNCTION("""COMPUTED_VALUE"""),"BLACK")</f>
        <v>BLACK</v>
      </c>
      <c r="G11090" s="20" t="str">
        <f>IFERROR(__xludf.DUMMYFUNCTION("""COMPUTED_VALUE"""),"Uncle Sams Cider (04/04/2023)")</f>
        <v>Uncle Sams Cider (04/04/2023)</v>
      </c>
      <c r="H11090" s="19"/>
    </row>
    <row r="11091">
      <c r="A11091" s="9"/>
      <c r="B11091" s="15"/>
      <c r="C11091" s="9">
        <f>IFERROR(__xludf.DUMMYFUNCTION("""COMPUTED_VALUE"""),45027.7927605208)</f>
        <v>45027.79276</v>
      </c>
      <c r="D11091" s="15">
        <f>IFERROR(__xludf.DUMMYFUNCTION("""COMPUTED_VALUE"""),1.069)</f>
        <v>1.069</v>
      </c>
      <c r="E11091" s="16">
        <f>IFERROR(__xludf.DUMMYFUNCTION("""COMPUTED_VALUE"""),66.0)</f>
        <v>66</v>
      </c>
      <c r="F11091" s="19" t="str">
        <f>IFERROR(__xludf.DUMMYFUNCTION("""COMPUTED_VALUE"""),"BLACK")</f>
        <v>BLACK</v>
      </c>
      <c r="G11091" s="20" t="str">
        <f>IFERROR(__xludf.DUMMYFUNCTION("""COMPUTED_VALUE"""),"Uncle Sams Cider (04/04/2023)")</f>
        <v>Uncle Sams Cider (04/04/2023)</v>
      </c>
      <c r="H11091" s="19"/>
    </row>
    <row r="11092">
      <c r="A11092" s="9"/>
      <c r="B11092" s="15"/>
      <c r="C11092" s="9">
        <f>IFERROR(__xludf.DUMMYFUNCTION("""COMPUTED_VALUE"""),45027.7823394676)</f>
        <v>45027.78234</v>
      </c>
      <c r="D11092" s="15">
        <f>IFERROR(__xludf.DUMMYFUNCTION("""COMPUTED_VALUE"""),1.069)</f>
        <v>1.069</v>
      </c>
      <c r="E11092" s="16">
        <f>IFERROR(__xludf.DUMMYFUNCTION("""COMPUTED_VALUE"""),66.0)</f>
        <v>66</v>
      </c>
      <c r="F11092" s="19" t="str">
        <f>IFERROR(__xludf.DUMMYFUNCTION("""COMPUTED_VALUE"""),"BLACK")</f>
        <v>BLACK</v>
      </c>
      <c r="G11092" s="20" t="str">
        <f>IFERROR(__xludf.DUMMYFUNCTION("""COMPUTED_VALUE"""),"Uncle Sams Cider (04/04/2023)")</f>
        <v>Uncle Sams Cider (04/04/2023)</v>
      </c>
      <c r="H11092" s="19"/>
    </row>
    <row r="11093">
      <c r="A11093" s="9"/>
      <c r="B11093" s="15"/>
      <c r="C11093" s="9">
        <f>IFERROR(__xludf.DUMMYFUNCTION("""COMPUTED_VALUE"""),45027.7719172222)</f>
        <v>45027.77192</v>
      </c>
      <c r="D11093" s="15">
        <f>IFERROR(__xludf.DUMMYFUNCTION("""COMPUTED_VALUE"""),1.069)</f>
        <v>1.069</v>
      </c>
      <c r="E11093" s="16">
        <f>IFERROR(__xludf.DUMMYFUNCTION("""COMPUTED_VALUE"""),66.0)</f>
        <v>66</v>
      </c>
      <c r="F11093" s="19" t="str">
        <f>IFERROR(__xludf.DUMMYFUNCTION("""COMPUTED_VALUE"""),"BLACK")</f>
        <v>BLACK</v>
      </c>
      <c r="G11093" s="20" t="str">
        <f>IFERROR(__xludf.DUMMYFUNCTION("""COMPUTED_VALUE"""),"Uncle Sams Cider (04/04/2023)")</f>
        <v>Uncle Sams Cider (04/04/2023)</v>
      </c>
      <c r="H11093" s="19"/>
    </row>
    <row r="11094">
      <c r="A11094" s="9"/>
      <c r="B11094" s="15"/>
      <c r="C11094" s="9">
        <f>IFERROR(__xludf.DUMMYFUNCTION("""COMPUTED_VALUE"""),45027.7614964004)</f>
        <v>45027.7615</v>
      </c>
      <c r="D11094" s="15">
        <f>IFERROR(__xludf.DUMMYFUNCTION("""COMPUTED_VALUE"""),1.069)</f>
        <v>1.069</v>
      </c>
      <c r="E11094" s="16">
        <f>IFERROR(__xludf.DUMMYFUNCTION("""COMPUTED_VALUE"""),66.0)</f>
        <v>66</v>
      </c>
      <c r="F11094" s="19" t="str">
        <f>IFERROR(__xludf.DUMMYFUNCTION("""COMPUTED_VALUE"""),"BLACK")</f>
        <v>BLACK</v>
      </c>
      <c r="G11094" s="20" t="str">
        <f>IFERROR(__xludf.DUMMYFUNCTION("""COMPUTED_VALUE"""),"Uncle Sams Cider (04/04/2023)")</f>
        <v>Uncle Sams Cider (04/04/2023)</v>
      </c>
      <c r="H11094" s="19"/>
    </row>
    <row r="11095">
      <c r="A11095" s="9"/>
      <c r="B11095" s="15"/>
      <c r="C11095" s="9">
        <f>IFERROR(__xludf.DUMMYFUNCTION("""COMPUTED_VALUE"""),45027.7510625694)</f>
        <v>45027.75106</v>
      </c>
      <c r="D11095" s="15">
        <f>IFERROR(__xludf.DUMMYFUNCTION("""COMPUTED_VALUE"""),1.069)</f>
        <v>1.069</v>
      </c>
      <c r="E11095" s="16">
        <f>IFERROR(__xludf.DUMMYFUNCTION("""COMPUTED_VALUE"""),66.0)</f>
        <v>66</v>
      </c>
      <c r="F11095" s="19" t="str">
        <f>IFERROR(__xludf.DUMMYFUNCTION("""COMPUTED_VALUE"""),"BLACK")</f>
        <v>BLACK</v>
      </c>
      <c r="G11095" s="20" t="str">
        <f>IFERROR(__xludf.DUMMYFUNCTION("""COMPUTED_VALUE"""),"Uncle Sams Cider (04/04/2023)")</f>
        <v>Uncle Sams Cider (04/04/2023)</v>
      </c>
      <c r="H11095" s="19"/>
    </row>
    <row r="11096">
      <c r="A11096" s="9"/>
      <c r="B11096" s="15"/>
      <c r="C11096" s="9">
        <f>IFERROR(__xludf.DUMMYFUNCTION("""COMPUTED_VALUE"""),45027.7406427777)</f>
        <v>45027.74064</v>
      </c>
      <c r="D11096" s="15">
        <f>IFERROR(__xludf.DUMMYFUNCTION("""COMPUTED_VALUE"""),1.069)</f>
        <v>1.069</v>
      </c>
      <c r="E11096" s="16">
        <f>IFERROR(__xludf.DUMMYFUNCTION("""COMPUTED_VALUE"""),66.0)</f>
        <v>66</v>
      </c>
      <c r="F11096" s="19" t="str">
        <f>IFERROR(__xludf.DUMMYFUNCTION("""COMPUTED_VALUE"""),"BLACK")</f>
        <v>BLACK</v>
      </c>
      <c r="G11096" s="20" t="str">
        <f>IFERROR(__xludf.DUMMYFUNCTION("""COMPUTED_VALUE"""),"Uncle Sams Cider (04/04/2023)")</f>
        <v>Uncle Sams Cider (04/04/2023)</v>
      </c>
      <c r="H11096" s="19"/>
    </row>
    <row r="11097">
      <c r="A11097" s="9"/>
      <c r="B11097" s="15"/>
      <c r="C11097" s="9">
        <f>IFERROR(__xludf.DUMMYFUNCTION("""COMPUTED_VALUE"""),45027.7301870486)</f>
        <v>45027.73019</v>
      </c>
      <c r="D11097" s="15">
        <f>IFERROR(__xludf.DUMMYFUNCTION("""COMPUTED_VALUE"""),1.069)</f>
        <v>1.069</v>
      </c>
      <c r="E11097" s="16">
        <f>IFERROR(__xludf.DUMMYFUNCTION("""COMPUTED_VALUE"""),66.0)</f>
        <v>66</v>
      </c>
      <c r="F11097" s="19" t="str">
        <f>IFERROR(__xludf.DUMMYFUNCTION("""COMPUTED_VALUE"""),"BLACK")</f>
        <v>BLACK</v>
      </c>
      <c r="G11097" s="20" t="str">
        <f>IFERROR(__xludf.DUMMYFUNCTION("""COMPUTED_VALUE"""),"Uncle Sams Cider (04/04/2023)")</f>
        <v>Uncle Sams Cider (04/04/2023)</v>
      </c>
      <c r="H11097" s="19"/>
    </row>
    <row r="11098">
      <c r="A11098" s="9"/>
      <c r="B11098" s="15"/>
      <c r="C11098" s="9">
        <f>IFERROR(__xludf.DUMMYFUNCTION("""COMPUTED_VALUE"""),45027.7197544444)</f>
        <v>45027.71975</v>
      </c>
      <c r="D11098" s="15">
        <f>IFERROR(__xludf.DUMMYFUNCTION("""COMPUTED_VALUE"""),1.069)</f>
        <v>1.069</v>
      </c>
      <c r="E11098" s="16">
        <f>IFERROR(__xludf.DUMMYFUNCTION("""COMPUTED_VALUE"""),66.0)</f>
        <v>66</v>
      </c>
      <c r="F11098" s="19" t="str">
        <f>IFERROR(__xludf.DUMMYFUNCTION("""COMPUTED_VALUE"""),"BLACK")</f>
        <v>BLACK</v>
      </c>
      <c r="G11098" s="20" t="str">
        <f>IFERROR(__xludf.DUMMYFUNCTION("""COMPUTED_VALUE"""),"Uncle Sams Cider (04/04/2023)")</f>
        <v>Uncle Sams Cider (04/04/2023)</v>
      </c>
      <c r="H11098" s="19"/>
    </row>
    <row r="11099">
      <c r="A11099" s="9"/>
      <c r="B11099" s="15"/>
      <c r="C11099" s="9">
        <f>IFERROR(__xludf.DUMMYFUNCTION("""COMPUTED_VALUE"""),45027.7093324421)</f>
        <v>45027.70933</v>
      </c>
      <c r="D11099" s="15">
        <f>IFERROR(__xludf.DUMMYFUNCTION("""COMPUTED_VALUE"""),1.069)</f>
        <v>1.069</v>
      </c>
      <c r="E11099" s="16">
        <f>IFERROR(__xludf.DUMMYFUNCTION("""COMPUTED_VALUE"""),66.0)</f>
        <v>66</v>
      </c>
      <c r="F11099" s="19" t="str">
        <f>IFERROR(__xludf.DUMMYFUNCTION("""COMPUTED_VALUE"""),"BLACK")</f>
        <v>BLACK</v>
      </c>
      <c r="G11099" s="20" t="str">
        <f>IFERROR(__xludf.DUMMYFUNCTION("""COMPUTED_VALUE"""),"Uncle Sams Cider (04/04/2023)")</f>
        <v>Uncle Sams Cider (04/04/2023)</v>
      </c>
      <c r="H11099" s="19"/>
    </row>
    <row r="11100">
      <c r="A11100" s="9"/>
      <c r="B11100" s="15"/>
      <c r="C11100" s="9">
        <f>IFERROR(__xludf.DUMMYFUNCTION("""COMPUTED_VALUE"""),45027.6989000347)</f>
        <v>45027.6989</v>
      </c>
      <c r="D11100" s="15">
        <f>IFERROR(__xludf.DUMMYFUNCTION("""COMPUTED_VALUE"""),1.069)</f>
        <v>1.069</v>
      </c>
      <c r="E11100" s="16">
        <f>IFERROR(__xludf.DUMMYFUNCTION("""COMPUTED_VALUE"""),66.0)</f>
        <v>66</v>
      </c>
      <c r="F11100" s="19" t="str">
        <f>IFERROR(__xludf.DUMMYFUNCTION("""COMPUTED_VALUE"""),"BLACK")</f>
        <v>BLACK</v>
      </c>
      <c r="G11100" s="20" t="str">
        <f>IFERROR(__xludf.DUMMYFUNCTION("""COMPUTED_VALUE"""),"Uncle Sams Cider (04/04/2023)")</f>
        <v>Uncle Sams Cider (04/04/2023)</v>
      </c>
      <c r="H11100" s="19"/>
    </row>
    <row r="11101">
      <c r="A11101" s="9"/>
      <c r="B11101" s="15"/>
      <c r="C11101" s="9">
        <f>IFERROR(__xludf.DUMMYFUNCTION("""COMPUTED_VALUE"""),45027.6884792013)</f>
        <v>45027.68848</v>
      </c>
      <c r="D11101" s="15">
        <f>IFERROR(__xludf.DUMMYFUNCTION("""COMPUTED_VALUE"""),1.069)</f>
        <v>1.069</v>
      </c>
      <c r="E11101" s="16">
        <f>IFERROR(__xludf.DUMMYFUNCTION("""COMPUTED_VALUE"""),66.0)</f>
        <v>66</v>
      </c>
      <c r="F11101" s="19" t="str">
        <f>IFERROR(__xludf.DUMMYFUNCTION("""COMPUTED_VALUE"""),"BLACK")</f>
        <v>BLACK</v>
      </c>
      <c r="G11101" s="20" t="str">
        <f>IFERROR(__xludf.DUMMYFUNCTION("""COMPUTED_VALUE"""),"Uncle Sams Cider (04/04/2023)")</f>
        <v>Uncle Sams Cider (04/04/2023)</v>
      </c>
      <c r="H11101" s="19"/>
    </row>
    <row r="11102">
      <c r="A11102" s="9"/>
      <c r="B11102" s="15"/>
      <c r="C11102" s="9">
        <f>IFERROR(__xludf.DUMMYFUNCTION("""COMPUTED_VALUE"""),45027.678058368)</f>
        <v>45027.67806</v>
      </c>
      <c r="D11102" s="15">
        <f>IFERROR(__xludf.DUMMYFUNCTION("""COMPUTED_VALUE"""),1.069)</f>
        <v>1.069</v>
      </c>
      <c r="E11102" s="16">
        <f>IFERROR(__xludf.DUMMYFUNCTION("""COMPUTED_VALUE"""),66.0)</f>
        <v>66</v>
      </c>
      <c r="F11102" s="19" t="str">
        <f>IFERROR(__xludf.DUMMYFUNCTION("""COMPUTED_VALUE"""),"BLACK")</f>
        <v>BLACK</v>
      </c>
      <c r="G11102" s="20" t="str">
        <f>IFERROR(__xludf.DUMMYFUNCTION("""COMPUTED_VALUE"""),"Uncle Sams Cider (04/04/2023)")</f>
        <v>Uncle Sams Cider (04/04/2023)</v>
      </c>
      <c r="H11102" s="19"/>
    </row>
    <row r="11103">
      <c r="A11103" s="9"/>
      <c r="B11103" s="15"/>
      <c r="C11103" s="9">
        <f>IFERROR(__xludf.DUMMYFUNCTION("""COMPUTED_VALUE"""),45027.6676371759)</f>
        <v>45027.66764</v>
      </c>
      <c r="D11103" s="15">
        <f>IFERROR(__xludf.DUMMYFUNCTION("""COMPUTED_VALUE"""),1.069)</f>
        <v>1.069</v>
      </c>
      <c r="E11103" s="16">
        <f>IFERROR(__xludf.DUMMYFUNCTION("""COMPUTED_VALUE"""),66.0)</f>
        <v>66</v>
      </c>
      <c r="F11103" s="19" t="str">
        <f>IFERROR(__xludf.DUMMYFUNCTION("""COMPUTED_VALUE"""),"BLACK")</f>
        <v>BLACK</v>
      </c>
      <c r="G11103" s="20" t="str">
        <f>IFERROR(__xludf.DUMMYFUNCTION("""COMPUTED_VALUE"""),"Uncle Sams Cider (04/04/2023)")</f>
        <v>Uncle Sams Cider (04/04/2023)</v>
      </c>
      <c r="H11103" s="19"/>
    </row>
    <row r="11104">
      <c r="A11104" s="9"/>
      <c r="B11104" s="15"/>
      <c r="C11104" s="9">
        <f>IFERROR(__xludf.DUMMYFUNCTION("""COMPUTED_VALUE"""),45027.657203449)</f>
        <v>45027.6572</v>
      </c>
      <c r="D11104" s="15">
        <f>IFERROR(__xludf.DUMMYFUNCTION("""COMPUTED_VALUE"""),1.069)</f>
        <v>1.069</v>
      </c>
      <c r="E11104" s="16">
        <f>IFERROR(__xludf.DUMMYFUNCTION("""COMPUTED_VALUE"""),66.0)</f>
        <v>66</v>
      </c>
      <c r="F11104" s="19" t="str">
        <f>IFERROR(__xludf.DUMMYFUNCTION("""COMPUTED_VALUE"""),"BLACK")</f>
        <v>BLACK</v>
      </c>
      <c r="G11104" s="20" t="str">
        <f>IFERROR(__xludf.DUMMYFUNCTION("""COMPUTED_VALUE"""),"Uncle Sams Cider (04/04/2023)")</f>
        <v>Uncle Sams Cider (04/04/2023)</v>
      </c>
      <c r="H11104" s="19"/>
    </row>
    <row r="11105">
      <c r="A11105" s="9"/>
      <c r="B11105" s="15"/>
      <c r="C11105" s="9">
        <f>IFERROR(__xludf.DUMMYFUNCTION("""COMPUTED_VALUE"""),45027.6467830208)</f>
        <v>45027.64678</v>
      </c>
      <c r="D11105" s="15">
        <f>IFERROR(__xludf.DUMMYFUNCTION("""COMPUTED_VALUE"""),1.07)</f>
        <v>1.07</v>
      </c>
      <c r="E11105" s="16">
        <f>IFERROR(__xludf.DUMMYFUNCTION("""COMPUTED_VALUE"""),66.0)</f>
        <v>66</v>
      </c>
      <c r="F11105" s="19" t="str">
        <f>IFERROR(__xludf.DUMMYFUNCTION("""COMPUTED_VALUE"""),"BLACK")</f>
        <v>BLACK</v>
      </c>
      <c r="G11105" s="20" t="str">
        <f>IFERROR(__xludf.DUMMYFUNCTION("""COMPUTED_VALUE"""),"Uncle Sams Cider (04/04/2023)")</f>
        <v>Uncle Sams Cider (04/04/2023)</v>
      </c>
      <c r="H11105" s="19"/>
    </row>
    <row r="11106">
      <c r="A11106" s="9"/>
      <c r="B11106" s="15"/>
      <c r="C11106" s="9">
        <f>IFERROR(__xludf.DUMMYFUNCTION("""COMPUTED_VALUE"""),45027.6363620486)</f>
        <v>45027.63636</v>
      </c>
      <c r="D11106" s="15">
        <f>IFERROR(__xludf.DUMMYFUNCTION("""COMPUTED_VALUE"""),1.07)</f>
        <v>1.07</v>
      </c>
      <c r="E11106" s="16">
        <f>IFERROR(__xludf.DUMMYFUNCTION("""COMPUTED_VALUE"""),66.0)</f>
        <v>66</v>
      </c>
      <c r="F11106" s="19" t="str">
        <f>IFERROR(__xludf.DUMMYFUNCTION("""COMPUTED_VALUE"""),"BLACK")</f>
        <v>BLACK</v>
      </c>
      <c r="G11106" s="20" t="str">
        <f>IFERROR(__xludf.DUMMYFUNCTION("""COMPUTED_VALUE"""),"Uncle Sams Cider (04/04/2023)")</f>
        <v>Uncle Sams Cider (04/04/2023)</v>
      </c>
      <c r="H11106" s="19"/>
    </row>
    <row r="11107">
      <c r="A11107" s="9"/>
      <c r="B11107" s="15"/>
      <c r="C11107" s="9">
        <f>IFERROR(__xludf.DUMMYFUNCTION("""COMPUTED_VALUE"""),45027.6259411689)</f>
        <v>45027.62594</v>
      </c>
      <c r="D11107" s="15">
        <f>IFERROR(__xludf.DUMMYFUNCTION("""COMPUTED_VALUE"""),1.07)</f>
        <v>1.07</v>
      </c>
      <c r="E11107" s="16">
        <f>IFERROR(__xludf.DUMMYFUNCTION("""COMPUTED_VALUE"""),66.0)</f>
        <v>66</v>
      </c>
      <c r="F11107" s="19" t="str">
        <f>IFERROR(__xludf.DUMMYFUNCTION("""COMPUTED_VALUE"""),"BLACK")</f>
        <v>BLACK</v>
      </c>
      <c r="G11107" s="20" t="str">
        <f>IFERROR(__xludf.DUMMYFUNCTION("""COMPUTED_VALUE"""),"Uncle Sams Cider (04/04/2023)")</f>
        <v>Uncle Sams Cider (04/04/2023)</v>
      </c>
      <c r="H11107" s="19"/>
    </row>
    <row r="11108">
      <c r="A11108" s="9"/>
      <c r="B11108" s="15"/>
      <c r="C11108" s="9">
        <f>IFERROR(__xludf.DUMMYFUNCTION("""COMPUTED_VALUE"""),45027.6155205439)</f>
        <v>45027.61552</v>
      </c>
      <c r="D11108" s="15">
        <f>IFERROR(__xludf.DUMMYFUNCTION("""COMPUTED_VALUE"""),1.07)</f>
        <v>1.07</v>
      </c>
      <c r="E11108" s="16">
        <f>IFERROR(__xludf.DUMMYFUNCTION("""COMPUTED_VALUE"""),66.0)</f>
        <v>66</v>
      </c>
      <c r="F11108" s="19" t="str">
        <f>IFERROR(__xludf.DUMMYFUNCTION("""COMPUTED_VALUE"""),"BLACK")</f>
        <v>BLACK</v>
      </c>
      <c r="G11108" s="20" t="str">
        <f>IFERROR(__xludf.DUMMYFUNCTION("""COMPUTED_VALUE"""),"Uncle Sams Cider (04/04/2023)")</f>
        <v>Uncle Sams Cider (04/04/2023)</v>
      </c>
      <c r="H11108" s="19"/>
    </row>
    <row r="11109">
      <c r="A11109" s="9"/>
      <c r="B11109" s="15"/>
      <c r="C11109" s="9">
        <f>IFERROR(__xludf.DUMMYFUNCTION("""COMPUTED_VALUE"""),45027.6050995138)</f>
        <v>45027.6051</v>
      </c>
      <c r="D11109" s="15">
        <f>IFERROR(__xludf.DUMMYFUNCTION("""COMPUTED_VALUE"""),1.07)</f>
        <v>1.07</v>
      </c>
      <c r="E11109" s="16">
        <f>IFERROR(__xludf.DUMMYFUNCTION("""COMPUTED_VALUE"""),66.0)</f>
        <v>66</v>
      </c>
      <c r="F11109" s="19" t="str">
        <f>IFERROR(__xludf.DUMMYFUNCTION("""COMPUTED_VALUE"""),"BLACK")</f>
        <v>BLACK</v>
      </c>
      <c r="G11109" s="20" t="str">
        <f>IFERROR(__xludf.DUMMYFUNCTION("""COMPUTED_VALUE"""),"Uncle Sams Cider (04/04/2023)")</f>
        <v>Uncle Sams Cider (04/04/2023)</v>
      </c>
      <c r="H11109" s="19"/>
    </row>
    <row r="11110">
      <c r="A11110" s="9"/>
      <c r="B11110" s="15"/>
      <c r="C11110" s="9">
        <f>IFERROR(__xludf.DUMMYFUNCTION("""COMPUTED_VALUE"""),45027.5946194907)</f>
        <v>45027.59462</v>
      </c>
      <c r="D11110" s="15">
        <f>IFERROR(__xludf.DUMMYFUNCTION("""COMPUTED_VALUE"""),1.07)</f>
        <v>1.07</v>
      </c>
      <c r="E11110" s="16">
        <f>IFERROR(__xludf.DUMMYFUNCTION("""COMPUTED_VALUE"""),66.0)</f>
        <v>66</v>
      </c>
      <c r="F11110" s="19" t="str">
        <f>IFERROR(__xludf.DUMMYFUNCTION("""COMPUTED_VALUE"""),"BLACK")</f>
        <v>BLACK</v>
      </c>
      <c r="G11110" s="20" t="str">
        <f>IFERROR(__xludf.DUMMYFUNCTION("""COMPUTED_VALUE"""),"Uncle Sams Cider (04/04/2023)")</f>
        <v>Uncle Sams Cider (04/04/2023)</v>
      </c>
      <c r="H11110" s="19"/>
    </row>
    <row r="11111">
      <c r="A11111" s="9"/>
      <c r="B11111" s="15"/>
      <c r="C11111" s="9">
        <f>IFERROR(__xludf.DUMMYFUNCTION("""COMPUTED_VALUE"""),45027.5841992129)</f>
        <v>45027.5842</v>
      </c>
      <c r="D11111" s="15">
        <f>IFERROR(__xludf.DUMMYFUNCTION("""COMPUTED_VALUE"""),1.07)</f>
        <v>1.07</v>
      </c>
      <c r="E11111" s="16">
        <f>IFERROR(__xludf.DUMMYFUNCTION("""COMPUTED_VALUE"""),66.0)</f>
        <v>66</v>
      </c>
      <c r="F11111" s="19" t="str">
        <f>IFERROR(__xludf.DUMMYFUNCTION("""COMPUTED_VALUE"""),"BLACK")</f>
        <v>BLACK</v>
      </c>
      <c r="G11111" s="20" t="str">
        <f>IFERROR(__xludf.DUMMYFUNCTION("""COMPUTED_VALUE"""),"Uncle Sams Cider (04/04/2023)")</f>
        <v>Uncle Sams Cider (04/04/2023)</v>
      </c>
      <c r="H11111" s="19"/>
    </row>
    <row r="11112">
      <c r="A11112" s="9"/>
      <c r="B11112" s="15"/>
      <c r="C11112" s="9">
        <f>IFERROR(__xludf.DUMMYFUNCTION("""COMPUTED_VALUE"""),45027.5737779398)</f>
        <v>45027.57378</v>
      </c>
      <c r="D11112" s="15">
        <f>IFERROR(__xludf.DUMMYFUNCTION("""COMPUTED_VALUE"""),1.07)</f>
        <v>1.07</v>
      </c>
      <c r="E11112" s="16">
        <f>IFERROR(__xludf.DUMMYFUNCTION("""COMPUTED_VALUE"""),66.0)</f>
        <v>66</v>
      </c>
      <c r="F11112" s="19" t="str">
        <f>IFERROR(__xludf.DUMMYFUNCTION("""COMPUTED_VALUE"""),"BLACK")</f>
        <v>BLACK</v>
      </c>
      <c r="G11112" s="20" t="str">
        <f>IFERROR(__xludf.DUMMYFUNCTION("""COMPUTED_VALUE"""),"Uncle Sams Cider (04/04/2023)")</f>
        <v>Uncle Sams Cider (04/04/2023)</v>
      </c>
      <c r="H11112" s="19"/>
    </row>
    <row r="11113">
      <c r="A11113" s="9"/>
      <c r="B11113" s="15"/>
      <c r="C11113" s="9">
        <f>IFERROR(__xludf.DUMMYFUNCTION("""COMPUTED_VALUE"""),45027.5633451736)</f>
        <v>45027.56335</v>
      </c>
      <c r="D11113" s="15">
        <f>IFERROR(__xludf.DUMMYFUNCTION("""COMPUTED_VALUE"""),1.07)</f>
        <v>1.07</v>
      </c>
      <c r="E11113" s="16">
        <f>IFERROR(__xludf.DUMMYFUNCTION("""COMPUTED_VALUE"""),66.0)</f>
        <v>66</v>
      </c>
      <c r="F11113" s="19" t="str">
        <f>IFERROR(__xludf.DUMMYFUNCTION("""COMPUTED_VALUE"""),"BLACK")</f>
        <v>BLACK</v>
      </c>
      <c r="G11113" s="20" t="str">
        <f>IFERROR(__xludf.DUMMYFUNCTION("""COMPUTED_VALUE"""),"Uncle Sams Cider (04/04/2023)")</f>
        <v>Uncle Sams Cider (04/04/2023)</v>
      </c>
      <c r="H11113" s="19"/>
    </row>
    <row r="11114">
      <c r="A11114" s="9"/>
      <c r="B11114" s="15"/>
      <c r="C11114" s="9">
        <f>IFERROR(__xludf.DUMMYFUNCTION("""COMPUTED_VALUE"""),45027.5529259953)</f>
        <v>45027.55293</v>
      </c>
      <c r="D11114" s="15">
        <f>IFERROR(__xludf.DUMMYFUNCTION("""COMPUTED_VALUE"""),1.07)</f>
        <v>1.07</v>
      </c>
      <c r="E11114" s="16">
        <f>IFERROR(__xludf.DUMMYFUNCTION("""COMPUTED_VALUE"""),66.0)</f>
        <v>66</v>
      </c>
      <c r="F11114" s="19" t="str">
        <f>IFERROR(__xludf.DUMMYFUNCTION("""COMPUTED_VALUE"""),"BLACK")</f>
        <v>BLACK</v>
      </c>
      <c r="G11114" s="20" t="str">
        <f>IFERROR(__xludf.DUMMYFUNCTION("""COMPUTED_VALUE"""),"Uncle Sams Cider (04/04/2023)")</f>
        <v>Uncle Sams Cider (04/04/2023)</v>
      </c>
      <c r="H11114" s="19"/>
    </row>
    <row r="11115">
      <c r="A11115" s="9"/>
      <c r="B11115" s="15"/>
      <c r="C11115" s="9">
        <f>IFERROR(__xludf.DUMMYFUNCTION("""COMPUTED_VALUE"""),45027.5425056597)</f>
        <v>45027.54251</v>
      </c>
      <c r="D11115" s="15">
        <f>IFERROR(__xludf.DUMMYFUNCTION("""COMPUTED_VALUE"""),1.07)</f>
        <v>1.07</v>
      </c>
      <c r="E11115" s="16">
        <f>IFERROR(__xludf.DUMMYFUNCTION("""COMPUTED_VALUE"""),66.0)</f>
        <v>66</v>
      </c>
      <c r="F11115" s="19" t="str">
        <f>IFERROR(__xludf.DUMMYFUNCTION("""COMPUTED_VALUE"""),"BLACK")</f>
        <v>BLACK</v>
      </c>
      <c r="G11115" s="20" t="str">
        <f>IFERROR(__xludf.DUMMYFUNCTION("""COMPUTED_VALUE"""),"Uncle Sams Cider (04/04/2023)")</f>
        <v>Uncle Sams Cider (04/04/2023)</v>
      </c>
      <c r="H11115" s="19"/>
    </row>
    <row r="11116">
      <c r="A11116" s="9"/>
      <c r="B11116" s="15"/>
      <c r="C11116" s="9">
        <f>IFERROR(__xludf.DUMMYFUNCTION("""COMPUTED_VALUE"""),45027.532085706)</f>
        <v>45027.53209</v>
      </c>
      <c r="D11116" s="15">
        <f>IFERROR(__xludf.DUMMYFUNCTION("""COMPUTED_VALUE"""),1.07)</f>
        <v>1.07</v>
      </c>
      <c r="E11116" s="16">
        <f>IFERROR(__xludf.DUMMYFUNCTION("""COMPUTED_VALUE"""),66.0)</f>
        <v>66</v>
      </c>
      <c r="F11116" s="19" t="str">
        <f>IFERROR(__xludf.DUMMYFUNCTION("""COMPUTED_VALUE"""),"BLACK")</f>
        <v>BLACK</v>
      </c>
      <c r="G11116" s="20" t="str">
        <f>IFERROR(__xludf.DUMMYFUNCTION("""COMPUTED_VALUE"""),"Uncle Sams Cider (04/04/2023)")</f>
        <v>Uncle Sams Cider (04/04/2023)</v>
      </c>
      <c r="H11116" s="19"/>
    </row>
    <row r="11117">
      <c r="A11117" s="9"/>
      <c r="B11117" s="15"/>
      <c r="C11117" s="9">
        <f>IFERROR(__xludf.DUMMYFUNCTION("""COMPUTED_VALUE"""),45027.5216644097)</f>
        <v>45027.52166</v>
      </c>
      <c r="D11117" s="15">
        <f>IFERROR(__xludf.DUMMYFUNCTION("""COMPUTED_VALUE"""),1.07)</f>
        <v>1.07</v>
      </c>
      <c r="E11117" s="16">
        <f>IFERROR(__xludf.DUMMYFUNCTION("""COMPUTED_VALUE"""),66.0)</f>
        <v>66</v>
      </c>
      <c r="F11117" s="19" t="str">
        <f>IFERROR(__xludf.DUMMYFUNCTION("""COMPUTED_VALUE"""),"BLACK")</f>
        <v>BLACK</v>
      </c>
      <c r="G11117" s="20" t="str">
        <f>IFERROR(__xludf.DUMMYFUNCTION("""COMPUTED_VALUE"""),"Uncle Sams Cider (04/04/2023)")</f>
        <v>Uncle Sams Cider (04/04/2023)</v>
      </c>
      <c r="H11117" s="19"/>
    </row>
    <row r="11118">
      <c r="A11118" s="9"/>
      <c r="B11118" s="15"/>
      <c r="C11118" s="9">
        <f>IFERROR(__xludf.DUMMYFUNCTION("""COMPUTED_VALUE"""),45027.5112447916)</f>
        <v>45027.51124</v>
      </c>
      <c r="D11118" s="15">
        <f>IFERROR(__xludf.DUMMYFUNCTION("""COMPUTED_VALUE"""),1.07)</f>
        <v>1.07</v>
      </c>
      <c r="E11118" s="16">
        <f>IFERROR(__xludf.DUMMYFUNCTION("""COMPUTED_VALUE"""),66.0)</f>
        <v>66</v>
      </c>
      <c r="F11118" s="19" t="str">
        <f>IFERROR(__xludf.DUMMYFUNCTION("""COMPUTED_VALUE"""),"BLACK")</f>
        <v>BLACK</v>
      </c>
      <c r="G11118" s="20" t="str">
        <f>IFERROR(__xludf.DUMMYFUNCTION("""COMPUTED_VALUE"""),"Uncle Sams Cider (04/04/2023)")</f>
        <v>Uncle Sams Cider (04/04/2023)</v>
      </c>
      <c r="H11118" s="19"/>
    </row>
    <row r="11119">
      <c r="A11119" s="9"/>
      <c r="B11119" s="15"/>
      <c r="C11119" s="9">
        <f>IFERROR(__xludf.DUMMYFUNCTION("""COMPUTED_VALUE"""),45027.5008121759)</f>
        <v>45027.50081</v>
      </c>
      <c r="D11119" s="15">
        <f>IFERROR(__xludf.DUMMYFUNCTION("""COMPUTED_VALUE"""),1.07)</f>
        <v>1.07</v>
      </c>
      <c r="E11119" s="16">
        <f>IFERROR(__xludf.DUMMYFUNCTION("""COMPUTED_VALUE"""),66.0)</f>
        <v>66</v>
      </c>
      <c r="F11119" s="19" t="str">
        <f>IFERROR(__xludf.DUMMYFUNCTION("""COMPUTED_VALUE"""),"BLACK")</f>
        <v>BLACK</v>
      </c>
      <c r="G11119" s="20" t="str">
        <f>IFERROR(__xludf.DUMMYFUNCTION("""COMPUTED_VALUE"""),"Uncle Sams Cider (04/04/2023)")</f>
        <v>Uncle Sams Cider (04/04/2023)</v>
      </c>
      <c r="H11119" s="19"/>
    </row>
    <row r="11120">
      <c r="A11120" s="9"/>
      <c r="B11120" s="15"/>
      <c r="C11120" s="9">
        <f>IFERROR(__xludf.DUMMYFUNCTION("""COMPUTED_VALUE"""),45027.4903918287)</f>
        <v>45027.49039</v>
      </c>
      <c r="D11120" s="15">
        <f>IFERROR(__xludf.DUMMYFUNCTION("""COMPUTED_VALUE"""),1.07)</f>
        <v>1.07</v>
      </c>
      <c r="E11120" s="16">
        <f>IFERROR(__xludf.DUMMYFUNCTION("""COMPUTED_VALUE"""),66.0)</f>
        <v>66</v>
      </c>
      <c r="F11120" s="19" t="str">
        <f>IFERROR(__xludf.DUMMYFUNCTION("""COMPUTED_VALUE"""),"BLACK")</f>
        <v>BLACK</v>
      </c>
      <c r="G11120" s="20" t="str">
        <f>IFERROR(__xludf.DUMMYFUNCTION("""COMPUTED_VALUE"""),"Uncle Sams Cider (04/04/2023)")</f>
        <v>Uncle Sams Cider (04/04/2023)</v>
      </c>
      <c r="H11120" s="19"/>
    </row>
    <row r="11121">
      <c r="A11121" s="9"/>
      <c r="B11121" s="15"/>
      <c r="C11121" s="9">
        <f>IFERROR(__xludf.DUMMYFUNCTION("""COMPUTED_VALUE"""),45027.4799710532)</f>
        <v>45027.47997</v>
      </c>
      <c r="D11121" s="15">
        <f>IFERROR(__xludf.DUMMYFUNCTION("""COMPUTED_VALUE"""),1.07)</f>
        <v>1.07</v>
      </c>
      <c r="E11121" s="16">
        <f>IFERROR(__xludf.DUMMYFUNCTION("""COMPUTED_VALUE"""),66.0)</f>
        <v>66</v>
      </c>
      <c r="F11121" s="19" t="str">
        <f>IFERROR(__xludf.DUMMYFUNCTION("""COMPUTED_VALUE"""),"BLACK")</f>
        <v>BLACK</v>
      </c>
      <c r="G11121" s="20" t="str">
        <f>IFERROR(__xludf.DUMMYFUNCTION("""COMPUTED_VALUE"""),"Uncle Sams Cider (04/04/2023)")</f>
        <v>Uncle Sams Cider (04/04/2023)</v>
      </c>
      <c r="H11121" s="19"/>
    </row>
    <row r="11122">
      <c r="A11122" s="9"/>
      <c r="B11122" s="15"/>
      <c r="C11122" s="9">
        <f>IFERROR(__xludf.DUMMYFUNCTION("""COMPUTED_VALUE"""),45027.4695365972)</f>
        <v>45027.46954</v>
      </c>
      <c r="D11122" s="15">
        <f>IFERROR(__xludf.DUMMYFUNCTION("""COMPUTED_VALUE"""),1.07)</f>
        <v>1.07</v>
      </c>
      <c r="E11122" s="16">
        <f>IFERROR(__xludf.DUMMYFUNCTION("""COMPUTED_VALUE"""),66.0)</f>
        <v>66</v>
      </c>
      <c r="F11122" s="19" t="str">
        <f>IFERROR(__xludf.DUMMYFUNCTION("""COMPUTED_VALUE"""),"BLACK")</f>
        <v>BLACK</v>
      </c>
      <c r="G11122" s="20" t="str">
        <f>IFERROR(__xludf.DUMMYFUNCTION("""COMPUTED_VALUE"""),"Uncle Sams Cider (04/04/2023)")</f>
        <v>Uncle Sams Cider (04/04/2023)</v>
      </c>
      <c r="H11122" s="19"/>
    </row>
    <row r="11123">
      <c r="A11123" s="9"/>
      <c r="B11123" s="15"/>
      <c r="C11123" s="9">
        <f>IFERROR(__xludf.DUMMYFUNCTION("""COMPUTED_VALUE"""),45027.4590907175)</f>
        <v>45027.45909</v>
      </c>
      <c r="D11123" s="15">
        <f>IFERROR(__xludf.DUMMYFUNCTION("""COMPUTED_VALUE"""),1.07)</f>
        <v>1.07</v>
      </c>
      <c r="E11123" s="16">
        <f>IFERROR(__xludf.DUMMYFUNCTION("""COMPUTED_VALUE"""),66.0)</f>
        <v>66</v>
      </c>
      <c r="F11123" s="19" t="str">
        <f>IFERROR(__xludf.DUMMYFUNCTION("""COMPUTED_VALUE"""),"BLACK")</f>
        <v>BLACK</v>
      </c>
      <c r="G11123" s="20" t="str">
        <f>IFERROR(__xludf.DUMMYFUNCTION("""COMPUTED_VALUE"""),"Uncle Sams Cider (04/04/2023)")</f>
        <v>Uncle Sams Cider (04/04/2023)</v>
      </c>
      <c r="H11123" s="19"/>
    </row>
    <row r="11124">
      <c r="A11124" s="9"/>
      <c r="B11124" s="15"/>
      <c r="C11124" s="9">
        <f>IFERROR(__xludf.DUMMYFUNCTION("""COMPUTED_VALUE"""),45027.4486574768)</f>
        <v>45027.44866</v>
      </c>
      <c r="D11124" s="15">
        <f>IFERROR(__xludf.DUMMYFUNCTION("""COMPUTED_VALUE"""),1.07)</f>
        <v>1.07</v>
      </c>
      <c r="E11124" s="16">
        <f>IFERROR(__xludf.DUMMYFUNCTION("""COMPUTED_VALUE"""),66.0)</f>
        <v>66</v>
      </c>
      <c r="F11124" s="19" t="str">
        <f>IFERROR(__xludf.DUMMYFUNCTION("""COMPUTED_VALUE"""),"BLACK")</f>
        <v>BLACK</v>
      </c>
      <c r="G11124" s="20" t="str">
        <f>IFERROR(__xludf.DUMMYFUNCTION("""COMPUTED_VALUE"""),"Uncle Sams Cider (04/04/2023)")</f>
        <v>Uncle Sams Cider (04/04/2023)</v>
      </c>
      <c r="H11124" s="19"/>
    </row>
    <row r="11125">
      <c r="A11125" s="9"/>
      <c r="B11125" s="15"/>
      <c r="C11125" s="9">
        <f>IFERROR(__xludf.DUMMYFUNCTION("""COMPUTED_VALUE"""),45027.4382250231)</f>
        <v>45027.43823</v>
      </c>
      <c r="D11125" s="15">
        <f>IFERROR(__xludf.DUMMYFUNCTION("""COMPUTED_VALUE"""),1.07)</f>
        <v>1.07</v>
      </c>
      <c r="E11125" s="16">
        <f>IFERROR(__xludf.DUMMYFUNCTION("""COMPUTED_VALUE"""),66.0)</f>
        <v>66</v>
      </c>
      <c r="F11125" s="19" t="str">
        <f>IFERROR(__xludf.DUMMYFUNCTION("""COMPUTED_VALUE"""),"BLACK")</f>
        <v>BLACK</v>
      </c>
      <c r="G11125" s="20" t="str">
        <f>IFERROR(__xludf.DUMMYFUNCTION("""COMPUTED_VALUE"""),"Uncle Sams Cider (04/04/2023)")</f>
        <v>Uncle Sams Cider (04/04/2023)</v>
      </c>
      <c r="H11125" s="19"/>
    </row>
    <row r="11126">
      <c r="A11126" s="9"/>
      <c r="B11126" s="15"/>
      <c r="C11126" s="9">
        <f>IFERROR(__xludf.DUMMYFUNCTION("""COMPUTED_VALUE"""),45027.4278030092)</f>
        <v>45027.4278</v>
      </c>
      <c r="D11126" s="15">
        <f>IFERROR(__xludf.DUMMYFUNCTION("""COMPUTED_VALUE"""),1.071)</f>
        <v>1.071</v>
      </c>
      <c r="E11126" s="16">
        <f>IFERROR(__xludf.DUMMYFUNCTION("""COMPUTED_VALUE"""),66.0)</f>
        <v>66</v>
      </c>
      <c r="F11126" s="19" t="str">
        <f>IFERROR(__xludf.DUMMYFUNCTION("""COMPUTED_VALUE"""),"BLACK")</f>
        <v>BLACK</v>
      </c>
      <c r="G11126" s="20" t="str">
        <f>IFERROR(__xludf.DUMMYFUNCTION("""COMPUTED_VALUE"""),"Uncle Sams Cider (04/04/2023)")</f>
        <v>Uncle Sams Cider (04/04/2023)</v>
      </c>
      <c r="H11126" s="19"/>
    </row>
    <row r="11127">
      <c r="A11127" s="9"/>
      <c r="B11127" s="15"/>
      <c r="C11127" s="9">
        <f>IFERROR(__xludf.DUMMYFUNCTION("""COMPUTED_VALUE"""),45027.4173811574)</f>
        <v>45027.41738</v>
      </c>
      <c r="D11127" s="15">
        <f>IFERROR(__xludf.DUMMYFUNCTION("""COMPUTED_VALUE"""),1.07)</f>
        <v>1.07</v>
      </c>
      <c r="E11127" s="16">
        <f>IFERROR(__xludf.DUMMYFUNCTION("""COMPUTED_VALUE"""),66.0)</f>
        <v>66</v>
      </c>
      <c r="F11127" s="19" t="str">
        <f>IFERROR(__xludf.DUMMYFUNCTION("""COMPUTED_VALUE"""),"BLACK")</f>
        <v>BLACK</v>
      </c>
      <c r="G11127" s="20" t="str">
        <f>IFERROR(__xludf.DUMMYFUNCTION("""COMPUTED_VALUE"""),"Uncle Sams Cider (04/04/2023)")</f>
        <v>Uncle Sams Cider (04/04/2023)</v>
      </c>
      <c r="H11127" s="19"/>
    </row>
    <row r="11128">
      <c r="A11128" s="9"/>
      <c r="B11128" s="15"/>
      <c r="C11128" s="9">
        <f>IFERROR(__xludf.DUMMYFUNCTION("""COMPUTED_VALUE"""),45027.406961493)</f>
        <v>45027.40696</v>
      </c>
      <c r="D11128" s="15">
        <f>IFERROR(__xludf.DUMMYFUNCTION("""COMPUTED_VALUE"""),1.071)</f>
        <v>1.071</v>
      </c>
      <c r="E11128" s="16">
        <f>IFERROR(__xludf.DUMMYFUNCTION("""COMPUTED_VALUE"""),66.0)</f>
        <v>66</v>
      </c>
      <c r="F11128" s="19" t="str">
        <f>IFERROR(__xludf.DUMMYFUNCTION("""COMPUTED_VALUE"""),"BLACK")</f>
        <v>BLACK</v>
      </c>
      <c r="G11128" s="20" t="str">
        <f>IFERROR(__xludf.DUMMYFUNCTION("""COMPUTED_VALUE"""),"Uncle Sams Cider (04/04/2023)")</f>
        <v>Uncle Sams Cider (04/04/2023)</v>
      </c>
      <c r="H11128" s="19"/>
    </row>
    <row r="11129">
      <c r="A11129" s="9"/>
      <c r="B11129" s="15"/>
      <c r="C11129" s="9">
        <f>IFERROR(__xludf.DUMMYFUNCTION("""COMPUTED_VALUE"""),45027.3965414351)</f>
        <v>45027.39654</v>
      </c>
      <c r="D11129" s="15">
        <f>IFERROR(__xludf.DUMMYFUNCTION("""COMPUTED_VALUE"""),1.071)</f>
        <v>1.071</v>
      </c>
      <c r="E11129" s="16">
        <f>IFERROR(__xludf.DUMMYFUNCTION("""COMPUTED_VALUE"""),66.0)</f>
        <v>66</v>
      </c>
      <c r="F11129" s="19" t="str">
        <f>IFERROR(__xludf.DUMMYFUNCTION("""COMPUTED_VALUE"""),"BLACK")</f>
        <v>BLACK</v>
      </c>
      <c r="G11129" s="20" t="str">
        <f>IFERROR(__xludf.DUMMYFUNCTION("""COMPUTED_VALUE"""),"Uncle Sams Cider (04/04/2023)")</f>
        <v>Uncle Sams Cider (04/04/2023)</v>
      </c>
      <c r="H11129" s="19"/>
    </row>
    <row r="11130">
      <c r="A11130" s="9"/>
      <c r="B11130" s="15"/>
      <c r="C11130" s="9">
        <f>IFERROR(__xludf.DUMMYFUNCTION("""COMPUTED_VALUE"""),45027.3861202314)</f>
        <v>45027.38612</v>
      </c>
      <c r="D11130" s="15">
        <f>IFERROR(__xludf.DUMMYFUNCTION("""COMPUTED_VALUE"""),1.07)</f>
        <v>1.07</v>
      </c>
      <c r="E11130" s="16">
        <f>IFERROR(__xludf.DUMMYFUNCTION("""COMPUTED_VALUE"""),66.0)</f>
        <v>66</v>
      </c>
      <c r="F11130" s="19" t="str">
        <f>IFERROR(__xludf.DUMMYFUNCTION("""COMPUTED_VALUE"""),"BLACK")</f>
        <v>BLACK</v>
      </c>
      <c r="G11130" s="20" t="str">
        <f>IFERROR(__xludf.DUMMYFUNCTION("""COMPUTED_VALUE"""),"Uncle Sams Cider (04/04/2023)")</f>
        <v>Uncle Sams Cider (04/04/2023)</v>
      </c>
      <c r="H11130" s="19"/>
    </row>
    <row r="11131">
      <c r="A11131" s="9"/>
      <c r="B11131" s="15"/>
      <c r="C11131" s="9">
        <f>IFERROR(__xludf.DUMMYFUNCTION("""COMPUTED_VALUE"""),45027.3756999421)</f>
        <v>45027.3757</v>
      </c>
      <c r="D11131" s="15">
        <f>IFERROR(__xludf.DUMMYFUNCTION("""COMPUTED_VALUE"""),1.071)</f>
        <v>1.071</v>
      </c>
      <c r="E11131" s="16">
        <f>IFERROR(__xludf.DUMMYFUNCTION("""COMPUTED_VALUE"""),66.0)</f>
        <v>66</v>
      </c>
      <c r="F11131" s="19" t="str">
        <f>IFERROR(__xludf.DUMMYFUNCTION("""COMPUTED_VALUE"""),"BLACK")</f>
        <v>BLACK</v>
      </c>
      <c r="G11131" s="20" t="str">
        <f>IFERROR(__xludf.DUMMYFUNCTION("""COMPUTED_VALUE"""),"Uncle Sams Cider (04/04/2023)")</f>
        <v>Uncle Sams Cider (04/04/2023)</v>
      </c>
      <c r="H11131" s="19"/>
    </row>
    <row r="11132">
      <c r="A11132" s="9"/>
      <c r="B11132" s="15"/>
      <c r="C11132" s="9">
        <f>IFERROR(__xludf.DUMMYFUNCTION("""COMPUTED_VALUE"""),45027.3652767361)</f>
        <v>45027.36528</v>
      </c>
      <c r="D11132" s="15">
        <f>IFERROR(__xludf.DUMMYFUNCTION("""COMPUTED_VALUE"""),1.071)</f>
        <v>1.071</v>
      </c>
      <c r="E11132" s="16">
        <f>IFERROR(__xludf.DUMMYFUNCTION("""COMPUTED_VALUE"""),66.0)</f>
        <v>66</v>
      </c>
      <c r="F11132" s="19" t="str">
        <f>IFERROR(__xludf.DUMMYFUNCTION("""COMPUTED_VALUE"""),"BLACK")</f>
        <v>BLACK</v>
      </c>
      <c r="G11132" s="20" t="str">
        <f>IFERROR(__xludf.DUMMYFUNCTION("""COMPUTED_VALUE"""),"Uncle Sams Cider (04/04/2023)")</f>
        <v>Uncle Sams Cider (04/04/2023)</v>
      </c>
      <c r="H11132" s="19"/>
    </row>
    <row r="11133">
      <c r="A11133" s="9"/>
      <c r="B11133" s="15"/>
      <c r="C11133" s="9">
        <f>IFERROR(__xludf.DUMMYFUNCTION("""COMPUTED_VALUE"""),45027.3548450115)</f>
        <v>45027.35485</v>
      </c>
      <c r="D11133" s="15">
        <f>IFERROR(__xludf.DUMMYFUNCTION("""COMPUTED_VALUE"""),1.071)</f>
        <v>1.071</v>
      </c>
      <c r="E11133" s="16">
        <f>IFERROR(__xludf.DUMMYFUNCTION("""COMPUTED_VALUE"""),66.0)</f>
        <v>66</v>
      </c>
      <c r="F11133" s="19" t="str">
        <f>IFERROR(__xludf.DUMMYFUNCTION("""COMPUTED_VALUE"""),"BLACK")</f>
        <v>BLACK</v>
      </c>
      <c r="G11133" s="20" t="str">
        <f>IFERROR(__xludf.DUMMYFUNCTION("""COMPUTED_VALUE"""),"Uncle Sams Cider (04/04/2023)")</f>
        <v>Uncle Sams Cider (04/04/2023)</v>
      </c>
      <c r="H11133" s="19"/>
    </row>
    <row r="11134">
      <c r="A11134" s="9"/>
      <c r="B11134" s="15"/>
      <c r="C11134" s="9">
        <f>IFERROR(__xludf.DUMMYFUNCTION("""COMPUTED_VALUE"""),45027.3444145023)</f>
        <v>45027.34441</v>
      </c>
      <c r="D11134" s="15">
        <f>IFERROR(__xludf.DUMMYFUNCTION("""COMPUTED_VALUE"""),1.071)</f>
        <v>1.071</v>
      </c>
      <c r="E11134" s="16">
        <f>IFERROR(__xludf.DUMMYFUNCTION("""COMPUTED_VALUE"""),66.0)</f>
        <v>66</v>
      </c>
      <c r="F11134" s="19" t="str">
        <f>IFERROR(__xludf.DUMMYFUNCTION("""COMPUTED_VALUE"""),"BLACK")</f>
        <v>BLACK</v>
      </c>
      <c r="G11134" s="20" t="str">
        <f>IFERROR(__xludf.DUMMYFUNCTION("""COMPUTED_VALUE"""),"Uncle Sams Cider (04/04/2023)")</f>
        <v>Uncle Sams Cider (04/04/2023)</v>
      </c>
      <c r="H11134" s="19"/>
    </row>
    <row r="11135">
      <c r="A11135" s="9"/>
      <c r="B11135" s="15"/>
      <c r="C11135" s="9">
        <f>IFERROR(__xludf.DUMMYFUNCTION("""COMPUTED_VALUE"""),45027.3339931481)</f>
        <v>45027.33399</v>
      </c>
      <c r="D11135" s="15">
        <f>IFERROR(__xludf.DUMMYFUNCTION("""COMPUTED_VALUE"""),1.071)</f>
        <v>1.071</v>
      </c>
      <c r="E11135" s="16">
        <f>IFERROR(__xludf.DUMMYFUNCTION("""COMPUTED_VALUE"""),66.0)</f>
        <v>66</v>
      </c>
      <c r="F11135" s="19" t="str">
        <f>IFERROR(__xludf.DUMMYFUNCTION("""COMPUTED_VALUE"""),"BLACK")</f>
        <v>BLACK</v>
      </c>
      <c r="G11135" s="20" t="str">
        <f>IFERROR(__xludf.DUMMYFUNCTION("""COMPUTED_VALUE"""),"Uncle Sams Cider (04/04/2023)")</f>
        <v>Uncle Sams Cider (04/04/2023)</v>
      </c>
      <c r="H11135" s="19"/>
    </row>
    <row r="11136">
      <c r="A11136" s="9"/>
      <c r="B11136" s="15"/>
      <c r="C11136" s="9">
        <f>IFERROR(__xludf.DUMMYFUNCTION("""COMPUTED_VALUE"""),45027.3235714236)</f>
        <v>45027.32357</v>
      </c>
      <c r="D11136" s="15">
        <f>IFERROR(__xludf.DUMMYFUNCTION("""COMPUTED_VALUE"""),1.071)</f>
        <v>1.071</v>
      </c>
      <c r="E11136" s="16">
        <f>IFERROR(__xludf.DUMMYFUNCTION("""COMPUTED_VALUE"""),66.0)</f>
        <v>66</v>
      </c>
      <c r="F11136" s="19" t="str">
        <f>IFERROR(__xludf.DUMMYFUNCTION("""COMPUTED_VALUE"""),"BLACK")</f>
        <v>BLACK</v>
      </c>
      <c r="G11136" s="20" t="str">
        <f>IFERROR(__xludf.DUMMYFUNCTION("""COMPUTED_VALUE"""),"Uncle Sams Cider (04/04/2023)")</f>
        <v>Uncle Sams Cider (04/04/2023)</v>
      </c>
      <c r="H11136" s="19"/>
    </row>
    <row r="11137">
      <c r="A11137" s="9"/>
      <c r="B11137" s="15"/>
      <c r="C11137" s="9">
        <f>IFERROR(__xludf.DUMMYFUNCTION("""COMPUTED_VALUE"""),45027.3131489814)</f>
        <v>45027.31315</v>
      </c>
      <c r="D11137" s="15">
        <f>IFERROR(__xludf.DUMMYFUNCTION("""COMPUTED_VALUE"""),1.071)</f>
        <v>1.071</v>
      </c>
      <c r="E11137" s="16">
        <f>IFERROR(__xludf.DUMMYFUNCTION("""COMPUTED_VALUE"""),66.0)</f>
        <v>66</v>
      </c>
      <c r="F11137" s="19" t="str">
        <f>IFERROR(__xludf.DUMMYFUNCTION("""COMPUTED_VALUE"""),"BLACK")</f>
        <v>BLACK</v>
      </c>
      <c r="G11137" s="20" t="str">
        <f>IFERROR(__xludf.DUMMYFUNCTION("""COMPUTED_VALUE"""),"Uncle Sams Cider (04/04/2023)")</f>
        <v>Uncle Sams Cider (04/04/2023)</v>
      </c>
      <c r="H11137" s="19"/>
    </row>
    <row r="11138">
      <c r="A11138" s="9"/>
      <c r="B11138" s="15"/>
      <c r="C11138" s="9">
        <f>IFERROR(__xludf.DUMMYFUNCTION("""COMPUTED_VALUE"""),45027.3027271527)</f>
        <v>45027.30273</v>
      </c>
      <c r="D11138" s="15">
        <f>IFERROR(__xludf.DUMMYFUNCTION("""COMPUTED_VALUE"""),1.071)</f>
        <v>1.071</v>
      </c>
      <c r="E11138" s="16">
        <f>IFERROR(__xludf.DUMMYFUNCTION("""COMPUTED_VALUE"""),66.0)</f>
        <v>66</v>
      </c>
      <c r="F11138" s="19" t="str">
        <f>IFERROR(__xludf.DUMMYFUNCTION("""COMPUTED_VALUE"""),"BLACK")</f>
        <v>BLACK</v>
      </c>
      <c r="G11138" s="20" t="str">
        <f>IFERROR(__xludf.DUMMYFUNCTION("""COMPUTED_VALUE"""),"Uncle Sams Cider (04/04/2023)")</f>
        <v>Uncle Sams Cider (04/04/2023)</v>
      </c>
      <c r="H11138" s="19"/>
    </row>
    <row r="11139">
      <c r="A11139" s="9"/>
      <c r="B11139" s="15"/>
      <c r="C11139" s="9">
        <f>IFERROR(__xludf.DUMMYFUNCTION("""COMPUTED_VALUE"""),45027.2923066319)</f>
        <v>45027.29231</v>
      </c>
      <c r="D11139" s="15">
        <f>IFERROR(__xludf.DUMMYFUNCTION("""COMPUTED_VALUE"""),1.071)</f>
        <v>1.071</v>
      </c>
      <c r="E11139" s="16">
        <f>IFERROR(__xludf.DUMMYFUNCTION("""COMPUTED_VALUE"""),67.0)</f>
        <v>67</v>
      </c>
      <c r="F11139" s="19" t="str">
        <f>IFERROR(__xludf.DUMMYFUNCTION("""COMPUTED_VALUE"""),"BLACK")</f>
        <v>BLACK</v>
      </c>
      <c r="G11139" s="20" t="str">
        <f>IFERROR(__xludf.DUMMYFUNCTION("""COMPUTED_VALUE"""),"Uncle Sams Cider (04/04/2023)")</f>
        <v>Uncle Sams Cider (04/04/2023)</v>
      </c>
      <c r="H11139" s="19"/>
    </row>
    <row r="11140">
      <c r="A11140" s="9"/>
      <c r="B11140" s="15"/>
      <c r="C11140" s="9">
        <f>IFERROR(__xludf.DUMMYFUNCTION("""COMPUTED_VALUE"""),45027.281873287)</f>
        <v>45027.28187</v>
      </c>
      <c r="D11140" s="15">
        <f>IFERROR(__xludf.DUMMYFUNCTION("""COMPUTED_VALUE"""),1.071)</f>
        <v>1.071</v>
      </c>
      <c r="E11140" s="16">
        <f>IFERROR(__xludf.DUMMYFUNCTION("""COMPUTED_VALUE"""),67.0)</f>
        <v>67</v>
      </c>
      <c r="F11140" s="19" t="str">
        <f>IFERROR(__xludf.DUMMYFUNCTION("""COMPUTED_VALUE"""),"BLACK")</f>
        <v>BLACK</v>
      </c>
      <c r="G11140" s="20" t="str">
        <f>IFERROR(__xludf.DUMMYFUNCTION("""COMPUTED_VALUE"""),"Uncle Sams Cider (04/04/2023)")</f>
        <v>Uncle Sams Cider (04/04/2023)</v>
      </c>
      <c r="H11140" s="19"/>
    </row>
    <row r="11141">
      <c r="A11141" s="9"/>
      <c r="B11141" s="15"/>
      <c r="C11141" s="9">
        <f>IFERROR(__xludf.DUMMYFUNCTION("""COMPUTED_VALUE"""),45027.2714519675)</f>
        <v>45027.27145</v>
      </c>
      <c r="D11141" s="15">
        <f>IFERROR(__xludf.DUMMYFUNCTION("""COMPUTED_VALUE"""),1.071)</f>
        <v>1.071</v>
      </c>
      <c r="E11141" s="16">
        <f>IFERROR(__xludf.DUMMYFUNCTION("""COMPUTED_VALUE"""),67.0)</f>
        <v>67</v>
      </c>
      <c r="F11141" s="19" t="str">
        <f>IFERROR(__xludf.DUMMYFUNCTION("""COMPUTED_VALUE"""),"BLACK")</f>
        <v>BLACK</v>
      </c>
      <c r="G11141" s="20" t="str">
        <f>IFERROR(__xludf.DUMMYFUNCTION("""COMPUTED_VALUE"""),"Uncle Sams Cider (04/04/2023)")</f>
        <v>Uncle Sams Cider (04/04/2023)</v>
      </c>
      <c r="H11141" s="19"/>
    </row>
    <row r="11142">
      <c r="A11142" s="9"/>
      <c r="B11142" s="15"/>
      <c r="C11142" s="9">
        <f>IFERROR(__xludf.DUMMYFUNCTION("""COMPUTED_VALUE"""),45027.2610198263)</f>
        <v>45027.26102</v>
      </c>
      <c r="D11142" s="15">
        <f>IFERROR(__xludf.DUMMYFUNCTION("""COMPUTED_VALUE"""),1.071)</f>
        <v>1.071</v>
      </c>
      <c r="E11142" s="16">
        <f>IFERROR(__xludf.DUMMYFUNCTION("""COMPUTED_VALUE"""),67.0)</f>
        <v>67</v>
      </c>
      <c r="F11142" s="19" t="str">
        <f>IFERROR(__xludf.DUMMYFUNCTION("""COMPUTED_VALUE"""),"BLACK")</f>
        <v>BLACK</v>
      </c>
      <c r="G11142" s="20" t="str">
        <f>IFERROR(__xludf.DUMMYFUNCTION("""COMPUTED_VALUE"""),"Uncle Sams Cider (04/04/2023)")</f>
        <v>Uncle Sams Cider (04/04/2023)</v>
      </c>
      <c r="H11142" s="19"/>
    </row>
    <row r="11143">
      <c r="A11143" s="9"/>
      <c r="B11143" s="15"/>
      <c r="C11143" s="9">
        <f>IFERROR(__xludf.DUMMYFUNCTION("""COMPUTED_VALUE"""),45027.2505980902)</f>
        <v>45027.2506</v>
      </c>
      <c r="D11143" s="15">
        <f>IFERROR(__xludf.DUMMYFUNCTION("""COMPUTED_VALUE"""),1.071)</f>
        <v>1.071</v>
      </c>
      <c r="E11143" s="16">
        <f>IFERROR(__xludf.DUMMYFUNCTION("""COMPUTED_VALUE"""),67.0)</f>
        <v>67</v>
      </c>
      <c r="F11143" s="19" t="str">
        <f>IFERROR(__xludf.DUMMYFUNCTION("""COMPUTED_VALUE"""),"BLACK")</f>
        <v>BLACK</v>
      </c>
      <c r="G11143" s="20" t="str">
        <f>IFERROR(__xludf.DUMMYFUNCTION("""COMPUTED_VALUE"""),"Uncle Sams Cider (04/04/2023)")</f>
        <v>Uncle Sams Cider (04/04/2023)</v>
      </c>
      <c r="H11143" s="19"/>
    </row>
    <row r="11144">
      <c r="A11144" s="9"/>
      <c r="B11144" s="15"/>
      <c r="C11144" s="9">
        <f>IFERROR(__xludf.DUMMYFUNCTION("""COMPUTED_VALUE"""),45027.2401766203)</f>
        <v>45027.24018</v>
      </c>
      <c r="D11144" s="15">
        <f>IFERROR(__xludf.DUMMYFUNCTION("""COMPUTED_VALUE"""),1.072)</f>
        <v>1.072</v>
      </c>
      <c r="E11144" s="16">
        <f>IFERROR(__xludf.DUMMYFUNCTION("""COMPUTED_VALUE"""),67.0)</f>
        <v>67</v>
      </c>
      <c r="F11144" s="19" t="str">
        <f>IFERROR(__xludf.DUMMYFUNCTION("""COMPUTED_VALUE"""),"BLACK")</f>
        <v>BLACK</v>
      </c>
      <c r="G11144" s="20" t="str">
        <f>IFERROR(__xludf.DUMMYFUNCTION("""COMPUTED_VALUE"""),"Uncle Sams Cider (04/04/2023)")</f>
        <v>Uncle Sams Cider (04/04/2023)</v>
      </c>
      <c r="H11144" s="19"/>
    </row>
    <row r="11145">
      <c r="A11145" s="9"/>
      <c r="B11145" s="15"/>
      <c r="C11145" s="9">
        <f>IFERROR(__xludf.DUMMYFUNCTION("""COMPUTED_VALUE"""),45027.2296981481)</f>
        <v>45027.2297</v>
      </c>
      <c r="D11145" s="15">
        <f>IFERROR(__xludf.DUMMYFUNCTION("""COMPUTED_VALUE"""),1.071)</f>
        <v>1.071</v>
      </c>
      <c r="E11145" s="16">
        <f>IFERROR(__xludf.DUMMYFUNCTION("""COMPUTED_VALUE"""),67.0)</f>
        <v>67</v>
      </c>
      <c r="F11145" s="19" t="str">
        <f>IFERROR(__xludf.DUMMYFUNCTION("""COMPUTED_VALUE"""),"BLACK")</f>
        <v>BLACK</v>
      </c>
      <c r="G11145" s="20" t="str">
        <f>IFERROR(__xludf.DUMMYFUNCTION("""COMPUTED_VALUE"""),"Uncle Sams Cider (04/04/2023)")</f>
        <v>Uncle Sams Cider (04/04/2023)</v>
      </c>
      <c r="H11145" s="19"/>
    </row>
    <row r="11146">
      <c r="A11146" s="9"/>
      <c r="B11146" s="15"/>
      <c r="C11146" s="9">
        <f>IFERROR(__xludf.DUMMYFUNCTION("""COMPUTED_VALUE"""),45027.2192414236)</f>
        <v>45027.21924</v>
      </c>
      <c r="D11146" s="15">
        <f>IFERROR(__xludf.DUMMYFUNCTION("""COMPUTED_VALUE"""),1.071)</f>
        <v>1.071</v>
      </c>
      <c r="E11146" s="16">
        <f>IFERROR(__xludf.DUMMYFUNCTION("""COMPUTED_VALUE"""),67.0)</f>
        <v>67</v>
      </c>
      <c r="F11146" s="19" t="str">
        <f>IFERROR(__xludf.DUMMYFUNCTION("""COMPUTED_VALUE"""),"BLACK")</f>
        <v>BLACK</v>
      </c>
      <c r="G11146" s="20" t="str">
        <f>IFERROR(__xludf.DUMMYFUNCTION("""COMPUTED_VALUE"""),"Uncle Sams Cider (04/04/2023)")</f>
        <v>Uncle Sams Cider (04/04/2023)</v>
      </c>
      <c r="H11146" s="19"/>
    </row>
    <row r="11147">
      <c r="A11147" s="9"/>
      <c r="B11147" s="15"/>
      <c r="C11147" s="9">
        <f>IFERROR(__xludf.DUMMYFUNCTION("""COMPUTED_VALUE"""),45027.2087738657)</f>
        <v>45027.20877</v>
      </c>
      <c r="D11147" s="15">
        <f>IFERROR(__xludf.DUMMYFUNCTION("""COMPUTED_VALUE"""),1.071)</f>
        <v>1.071</v>
      </c>
      <c r="E11147" s="16">
        <f>IFERROR(__xludf.DUMMYFUNCTION("""COMPUTED_VALUE"""),67.0)</f>
        <v>67</v>
      </c>
      <c r="F11147" s="19" t="str">
        <f>IFERROR(__xludf.DUMMYFUNCTION("""COMPUTED_VALUE"""),"BLACK")</f>
        <v>BLACK</v>
      </c>
      <c r="G11147" s="20" t="str">
        <f>IFERROR(__xludf.DUMMYFUNCTION("""COMPUTED_VALUE"""),"Uncle Sams Cider (04/04/2023)")</f>
        <v>Uncle Sams Cider (04/04/2023)</v>
      </c>
      <c r="H11147" s="19"/>
    </row>
    <row r="11148">
      <c r="A11148" s="9"/>
      <c r="B11148" s="15"/>
      <c r="C11148" s="9">
        <f>IFERROR(__xludf.DUMMYFUNCTION("""COMPUTED_VALUE"""),45027.1983411574)</f>
        <v>45027.19834</v>
      </c>
      <c r="D11148" s="15">
        <f>IFERROR(__xludf.DUMMYFUNCTION("""COMPUTED_VALUE"""),1.071)</f>
        <v>1.071</v>
      </c>
      <c r="E11148" s="16">
        <f>IFERROR(__xludf.DUMMYFUNCTION("""COMPUTED_VALUE"""),67.0)</f>
        <v>67</v>
      </c>
      <c r="F11148" s="19" t="str">
        <f>IFERROR(__xludf.DUMMYFUNCTION("""COMPUTED_VALUE"""),"BLACK")</f>
        <v>BLACK</v>
      </c>
      <c r="G11148" s="20" t="str">
        <f>IFERROR(__xludf.DUMMYFUNCTION("""COMPUTED_VALUE"""),"Uncle Sams Cider (04/04/2023)")</f>
        <v>Uncle Sams Cider (04/04/2023)</v>
      </c>
      <c r="H11148" s="19"/>
    </row>
    <row r="11149">
      <c r="A11149" s="9"/>
      <c r="B11149" s="15"/>
      <c r="C11149" s="9">
        <f>IFERROR(__xludf.DUMMYFUNCTION("""COMPUTED_VALUE"""),45027.1879202777)</f>
        <v>45027.18792</v>
      </c>
      <c r="D11149" s="15">
        <f>IFERROR(__xludf.DUMMYFUNCTION("""COMPUTED_VALUE"""),1.072)</f>
        <v>1.072</v>
      </c>
      <c r="E11149" s="16">
        <f>IFERROR(__xludf.DUMMYFUNCTION("""COMPUTED_VALUE"""),67.0)</f>
        <v>67</v>
      </c>
      <c r="F11149" s="19" t="str">
        <f>IFERROR(__xludf.DUMMYFUNCTION("""COMPUTED_VALUE"""),"BLACK")</f>
        <v>BLACK</v>
      </c>
      <c r="G11149" s="20" t="str">
        <f>IFERROR(__xludf.DUMMYFUNCTION("""COMPUTED_VALUE"""),"Uncle Sams Cider (04/04/2023)")</f>
        <v>Uncle Sams Cider (04/04/2023)</v>
      </c>
      <c r="H11149" s="19"/>
    </row>
    <row r="11150">
      <c r="A11150" s="9"/>
      <c r="B11150" s="15"/>
      <c r="C11150" s="9">
        <f>IFERROR(__xludf.DUMMYFUNCTION("""COMPUTED_VALUE"""),45027.1774999652)</f>
        <v>45027.1775</v>
      </c>
      <c r="D11150" s="15">
        <f>IFERROR(__xludf.DUMMYFUNCTION("""COMPUTED_VALUE"""),1.072)</f>
        <v>1.072</v>
      </c>
      <c r="E11150" s="16">
        <f>IFERROR(__xludf.DUMMYFUNCTION("""COMPUTED_VALUE"""),67.0)</f>
        <v>67</v>
      </c>
      <c r="F11150" s="19" t="str">
        <f>IFERROR(__xludf.DUMMYFUNCTION("""COMPUTED_VALUE"""),"BLACK")</f>
        <v>BLACK</v>
      </c>
      <c r="G11150" s="20" t="str">
        <f>IFERROR(__xludf.DUMMYFUNCTION("""COMPUTED_VALUE"""),"Uncle Sams Cider (04/04/2023)")</f>
        <v>Uncle Sams Cider (04/04/2023)</v>
      </c>
      <c r="H11150" s="19"/>
    </row>
    <row r="11151">
      <c r="A11151" s="9"/>
      <c r="B11151" s="15"/>
      <c r="C11151" s="9">
        <f>IFERROR(__xludf.DUMMYFUNCTION("""COMPUTED_VALUE"""),45027.1670795254)</f>
        <v>45027.16708</v>
      </c>
      <c r="D11151" s="15">
        <f>IFERROR(__xludf.DUMMYFUNCTION("""COMPUTED_VALUE"""),1.072)</f>
        <v>1.072</v>
      </c>
      <c r="E11151" s="16">
        <f>IFERROR(__xludf.DUMMYFUNCTION("""COMPUTED_VALUE"""),67.0)</f>
        <v>67</v>
      </c>
      <c r="F11151" s="19" t="str">
        <f>IFERROR(__xludf.DUMMYFUNCTION("""COMPUTED_VALUE"""),"BLACK")</f>
        <v>BLACK</v>
      </c>
      <c r="G11151" s="20" t="str">
        <f>IFERROR(__xludf.DUMMYFUNCTION("""COMPUTED_VALUE"""),"Uncle Sams Cider (04/04/2023)")</f>
        <v>Uncle Sams Cider (04/04/2023)</v>
      </c>
      <c r="H11151" s="19"/>
    </row>
    <row r="11152">
      <c r="A11152" s="9"/>
      <c r="B11152" s="15"/>
      <c r="C11152" s="9">
        <f>IFERROR(__xludf.DUMMYFUNCTION("""COMPUTED_VALUE"""),45027.1566565162)</f>
        <v>45027.15666</v>
      </c>
      <c r="D11152" s="15">
        <f>IFERROR(__xludf.DUMMYFUNCTION("""COMPUTED_VALUE"""),1.072)</f>
        <v>1.072</v>
      </c>
      <c r="E11152" s="16">
        <f>IFERROR(__xludf.DUMMYFUNCTION("""COMPUTED_VALUE"""),67.0)</f>
        <v>67</v>
      </c>
      <c r="F11152" s="19" t="str">
        <f>IFERROR(__xludf.DUMMYFUNCTION("""COMPUTED_VALUE"""),"BLACK")</f>
        <v>BLACK</v>
      </c>
      <c r="G11152" s="20" t="str">
        <f>IFERROR(__xludf.DUMMYFUNCTION("""COMPUTED_VALUE"""),"Uncle Sams Cider (04/04/2023)")</f>
        <v>Uncle Sams Cider (04/04/2023)</v>
      </c>
      <c r="H11152" s="19"/>
    </row>
    <row r="11153">
      <c r="A11153" s="9"/>
      <c r="B11153" s="15"/>
      <c r="C11153" s="9">
        <f>IFERROR(__xludf.DUMMYFUNCTION("""COMPUTED_VALUE"""),45027.1462349305)</f>
        <v>45027.14623</v>
      </c>
      <c r="D11153" s="15">
        <f>IFERROR(__xludf.DUMMYFUNCTION("""COMPUTED_VALUE"""),1.072)</f>
        <v>1.072</v>
      </c>
      <c r="E11153" s="16">
        <f>IFERROR(__xludf.DUMMYFUNCTION("""COMPUTED_VALUE"""),67.0)</f>
        <v>67</v>
      </c>
      <c r="F11153" s="19" t="str">
        <f>IFERROR(__xludf.DUMMYFUNCTION("""COMPUTED_VALUE"""),"BLACK")</f>
        <v>BLACK</v>
      </c>
      <c r="G11153" s="20" t="str">
        <f>IFERROR(__xludf.DUMMYFUNCTION("""COMPUTED_VALUE"""),"Uncle Sams Cider (04/04/2023)")</f>
        <v>Uncle Sams Cider (04/04/2023)</v>
      </c>
      <c r="H11153" s="19"/>
    </row>
    <row r="11154">
      <c r="A11154" s="9"/>
      <c r="B11154" s="15"/>
      <c r="C11154" s="9">
        <f>IFERROR(__xludf.DUMMYFUNCTION("""COMPUTED_VALUE"""),45027.1358151851)</f>
        <v>45027.13582</v>
      </c>
      <c r="D11154" s="15">
        <f>IFERROR(__xludf.DUMMYFUNCTION("""COMPUTED_VALUE"""),1.072)</f>
        <v>1.072</v>
      </c>
      <c r="E11154" s="16">
        <f>IFERROR(__xludf.DUMMYFUNCTION("""COMPUTED_VALUE"""),67.0)</f>
        <v>67</v>
      </c>
      <c r="F11154" s="19" t="str">
        <f>IFERROR(__xludf.DUMMYFUNCTION("""COMPUTED_VALUE"""),"BLACK")</f>
        <v>BLACK</v>
      </c>
      <c r="G11154" s="20" t="str">
        <f>IFERROR(__xludf.DUMMYFUNCTION("""COMPUTED_VALUE"""),"Uncle Sams Cider (04/04/2023)")</f>
        <v>Uncle Sams Cider (04/04/2023)</v>
      </c>
      <c r="H11154" s="19"/>
    </row>
    <row r="11155">
      <c r="A11155" s="9"/>
      <c r="B11155" s="15"/>
      <c r="C11155" s="9">
        <f>IFERROR(__xludf.DUMMYFUNCTION("""COMPUTED_VALUE"""),45027.1253356365)</f>
        <v>45027.12534</v>
      </c>
      <c r="D11155" s="15">
        <f>IFERROR(__xludf.DUMMYFUNCTION("""COMPUTED_VALUE"""),1.072)</f>
        <v>1.072</v>
      </c>
      <c r="E11155" s="16">
        <f>IFERROR(__xludf.DUMMYFUNCTION("""COMPUTED_VALUE"""),67.0)</f>
        <v>67</v>
      </c>
      <c r="F11155" s="19" t="str">
        <f>IFERROR(__xludf.DUMMYFUNCTION("""COMPUTED_VALUE"""),"BLACK")</f>
        <v>BLACK</v>
      </c>
      <c r="G11155" s="20" t="str">
        <f>IFERROR(__xludf.DUMMYFUNCTION("""COMPUTED_VALUE"""),"Uncle Sams Cider (04/04/2023)")</f>
        <v>Uncle Sams Cider (04/04/2023)</v>
      </c>
      <c r="H11155" s="19"/>
    </row>
    <row r="11156">
      <c r="A11156" s="9"/>
      <c r="B11156" s="15"/>
      <c r="C11156" s="9">
        <f>IFERROR(__xludf.DUMMYFUNCTION("""COMPUTED_VALUE"""),45027.1149038541)</f>
        <v>45027.1149</v>
      </c>
      <c r="D11156" s="15">
        <f>IFERROR(__xludf.DUMMYFUNCTION("""COMPUTED_VALUE"""),1.072)</f>
        <v>1.072</v>
      </c>
      <c r="E11156" s="16">
        <f>IFERROR(__xludf.DUMMYFUNCTION("""COMPUTED_VALUE"""),67.0)</f>
        <v>67</v>
      </c>
      <c r="F11156" s="19" t="str">
        <f>IFERROR(__xludf.DUMMYFUNCTION("""COMPUTED_VALUE"""),"BLACK")</f>
        <v>BLACK</v>
      </c>
      <c r="G11156" s="20" t="str">
        <f>IFERROR(__xludf.DUMMYFUNCTION("""COMPUTED_VALUE"""),"Uncle Sams Cider (04/04/2023)")</f>
        <v>Uncle Sams Cider (04/04/2023)</v>
      </c>
      <c r="H11156" s="19"/>
    </row>
    <row r="11157">
      <c r="A11157" s="9"/>
      <c r="B11157" s="15"/>
      <c r="C11157" s="9">
        <f>IFERROR(__xludf.DUMMYFUNCTION("""COMPUTED_VALUE"""),45027.1044808101)</f>
        <v>45027.10448</v>
      </c>
      <c r="D11157" s="15">
        <f>IFERROR(__xludf.DUMMYFUNCTION("""COMPUTED_VALUE"""),1.072)</f>
        <v>1.072</v>
      </c>
      <c r="E11157" s="16">
        <f>IFERROR(__xludf.DUMMYFUNCTION("""COMPUTED_VALUE"""),67.0)</f>
        <v>67</v>
      </c>
      <c r="F11157" s="19" t="str">
        <f>IFERROR(__xludf.DUMMYFUNCTION("""COMPUTED_VALUE"""),"BLACK")</f>
        <v>BLACK</v>
      </c>
      <c r="G11157" s="20" t="str">
        <f>IFERROR(__xludf.DUMMYFUNCTION("""COMPUTED_VALUE"""),"Uncle Sams Cider (04/04/2023)")</f>
        <v>Uncle Sams Cider (04/04/2023)</v>
      </c>
      <c r="H11157" s="19"/>
    </row>
    <row r="11158">
      <c r="A11158" s="9"/>
      <c r="B11158" s="15"/>
      <c r="C11158" s="9">
        <f>IFERROR(__xludf.DUMMYFUNCTION("""COMPUTED_VALUE"""),45027.094059375)</f>
        <v>45027.09406</v>
      </c>
      <c r="D11158" s="15">
        <f>IFERROR(__xludf.DUMMYFUNCTION("""COMPUTED_VALUE"""),1.072)</f>
        <v>1.072</v>
      </c>
      <c r="E11158" s="16">
        <f>IFERROR(__xludf.DUMMYFUNCTION("""COMPUTED_VALUE"""),67.0)</f>
        <v>67</v>
      </c>
      <c r="F11158" s="19" t="str">
        <f>IFERROR(__xludf.DUMMYFUNCTION("""COMPUTED_VALUE"""),"BLACK")</f>
        <v>BLACK</v>
      </c>
      <c r="G11158" s="20" t="str">
        <f>IFERROR(__xludf.DUMMYFUNCTION("""COMPUTED_VALUE"""),"Uncle Sams Cider (04/04/2023)")</f>
        <v>Uncle Sams Cider (04/04/2023)</v>
      </c>
      <c r="H11158" s="19"/>
    </row>
    <row r="11159">
      <c r="A11159" s="9"/>
      <c r="B11159" s="15"/>
      <c r="C11159" s="9">
        <f>IFERROR(__xludf.DUMMYFUNCTION("""COMPUTED_VALUE"""),45027.0836381713)</f>
        <v>45027.08364</v>
      </c>
      <c r="D11159" s="15">
        <f>IFERROR(__xludf.DUMMYFUNCTION("""COMPUTED_VALUE"""),1.072)</f>
        <v>1.072</v>
      </c>
      <c r="E11159" s="16">
        <f>IFERROR(__xludf.DUMMYFUNCTION("""COMPUTED_VALUE"""),67.0)</f>
        <v>67</v>
      </c>
      <c r="F11159" s="19" t="str">
        <f>IFERROR(__xludf.DUMMYFUNCTION("""COMPUTED_VALUE"""),"BLACK")</f>
        <v>BLACK</v>
      </c>
      <c r="G11159" s="20" t="str">
        <f>IFERROR(__xludf.DUMMYFUNCTION("""COMPUTED_VALUE"""),"Uncle Sams Cider (04/04/2023)")</f>
        <v>Uncle Sams Cider (04/04/2023)</v>
      </c>
      <c r="H11159" s="19"/>
    </row>
    <row r="11160">
      <c r="A11160" s="9"/>
      <c r="B11160" s="15"/>
      <c r="C11160" s="9">
        <f>IFERROR(__xludf.DUMMYFUNCTION("""COMPUTED_VALUE"""),45027.073217037)</f>
        <v>45027.07322</v>
      </c>
      <c r="D11160" s="15">
        <f>IFERROR(__xludf.DUMMYFUNCTION("""COMPUTED_VALUE"""),1.072)</f>
        <v>1.072</v>
      </c>
      <c r="E11160" s="16">
        <f>IFERROR(__xludf.DUMMYFUNCTION("""COMPUTED_VALUE"""),67.0)</f>
        <v>67</v>
      </c>
      <c r="F11160" s="19" t="str">
        <f>IFERROR(__xludf.DUMMYFUNCTION("""COMPUTED_VALUE"""),"BLACK")</f>
        <v>BLACK</v>
      </c>
      <c r="G11160" s="20" t="str">
        <f>IFERROR(__xludf.DUMMYFUNCTION("""COMPUTED_VALUE"""),"Uncle Sams Cider (04/04/2023)")</f>
        <v>Uncle Sams Cider (04/04/2023)</v>
      </c>
      <c r="H11160" s="19"/>
    </row>
    <row r="11161">
      <c r="A11161" s="9"/>
      <c r="B11161" s="15"/>
      <c r="C11161" s="9">
        <f>IFERROR(__xludf.DUMMYFUNCTION("""COMPUTED_VALUE"""),45027.052350949)</f>
        <v>45027.05235</v>
      </c>
      <c r="D11161" s="15">
        <f>IFERROR(__xludf.DUMMYFUNCTION("""COMPUTED_VALUE"""),1.072)</f>
        <v>1.072</v>
      </c>
      <c r="E11161" s="16">
        <f>IFERROR(__xludf.DUMMYFUNCTION("""COMPUTED_VALUE"""),67.0)</f>
        <v>67</v>
      </c>
      <c r="F11161" s="19" t="str">
        <f>IFERROR(__xludf.DUMMYFUNCTION("""COMPUTED_VALUE"""),"BLACK")</f>
        <v>BLACK</v>
      </c>
      <c r="G11161" s="20" t="str">
        <f>IFERROR(__xludf.DUMMYFUNCTION("""COMPUTED_VALUE"""),"Uncle Sams Cider (04/04/2023)")</f>
        <v>Uncle Sams Cider (04/04/2023)</v>
      </c>
      <c r="H11161" s="19"/>
    </row>
    <row r="11162">
      <c r="A11162" s="9"/>
      <c r="B11162" s="15"/>
      <c r="C11162" s="9">
        <f>IFERROR(__xludf.DUMMYFUNCTION("""COMPUTED_VALUE"""),45027.0418955324)</f>
        <v>45027.0419</v>
      </c>
      <c r="D11162" s="15">
        <f>IFERROR(__xludf.DUMMYFUNCTION("""COMPUTED_VALUE"""),1.072)</f>
        <v>1.072</v>
      </c>
      <c r="E11162" s="16">
        <f>IFERROR(__xludf.DUMMYFUNCTION("""COMPUTED_VALUE"""),67.0)</f>
        <v>67</v>
      </c>
      <c r="F11162" s="19" t="str">
        <f>IFERROR(__xludf.DUMMYFUNCTION("""COMPUTED_VALUE"""),"BLACK")</f>
        <v>BLACK</v>
      </c>
      <c r="G11162" s="20" t="str">
        <f>IFERROR(__xludf.DUMMYFUNCTION("""COMPUTED_VALUE"""),"Uncle Sams Cider (04/04/2023)")</f>
        <v>Uncle Sams Cider (04/04/2023)</v>
      </c>
      <c r="H11162" s="19"/>
    </row>
    <row r="11163">
      <c r="A11163" s="9"/>
      <c r="B11163" s="15"/>
      <c r="C11163" s="9">
        <f>IFERROR(__xludf.DUMMYFUNCTION("""COMPUTED_VALUE"""),45027.03147478)</f>
        <v>45027.03147</v>
      </c>
      <c r="D11163" s="15">
        <f>IFERROR(__xludf.DUMMYFUNCTION("""COMPUTED_VALUE"""),1.072)</f>
        <v>1.072</v>
      </c>
      <c r="E11163" s="16">
        <f>IFERROR(__xludf.DUMMYFUNCTION("""COMPUTED_VALUE"""),67.0)</f>
        <v>67</v>
      </c>
      <c r="F11163" s="19" t="str">
        <f>IFERROR(__xludf.DUMMYFUNCTION("""COMPUTED_VALUE"""),"BLACK")</f>
        <v>BLACK</v>
      </c>
      <c r="G11163" s="20" t="str">
        <f>IFERROR(__xludf.DUMMYFUNCTION("""COMPUTED_VALUE"""),"Uncle Sams Cider (04/04/2023)")</f>
        <v>Uncle Sams Cider (04/04/2023)</v>
      </c>
      <c r="H11163" s="19"/>
    </row>
    <row r="11164">
      <c r="A11164" s="9"/>
      <c r="B11164" s="15"/>
      <c r="C11164" s="9">
        <f>IFERROR(__xludf.DUMMYFUNCTION("""COMPUTED_VALUE"""),45027.0210072222)</f>
        <v>45027.02101</v>
      </c>
      <c r="D11164" s="15">
        <f>IFERROR(__xludf.DUMMYFUNCTION("""COMPUTED_VALUE"""),1.072)</f>
        <v>1.072</v>
      </c>
      <c r="E11164" s="16">
        <f>IFERROR(__xludf.DUMMYFUNCTION("""COMPUTED_VALUE"""),67.0)</f>
        <v>67</v>
      </c>
      <c r="F11164" s="19" t="str">
        <f>IFERROR(__xludf.DUMMYFUNCTION("""COMPUTED_VALUE"""),"BLACK")</f>
        <v>BLACK</v>
      </c>
      <c r="G11164" s="20" t="str">
        <f>IFERROR(__xludf.DUMMYFUNCTION("""COMPUTED_VALUE"""),"Uncle Sams Cider (04/04/2023)")</f>
        <v>Uncle Sams Cider (04/04/2023)</v>
      </c>
      <c r="H11164" s="19"/>
    </row>
    <row r="11165">
      <c r="A11165" s="9"/>
      <c r="B11165" s="15"/>
      <c r="C11165" s="9">
        <f>IFERROR(__xludf.DUMMYFUNCTION("""COMPUTED_VALUE"""),45027.0105726967)</f>
        <v>45027.01057</v>
      </c>
      <c r="D11165" s="15">
        <f>IFERROR(__xludf.DUMMYFUNCTION("""COMPUTED_VALUE"""),1.072)</f>
        <v>1.072</v>
      </c>
      <c r="E11165" s="16">
        <f>IFERROR(__xludf.DUMMYFUNCTION("""COMPUTED_VALUE"""),67.0)</f>
        <v>67</v>
      </c>
      <c r="F11165" s="19" t="str">
        <f>IFERROR(__xludf.DUMMYFUNCTION("""COMPUTED_VALUE"""),"BLACK")</f>
        <v>BLACK</v>
      </c>
      <c r="G11165" s="20" t="str">
        <f>IFERROR(__xludf.DUMMYFUNCTION("""COMPUTED_VALUE"""),"Uncle Sams Cider (04/04/2023)")</f>
        <v>Uncle Sams Cider (04/04/2023)</v>
      </c>
      <c r="H11165" s="19"/>
    </row>
    <row r="11166">
      <c r="A11166" s="9"/>
      <c r="B11166" s="15"/>
      <c r="C11166" s="9">
        <f>IFERROR(__xludf.DUMMYFUNCTION("""COMPUTED_VALUE"""),45027.000152743)</f>
        <v>45027.00015</v>
      </c>
      <c r="D11166" s="15">
        <f>IFERROR(__xludf.DUMMYFUNCTION("""COMPUTED_VALUE"""),1.072)</f>
        <v>1.072</v>
      </c>
      <c r="E11166" s="16">
        <f>IFERROR(__xludf.DUMMYFUNCTION("""COMPUTED_VALUE"""),67.0)</f>
        <v>67</v>
      </c>
      <c r="F11166" s="19" t="str">
        <f>IFERROR(__xludf.DUMMYFUNCTION("""COMPUTED_VALUE"""),"BLACK")</f>
        <v>BLACK</v>
      </c>
      <c r="G11166" s="20" t="str">
        <f>IFERROR(__xludf.DUMMYFUNCTION("""COMPUTED_VALUE"""),"Uncle Sams Cider (04/04/2023)")</f>
        <v>Uncle Sams Cider (04/04/2023)</v>
      </c>
      <c r="H11166" s="19"/>
    </row>
    <row r="11167">
      <c r="A11167" s="9"/>
      <c r="B11167" s="15"/>
      <c r="C11167" s="9">
        <f>IFERROR(__xludf.DUMMYFUNCTION("""COMPUTED_VALUE"""),45026.989730081)</f>
        <v>45026.98973</v>
      </c>
      <c r="D11167" s="15">
        <f>IFERROR(__xludf.DUMMYFUNCTION("""COMPUTED_VALUE"""),1.072)</f>
        <v>1.072</v>
      </c>
      <c r="E11167" s="16">
        <f>IFERROR(__xludf.DUMMYFUNCTION("""COMPUTED_VALUE"""),67.0)</f>
        <v>67</v>
      </c>
      <c r="F11167" s="19" t="str">
        <f>IFERROR(__xludf.DUMMYFUNCTION("""COMPUTED_VALUE"""),"BLACK")</f>
        <v>BLACK</v>
      </c>
      <c r="G11167" s="20" t="str">
        <f>IFERROR(__xludf.DUMMYFUNCTION("""COMPUTED_VALUE"""),"Uncle Sams Cider (04/04/2023)")</f>
        <v>Uncle Sams Cider (04/04/2023)</v>
      </c>
      <c r="H11167" s="19"/>
    </row>
    <row r="11168">
      <c r="A11168" s="9"/>
      <c r="B11168" s="15"/>
      <c r="C11168" s="9">
        <f>IFERROR(__xludf.DUMMYFUNCTION("""COMPUTED_VALUE"""),45026.9792970254)</f>
        <v>45026.9793</v>
      </c>
      <c r="D11168" s="15">
        <f>IFERROR(__xludf.DUMMYFUNCTION("""COMPUTED_VALUE"""),1.072)</f>
        <v>1.072</v>
      </c>
      <c r="E11168" s="16">
        <f>IFERROR(__xludf.DUMMYFUNCTION("""COMPUTED_VALUE"""),67.0)</f>
        <v>67</v>
      </c>
      <c r="F11168" s="19" t="str">
        <f>IFERROR(__xludf.DUMMYFUNCTION("""COMPUTED_VALUE"""),"BLACK")</f>
        <v>BLACK</v>
      </c>
      <c r="G11168" s="20" t="str">
        <f>IFERROR(__xludf.DUMMYFUNCTION("""COMPUTED_VALUE"""),"Uncle Sams Cider (04/04/2023)")</f>
        <v>Uncle Sams Cider (04/04/2023)</v>
      </c>
      <c r="H11168" s="19"/>
    </row>
    <row r="11169">
      <c r="A11169" s="9"/>
      <c r="B11169" s="15"/>
      <c r="C11169" s="9">
        <f>IFERROR(__xludf.DUMMYFUNCTION("""COMPUTED_VALUE"""),45026.9688760648)</f>
        <v>45026.96888</v>
      </c>
      <c r="D11169" s="15">
        <f>IFERROR(__xludf.DUMMYFUNCTION("""COMPUTED_VALUE"""),1.073)</f>
        <v>1.073</v>
      </c>
      <c r="E11169" s="16">
        <f>IFERROR(__xludf.DUMMYFUNCTION("""COMPUTED_VALUE"""),67.0)</f>
        <v>67</v>
      </c>
      <c r="F11169" s="19" t="str">
        <f>IFERROR(__xludf.DUMMYFUNCTION("""COMPUTED_VALUE"""),"BLACK")</f>
        <v>BLACK</v>
      </c>
      <c r="G11169" s="20" t="str">
        <f>IFERROR(__xludf.DUMMYFUNCTION("""COMPUTED_VALUE"""),"Uncle Sams Cider (04/04/2023)")</f>
        <v>Uncle Sams Cider (04/04/2023)</v>
      </c>
      <c r="H11169" s="19"/>
    </row>
    <row r="11170">
      <c r="A11170" s="9"/>
      <c r="B11170" s="15"/>
      <c r="C11170" s="9">
        <f>IFERROR(__xludf.DUMMYFUNCTION("""COMPUTED_VALUE"""),45026.958444375)</f>
        <v>45026.95844</v>
      </c>
      <c r="D11170" s="15">
        <f>IFERROR(__xludf.DUMMYFUNCTION("""COMPUTED_VALUE"""),1.073)</f>
        <v>1.073</v>
      </c>
      <c r="E11170" s="16">
        <f>IFERROR(__xludf.DUMMYFUNCTION("""COMPUTED_VALUE"""),67.0)</f>
        <v>67</v>
      </c>
      <c r="F11170" s="19" t="str">
        <f>IFERROR(__xludf.DUMMYFUNCTION("""COMPUTED_VALUE"""),"BLACK")</f>
        <v>BLACK</v>
      </c>
      <c r="G11170" s="20" t="str">
        <f>IFERROR(__xludf.DUMMYFUNCTION("""COMPUTED_VALUE"""),"Uncle Sams Cider (04/04/2023)")</f>
        <v>Uncle Sams Cider (04/04/2023)</v>
      </c>
      <c r="H11170" s="19"/>
    </row>
    <row r="11171">
      <c r="A11171" s="9"/>
      <c r="B11171" s="15"/>
      <c r="C11171" s="9">
        <f>IFERROR(__xludf.DUMMYFUNCTION("""COMPUTED_VALUE"""),45026.9480227893)</f>
        <v>45026.94802</v>
      </c>
      <c r="D11171" s="15">
        <f>IFERROR(__xludf.DUMMYFUNCTION("""COMPUTED_VALUE"""),1.073)</f>
        <v>1.073</v>
      </c>
      <c r="E11171" s="16">
        <f>IFERROR(__xludf.DUMMYFUNCTION("""COMPUTED_VALUE"""),67.0)</f>
        <v>67</v>
      </c>
      <c r="F11171" s="19" t="str">
        <f>IFERROR(__xludf.DUMMYFUNCTION("""COMPUTED_VALUE"""),"BLACK")</f>
        <v>BLACK</v>
      </c>
      <c r="G11171" s="20" t="str">
        <f>IFERROR(__xludf.DUMMYFUNCTION("""COMPUTED_VALUE"""),"Uncle Sams Cider (04/04/2023)")</f>
        <v>Uncle Sams Cider (04/04/2023)</v>
      </c>
      <c r="H11171" s="19"/>
    </row>
    <row r="11172">
      <c r="A11172" s="9"/>
      <c r="B11172" s="15"/>
      <c r="C11172" s="9">
        <f>IFERROR(__xludf.DUMMYFUNCTION("""COMPUTED_VALUE"""),45026.9376010185)</f>
        <v>45026.9376</v>
      </c>
      <c r="D11172" s="15">
        <f>IFERROR(__xludf.DUMMYFUNCTION("""COMPUTED_VALUE"""),1.073)</f>
        <v>1.073</v>
      </c>
      <c r="E11172" s="16">
        <f>IFERROR(__xludf.DUMMYFUNCTION("""COMPUTED_VALUE"""),67.0)</f>
        <v>67</v>
      </c>
      <c r="F11172" s="19" t="str">
        <f>IFERROR(__xludf.DUMMYFUNCTION("""COMPUTED_VALUE"""),"BLACK")</f>
        <v>BLACK</v>
      </c>
      <c r="G11172" s="20" t="str">
        <f>IFERROR(__xludf.DUMMYFUNCTION("""COMPUTED_VALUE"""),"Uncle Sams Cider (04/04/2023)")</f>
        <v>Uncle Sams Cider (04/04/2023)</v>
      </c>
      <c r="H11172" s="19"/>
    </row>
    <row r="11173">
      <c r="A11173" s="9"/>
      <c r="B11173" s="15"/>
      <c r="C11173" s="9">
        <f>IFERROR(__xludf.DUMMYFUNCTION("""COMPUTED_VALUE"""),45026.9271575578)</f>
        <v>45026.92716</v>
      </c>
      <c r="D11173" s="15">
        <f>IFERROR(__xludf.DUMMYFUNCTION("""COMPUTED_VALUE"""),1.073)</f>
        <v>1.073</v>
      </c>
      <c r="E11173" s="16">
        <f>IFERROR(__xludf.DUMMYFUNCTION("""COMPUTED_VALUE"""),67.0)</f>
        <v>67</v>
      </c>
      <c r="F11173" s="19" t="str">
        <f>IFERROR(__xludf.DUMMYFUNCTION("""COMPUTED_VALUE"""),"BLACK")</f>
        <v>BLACK</v>
      </c>
      <c r="G11173" s="20" t="str">
        <f>IFERROR(__xludf.DUMMYFUNCTION("""COMPUTED_VALUE"""),"Uncle Sams Cider (04/04/2023)")</f>
        <v>Uncle Sams Cider (04/04/2023)</v>
      </c>
      <c r="H11173" s="19"/>
    </row>
    <row r="11174">
      <c r="A11174" s="9"/>
      <c r="B11174" s="15"/>
      <c r="C11174" s="9">
        <f>IFERROR(__xludf.DUMMYFUNCTION("""COMPUTED_VALUE"""),45026.9167257523)</f>
        <v>45026.91673</v>
      </c>
      <c r="D11174" s="15">
        <f>IFERROR(__xludf.DUMMYFUNCTION("""COMPUTED_VALUE"""),1.073)</f>
        <v>1.073</v>
      </c>
      <c r="E11174" s="16">
        <f>IFERROR(__xludf.DUMMYFUNCTION("""COMPUTED_VALUE"""),67.0)</f>
        <v>67</v>
      </c>
      <c r="F11174" s="19" t="str">
        <f>IFERROR(__xludf.DUMMYFUNCTION("""COMPUTED_VALUE"""),"BLACK")</f>
        <v>BLACK</v>
      </c>
      <c r="G11174" s="20" t="str">
        <f>IFERROR(__xludf.DUMMYFUNCTION("""COMPUTED_VALUE"""),"Uncle Sams Cider (04/04/2023)")</f>
        <v>Uncle Sams Cider (04/04/2023)</v>
      </c>
      <c r="H11174" s="19"/>
    </row>
    <row r="11175">
      <c r="A11175" s="9"/>
      <c r="B11175" s="15"/>
      <c r="C11175" s="9">
        <f>IFERROR(__xludf.DUMMYFUNCTION("""COMPUTED_VALUE"""),45026.9062924884)</f>
        <v>45026.90629</v>
      </c>
      <c r="D11175" s="15">
        <f>IFERROR(__xludf.DUMMYFUNCTION("""COMPUTED_VALUE"""),1.073)</f>
        <v>1.073</v>
      </c>
      <c r="E11175" s="16">
        <f>IFERROR(__xludf.DUMMYFUNCTION("""COMPUTED_VALUE"""),67.0)</f>
        <v>67</v>
      </c>
      <c r="F11175" s="19" t="str">
        <f>IFERROR(__xludf.DUMMYFUNCTION("""COMPUTED_VALUE"""),"BLACK")</f>
        <v>BLACK</v>
      </c>
      <c r="G11175" s="20" t="str">
        <f>IFERROR(__xludf.DUMMYFUNCTION("""COMPUTED_VALUE"""),"Uncle Sams Cider (04/04/2023)")</f>
        <v>Uncle Sams Cider (04/04/2023)</v>
      </c>
      <c r="H11175" s="19"/>
    </row>
    <row r="11176">
      <c r="A11176" s="9"/>
      <c r="B11176" s="15"/>
      <c r="C11176" s="9">
        <f>IFERROR(__xludf.DUMMYFUNCTION("""COMPUTED_VALUE"""),45026.8958728356)</f>
        <v>45026.89587</v>
      </c>
      <c r="D11176" s="15">
        <f>IFERROR(__xludf.DUMMYFUNCTION("""COMPUTED_VALUE"""),1.073)</f>
        <v>1.073</v>
      </c>
      <c r="E11176" s="16">
        <f>IFERROR(__xludf.DUMMYFUNCTION("""COMPUTED_VALUE"""),67.0)</f>
        <v>67</v>
      </c>
      <c r="F11176" s="19" t="str">
        <f>IFERROR(__xludf.DUMMYFUNCTION("""COMPUTED_VALUE"""),"BLACK")</f>
        <v>BLACK</v>
      </c>
      <c r="G11176" s="20" t="str">
        <f>IFERROR(__xludf.DUMMYFUNCTION("""COMPUTED_VALUE"""),"Uncle Sams Cider (04/04/2023)")</f>
        <v>Uncle Sams Cider (04/04/2023)</v>
      </c>
      <c r="H11176" s="19"/>
    </row>
    <row r="11177">
      <c r="A11177" s="9"/>
      <c r="B11177" s="15"/>
      <c r="C11177" s="9">
        <f>IFERROR(__xludf.DUMMYFUNCTION("""COMPUTED_VALUE"""),45026.8854402546)</f>
        <v>45026.88544</v>
      </c>
      <c r="D11177" s="15">
        <f>IFERROR(__xludf.DUMMYFUNCTION("""COMPUTED_VALUE"""),1.073)</f>
        <v>1.073</v>
      </c>
      <c r="E11177" s="16">
        <f>IFERROR(__xludf.DUMMYFUNCTION("""COMPUTED_VALUE"""),67.0)</f>
        <v>67</v>
      </c>
      <c r="F11177" s="19" t="str">
        <f>IFERROR(__xludf.DUMMYFUNCTION("""COMPUTED_VALUE"""),"BLACK")</f>
        <v>BLACK</v>
      </c>
      <c r="G11177" s="20" t="str">
        <f>IFERROR(__xludf.DUMMYFUNCTION("""COMPUTED_VALUE"""),"Uncle Sams Cider (04/04/2023)")</f>
        <v>Uncle Sams Cider (04/04/2023)</v>
      </c>
      <c r="H11177" s="19"/>
    </row>
    <row r="11178">
      <c r="A11178" s="9"/>
      <c r="B11178" s="15"/>
      <c r="C11178" s="9">
        <f>IFERROR(__xludf.DUMMYFUNCTION("""COMPUTED_VALUE"""),45026.8750078356)</f>
        <v>45026.87501</v>
      </c>
      <c r="D11178" s="15">
        <f>IFERROR(__xludf.DUMMYFUNCTION("""COMPUTED_VALUE"""),1.073)</f>
        <v>1.073</v>
      </c>
      <c r="E11178" s="16">
        <f>IFERROR(__xludf.DUMMYFUNCTION("""COMPUTED_VALUE"""),67.0)</f>
        <v>67</v>
      </c>
      <c r="F11178" s="19" t="str">
        <f>IFERROR(__xludf.DUMMYFUNCTION("""COMPUTED_VALUE"""),"BLACK")</f>
        <v>BLACK</v>
      </c>
      <c r="G11178" s="20" t="str">
        <f>IFERROR(__xludf.DUMMYFUNCTION("""COMPUTED_VALUE"""),"Uncle Sams Cider (04/04/2023)")</f>
        <v>Uncle Sams Cider (04/04/2023)</v>
      </c>
      <c r="H11178" s="19"/>
    </row>
    <row r="11179">
      <c r="A11179" s="9"/>
      <c r="B11179" s="15"/>
      <c r="C11179" s="9">
        <f>IFERROR(__xludf.DUMMYFUNCTION("""COMPUTED_VALUE"""),45026.8645621412)</f>
        <v>45026.86456</v>
      </c>
      <c r="D11179" s="15">
        <f>IFERROR(__xludf.DUMMYFUNCTION("""COMPUTED_VALUE"""),1.073)</f>
        <v>1.073</v>
      </c>
      <c r="E11179" s="16">
        <f>IFERROR(__xludf.DUMMYFUNCTION("""COMPUTED_VALUE"""),67.0)</f>
        <v>67</v>
      </c>
      <c r="F11179" s="19" t="str">
        <f>IFERROR(__xludf.DUMMYFUNCTION("""COMPUTED_VALUE"""),"BLACK")</f>
        <v>BLACK</v>
      </c>
      <c r="G11179" s="20" t="str">
        <f>IFERROR(__xludf.DUMMYFUNCTION("""COMPUTED_VALUE"""),"Uncle Sams Cider (04/04/2023)")</f>
        <v>Uncle Sams Cider (04/04/2023)</v>
      </c>
      <c r="H11179" s="19"/>
    </row>
    <row r="11180">
      <c r="A11180" s="9"/>
      <c r="B11180" s="15"/>
      <c r="C11180" s="9">
        <f>IFERROR(__xludf.DUMMYFUNCTION("""COMPUTED_VALUE"""),45026.8541307754)</f>
        <v>45026.85413</v>
      </c>
      <c r="D11180" s="15">
        <f>IFERROR(__xludf.DUMMYFUNCTION("""COMPUTED_VALUE"""),1.073)</f>
        <v>1.073</v>
      </c>
      <c r="E11180" s="16">
        <f>IFERROR(__xludf.DUMMYFUNCTION("""COMPUTED_VALUE"""),67.0)</f>
        <v>67</v>
      </c>
      <c r="F11180" s="19" t="str">
        <f>IFERROR(__xludf.DUMMYFUNCTION("""COMPUTED_VALUE"""),"BLACK")</f>
        <v>BLACK</v>
      </c>
      <c r="G11180" s="20" t="str">
        <f>IFERROR(__xludf.DUMMYFUNCTION("""COMPUTED_VALUE"""),"Uncle Sams Cider (04/04/2023)")</f>
        <v>Uncle Sams Cider (04/04/2023)</v>
      </c>
      <c r="H11180" s="19"/>
    </row>
    <row r="11181">
      <c r="A11181" s="9"/>
      <c r="B11181" s="15"/>
      <c r="C11181" s="9">
        <f>IFERROR(__xludf.DUMMYFUNCTION("""COMPUTED_VALUE"""),45026.8437098958)</f>
        <v>45026.84371</v>
      </c>
      <c r="D11181" s="15">
        <f>IFERROR(__xludf.DUMMYFUNCTION("""COMPUTED_VALUE"""),1.073)</f>
        <v>1.073</v>
      </c>
      <c r="E11181" s="16">
        <f>IFERROR(__xludf.DUMMYFUNCTION("""COMPUTED_VALUE"""),67.0)</f>
        <v>67</v>
      </c>
      <c r="F11181" s="19" t="str">
        <f>IFERROR(__xludf.DUMMYFUNCTION("""COMPUTED_VALUE"""),"BLACK")</f>
        <v>BLACK</v>
      </c>
      <c r="G11181" s="20" t="str">
        <f>IFERROR(__xludf.DUMMYFUNCTION("""COMPUTED_VALUE"""),"Uncle Sams Cider (04/04/2023)")</f>
        <v>Uncle Sams Cider (04/04/2023)</v>
      </c>
      <c r="H11181" s="19"/>
    </row>
    <row r="11182">
      <c r="A11182" s="9"/>
      <c r="B11182" s="15"/>
      <c r="C11182" s="9">
        <f>IFERROR(__xludf.DUMMYFUNCTION("""COMPUTED_VALUE"""),45026.833288449)</f>
        <v>45026.83329</v>
      </c>
      <c r="D11182" s="15">
        <f>IFERROR(__xludf.DUMMYFUNCTION("""COMPUTED_VALUE"""),1.073)</f>
        <v>1.073</v>
      </c>
      <c r="E11182" s="16">
        <f>IFERROR(__xludf.DUMMYFUNCTION("""COMPUTED_VALUE"""),67.0)</f>
        <v>67</v>
      </c>
      <c r="F11182" s="19" t="str">
        <f>IFERROR(__xludf.DUMMYFUNCTION("""COMPUTED_VALUE"""),"BLACK")</f>
        <v>BLACK</v>
      </c>
      <c r="G11182" s="20" t="str">
        <f>IFERROR(__xludf.DUMMYFUNCTION("""COMPUTED_VALUE"""),"Uncle Sams Cider (04/04/2023)")</f>
        <v>Uncle Sams Cider (04/04/2023)</v>
      </c>
      <c r="H11182" s="19"/>
    </row>
    <row r="11183">
      <c r="A11183" s="9"/>
      <c r="B11183" s="15"/>
      <c r="C11183" s="9">
        <f>IFERROR(__xludf.DUMMYFUNCTION("""COMPUTED_VALUE"""),45026.8228557291)</f>
        <v>45026.82286</v>
      </c>
      <c r="D11183" s="15">
        <f>IFERROR(__xludf.DUMMYFUNCTION("""COMPUTED_VALUE"""),1.073)</f>
        <v>1.073</v>
      </c>
      <c r="E11183" s="16">
        <f>IFERROR(__xludf.DUMMYFUNCTION("""COMPUTED_VALUE"""),67.0)</f>
        <v>67</v>
      </c>
      <c r="F11183" s="19" t="str">
        <f>IFERROR(__xludf.DUMMYFUNCTION("""COMPUTED_VALUE"""),"BLACK")</f>
        <v>BLACK</v>
      </c>
      <c r="G11183" s="20" t="str">
        <f>IFERROR(__xludf.DUMMYFUNCTION("""COMPUTED_VALUE"""),"Uncle Sams Cider (04/04/2023)")</f>
        <v>Uncle Sams Cider (04/04/2023)</v>
      </c>
      <c r="H11183" s="19"/>
    </row>
    <row r="11184">
      <c r="A11184" s="9"/>
      <c r="B11184" s="15"/>
      <c r="C11184" s="9">
        <f>IFERROR(__xludf.DUMMYFUNCTION("""COMPUTED_VALUE"""),45026.8124233333)</f>
        <v>45026.81242</v>
      </c>
      <c r="D11184" s="15">
        <f>IFERROR(__xludf.DUMMYFUNCTION("""COMPUTED_VALUE"""),1.074)</f>
        <v>1.074</v>
      </c>
      <c r="E11184" s="16">
        <f>IFERROR(__xludf.DUMMYFUNCTION("""COMPUTED_VALUE"""),67.0)</f>
        <v>67</v>
      </c>
      <c r="F11184" s="19" t="str">
        <f>IFERROR(__xludf.DUMMYFUNCTION("""COMPUTED_VALUE"""),"BLACK")</f>
        <v>BLACK</v>
      </c>
      <c r="G11184" s="20" t="str">
        <f>IFERROR(__xludf.DUMMYFUNCTION("""COMPUTED_VALUE"""),"Uncle Sams Cider (04/04/2023)")</f>
        <v>Uncle Sams Cider (04/04/2023)</v>
      </c>
      <c r="H11184" s="19"/>
    </row>
    <row r="11185">
      <c r="A11185" s="9"/>
      <c r="B11185" s="15"/>
      <c r="C11185" s="9">
        <f>IFERROR(__xludf.DUMMYFUNCTION("""COMPUTED_VALUE"""),45026.8020021759)</f>
        <v>45026.802</v>
      </c>
      <c r="D11185" s="15">
        <f>IFERROR(__xludf.DUMMYFUNCTION("""COMPUTED_VALUE"""),1.074)</f>
        <v>1.074</v>
      </c>
      <c r="E11185" s="16">
        <f>IFERROR(__xludf.DUMMYFUNCTION("""COMPUTED_VALUE"""),67.0)</f>
        <v>67</v>
      </c>
      <c r="F11185" s="19" t="str">
        <f>IFERROR(__xludf.DUMMYFUNCTION("""COMPUTED_VALUE"""),"BLACK")</f>
        <v>BLACK</v>
      </c>
      <c r="G11185" s="20" t="str">
        <f>IFERROR(__xludf.DUMMYFUNCTION("""COMPUTED_VALUE"""),"Uncle Sams Cider (04/04/2023)")</f>
        <v>Uncle Sams Cider (04/04/2023)</v>
      </c>
      <c r="H11185" s="19"/>
    </row>
    <row r="11186">
      <c r="A11186" s="9"/>
      <c r="B11186" s="15"/>
      <c r="C11186" s="9">
        <f>IFERROR(__xludf.DUMMYFUNCTION("""COMPUTED_VALUE"""),45026.7915812384)</f>
        <v>45026.79158</v>
      </c>
      <c r="D11186" s="15">
        <f>IFERROR(__xludf.DUMMYFUNCTION("""COMPUTED_VALUE"""),1.073)</f>
        <v>1.073</v>
      </c>
      <c r="E11186" s="16">
        <f>IFERROR(__xludf.DUMMYFUNCTION("""COMPUTED_VALUE"""),67.0)</f>
        <v>67</v>
      </c>
      <c r="F11186" s="19" t="str">
        <f>IFERROR(__xludf.DUMMYFUNCTION("""COMPUTED_VALUE"""),"BLACK")</f>
        <v>BLACK</v>
      </c>
      <c r="G11186" s="20" t="str">
        <f>IFERROR(__xludf.DUMMYFUNCTION("""COMPUTED_VALUE"""),"Uncle Sams Cider (04/04/2023)")</f>
        <v>Uncle Sams Cider (04/04/2023)</v>
      </c>
      <c r="H11186" s="19"/>
    </row>
    <row r="11187">
      <c r="A11187" s="9"/>
      <c r="B11187" s="15"/>
      <c r="C11187" s="9">
        <f>IFERROR(__xludf.DUMMYFUNCTION("""COMPUTED_VALUE"""),45026.781160625)</f>
        <v>45026.78116</v>
      </c>
      <c r="D11187" s="15">
        <f>IFERROR(__xludf.DUMMYFUNCTION("""COMPUTED_VALUE"""),1.073)</f>
        <v>1.073</v>
      </c>
      <c r="E11187" s="16">
        <f>IFERROR(__xludf.DUMMYFUNCTION("""COMPUTED_VALUE"""),67.0)</f>
        <v>67</v>
      </c>
      <c r="F11187" s="19" t="str">
        <f>IFERROR(__xludf.DUMMYFUNCTION("""COMPUTED_VALUE"""),"BLACK")</f>
        <v>BLACK</v>
      </c>
      <c r="G11187" s="20" t="str">
        <f>IFERROR(__xludf.DUMMYFUNCTION("""COMPUTED_VALUE"""),"Uncle Sams Cider (04/04/2023)")</f>
        <v>Uncle Sams Cider (04/04/2023)</v>
      </c>
      <c r="H11187" s="19"/>
    </row>
    <row r="11188">
      <c r="A11188" s="9"/>
      <c r="B11188" s="15"/>
      <c r="C11188" s="9">
        <f>IFERROR(__xludf.DUMMYFUNCTION("""COMPUTED_VALUE"""),45026.7707275)</f>
        <v>45026.77073</v>
      </c>
      <c r="D11188" s="15">
        <f>IFERROR(__xludf.DUMMYFUNCTION("""COMPUTED_VALUE"""),1.074)</f>
        <v>1.074</v>
      </c>
      <c r="E11188" s="16">
        <f>IFERROR(__xludf.DUMMYFUNCTION("""COMPUTED_VALUE"""),67.0)</f>
        <v>67</v>
      </c>
      <c r="F11188" s="19" t="str">
        <f>IFERROR(__xludf.DUMMYFUNCTION("""COMPUTED_VALUE"""),"BLACK")</f>
        <v>BLACK</v>
      </c>
      <c r="G11188" s="20" t="str">
        <f>IFERROR(__xludf.DUMMYFUNCTION("""COMPUTED_VALUE"""),"Uncle Sams Cider (04/04/2023)")</f>
        <v>Uncle Sams Cider (04/04/2023)</v>
      </c>
      <c r="H11188" s="19"/>
    </row>
    <row r="11189">
      <c r="A11189" s="9"/>
      <c r="B11189" s="15"/>
      <c r="C11189" s="9">
        <f>IFERROR(__xludf.DUMMYFUNCTION("""COMPUTED_VALUE"""),45026.7603060995)</f>
        <v>45026.76031</v>
      </c>
      <c r="D11189" s="15">
        <f>IFERROR(__xludf.DUMMYFUNCTION("""COMPUTED_VALUE"""),1.074)</f>
        <v>1.074</v>
      </c>
      <c r="E11189" s="16">
        <f>IFERROR(__xludf.DUMMYFUNCTION("""COMPUTED_VALUE"""),67.0)</f>
        <v>67</v>
      </c>
      <c r="F11189" s="19" t="str">
        <f>IFERROR(__xludf.DUMMYFUNCTION("""COMPUTED_VALUE"""),"BLACK")</f>
        <v>BLACK</v>
      </c>
      <c r="G11189" s="20" t="str">
        <f>IFERROR(__xludf.DUMMYFUNCTION("""COMPUTED_VALUE"""),"Uncle Sams Cider (04/04/2023)")</f>
        <v>Uncle Sams Cider (04/04/2023)</v>
      </c>
      <c r="H11189" s="19"/>
    </row>
    <row r="11190">
      <c r="A11190" s="9"/>
      <c r="B11190" s="15"/>
      <c r="C11190" s="9">
        <f>IFERROR(__xludf.DUMMYFUNCTION("""COMPUTED_VALUE"""),45026.7498840856)</f>
        <v>45026.74988</v>
      </c>
      <c r="D11190" s="15">
        <f>IFERROR(__xludf.DUMMYFUNCTION("""COMPUTED_VALUE"""),1.074)</f>
        <v>1.074</v>
      </c>
      <c r="E11190" s="16">
        <f>IFERROR(__xludf.DUMMYFUNCTION("""COMPUTED_VALUE"""),67.0)</f>
        <v>67</v>
      </c>
      <c r="F11190" s="19" t="str">
        <f>IFERROR(__xludf.DUMMYFUNCTION("""COMPUTED_VALUE"""),"BLACK")</f>
        <v>BLACK</v>
      </c>
      <c r="G11190" s="20" t="str">
        <f>IFERROR(__xludf.DUMMYFUNCTION("""COMPUTED_VALUE"""),"Uncle Sams Cider (04/04/2023)")</f>
        <v>Uncle Sams Cider (04/04/2023)</v>
      </c>
      <c r="H11190" s="19"/>
    </row>
    <row r="11191">
      <c r="A11191" s="9"/>
      <c r="B11191" s="15"/>
      <c r="C11191" s="9">
        <f>IFERROR(__xludf.DUMMYFUNCTION("""COMPUTED_VALUE"""),45026.7394516898)</f>
        <v>45026.73945</v>
      </c>
      <c r="D11191" s="15">
        <f>IFERROR(__xludf.DUMMYFUNCTION("""COMPUTED_VALUE"""),1.073)</f>
        <v>1.073</v>
      </c>
      <c r="E11191" s="16">
        <f>IFERROR(__xludf.DUMMYFUNCTION("""COMPUTED_VALUE"""),67.0)</f>
        <v>67</v>
      </c>
      <c r="F11191" s="19" t="str">
        <f>IFERROR(__xludf.DUMMYFUNCTION("""COMPUTED_VALUE"""),"BLACK")</f>
        <v>BLACK</v>
      </c>
      <c r="G11191" s="20" t="str">
        <f>IFERROR(__xludf.DUMMYFUNCTION("""COMPUTED_VALUE"""),"Uncle Sams Cider (04/04/2023)")</f>
        <v>Uncle Sams Cider (04/04/2023)</v>
      </c>
      <c r="H11191" s="19"/>
    </row>
    <row r="11192">
      <c r="A11192" s="9"/>
      <c r="B11192" s="15"/>
      <c r="C11192" s="9">
        <f>IFERROR(__xludf.DUMMYFUNCTION("""COMPUTED_VALUE"""),45026.7290295949)</f>
        <v>45026.72903</v>
      </c>
      <c r="D11192" s="15">
        <f>IFERROR(__xludf.DUMMYFUNCTION("""COMPUTED_VALUE"""),1.074)</f>
        <v>1.074</v>
      </c>
      <c r="E11192" s="16">
        <f>IFERROR(__xludf.DUMMYFUNCTION("""COMPUTED_VALUE"""),67.0)</f>
        <v>67</v>
      </c>
      <c r="F11192" s="19" t="str">
        <f>IFERROR(__xludf.DUMMYFUNCTION("""COMPUTED_VALUE"""),"BLACK")</f>
        <v>BLACK</v>
      </c>
      <c r="G11192" s="20" t="str">
        <f>IFERROR(__xludf.DUMMYFUNCTION("""COMPUTED_VALUE"""),"Uncle Sams Cider (04/04/2023)")</f>
        <v>Uncle Sams Cider (04/04/2023)</v>
      </c>
      <c r="H11192" s="19"/>
    </row>
    <row r="11193">
      <c r="A11193" s="9"/>
      <c r="B11193" s="15"/>
      <c r="C11193" s="9">
        <f>IFERROR(__xludf.DUMMYFUNCTION("""COMPUTED_VALUE"""),45026.7186082176)</f>
        <v>45026.71861</v>
      </c>
      <c r="D11193" s="15">
        <f>IFERROR(__xludf.DUMMYFUNCTION("""COMPUTED_VALUE"""),1.074)</f>
        <v>1.074</v>
      </c>
      <c r="E11193" s="16">
        <f>IFERROR(__xludf.DUMMYFUNCTION("""COMPUTED_VALUE"""),67.0)</f>
        <v>67</v>
      </c>
      <c r="F11193" s="19" t="str">
        <f>IFERROR(__xludf.DUMMYFUNCTION("""COMPUTED_VALUE"""),"BLACK")</f>
        <v>BLACK</v>
      </c>
      <c r="G11193" s="20" t="str">
        <f>IFERROR(__xludf.DUMMYFUNCTION("""COMPUTED_VALUE"""),"Uncle Sams Cider (04/04/2023)")</f>
        <v>Uncle Sams Cider (04/04/2023)</v>
      </c>
      <c r="H11193" s="19"/>
    </row>
    <row r="11194">
      <c r="A11194" s="9"/>
      <c r="B11194" s="15"/>
      <c r="C11194" s="9">
        <f>IFERROR(__xludf.DUMMYFUNCTION("""COMPUTED_VALUE"""),45026.7081889236)</f>
        <v>45026.70819</v>
      </c>
      <c r="D11194" s="15">
        <f>IFERROR(__xludf.DUMMYFUNCTION("""COMPUTED_VALUE"""),1.074)</f>
        <v>1.074</v>
      </c>
      <c r="E11194" s="16">
        <f>IFERROR(__xludf.DUMMYFUNCTION("""COMPUTED_VALUE"""),67.0)</f>
        <v>67</v>
      </c>
      <c r="F11194" s="19" t="str">
        <f>IFERROR(__xludf.DUMMYFUNCTION("""COMPUTED_VALUE"""),"BLACK")</f>
        <v>BLACK</v>
      </c>
      <c r="G11194" s="20" t="str">
        <f>IFERROR(__xludf.DUMMYFUNCTION("""COMPUTED_VALUE"""),"Uncle Sams Cider (04/04/2023)")</f>
        <v>Uncle Sams Cider (04/04/2023)</v>
      </c>
      <c r="H11194" s="19"/>
    </row>
    <row r="11195">
      <c r="A11195" s="9"/>
      <c r="B11195" s="15"/>
      <c r="C11195" s="9">
        <f>IFERROR(__xludf.DUMMYFUNCTION("""COMPUTED_VALUE"""),45026.6977690162)</f>
        <v>45026.69777</v>
      </c>
      <c r="D11195" s="15">
        <f>IFERROR(__xludf.DUMMYFUNCTION("""COMPUTED_VALUE"""),1.074)</f>
        <v>1.074</v>
      </c>
      <c r="E11195" s="16">
        <f>IFERROR(__xludf.DUMMYFUNCTION("""COMPUTED_VALUE"""),67.0)</f>
        <v>67</v>
      </c>
      <c r="F11195" s="19" t="str">
        <f>IFERROR(__xludf.DUMMYFUNCTION("""COMPUTED_VALUE"""),"BLACK")</f>
        <v>BLACK</v>
      </c>
      <c r="G11195" s="20" t="str">
        <f>IFERROR(__xludf.DUMMYFUNCTION("""COMPUTED_VALUE"""),"Uncle Sams Cider (04/04/2023)")</f>
        <v>Uncle Sams Cider (04/04/2023)</v>
      </c>
      <c r="H11195" s="19"/>
    </row>
    <row r="11196">
      <c r="A11196" s="9"/>
      <c r="B11196" s="15"/>
      <c r="C11196" s="9">
        <f>IFERROR(__xludf.DUMMYFUNCTION("""COMPUTED_VALUE"""),45026.6873467939)</f>
        <v>45026.68735</v>
      </c>
      <c r="D11196" s="15">
        <f>IFERROR(__xludf.DUMMYFUNCTION("""COMPUTED_VALUE"""),1.074)</f>
        <v>1.074</v>
      </c>
      <c r="E11196" s="16">
        <f>IFERROR(__xludf.DUMMYFUNCTION("""COMPUTED_VALUE"""),67.0)</f>
        <v>67</v>
      </c>
      <c r="F11196" s="19" t="str">
        <f>IFERROR(__xludf.DUMMYFUNCTION("""COMPUTED_VALUE"""),"BLACK")</f>
        <v>BLACK</v>
      </c>
      <c r="G11196" s="20" t="str">
        <f>IFERROR(__xludf.DUMMYFUNCTION("""COMPUTED_VALUE"""),"Uncle Sams Cider (04/04/2023)")</f>
        <v>Uncle Sams Cider (04/04/2023)</v>
      </c>
      <c r="H11196" s="19"/>
    </row>
    <row r="11197">
      <c r="A11197" s="9"/>
      <c r="B11197" s="15"/>
      <c r="C11197" s="9">
        <f>IFERROR(__xludf.DUMMYFUNCTION("""COMPUTED_VALUE"""),45026.6769138425)</f>
        <v>45026.67691</v>
      </c>
      <c r="D11197" s="15">
        <f>IFERROR(__xludf.DUMMYFUNCTION("""COMPUTED_VALUE"""),1.074)</f>
        <v>1.074</v>
      </c>
      <c r="E11197" s="16">
        <f>IFERROR(__xludf.DUMMYFUNCTION("""COMPUTED_VALUE"""),67.0)</f>
        <v>67</v>
      </c>
      <c r="F11197" s="19" t="str">
        <f>IFERROR(__xludf.DUMMYFUNCTION("""COMPUTED_VALUE"""),"BLACK")</f>
        <v>BLACK</v>
      </c>
      <c r="G11197" s="20" t="str">
        <f>IFERROR(__xludf.DUMMYFUNCTION("""COMPUTED_VALUE"""),"Uncle Sams Cider (04/04/2023)")</f>
        <v>Uncle Sams Cider (04/04/2023)</v>
      </c>
      <c r="H11197" s="19"/>
    </row>
    <row r="11198">
      <c r="A11198" s="9"/>
      <c r="B11198" s="15"/>
      <c r="C11198" s="9">
        <f>IFERROR(__xludf.DUMMYFUNCTION("""COMPUTED_VALUE"""),45026.6664915509)</f>
        <v>45026.66649</v>
      </c>
      <c r="D11198" s="15">
        <f>IFERROR(__xludf.DUMMYFUNCTION("""COMPUTED_VALUE"""),1.074)</f>
        <v>1.074</v>
      </c>
      <c r="E11198" s="16">
        <f>IFERROR(__xludf.DUMMYFUNCTION("""COMPUTED_VALUE"""),67.0)</f>
        <v>67</v>
      </c>
      <c r="F11198" s="19" t="str">
        <f>IFERROR(__xludf.DUMMYFUNCTION("""COMPUTED_VALUE"""),"BLACK")</f>
        <v>BLACK</v>
      </c>
      <c r="G11198" s="20" t="str">
        <f>IFERROR(__xludf.DUMMYFUNCTION("""COMPUTED_VALUE"""),"Uncle Sams Cider (04/04/2023)")</f>
        <v>Uncle Sams Cider (04/04/2023)</v>
      </c>
      <c r="H11198" s="19"/>
    </row>
    <row r="11199">
      <c r="A11199" s="9"/>
      <c r="B11199" s="15"/>
      <c r="C11199" s="9">
        <f>IFERROR(__xludf.DUMMYFUNCTION("""COMPUTED_VALUE"""),45026.6560709259)</f>
        <v>45026.65607</v>
      </c>
      <c r="D11199" s="15">
        <f>IFERROR(__xludf.DUMMYFUNCTION("""COMPUTED_VALUE"""),1.074)</f>
        <v>1.074</v>
      </c>
      <c r="E11199" s="16">
        <f>IFERROR(__xludf.DUMMYFUNCTION("""COMPUTED_VALUE"""),67.0)</f>
        <v>67</v>
      </c>
      <c r="F11199" s="19" t="str">
        <f>IFERROR(__xludf.DUMMYFUNCTION("""COMPUTED_VALUE"""),"BLACK")</f>
        <v>BLACK</v>
      </c>
      <c r="G11199" s="20" t="str">
        <f>IFERROR(__xludf.DUMMYFUNCTION("""COMPUTED_VALUE"""),"Uncle Sams Cider (04/04/2023)")</f>
        <v>Uncle Sams Cider (04/04/2023)</v>
      </c>
      <c r="H11199" s="19"/>
    </row>
    <row r="11200">
      <c r="A11200" s="9"/>
      <c r="B11200" s="15"/>
      <c r="C11200" s="9">
        <f>IFERROR(__xludf.DUMMYFUNCTION("""COMPUTED_VALUE"""),45026.6456143171)</f>
        <v>45026.64561</v>
      </c>
      <c r="D11200" s="15">
        <f>IFERROR(__xludf.DUMMYFUNCTION("""COMPUTED_VALUE"""),1.074)</f>
        <v>1.074</v>
      </c>
      <c r="E11200" s="16">
        <f>IFERROR(__xludf.DUMMYFUNCTION("""COMPUTED_VALUE"""),67.0)</f>
        <v>67</v>
      </c>
      <c r="F11200" s="19" t="str">
        <f>IFERROR(__xludf.DUMMYFUNCTION("""COMPUTED_VALUE"""),"BLACK")</f>
        <v>BLACK</v>
      </c>
      <c r="G11200" s="20" t="str">
        <f>IFERROR(__xludf.DUMMYFUNCTION("""COMPUTED_VALUE"""),"Uncle Sams Cider (04/04/2023)")</f>
        <v>Uncle Sams Cider (04/04/2023)</v>
      </c>
      <c r="H11200" s="19"/>
    </row>
    <row r="11201">
      <c r="A11201" s="9"/>
      <c r="B11201" s="15"/>
      <c r="C11201" s="9">
        <f>IFERROR(__xludf.DUMMYFUNCTION("""COMPUTED_VALUE"""),45026.6351930324)</f>
        <v>45026.63519</v>
      </c>
      <c r="D11201" s="15">
        <f>IFERROR(__xludf.DUMMYFUNCTION("""COMPUTED_VALUE"""),1.074)</f>
        <v>1.074</v>
      </c>
      <c r="E11201" s="16">
        <f>IFERROR(__xludf.DUMMYFUNCTION("""COMPUTED_VALUE"""),67.0)</f>
        <v>67</v>
      </c>
      <c r="F11201" s="19" t="str">
        <f>IFERROR(__xludf.DUMMYFUNCTION("""COMPUTED_VALUE"""),"BLACK")</f>
        <v>BLACK</v>
      </c>
      <c r="G11201" s="20" t="str">
        <f>IFERROR(__xludf.DUMMYFUNCTION("""COMPUTED_VALUE"""),"Uncle Sams Cider (04/04/2023)")</f>
        <v>Uncle Sams Cider (04/04/2023)</v>
      </c>
      <c r="H11201" s="19"/>
    </row>
    <row r="11202">
      <c r="A11202" s="9"/>
      <c r="B11202" s="15"/>
      <c r="C11202" s="9">
        <f>IFERROR(__xludf.DUMMYFUNCTION("""COMPUTED_VALUE"""),45026.6247595949)</f>
        <v>45026.62476</v>
      </c>
      <c r="D11202" s="15">
        <f>IFERROR(__xludf.DUMMYFUNCTION("""COMPUTED_VALUE"""),1.074)</f>
        <v>1.074</v>
      </c>
      <c r="E11202" s="16">
        <f>IFERROR(__xludf.DUMMYFUNCTION("""COMPUTED_VALUE"""),67.0)</f>
        <v>67</v>
      </c>
      <c r="F11202" s="19" t="str">
        <f>IFERROR(__xludf.DUMMYFUNCTION("""COMPUTED_VALUE"""),"BLACK")</f>
        <v>BLACK</v>
      </c>
      <c r="G11202" s="20" t="str">
        <f>IFERROR(__xludf.DUMMYFUNCTION("""COMPUTED_VALUE"""),"Uncle Sams Cider (04/04/2023)")</f>
        <v>Uncle Sams Cider (04/04/2023)</v>
      </c>
      <c r="H11202" s="19"/>
    </row>
    <row r="11203">
      <c r="A11203" s="9"/>
      <c r="B11203" s="15"/>
      <c r="C11203" s="9">
        <f>IFERROR(__xludf.DUMMYFUNCTION("""COMPUTED_VALUE"""),45026.6143387731)</f>
        <v>45026.61434</v>
      </c>
      <c r="D11203" s="15">
        <f>IFERROR(__xludf.DUMMYFUNCTION("""COMPUTED_VALUE"""),1.075)</f>
        <v>1.075</v>
      </c>
      <c r="E11203" s="16">
        <f>IFERROR(__xludf.DUMMYFUNCTION("""COMPUTED_VALUE"""),67.0)</f>
        <v>67</v>
      </c>
      <c r="F11203" s="19" t="str">
        <f>IFERROR(__xludf.DUMMYFUNCTION("""COMPUTED_VALUE"""),"BLACK")</f>
        <v>BLACK</v>
      </c>
      <c r="G11203" s="20" t="str">
        <f>IFERROR(__xludf.DUMMYFUNCTION("""COMPUTED_VALUE"""),"Uncle Sams Cider (04/04/2023)")</f>
        <v>Uncle Sams Cider (04/04/2023)</v>
      </c>
      <c r="H11203" s="19"/>
    </row>
    <row r="11204">
      <c r="A11204" s="9"/>
      <c r="B11204" s="15"/>
      <c r="C11204" s="9">
        <f>IFERROR(__xludf.DUMMYFUNCTION("""COMPUTED_VALUE"""),45026.6038948379)</f>
        <v>45026.60389</v>
      </c>
      <c r="D11204" s="15">
        <f>IFERROR(__xludf.DUMMYFUNCTION("""COMPUTED_VALUE"""),1.074)</f>
        <v>1.074</v>
      </c>
      <c r="E11204" s="16">
        <f>IFERROR(__xludf.DUMMYFUNCTION("""COMPUTED_VALUE"""),67.0)</f>
        <v>67</v>
      </c>
      <c r="F11204" s="19" t="str">
        <f>IFERROR(__xludf.DUMMYFUNCTION("""COMPUTED_VALUE"""),"BLACK")</f>
        <v>BLACK</v>
      </c>
      <c r="G11204" s="20" t="str">
        <f>IFERROR(__xludf.DUMMYFUNCTION("""COMPUTED_VALUE"""),"Uncle Sams Cider (04/04/2023)")</f>
        <v>Uncle Sams Cider (04/04/2023)</v>
      </c>
      <c r="H11204" s="19"/>
    </row>
    <row r="11205">
      <c r="A11205" s="9"/>
      <c r="B11205" s="15"/>
      <c r="C11205" s="9">
        <f>IFERROR(__xludf.DUMMYFUNCTION("""COMPUTED_VALUE"""),45026.5934742361)</f>
        <v>45026.59347</v>
      </c>
      <c r="D11205" s="15">
        <f>IFERROR(__xludf.DUMMYFUNCTION("""COMPUTED_VALUE"""),1.074)</f>
        <v>1.074</v>
      </c>
      <c r="E11205" s="16">
        <f>IFERROR(__xludf.DUMMYFUNCTION("""COMPUTED_VALUE"""),67.0)</f>
        <v>67</v>
      </c>
      <c r="F11205" s="19" t="str">
        <f>IFERROR(__xludf.DUMMYFUNCTION("""COMPUTED_VALUE"""),"BLACK")</f>
        <v>BLACK</v>
      </c>
      <c r="G11205" s="20" t="str">
        <f>IFERROR(__xludf.DUMMYFUNCTION("""COMPUTED_VALUE"""),"Uncle Sams Cider (04/04/2023)")</f>
        <v>Uncle Sams Cider (04/04/2023)</v>
      </c>
      <c r="H11205" s="19"/>
    </row>
    <row r="11206">
      <c r="A11206" s="9"/>
      <c r="B11206" s="15"/>
      <c r="C11206" s="9">
        <f>IFERROR(__xludf.DUMMYFUNCTION("""COMPUTED_VALUE"""),45026.5830293402)</f>
        <v>45026.58303</v>
      </c>
      <c r="D11206" s="15">
        <f>IFERROR(__xludf.DUMMYFUNCTION("""COMPUTED_VALUE"""),1.075)</f>
        <v>1.075</v>
      </c>
      <c r="E11206" s="16">
        <f>IFERROR(__xludf.DUMMYFUNCTION("""COMPUTED_VALUE"""),67.0)</f>
        <v>67</v>
      </c>
      <c r="F11206" s="19" t="str">
        <f>IFERROR(__xludf.DUMMYFUNCTION("""COMPUTED_VALUE"""),"BLACK")</f>
        <v>BLACK</v>
      </c>
      <c r="G11206" s="20" t="str">
        <f>IFERROR(__xludf.DUMMYFUNCTION("""COMPUTED_VALUE"""),"Uncle Sams Cider (04/04/2023)")</f>
        <v>Uncle Sams Cider (04/04/2023)</v>
      </c>
      <c r="H11206" s="19"/>
    </row>
    <row r="11207">
      <c r="A11207" s="9"/>
      <c r="B11207" s="15"/>
      <c r="C11207" s="9">
        <f>IFERROR(__xludf.DUMMYFUNCTION("""COMPUTED_VALUE"""),45026.5726086458)</f>
        <v>45026.57261</v>
      </c>
      <c r="D11207" s="15">
        <f>IFERROR(__xludf.DUMMYFUNCTION("""COMPUTED_VALUE"""),1.074)</f>
        <v>1.074</v>
      </c>
      <c r="E11207" s="16">
        <f>IFERROR(__xludf.DUMMYFUNCTION("""COMPUTED_VALUE"""),67.0)</f>
        <v>67</v>
      </c>
      <c r="F11207" s="19" t="str">
        <f>IFERROR(__xludf.DUMMYFUNCTION("""COMPUTED_VALUE"""),"BLACK")</f>
        <v>BLACK</v>
      </c>
      <c r="G11207" s="20" t="str">
        <f>IFERROR(__xludf.DUMMYFUNCTION("""COMPUTED_VALUE"""),"Uncle Sams Cider (04/04/2023)")</f>
        <v>Uncle Sams Cider (04/04/2023)</v>
      </c>
      <c r="H11207" s="19"/>
    </row>
    <row r="11208">
      <c r="A11208" s="9"/>
      <c r="B11208" s="15"/>
      <c r="C11208" s="9">
        <f>IFERROR(__xludf.DUMMYFUNCTION("""COMPUTED_VALUE"""),45026.5621879861)</f>
        <v>45026.56219</v>
      </c>
      <c r="D11208" s="15">
        <f>IFERROR(__xludf.DUMMYFUNCTION("""COMPUTED_VALUE"""),1.075)</f>
        <v>1.075</v>
      </c>
      <c r="E11208" s="16">
        <f>IFERROR(__xludf.DUMMYFUNCTION("""COMPUTED_VALUE"""),67.0)</f>
        <v>67</v>
      </c>
      <c r="F11208" s="19" t="str">
        <f>IFERROR(__xludf.DUMMYFUNCTION("""COMPUTED_VALUE"""),"BLACK")</f>
        <v>BLACK</v>
      </c>
      <c r="G11208" s="20" t="str">
        <f>IFERROR(__xludf.DUMMYFUNCTION("""COMPUTED_VALUE"""),"Uncle Sams Cider (04/04/2023)")</f>
        <v>Uncle Sams Cider (04/04/2023)</v>
      </c>
      <c r="H11208" s="19"/>
    </row>
    <row r="11209">
      <c r="A11209" s="9"/>
      <c r="B11209" s="15"/>
      <c r="C11209" s="9">
        <f>IFERROR(__xludf.DUMMYFUNCTION("""COMPUTED_VALUE"""),45026.5517661689)</f>
        <v>45026.55177</v>
      </c>
      <c r="D11209" s="15">
        <f>IFERROR(__xludf.DUMMYFUNCTION("""COMPUTED_VALUE"""),1.075)</f>
        <v>1.075</v>
      </c>
      <c r="E11209" s="16">
        <f>IFERROR(__xludf.DUMMYFUNCTION("""COMPUTED_VALUE"""),67.0)</f>
        <v>67</v>
      </c>
      <c r="F11209" s="19" t="str">
        <f>IFERROR(__xludf.DUMMYFUNCTION("""COMPUTED_VALUE"""),"BLACK")</f>
        <v>BLACK</v>
      </c>
      <c r="G11209" s="20" t="str">
        <f>IFERROR(__xludf.DUMMYFUNCTION("""COMPUTED_VALUE"""),"Uncle Sams Cider (04/04/2023)")</f>
        <v>Uncle Sams Cider (04/04/2023)</v>
      </c>
      <c r="H11209" s="19"/>
    </row>
    <row r="11210">
      <c r="A11210" s="9"/>
      <c r="B11210" s="15"/>
      <c r="C11210" s="9">
        <f>IFERROR(__xludf.DUMMYFUNCTION("""COMPUTED_VALUE"""),45026.5413318402)</f>
        <v>45026.54133</v>
      </c>
      <c r="D11210" s="15">
        <f>IFERROR(__xludf.DUMMYFUNCTION("""COMPUTED_VALUE"""),1.075)</f>
        <v>1.075</v>
      </c>
      <c r="E11210" s="16">
        <f>IFERROR(__xludf.DUMMYFUNCTION("""COMPUTED_VALUE"""),67.0)</f>
        <v>67</v>
      </c>
      <c r="F11210" s="19" t="str">
        <f>IFERROR(__xludf.DUMMYFUNCTION("""COMPUTED_VALUE"""),"BLACK")</f>
        <v>BLACK</v>
      </c>
      <c r="G11210" s="20" t="str">
        <f>IFERROR(__xludf.DUMMYFUNCTION("""COMPUTED_VALUE"""),"Uncle Sams Cider (04/04/2023)")</f>
        <v>Uncle Sams Cider (04/04/2023)</v>
      </c>
      <c r="H11210" s="19"/>
    </row>
    <row r="11211">
      <c r="A11211" s="9"/>
      <c r="B11211" s="15"/>
      <c r="C11211" s="9">
        <f>IFERROR(__xludf.DUMMYFUNCTION("""COMPUTED_VALUE"""),45026.5308883217)</f>
        <v>45026.53089</v>
      </c>
      <c r="D11211" s="15">
        <f>IFERROR(__xludf.DUMMYFUNCTION("""COMPUTED_VALUE"""),1.075)</f>
        <v>1.075</v>
      </c>
      <c r="E11211" s="16">
        <f>IFERROR(__xludf.DUMMYFUNCTION("""COMPUTED_VALUE"""),67.0)</f>
        <v>67</v>
      </c>
      <c r="F11211" s="19" t="str">
        <f>IFERROR(__xludf.DUMMYFUNCTION("""COMPUTED_VALUE"""),"BLACK")</f>
        <v>BLACK</v>
      </c>
      <c r="G11211" s="20" t="str">
        <f>IFERROR(__xludf.DUMMYFUNCTION("""COMPUTED_VALUE"""),"Uncle Sams Cider (04/04/2023)")</f>
        <v>Uncle Sams Cider (04/04/2023)</v>
      </c>
      <c r="H11211" s="19"/>
    </row>
    <row r="11212">
      <c r="A11212" s="9"/>
      <c r="B11212" s="15"/>
      <c r="C11212" s="9">
        <f>IFERROR(__xludf.DUMMYFUNCTION("""COMPUTED_VALUE"""),45026.5204680208)</f>
        <v>45026.52047</v>
      </c>
      <c r="D11212" s="15">
        <f>IFERROR(__xludf.DUMMYFUNCTION("""COMPUTED_VALUE"""),1.075)</f>
        <v>1.075</v>
      </c>
      <c r="E11212" s="16">
        <f>IFERROR(__xludf.DUMMYFUNCTION("""COMPUTED_VALUE"""),67.0)</f>
        <v>67</v>
      </c>
      <c r="F11212" s="19" t="str">
        <f>IFERROR(__xludf.DUMMYFUNCTION("""COMPUTED_VALUE"""),"BLACK")</f>
        <v>BLACK</v>
      </c>
      <c r="G11212" s="20" t="str">
        <f>IFERROR(__xludf.DUMMYFUNCTION("""COMPUTED_VALUE"""),"Uncle Sams Cider (04/04/2023)")</f>
        <v>Uncle Sams Cider (04/04/2023)</v>
      </c>
      <c r="H11212" s="19"/>
    </row>
    <row r="11213">
      <c r="A11213" s="9"/>
      <c r="B11213" s="15"/>
      <c r="C11213" s="9">
        <f>IFERROR(__xludf.DUMMYFUNCTION("""COMPUTED_VALUE"""),45026.5100463657)</f>
        <v>45026.51005</v>
      </c>
      <c r="D11213" s="15">
        <f>IFERROR(__xludf.DUMMYFUNCTION("""COMPUTED_VALUE"""),1.075)</f>
        <v>1.075</v>
      </c>
      <c r="E11213" s="16">
        <f>IFERROR(__xludf.DUMMYFUNCTION("""COMPUTED_VALUE"""),67.0)</f>
        <v>67</v>
      </c>
      <c r="F11213" s="19" t="str">
        <f>IFERROR(__xludf.DUMMYFUNCTION("""COMPUTED_VALUE"""),"BLACK")</f>
        <v>BLACK</v>
      </c>
      <c r="G11213" s="20" t="str">
        <f>IFERROR(__xludf.DUMMYFUNCTION("""COMPUTED_VALUE"""),"Uncle Sams Cider (04/04/2023)")</f>
        <v>Uncle Sams Cider (04/04/2023)</v>
      </c>
      <c r="H11213" s="19"/>
    </row>
    <row r="11214">
      <c r="A11214" s="9"/>
      <c r="B11214" s="15"/>
      <c r="C11214" s="9">
        <f>IFERROR(__xludf.DUMMYFUNCTION("""COMPUTED_VALUE"""),45026.4996152546)</f>
        <v>45026.49962</v>
      </c>
      <c r="D11214" s="15">
        <f>IFERROR(__xludf.DUMMYFUNCTION("""COMPUTED_VALUE"""),1.075)</f>
        <v>1.075</v>
      </c>
      <c r="E11214" s="16">
        <f>IFERROR(__xludf.DUMMYFUNCTION("""COMPUTED_VALUE"""),67.0)</f>
        <v>67</v>
      </c>
      <c r="F11214" s="19" t="str">
        <f>IFERROR(__xludf.DUMMYFUNCTION("""COMPUTED_VALUE"""),"BLACK")</f>
        <v>BLACK</v>
      </c>
      <c r="G11214" s="20" t="str">
        <f>IFERROR(__xludf.DUMMYFUNCTION("""COMPUTED_VALUE"""),"Uncle Sams Cider (04/04/2023)")</f>
        <v>Uncle Sams Cider (04/04/2023)</v>
      </c>
      <c r="H11214" s="19"/>
    </row>
    <row r="11215">
      <c r="A11215" s="9"/>
      <c r="B11215" s="15"/>
      <c r="C11215" s="9">
        <f>IFERROR(__xludf.DUMMYFUNCTION("""COMPUTED_VALUE"""),45026.4891924421)</f>
        <v>45026.48919</v>
      </c>
      <c r="D11215" s="15">
        <f>IFERROR(__xludf.DUMMYFUNCTION("""COMPUTED_VALUE"""),1.075)</f>
        <v>1.075</v>
      </c>
      <c r="E11215" s="16">
        <f>IFERROR(__xludf.DUMMYFUNCTION("""COMPUTED_VALUE"""),67.0)</f>
        <v>67</v>
      </c>
      <c r="F11215" s="19" t="str">
        <f>IFERROR(__xludf.DUMMYFUNCTION("""COMPUTED_VALUE"""),"BLACK")</f>
        <v>BLACK</v>
      </c>
      <c r="G11215" s="20" t="str">
        <f>IFERROR(__xludf.DUMMYFUNCTION("""COMPUTED_VALUE"""),"Uncle Sams Cider (04/04/2023)")</f>
        <v>Uncle Sams Cider (04/04/2023)</v>
      </c>
      <c r="H11215" s="19"/>
    </row>
    <row r="11216">
      <c r="A11216" s="9"/>
      <c r="B11216" s="15"/>
      <c r="C11216" s="9">
        <f>IFERROR(__xludf.DUMMYFUNCTION("""COMPUTED_VALUE"""),45026.4787597801)</f>
        <v>45026.47876</v>
      </c>
      <c r="D11216" s="15">
        <f>IFERROR(__xludf.DUMMYFUNCTION("""COMPUTED_VALUE"""),1.075)</f>
        <v>1.075</v>
      </c>
      <c r="E11216" s="16">
        <f>IFERROR(__xludf.DUMMYFUNCTION("""COMPUTED_VALUE"""),67.0)</f>
        <v>67</v>
      </c>
      <c r="F11216" s="19" t="str">
        <f>IFERROR(__xludf.DUMMYFUNCTION("""COMPUTED_VALUE"""),"BLACK")</f>
        <v>BLACK</v>
      </c>
      <c r="G11216" s="20" t="str">
        <f>IFERROR(__xludf.DUMMYFUNCTION("""COMPUTED_VALUE"""),"Uncle Sams Cider (04/04/2023)")</f>
        <v>Uncle Sams Cider (04/04/2023)</v>
      </c>
      <c r="H11216" s="19"/>
    </row>
    <row r="11217">
      <c r="A11217" s="9"/>
      <c r="B11217" s="15"/>
      <c r="C11217" s="9">
        <f>IFERROR(__xludf.DUMMYFUNCTION("""COMPUTED_VALUE"""),45026.4683393865)</f>
        <v>45026.46834</v>
      </c>
      <c r="D11217" s="15">
        <f>IFERROR(__xludf.DUMMYFUNCTION("""COMPUTED_VALUE"""),1.075)</f>
        <v>1.075</v>
      </c>
      <c r="E11217" s="16">
        <f>IFERROR(__xludf.DUMMYFUNCTION("""COMPUTED_VALUE"""),67.0)</f>
        <v>67</v>
      </c>
      <c r="F11217" s="19" t="str">
        <f>IFERROR(__xludf.DUMMYFUNCTION("""COMPUTED_VALUE"""),"BLACK")</f>
        <v>BLACK</v>
      </c>
      <c r="G11217" s="20" t="str">
        <f>IFERROR(__xludf.DUMMYFUNCTION("""COMPUTED_VALUE"""),"Uncle Sams Cider (04/04/2023)")</f>
        <v>Uncle Sams Cider (04/04/2023)</v>
      </c>
      <c r="H11217" s="19"/>
    </row>
    <row r="11218">
      <c r="A11218" s="9"/>
      <c r="B11218" s="15"/>
      <c r="C11218" s="9">
        <f>IFERROR(__xludf.DUMMYFUNCTION("""COMPUTED_VALUE"""),45026.4579187037)</f>
        <v>45026.45792</v>
      </c>
      <c r="D11218" s="15">
        <f>IFERROR(__xludf.DUMMYFUNCTION("""COMPUTED_VALUE"""),1.075)</f>
        <v>1.075</v>
      </c>
      <c r="E11218" s="16">
        <f>IFERROR(__xludf.DUMMYFUNCTION("""COMPUTED_VALUE"""),67.0)</f>
        <v>67</v>
      </c>
      <c r="F11218" s="19" t="str">
        <f>IFERROR(__xludf.DUMMYFUNCTION("""COMPUTED_VALUE"""),"BLACK")</f>
        <v>BLACK</v>
      </c>
      <c r="G11218" s="20" t="str">
        <f>IFERROR(__xludf.DUMMYFUNCTION("""COMPUTED_VALUE"""),"Uncle Sams Cider (04/04/2023)")</f>
        <v>Uncle Sams Cider (04/04/2023)</v>
      </c>
      <c r="H11218" s="19"/>
    </row>
    <row r="11219">
      <c r="A11219" s="9"/>
      <c r="B11219" s="15"/>
      <c r="C11219" s="9">
        <f>IFERROR(__xludf.DUMMYFUNCTION("""COMPUTED_VALUE"""),45026.4474945949)</f>
        <v>45026.44749</v>
      </c>
      <c r="D11219" s="15">
        <f>IFERROR(__xludf.DUMMYFUNCTION("""COMPUTED_VALUE"""),1.075)</f>
        <v>1.075</v>
      </c>
      <c r="E11219" s="16">
        <f>IFERROR(__xludf.DUMMYFUNCTION("""COMPUTED_VALUE"""),67.0)</f>
        <v>67</v>
      </c>
      <c r="F11219" s="19" t="str">
        <f>IFERROR(__xludf.DUMMYFUNCTION("""COMPUTED_VALUE"""),"BLACK")</f>
        <v>BLACK</v>
      </c>
      <c r="G11219" s="20" t="str">
        <f>IFERROR(__xludf.DUMMYFUNCTION("""COMPUTED_VALUE"""),"Uncle Sams Cider (04/04/2023)")</f>
        <v>Uncle Sams Cider (04/04/2023)</v>
      </c>
      <c r="H11219" s="19"/>
    </row>
    <row r="11220">
      <c r="A11220" s="9"/>
      <c r="B11220" s="15"/>
      <c r="C11220" s="9">
        <f>IFERROR(__xludf.DUMMYFUNCTION("""COMPUTED_VALUE"""),45026.4370729629)</f>
        <v>45026.43707</v>
      </c>
      <c r="D11220" s="15">
        <f>IFERROR(__xludf.DUMMYFUNCTION("""COMPUTED_VALUE"""),1.075)</f>
        <v>1.075</v>
      </c>
      <c r="E11220" s="16">
        <f>IFERROR(__xludf.DUMMYFUNCTION("""COMPUTED_VALUE"""),67.0)</f>
        <v>67</v>
      </c>
      <c r="F11220" s="19" t="str">
        <f>IFERROR(__xludf.DUMMYFUNCTION("""COMPUTED_VALUE"""),"BLACK")</f>
        <v>BLACK</v>
      </c>
      <c r="G11220" s="20" t="str">
        <f>IFERROR(__xludf.DUMMYFUNCTION("""COMPUTED_VALUE"""),"Uncle Sams Cider (04/04/2023)")</f>
        <v>Uncle Sams Cider (04/04/2023)</v>
      </c>
      <c r="H11220" s="19"/>
    </row>
    <row r="11221">
      <c r="A11221" s="9"/>
      <c r="B11221" s="15"/>
      <c r="C11221" s="9">
        <f>IFERROR(__xludf.DUMMYFUNCTION("""COMPUTED_VALUE"""),45026.4266527546)</f>
        <v>45026.42665</v>
      </c>
      <c r="D11221" s="15">
        <f>IFERROR(__xludf.DUMMYFUNCTION("""COMPUTED_VALUE"""),1.075)</f>
        <v>1.075</v>
      </c>
      <c r="E11221" s="16">
        <f>IFERROR(__xludf.DUMMYFUNCTION("""COMPUTED_VALUE"""),67.0)</f>
        <v>67</v>
      </c>
      <c r="F11221" s="19" t="str">
        <f>IFERROR(__xludf.DUMMYFUNCTION("""COMPUTED_VALUE"""),"BLACK")</f>
        <v>BLACK</v>
      </c>
      <c r="G11221" s="20" t="str">
        <f>IFERROR(__xludf.DUMMYFUNCTION("""COMPUTED_VALUE"""),"Uncle Sams Cider (04/04/2023)")</f>
        <v>Uncle Sams Cider (04/04/2023)</v>
      </c>
      <c r="H11221" s="19"/>
    </row>
    <row r="11222">
      <c r="A11222" s="9"/>
      <c r="B11222" s="15"/>
      <c r="C11222" s="9">
        <f>IFERROR(__xludf.DUMMYFUNCTION("""COMPUTED_VALUE"""),45026.4162327893)</f>
        <v>45026.41623</v>
      </c>
      <c r="D11222" s="15">
        <f>IFERROR(__xludf.DUMMYFUNCTION("""COMPUTED_VALUE"""),1.075)</f>
        <v>1.075</v>
      </c>
      <c r="E11222" s="16">
        <f>IFERROR(__xludf.DUMMYFUNCTION("""COMPUTED_VALUE"""),67.0)</f>
        <v>67</v>
      </c>
      <c r="F11222" s="19" t="str">
        <f>IFERROR(__xludf.DUMMYFUNCTION("""COMPUTED_VALUE"""),"BLACK")</f>
        <v>BLACK</v>
      </c>
      <c r="G11222" s="20" t="str">
        <f>IFERROR(__xludf.DUMMYFUNCTION("""COMPUTED_VALUE"""),"Uncle Sams Cider (04/04/2023)")</f>
        <v>Uncle Sams Cider (04/04/2023)</v>
      </c>
      <c r="H11222" s="19"/>
    </row>
    <row r="11223">
      <c r="A11223" s="9"/>
      <c r="B11223" s="15"/>
      <c r="C11223" s="9">
        <f>IFERROR(__xludf.DUMMYFUNCTION("""COMPUTED_VALUE"""),45026.4058111689)</f>
        <v>45026.40581</v>
      </c>
      <c r="D11223" s="15">
        <f>IFERROR(__xludf.DUMMYFUNCTION("""COMPUTED_VALUE"""),1.075)</f>
        <v>1.075</v>
      </c>
      <c r="E11223" s="16">
        <f>IFERROR(__xludf.DUMMYFUNCTION("""COMPUTED_VALUE"""),67.0)</f>
        <v>67</v>
      </c>
      <c r="F11223" s="19" t="str">
        <f>IFERROR(__xludf.DUMMYFUNCTION("""COMPUTED_VALUE"""),"BLACK")</f>
        <v>BLACK</v>
      </c>
      <c r="G11223" s="20" t="str">
        <f>IFERROR(__xludf.DUMMYFUNCTION("""COMPUTED_VALUE"""),"Uncle Sams Cider (04/04/2023)")</f>
        <v>Uncle Sams Cider (04/04/2023)</v>
      </c>
      <c r="H11223" s="19"/>
    </row>
    <row r="11224">
      <c r="A11224" s="9"/>
      <c r="B11224" s="15"/>
      <c r="C11224" s="9">
        <f>IFERROR(__xludf.DUMMYFUNCTION("""COMPUTED_VALUE"""),45026.3953905671)</f>
        <v>45026.39539</v>
      </c>
      <c r="D11224" s="15">
        <f>IFERROR(__xludf.DUMMYFUNCTION("""COMPUTED_VALUE"""),1.075)</f>
        <v>1.075</v>
      </c>
      <c r="E11224" s="16">
        <f>IFERROR(__xludf.DUMMYFUNCTION("""COMPUTED_VALUE"""),67.0)</f>
        <v>67</v>
      </c>
      <c r="F11224" s="19" t="str">
        <f>IFERROR(__xludf.DUMMYFUNCTION("""COMPUTED_VALUE"""),"BLACK")</f>
        <v>BLACK</v>
      </c>
      <c r="G11224" s="20" t="str">
        <f>IFERROR(__xludf.DUMMYFUNCTION("""COMPUTED_VALUE"""),"Uncle Sams Cider (04/04/2023)")</f>
        <v>Uncle Sams Cider (04/04/2023)</v>
      </c>
      <c r="H11224" s="19"/>
    </row>
    <row r="11225">
      <c r="A11225" s="9"/>
      <c r="B11225" s="15"/>
      <c r="C11225" s="9">
        <f>IFERROR(__xludf.DUMMYFUNCTION("""COMPUTED_VALUE"""),45026.3849454513)</f>
        <v>45026.38495</v>
      </c>
      <c r="D11225" s="15">
        <f>IFERROR(__xludf.DUMMYFUNCTION("""COMPUTED_VALUE"""),1.075)</f>
        <v>1.075</v>
      </c>
      <c r="E11225" s="16">
        <f>IFERROR(__xludf.DUMMYFUNCTION("""COMPUTED_VALUE"""),67.0)</f>
        <v>67</v>
      </c>
      <c r="F11225" s="19" t="str">
        <f>IFERROR(__xludf.DUMMYFUNCTION("""COMPUTED_VALUE"""),"BLACK")</f>
        <v>BLACK</v>
      </c>
      <c r="G11225" s="20" t="str">
        <f>IFERROR(__xludf.DUMMYFUNCTION("""COMPUTED_VALUE"""),"Uncle Sams Cider (04/04/2023)")</f>
        <v>Uncle Sams Cider (04/04/2023)</v>
      </c>
      <c r="H11225" s="19"/>
    </row>
    <row r="11226">
      <c r="A11226" s="9"/>
      <c r="B11226" s="15"/>
      <c r="C11226" s="9">
        <f>IFERROR(__xludf.DUMMYFUNCTION("""COMPUTED_VALUE"""),45026.3745231597)</f>
        <v>45026.37452</v>
      </c>
      <c r="D11226" s="15">
        <f>IFERROR(__xludf.DUMMYFUNCTION("""COMPUTED_VALUE"""),1.075)</f>
        <v>1.075</v>
      </c>
      <c r="E11226" s="16">
        <f>IFERROR(__xludf.DUMMYFUNCTION("""COMPUTED_VALUE"""),67.0)</f>
        <v>67</v>
      </c>
      <c r="F11226" s="19" t="str">
        <f>IFERROR(__xludf.DUMMYFUNCTION("""COMPUTED_VALUE"""),"BLACK")</f>
        <v>BLACK</v>
      </c>
      <c r="G11226" s="20" t="str">
        <f>IFERROR(__xludf.DUMMYFUNCTION("""COMPUTED_VALUE"""),"Uncle Sams Cider (04/04/2023)")</f>
        <v>Uncle Sams Cider (04/04/2023)</v>
      </c>
      <c r="H11226" s="19"/>
    </row>
    <row r="11227">
      <c r="A11227" s="9"/>
      <c r="B11227" s="15"/>
      <c r="C11227" s="9">
        <f>IFERROR(__xludf.DUMMYFUNCTION("""COMPUTED_VALUE"""),45026.3640777199)</f>
        <v>45026.36408</v>
      </c>
      <c r="D11227" s="15">
        <f>IFERROR(__xludf.DUMMYFUNCTION("""COMPUTED_VALUE"""),1.076)</f>
        <v>1.076</v>
      </c>
      <c r="E11227" s="16">
        <f>IFERROR(__xludf.DUMMYFUNCTION("""COMPUTED_VALUE"""),67.0)</f>
        <v>67</v>
      </c>
      <c r="F11227" s="19" t="str">
        <f>IFERROR(__xludf.DUMMYFUNCTION("""COMPUTED_VALUE"""),"BLACK")</f>
        <v>BLACK</v>
      </c>
      <c r="G11227" s="20" t="str">
        <f>IFERROR(__xludf.DUMMYFUNCTION("""COMPUTED_VALUE"""),"Uncle Sams Cider (04/04/2023)")</f>
        <v>Uncle Sams Cider (04/04/2023)</v>
      </c>
      <c r="H11227" s="19"/>
    </row>
    <row r="11228">
      <c r="A11228" s="9"/>
      <c r="B11228" s="15"/>
      <c r="C11228" s="9">
        <f>IFERROR(__xludf.DUMMYFUNCTION("""COMPUTED_VALUE"""),45026.3536543981)</f>
        <v>45026.35365</v>
      </c>
      <c r="D11228" s="15">
        <f>IFERROR(__xludf.DUMMYFUNCTION("""COMPUTED_VALUE"""),1.076)</f>
        <v>1.076</v>
      </c>
      <c r="E11228" s="16">
        <f>IFERROR(__xludf.DUMMYFUNCTION("""COMPUTED_VALUE"""),67.0)</f>
        <v>67</v>
      </c>
      <c r="F11228" s="19" t="str">
        <f>IFERROR(__xludf.DUMMYFUNCTION("""COMPUTED_VALUE"""),"BLACK")</f>
        <v>BLACK</v>
      </c>
      <c r="G11228" s="20" t="str">
        <f>IFERROR(__xludf.DUMMYFUNCTION("""COMPUTED_VALUE"""),"Uncle Sams Cider (04/04/2023)")</f>
        <v>Uncle Sams Cider (04/04/2023)</v>
      </c>
      <c r="H11228" s="19"/>
    </row>
    <row r="11229">
      <c r="A11229" s="9"/>
      <c r="B11229" s="15"/>
      <c r="C11229" s="9">
        <f>IFERROR(__xludf.DUMMYFUNCTION("""COMPUTED_VALUE"""),45026.3432335416)</f>
        <v>45026.34323</v>
      </c>
      <c r="D11229" s="15">
        <f>IFERROR(__xludf.DUMMYFUNCTION("""COMPUTED_VALUE"""),1.076)</f>
        <v>1.076</v>
      </c>
      <c r="E11229" s="16">
        <f>IFERROR(__xludf.DUMMYFUNCTION("""COMPUTED_VALUE"""),67.0)</f>
        <v>67</v>
      </c>
      <c r="F11229" s="19" t="str">
        <f>IFERROR(__xludf.DUMMYFUNCTION("""COMPUTED_VALUE"""),"BLACK")</f>
        <v>BLACK</v>
      </c>
      <c r="G11229" s="20" t="str">
        <f>IFERROR(__xludf.DUMMYFUNCTION("""COMPUTED_VALUE"""),"Uncle Sams Cider (04/04/2023)")</f>
        <v>Uncle Sams Cider (04/04/2023)</v>
      </c>
      <c r="H11229" s="19"/>
    </row>
    <row r="11230">
      <c r="A11230" s="9"/>
      <c r="B11230" s="15"/>
      <c r="C11230" s="9">
        <f>IFERROR(__xludf.DUMMYFUNCTION("""COMPUTED_VALUE"""),45026.3328137731)</f>
        <v>45026.33281</v>
      </c>
      <c r="D11230" s="15">
        <f>IFERROR(__xludf.DUMMYFUNCTION("""COMPUTED_VALUE"""),1.076)</f>
        <v>1.076</v>
      </c>
      <c r="E11230" s="16">
        <f>IFERROR(__xludf.DUMMYFUNCTION("""COMPUTED_VALUE"""),67.0)</f>
        <v>67</v>
      </c>
      <c r="F11230" s="19" t="str">
        <f>IFERROR(__xludf.DUMMYFUNCTION("""COMPUTED_VALUE"""),"BLACK")</f>
        <v>BLACK</v>
      </c>
      <c r="G11230" s="20" t="str">
        <f>IFERROR(__xludf.DUMMYFUNCTION("""COMPUTED_VALUE"""),"Uncle Sams Cider (04/04/2023)")</f>
        <v>Uncle Sams Cider (04/04/2023)</v>
      </c>
      <c r="H11230" s="19"/>
    </row>
    <row r="11231">
      <c r="A11231" s="9"/>
      <c r="B11231" s="15"/>
      <c r="C11231" s="9">
        <f>IFERROR(__xludf.DUMMYFUNCTION("""COMPUTED_VALUE"""),45026.3223916319)</f>
        <v>45026.32239</v>
      </c>
      <c r="D11231" s="15">
        <f>IFERROR(__xludf.DUMMYFUNCTION("""COMPUTED_VALUE"""),1.076)</f>
        <v>1.076</v>
      </c>
      <c r="E11231" s="16">
        <f>IFERROR(__xludf.DUMMYFUNCTION("""COMPUTED_VALUE"""),67.0)</f>
        <v>67</v>
      </c>
      <c r="F11231" s="19" t="str">
        <f>IFERROR(__xludf.DUMMYFUNCTION("""COMPUTED_VALUE"""),"BLACK")</f>
        <v>BLACK</v>
      </c>
      <c r="G11231" s="20" t="str">
        <f>IFERROR(__xludf.DUMMYFUNCTION("""COMPUTED_VALUE"""),"Uncle Sams Cider (04/04/2023)")</f>
        <v>Uncle Sams Cider (04/04/2023)</v>
      </c>
      <c r="H11231" s="19"/>
    </row>
    <row r="11232">
      <c r="A11232" s="9"/>
      <c r="B11232" s="15"/>
      <c r="C11232" s="9">
        <f>IFERROR(__xludf.DUMMYFUNCTION("""COMPUTED_VALUE"""),45026.3119688541)</f>
        <v>45026.31197</v>
      </c>
      <c r="D11232" s="15">
        <f>IFERROR(__xludf.DUMMYFUNCTION("""COMPUTED_VALUE"""),1.076)</f>
        <v>1.076</v>
      </c>
      <c r="E11232" s="16">
        <f>IFERROR(__xludf.DUMMYFUNCTION("""COMPUTED_VALUE"""),67.0)</f>
        <v>67</v>
      </c>
      <c r="F11232" s="19" t="str">
        <f>IFERROR(__xludf.DUMMYFUNCTION("""COMPUTED_VALUE"""),"BLACK")</f>
        <v>BLACK</v>
      </c>
      <c r="G11232" s="20" t="str">
        <f>IFERROR(__xludf.DUMMYFUNCTION("""COMPUTED_VALUE"""),"Uncle Sams Cider (04/04/2023)")</f>
        <v>Uncle Sams Cider (04/04/2023)</v>
      </c>
      <c r="H11232" s="19"/>
    </row>
    <row r="11233">
      <c r="A11233" s="9"/>
      <c r="B11233" s="15"/>
      <c r="C11233" s="9">
        <f>IFERROR(__xludf.DUMMYFUNCTION("""COMPUTED_VALUE"""),45026.3015485879)</f>
        <v>45026.30155</v>
      </c>
      <c r="D11233" s="15">
        <f>IFERROR(__xludf.DUMMYFUNCTION("""COMPUTED_VALUE"""),1.076)</f>
        <v>1.076</v>
      </c>
      <c r="E11233" s="16">
        <f>IFERROR(__xludf.DUMMYFUNCTION("""COMPUTED_VALUE"""),67.0)</f>
        <v>67</v>
      </c>
      <c r="F11233" s="19" t="str">
        <f>IFERROR(__xludf.DUMMYFUNCTION("""COMPUTED_VALUE"""),"BLACK")</f>
        <v>BLACK</v>
      </c>
      <c r="G11233" s="20" t="str">
        <f>IFERROR(__xludf.DUMMYFUNCTION("""COMPUTED_VALUE"""),"Uncle Sams Cider (04/04/2023)")</f>
        <v>Uncle Sams Cider (04/04/2023)</v>
      </c>
      <c r="H11233" s="19"/>
    </row>
    <row r="11234">
      <c r="A11234" s="9"/>
      <c r="B11234" s="15"/>
      <c r="C11234" s="9">
        <f>IFERROR(__xludf.DUMMYFUNCTION("""COMPUTED_VALUE"""),45026.2911158564)</f>
        <v>45026.29112</v>
      </c>
      <c r="D11234" s="15">
        <f>IFERROR(__xludf.DUMMYFUNCTION("""COMPUTED_VALUE"""),1.076)</f>
        <v>1.076</v>
      </c>
      <c r="E11234" s="16">
        <f>IFERROR(__xludf.DUMMYFUNCTION("""COMPUTED_VALUE"""),67.0)</f>
        <v>67</v>
      </c>
      <c r="F11234" s="19" t="str">
        <f>IFERROR(__xludf.DUMMYFUNCTION("""COMPUTED_VALUE"""),"BLACK")</f>
        <v>BLACK</v>
      </c>
      <c r="G11234" s="20" t="str">
        <f>IFERROR(__xludf.DUMMYFUNCTION("""COMPUTED_VALUE"""),"Uncle Sams Cider (04/04/2023)")</f>
        <v>Uncle Sams Cider (04/04/2023)</v>
      </c>
      <c r="H11234" s="19"/>
    </row>
    <row r="11235">
      <c r="A11235" s="9"/>
      <c r="B11235" s="15"/>
      <c r="C11235" s="9">
        <f>IFERROR(__xludf.DUMMYFUNCTION("""COMPUTED_VALUE"""),45026.2806840972)</f>
        <v>45026.28068</v>
      </c>
      <c r="D11235" s="15">
        <f>IFERROR(__xludf.DUMMYFUNCTION("""COMPUTED_VALUE"""),1.076)</f>
        <v>1.076</v>
      </c>
      <c r="E11235" s="16">
        <f>IFERROR(__xludf.DUMMYFUNCTION("""COMPUTED_VALUE"""),67.0)</f>
        <v>67</v>
      </c>
      <c r="F11235" s="19" t="str">
        <f>IFERROR(__xludf.DUMMYFUNCTION("""COMPUTED_VALUE"""),"BLACK")</f>
        <v>BLACK</v>
      </c>
      <c r="G11235" s="20" t="str">
        <f>IFERROR(__xludf.DUMMYFUNCTION("""COMPUTED_VALUE"""),"Uncle Sams Cider (04/04/2023)")</f>
        <v>Uncle Sams Cider (04/04/2023)</v>
      </c>
      <c r="H11235" s="19"/>
    </row>
    <row r="11236">
      <c r="A11236" s="9"/>
      <c r="B11236" s="15"/>
      <c r="C11236" s="9">
        <f>IFERROR(__xludf.DUMMYFUNCTION("""COMPUTED_VALUE"""),45026.2702640046)</f>
        <v>45026.27026</v>
      </c>
      <c r="D11236" s="15">
        <f>IFERROR(__xludf.DUMMYFUNCTION("""COMPUTED_VALUE"""),1.076)</f>
        <v>1.076</v>
      </c>
      <c r="E11236" s="16">
        <f>IFERROR(__xludf.DUMMYFUNCTION("""COMPUTED_VALUE"""),67.0)</f>
        <v>67</v>
      </c>
      <c r="F11236" s="19" t="str">
        <f>IFERROR(__xludf.DUMMYFUNCTION("""COMPUTED_VALUE"""),"BLACK")</f>
        <v>BLACK</v>
      </c>
      <c r="G11236" s="20" t="str">
        <f>IFERROR(__xludf.DUMMYFUNCTION("""COMPUTED_VALUE"""),"Uncle Sams Cider (04/04/2023)")</f>
        <v>Uncle Sams Cider (04/04/2023)</v>
      </c>
      <c r="H11236" s="19"/>
    </row>
    <row r="11237">
      <c r="A11237" s="9"/>
      <c r="B11237" s="15"/>
      <c r="C11237" s="9">
        <f>IFERROR(__xludf.DUMMYFUNCTION("""COMPUTED_VALUE"""),45026.259830787)</f>
        <v>45026.25983</v>
      </c>
      <c r="D11237" s="15">
        <f>IFERROR(__xludf.DUMMYFUNCTION("""COMPUTED_VALUE"""),1.076)</f>
        <v>1.076</v>
      </c>
      <c r="E11237" s="16">
        <f>IFERROR(__xludf.DUMMYFUNCTION("""COMPUTED_VALUE"""),67.0)</f>
        <v>67</v>
      </c>
      <c r="F11237" s="19" t="str">
        <f>IFERROR(__xludf.DUMMYFUNCTION("""COMPUTED_VALUE"""),"BLACK")</f>
        <v>BLACK</v>
      </c>
      <c r="G11237" s="20" t="str">
        <f>IFERROR(__xludf.DUMMYFUNCTION("""COMPUTED_VALUE"""),"Uncle Sams Cider (04/04/2023)")</f>
        <v>Uncle Sams Cider (04/04/2023)</v>
      </c>
      <c r="H11237" s="19"/>
    </row>
    <row r="11238">
      <c r="A11238" s="9"/>
      <c r="B11238" s="15"/>
      <c r="C11238" s="9">
        <f>IFERROR(__xludf.DUMMYFUNCTION("""COMPUTED_VALUE"""),45026.2493975926)</f>
        <v>45026.2494</v>
      </c>
      <c r="D11238" s="15">
        <f>IFERROR(__xludf.DUMMYFUNCTION("""COMPUTED_VALUE"""),1.076)</f>
        <v>1.076</v>
      </c>
      <c r="E11238" s="16">
        <f>IFERROR(__xludf.DUMMYFUNCTION("""COMPUTED_VALUE"""),67.0)</f>
        <v>67</v>
      </c>
      <c r="F11238" s="19" t="str">
        <f>IFERROR(__xludf.DUMMYFUNCTION("""COMPUTED_VALUE"""),"BLACK")</f>
        <v>BLACK</v>
      </c>
      <c r="G11238" s="20" t="str">
        <f>IFERROR(__xludf.DUMMYFUNCTION("""COMPUTED_VALUE"""),"Uncle Sams Cider (04/04/2023)")</f>
        <v>Uncle Sams Cider (04/04/2023)</v>
      </c>
      <c r="H11238" s="19"/>
    </row>
    <row r="11239">
      <c r="A11239" s="9"/>
      <c r="B11239" s="15"/>
      <c r="C11239" s="9">
        <f>IFERROR(__xludf.DUMMYFUNCTION("""COMPUTED_VALUE"""),45026.2389636226)</f>
        <v>45026.23896</v>
      </c>
      <c r="D11239" s="15">
        <f>IFERROR(__xludf.DUMMYFUNCTION("""COMPUTED_VALUE"""),1.076)</f>
        <v>1.076</v>
      </c>
      <c r="E11239" s="16">
        <f>IFERROR(__xludf.DUMMYFUNCTION("""COMPUTED_VALUE"""),67.0)</f>
        <v>67</v>
      </c>
      <c r="F11239" s="19" t="str">
        <f>IFERROR(__xludf.DUMMYFUNCTION("""COMPUTED_VALUE"""),"BLACK")</f>
        <v>BLACK</v>
      </c>
      <c r="G11239" s="20" t="str">
        <f>IFERROR(__xludf.DUMMYFUNCTION("""COMPUTED_VALUE"""),"Uncle Sams Cider (04/04/2023)")</f>
        <v>Uncle Sams Cider (04/04/2023)</v>
      </c>
      <c r="H11239" s="19"/>
    </row>
    <row r="11240">
      <c r="A11240" s="9"/>
      <c r="B11240" s="15"/>
      <c r="C11240" s="9">
        <f>IFERROR(__xludf.DUMMYFUNCTION("""COMPUTED_VALUE"""),45026.2285416087)</f>
        <v>45026.22854</v>
      </c>
      <c r="D11240" s="15">
        <f>IFERROR(__xludf.DUMMYFUNCTION("""COMPUTED_VALUE"""),1.076)</f>
        <v>1.076</v>
      </c>
      <c r="E11240" s="16">
        <f>IFERROR(__xludf.DUMMYFUNCTION("""COMPUTED_VALUE"""),67.0)</f>
        <v>67</v>
      </c>
      <c r="F11240" s="19" t="str">
        <f>IFERROR(__xludf.DUMMYFUNCTION("""COMPUTED_VALUE"""),"BLACK")</f>
        <v>BLACK</v>
      </c>
      <c r="G11240" s="20" t="str">
        <f>IFERROR(__xludf.DUMMYFUNCTION("""COMPUTED_VALUE"""),"Uncle Sams Cider (04/04/2023)")</f>
        <v>Uncle Sams Cider (04/04/2023)</v>
      </c>
      <c r="H11240" s="19"/>
    </row>
    <row r="11241">
      <c r="A11241" s="9"/>
      <c r="B11241" s="15"/>
      <c r="C11241" s="9">
        <f>IFERROR(__xludf.DUMMYFUNCTION("""COMPUTED_VALUE"""),45026.2181081944)</f>
        <v>45026.21811</v>
      </c>
      <c r="D11241" s="15">
        <f>IFERROR(__xludf.DUMMYFUNCTION("""COMPUTED_VALUE"""),1.076)</f>
        <v>1.076</v>
      </c>
      <c r="E11241" s="16">
        <f>IFERROR(__xludf.DUMMYFUNCTION("""COMPUTED_VALUE"""),67.0)</f>
        <v>67</v>
      </c>
      <c r="F11241" s="19" t="str">
        <f>IFERROR(__xludf.DUMMYFUNCTION("""COMPUTED_VALUE"""),"BLACK")</f>
        <v>BLACK</v>
      </c>
      <c r="G11241" s="20" t="str">
        <f>IFERROR(__xludf.DUMMYFUNCTION("""COMPUTED_VALUE"""),"Uncle Sams Cider (04/04/2023)")</f>
        <v>Uncle Sams Cider (04/04/2023)</v>
      </c>
      <c r="H11241" s="19"/>
    </row>
    <row r="11242">
      <c r="A11242" s="9"/>
      <c r="B11242" s="15"/>
      <c r="C11242" s="9">
        <f>IFERROR(__xludf.DUMMYFUNCTION("""COMPUTED_VALUE"""),45026.207687037)</f>
        <v>45026.20769</v>
      </c>
      <c r="D11242" s="15">
        <f>IFERROR(__xludf.DUMMYFUNCTION("""COMPUTED_VALUE"""),1.076)</f>
        <v>1.076</v>
      </c>
      <c r="E11242" s="16">
        <f>IFERROR(__xludf.DUMMYFUNCTION("""COMPUTED_VALUE"""),67.0)</f>
        <v>67</v>
      </c>
      <c r="F11242" s="19" t="str">
        <f>IFERROR(__xludf.DUMMYFUNCTION("""COMPUTED_VALUE"""),"BLACK")</f>
        <v>BLACK</v>
      </c>
      <c r="G11242" s="20" t="str">
        <f>IFERROR(__xludf.DUMMYFUNCTION("""COMPUTED_VALUE"""),"Uncle Sams Cider (04/04/2023)")</f>
        <v>Uncle Sams Cider (04/04/2023)</v>
      </c>
      <c r="H11242" s="19"/>
    </row>
    <row r="11243">
      <c r="A11243" s="9"/>
      <c r="B11243" s="15"/>
      <c r="C11243" s="9">
        <f>IFERROR(__xludf.DUMMYFUNCTION("""COMPUTED_VALUE"""),45026.1972557754)</f>
        <v>45026.19726</v>
      </c>
      <c r="D11243" s="15">
        <f>IFERROR(__xludf.DUMMYFUNCTION("""COMPUTED_VALUE"""),1.077)</f>
        <v>1.077</v>
      </c>
      <c r="E11243" s="16">
        <f>IFERROR(__xludf.DUMMYFUNCTION("""COMPUTED_VALUE"""),67.0)</f>
        <v>67</v>
      </c>
      <c r="F11243" s="19" t="str">
        <f>IFERROR(__xludf.DUMMYFUNCTION("""COMPUTED_VALUE"""),"BLACK")</f>
        <v>BLACK</v>
      </c>
      <c r="G11243" s="20" t="str">
        <f>IFERROR(__xludf.DUMMYFUNCTION("""COMPUTED_VALUE"""),"Uncle Sams Cider (04/04/2023)")</f>
        <v>Uncle Sams Cider (04/04/2023)</v>
      </c>
      <c r="H11243" s="19"/>
    </row>
    <row r="11244">
      <c r="A11244" s="9"/>
      <c r="B11244" s="15"/>
      <c r="C11244" s="9">
        <f>IFERROR(__xludf.DUMMYFUNCTION("""COMPUTED_VALUE"""),45026.1868350231)</f>
        <v>45026.18684</v>
      </c>
      <c r="D11244" s="15">
        <f>IFERROR(__xludf.DUMMYFUNCTION("""COMPUTED_VALUE"""),1.077)</f>
        <v>1.077</v>
      </c>
      <c r="E11244" s="16">
        <f>IFERROR(__xludf.DUMMYFUNCTION("""COMPUTED_VALUE"""),67.0)</f>
        <v>67</v>
      </c>
      <c r="F11244" s="19" t="str">
        <f>IFERROR(__xludf.DUMMYFUNCTION("""COMPUTED_VALUE"""),"BLACK")</f>
        <v>BLACK</v>
      </c>
      <c r="G11244" s="20" t="str">
        <f>IFERROR(__xludf.DUMMYFUNCTION("""COMPUTED_VALUE"""),"Uncle Sams Cider (04/04/2023)")</f>
        <v>Uncle Sams Cider (04/04/2023)</v>
      </c>
      <c r="H11244" s="19"/>
    </row>
    <row r="11245">
      <c r="A11245" s="9"/>
      <c r="B11245" s="15"/>
      <c r="C11245" s="9">
        <f>IFERROR(__xludf.DUMMYFUNCTION("""COMPUTED_VALUE"""),45026.176403287)</f>
        <v>45026.1764</v>
      </c>
      <c r="D11245" s="15">
        <f>IFERROR(__xludf.DUMMYFUNCTION("""COMPUTED_VALUE"""),1.076)</f>
        <v>1.076</v>
      </c>
      <c r="E11245" s="16">
        <f>IFERROR(__xludf.DUMMYFUNCTION("""COMPUTED_VALUE"""),67.0)</f>
        <v>67</v>
      </c>
      <c r="F11245" s="19" t="str">
        <f>IFERROR(__xludf.DUMMYFUNCTION("""COMPUTED_VALUE"""),"BLACK")</f>
        <v>BLACK</v>
      </c>
      <c r="G11245" s="20" t="str">
        <f>IFERROR(__xludf.DUMMYFUNCTION("""COMPUTED_VALUE"""),"Uncle Sams Cider (04/04/2023)")</f>
        <v>Uncle Sams Cider (04/04/2023)</v>
      </c>
      <c r="H11245" s="19"/>
    </row>
    <row r="11246">
      <c r="A11246" s="9"/>
      <c r="B11246" s="15"/>
      <c r="C11246" s="9">
        <f>IFERROR(__xludf.DUMMYFUNCTION("""COMPUTED_VALUE"""),45026.1659809837)</f>
        <v>45026.16598</v>
      </c>
      <c r="D11246" s="15">
        <f>IFERROR(__xludf.DUMMYFUNCTION("""COMPUTED_VALUE"""),1.077)</f>
        <v>1.077</v>
      </c>
      <c r="E11246" s="16">
        <f>IFERROR(__xludf.DUMMYFUNCTION("""COMPUTED_VALUE"""),67.0)</f>
        <v>67</v>
      </c>
      <c r="F11246" s="19" t="str">
        <f>IFERROR(__xludf.DUMMYFUNCTION("""COMPUTED_VALUE"""),"BLACK")</f>
        <v>BLACK</v>
      </c>
      <c r="G11246" s="20" t="str">
        <f>IFERROR(__xludf.DUMMYFUNCTION("""COMPUTED_VALUE"""),"Uncle Sams Cider (04/04/2023)")</f>
        <v>Uncle Sams Cider (04/04/2023)</v>
      </c>
      <c r="H11246" s="19"/>
    </row>
    <row r="11247">
      <c r="A11247" s="9"/>
      <c r="B11247" s="15"/>
      <c r="C11247" s="9">
        <f>IFERROR(__xludf.DUMMYFUNCTION("""COMPUTED_VALUE"""),45026.1555481828)</f>
        <v>45026.15555</v>
      </c>
      <c r="D11247" s="15">
        <f>IFERROR(__xludf.DUMMYFUNCTION("""COMPUTED_VALUE"""),1.077)</f>
        <v>1.077</v>
      </c>
      <c r="E11247" s="16">
        <f>IFERROR(__xludf.DUMMYFUNCTION("""COMPUTED_VALUE"""),67.0)</f>
        <v>67</v>
      </c>
      <c r="F11247" s="19" t="str">
        <f>IFERROR(__xludf.DUMMYFUNCTION("""COMPUTED_VALUE"""),"BLACK")</f>
        <v>BLACK</v>
      </c>
      <c r="G11247" s="20" t="str">
        <f>IFERROR(__xludf.DUMMYFUNCTION("""COMPUTED_VALUE"""),"Uncle Sams Cider (04/04/2023)")</f>
        <v>Uncle Sams Cider (04/04/2023)</v>
      </c>
      <c r="H11247" s="19"/>
    </row>
    <row r="11248">
      <c r="A11248" s="9"/>
      <c r="B11248" s="15"/>
      <c r="C11248" s="9">
        <f>IFERROR(__xludf.DUMMYFUNCTION("""COMPUTED_VALUE"""),45026.1451134027)</f>
        <v>45026.14511</v>
      </c>
      <c r="D11248" s="15">
        <f>IFERROR(__xludf.DUMMYFUNCTION("""COMPUTED_VALUE"""),1.077)</f>
        <v>1.077</v>
      </c>
      <c r="E11248" s="16">
        <f>IFERROR(__xludf.DUMMYFUNCTION("""COMPUTED_VALUE"""),67.0)</f>
        <v>67</v>
      </c>
      <c r="F11248" s="19" t="str">
        <f>IFERROR(__xludf.DUMMYFUNCTION("""COMPUTED_VALUE"""),"BLACK")</f>
        <v>BLACK</v>
      </c>
      <c r="G11248" s="20" t="str">
        <f>IFERROR(__xludf.DUMMYFUNCTION("""COMPUTED_VALUE"""),"Uncle Sams Cider (04/04/2023)")</f>
        <v>Uncle Sams Cider (04/04/2023)</v>
      </c>
      <c r="H11248" s="19"/>
    </row>
    <row r="11249">
      <c r="A11249" s="9"/>
      <c r="B11249" s="15"/>
      <c r="C11249" s="9">
        <f>IFERROR(__xludf.DUMMYFUNCTION("""COMPUTED_VALUE"""),45026.1346924652)</f>
        <v>45026.13469</v>
      </c>
      <c r="D11249" s="15">
        <f>IFERROR(__xludf.DUMMYFUNCTION("""COMPUTED_VALUE"""),1.077)</f>
        <v>1.077</v>
      </c>
      <c r="E11249" s="16">
        <f>IFERROR(__xludf.DUMMYFUNCTION("""COMPUTED_VALUE"""),67.0)</f>
        <v>67</v>
      </c>
      <c r="F11249" s="19" t="str">
        <f>IFERROR(__xludf.DUMMYFUNCTION("""COMPUTED_VALUE"""),"BLACK")</f>
        <v>BLACK</v>
      </c>
      <c r="G11249" s="20" t="str">
        <f>IFERROR(__xludf.DUMMYFUNCTION("""COMPUTED_VALUE"""),"Uncle Sams Cider (04/04/2023)")</f>
        <v>Uncle Sams Cider (04/04/2023)</v>
      </c>
      <c r="H11249" s="19"/>
    </row>
    <row r="11250">
      <c r="A11250" s="9"/>
      <c r="B11250" s="15"/>
      <c r="C11250" s="9">
        <f>IFERROR(__xludf.DUMMYFUNCTION("""COMPUTED_VALUE"""),45026.1242603009)</f>
        <v>45026.12426</v>
      </c>
      <c r="D11250" s="15">
        <f>IFERROR(__xludf.DUMMYFUNCTION("""COMPUTED_VALUE"""),1.076)</f>
        <v>1.076</v>
      </c>
      <c r="E11250" s="16">
        <f>IFERROR(__xludf.DUMMYFUNCTION("""COMPUTED_VALUE"""),67.0)</f>
        <v>67</v>
      </c>
      <c r="F11250" s="19" t="str">
        <f>IFERROR(__xludf.DUMMYFUNCTION("""COMPUTED_VALUE"""),"BLACK")</f>
        <v>BLACK</v>
      </c>
      <c r="G11250" s="20" t="str">
        <f>IFERROR(__xludf.DUMMYFUNCTION("""COMPUTED_VALUE"""),"Uncle Sams Cider (04/04/2023)")</f>
        <v>Uncle Sams Cider (04/04/2023)</v>
      </c>
      <c r="H11250" s="19"/>
    </row>
    <row r="11251">
      <c r="A11251" s="9"/>
      <c r="B11251" s="15"/>
      <c r="C11251" s="9">
        <f>IFERROR(__xludf.DUMMYFUNCTION("""COMPUTED_VALUE"""),45026.1138375925)</f>
        <v>45026.11384</v>
      </c>
      <c r="D11251" s="15">
        <f>IFERROR(__xludf.DUMMYFUNCTION("""COMPUTED_VALUE"""),1.077)</f>
        <v>1.077</v>
      </c>
      <c r="E11251" s="16">
        <f>IFERROR(__xludf.DUMMYFUNCTION("""COMPUTED_VALUE"""),67.0)</f>
        <v>67</v>
      </c>
      <c r="F11251" s="19" t="str">
        <f>IFERROR(__xludf.DUMMYFUNCTION("""COMPUTED_VALUE"""),"BLACK")</f>
        <v>BLACK</v>
      </c>
      <c r="G11251" s="20" t="str">
        <f>IFERROR(__xludf.DUMMYFUNCTION("""COMPUTED_VALUE"""),"Uncle Sams Cider (04/04/2023)")</f>
        <v>Uncle Sams Cider (04/04/2023)</v>
      </c>
      <c r="H11251" s="19"/>
    </row>
    <row r="11252">
      <c r="A11252" s="9"/>
      <c r="B11252" s="15"/>
      <c r="C11252" s="9">
        <f>IFERROR(__xludf.DUMMYFUNCTION("""COMPUTED_VALUE"""),45026.1034186805)</f>
        <v>45026.10342</v>
      </c>
      <c r="D11252" s="15">
        <f>IFERROR(__xludf.DUMMYFUNCTION("""COMPUTED_VALUE"""),1.077)</f>
        <v>1.077</v>
      </c>
      <c r="E11252" s="16">
        <f>IFERROR(__xludf.DUMMYFUNCTION("""COMPUTED_VALUE"""),67.0)</f>
        <v>67</v>
      </c>
      <c r="F11252" s="19" t="str">
        <f>IFERROR(__xludf.DUMMYFUNCTION("""COMPUTED_VALUE"""),"BLACK")</f>
        <v>BLACK</v>
      </c>
      <c r="G11252" s="20" t="str">
        <f>IFERROR(__xludf.DUMMYFUNCTION("""COMPUTED_VALUE"""),"Uncle Sams Cider (04/04/2023)")</f>
        <v>Uncle Sams Cider (04/04/2023)</v>
      </c>
      <c r="H11252" s="19"/>
    </row>
    <row r="11253">
      <c r="A11253" s="9"/>
      <c r="B11253" s="15"/>
      <c r="C11253" s="9">
        <f>IFERROR(__xludf.DUMMYFUNCTION("""COMPUTED_VALUE"""),45026.0929862152)</f>
        <v>45026.09299</v>
      </c>
      <c r="D11253" s="15">
        <f>IFERROR(__xludf.DUMMYFUNCTION("""COMPUTED_VALUE"""),1.077)</f>
        <v>1.077</v>
      </c>
      <c r="E11253" s="16">
        <f>IFERROR(__xludf.DUMMYFUNCTION("""COMPUTED_VALUE"""),67.0)</f>
        <v>67</v>
      </c>
      <c r="F11253" s="19" t="str">
        <f>IFERROR(__xludf.DUMMYFUNCTION("""COMPUTED_VALUE"""),"BLACK")</f>
        <v>BLACK</v>
      </c>
      <c r="G11253" s="20" t="str">
        <f>IFERROR(__xludf.DUMMYFUNCTION("""COMPUTED_VALUE"""),"Uncle Sams Cider (04/04/2023)")</f>
        <v>Uncle Sams Cider (04/04/2023)</v>
      </c>
      <c r="H11253" s="19"/>
    </row>
    <row r="11254">
      <c r="A11254" s="9"/>
      <c r="B11254" s="15"/>
      <c r="C11254" s="9">
        <f>IFERROR(__xludf.DUMMYFUNCTION("""COMPUTED_VALUE"""),45026.0825651736)</f>
        <v>45026.08257</v>
      </c>
      <c r="D11254" s="15">
        <f>IFERROR(__xludf.DUMMYFUNCTION("""COMPUTED_VALUE"""),1.077)</f>
        <v>1.077</v>
      </c>
      <c r="E11254" s="16">
        <f>IFERROR(__xludf.DUMMYFUNCTION("""COMPUTED_VALUE"""),67.0)</f>
        <v>67</v>
      </c>
      <c r="F11254" s="19" t="str">
        <f>IFERROR(__xludf.DUMMYFUNCTION("""COMPUTED_VALUE"""),"BLACK")</f>
        <v>BLACK</v>
      </c>
      <c r="G11254" s="20" t="str">
        <f>IFERROR(__xludf.DUMMYFUNCTION("""COMPUTED_VALUE"""),"Uncle Sams Cider (04/04/2023)")</f>
        <v>Uncle Sams Cider (04/04/2023)</v>
      </c>
      <c r="H11254" s="19"/>
    </row>
    <row r="11255">
      <c r="A11255" s="9"/>
      <c r="B11255" s="15"/>
      <c r="C11255" s="9">
        <f>IFERROR(__xludf.DUMMYFUNCTION("""COMPUTED_VALUE"""),45026.072143831)</f>
        <v>45026.07214</v>
      </c>
      <c r="D11255" s="15">
        <f>IFERROR(__xludf.DUMMYFUNCTION("""COMPUTED_VALUE"""),1.077)</f>
        <v>1.077</v>
      </c>
      <c r="E11255" s="16">
        <f>IFERROR(__xludf.DUMMYFUNCTION("""COMPUTED_VALUE"""),67.0)</f>
        <v>67</v>
      </c>
      <c r="F11255" s="19" t="str">
        <f>IFERROR(__xludf.DUMMYFUNCTION("""COMPUTED_VALUE"""),"BLACK")</f>
        <v>BLACK</v>
      </c>
      <c r="G11255" s="20" t="str">
        <f>IFERROR(__xludf.DUMMYFUNCTION("""COMPUTED_VALUE"""),"Uncle Sams Cider (04/04/2023)")</f>
        <v>Uncle Sams Cider (04/04/2023)</v>
      </c>
      <c r="H11255" s="19"/>
    </row>
    <row r="11256">
      <c r="A11256" s="9"/>
      <c r="B11256" s="15"/>
      <c r="C11256" s="9">
        <f>IFERROR(__xludf.DUMMYFUNCTION("""COMPUTED_VALUE"""),45026.0617233333)</f>
        <v>45026.06172</v>
      </c>
      <c r="D11256" s="15">
        <f>IFERROR(__xludf.DUMMYFUNCTION("""COMPUTED_VALUE"""),1.077)</f>
        <v>1.077</v>
      </c>
      <c r="E11256" s="16">
        <f>IFERROR(__xludf.DUMMYFUNCTION("""COMPUTED_VALUE"""),67.0)</f>
        <v>67</v>
      </c>
      <c r="F11256" s="19" t="str">
        <f>IFERROR(__xludf.DUMMYFUNCTION("""COMPUTED_VALUE"""),"BLACK")</f>
        <v>BLACK</v>
      </c>
      <c r="G11256" s="20" t="str">
        <f>IFERROR(__xludf.DUMMYFUNCTION("""COMPUTED_VALUE"""),"Uncle Sams Cider (04/04/2023)")</f>
        <v>Uncle Sams Cider (04/04/2023)</v>
      </c>
      <c r="H11256" s="19"/>
    </row>
    <row r="11257">
      <c r="A11257" s="9"/>
      <c r="B11257" s="15"/>
      <c r="C11257" s="9">
        <f>IFERROR(__xludf.DUMMYFUNCTION("""COMPUTED_VALUE"""),45026.0513031365)</f>
        <v>45026.0513</v>
      </c>
      <c r="D11257" s="15">
        <f>IFERROR(__xludf.DUMMYFUNCTION("""COMPUTED_VALUE"""),1.078)</f>
        <v>1.078</v>
      </c>
      <c r="E11257" s="16">
        <f>IFERROR(__xludf.DUMMYFUNCTION("""COMPUTED_VALUE"""),67.0)</f>
        <v>67</v>
      </c>
      <c r="F11257" s="19" t="str">
        <f>IFERROR(__xludf.DUMMYFUNCTION("""COMPUTED_VALUE"""),"BLACK")</f>
        <v>BLACK</v>
      </c>
      <c r="G11257" s="20" t="str">
        <f>IFERROR(__xludf.DUMMYFUNCTION("""COMPUTED_VALUE"""),"Uncle Sams Cider (04/04/2023)")</f>
        <v>Uncle Sams Cider (04/04/2023)</v>
      </c>
      <c r="H11257" s="19"/>
    </row>
    <row r="11258">
      <c r="A11258" s="9"/>
      <c r="B11258" s="15"/>
      <c r="C11258" s="9">
        <f>IFERROR(__xludf.DUMMYFUNCTION("""COMPUTED_VALUE"""),45026.0408681712)</f>
        <v>45026.04087</v>
      </c>
      <c r="D11258" s="15">
        <f>IFERROR(__xludf.DUMMYFUNCTION("""COMPUTED_VALUE"""),1.077)</f>
        <v>1.077</v>
      </c>
      <c r="E11258" s="16">
        <f>IFERROR(__xludf.DUMMYFUNCTION("""COMPUTED_VALUE"""),67.0)</f>
        <v>67</v>
      </c>
      <c r="F11258" s="19" t="str">
        <f>IFERROR(__xludf.DUMMYFUNCTION("""COMPUTED_VALUE"""),"BLACK")</f>
        <v>BLACK</v>
      </c>
      <c r="G11258" s="20" t="str">
        <f>IFERROR(__xludf.DUMMYFUNCTION("""COMPUTED_VALUE"""),"Uncle Sams Cider (04/04/2023)")</f>
        <v>Uncle Sams Cider (04/04/2023)</v>
      </c>
      <c r="H11258" s="19"/>
    </row>
    <row r="11259">
      <c r="A11259" s="9"/>
      <c r="B11259" s="15"/>
      <c r="C11259" s="9">
        <f>IFERROR(__xludf.DUMMYFUNCTION("""COMPUTED_VALUE"""),45026.0304470601)</f>
        <v>45026.03045</v>
      </c>
      <c r="D11259" s="15">
        <f>IFERROR(__xludf.DUMMYFUNCTION("""COMPUTED_VALUE"""),1.077)</f>
        <v>1.077</v>
      </c>
      <c r="E11259" s="16">
        <f>IFERROR(__xludf.DUMMYFUNCTION("""COMPUTED_VALUE"""),67.0)</f>
        <v>67</v>
      </c>
      <c r="F11259" s="19" t="str">
        <f>IFERROR(__xludf.DUMMYFUNCTION("""COMPUTED_VALUE"""),"BLACK")</f>
        <v>BLACK</v>
      </c>
      <c r="G11259" s="20" t="str">
        <f>IFERROR(__xludf.DUMMYFUNCTION("""COMPUTED_VALUE"""),"Uncle Sams Cider (04/04/2023)")</f>
        <v>Uncle Sams Cider (04/04/2023)</v>
      </c>
      <c r="H11259" s="19"/>
    </row>
    <row r="11260">
      <c r="A11260" s="9"/>
      <c r="B11260" s="15"/>
      <c r="C11260" s="9">
        <f>IFERROR(__xludf.DUMMYFUNCTION("""COMPUTED_VALUE"""),45026.0200139699)</f>
        <v>45026.02001</v>
      </c>
      <c r="D11260" s="15">
        <f>IFERROR(__xludf.DUMMYFUNCTION("""COMPUTED_VALUE"""),1.077)</f>
        <v>1.077</v>
      </c>
      <c r="E11260" s="16">
        <f>IFERROR(__xludf.DUMMYFUNCTION("""COMPUTED_VALUE"""),67.0)</f>
        <v>67</v>
      </c>
      <c r="F11260" s="19" t="str">
        <f>IFERROR(__xludf.DUMMYFUNCTION("""COMPUTED_VALUE"""),"BLACK")</f>
        <v>BLACK</v>
      </c>
      <c r="G11260" s="20" t="str">
        <f>IFERROR(__xludf.DUMMYFUNCTION("""COMPUTED_VALUE"""),"Uncle Sams Cider (04/04/2023)")</f>
        <v>Uncle Sams Cider (04/04/2023)</v>
      </c>
      <c r="H11260" s="19"/>
    </row>
    <row r="11261">
      <c r="A11261" s="9"/>
      <c r="B11261" s="15"/>
      <c r="C11261" s="9">
        <f>IFERROR(__xludf.DUMMYFUNCTION("""COMPUTED_VALUE"""),45026.0095923611)</f>
        <v>45026.00959</v>
      </c>
      <c r="D11261" s="15">
        <f>IFERROR(__xludf.DUMMYFUNCTION("""COMPUTED_VALUE"""),1.078)</f>
        <v>1.078</v>
      </c>
      <c r="E11261" s="16">
        <f>IFERROR(__xludf.DUMMYFUNCTION("""COMPUTED_VALUE"""),68.0)</f>
        <v>68</v>
      </c>
      <c r="F11261" s="19" t="str">
        <f>IFERROR(__xludf.DUMMYFUNCTION("""COMPUTED_VALUE"""),"BLACK")</f>
        <v>BLACK</v>
      </c>
      <c r="G11261" s="20" t="str">
        <f>IFERROR(__xludf.DUMMYFUNCTION("""COMPUTED_VALUE"""),"Uncle Sams Cider (04/04/2023)")</f>
        <v>Uncle Sams Cider (04/04/2023)</v>
      </c>
      <c r="H11261" s="19"/>
    </row>
    <row r="11262">
      <c r="A11262" s="9"/>
      <c r="B11262" s="15"/>
      <c r="C11262" s="9">
        <f>IFERROR(__xludf.DUMMYFUNCTION("""COMPUTED_VALUE"""),45025.9991590625)</f>
        <v>45025.99916</v>
      </c>
      <c r="D11262" s="15">
        <f>IFERROR(__xludf.DUMMYFUNCTION("""COMPUTED_VALUE"""),1.077)</f>
        <v>1.077</v>
      </c>
      <c r="E11262" s="16">
        <f>IFERROR(__xludf.DUMMYFUNCTION("""COMPUTED_VALUE"""),68.0)</f>
        <v>68</v>
      </c>
      <c r="F11262" s="19" t="str">
        <f>IFERROR(__xludf.DUMMYFUNCTION("""COMPUTED_VALUE"""),"BLACK")</f>
        <v>BLACK</v>
      </c>
      <c r="G11262" s="20" t="str">
        <f>IFERROR(__xludf.DUMMYFUNCTION("""COMPUTED_VALUE"""),"Uncle Sams Cider (04/04/2023)")</f>
        <v>Uncle Sams Cider (04/04/2023)</v>
      </c>
      <c r="H11262" s="19"/>
    </row>
    <row r="11263">
      <c r="A11263" s="9"/>
      <c r="B11263" s="15"/>
      <c r="C11263" s="9">
        <f>IFERROR(__xludf.DUMMYFUNCTION("""COMPUTED_VALUE"""),45025.9887263541)</f>
        <v>45025.98873</v>
      </c>
      <c r="D11263" s="15">
        <f>IFERROR(__xludf.DUMMYFUNCTION("""COMPUTED_VALUE"""),1.078)</f>
        <v>1.078</v>
      </c>
      <c r="E11263" s="16">
        <f>IFERROR(__xludf.DUMMYFUNCTION("""COMPUTED_VALUE"""),67.0)</f>
        <v>67</v>
      </c>
      <c r="F11263" s="19" t="str">
        <f>IFERROR(__xludf.DUMMYFUNCTION("""COMPUTED_VALUE"""),"BLACK")</f>
        <v>BLACK</v>
      </c>
      <c r="G11263" s="20" t="str">
        <f>IFERROR(__xludf.DUMMYFUNCTION("""COMPUTED_VALUE"""),"Uncle Sams Cider (04/04/2023)")</f>
        <v>Uncle Sams Cider (04/04/2023)</v>
      </c>
      <c r="H11263" s="19"/>
    </row>
    <row r="11264">
      <c r="A11264" s="9"/>
      <c r="B11264" s="15"/>
      <c r="C11264" s="9">
        <f>IFERROR(__xludf.DUMMYFUNCTION("""COMPUTED_VALUE"""),45025.978303449)</f>
        <v>45025.9783</v>
      </c>
      <c r="D11264" s="15">
        <f>IFERROR(__xludf.DUMMYFUNCTION("""COMPUTED_VALUE"""),1.078)</f>
        <v>1.078</v>
      </c>
      <c r="E11264" s="16">
        <f>IFERROR(__xludf.DUMMYFUNCTION("""COMPUTED_VALUE"""),67.0)</f>
        <v>67</v>
      </c>
      <c r="F11264" s="19" t="str">
        <f>IFERROR(__xludf.DUMMYFUNCTION("""COMPUTED_VALUE"""),"BLACK")</f>
        <v>BLACK</v>
      </c>
      <c r="G11264" s="20" t="str">
        <f>IFERROR(__xludf.DUMMYFUNCTION("""COMPUTED_VALUE"""),"Uncle Sams Cider (04/04/2023)")</f>
        <v>Uncle Sams Cider (04/04/2023)</v>
      </c>
      <c r="H11264" s="19"/>
    </row>
    <row r="11265">
      <c r="A11265" s="9"/>
      <c r="B11265" s="15"/>
      <c r="C11265" s="9">
        <f>IFERROR(__xludf.DUMMYFUNCTION("""COMPUTED_VALUE"""),45025.9678585416)</f>
        <v>45025.96786</v>
      </c>
      <c r="D11265" s="15">
        <f>IFERROR(__xludf.DUMMYFUNCTION("""COMPUTED_VALUE"""),1.078)</f>
        <v>1.078</v>
      </c>
      <c r="E11265" s="16">
        <f>IFERROR(__xludf.DUMMYFUNCTION("""COMPUTED_VALUE"""),67.0)</f>
        <v>67</v>
      </c>
      <c r="F11265" s="19" t="str">
        <f>IFERROR(__xludf.DUMMYFUNCTION("""COMPUTED_VALUE"""),"BLACK")</f>
        <v>BLACK</v>
      </c>
      <c r="G11265" s="20" t="str">
        <f>IFERROR(__xludf.DUMMYFUNCTION("""COMPUTED_VALUE"""),"Uncle Sams Cider (04/04/2023)")</f>
        <v>Uncle Sams Cider (04/04/2023)</v>
      </c>
      <c r="H11265" s="19"/>
    </row>
    <row r="11266">
      <c r="A11266" s="9"/>
      <c r="B11266" s="15"/>
      <c r="C11266" s="9">
        <f>IFERROR(__xludf.DUMMYFUNCTION("""COMPUTED_VALUE"""),45025.9574380208)</f>
        <v>45025.95744</v>
      </c>
      <c r="D11266" s="15">
        <f>IFERROR(__xludf.DUMMYFUNCTION("""COMPUTED_VALUE"""),1.078)</f>
        <v>1.078</v>
      </c>
      <c r="E11266" s="16">
        <f>IFERROR(__xludf.DUMMYFUNCTION("""COMPUTED_VALUE"""),67.0)</f>
        <v>67</v>
      </c>
      <c r="F11266" s="19" t="str">
        <f>IFERROR(__xludf.DUMMYFUNCTION("""COMPUTED_VALUE"""),"BLACK")</f>
        <v>BLACK</v>
      </c>
      <c r="G11266" s="20" t="str">
        <f>IFERROR(__xludf.DUMMYFUNCTION("""COMPUTED_VALUE"""),"Uncle Sams Cider (04/04/2023)")</f>
        <v>Uncle Sams Cider (04/04/2023)</v>
      </c>
      <c r="H11266" s="19"/>
    </row>
    <row r="11267">
      <c r="A11267" s="9"/>
      <c r="B11267" s="15"/>
      <c r="C11267" s="9">
        <f>IFERROR(__xludf.DUMMYFUNCTION("""COMPUTED_VALUE"""),45025.9470052546)</f>
        <v>45025.94701</v>
      </c>
      <c r="D11267" s="15">
        <f>IFERROR(__xludf.DUMMYFUNCTION("""COMPUTED_VALUE"""),1.078)</f>
        <v>1.078</v>
      </c>
      <c r="E11267" s="16">
        <f>IFERROR(__xludf.DUMMYFUNCTION("""COMPUTED_VALUE"""),67.0)</f>
        <v>67</v>
      </c>
      <c r="F11267" s="19" t="str">
        <f>IFERROR(__xludf.DUMMYFUNCTION("""COMPUTED_VALUE"""),"BLACK")</f>
        <v>BLACK</v>
      </c>
      <c r="G11267" s="20" t="str">
        <f>IFERROR(__xludf.DUMMYFUNCTION("""COMPUTED_VALUE"""),"Uncle Sams Cider (04/04/2023)")</f>
        <v>Uncle Sams Cider (04/04/2023)</v>
      </c>
      <c r="H11267" s="19"/>
    </row>
    <row r="11268">
      <c r="A11268" s="9"/>
      <c r="B11268" s="15"/>
      <c r="C11268" s="9">
        <f>IFERROR(__xludf.DUMMYFUNCTION("""COMPUTED_VALUE"""),45025.9365607175)</f>
        <v>45025.93656</v>
      </c>
      <c r="D11268" s="15">
        <f>IFERROR(__xludf.DUMMYFUNCTION("""COMPUTED_VALUE"""),1.078)</f>
        <v>1.078</v>
      </c>
      <c r="E11268" s="16">
        <f>IFERROR(__xludf.DUMMYFUNCTION("""COMPUTED_VALUE"""),67.0)</f>
        <v>67</v>
      </c>
      <c r="F11268" s="19" t="str">
        <f>IFERROR(__xludf.DUMMYFUNCTION("""COMPUTED_VALUE"""),"BLACK")</f>
        <v>BLACK</v>
      </c>
      <c r="G11268" s="20" t="str">
        <f>IFERROR(__xludf.DUMMYFUNCTION("""COMPUTED_VALUE"""),"Uncle Sams Cider (04/04/2023)")</f>
        <v>Uncle Sams Cider (04/04/2023)</v>
      </c>
      <c r="H11268" s="19"/>
    </row>
    <row r="11269">
      <c r="A11269" s="9"/>
      <c r="B11269" s="15"/>
      <c r="C11269" s="9">
        <f>IFERROR(__xludf.DUMMYFUNCTION("""COMPUTED_VALUE"""),45025.9261384953)</f>
        <v>45025.92614</v>
      </c>
      <c r="D11269" s="15">
        <f>IFERROR(__xludf.DUMMYFUNCTION("""COMPUTED_VALUE"""),1.078)</f>
        <v>1.078</v>
      </c>
      <c r="E11269" s="16">
        <f>IFERROR(__xludf.DUMMYFUNCTION("""COMPUTED_VALUE"""),68.0)</f>
        <v>68</v>
      </c>
      <c r="F11269" s="19" t="str">
        <f>IFERROR(__xludf.DUMMYFUNCTION("""COMPUTED_VALUE"""),"BLACK")</f>
        <v>BLACK</v>
      </c>
      <c r="G11269" s="20" t="str">
        <f>IFERROR(__xludf.DUMMYFUNCTION("""COMPUTED_VALUE"""),"Uncle Sams Cider (04/04/2023)")</f>
        <v>Uncle Sams Cider (04/04/2023)</v>
      </c>
      <c r="H11269" s="19"/>
    </row>
    <row r="11270">
      <c r="A11270" s="9"/>
      <c r="B11270" s="15"/>
      <c r="C11270" s="9">
        <f>IFERROR(__xludf.DUMMYFUNCTION("""COMPUTED_VALUE"""),45025.9157179976)</f>
        <v>45025.91572</v>
      </c>
      <c r="D11270" s="15">
        <f>IFERROR(__xludf.DUMMYFUNCTION("""COMPUTED_VALUE"""),1.078)</f>
        <v>1.078</v>
      </c>
      <c r="E11270" s="16">
        <f>IFERROR(__xludf.DUMMYFUNCTION("""COMPUTED_VALUE"""),68.0)</f>
        <v>68</v>
      </c>
      <c r="F11270" s="19" t="str">
        <f>IFERROR(__xludf.DUMMYFUNCTION("""COMPUTED_VALUE"""),"BLACK")</f>
        <v>BLACK</v>
      </c>
      <c r="G11270" s="20" t="str">
        <f>IFERROR(__xludf.DUMMYFUNCTION("""COMPUTED_VALUE"""),"Uncle Sams Cider (04/04/2023)")</f>
        <v>Uncle Sams Cider (04/04/2023)</v>
      </c>
      <c r="H11270" s="19"/>
    </row>
    <row r="11271">
      <c r="A11271" s="9"/>
      <c r="B11271" s="15"/>
      <c r="C11271" s="9">
        <f>IFERROR(__xludf.DUMMYFUNCTION("""COMPUTED_VALUE"""),45025.905285787)</f>
        <v>45025.90529</v>
      </c>
      <c r="D11271" s="15">
        <f>IFERROR(__xludf.DUMMYFUNCTION("""COMPUTED_VALUE"""),1.078)</f>
        <v>1.078</v>
      </c>
      <c r="E11271" s="16">
        <f>IFERROR(__xludf.DUMMYFUNCTION("""COMPUTED_VALUE"""),67.0)</f>
        <v>67</v>
      </c>
      <c r="F11271" s="19" t="str">
        <f>IFERROR(__xludf.DUMMYFUNCTION("""COMPUTED_VALUE"""),"BLACK")</f>
        <v>BLACK</v>
      </c>
      <c r="G11271" s="20" t="str">
        <f>IFERROR(__xludf.DUMMYFUNCTION("""COMPUTED_VALUE"""),"Uncle Sams Cider (04/04/2023)")</f>
        <v>Uncle Sams Cider (04/04/2023)</v>
      </c>
      <c r="H11271" s="19"/>
    </row>
    <row r="11272">
      <c r="A11272" s="9"/>
      <c r="B11272" s="15"/>
      <c r="C11272" s="9">
        <f>IFERROR(__xludf.DUMMYFUNCTION("""COMPUTED_VALUE"""),45025.894852581)</f>
        <v>45025.89485</v>
      </c>
      <c r="D11272" s="15">
        <f>IFERROR(__xludf.DUMMYFUNCTION("""COMPUTED_VALUE"""),1.078)</f>
        <v>1.078</v>
      </c>
      <c r="E11272" s="16">
        <f>IFERROR(__xludf.DUMMYFUNCTION("""COMPUTED_VALUE"""),67.0)</f>
        <v>67</v>
      </c>
      <c r="F11272" s="19" t="str">
        <f>IFERROR(__xludf.DUMMYFUNCTION("""COMPUTED_VALUE"""),"BLACK")</f>
        <v>BLACK</v>
      </c>
      <c r="G11272" s="20" t="str">
        <f>IFERROR(__xludf.DUMMYFUNCTION("""COMPUTED_VALUE"""),"Uncle Sams Cider (04/04/2023)")</f>
        <v>Uncle Sams Cider (04/04/2023)</v>
      </c>
      <c r="H11272" s="19"/>
    </row>
    <row r="11273">
      <c r="A11273" s="9"/>
      <c r="B11273" s="15"/>
      <c r="C11273" s="9">
        <f>IFERROR(__xludf.DUMMYFUNCTION("""COMPUTED_VALUE"""),45025.884420405)</f>
        <v>45025.88442</v>
      </c>
      <c r="D11273" s="15">
        <f>IFERROR(__xludf.DUMMYFUNCTION("""COMPUTED_VALUE"""),1.078)</f>
        <v>1.078</v>
      </c>
      <c r="E11273" s="16">
        <f>IFERROR(__xludf.DUMMYFUNCTION("""COMPUTED_VALUE"""),68.0)</f>
        <v>68</v>
      </c>
      <c r="F11273" s="19" t="str">
        <f>IFERROR(__xludf.DUMMYFUNCTION("""COMPUTED_VALUE"""),"BLACK")</f>
        <v>BLACK</v>
      </c>
      <c r="G11273" s="20" t="str">
        <f>IFERROR(__xludf.DUMMYFUNCTION("""COMPUTED_VALUE"""),"Uncle Sams Cider (04/04/2023)")</f>
        <v>Uncle Sams Cider (04/04/2023)</v>
      </c>
      <c r="H11273" s="19"/>
    </row>
    <row r="11274">
      <c r="A11274" s="9"/>
      <c r="B11274" s="15"/>
      <c r="C11274" s="9">
        <f>IFERROR(__xludf.DUMMYFUNCTION("""COMPUTED_VALUE"""),45025.8739986574)</f>
        <v>45025.874</v>
      </c>
      <c r="D11274" s="15">
        <f>IFERROR(__xludf.DUMMYFUNCTION("""COMPUTED_VALUE"""),1.078)</f>
        <v>1.078</v>
      </c>
      <c r="E11274" s="16">
        <f>IFERROR(__xludf.DUMMYFUNCTION("""COMPUTED_VALUE"""),68.0)</f>
        <v>68</v>
      </c>
      <c r="F11274" s="19" t="str">
        <f>IFERROR(__xludf.DUMMYFUNCTION("""COMPUTED_VALUE"""),"BLACK")</f>
        <v>BLACK</v>
      </c>
      <c r="G11274" s="20" t="str">
        <f>IFERROR(__xludf.DUMMYFUNCTION("""COMPUTED_VALUE"""),"Uncle Sams Cider (04/04/2023)")</f>
        <v>Uncle Sams Cider (04/04/2023)</v>
      </c>
      <c r="H11274" s="19"/>
    </row>
    <row r="11275">
      <c r="A11275" s="9"/>
      <c r="B11275" s="15"/>
      <c r="C11275" s="9">
        <f>IFERROR(__xludf.DUMMYFUNCTION("""COMPUTED_VALUE"""),45025.8635780555)</f>
        <v>45025.86358</v>
      </c>
      <c r="D11275" s="15">
        <f>IFERROR(__xludf.DUMMYFUNCTION("""COMPUTED_VALUE"""),1.078)</f>
        <v>1.078</v>
      </c>
      <c r="E11275" s="16">
        <f>IFERROR(__xludf.DUMMYFUNCTION("""COMPUTED_VALUE"""),68.0)</f>
        <v>68</v>
      </c>
      <c r="F11275" s="19" t="str">
        <f>IFERROR(__xludf.DUMMYFUNCTION("""COMPUTED_VALUE"""),"BLACK")</f>
        <v>BLACK</v>
      </c>
      <c r="G11275" s="20" t="str">
        <f>IFERROR(__xludf.DUMMYFUNCTION("""COMPUTED_VALUE"""),"Uncle Sams Cider (04/04/2023)")</f>
        <v>Uncle Sams Cider (04/04/2023)</v>
      </c>
      <c r="H11275" s="19"/>
    </row>
    <row r="11276">
      <c r="A11276" s="9"/>
      <c r="B11276" s="15"/>
      <c r="C11276" s="9">
        <f>IFERROR(__xludf.DUMMYFUNCTION("""COMPUTED_VALUE"""),45025.8531444328)</f>
        <v>45025.85314</v>
      </c>
      <c r="D11276" s="15">
        <f>IFERROR(__xludf.DUMMYFUNCTION("""COMPUTED_VALUE"""),1.078)</f>
        <v>1.078</v>
      </c>
      <c r="E11276" s="16">
        <f>IFERROR(__xludf.DUMMYFUNCTION("""COMPUTED_VALUE"""),68.0)</f>
        <v>68</v>
      </c>
      <c r="F11276" s="19" t="str">
        <f>IFERROR(__xludf.DUMMYFUNCTION("""COMPUTED_VALUE"""),"BLACK")</f>
        <v>BLACK</v>
      </c>
      <c r="G11276" s="20" t="str">
        <f>IFERROR(__xludf.DUMMYFUNCTION("""COMPUTED_VALUE"""),"Uncle Sams Cider (04/04/2023)")</f>
        <v>Uncle Sams Cider (04/04/2023)</v>
      </c>
      <c r="H11276" s="19"/>
    </row>
    <row r="11277">
      <c r="A11277" s="9"/>
      <c r="B11277" s="15"/>
      <c r="C11277" s="9">
        <f>IFERROR(__xludf.DUMMYFUNCTION("""COMPUTED_VALUE"""),45025.8426885532)</f>
        <v>45025.84269</v>
      </c>
      <c r="D11277" s="15">
        <f>IFERROR(__xludf.DUMMYFUNCTION("""COMPUTED_VALUE"""),1.079)</f>
        <v>1.079</v>
      </c>
      <c r="E11277" s="16">
        <f>IFERROR(__xludf.DUMMYFUNCTION("""COMPUTED_VALUE"""),68.0)</f>
        <v>68</v>
      </c>
      <c r="F11277" s="19" t="str">
        <f>IFERROR(__xludf.DUMMYFUNCTION("""COMPUTED_VALUE"""),"BLACK")</f>
        <v>BLACK</v>
      </c>
      <c r="G11277" s="20" t="str">
        <f>IFERROR(__xludf.DUMMYFUNCTION("""COMPUTED_VALUE"""),"Uncle Sams Cider (04/04/2023)")</f>
        <v>Uncle Sams Cider (04/04/2023)</v>
      </c>
      <c r="H11277" s="19"/>
    </row>
    <row r="11278">
      <c r="A11278" s="9"/>
      <c r="B11278" s="15"/>
      <c r="C11278" s="9">
        <f>IFERROR(__xludf.DUMMYFUNCTION("""COMPUTED_VALUE"""),45025.8322665162)</f>
        <v>45025.83227</v>
      </c>
      <c r="D11278" s="15">
        <f>IFERROR(__xludf.DUMMYFUNCTION("""COMPUTED_VALUE"""),1.078)</f>
        <v>1.078</v>
      </c>
      <c r="E11278" s="16">
        <f>IFERROR(__xludf.DUMMYFUNCTION("""COMPUTED_VALUE"""),68.0)</f>
        <v>68</v>
      </c>
      <c r="F11278" s="19" t="str">
        <f>IFERROR(__xludf.DUMMYFUNCTION("""COMPUTED_VALUE"""),"BLACK")</f>
        <v>BLACK</v>
      </c>
      <c r="G11278" s="20" t="str">
        <f>IFERROR(__xludf.DUMMYFUNCTION("""COMPUTED_VALUE"""),"Uncle Sams Cider (04/04/2023)")</f>
        <v>Uncle Sams Cider (04/04/2023)</v>
      </c>
      <c r="H11278" s="19"/>
    </row>
    <row r="11279">
      <c r="A11279" s="9"/>
      <c r="B11279" s="15"/>
      <c r="C11279" s="9">
        <f>IFERROR(__xludf.DUMMYFUNCTION("""COMPUTED_VALUE"""),45025.8218463194)</f>
        <v>45025.82185</v>
      </c>
      <c r="D11279" s="15">
        <f>IFERROR(__xludf.DUMMYFUNCTION("""COMPUTED_VALUE"""),1.078)</f>
        <v>1.078</v>
      </c>
      <c r="E11279" s="16">
        <f>IFERROR(__xludf.DUMMYFUNCTION("""COMPUTED_VALUE"""),68.0)</f>
        <v>68</v>
      </c>
      <c r="F11279" s="19" t="str">
        <f>IFERROR(__xludf.DUMMYFUNCTION("""COMPUTED_VALUE"""),"BLACK")</f>
        <v>BLACK</v>
      </c>
      <c r="G11279" s="20" t="str">
        <f>IFERROR(__xludf.DUMMYFUNCTION("""COMPUTED_VALUE"""),"Uncle Sams Cider (04/04/2023)")</f>
        <v>Uncle Sams Cider (04/04/2023)</v>
      </c>
      <c r="H11279" s="19"/>
    </row>
    <row r="11280">
      <c r="A11280" s="9"/>
      <c r="B11280" s="15"/>
      <c r="C11280" s="9">
        <f>IFERROR(__xludf.DUMMYFUNCTION("""COMPUTED_VALUE"""),45025.8114136226)</f>
        <v>45025.81141</v>
      </c>
      <c r="D11280" s="15">
        <f>IFERROR(__xludf.DUMMYFUNCTION("""COMPUTED_VALUE"""),1.078)</f>
        <v>1.078</v>
      </c>
      <c r="E11280" s="16">
        <f>IFERROR(__xludf.DUMMYFUNCTION("""COMPUTED_VALUE"""),68.0)</f>
        <v>68</v>
      </c>
      <c r="F11280" s="19" t="str">
        <f>IFERROR(__xludf.DUMMYFUNCTION("""COMPUTED_VALUE"""),"BLACK")</f>
        <v>BLACK</v>
      </c>
      <c r="G11280" s="20" t="str">
        <f>IFERROR(__xludf.DUMMYFUNCTION("""COMPUTED_VALUE"""),"Uncle Sams Cider (04/04/2023)")</f>
        <v>Uncle Sams Cider (04/04/2023)</v>
      </c>
      <c r="H11280" s="19"/>
    </row>
    <row r="11281">
      <c r="A11281" s="9"/>
      <c r="B11281" s="15"/>
      <c r="C11281" s="9">
        <f>IFERROR(__xludf.DUMMYFUNCTION("""COMPUTED_VALUE"""),45025.8009567939)</f>
        <v>45025.80096</v>
      </c>
      <c r="D11281" s="15">
        <f>IFERROR(__xludf.DUMMYFUNCTION("""COMPUTED_VALUE"""),1.079)</f>
        <v>1.079</v>
      </c>
      <c r="E11281" s="16">
        <f>IFERROR(__xludf.DUMMYFUNCTION("""COMPUTED_VALUE"""),68.0)</f>
        <v>68</v>
      </c>
      <c r="F11281" s="19" t="str">
        <f>IFERROR(__xludf.DUMMYFUNCTION("""COMPUTED_VALUE"""),"BLACK")</f>
        <v>BLACK</v>
      </c>
      <c r="G11281" s="20" t="str">
        <f>IFERROR(__xludf.DUMMYFUNCTION("""COMPUTED_VALUE"""),"Uncle Sams Cider (04/04/2023)")</f>
        <v>Uncle Sams Cider (04/04/2023)</v>
      </c>
      <c r="H11281" s="19"/>
    </row>
    <row r="11282">
      <c r="A11282" s="9"/>
      <c r="B11282" s="15"/>
      <c r="C11282" s="9">
        <f>IFERROR(__xludf.DUMMYFUNCTION("""COMPUTED_VALUE"""),45025.7905351273)</f>
        <v>45025.79054</v>
      </c>
      <c r="D11282" s="15">
        <f>IFERROR(__xludf.DUMMYFUNCTION("""COMPUTED_VALUE"""),1.079)</f>
        <v>1.079</v>
      </c>
      <c r="E11282" s="16">
        <f>IFERROR(__xludf.DUMMYFUNCTION("""COMPUTED_VALUE"""),68.0)</f>
        <v>68</v>
      </c>
      <c r="F11282" s="19" t="str">
        <f>IFERROR(__xludf.DUMMYFUNCTION("""COMPUTED_VALUE"""),"BLACK")</f>
        <v>BLACK</v>
      </c>
      <c r="G11282" s="20" t="str">
        <f>IFERROR(__xludf.DUMMYFUNCTION("""COMPUTED_VALUE"""),"Uncle Sams Cider (04/04/2023)")</f>
        <v>Uncle Sams Cider (04/04/2023)</v>
      </c>
      <c r="H11282" s="19"/>
    </row>
    <row r="11283">
      <c r="A11283" s="9"/>
      <c r="B11283" s="15"/>
      <c r="C11283" s="9">
        <f>IFERROR(__xludf.DUMMYFUNCTION("""COMPUTED_VALUE"""),45025.7801143055)</f>
        <v>45025.78011</v>
      </c>
      <c r="D11283" s="15">
        <f>IFERROR(__xludf.DUMMYFUNCTION("""COMPUTED_VALUE"""),1.079)</f>
        <v>1.079</v>
      </c>
      <c r="E11283" s="16">
        <f>IFERROR(__xludf.DUMMYFUNCTION("""COMPUTED_VALUE"""),68.0)</f>
        <v>68</v>
      </c>
      <c r="F11283" s="19" t="str">
        <f>IFERROR(__xludf.DUMMYFUNCTION("""COMPUTED_VALUE"""),"BLACK")</f>
        <v>BLACK</v>
      </c>
      <c r="G11283" s="20" t="str">
        <f>IFERROR(__xludf.DUMMYFUNCTION("""COMPUTED_VALUE"""),"Uncle Sams Cider (04/04/2023)")</f>
        <v>Uncle Sams Cider (04/04/2023)</v>
      </c>
      <c r="H11283" s="19"/>
    </row>
    <row r="11284">
      <c r="A11284" s="9"/>
      <c r="B11284" s="15"/>
      <c r="C11284" s="9">
        <f>IFERROR(__xludf.DUMMYFUNCTION("""COMPUTED_VALUE"""),45025.769680081)</f>
        <v>45025.76968</v>
      </c>
      <c r="D11284" s="15">
        <f>IFERROR(__xludf.DUMMYFUNCTION("""COMPUTED_VALUE"""),1.078)</f>
        <v>1.078</v>
      </c>
      <c r="E11284" s="16">
        <f>IFERROR(__xludf.DUMMYFUNCTION("""COMPUTED_VALUE"""),68.0)</f>
        <v>68</v>
      </c>
      <c r="F11284" s="19" t="str">
        <f>IFERROR(__xludf.DUMMYFUNCTION("""COMPUTED_VALUE"""),"BLACK")</f>
        <v>BLACK</v>
      </c>
      <c r="G11284" s="20" t="str">
        <f>IFERROR(__xludf.DUMMYFUNCTION("""COMPUTED_VALUE"""),"Uncle Sams Cider (04/04/2023)")</f>
        <v>Uncle Sams Cider (04/04/2023)</v>
      </c>
      <c r="H11284" s="19"/>
    </row>
    <row r="11285">
      <c r="A11285" s="9"/>
      <c r="B11285" s="15"/>
      <c r="C11285" s="9">
        <f>IFERROR(__xludf.DUMMYFUNCTION("""COMPUTED_VALUE"""),45025.7592586921)</f>
        <v>45025.75926</v>
      </c>
      <c r="D11285" s="15">
        <f>IFERROR(__xludf.DUMMYFUNCTION("""COMPUTED_VALUE"""),1.079)</f>
        <v>1.079</v>
      </c>
      <c r="E11285" s="16">
        <f>IFERROR(__xludf.DUMMYFUNCTION("""COMPUTED_VALUE"""),68.0)</f>
        <v>68</v>
      </c>
      <c r="F11285" s="19" t="str">
        <f>IFERROR(__xludf.DUMMYFUNCTION("""COMPUTED_VALUE"""),"BLACK")</f>
        <v>BLACK</v>
      </c>
      <c r="G11285" s="20" t="str">
        <f>IFERROR(__xludf.DUMMYFUNCTION("""COMPUTED_VALUE"""),"Uncle Sams Cider (04/04/2023)")</f>
        <v>Uncle Sams Cider (04/04/2023)</v>
      </c>
      <c r="H11285" s="19"/>
    </row>
    <row r="11286">
      <c r="A11286" s="9"/>
      <c r="B11286" s="15"/>
      <c r="C11286" s="9">
        <f>IFERROR(__xludf.DUMMYFUNCTION("""COMPUTED_VALUE"""),45025.748836331)</f>
        <v>45025.74884</v>
      </c>
      <c r="D11286" s="15">
        <f>IFERROR(__xludf.DUMMYFUNCTION("""COMPUTED_VALUE"""),1.079)</f>
        <v>1.079</v>
      </c>
      <c r="E11286" s="16">
        <f>IFERROR(__xludf.DUMMYFUNCTION("""COMPUTED_VALUE"""),68.0)</f>
        <v>68</v>
      </c>
      <c r="F11286" s="19" t="str">
        <f>IFERROR(__xludf.DUMMYFUNCTION("""COMPUTED_VALUE"""),"BLACK")</f>
        <v>BLACK</v>
      </c>
      <c r="G11286" s="20" t="str">
        <f>IFERROR(__xludf.DUMMYFUNCTION("""COMPUTED_VALUE"""),"Uncle Sams Cider (04/04/2023)")</f>
        <v>Uncle Sams Cider (04/04/2023)</v>
      </c>
      <c r="H11286" s="19"/>
    </row>
    <row r="11287">
      <c r="A11287" s="9"/>
      <c r="B11287" s="15"/>
      <c r="C11287" s="9">
        <f>IFERROR(__xludf.DUMMYFUNCTION("""COMPUTED_VALUE"""),45025.7384146759)</f>
        <v>45025.73841</v>
      </c>
      <c r="D11287" s="15">
        <f>IFERROR(__xludf.DUMMYFUNCTION("""COMPUTED_VALUE"""),1.078)</f>
        <v>1.078</v>
      </c>
      <c r="E11287" s="16">
        <f>IFERROR(__xludf.DUMMYFUNCTION("""COMPUTED_VALUE"""),68.0)</f>
        <v>68</v>
      </c>
      <c r="F11287" s="19" t="str">
        <f>IFERROR(__xludf.DUMMYFUNCTION("""COMPUTED_VALUE"""),"BLACK")</f>
        <v>BLACK</v>
      </c>
      <c r="G11287" s="20" t="str">
        <f>IFERROR(__xludf.DUMMYFUNCTION("""COMPUTED_VALUE"""),"Uncle Sams Cider (04/04/2023)")</f>
        <v>Uncle Sams Cider (04/04/2023)</v>
      </c>
      <c r="H11287" s="19"/>
    </row>
    <row r="11288">
      <c r="A11288" s="9"/>
      <c r="B11288" s="15"/>
      <c r="C11288" s="9">
        <f>IFERROR(__xludf.DUMMYFUNCTION("""COMPUTED_VALUE"""),45025.7279930208)</f>
        <v>45025.72799</v>
      </c>
      <c r="D11288" s="15">
        <f>IFERROR(__xludf.DUMMYFUNCTION("""COMPUTED_VALUE"""),1.079)</f>
        <v>1.079</v>
      </c>
      <c r="E11288" s="16">
        <f>IFERROR(__xludf.DUMMYFUNCTION("""COMPUTED_VALUE"""),68.0)</f>
        <v>68</v>
      </c>
      <c r="F11288" s="19" t="str">
        <f>IFERROR(__xludf.DUMMYFUNCTION("""COMPUTED_VALUE"""),"BLACK")</f>
        <v>BLACK</v>
      </c>
      <c r="G11288" s="20" t="str">
        <f>IFERROR(__xludf.DUMMYFUNCTION("""COMPUTED_VALUE"""),"Uncle Sams Cider (04/04/2023)")</f>
        <v>Uncle Sams Cider (04/04/2023)</v>
      </c>
      <c r="H11288" s="19"/>
    </row>
    <row r="11289">
      <c r="A11289" s="9"/>
      <c r="B11289" s="15"/>
      <c r="C11289" s="9">
        <f>IFERROR(__xludf.DUMMYFUNCTION("""COMPUTED_VALUE"""),45025.7175740046)</f>
        <v>45025.71757</v>
      </c>
      <c r="D11289" s="15">
        <f>IFERROR(__xludf.DUMMYFUNCTION("""COMPUTED_VALUE"""),1.079)</f>
        <v>1.079</v>
      </c>
      <c r="E11289" s="16">
        <f>IFERROR(__xludf.DUMMYFUNCTION("""COMPUTED_VALUE"""),68.0)</f>
        <v>68</v>
      </c>
      <c r="F11289" s="19" t="str">
        <f>IFERROR(__xludf.DUMMYFUNCTION("""COMPUTED_VALUE"""),"BLACK")</f>
        <v>BLACK</v>
      </c>
      <c r="G11289" s="20" t="str">
        <f>IFERROR(__xludf.DUMMYFUNCTION("""COMPUTED_VALUE"""),"Uncle Sams Cider (04/04/2023)")</f>
        <v>Uncle Sams Cider (04/04/2023)</v>
      </c>
      <c r="H11289" s="19"/>
    </row>
    <row r="11290">
      <c r="A11290" s="9"/>
      <c r="B11290" s="15"/>
      <c r="C11290" s="9">
        <f>IFERROR(__xludf.DUMMYFUNCTION("""COMPUTED_VALUE"""),45025.7071525463)</f>
        <v>45025.70715</v>
      </c>
      <c r="D11290" s="15">
        <f>IFERROR(__xludf.DUMMYFUNCTION("""COMPUTED_VALUE"""),1.079)</f>
        <v>1.079</v>
      </c>
      <c r="E11290" s="16">
        <f>IFERROR(__xludf.DUMMYFUNCTION("""COMPUTED_VALUE"""),68.0)</f>
        <v>68</v>
      </c>
      <c r="F11290" s="19" t="str">
        <f>IFERROR(__xludf.DUMMYFUNCTION("""COMPUTED_VALUE"""),"BLACK")</f>
        <v>BLACK</v>
      </c>
      <c r="G11290" s="20" t="str">
        <f>IFERROR(__xludf.DUMMYFUNCTION("""COMPUTED_VALUE"""),"Uncle Sams Cider (04/04/2023)")</f>
        <v>Uncle Sams Cider (04/04/2023)</v>
      </c>
      <c r="H11290" s="19"/>
    </row>
    <row r="11291">
      <c r="A11291" s="9"/>
      <c r="B11291" s="15"/>
      <c r="C11291" s="9">
        <f>IFERROR(__xludf.DUMMYFUNCTION("""COMPUTED_VALUE"""),45025.6967328935)</f>
        <v>45025.69673</v>
      </c>
      <c r="D11291" s="15">
        <f>IFERROR(__xludf.DUMMYFUNCTION("""COMPUTED_VALUE"""),1.079)</f>
        <v>1.079</v>
      </c>
      <c r="E11291" s="16">
        <f>IFERROR(__xludf.DUMMYFUNCTION("""COMPUTED_VALUE"""),68.0)</f>
        <v>68</v>
      </c>
      <c r="F11291" s="19" t="str">
        <f>IFERROR(__xludf.DUMMYFUNCTION("""COMPUTED_VALUE"""),"BLACK")</f>
        <v>BLACK</v>
      </c>
      <c r="G11291" s="20" t="str">
        <f>IFERROR(__xludf.DUMMYFUNCTION("""COMPUTED_VALUE"""),"Uncle Sams Cider (04/04/2023)")</f>
        <v>Uncle Sams Cider (04/04/2023)</v>
      </c>
      <c r="H11291" s="19"/>
    </row>
    <row r="11292">
      <c r="A11292" s="9"/>
      <c r="B11292" s="15"/>
      <c r="C11292" s="9">
        <f>IFERROR(__xludf.DUMMYFUNCTION("""COMPUTED_VALUE"""),45025.6862887963)</f>
        <v>45025.68629</v>
      </c>
      <c r="D11292" s="15">
        <f>IFERROR(__xludf.DUMMYFUNCTION("""COMPUTED_VALUE"""),1.079)</f>
        <v>1.079</v>
      </c>
      <c r="E11292" s="16">
        <f>IFERROR(__xludf.DUMMYFUNCTION("""COMPUTED_VALUE"""),68.0)</f>
        <v>68</v>
      </c>
      <c r="F11292" s="19" t="str">
        <f>IFERROR(__xludf.DUMMYFUNCTION("""COMPUTED_VALUE"""),"BLACK")</f>
        <v>BLACK</v>
      </c>
      <c r="G11292" s="20" t="str">
        <f>IFERROR(__xludf.DUMMYFUNCTION("""COMPUTED_VALUE"""),"Uncle Sams Cider (04/04/2023)")</f>
        <v>Uncle Sams Cider (04/04/2023)</v>
      </c>
      <c r="H11292" s="19"/>
    </row>
    <row r="11293">
      <c r="A11293" s="9"/>
      <c r="B11293" s="15"/>
      <c r="C11293" s="9">
        <f>IFERROR(__xludf.DUMMYFUNCTION("""COMPUTED_VALUE"""),45025.6758667708)</f>
        <v>45025.67587</v>
      </c>
      <c r="D11293" s="15">
        <f>IFERROR(__xludf.DUMMYFUNCTION("""COMPUTED_VALUE"""),1.079)</f>
        <v>1.079</v>
      </c>
      <c r="E11293" s="16">
        <f>IFERROR(__xludf.DUMMYFUNCTION("""COMPUTED_VALUE"""),68.0)</f>
        <v>68</v>
      </c>
      <c r="F11293" s="19" t="str">
        <f>IFERROR(__xludf.DUMMYFUNCTION("""COMPUTED_VALUE"""),"BLACK")</f>
        <v>BLACK</v>
      </c>
      <c r="G11293" s="20" t="str">
        <f>IFERROR(__xludf.DUMMYFUNCTION("""COMPUTED_VALUE"""),"Uncle Sams Cider (04/04/2023)")</f>
        <v>Uncle Sams Cider (04/04/2023)</v>
      </c>
      <c r="H11293" s="19"/>
    </row>
    <row r="11294">
      <c r="A11294" s="9"/>
      <c r="B11294" s="15"/>
      <c r="C11294" s="9">
        <f>IFERROR(__xludf.DUMMYFUNCTION("""COMPUTED_VALUE"""),45025.6654351967)</f>
        <v>45025.66544</v>
      </c>
      <c r="D11294" s="15">
        <f>IFERROR(__xludf.DUMMYFUNCTION("""COMPUTED_VALUE"""),1.079)</f>
        <v>1.079</v>
      </c>
      <c r="E11294" s="16">
        <f>IFERROR(__xludf.DUMMYFUNCTION("""COMPUTED_VALUE"""),68.0)</f>
        <v>68</v>
      </c>
      <c r="F11294" s="19" t="str">
        <f>IFERROR(__xludf.DUMMYFUNCTION("""COMPUTED_VALUE"""),"BLACK")</f>
        <v>BLACK</v>
      </c>
      <c r="G11294" s="20" t="str">
        <f>IFERROR(__xludf.DUMMYFUNCTION("""COMPUTED_VALUE"""),"Uncle Sams Cider (04/04/2023)")</f>
        <v>Uncle Sams Cider (04/04/2023)</v>
      </c>
      <c r="H11294" s="19"/>
    </row>
    <row r="11295">
      <c r="A11295" s="9"/>
      <c r="B11295" s="15"/>
      <c r="C11295" s="9">
        <f>IFERROR(__xludf.DUMMYFUNCTION("""COMPUTED_VALUE"""),45025.6550045023)</f>
        <v>45025.655</v>
      </c>
      <c r="D11295" s="15">
        <f>IFERROR(__xludf.DUMMYFUNCTION("""COMPUTED_VALUE"""),1.079)</f>
        <v>1.079</v>
      </c>
      <c r="E11295" s="16">
        <f>IFERROR(__xludf.DUMMYFUNCTION("""COMPUTED_VALUE"""),68.0)</f>
        <v>68</v>
      </c>
      <c r="F11295" s="19" t="str">
        <f>IFERROR(__xludf.DUMMYFUNCTION("""COMPUTED_VALUE"""),"BLACK")</f>
        <v>BLACK</v>
      </c>
      <c r="G11295" s="20" t="str">
        <f>IFERROR(__xludf.DUMMYFUNCTION("""COMPUTED_VALUE"""),"Uncle Sams Cider (04/04/2023)")</f>
        <v>Uncle Sams Cider (04/04/2023)</v>
      </c>
      <c r="H11295" s="19"/>
    </row>
    <row r="11296">
      <c r="A11296" s="9"/>
      <c r="B11296" s="15"/>
      <c r="C11296" s="9">
        <f>IFERROR(__xludf.DUMMYFUNCTION("""COMPUTED_VALUE"""),45025.6445839351)</f>
        <v>45025.64458</v>
      </c>
      <c r="D11296" s="15">
        <f>IFERROR(__xludf.DUMMYFUNCTION("""COMPUTED_VALUE"""),1.079)</f>
        <v>1.079</v>
      </c>
      <c r="E11296" s="16">
        <f>IFERROR(__xludf.DUMMYFUNCTION("""COMPUTED_VALUE"""),68.0)</f>
        <v>68</v>
      </c>
      <c r="F11296" s="19" t="str">
        <f>IFERROR(__xludf.DUMMYFUNCTION("""COMPUTED_VALUE"""),"BLACK")</f>
        <v>BLACK</v>
      </c>
      <c r="G11296" s="20" t="str">
        <f>IFERROR(__xludf.DUMMYFUNCTION("""COMPUTED_VALUE"""),"Uncle Sams Cider (04/04/2023)")</f>
        <v>Uncle Sams Cider (04/04/2023)</v>
      </c>
      <c r="H11296" s="19"/>
    </row>
    <row r="11297">
      <c r="A11297" s="9"/>
      <c r="B11297" s="15"/>
      <c r="C11297" s="9">
        <f>IFERROR(__xludf.DUMMYFUNCTION("""COMPUTED_VALUE"""),45025.6341639814)</f>
        <v>45025.63416</v>
      </c>
      <c r="D11297" s="15">
        <f>IFERROR(__xludf.DUMMYFUNCTION("""COMPUTED_VALUE"""),1.079)</f>
        <v>1.079</v>
      </c>
      <c r="E11297" s="16">
        <f>IFERROR(__xludf.DUMMYFUNCTION("""COMPUTED_VALUE"""),68.0)</f>
        <v>68</v>
      </c>
      <c r="F11297" s="19" t="str">
        <f>IFERROR(__xludf.DUMMYFUNCTION("""COMPUTED_VALUE"""),"BLACK")</f>
        <v>BLACK</v>
      </c>
      <c r="G11297" s="20" t="str">
        <f>IFERROR(__xludf.DUMMYFUNCTION("""COMPUTED_VALUE"""),"Uncle Sams Cider (04/04/2023)")</f>
        <v>Uncle Sams Cider (04/04/2023)</v>
      </c>
      <c r="H11297" s="19"/>
    </row>
    <row r="11298">
      <c r="A11298" s="9"/>
      <c r="B11298" s="15"/>
      <c r="C11298" s="9">
        <f>IFERROR(__xludf.DUMMYFUNCTION("""COMPUTED_VALUE"""),45025.6237427083)</f>
        <v>45025.62374</v>
      </c>
      <c r="D11298" s="15">
        <f>IFERROR(__xludf.DUMMYFUNCTION("""COMPUTED_VALUE"""),1.079)</f>
        <v>1.079</v>
      </c>
      <c r="E11298" s="16">
        <f>IFERROR(__xludf.DUMMYFUNCTION("""COMPUTED_VALUE"""),68.0)</f>
        <v>68</v>
      </c>
      <c r="F11298" s="19" t="str">
        <f>IFERROR(__xludf.DUMMYFUNCTION("""COMPUTED_VALUE"""),"BLACK")</f>
        <v>BLACK</v>
      </c>
      <c r="G11298" s="20" t="str">
        <f>IFERROR(__xludf.DUMMYFUNCTION("""COMPUTED_VALUE"""),"Uncle Sams Cider (04/04/2023)")</f>
        <v>Uncle Sams Cider (04/04/2023)</v>
      </c>
      <c r="H11298" s="19"/>
    </row>
    <row r="11299">
      <c r="A11299" s="9"/>
      <c r="B11299" s="15"/>
      <c r="C11299" s="9">
        <f>IFERROR(__xludf.DUMMYFUNCTION("""COMPUTED_VALUE"""),45025.6132857175)</f>
        <v>45025.61329</v>
      </c>
      <c r="D11299" s="15">
        <f>IFERROR(__xludf.DUMMYFUNCTION("""COMPUTED_VALUE"""),1.079)</f>
        <v>1.079</v>
      </c>
      <c r="E11299" s="16">
        <f>IFERROR(__xludf.DUMMYFUNCTION("""COMPUTED_VALUE"""),68.0)</f>
        <v>68</v>
      </c>
      <c r="F11299" s="19" t="str">
        <f>IFERROR(__xludf.DUMMYFUNCTION("""COMPUTED_VALUE"""),"BLACK")</f>
        <v>BLACK</v>
      </c>
      <c r="G11299" s="20" t="str">
        <f>IFERROR(__xludf.DUMMYFUNCTION("""COMPUTED_VALUE"""),"Uncle Sams Cider (04/04/2023)")</f>
        <v>Uncle Sams Cider (04/04/2023)</v>
      </c>
      <c r="H11299" s="19"/>
    </row>
    <row r="11300">
      <c r="A11300" s="9"/>
      <c r="B11300" s="15"/>
      <c r="C11300" s="9">
        <f>IFERROR(__xludf.DUMMYFUNCTION("""COMPUTED_VALUE"""),45025.602840787)</f>
        <v>45025.60284</v>
      </c>
      <c r="D11300" s="15">
        <f>IFERROR(__xludf.DUMMYFUNCTION("""COMPUTED_VALUE"""),1.079)</f>
        <v>1.079</v>
      </c>
      <c r="E11300" s="16">
        <f>IFERROR(__xludf.DUMMYFUNCTION("""COMPUTED_VALUE"""),68.0)</f>
        <v>68</v>
      </c>
      <c r="F11300" s="19" t="str">
        <f>IFERROR(__xludf.DUMMYFUNCTION("""COMPUTED_VALUE"""),"BLACK")</f>
        <v>BLACK</v>
      </c>
      <c r="G11300" s="20" t="str">
        <f>IFERROR(__xludf.DUMMYFUNCTION("""COMPUTED_VALUE"""),"Uncle Sams Cider (04/04/2023)")</f>
        <v>Uncle Sams Cider (04/04/2023)</v>
      </c>
      <c r="H11300" s="19"/>
    </row>
    <row r="11301">
      <c r="A11301" s="9"/>
      <c r="B11301" s="15"/>
      <c r="C11301" s="9">
        <f>IFERROR(__xludf.DUMMYFUNCTION("""COMPUTED_VALUE"""),45025.5923605324)</f>
        <v>45025.59236</v>
      </c>
      <c r="D11301" s="15">
        <f>IFERROR(__xludf.DUMMYFUNCTION("""COMPUTED_VALUE"""),1.079)</f>
        <v>1.079</v>
      </c>
      <c r="E11301" s="16">
        <f>IFERROR(__xludf.DUMMYFUNCTION("""COMPUTED_VALUE"""),68.0)</f>
        <v>68</v>
      </c>
      <c r="F11301" s="19" t="str">
        <f>IFERROR(__xludf.DUMMYFUNCTION("""COMPUTED_VALUE"""),"BLACK")</f>
        <v>BLACK</v>
      </c>
      <c r="G11301" s="20" t="str">
        <f>IFERROR(__xludf.DUMMYFUNCTION("""COMPUTED_VALUE"""),"Uncle Sams Cider (04/04/2023)")</f>
        <v>Uncle Sams Cider (04/04/2023)</v>
      </c>
      <c r="H11301" s="19"/>
    </row>
    <row r="11302">
      <c r="A11302" s="9"/>
      <c r="B11302" s="15"/>
      <c r="C11302" s="9">
        <f>IFERROR(__xludf.DUMMYFUNCTION("""COMPUTED_VALUE"""),45025.5819278125)</f>
        <v>45025.58193</v>
      </c>
      <c r="D11302" s="15">
        <f>IFERROR(__xludf.DUMMYFUNCTION("""COMPUTED_VALUE"""),1.08)</f>
        <v>1.08</v>
      </c>
      <c r="E11302" s="16">
        <f>IFERROR(__xludf.DUMMYFUNCTION("""COMPUTED_VALUE"""),68.0)</f>
        <v>68</v>
      </c>
      <c r="F11302" s="19" t="str">
        <f>IFERROR(__xludf.DUMMYFUNCTION("""COMPUTED_VALUE"""),"BLACK")</f>
        <v>BLACK</v>
      </c>
      <c r="G11302" s="20" t="str">
        <f>IFERROR(__xludf.DUMMYFUNCTION("""COMPUTED_VALUE"""),"Uncle Sams Cider (04/04/2023)")</f>
        <v>Uncle Sams Cider (04/04/2023)</v>
      </c>
      <c r="H11302" s="19"/>
    </row>
    <row r="11303">
      <c r="A11303" s="9"/>
      <c r="B11303" s="15"/>
      <c r="C11303" s="9">
        <f>IFERROR(__xludf.DUMMYFUNCTION("""COMPUTED_VALUE"""),45025.5715058912)</f>
        <v>45025.57151</v>
      </c>
      <c r="D11303" s="15">
        <f>IFERROR(__xludf.DUMMYFUNCTION("""COMPUTED_VALUE"""),1.08)</f>
        <v>1.08</v>
      </c>
      <c r="E11303" s="16">
        <f>IFERROR(__xludf.DUMMYFUNCTION("""COMPUTED_VALUE"""),68.0)</f>
        <v>68</v>
      </c>
      <c r="F11303" s="19" t="str">
        <f>IFERROR(__xludf.DUMMYFUNCTION("""COMPUTED_VALUE"""),"BLACK")</f>
        <v>BLACK</v>
      </c>
      <c r="G11303" s="20" t="str">
        <f>IFERROR(__xludf.DUMMYFUNCTION("""COMPUTED_VALUE"""),"Uncle Sams Cider (04/04/2023)")</f>
        <v>Uncle Sams Cider (04/04/2023)</v>
      </c>
      <c r="H11303" s="19"/>
    </row>
    <row r="11304">
      <c r="A11304" s="9"/>
      <c r="B11304" s="15"/>
      <c r="C11304" s="9">
        <f>IFERROR(__xludf.DUMMYFUNCTION("""COMPUTED_VALUE"""),45025.5610844213)</f>
        <v>45025.56108</v>
      </c>
      <c r="D11304" s="15">
        <f>IFERROR(__xludf.DUMMYFUNCTION("""COMPUTED_VALUE"""),1.08)</f>
        <v>1.08</v>
      </c>
      <c r="E11304" s="16">
        <f>IFERROR(__xludf.DUMMYFUNCTION("""COMPUTED_VALUE"""),68.0)</f>
        <v>68</v>
      </c>
      <c r="F11304" s="19" t="str">
        <f>IFERROR(__xludf.DUMMYFUNCTION("""COMPUTED_VALUE"""),"BLACK")</f>
        <v>BLACK</v>
      </c>
      <c r="G11304" s="20" t="str">
        <f>IFERROR(__xludf.DUMMYFUNCTION("""COMPUTED_VALUE"""),"Uncle Sams Cider (04/04/2023)")</f>
        <v>Uncle Sams Cider (04/04/2023)</v>
      </c>
      <c r="H11304" s="19"/>
    </row>
    <row r="11305">
      <c r="A11305" s="9"/>
      <c r="B11305" s="15"/>
      <c r="C11305" s="9">
        <f>IFERROR(__xludf.DUMMYFUNCTION("""COMPUTED_VALUE"""),45025.5506627662)</f>
        <v>45025.55066</v>
      </c>
      <c r="D11305" s="15">
        <f>IFERROR(__xludf.DUMMYFUNCTION("""COMPUTED_VALUE"""),1.08)</f>
        <v>1.08</v>
      </c>
      <c r="E11305" s="16">
        <f>IFERROR(__xludf.DUMMYFUNCTION("""COMPUTED_VALUE"""),68.0)</f>
        <v>68</v>
      </c>
      <c r="F11305" s="19" t="str">
        <f>IFERROR(__xludf.DUMMYFUNCTION("""COMPUTED_VALUE"""),"BLACK")</f>
        <v>BLACK</v>
      </c>
      <c r="G11305" s="20" t="str">
        <f>IFERROR(__xludf.DUMMYFUNCTION("""COMPUTED_VALUE"""),"Uncle Sams Cider (04/04/2023)")</f>
        <v>Uncle Sams Cider (04/04/2023)</v>
      </c>
      <c r="H11305" s="19"/>
    </row>
    <row r="11306">
      <c r="A11306" s="9"/>
      <c r="B11306" s="15"/>
      <c r="C11306" s="9">
        <f>IFERROR(__xludf.DUMMYFUNCTION("""COMPUTED_VALUE"""),45025.5402415393)</f>
        <v>45025.54024</v>
      </c>
      <c r="D11306" s="15">
        <f>IFERROR(__xludf.DUMMYFUNCTION("""COMPUTED_VALUE"""),1.08)</f>
        <v>1.08</v>
      </c>
      <c r="E11306" s="16">
        <f>IFERROR(__xludf.DUMMYFUNCTION("""COMPUTED_VALUE"""),68.0)</f>
        <v>68</v>
      </c>
      <c r="F11306" s="19" t="str">
        <f>IFERROR(__xludf.DUMMYFUNCTION("""COMPUTED_VALUE"""),"BLACK")</f>
        <v>BLACK</v>
      </c>
      <c r="G11306" s="20" t="str">
        <f>IFERROR(__xludf.DUMMYFUNCTION("""COMPUTED_VALUE"""),"Uncle Sams Cider (04/04/2023)")</f>
        <v>Uncle Sams Cider (04/04/2023)</v>
      </c>
      <c r="H11306" s="19"/>
    </row>
    <row r="11307">
      <c r="A11307" s="9"/>
      <c r="B11307" s="15"/>
      <c r="C11307" s="9">
        <f>IFERROR(__xludf.DUMMYFUNCTION("""COMPUTED_VALUE"""),45025.5298209027)</f>
        <v>45025.52982</v>
      </c>
      <c r="D11307" s="15">
        <f>IFERROR(__xludf.DUMMYFUNCTION("""COMPUTED_VALUE"""),1.08)</f>
        <v>1.08</v>
      </c>
      <c r="E11307" s="16">
        <f>IFERROR(__xludf.DUMMYFUNCTION("""COMPUTED_VALUE"""),68.0)</f>
        <v>68</v>
      </c>
      <c r="F11307" s="19" t="str">
        <f>IFERROR(__xludf.DUMMYFUNCTION("""COMPUTED_VALUE"""),"BLACK")</f>
        <v>BLACK</v>
      </c>
      <c r="G11307" s="20" t="str">
        <f>IFERROR(__xludf.DUMMYFUNCTION("""COMPUTED_VALUE"""),"Uncle Sams Cider (04/04/2023)")</f>
        <v>Uncle Sams Cider (04/04/2023)</v>
      </c>
      <c r="H11307" s="19"/>
    </row>
    <row r="11308">
      <c r="A11308" s="9"/>
      <c r="B11308" s="15"/>
      <c r="C11308" s="9">
        <f>IFERROR(__xludf.DUMMYFUNCTION("""COMPUTED_VALUE"""),45025.5193873842)</f>
        <v>45025.51939</v>
      </c>
      <c r="D11308" s="15">
        <f>IFERROR(__xludf.DUMMYFUNCTION("""COMPUTED_VALUE"""),1.079)</f>
        <v>1.079</v>
      </c>
      <c r="E11308" s="16">
        <f>IFERROR(__xludf.DUMMYFUNCTION("""COMPUTED_VALUE"""),68.0)</f>
        <v>68</v>
      </c>
      <c r="F11308" s="19" t="str">
        <f>IFERROR(__xludf.DUMMYFUNCTION("""COMPUTED_VALUE"""),"BLACK")</f>
        <v>BLACK</v>
      </c>
      <c r="G11308" s="20" t="str">
        <f>IFERROR(__xludf.DUMMYFUNCTION("""COMPUTED_VALUE"""),"Uncle Sams Cider (04/04/2023)")</f>
        <v>Uncle Sams Cider (04/04/2023)</v>
      </c>
      <c r="H11308" s="19"/>
    </row>
    <row r="11309">
      <c r="A11309" s="9"/>
      <c r="B11309" s="15"/>
      <c r="C11309" s="9">
        <f>IFERROR(__xludf.DUMMYFUNCTION("""COMPUTED_VALUE"""),45025.5089523379)</f>
        <v>45025.50895</v>
      </c>
      <c r="D11309" s="15">
        <f>IFERROR(__xludf.DUMMYFUNCTION("""COMPUTED_VALUE"""),1.08)</f>
        <v>1.08</v>
      </c>
      <c r="E11309" s="16">
        <f>IFERROR(__xludf.DUMMYFUNCTION("""COMPUTED_VALUE"""),68.0)</f>
        <v>68</v>
      </c>
      <c r="F11309" s="19" t="str">
        <f>IFERROR(__xludf.DUMMYFUNCTION("""COMPUTED_VALUE"""),"BLACK")</f>
        <v>BLACK</v>
      </c>
      <c r="G11309" s="20" t="str">
        <f>IFERROR(__xludf.DUMMYFUNCTION("""COMPUTED_VALUE"""),"Uncle Sams Cider (04/04/2023)")</f>
        <v>Uncle Sams Cider (04/04/2023)</v>
      </c>
      <c r="H11309" s="19"/>
    </row>
    <row r="11310">
      <c r="A11310" s="9"/>
      <c r="B11310" s="15"/>
      <c r="C11310" s="9">
        <f>IFERROR(__xludf.DUMMYFUNCTION("""COMPUTED_VALUE"""),45025.4985194791)</f>
        <v>45025.49852</v>
      </c>
      <c r="D11310" s="15">
        <f>IFERROR(__xludf.DUMMYFUNCTION("""COMPUTED_VALUE"""),1.08)</f>
        <v>1.08</v>
      </c>
      <c r="E11310" s="16">
        <f>IFERROR(__xludf.DUMMYFUNCTION("""COMPUTED_VALUE"""),68.0)</f>
        <v>68</v>
      </c>
      <c r="F11310" s="19" t="str">
        <f>IFERROR(__xludf.DUMMYFUNCTION("""COMPUTED_VALUE"""),"BLACK")</f>
        <v>BLACK</v>
      </c>
      <c r="G11310" s="20" t="str">
        <f>IFERROR(__xludf.DUMMYFUNCTION("""COMPUTED_VALUE"""),"Uncle Sams Cider (04/04/2023)")</f>
        <v>Uncle Sams Cider (04/04/2023)</v>
      </c>
      <c r="H11310" s="19"/>
    </row>
    <row r="11311">
      <c r="A11311" s="9"/>
      <c r="B11311" s="15"/>
      <c r="C11311" s="9">
        <f>IFERROR(__xludf.DUMMYFUNCTION("""COMPUTED_VALUE"""),45025.4880968634)</f>
        <v>45025.4881</v>
      </c>
      <c r="D11311" s="15">
        <f>IFERROR(__xludf.DUMMYFUNCTION("""COMPUTED_VALUE"""),1.08)</f>
        <v>1.08</v>
      </c>
      <c r="E11311" s="16">
        <f>IFERROR(__xludf.DUMMYFUNCTION("""COMPUTED_VALUE"""),68.0)</f>
        <v>68</v>
      </c>
      <c r="F11311" s="19" t="str">
        <f>IFERROR(__xludf.DUMMYFUNCTION("""COMPUTED_VALUE"""),"BLACK")</f>
        <v>BLACK</v>
      </c>
      <c r="G11311" s="20" t="str">
        <f>IFERROR(__xludf.DUMMYFUNCTION("""COMPUTED_VALUE"""),"Uncle Sams Cider (04/04/2023)")</f>
        <v>Uncle Sams Cider (04/04/2023)</v>
      </c>
      <c r="H11311" s="19"/>
    </row>
    <row r="11312">
      <c r="A11312" s="9"/>
      <c r="B11312" s="15"/>
      <c r="C11312" s="9">
        <f>IFERROR(__xludf.DUMMYFUNCTION("""COMPUTED_VALUE"""),45025.477676412)</f>
        <v>45025.47768</v>
      </c>
      <c r="D11312" s="15">
        <f>IFERROR(__xludf.DUMMYFUNCTION("""COMPUTED_VALUE"""),1.08)</f>
        <v>1.08</v>
      </c>
      <c r="E11312" s="16">
        <f>IFERROR(__xludf.DUMMYFUNCTION("""COMPUTED_VALUE"""),68.0)</f>
        <v>68</v>
      </c>
      <c r="F11312" s="19" t="str">
        <f>IFERROR(__xludf.DUMMYFUNCTION("""COMPUTED_VALUE"""),"BLACK")</f>
        <v>BLACK</v>
      </c>
      <c r="G11312" s="20" t="str">
        <f>IFERROR(__xludf.DUMMYFUNCTION("""COMPUTED_VALUE"""),"Uncle Sams Cider (04/04/2023)")</f>
        <v>Uncle Sams Cider (04/04/2023)</v>
      </c>
      <c r="H11312" s="19"/>
    </row>
    <row r="11313">
      <c r="A11313" s="9"/>
      <c r="B11313" s="15"/>
      <c r="C11313" s="9">
        <f>IFERROR(__xludf.DUMMYFUNCTION("""COMPUTED_VALUE"""),45025.4672456828)</f>
        <v>45025.46725</v>
      </c>
      <c r="D11313" s="15">
        <f>IFERROR(__xludf.DUMMYFUNCTION("""COMPUTED_VALUE"""),1.08)</f>
        <v>1.08</v>
      </c>
      <c r="E11313" s="16">
        <f>IFERROR(__xludf.DUMMYFUNCTION("""COMPUTED_VALUE"""),68.0)</f>
        <v>68</v>
      </c>
      <c r="F11313" s="19" t="str">
        <f>IFERROR(__xludf.DUMMYFUNCTION("""COMPUTED_VALUE"""),"BLACK")</f>
        <v>BLACK</v>
      </c>
      <c r="G11313" s="20" t="str">
        <f>IFERROR(__xludf.DUMMYFUNCTION("""COMPUTED_VALUE"""),"Uncle Sams Cider (04/04/2023)")</f>
        <v>Uncle Sams Cider (04/04/2023)</v>
      </c>
      <c r="H11313" s="19"/>
    </row>
    <row r="11314">
      <c r="A11314" s="9"/>
      <c r="B11314" s="15"/>
      <c r="C11314" s="9">
        <f>IFERROR(__xludf.DUMMYFUNCTION("""COMPUTED_VALUE"""),45025.4568242824)</f>
        <v>45025.45682</v>
      </c>
      <c r="D11314" s="15">
        <f>IFERROR(__xludf.DUMMYFUNCTION("""COMPUTED_VALUE"""),1.08)</f>
        <v>1.08</v>
      </c>
      <c r="E11314" s="16">
        <f>IFERROR(__xludf.DUMMYFUNCTION("""COMPUTED_VALUE"""),68.0)</f>
        <v>68</v>
      </c>
      <c r="F11314" s="19" t="str">
        <f>IFERROR(__xludf.DUMMYFUNCTION("""COMPUTED_VALUE"""),"BLACK")</f>
        <v>BLACK</v>
      </c>
      <c r="G11314" s="20" t="str">
        <f>IFERROR(__xludf.DUMMYFUNCTION("""COMPUTED_VALUE"""),"Uncle Sams Cider (04/04/2023)")</f>
        <v>Uncle Sams Cider (04/04/2023)</v>
      </c>
      <c r="H11314" s="19"/>
    </row>
    <row r="11315">
      <c r="A11315" s="9"/>
      <c r="B11315" s="15"/>
      <c r="C11315" s="9">
        <f>IFERROR(__xludf.DUMMYFUNCTION("""COMPUTED_VALUE"""),45025.4464020833)</f>
        <v>45025.4464</v>
      </c>
      <c r="D11315" s="15">
        <f>IFERROR(__xludf.DUMMYFUNCTION("""COMPUTED_VALUE"""),1.08)</f>
        <v>1.08</v>
      </c>
      <c r="E11315" s="16">
        <f>IFERROR(__xludf.DUMMYFUNCTION("""COMPUTED_VALUE"""),68.0)</f>
        <v>68</v>
      </c>
      <c r="F11315" s="19" t="str">
        <f>IFERROR(__xludf.DUMMYFUNCTION("""COMPUTED_VALUE"""),"BLACK")</f>
        <v>BLACK</v>
      </c>
      <c r="G11315" s="20" t="str">
        <f>IFERROR(__xludf.DUMMYFUNCTION("""COMPUTED_VALUE"""),"Uncle Sams Cider (04/04/2023)")</f>
        <v>Uncle Sams Cider (04/04/2023)</v>
      </c>
      <c r="H11315" s="19"/>
    </row>
    <row r="11316">
      <c r="A11316" s="9"/>
      <c r="B11316" s="15"/>
      <c r="C11316" s="9">
        <f>IFERROR(__xludf.DUMMYFUNCTION("""COMPUTED_VALUE"""),45025.4359819097)</f>
        <v>45025.43598</v>
      </c>
      <c r="D11316" s="15">
        <f>IFERROR(__xludf.DUMMYFUNCTION("""COMPUTED_VALUE"""),1.081)</f>
        <v>1.081</v>
      </c>
      <c r="E11316" s="16">
        <f>IFERROR(__xludf.DUMMYFUNCTION("""COMPUTED_VALUE"""),68.0)</f>
        <v>68</v>
      </c>
      <c r="F11316" s="19" t="str">
        <f>IFERROR(__xludf.DUMMYFUNCTION("""COMPUTED_VALUE"""),"BLACK")</f>
        <v>BLACK</v>
      </c>
      <c r="G11316" s="20" t="str">
        <f>IFERROR(__xludf.DUMMYFUNCTION("""COMPUTED_VALUE"""),"Uncle Sams Cider (04/04/2023)")</f>
        <v>Uncle Sams Cider (04/04/2023)</v>
      </c>
      <c r="H11316" s="19"/>
    </row>
    <row r="11317">
      <c r="A11317" s="9"/>
      <c r="B11317" s="15"/>
      <c r="C11317" s="9">
        <f>IFERROR(__xludf.DUMMYFUNCTION("""COMPUTED_VALUE"""),45025.4255608101)</f>
        <v>45025.42556</v>
      </c>
      <c r="D11317" s="15">
        <f>IFERROR(__xludf.DUMMYFUNCTION("""COMPUTED_VALUE"""),1.081)</f>
        <v>1.081</v>
      </c>
      <c r="E11317" s="16">
        <f>IFERROR(__xludf.DUMMYFUNCTION("""COMPUTED_VALUE"""),68.0)</f>
        <v>68</v>
      </c>
      <c r="F11317" s="19" t="str">
        <f>IFERROR(__xludf.DUMMYFUNCTION("""COMPUTED_VALUE"""),"BLACK")</f>
        <v>BLACK</v>
      </c>
      <c r="G11317" s="20" t="str">
        <f>IFERROR(__xludf.DUMMYFUNCTION("""COMPUTED_VALUE"""),"Uncle Sams Cider (04/04/2023)")</f>
        <v>Uncle Sams Cider (04/04/2023)</v>
      </c>
      <c r="H11317" s="19"/>
    </row>
    <row r="11318">
      <c r="A11318" s="9"/>
      <c r="B11318" s="15"/>
      <c r="C11318" s="9">
        <f>IFERROR(__xludf.DUMMYFUNCTION("""COMPUTED_VALUE"""),45025.4151404051)</f>
        <v>45025.41514</v>
      </c>
      <c r="D11318" s="15">
        <f>IFERROR(__xludf.DUMMYFUNCTION("""COMPUTED_VALUE"""),1.08)</f>
        <v>1.08</v>
      </c>
      <c r="E11318" s="16">
        <f>IFERROR(__xludf.DUMMYFUNCTION("""COMPUTED_VALUE"""),68.0)</f>
        <v>68</v>
      </c>
      <c r="F11318" s="19" t="str">
        <f>IFERROR(__xludf.DUMMYFUNCTION("""COMPUTED_VALUE"""),"BLACK")</f>
        <v>BLACK</v>
      </c>
      <c r="G11318" s="20" t="str">
        <f>IFERROR(__xludf.DUMMYFUNCTION("""COMPUTED_VALUE"""),"Uncle Sams Cider (04/04/2023)")</f>
        <v>Uncle Sams Cider (04/04/2023)</v>
      </c>
      <c r="H11318" s="19"/>
    </row>
    <row r="11319">
      <c r="A11319" s="9"/>
      <c r="B11319" s="15"/>
      <c r="C11319" s="9">
        <f>IFERROR(__xludf.DUMMYFUNCTION("""COMPUTED_VALUE"""),45025.4047170138)</f>
        <v>45025.40472</v>
      </c>
      <c r="D11319" s="15">
        <f>IFERROR(__xludf.DUMMYFUNCTION("""COMPUTED_VALUE"""),1.081)</f>
        <v>1.081</v>
      </c>
      <c r="E11319" s="16">
        <f>IFERROR(__xludf.DUMMYFUNCTION("""COMPUTED_VALUE"""),68.0)</f>
        <v>68</v>
      </c>
      <c r="F11319" s="19" t="str">
        <f>IFERROR(__xludf.DUMMYFUNCTION("""COMPUTED_VALUE"""),"BLACK")</f>
        <v>BLACK</v>
      </c>
      <c r="G11319" s="20" t="str">
        <f>IFERROR(__xludf.DUMMYFUNCTION("""COMPUTED_VALUE"""),"Uncle Sams Cider (04/04/2023)")</f>
        <v>Uncle Sams Cider (04/04/2023)</v>
      </c>
      <c r="H11319" s="19"/>
    </row>
    <row r="11320">
      <c r="A11320" s="9"/>
      <c r="B11320" s="15"/>
      <c r="C11320" s="9">
        <f>IFERROR(__xludf.DUMMYFUNCTION("""COMPUTED_VALUE"""),45025.3942844676)</f>
        <v>45025.39428</v>
      </c>
      <c r="D11320" s="15">
        <f>IFERROR(__xludf.DUMMYFUNCTION("""COMPUTED_VALUE"""),1.08)</f>
        <v>1.08</v>
      </c>
      <c r="E11320" s="16">
        <f>IFERROR(__xludf.DUMMYFUNCTION("""COMPUTED_VALUE"""),68.0)</f>
        <v>68</v>
      </c>
      <c r="F11320" s="19" t="str">
        <f>IFERROR(__xludf.DUMMYFUNCTION("""COMPUTED_VALUE"""),"BLACK")</f>
        <v>BLACK</v>
      </c>
      <c r="G11320" s="20" t="str">
        <f>IFERROR(__xludf.DUMMYFUNCTION("""COMPUTED_VALUE"""),"Uncle Sams Cider (04/04/2023)")</f>
        <v>Uncle Sams Cider (04/04/2023)</v>
      </c>
      <c r="H11320" s="19"/>
    </row>
    <row r="11321">
      <c r="A11321" s="9"/>
      <c r="B11321" s="15"/>
      <c r="C11321" s="9">
        <f>IFERROR(__xludf.DUMMYFUNCTION("""COMPUTED_VALUE"""),45025.38386375)</f>
        <v>45025.38386</v>
      </c>
      <c r="D11321" s="15">
        <f>IFERROR(__xludf.DUMMYFUNCTION("""COMPUTED_VALUE"""),1.081)</f>
        <v>1.081</v>
      </c>
      <c r="E11321" s="16">
        <f>IFERROR(__xludf.DUMMYFUNCTION("""COMPUTED_VALUE"""),68.0)</f>
        <v>68</v>
      </c>
      <c r="F11321" s="19" t="str">
        <f>IFERROR(__xludf.DUMMYFUNCTION("""COMPUTED_VALUE"""),"BLACK")</f>
        <v>BLACK</v>
      </c>
      <c r="G11321" s="20" t="str">
        <f>IFERROR(__xludf.DUMMYFUNCTION("""COMPUTED_VALUE"""),"Uncle Sams Cider (04/04/2023)")</f>
        <v>Uncle Sams Cider (04/04/2023)</v>
      </c>
      <c r="H11321" s="19"/>
    </row>
    <row r="11322">
      <c r="A11322" s="9"/>
      <c r="B11322" s="15"/>
      <c r="C11322" s="9">
        <f>IFERROR(__xludf.DUMMYFUNCTION("""COMPUTED_VALUE"""),45025.3734301851)</f>
        <v>45025.37343</v>
      </c>
      <c r="D11322" s="15">
        <f>IFERROR(__xludf.DUMMYFUNCTION("""COMPUTED_VALUE"""),1.081)</f>
        <v>1.081</v>
      </c>
      <c r="E11322" s="16">
        <f>IFERROR(__xludf.DUMMYFUNCTION("""COMPUTED_VALUE"""),68.0)</f>
        <v>68</v>
      </c>
      <c r="F11322" s="19" t="str">
        <f>IFERROR(__xludf.DUMMYFUNCTION("""COMPUTED_VALUE"""),"BLACK")</f>
        <v>BLACK</v>
      </c>
      <c r="G11322" s="20" t="str">
        <f>IFERROR(__xludf.DUMMYFUNCTION("""COMPUTED_VALUE"""),"Uncle Sams Cider (04/04/2023)")</f>
        <v>Uncle Sams Cider (04/04/2023)</v>
      </c>
      <c r="H11322" s="19"/>
    </row>
    <row r="11323">
      <c r="A11323" s="9"/>
      <c r="B11323" s="15"/>
      <c r="C11323" s="9">
        <f>IFERROR(__xludf.DUMMYFUNCTION("""COMPUTED_VALUE"""),45025.3630078009)</f>
        <v>45025.36301</v>
      </c>
      <c r="D11323" s="15">
        <f>IFERROR(__xludf.DUMMYFUNCTION("""COMPUTED_VALUE"""),1.081)</f>
        <v>1.081</v>
      </c>
      <c r="E11323" s="16">
        <f>IFERROR(__xludf.DUMMYFUNCTION("""COMPUTED_VALUE"""),68.0)</f>
        <v>68</v>
      </c>
      <c r="F11323" s="19" t="str">
        <f>IFERROR(__xludf.DUMMYFUNCTION("""COMPUTED_VALUE"""),"BLACK")</f>
        <v>BLACK</v>
      </c>
      <c r="G11323" s="20" t="str">
        <f>IFERROR(__xludf.DUMMYFUNCTION("""COMPUTED_VALUE"""),"Uncle Sams Cider (04/04/2023)")</f>
        <v>Uncle Sams Cider (04/04/2023)</v>
      </c>
      <c r="H11323" s="19"/>
    </row>
    <row r="11324">
      <c r="A11324" s="9"/>
      <c r="B11324" s="15"/>
      <c r="C11324" s="9">
        <f>IFERROR(__xludf.DUMMYFUNCTION("""COMPUTED_VALUE"""),45025.3525862152)</f>
        <v>45025.35259</v>
      </c>
      <c r="D11324" s="15">
        <f>IFERROR(__xludf.DUMMYFUNCTION("""COMPUTED_VALUE"""),1.081)</f>
        <v>1.081</v>
      </c>
      <c r="E11324" s="16">
        <f>IFERROR(__xludf.DUMMYFUNCTION("""COMPUTED_VALUE"""),68.0)</f>
        <v>68</v>
      </c>
      <c r="F11324" s="19" t="str">
        <f>IFERROR(__xludf.DUMMYFUNCTION("""COMPUTED_VALUE"""),"BLACK")</f>
        <v>BLACK</v>
      </c>
      <c r="G11324" s="20" t="str">
        <f>IFERROR(__xludf.DUMMYFUNCTION("""COMPUTED_VALUE"""),"Uncle Sams Cider (04/04/2023)")</f>
        <v>Uncle Sams Cider (04/04/2023)</v>
      </c>
      <c r="H11324" s="19"/>
    </row>
    <row r="11325">
      <c r="A11325" s="9"/>
      <c r="B11325" s="15"/>
      <c r="C11325" s="9">
        <f>IFERROR(__xludf.DUMMYFUNCTION("""COMPUTED_VALUE"""),45025.3421652777)</f>
        <v>45025.34217</v>
      </c>
      <c r="D11325" s="15">
        <f>IFERROR(__xludf.DUMMYFUNCTION("""COMPUTED_VALUE"""),1.081)</f>
        <v>1.081</v>
      </c>
      <c r="E11325" s="16">
        <f>IFERROR(__xludf.DUMMYFUNCTION("""COMPUTED_VALUE"""),68.0)</f>
        <v>68</v>
      </c>
      <c r="F11325" s="19" t="str">
        <f>IFERROR(__xludf.DUMMYFUNCTION("""COMPUTED_VALUE"""),"BLACK")</f>
        <v>BLACK</v>
      </c>
      <c r="G11325" s="20" t="str">
        <f>IFERROR(__xludf.DUMMYFUNCTION("""COMPUTED_VALUE"""),"Uncle Sams Cider (04/04/2023)")</f>
        <v>Uncle Sams Cider (04/04/2023)</v>
      </c>
      <c r="H11325" s="19"/>
    </row>
    <row r="11326">
      <c r="A11326" s="9"/>
      <c r="B11326" s="15"/>
      <c r="C11326" s="9">
        <f>IFERROR(__xludf.DUMMYFUNCTION("""COMPUTED_VALUE"""),45025.331745324)</f>
        <v>45025.33175</v>
      </c>
      <c r="D11326" s="15">
        <f>IFERROR(__xludf.DUMMYFUNCTION("""COMPUTED_VALUE"""),1.081)</f>
        <v>1.081</v>
      </c>
      <c r="E11326" s="16">
        <f>IFERROR(__xludf.DUMMYFUNCTION("""COMPUTED_VALUE"""),68.0)</f>
        <v>68</v>
      </c>
      <c r="F11326" s="19" t="str">
        <f>IFERROR(__xludf.DUMMYFUNCTION("""COMPUTED_VALUE"""),"BLACK")</f>
        <v>BLACK</v>
      </c>
      <c r="G11326" s="20" t="str">
        <f>IFERROR(__xludf.DUMMYFUNCTION("""COMPUTED_VALUE"""),"Uncle Sams Cider (04/04/2023)")</f>
        <v>Uncle Sams Cider (04/04/2023)</v>
      </c>
      <c r="H11326" s="19"/>
    </row>
    <row r="11327">
      <c r="A11327" s="9"/>
      <c r="B11327" s="15"/>
      <c r="C11327" s="9">
        <f>IFERROR(__xludf.DUMMYFUNCTION("""COMPUTED_VALUE"""),45025.3213229398)</f>
        <v>45025.32132</v>
      </c>
      <c r="D11327" s="15">
        <f>IFERROR(__xludf.DUMMYFUNCTION("""COMPUTED_VALUE"""),1.081)</f>
        <v>1.081</v>
      </c>
      <c r="E11327" s="16">
        <f>IFERROR(__xludf.DUMMYFUNCTION("""COMPUTED_VALUE"""),68.0)</f>
        <v>68</v>
      </c>
      <c r="F11327" s="19" t="str">
        <f>IFERROR(__xludf.DUMMYFUNCTION("""COMPUTED_VALUE"""),"BLACK")</f>
        <v>BLACK</v>
      </c>
      <c r="G11327" s="20" t="str">
        <f>IFERROR(__xludf.DUMMYFUNCTION("""COMPUTED_VALUE"""),"Uncle Sams Cider (04/04/2023)")</f>
        <v>Uncle Sams Cider (04/04/2023)</v>
      </c>
      <c r="H11327" s="19"/>
    </row>
    <row r="11328">
      <c r="A11328" s="9"/>
      <c r="B11328" s="15"/>
      <c r="C11328" s="9">
        <f>IFERROR(__xludf.DUMMYFUNCTION("""COMPUTED_VALUE"""),45025.3109019791)</f>
        <v>45025.3109</v>
      </c>
      <c r="D11328" s="15">
        <f>IFERROR(__xludf.DUMMYFUNCTION("""COMPUTED_VALUE"""),1.081)</f>
        <v>1.081</v>
      </c>
      <c r="E11328" s="16">
        <f>IFERROR(__xludf.DUMMYFUNCTION("""COMPUTED_VALUE"""),68.0)</f>
        <v>68</v>
      </c>
      <c r="F11328" s="19" t="str">
        <f>IFERROR(__xludf.DUMMYFUNCTION("""COMPUTED_VALUE"""),"BLACK")</f>
        <v>BLACK</v>
      </c>
      <c r="G11328" s="20" t="str">
        <f>IFERROR(__xludf.DUMMYFUNCTION("""COMPUTED_VALUE"""),"Uncle Sams Cider (04/04/2023)")</f>
        <v>Uncle Sams Cider (04/04/2023)</v>
      </c>
      <c r="H11328" s="19"/>
    </row>
    <row r="11329">
      <c r="A11329" s="9"/>
      <c r="B11329" s="15"/>
      <c r="C11329" s="9">
        <f>IFERROR(__xludf.DUMMYFUNCTION("""COMPUTED_VALUE"""),45025.3004817361)</f>
        <v>45025.30048</v>
      </c>
      <c r="D11329" s="15">
        <f>IFERROR(__xludf.DUMMYFUNCTION("""COMPUTED_VALUE"""),1.081)</f>
        <v>1.081</v>
      </c>
      <c r="E11329" s="16">
        <f>IFERROR(__xludf.DUMMYFUNCTION("""COMPUTED_VALUE"""),68.0)</f>
        <v>68</v>
      </c>
      <c r="F11329" s="19" t="str">
        <f>IFERROR(__xludf.DUMMYFUNCTION("""COMPUTED_VALUE"""),"BLACK")</f>
        <v>BLACK</v>
      </c>
      <c r="G11329" s="20" t="str">
        <f>IFERROR(__xludf.DUMMYFUNCTION("""COMPUTED_VALUE"""),"Uncle Sams Cider (04/04/2023)")</f>
        <v>Uncle Sams Cider (04/04/2023)</v>
      </c>
      <c r="H11329" s="19"/>
    </row>
    <row r="11330">
      <c r="A11330" s="9"/>
      <c r="B11330" s="15"/>
      <c r="C11330" s="9">
        <f>IFERROR(__xludf.DUMMYFUNCTION("""COMPUTED_VALUE"""),45025.2900615393)</f>
        <v>45025.29006</v>
      </c>
      <c r="D11330" s="15">
        <f>IFERROR(__xludf.DUMMYFUNCTION("""COMPUTED_VALUE"""),1.081)</f>
        <v>1.081</v>
      </c>
      <c r="E11330" s="16">
        <f>IFERROR(__xludf.DUMMYFUNCTION("""COMPUTED_VALUE"""),68.0)</f>
        <v>68</v>
      </c>
      <c r="F11330" s="19" t="str">
        <f>IFERROR(__xludf.DUMMYFUNCTION("""COMPUTED_VALUE"""),"BLACK")</f>
        <v>BLACK</v>
      </c>
      <c r="G11330" s="20" t="str">
        <f>IFERROR(__xludf.DUMMYFUNCTION("""COMPUTED_VALUE"""),"Uncle Sams Cider (04/04/2023)")</f>
        <v>Uncle Sams Cider (04/04/2023)</v>
      </c>
      <c r="H11330" s="19"/>
    </row>
    <row r="11331">
      <c r="A11331" s="9"/>
      <c r="B11331" s="15"/>
      <c r="C11331" s="9">
        <f>IFERROR(__xludf.DUMMYFUNCTION("""COMPUTED_VALUE"""),45025.2796406481)</f>
        <v>45025.27964</v>
      </c>
      <c r="D11331" s="15">
        <f>IFERROR(__xludf.DUMMYFUNCTION("""COMPUTED_VALUE"""),1.081)</f>
        <v>1.081</v>
      </c>
      <c r="E11331" s="16">
        <f>IFERROR(__xludf.DUMMYFUNCTION("""COMPUTED_VALUE"""),68.0)</f>
        <v>68</v>
      </c>
      <c r="F11331" s="19" t="str">
        <f>IFERROR(__xludf.DUMMYFUNCTION("""COMPUTED_VALUE"""),"BLACK")</f>
        <v>BLACK</v>
      </c>
      <c r="G11331" s="20" t="str">
        <f>IFERROR(__xludf.DUMMYFUNCTION("""COMPUTED_VALUE"""),"Uncle Sams Cider (04/04/2023)")</f>
        <v>Uncle Sams Cider (04/04/2023)</v>
      </c>
      <c r="H11331" s="19"/>
    </row>
    <row r="11332">
      <c r="A11332" s="9"/>
      <c r="B11332" s="15"/>
      <c r="C11332" s="9">
        <f>IFERROR(__xludf.DUMMYFUNCTION("""COMPUTED_VALUE"""),45025.269220243)</f>
        <v>45025.26922</v>
      </c>
      <c r="D11332" s="15">
        <f>IFERROR(__xludf.DUMMYFUNCTION("""COMPUTED_VALUE"""),1.081)</f>
        <v>1.081</v>
      </c>
      <c r="E11332" s="16">
        <f>IFERROR(__xludf.DUMMYFUNCTION("""COMPUTED_VALUE"""),68.0)</f>
        <v>68</v>
      </c>
      <c r="F11332" s="19" t="str">
        <f>IFERROR(__xludf.DUMMYFUNCTION("""COMPUTED_VALUE"""),"BLACK")</f>
        <v>BLACK</v>
      </c>
      <c r="G11332" s="20" t="str">
        <f>IFERROR(__xludf.DUMMYFUNCTION("""COMPUTED_VALUE"""),"Uncle Sams Cider (04/04/2023)")</f>
        <v>Uncle Sams Cider (04/04/2023)</v>
      </c>
      <c r="H11332" s="19"/>
    </row>
    <row r="11333">
      <c r="A11333" s="9"/>
      <c r="B11333" s="15"/>
      <c r="C11333" s="9">
        <f>IFERROR(__xludf.DUMMYFUNCTION("""COMPUTED_VALUE"""),45025.2587866551)</f>
        <v>45025.25879</v>
      </c>
      <c r="D11333" s="15">
        <f>IFERROR(__xludf.DUMMYFUNCTION("""COMPUTED_VALUE"""),1.081)</f>
        <v>1.081</v>
      </c>
      <c r="E11333" s="16">
        <f>IFERROR(__xludf.DUMMYFUNCTION("""COMPUTED_VALUE"""),68.0)</f>
        <v>68</v>
      </c>
      <c r="F11333" s="19" t="str">
        <f>IFERROR(__xludf.DUMMYFUNCTION("""COMPUTED_VALUE"""),"BLACK")</f>
        <v>BLACK</v>
      </c>
      <c r="G11333" s="20" t="str">
        <f>IFERROR(__xludf.DUMMYFUNCTION("""COMPUTED_VALUE"""),"Uncle Sams Cider (04/04/2023)")</f>
        <v>Uncle Sams Cider (04/04/2023)</v>
      </c>
      <c r="H11333" s="19"/>
    </row>
    <row r="11334">
      <c r="A11334" s="9"/>
      <c r="B11334" s="15"/>
      <c r="C11334" s="9">
        <f>IFERROR(__xludf.DUMMYFUNCTION("""COMPUTED_VALUE"""),45025.2483653356)</f>
        <v>45025.24837</v>
      </c>
      <c r="D11334" s="15">
        <f>IFERROR(__xludf.DUMMYFUNCTION("""COMPUTED_VALUE"""),1.082)</f>
        <v>1.082</v>
      </c>
      <c r="E11334" s="16">
        <f>IFERROR(__xludf.DUMMYFUNCTION("""COMPUTED_VALUE"""),68.0)</f>
        <v>68</v>
      </c>
      <c r="F11334" s="19" t="str">
        <f>IFERROR(__xludf.DUMMYFUNCTION("""COMPUTED_VALUE"""),"BLACK")</f>
        <v>BLACK</v>
      </c>
      <c r="G11334" s="20" t="str">
        <f>IFERROR(__xludf.DUMMYFUNCTION("""COMPUTED_VALUE"""),"Uncle Sams Cider (04/04/2023)")</f>
        <v>Uncle Sams Cider (04/04/2023)</v>
      </c>
      <c r="H11334" s="19"/>
    </row>
    <row r="11335">
      <c r="A11335" s="9"/>
      <c r="B11335" s="15"/>
      <c r="C11335" s="9">
        <f>IFERROR(__xludf.DUMMYFUNCTION("""COMPUTED_VALUE"""),45025.2379439814)</f>
        <v>45025.23794</v>
      </c>
      <c r="D11335" s="15">
        <f>IFERROR(__xludf.DUMMYFUNCTION("""COMPUTED_VALUE"""),1.082)</f>
        <v>1.082</v>
      </c>
      <c r="E11335" s="16">
        <f>IFERROR(__xludf.DUMMYFUNCTION("""COMPUTED_VALUE"""),68.0)</f>
        <v>68</v>
      </c>
      <c r="F11335" s="19" t="str">
        <f>IFERROR(__xludf.DUMMYFUNCTION("""COMPUTED_VALUE"""),"BLACK")</f>
        <v>BLACK</v>
      </c>
      <c r="G11335" s="20" t="str">
        <f>IFERROR(__xludf.DUMMYFUNCTION("""COMPUTED_VALUE"""),"Uncle Sams Cider (04/04/2023)")</f>
        <v>Uncle Sams Cider (04/04/2023)</v>
      </c>
      <c r="H11335" s="19"/>
    </row>
    <row r="11336">
      <c r="A11336" s="9"/>
      <c r="B11336" s="15"/>
      <c r="C11336" s="9">
        <f>IFERROR(__xludf.DUMMYFUNCTION("""COMPUTED_VALUE"""),45025.2275228588)</f>
        <v>45025.22752</v>
      </c>
      <c r="D11336" s="15">
        <f>IFERROR(__xludf.DUMMYFUNCTION("""COMPUTED_VALUE"""),1.082)</f>
        <v>1.082</v>
      </c>
      <c r="E11336" s="16">
        <f>IFERROR(__xludf.DUMMYFUNCTION("""COMPUTED_VALUE"""),68.0)</f>
        <v>68</v>
      </c>
      <c r="F11336" s="19" t="str">
        <f>IFERROR(__xludf.DUMMYFUNCTION("""COMPUTED_VALUE"""),"BLACK")</f>
        <v>BLACK</v>
      </c>
      <c r="G11336" s="20" t="str">
        <f>IFERROR(__xludf.DUMMYFUNCTION("""COMPUTED_VALUE"""),"Uncle Sams Cider (04/04/2023)")</f>
        <v>Uncle Sams Cider (04/04/2023)</v>
      </c>
      <c r="H11336" s="19"/>
    </row>
    <row r="11337">
      <c r="A11337" s="9"/>
      <c r="B11337" s="15"/>
      <c r="C11337" s="9">
        <f>IFERROR(__xludf.DUMMYFUNCTION("""COMPUTED_VALUE"""),45025.2171018287)</f>
        <v>45025.2171</v>
      </c>
      <c r="D11337" s="15">
        <f>IFERROR(__xludf.DUMMYFUNCTION("""COMPUTED_VALUE"""),1.082)</f>
        <v>1.082</v>
      </c>
      <c r="E11337" s="16">
        <f>IFERROR(__xludf.DUMMYFUNCTION("""COMPUTED_VALUE"""),68.0)</f>
        <v>68</v>
      </c>
      <c r="F11337" s="19" t="str">
        <f>IFERROR(__xludf.DUMMYFUNCTION("""COMPUTED_VALUE"""),"BLACK")</f>
        <v>BLACK</v>
      </c>
      <c r="G11337" s="20" t="str">
        <f>IFERROR(__xludf.DUMMYFUNCTION("""COMPUTED_VALUE"""),"Uncle Sams Cider (04/04/2023)")</f>
        <v>Uncle Sams Cider (04/04/2023)</v>
      </c>
      <c r="H11337" s="19"/>
    </row>
    <row r="11338">
      <c r="A11338" s="9"/>
      <c r="B11338" s="15"/>
      <c r="C11338" s="9">
        <f>IFERROR(__xludf.DUMMYFUNCTION("""COMPUTED_VALUE"""),45025.2066793055)</f>
        <v>45025.20668</v>
      </c>
      <c r="D11338" s="15">
        <f>IFERROR(__xludf.DUMMYFUNCTION("""COMPUTED_VALUE"""),1.082)</f>
        <v>1.082</v>
      </c>
      <c r="E11338" s="16">
        <f>IFERROR(__xludf.DUMMYFUNCTION("""COMPUTED_VALUE"""),68.0)</f>
        <v>68</v>
      </c>
      <c r="F11338" s="19" t="str">
        <f>IFERROR(__xludf.DUMMYFUNCTION("""COMPUTED_VALUE"""),"BLACK")</f>
        <v>BLACK</v>
      </c>
      <c r="G11338" s="20" t="str">
        <f>IFERROR(__xludf.DUMMYFUNCTION("""COMPUTED_VALUE"""),"Uncle Sams Cider (04/04/2023)")</f>
        <v>Uncle Sams Cider (04/04/2023)</v>
      </c>
      <c r="H11338" s="19"/>
    </row>
    <row r="11339">
      <c r="A11339" s="9"/>
      <c r="B11339" s="15"/>
      <c r="C11339" s="9">
        <f>IFERROR(__xludf.DUMMYFUNCTION("""COMPUTED_VALUE"""),45025.1962565509)</f>
        <v>45025.19626</v>
      </c>
      <c r="D11339" s="15">
        <f>IFERROR(__xludf.DUMMYFUNCTION("""COMPUTED_VALUE"""),1.082)</f>
        <v>1.082</v>
      </c>
      <c r="E11339" s="16">
        <f>IFERROR(__xludf.DUMMYFUNCTION("""COMPUTED_VALUE"""),68.0)</f>
        <v>68</v>
      </c>
      <c r="F11339" s="19" t="str">
        <f>IFERROR(__xludf.DUMMYFUNCTION("""COMPUTED_VALUE"""),"BLACK")</f>
        <v>BLACK</v>
      </c>
      <c r="G11339" s="20" t="str">
        <f>IFERROR(__xludf.DUMMYFUNCTION("""COMPUTED_VALUE"""),"Uncle Sams Cider (04/04/2023)")</f>
        <v>Uncle Sams Cider (04/04/2023)</v>
      </c>
      <c r="H11339" s="19"/>
    </row>
    <row r="11340">
      <c r="A11340" s="9"/>
      <c r="B11340" s="15"/>
      <c r="C11340" s="9">
        <f>IFERROR(__xludf.DUMMYFUNCTION("""COMPUTED_VALUE"""),45025.1858237037)</f>
        <v>45025.18582</v>
      </c>
      <c r="D11340" s="15">
        <f>IFERROR(__xludf.DUMMYFUNCTION("""COMPUTED_VALUE"""),1.082)</f>
        <v>1.082</v>
      </c>
      <c r="E11340" s="16">
        <f>IFERROR(__xludf.DUMMYFUNCTION("""COMPUTED_VALUE"""),68.0)</f>
        <v>68</v>
      </c>
      <c r="F11340" s="19" t="str">
        <f>IFERROR(__xludf.DUMMYFUNCTION("""COMPUTED_VALUE"""),"BLACK")</f>
        <v>BLACK</v>
      </c>
      <c r="G11340" s="20" t="str">
        <f>IFERROR(__xludf.DUMMYFUNCTION("""COMPUTED_VALUE"""),"Uncle Sams Cider (04/04/2023)")</f>
        <v>Uncle Sams Cider (04/04/2023)</v>
      </c>
      <c r="H11340" s="19"/>
    </row>
    <row r="11341">
      <c r="A11341" s="9"/>
      <c r="B11341" s="15"/>
      <c r="C11341" s="9">
        <f>IFERROR(__xludf.DUMMYFUNCTION("""COMPUTED_VALUE"""),45025.1754008564)</f>
        <v>45025.1754</v>
      </c>
      <c r="D11341" s="15">
        <f>IFERROR(__xludf.DUMMYFUNCTION("""COMPUTED_VALUE"""),1.082)</f>
        <v>1.082</v>
      </c>
      <c r="E11341" s="16">
        <f>IFERROR(__xludf.DUMMYFUNCTION("""COMPUTED_VALUE"""),68.0)</f>
        <v>68</v>
      </c>
      <c r="F11341" s="19" t="str">
        <f>IFERROR(__xludf.DUMMYFUNCTION("""COMPUTED_VALUE"""),"BLACK")</f>
        <v>BLACK</v>
      </c>
      <c r="G11341" s="20" t="str">
        <f>IFERROR(__xludf.DUMMYFUNCTION("""COMPUTED_VALUE"""),"Uncle Sams Cider (04/04/2023)")</f>
        <v>Uncle Sams Cider (04/04/2023)</v>
      </c>
      <c r="H11341" s="19"/>
    </row>
    <row r="11342">
      <c r="A11342" s="9"/>
      <c r="B11342" s="15"/>
      <c r="C11342" s="9">
        <f>IFERROR(__xludf.DUMMYFUNCTION("""COMPUTED_VALUE"""),45025.164978912)</f>
        <v>45025.16498</v>
      </c>
      <c r="D11342" s="15">
        <f>IFERROR(__xludf.DUMMYFUNCTION("""COMPUTED_VALUE"""),1.082)</f>
        <v>1.082</v>
      </c>
      <c r="E11342" s="16">
        <f>IFERROR(__xludf.DUMMYFUNCTION("""COMPUTED_VALUE"""),68.0)</f>
        <v>68</v>
      </c>
      <c r="F11342" s="19" t="str">
        <f>IFERROR(__xludf.DUMMYFUNCTION("""COMPUTED_VALUE"""),"BLACK")</f>
        <v>BLACK</v>
      </c>
      <c r="G11342" s="20" t="str">
        <f>IFERROR(__xludf.DUMMYFUNCTION("""COMPUTED_VALUE"""),"Uncle Sams Cider (04/04/2023)")</f>
        <v>Uncle Sams Cider (04/04/2023)</v>
      </c>
      <c r="H11342" s="19"/>
    </row>
    <row r="11343">
      <c r="A11343" s="9"/>
      <c r="B11343" s="15"/>
      <c r="C11343" s="9">
        <f>IFERROR(__xludf.DUMMYFUNCTION("""COMPUTED_VALUE"""),45025.1545575463)</f>
        <v>45025.15456</v>
      </c>
      <c r="D11343" s="15">
        <f>IFERROR(__xludf.DUMMYFUNCTION("""COMPUTED_VALUE"""),1.082)</f>
        <v>1.082</v>
      </c>
      <c r="E11343" s="16">
        <f>IFERROR(__xludf.DUMMYFUNCTION("""COMPUTED_VALUE"""),68.0)</f>
        <v>68</v>
      </c>
      <c r="F11343" s="19" t="str">
        <f>IFERROR(__xludf.DUMMYFUNCTION("""COMPUTED_VALUE"""),"BLACK")</f>
        <v>BLACK</v>
      </c>
      <c r="G11343" s="20" t="str">
        <f>IFERROR(__xludf.DUMMYFUNCTION("""COMPUTED_VALUE"""),"Uncle Sams Cider (04/04/2023)")</f>
        <v>Uncle Sams Cider (04/04/2023)</v>
      </c>
      <c r="H11343" s="19"/>
    </row>
    <row r="11344">
      <c r="A11344" s="9"/>
      <c r="B11344" s="15"/>
      <c r="C11344" s="9">
        <f>IFERROR(__xludf.DUMMYFUNCTION("""COMPUTED_VALUE"""),45025.1441385185)</f>
        <v>45025.14414</v>
      </c>
      <c r="D11344" s="15">
        <f>IFERROR(__xludf.DUMMYFUNCTION("""COMPUTED_VALUE"""),1.082)</f>
        <v>1.082</v>
      </c>
      <c r="E11344" s="16">
        <f>IFERROR(__xludf.DUMMYFUNCTION("""COMPUTED_VALUE"""),68.0)</f>
        <v>68</v>
      </c>
      <c r="F11344" s="19" t="str">
        <f>IFERROR(__xludf.DUMMYFUNCTION("""COMPUTED_VALUE"""),"BLACK")</f>
        <v>BLACK</v>
      </c>
      <c r="G11344" s="20" t="str">
        <f>IFERROR(__xludf.DUMMYFUNCTION("""COMPUTED_VALUE"""),"Uncle Sams Cider (04/04/2023)")</f>
        <v>Uncle Sams Cider (04/04/2023)</v>
      </c>
      <c r="H11344" s="19"/>
    </row>
    <row r="11345">
      <c r="A11345" s="9"/>
      <c r="B11345" s="15"/>
      <c r="C11345" s="9">
        <f>IFERROR(__xludf.DUMMYFUNCTION("""COMPUTED_VALUE"""),45025.1337153819)</f>
        <v>45025.13372</v>
      </c>
      <c r="D11345" s="15">
        <f>IFERROR(__xludf.DUMMYFUNCTION("""COMPUTED_VALUE"""),1.082)</f>
        <v>1.082</v>
      </c>
      <c r="E11345" s="16">
        <f>IFERROR(__xludf.DUMMYFUNCTION("""COMPUTED_VALUE"""),68.0)</f>
        <v>68</v>
      </c>
      <c r="F11345" s="19" t="str">
        <f>IFERROR(__xludf.DUMMYFUNCTION("""COMPUTED_VALUE"""),"BLACK")</f>
        <v>BLACK</v>
      </c>
      <c r="G11345" s="20" t="str">
        <f>IFERROR(__xludf.DUMMYFUNCTION("""COMPUTED_VALUE"""),"Uncle Sams Cider (04/04/2023)")</f>
        <v>Uncle Sams Cider (04/04/2023)</v>
      </c>
      <c r="H11345" s="19"/>
    </row>
    <row r="11346">
      <c r="A11346" s="9"/>
      <c r="B11346" s="15"/>
      <c r="C11346" s="9">
        <f>IFERROR(__xludf.DUMMYFUNCTION("""COMPUTED_VALUE"""),45025.1232948379)</f>
        <v>45025.12329</v>
      </c>
      <c r="D11346" s="15">
        <f>IFERROR(__xludf.DUMMYFUNCTION("""COMPUTED_VALUE"""),1.082)</f>
        <v>1.082</v>
      </c>
      <c r="E11346" s="16">
        <f>IFERROR(__xludf.DUMMYFUNCTION("""COMPUTED_VALUE"""),68.0)</f>
        <v>68</v>
      </c>
      <c r="F11346" s="19" t="str">
        <f>IFERROR(__xludf.DUMMYFUNCTION("""COMPUTED_VALUE"""),"BLACK")</f>
        <v>BLACK</v>
      </c>
      <c r="G11346" s="20" t="str">
        <f>IFERROR(__xludf.DUMMYFUNCTION("""COMPUTED_VALUE"""),"Uncle Sams Cider (04/04/2023)")</f>
        <v>Uncle Sams Cider (04/04/2023)</v>
      </c>
      <c r="H11346" s="19"/>
    </row>
    <row r="11347">
      <c r="A11347" s="9"/>
      <c r="B11347" s="15"/>
      <c r="C11347" s="9">
        <f>IFERROR(__xludf.DUMMYFUNCTION("""COMPUTED_VALUE"""),45025.1128640046)</f>
        <v>45025.11286</v>
      </c>
      <c r="D11347" s="15">
        <f>IFERROR(__xludf.DUMMYFUNCTION("""COMPUTED_VALUE"""),1.082)</f>
        <v>1.082</v>
      </c>
      <c r="E11347" s="16">
        <f>IFERROR(__xludf.DUMMYFUNCTION("""COMPUTED_VALUE"""),68.0)</f>
        <v>68</v>
      </c>
      <c r="F11347" s="19" t="str">
        <f>IFERROR(__xludf.DUMMYFUNCTION("""COMPUTED_VALUE"""),"BLACK")</f>
        <v>BLACK</v>
      </c>
      <c r="G11347" s="20" t="str">
        <f>IFERROR(__xludf.DUMMYFUNCTION("""COMPUTED_VALUE"""),"Uncle Sams Cider (04/04/2023)")</f>
        <v>Uncle Sams Cider (04/04/2023)</v>
      </c>
      <c r="H11347" s="19"/>
    </row>
    <row r="11348">
      <c r="A11348" s="9"/>
      <c r="B11348" s="15"/>
      <c r="C11348" s="9">
        <f>IFERROR(__xludf.DUMMYFUNCTION("""COMPUTED_VALUE"""),45025.1024433449)</f>
        <v>45025.10244</v>
      </c>
      <c r="D11348" s="15">
        <f>IFERROR(__xludf.DUMMYFUNCTION("""COMPUTED_VALUE"""),1.082)</f>
        <v>1.082</v>
      </c>
      <c r="E11348" s="16">
        <f>IFERROR(__xludf.DUMMYFUNCTION("""COMPUTED_VALUE"""),68.0)</f>
        <v>68</v>
      </c>
      <c r="F11348" s="19" t="str">
        <f>IFERROR(__xludf.DUMMYFUNCTION("""COMPUTED_VALUE"""),"BLACK")</f>
        <v>BLACK</v>
      </c>
      <c r="G11348" s="20" t="str">
        <f>IFERROR(__xludf.DUMMYFUNCTION("""COMPUTED_VALUE"""),"Uncle Sams Cider (04/04/2023)")</f>
        <v>Uncle Sams Cider (04/04/2023)</v>
      </c>
      <c r="H11348" s="19"/>
    </row>
    <row r="11349">
      <c r="A11349" s="9"/>
      <c r="B11349" s="15"/>
      <c r="C11349" s="9">
        <f>IFERROR(__xludf.DUMMYFUNCTION("""COMPUTED_VALUE"""),45025.0919996527)</f>
        <v>45025.092</v>
      </c>
      <c r="D11349" s="15">
        <f>IFERROR(__xludf.DUMMYFUNCTION("""COMPUTED_VALUE"""),1.082)</f>
        <v>1.082</v>
      </c>
      <c r="E11349" s="16">
        <f>IFERROR(__xludf.DUMMYFUNCTION("""COMPUTED_VALUE"""),68.0)</f>
        <v>68</v>
      </c>
      <c r="F11349" s="19" t="str">
        <f>IFERROR(__xludf.DUMMYFUNCTION("""COMPUTED_VALUE"""),"BLACK")</f>
        <v>BLACK</v>
      </c>
      <c r="G11349" s="20" t="str">
        <f>IFERROR(__xludf.DUMMYFUNCTION("""COMPUTED_VALUE"""),"Uncle Sams Cider (04/04/2023)")</f>
        <v>Uncle Sams Cider (04/04/2023)</v>
      </c>
      <c r="H11349" s="19"/>
    </row>
    <row r="11350">
      <c r="A11350" s="9"/>
      <c r="B11350" s="15"/>
      <c r="C11350" s="9">
        <f>IFERROR(__xludf.DUMMYFUNCTION("""COMPUTED_VALUE"""),45025.0815791666)</f>
        <v>45025.08158</v>
      </c>
      <c r="D11350" s="15">
        <f>IFERROR(__xludf.DUMMYFUNCTION("""COMPUTED_VALUE"""),1.082)</f>
        <v>1.082</v>
      </c>
      <c r="E11350" s="16">
        <f>IFERROR(__xludf.DUMMYFUNCTION("""COMPUTED_VALUE"""),68.0)</f>
        <v>68</v>
      </c>
      <c r="F11350" s="19" t="str">
        <f>IFERROR(__xludf.DUMMYFUNCTION("""COMPUTED_VALUE"""),"BLACK")</f>
        <v>BLACK</v>
      </c>
      <c r="G11350" s="20" t="str">
        <f>IFERROR(__xludf.DUMMYFUNCTION("""COMPUTED_VALUE"""),"Uncle Sams Cider (04/04/2023)")</f>
        <v>Uncle Sams Cider (04/04/2023)</v>
      </c>
      <c r="H11350" s="19"/>
    </row>
    <row r="11351">
      <c r="A11351" s="9"/>
      <c r="B11351" s="15"/>
      <c r="C11351" s="9">
        <f>IFERROR(__xludf.DUMMYFUNCTION("""COMPUTED_VALUE"""),45025.0711211226)</f>
        <v>45025.07112</v>
      </c>
      <c r="D11351" s="15">
        <f>IFERROR(__xludf.DUMMYFUNCTION("""COMPUTED_VALUE"""),1.082)</f>
        <v>1.082</v>
      </c>
      <c r="E11351" s="16">
        <f>IFERROR(__xludf.DUMMYFUNCTION("""COMPUTED_VALUE"""),68.0)</f>
        <v>68</v>
      </c>
      <c r="F11351" s="19" t="str">
        <f>IFERROR(__xludf.DUMMYFUNCTION("""COMPUTED_VALUE"""),"BLACK")</f>
        <v>BLACK</v>
      </c>
      <c r="G11351" s="20" t="str">
        <f>IFERROR(__xludf.DUMMYFUNCTION("""COMPUTED_VALUE"""),"Uncle Sams Cider (04/04/2023)")</f>
        <v>Uncle Sams Cider (04/04/2023)</v>
      </c>
      <c r="H11351" s="19"/>
    </row>
    <row r="11352">
      <c r="A11352" s="9"/>
      <c r="B11352" s="15"/>
      <c r="C11352" s="9">
        <f>IFERROR(__xludf.DUMMYFUNCTION("""COMPUTED_VALUE"""),45025.0607015856)</f>
        <v>45025.0607</v>
      </c>
      <c r="D11352" s="15">
        <f>IFERROR(__xludf.DUMMYFUNCTION("""COMPUTED_VALUE"""),1.082)</f>
        <v>1.082</v>
      </c>
      <c r="E11352" s="16">
        <f>IFERROR(__xludf.DUMMYFUNCTION("""COMPUTED_VALUE"""),68.0)</f>
        <v>68</v>
      </c>
      <c r="F11352" s="19" t="str">
        <f>IFERROR(__xludf.DUMMYFUNCTION("""COMPUTED_VALUE"""),"BLACK")</f>
        <v>BLACK</v>
      </c>
      <c r="G11352" s="20" t="str">
        <f>IFERROR(__xludf.DUMMYFUNCTION("""COMPUTED_VALUE"""),"Uncle Sams Cider (04/04/2023)")</f>
        <v>Uncle Sams Cider (04/04/2023)</v>
      </c>
      <c r="H11352" s="19"/>
    </row>
    <row r="11353">
      <c r="A11353" s="9"/>
      <c r="B11353" s="15"/>
      <c r="C11353" s="9">
        <f>IFERROR(__xludf.DUMMYFUNCTION("""COMPUTED_VALUE"""),45025.0502676504)</f>
        <v>45025.05027</v>
      </c>
      <c r="D11353" s="15">
        <f>IFERROR(__xludf.DUMMYFUNCTION("""COMPUTED_VALUE"""),1.082)</f>
        <v>1.082</v>
      </c>
      <c r="E11353" s="16">
        <f>IFERROR(__xludf.DUMMYFUNCTION("""COMPUTED_VALUE"""),68.0)</f>
        <v>68</v>
      </c>
      <c r="F11353" s="19" t="str">
        <f>IFERROR(__xludf.DUMMYFUNCTION("""COMPUTED_VALUE"""),"BLACK")</f>
        <v>BLACK</v>
      </c>
      <c r="G11353" s="20" t="str">
        <f>IFERROR(__xludf.DUMMYFUNCTION("""COMPUTED_VALUE"""),"Uncle Sams Cider (04/04/2023)")</f>
        <v>Uncle Sams Cider (04/04/2023)</v>
      </c>
      <c r="H11353" s="19"/>
    </row>
    <row r="11354">
      <c r="A11354" s="9"/>
      <c r="B11354" s="15"/>
      <c r="C11354" s="9">
        <f>IFERROR(__xludf.DUMMYFUNCTION("""COMPUTED_VALUE"""),45025.0398455324)</f>
        <v>45025.03985</v>
      </c>
      <c r="D11354" s="15">
        <f>IFERROR(__xludf.DUMMYFUNCTION("""COMPUTED_VALUE"""),1.083)</f>
        <v>1.083</v>
      </c>
      <c r="E11354" s="16">
        <f>IFERROR(__xludf.DUMMYFUNCTION("""COMPUTED_VALUE"""),68.0)</f>
        <v>68</v>
      </c>
      <c r="F11354" s="19" t="str">
        <f>IFERROR(__xludf.DUMMYFUNCTION("""COMPUTED_VALUE"""),"BLACK")</f>
        <v>BLACK</v>
      </c>
      <c r="G11354" s="20" t="str">
        <f>IFERROR(__xludf.DUMMYFUNCTION("""COMPUTED_VALUE"""),"Uncle Sams Cider (04/04/2023)")</f>
        <v>Uncle Sams Cider (04/04/2023)</v>
      </c>
      <c r="H11354" s="19"/>
    </row>
    <row r="11355">
      <c r="A11355" s="9"/>
      <c r="B11355" s="15"/>
      <c r="C11355" s="9">
        <f>IFERROR(__xludf.DUMMYFUNCTION("""COMPUTED_VALUE"""),45025.0294241898)</f>
        <v>45025.02942</v>
      </c>
      <c r="D11355" s="15">
        <f>IFERROR(__xludf.DUMMYFUNCTION("""COMPUTED_VALUE"""),1.082)</f>
        <v>1.082</v>
      </c>
      <c r="E11355" s="16">
        <f>IFERROR(__xludf.DUMMYFUNCTION("""COMPUTED_VALUE"""),68.0)</f>
        <v>68</v>
      </c>
      <c r="F11355" s="19" t="str">
        <f>IFERROR(__xludf.DUMMYFUNCTION("""COMPUTED_VALUE"""),"BLACK")</f>
        <v>BLACK</v>
      </c>
      <c r="G11355" s="20" t="str">
        <f>IFERROR(__xludf.DUMMYFUNCTION("""COMPUTED_VALUE"""),"Uncle Sams Cider (04/04/2023)")</f>
        <v>Uncle Sams Cider (04/04/2023)</v>
      </c>
      <c r="H11355" s="19"/>
    </row>
    <row r="11356">
      <c r="A11356" s="9"/>
      <c r="B11356" s="15"/>
      <c r="C11356" s="9">
        <f>IFERROR(__xludf.DUMMYFUNCTION("""COMPUTED_VALUE"""),45025.0189791203)</f>
        <v>45025.01898</v>
      </c>
      <c r="D11356" s="15">
        <f>IFERROR(__xludf.DUMMYFUNCTION("""COMPUTED_VALUE"""),1.082)</f>
        <v>1.082</v>
      </c>
      <c r="E11356" s="16">
        <f>IFERROR(__xludf.DUMMYFUNCTION("""COMPUTED_VALUE"""),68.0)</f>
        <v>68</v>
      </c>
      <c r="F11356" s="19" t="str">
        <f>IFERROR(__xludf.DUMMYFUNCTION("""COMPUTED_VALUE"""),"BLACK")</f>
        <v>BLACK</v>
      </c>
      <c r="G11356" s="20" t="str">
        <f>IFERROR(__xludf.DUMMYFUNCTION("""COMPUTED_VALUE"""),"Uncle Sams Cider (04/04/2023)")</f>
        <v>Uncle Sams Cider (04/04/2023)</v>
      </c>
      <c r="H11356" s="19"/>
    </row>
    <row r="11357">
      <c r="A11357" s="9"/>
      <c r="B11357" s="15"/>
      <c r="C11357" s="9">
        <f>IFERROR(__xludf.DUMMYFUNCTION("""COMPUTED_VALUE"""),45025.0085571527)</f>
        <v>45025.00856</v>
      </c>
      <c r="D11357" s="15">
        <f>IFERROR(__xludf.DUMMYFUNCTION("""COMPUTED_VALUE"""),1.083)</f>
        <v>1.083</v>
      </c>
      <c r="E11357" s="16">
        <f>IFERROR(__xludf.DUMMYFUNCTION("""COMPUTED_VALUE"""),68.0)</f>
        <v>68</v>
      </c>
      <c r="F11357" s="19" t="str">
        <f>IFERROR(__xludf.DUMMYFUNCTION("""COMPUTED_VALUE"""),"BLACK")</f>
        <v>BLACK</v>
      </c>
      <c r="G11357" s="20" t="str">
        <f>IFERROR(__xludf.DUMMYFUNCTION("""COMPUTED_VALUE"""),"Uncle Sams Cider (04/04/2023)")</f>
        <v>Uncle Sams Cider (04/04/2023)</v>
      </c>
      <c r="H11357" s="19"/>
    </row>
    <row r="11358">
      <c r="A11358" s="9"/>
      <c r="B11358" s="15"/>
      <c r="C11358" s="9">
        <f>IFERROR(__xludf.DUMMYFUNCTION("""COMPUTED_VALUE"""),45024.9981338541)</f>
        <v>45024.99813</v>
      </c>
      <c r="D11358" s="15">
        <f>IFERROR(__xludf.DUMMYFUNCTION("""COMPUTED_VALUE"""),1.083)</f>
        <v>1.083</v>
      </c>
      <c r="E11358" s="16">
        <f>IFERROR(__xludf.DUMMYFUNCTION("""COMPUTED_VALUE"""),68.0)</f>
        <v>68</v>
      </c>
      <c r="F11358" s="19" t="str">
        <f>IFERROR(__xludf.DUMMYFUNCTION("""COMPUTED_VALUE"""),"BLACK")</f>
        <v>BLACK</v>
      </c>
      <c r="G11358" s="20" t="str">
        <f>IFERROR(__xludf.DUMMYFUNCTION("""COMPUTED_VALUE"""),"Uncle Sams Cider (04/04/2023)")</f>
        <v>Uncle Sams Cider (04/04/2023)</v>
      </c>
      <c r="H11358" s="19"/>
    </row>
    <row r="11359">
      <c r="A11359" s="9"/>
      <c r="B11359" s="15"/>
      <c r="C11359" s="9">
        <f>IFERROR(__xludf.DUMMYFUNCTION("""COMPUTED_VALUE"""),45024.9877124421)</f>
        <v>45024.98771</v>
      </c>
      <c r="D11359" s="15">
        <f>IFERROR(__xludf.DUMMYFUNCTION("""COMPUTED_VALUE"""),1.083)</f>
        <v>1.083</v>
      </c>
      <c r="E11359" s="16">
        <f>IFERROR(__xludf.DUMMYFUNCTION("""COMPUTED_VALUE"""),68.0)</f>
        <v>68</v>
      </c>
      <c r="F11359" s="19" t="str">
        <f>IFERROR(__xludf.DUMMYFUNCTION("""COMPUTED_VALUE"""),"BLACK")</f>
        <v>BLACK</v>
      </c>
      <c r="G11359" s="20" t="str">
        <f>IFERROR(__xludf.DUMMYFUNCTION("""COMPUTED_VALUE"""),"Uncle Sams Cider (04/04/2023)")</f>
        <v>Uncle Sams Cider (04/04/2023)</v>
      </c>
      <c r="H11359" s="19"/>
    </row>
    <row r="11360">
      <c r="A11360" s="9"/>
      <c r="B11360" s="15"/>
      <c r="C11360" s="9">
        <f>IFERROR(__xludf.DUMMYFUNCTION("""COMPUTED_VALUE"""),45024.977290868)</f>
        <v>45024.97729</v>
      </c>
      <c r="D11360" s="15">
        <f>IFERROR(__xludf.DUMMYFUNCTION("""COMPUTED_VALUE"""),1.083)</f>
        <v>1.083</v>
      </c>
      <c r="E11360" s="16">
        <f>IFERROR(__xludf.DUMMYFUNCTION("""COMPUTED_VALUE"""),68.0)</f>
        <v>68</v>
      </c>
      <c r="F11360" s="19" t="str">
        <f>IFERROR(__xludf.DUMMYFUNCTION("""COMPUTED_VALUE"""),"BLACK")</f>
        <v>BLACK</v>
      </c>
      <c r="G11360" s="20" t="str">
        <f>IFERROR(__xludf.DUMMYFUNCTION("""COMPUTED_VALUE"""),"Uncle Sams Cider (04/04/2023)")</f>
        <v>Uncle Sams Cider (04/04/2023)</v>
      </c>
      <c r="H11360" s="19"/>
    </row>
    <row r="11361">
      <c r="A11361" s="9"/>
      <c r="B11361" s="15"/>
      <c r="C11361" s="9">
        <f>IFERROR(__xludf.DUMMYFUNCTION("""COMPUTED_VALUE"""),45024.9668579282)</f>
        <v>45024.96686</v>
      </c>
      <c r="D11361" s="15">
        <f>IFERROR(__xludf.DUMMYFUNCTION("""COMPUTED_VALUE"""),1.083)</f>
        <v>1.083</v>
      </c>
      <c r="E11361" s="16">
        <f>IFERROR(__xludf.DUMMYFUNCTION("""COMPUTED_VALUE"""),68.0)</f>
        <v>68</v>
      </c>
      <c r="F11361" s="19" t="str">
        <f>IFERROR(__xludf.DUMMYFUNCTION("""COMPUTED_VALUE"""),"BLACK")</f>
        <v>BLACK</v>
      </c>
      <c r="G11361" s="20" t="str">
        <f>IFERROR(__xludf.DUMMYFUNCTION("""COMPUTED_VALUE"""),"Uncle Sams Cider (04/04/2023)")</f>
        <v>Uncle Sams Cider (04/04/2023)</v>
      </c>
      <c r="H11361" s="19"/>
    </row>
    <row r="11362">
      <c r="A11362" s="9"/>
      <c r="B11362" s="15"/>
      <c r="C11362" s="9">
        <f>IFERROR(__xludf.DUMMYFUNCTION("""COMPUTED_VALUE"""),45024.9564259143)</f>
        <v>45024.95643</v>
      </c>
      <c r="D11362" s="15">
        <f>IFERROR(__xludf.DUMMYFUNCTION("""COMPUTED_VALUE"""),1.083)</f>
        <v>1.083</v>
      </c>
      <c r="E11362" s="16">
        <f>IFERROR(__xludf.DUMMYFUNCTION("""COMPUTED_VALUE"""),68.0)</f>
        <v>68</v>
      </c>
      <c r="F11362" s="19" t="str">
        <f>IFERROR(__xludf.DUMMYFUNCTION("""COMPUTED_VALUE"""),"BLACK")</f>
        <v>BLACK</v>
      </c>
      <c r="G11362" s="20" t="str">
        <f>IFERROR(__xludf.DUMMYFUNCTION("""COMPUTED_VALUE"""),"Uncle Sams Cider (04/04/2023)")</f>
        <v>Uncle Sams Cider (04/04/2023)</v>
      </c>
      <c r="H11362" s="19"/>
    </row>
    <row r="11363">
      <c r="A11363" s="9"/>
      <c r="B11363" s="15"/>
      <c r="C11363" s="9">
        <f>IFERROR(__xludf.DUMMYFUNCTION("""COMPUTED_VALUE"""),45024.9459692824)</f>
        <v>45024.94597</v>
      </c>
      <c r="D11363" s="15">
        <f>IFERROR(__xludf.DUMMYFUNCTION("""COMPUTED_VALUE"""),1.083)</f>
        <v>1.083</v>
      </c>
      <c r="E11363" s="16">
        <f>IFERROR(__xludf.DUMMYFUNCTION("""COMPUTED_VALUE"""),68.0)</f>
        <v>68</v>
      </c>
      <c r="F11363" s="19" t="str">
        <f>IFERROR(__xludf.DUMMYFUNCTION("""COMPUTED_VALUE"""),"BLACK")</f>
        <v>BLACK</v>
      </c>
      <c r="G11363" s="20" t="str">
        <f>IFERROR(__xludf.DUMMYFUNCTION("""COMPUTED_VALUE"""),"Uncle Sams Cider (04/04/2023)")</f>
        <v>Uncle Sams Cider (04/04/2023)</v>
      </c>
      <c r="H11363" s="19"/>
    </row>
    <row r="11364">
      <c r="A11364" s="9"/>
      <c r="B11364" s="15"/>
      <c r="C11364" s="9">
        <f>IFERROR(__xludf.DUMMYFUNCTION("""COMPUTED_VALUE"""),45024.9355474305)</f>
        <v>45024.93555</v>
      </c>
      <c r="D11364" s="15">
        <f>IFERROR(__xludf.DUMMYFUNCTION("""COMPUTED_VALUE"""),1.083)</f>
        <v>1.083</v>
      </c>
      <c r="E11364" s="16">
        <f>IFERROR(__xludf.DUMMYFUNCTION("""COMPUTED_VALUE"""),68.0)</f>
        <v>68</v>
      </c>
      <c r="F11364" s="19" t="str">
        <f>IFERROR(__xludf.DUMMYFUNCTION("""COMPUTED_VALUE"""),"BLACK")</f>
        <v>BLACK</v>
      </c>
      <c r="G11364" s="20" t="str">
        <f>IFERROR(__xludf.DUMMYFUNCTION("""COMPUTED_VALUE"""),"Uncle Sams Cider (04/04/2023)")</f>
        <v>Uncle Sams Cider (04/04/2023)</v>
      </c>
      <c r="H11364" s="19"/>
    </row>
    <row r="11365">
      <c r="A11365" s="9"/>
      <c r="B11365" s="15"/>
      <c r="C11365" s="9">
        <f>IFERROR(__xludf.DUMMYFUNCTION("""COMPUTED_VALUE"""),45024.9251261111)</f>
        <v>45024.92513</v>
      </c>
      <c r="D11365" s="15">
        <f>IFERROR(__xludf.DUMMYFUNCTION("""COMPUTED_VALUE"""),1.083)</f>
        <v>1.083</v>
      </c>
      <c r="E11365" s="16">
        <f>IFERROR(__xludf.DUMMYFUNCTION("""COMPUTED_VALUE"""),68.0)</f>
        <v>68</v>
      </c>
      <c r="F11365" s="19" t="str">
        <f>IFERROR(__xludf.DUMMYFUNCTION("""COMPUTED_VALUE"""),"BLACK")</f>
        <v>BLACK</v>
      </c>
      <c r="G11365" s="20" t="str">
        <f>IFERROR(__xludf.DUMMYFUNCTION("""COMPUTED_VALUE"""),"Uncle Sams Cider (04/04/2023)")</f>
        <v>Uncle Sams Cider (04/04/2023)</v>
      </c>
      <c r="H11365" s="19"/>
    </row>
    <row r="11366">
      <c r="A11366" s="9"/>
      <c r="B11366" s="15"/>
      <c r="C11366" s="9">
        <f>IFERROR(__xludf.DUMMYFUNCTION("""COMPUTED_VALUE"""),45024.9146928703)</f>
        <v>45024.91469</v>
      </c>
      <c r="D11366" s="15">
        <f>IFERROR(__xludf.DUMMYFUNCTION("""COMPUTED_VALUE"""),1.083)</f>
        <v>1.083</v>
      </c>
      <c r="E11366" s="16">
        <f>IFERROR(__xludf.DUMMYFUNCTION("""COMPUTED_VALUE"""),68.0)</f>
        <v>68</v>
      </c>
      <c r="F11366" s="19" t="str">
        <f>IFERROR(__xludf.DUMMYFUNCTION("""COMPUTED_VALUE"""),"BLACK")</f>
        <v>BLACK</v>
      </c>
      <c r="G11366" s="20" t="str">
        <f>IFERROR(__xludf.DUMMYFUNCTION("""COMPUTED_VALUE"""),"Uncle Sams Cider (04/04/2023)")</f>
        <v>Uncle Sams Cider (04/04/2023)</v>
      </c>
      <c r="H11366" s="19"/>
    </row>
    <row r="11367">
      <c r="A11367" s="9"/>
      <c r="B11367" s="15"/>
      <c r="C11367" s="9">
        <f>IFERROR(__xludf.DUMMYFUNCTION("""COMPUTED_VALUE"""),45024.9042610648)</f>
        <v>45024.90426</v>
      </c>
      <c r="D11367" s="15">
        <f>IFERROR(__xludf.DUMMYFUNCTION("""COMPUTED_VALUE"""),1.083)</f>
        <v>1.083</v>
      </c>
      <c r="E11367" s="16">
        <f>IFERROR(__xludf.DUMMYFUNCTION("""COMPUTED_VALUE"""),68.0)</f>
        <v>68</v>
      </c>
      <c r="F11367" s="19" t="str">
        <f>IFERROR(__xludf.DUMMYFUNCTION("""COMPUTED_VALUE"""),"BLACK")</f>
        <v>BLACK</v>
      </c>
      <c r="G11367" s="20" t="str">
        <f>IFERROR(__xludf.DUMMYFUNCTION("""COMPUTED_VALUE"""),"Uncle Sams Cider (04/04/2023)")</f>
        <v>Uncle Sams Cider (04/04/2023)</v>
      </c>
      <c r="H11367" s="19"/>
    </row>
    <row r="11368">
      <c r="A11368" s="9"/>
      <c r="B11368" s="15"/>
      <c r="C11368" s="9">
        <f>IFERROR(__xludf.DUMMYFUNCTION("""COMPUTED_VALUE"""),45024.8938396643)</f>
        <v>45024.89384</v>
      </c>
      <c r="D11368" s="15">
        <f>IFERROR(__xludf.DUMMYFUNCTION("""COMPUTED_VALUE"""),1.083)</f>
        <v>1.083</v>
      </c>
      <c r="E11368" s="16">
        <f>IFERROR(__xludf.DUMMYFUNCTION("""COMPUTED_VALUE"""),68.0)</f>
        <v>68</v>
      </c>
      <c r="F11368" s="19" t="str">
        <f>IFERROR(__xludf.DUMMYFUNCTION("""COMPUTED_VALUE"""),"BLACK")</f>
        <v>BLACK</v>
      </c>
      <c r="G11368" s="20" t="str">
        <f>IFERROR(__xludf.DUMMYFUNCTION("""COMPUTED_VALUE"""),"Uncle Sams Cider (04/04/2023)")</f>
        <v>Uncle Sams Cider (04/04/2023)</v>
      </c>
      <c r="H11368" s="19"/>
    </row>
    <row r="11369">
      <c r="A11369" s="9"/>
      <c r="B11369" s="15"/>
      <c r="C11369" s="9">
        <f>IFERROR(__xludf.DUMMYFUNCTION("""COMPUTED_VALUE"""),45024.8834201504)</f>
        <v>45024.88342</v>
      </c>
      <c r="D11369" s="15">
        <f>IFERROR(__xludf.DUMMYFUNCTION("""COMPUTED_VALUE"""),1.084)</f>
        <v>1.084</v>
      </c>
      <c r="E11369" s="16">
        <f>IFERROR(__xludf.DUMMYFUNCTION("""COMPUTED_VALUE"""),68.0)</f>
        <v>68</v>
      </c>
      <c r="F11369" s="19" t="str">
        <f>IFERROR(__xludf.DUMMYFUNCTION("""COMPUTED_VALUE"""),"BLACK")</f>
        <v>BLACK</v>
      </c>
      <c r="G11369" s="20" t="str">
        <f>IFERROR(__xludf.DUMMYFUNCTION("""COMPUTED_VALUE"""),"Uncle Sams Cider (04/04/2023)")</f>
        <v>Uncle Sams Cider (04/04/2023)</v>
      </c>
      <c r="H11369" s="19"/>
    </row>
    <row r="11370">
      <c r="A11370" s="9"/>
      <c r="B11370" s="15"/>
      <c r="C11370" s="9">
        <f>IFERROR(__xludf.DUMMYFUNCTION("""COMPUTED_VALUE"""),45024.8729993518)</f>
        <v>45024.873</v>
      </c>
      <c r="D11370" s="15">
        <f>IFERROR(__xludf.DUMMYFUNCTION("""COMPUTED_VALUE"""),1.083)</f>
        <v>1.083</v>
      </c>
      <c r="E11370" s="16">
        <f>IFERROR(__xludf.DUMMYFUNCTION("""COMPUTED_VALUE"""),68.0)</f>
        <v>68</v>
      </c>
      <c r="F11370" s="19" t="str">
        <f>IFERROR(__xludf.DUMMYFUNCTION("""COMPUTED_VALUE"""),"BLACK")</f>
        <v>BLACK</v>
      </c>
      <c r="G11370" s="20" t="str">
        <f>IFERROR(__xludf.DUMMYFUNCTION("""COMPUTED_VALUE"""),"Uncle Sams Cider (04/04/2023)")</f>
        <v>Uncle Sams Cider (04/04/2023)</v>
      </c>
      <c r="H11370" s="19"/>
    </row>
    <row r="11371">
      <c r="A11371" s="9"/>
      <c r="B11371" s="15"/>
      <c r="C11371" s="9">
        <f>IFERROR(__xludf.DUMMYFUNCTION("""COMPUTED_VALUE"""),45024.8625778587)</f>
        <v>45024.86258</v>
      </c>
      <c r="D11371" s="15">
        <f>IFERROR(__xludf.DUMMYFUNCTION("""COMPUTED_VALUE"""),1.084)</f>
        <v>1.084</v>
      </c>
      <c r="E11371" s="16">
        <f>IFERROR(__xludf.DUMMYFUNCTION("""COMPUTED_VALUE"""),68.0)</f>
        <v>68</v>
      </c>
      <c r="F11371" s="19" t="str">
        <f>IFERROR(__xludf.DUMMYFUNCTION("""COMPUTED_VALUE"""),"BLACK")</f>
        <v>BLACK</v>
      </c>
      <c r="G11371" s="20" t="str">
        <f>IFERROR(__xludf.DUMMYFUNCTION("""COMPUTED_VALUE"""),"Uncle Sams Cider (04/04/2023)")</f>
        <v>Uncle Sams Cider (04/04/2023)</v>
      </c>
      <c r="H11371" s="19"/>
    </row>
    <row r="11372">
      <c r="A11372" s="9"/>
      <c r="B11372" s="15"/>
      <c r="C11372" s="9">
        <f>IFERROR(__xludf.DUMMYFUNCTION("""COMPUTED_VALUE"""),45024.8521573842)</f>
        <v>45024.85216</v>
      </c>
      <c r="D11372" s="15">
        <f>IFERROR(__xludf.DUMMYFUNCTION("""COMPUTED_VALUE"""),1.084)</f>
        <v>1.084</v>
      </c>
      <c r="E11372" s="16">
        <f>IFERROR(__xludf.DUMMYFUNCTION("""COMPUTED_VALUE"""),68.0)</f>
        <v>68</v>
      </c>
      <c r="F11372" s="19" t="str">
        <f>IFERROR(__xludf.DUMMYFUNCTION("""COMPUTED_VALUE"""),"BLACK")</f>
        <v>BLACK</v>
      </c>
      <c r="G11372" s="20" t="str">
        <f>IFERROR(__xludf.DUMMYFUNCTION("""COMPUTED_VALUE"""),"Uncle Sams Cider (04/04/2023)")</f>
        <v>Uncle Sams Cider (04/04/2023)</v>
      </c>
      <c r="H11372" s="19"/>
    </row>
    <row r="11373">
      <c r="A11373" s="9"/>
      <c r="B11373" s="15"/>
      <c r="C11373" s="9">
        <f>IFERROR(__xludf.DUMMYFUNCTION("""COMPUTED_VALUE"""),45024.8417370949)</f>
        <v>45024.84174</v>
      </c>
      <c r="D11373" s="15">
        <f>IFERROR(__xludf.DUMMYFUNCTION("""COMPUTED_VALUE"""),1.083)</f>
        <v>1.083</v>
      </c>
      <c r="E11373" s="16">
        <f>IFERROR(__xludf.DUMMYFUNCTION("""COMPUTED_VALUE"""),68.0)</f>
        <v>68</v>
      </c>
      <c r="F11373" s="19" t="str">
        <f>IFERROR(__xludf.DUMMYFUNCTION("""COMPUTED_VALUE"""),"BLACK")</f>
        <v>BLACK</v>
      </c>
      <c r="G11373" s="20" t="str">
        <f>IFERROR(__xludf.DUMMYFUNCTION("""COMPUTED_VALUE"""),"Uncle Sams Cider (04/04/2023)")</f>
        <v>Uncle Sams Cider (04/04/2023)</v>
      </c>
      <c r="H11373" s="19"/>
    </row>
    <row r="11374">
      <c r="A11374" s="9"/>
      <c r="B11374" s="15"/>
      <c r="C11374" s="9">
        <f>IFERROR(__xludf.DUMMYFUNCTION("""COMPUTED_VALUE"""),45024.8313159722)</f>
        <v>45024.83132</v>
      </c>
      <c r="D11374" s="15">
        <f>IFERROR(__xludf.DUMMYFUNCTION("""COMPUTED_VALUE"""),1.084)</f>
        <v>1.084</v>
      </c>
      <c r="E11374" s="16">
        <f>IFERROR(__xludf.DUMMYFUNCTION("""COMPUTED_VALUE"""),68.0)</f>
        <v>68</v>
      </c>
      <c r="F11374" s="19" t="str">
        <f>IFERROR(__xludf.DUMMYFUNCTION("""COMPUTED_VALUE"""),"BLACK")</f>
        <v>BLACK</v>
      </c>
      <c r="G11374" s="20" t="str">
        <f>IFERROR(__xludf.DUMMYFUNCTION("""COMPUTED_VALUE"""),"Uncle Sams Cider (04/04/2023)")</f>
        <v>Uncle Sams Cider (04/04/2023)</v>
      </c>
      <c r="H11374" s="19"/>
    </row>
    <row r="11375">
      <c r="A11375" s="9"/>
      <c r="B11375" s="15"/>
      <c r="C11375" s="9">
        <f>IFERROR(__xludf.DUMMYFUNCTION("""COMPUTED_VALUE"""),45024.8208838657)</f>
        <v>45024.82088</v>
      </c>
      <c r="D11375" s="15">
        <f>IFERROR(__xludf.DUMMYFUNCTION("""COMPUTED_VALUE"""),1.084)</f>
        <v>1.084</v>
      </c>
      <c r="E11375" s="16">
        <f>IFERROR(__xludf.DUMMYFUNCTION("""COMPUTED_VALUE"""),68.0)</f>
        <v>68</v>
      </c>
      <c r="F11375" s="19" t="str">
        <f>IFERROR(__xludf.DUMMYFUNCTION("""COMPUTED_VALUE"""),"BLACK")</f>
        <v>BLACK</v>
      </c>
      <c r="G11375" s="20" t="str">
        <f>IFERROR(__xludf.DUMMYFUNCTION("""COMPUTED_VALUE"""),"Uncle Sams Cider (04/04/2023)")</f>
        <v>Uncle Sams Cider (04/04/2023)</v>
      </c>
      <c r="H11375" s="19"/>
    </row>
    <row r="11376">
      <c r="A11376" s="9"/>
      <c r="B11376" s="15"/>
      <c r="C11376" s="9">
        <f>IFERROR(__xludf.DUMMYFUNCTION("""COMPUTED_VALUE"""),45024.8104615856)</f>
        <v>45024.81046</v>
      </c>
      <c r="D11376" s="15">
        <f>IFERROR(__xludf.DUMMYFUNCTION("""COMPUTED_VALUE"""),1.084)</f>
        <v>1.084</v>
      </c>
      <c r="E11376" s="16">
        <f>IFERROR(__xludf.DUMMYFUNCTION("""COMPUTED_VALUE"""),68.0)</f>
        <v>68</v>
      </c>
      <c r="F11376" s="19" t="str">
        <f>IFERROR(__xludf.DUMMYFUNCTION("""COMPUTED_VALUE"""),"BLACK")</f>
        <v>BLACK</v>
      </c>
      <c r="G11376" s="20" t="str">
        <f>IFERROR(__xludf.DUMMYFUNCTION("""COMPUTED_VALUE"""),"Uncle Sams Cider (04/04/2023)")</f>
        <v>Uncle Sams Cider (04/04/2023)</v>
      </c>
      <c r="H11376" s="19"/>
    </row>
    <row r="11377">
      <c r="A11377" s="9"/>
      <c r="B11377" s="15"/>
      <c r="C11377" s="9">
        <f>IFERROR(__xludf.DUMMYFUNCTION("""COMPUTED_VALUE"""),45024.8000400694)</f>
        <v>45024.80004</v>
      </c>
      <c r="D11377" s="15">
        <f>IFERROR(__xludf.DUMMYFUNCTION("""COMPUTED_VALUE"""),1.084)</f>
        <v>1.084</v>
      </c>
      <c r="E11377" s="16">
        <f>IFERROR(__xludf.DUMMYFUNCTION("""COMPUTED_VALUE"""),68.0)</f>
        <v>68</v>
      </c>
      <c r="F11377" s="19" t="str">
        <f>IFERROR(__xludf.DUMMYFUNCTION("""COMPUTED_VALUE"""),"BLACK")</f>
        <v>BLACK</v>
      </c>
      <c r="G11377" s="20" t="str">
        <f>IFERROR(__xludf.DUMMYFUNCTION("""COMPUTED_VALUE"""),"Uncle Sams Cider (04/04/2023)")</f>
        <v>Uncle Sams Cider (04/04/2023)</v>
      </c>
      <c r="H11377" s="19"/>
    </row>
    <row r="11378">
      <c r="A11378" s="9"/>
      <c r="B11378" s="15"/>
      <c r="C11378" s="9">
        <f>IFERROR(__xludf.DUMMYFUNCTION("""COMPUTED_VALUE"""),45024.7896194328)</f>
        <v>45024.78962</v>
      </c>
      <c r="D11378" s="15">
        <f>IFERROR(__xludf.DUMMYFUNCTION("""COMPUTED_VALUE"""),1.084)</f>
        <v>1.084</v>
      </c>
      <c r="E11378" s="16">
        <f>IFERROR(__xludf.DUMMYFUNCTION("""COMPUTED_VALUE"""),68.0)</f>
        <v>68</v>
      </c>
      <c r="F11378" s="19" t="str">
        <f>IFERROR(__xludf.DUMMYFUNCTION("""COMPUTED_VALUE"""),"BLACK")</f>
        <v>BLACK</v>
      </c>
      <c r="G11378" s="20" t="str">
        <f>IFERROR(__xludf.DUMMYFUNCTION("""COMPUTED_VALUE"""),"Uncle Sams Cider (04/04/2023)")</f>
        <v>Uncle Sams Cider (04/04/2023)</v>
      </c>
      <c r="H11378" s="19"/>
    </row>
    <row r="11379">
      <c r="A11379" s="9"/>
      <c r="B11379" s="15"/>
      <c r="C11379" s="9">
        <f>IFERROR(__xludf.DUMMYFUNCTION("""COMPUTED_VALUE"""),45024.7791990277)</f>
        <v>45024.7792</v>
      </c>
      <c r="D11379" s="15">
        <f>IFERROR(__xludf.DUMMYFUNCTION("""COMPUTED_VALUE"""),1.084)</f>
        <v>1.084</v>
      </c>
      <c r="E11379" s="16">
        <f>IFERROR(__xludf.DUMMYFUNCTION("""COMPUTED_VALUE"""),68.0)</f>
        <v>68</v>
      </c>
      <c r="F11379" s="19" t="str">
        <f>IFERROR(__xludf.DUMMYFUNCTION("""COMPUTED_VALUE"""),"BLACK")</f>
        <v>BLACK</v>
      </c>
      <c r="G11379" s="20" t="str">
        <f>IFERROR(__xludf.DUMMYFUNCTION("""COMPUTED_VALUE"""),"Uncle Sams Cider (04/04/2023)")</f>
        <v>Uncle Sams Cider (04/04/2023)</v>
      </c>
      <c r="H11379" s="19"/>
    </row>
    <row r="11380">
      <c r="A11380" s="9"/>
      <c r="B11380" s="15"/>
      <c r="C11380" s="9">
        <f>IFERROR(__xludf.DUMMYFUNCTION("""COMPUTED_VALUE"""),45024.7687752546)</f>
        <v>45024.76878</v>
      </c>
      <c r="D11380" s="15">
        <f>IFERROR(__xludf.DUMMYFUNCTION("""COMPUTED_VALUE"""),1.084)</f>
        <v>1.084</v>
      </c>
      <c r="E11380" s="16">
        <f>IFERROR(__xludf.DUMMYFUNCTION("""COMPUTED_VALUE"""),68.0)</f>
        <v>68</v>
      </c>
      <c r="F11380" s="19" t="str">
        <f>IFERROR(__xludf.DUMMYFUNCTION("""COMPUTED_VALUE"""),"BLACK")</f>
        <v>BLACK</v>
      </c>
      <c r="G11380" s="20" t="str">
        <f>IFERROR(__xludf.DUMMYFUNCTION("""COMPUTED_VALUE"""),"Uncle Sams Cider (04/04/2023)")</f>
        <v>Uncle Sams Cider (04/04/2023)</v>
      </c>
      <c r="H11380" s="19"/>
    </row>
    <row r="11381">
      <c r="A11381" s="9"/>
      <c r="B11381" s="15"/>
      <c r="C11381" s="9">
        <f>IFERROR(__xludf.DUMMYFUNCTION("""COMPUTED_VALUE"""),45024.7583539004)</f>
        <v>45024.75835</v>
      </c>
      <c r="D11381" s="15">
        <f>IFERROR(__xludf.DUMMYFUNCTION("""COMPUTED_VALUE"""),1.084)</f>
        <v>1.084</v>
      </c>
      <c r="E11381" s="16">
        <f>IFERROR(__xludf.DUMMYFUNCTION("""COMPUTED_VALUE"""),68.0)</f>
        <v>68</v>
      </c>
      <c r="F11381" s="19" t="str">
        <f>IFERROR(__xludf.DUMMYFUNCTION("""COMPUTED_VALUE"""),"BLACK")</f>
        <v>BLACK</v>
      </c>
      <c r="G11381" s="20" t="str">
        <f>IFERROR(__xludf.DUMMYFUNCTION("""COMPUTED_VALUE"""),"Uncle Sams Cider (04/04/2023)")</f>
        <v>Uncle Sams Cider (04/04/2023)</v>
      </c>
      <c r="H11381" s="19"/>
    </row>
    <row r="11382">
      <c r="A11382" s="9"/>
      <c r="B11382" s="15"/>
      <c r="C11382" s="9">
        <f>IFERROR(__xludf.DUMMYFUNCTION("""COMPUTED_VALUE"""),45024.7479205787)</f>
        <v>45024.74792</v>
      </c>
      <c r="D11382" s="15">
        <f>IFERROR(__xludf.DUMMYFUNCTION("""COMPUTED_VALUE"""),1.085)</f>
        <v>1.085</v>
      </c>
      <c r="E11382" s="16">
        <f>IFERROR(__xludf.DUMMYFUNCTION("""COMPUTED_VALUE"""),68.0)</f>
        <v>68</v>
      </c>
      <c r="F11382" s="19" t="str">
        <f>IFERROR(__xludf.DUMMYFUNCTION("""COMPUTED_VALUE"""),"BLACK")</f>
        <v>BLACK</v>
      </c>
      <c r="G11382" s="20" t="str">
        <f>IFERROR(__xludf.DUMMYFUNCTION("""COMPUTED_VALUE"""),"Uncle Sams Cider (04/04/2023)")</f>
        <v>Uncle Sams Cider (04/04/2023)</v>
      </c>
      <c r="H11382" s="19"/>
    </row>
    <row r="11383">
      <c r="A11383" s="9"/>
      <c r="B11383" s="15"/>
      <c r="C11383" s="9">
        <f>IFERROR(__xludf.DUMMYFUNCTION("""COMPUTED_VALUE"""),45024.7374988657)</f>
        <v>45024.7375</v>
      </c>
      <c r="D11383" s="15">
        <f>IFERROR(__xludf.DUMMYFUNCTION("""COMPUTED_VALUE"""),1.085)</f>
        <v>1.085</v>
      </c>
      <c r="E11383" s="16">
        <f>IFERROR(__xludf.DUMMYFUNCTION("""COMPUTED_VALUE"""),68.0)</f>
        <v>68</v>
      </c>
      <c r="F11383" s="19" t="str">
        <f>IFERROR(__xludf.DUMMYFUNCTION("""COMPUTED_VALUE"""),"BLACK")</f>
        <v>BLACK</v>
      </c>
      <c r="G11383" s="20" t="str">
        <f>IFERROR(__xludf.DUMMYFUNCTION("""COMPUTED_VALUE"""),"Uncle Sams Cider (04/04/2023)")</f>
        <v>Uncle Sams Cider (04/04/2023)</v>
      </c>
      <c r="H11383" s="19"/>
    </row>
    <row r="11384">
      <c r="A11384" s="9"/>
      <c r="B11384" s="15"/>
      <c r="C11384" s="9">
        <f>IFERROR(__xludf.DUMMYFUNCTION("""COMPUTED_VALUE"""),45024.7270783217)</f>
        <v>45024.72708</v>
      </c>
      <c r="D11384" s="15">
        <f>IFERROR(__xludf.DUMMYFUNCTION("""COMPUTED_VALUE"""),1.085)</f>
        <v>1.085</v>
      </c>
      <c r="E11384" s="16">
        <f>IFERROR(__xludf.DUMMYFUNCTION("""COMPUTED_VALUE"""),68.0)</f>
        <v>68</v>
      </c>
      <c r="F11384" s="19" t="str">
        <f>IFERROR(__xludf.DUMMYFUNCTION("""COMPUTED_VALUE"""),"BLACK")</f>
        <v>BLACK</v>
      </c>
      <c r="G11384" s="20" t="str">
        <f>IFERROR(__xludf.DUMMYFUNCTION("""COMPUTED_VALUE"""),"Uncle Sams Cider (04/04/2023)")</f>
        <v>Uncle Sams Cider (04/04/2023)</v>
      </c>
      <c r="H11384" s="19"/>
    </row>
    <row r="11385">
      <c r="A11385" s="9"/>
      <c r="B11385" s="15"/>
      <c r="C11385" s="9">
        <f>IFERROR(__xludf.DUMMYFUNCTION("""COMPUTED_VALUE"""),45024.7166592245)</f>
        <v>45024.71666</v>
      </c>
      <c r="D11385" s="15">
        <f>IFERROR(__xludf.DUMMYFUNCTION("""COMPUTED_VALUE"""),1.084)</f>
        <v>1.084</v>
      </c>
      <c r="E11385" s="16">
        <f>IFERROR(__xludf.DUMMYFUNCTION("""COMPUTED_VALUE"""),68.0)</f>
        <v>68</v>
      </c>
      <c r="F11385" s="19" t="str">
        <f>IFERROR(__xludf.DUMMYFUNCTION("""COMPUTED_VALUE"""),"BLACK")</f>
        <v>BLACK</v>
      </c>
      <c r="G11385" s="20" t="str">
        <f>IFERROR(__xludf.DUMMYFUNCTION("""COMPUTED_VALUE"""),"Uncle Sams Cider (04/04/2023)")</f>
        <v>Uncle Sams Cider (04/04/2023)</v>
      </c>
      <c r="H11385" s="19"/>
    </row>
    <row r="11386">
      <c r="A11386" s="9"/>
      <c r="B11386" s="15"/>
      <c r="C11386" s="9">
        <f>IFERROR(__xludf.DUMMYFUNCTION("""COMPUTED_VALUE"""),45024.7062376273)</f>
        <v>45024.70624</v>
      </c>
      <c r="D11386" s="15">
        <f>IFERROR(__xludf.DUMMYFUNCTION("""COMPUTED_VALUE"""),1.085)</f>
        <v>1.085</v>
      </c>
      <c r="E11386" s="16">
        <f>IFERROR(__xludf.DUMMYFUNCTION("""COMPUTED_VALUE"""),68.0)</f>
        <v>68</v>
      </c>
      <c r="F11386" s="19" t="str">
        <f>IFERROR(__xludf.DUMMYFUNCTION("""COMPUTED_VALUE"""),"BLACK")</f>
        <v>BLACK</v>
      </c>
      <c r="G11386" s="20" t="str">
        <f>IFERROR(__xludf.DUMMYFUNCTION("""COMPUTED_VALUE"""),"Uncle Sams Cider (04/04/2023)")</f>
        <v>Uncle Sams Cider (04/04/2023)</v>
      </c>
      <c r="H11386" s="19"/>
    </row>
    <row r="11387">
      <c r="A11387" s="9"/>
      <c r="B11387" s="15"/>
      <c r="C11387" s="9">
        <f>IFERROR(__xludf.DUMMYFUNCTION("""COMPUTED_VALUE"""),45024.6958173032)</f>
        <v>45024.69582</v>
      </c>
      <c r="D11387" s="15">
        <f>IFERROR(__xludf.DUMMYFUNCTION("""COMPUTED_VALUE"""),1.084)</f>
        <v>1.084</v>
      </c>
      <c r="E11387" s="16">
        <f>IFERROR(__xludf.DUMMYFUNCTION("""COMPUTED_VALUE"""),68.0)</f>
        <v>68</v>
      </c>
      <c r="F11387" s="19" t="str">
        <f>IFERROR(__xludf.DUMMYFUNCTION("""COMPUTED_VALUE"""),"BLACK")</f>
        <v>BLACK</v>
      </c>
      <c r="G11387" s="20" t="str">
        <f>IFERROR(__xludf.DUMMYFUNCTION("""COMPUTED_VALUE"""),"Uncle Sams Cider (04/04/2023)")</f>
        <v>Uncle Sams Cider (04/04/2023)</v>
      </c>
      <c r="H11387" s="19"/>
    </row>
    <row r="11388">
      <c r="A11388" s="9"/>
      <c r="B11388" s="15"/>
      <c r="C11388" s="9">
        <f>IFERROR(__xludf.DUMMYFUNCTION("""COMPUTED_VALUE"""),45024.6853980092)</f>
        <v>45024.6854</v>
      </c>
      <c r="D11388" s="15">
        <f>IFERROR(__xludf.DUMMYFUNCTION("""COMPUTED_VALUE"""),1.085)</f>
        <v>1.085</v>
      </c>
      <c r="E11388" s="16">
        <f>IFERROR(__xludf.DUMMYFUNCTION("""COMPUTED_VALUE"""),68.0)</f>
        <v>68</v>
      </c>
      <c r="F11388" s="19" t="str">
        <f>IFERROR(__xludf.DUMMYFUNCTION("""COMPUTED_VALUE"""),"BLACK")</f>
        <v>BLACK</v>
      </c>
      <c r="G11388" s="20" t="str">
        <f>IFERROR(__xludf.DUMMYFUNCTION("""COMPUTED_VALUE"""),"Uncle Sams Cider (04/04/2023)")</f>
        <v>Uncle Sams Cider (04/04/2023)</v>
      </c>
      <c r="H11388" s="19"/>
    </row>
    <row r="11389">
      <c r="A11389" s="9"/>
      <c r="B11389" s="15"/>
      <c r="C11389" s="9">
        <f>IFERROR(__xludf.DUMMYFUNCTION("""COMPUTED_VALUE"""),45024.6749756828)</f>
        <v>45024.67498</v>
      </c>
      <c r="D11389" s="15">
        <f>IFERROR(__xludf.DUMMYFUNCTION("""COMPUTED_VALUE"""),1.085)</f>
        <v>1.085</v>
      </c>
      <c r="E11389" s="16">
        <f>IFERROR(__xludf.DUMMYFUNCTION("""COMPUTED_VALUE"""),68.0)</f>
        <v>68</v>
      </c>
      <c r="F11389" s="19" t="str">
        <f>IFERROR(__xludf.DUMMYFUNCTION("""COMPUTED_VALUE"""),"BLACK")</f>
        <v>BLACK</v>
      </c>
      <c r="G11389" s="20" t="str">
        <f>IFERROR(__xludf.DUMMYFUNCTION("""COMPUTED_VALUE"""),"Uncle Sams Cider (04/04/2023)")</f>
        <v>Uncle Sams Cider (04/04/2023)</v>
      </c>
      <c r="H11389" s="19"/>
    </row>
    <row r="11390">
      <c r="A11390" s="9"/>
      <c r="B11390" s="15"/>
      <c r="C11390" s="9">
        <f>IFERROR(__xludf.DUMMYFUNCTION("""COMPUTED_VALUE"""),45024.6645534375)</f>
        <v>45024.66455</v>
      </c>
      <c r="D11390" s="15">
        <f>IFERROR(__xludf.DUMMYFUNCTION("""COMPUTED_VALUE"""),1.085)</f>
        <v>1.085</v>
      </c>
      <c r="E11390" s="16">
        <f>IFERROR(__xludf.DUMMYFUNCTION("""COMPUTED_VALUE"""),68.0)</f>
        <v>68</v>
      </c>
      <c r="F11390" s="19" t="str">
        <f>IFERROR(__xludf.DUMMYFUNCTION("""COMPUTED_VALUE"""),"BLACK")</f>
        <v>BLACK</v>
      </c>
      <c r="G11390" s="20" t="str">
        <f>IFERROR(__xludf.DUMMYFUNCTION("""COMPUTED_VALUE"""),"Uncle Sams Cider (04/04/2023)")</f>
        <v>Uncle Sams Cider (04/04/2023)</v>
      </c>
      <c r="H11390" s="19"/>
    </row>
    <row r="11391">
      <c r="A11391" s="9"/>
      <c r="B11391" s="15"/>
      <c r="C11391" s="9">
        <f>IFERROR(__xludf.DUMMYFUNCTION("""COMPUTED_VALUE"""),45024.6541316782)</f>
        <v>45024.65413</v>
      </c>
      <c r="D11391" s="15">
        <f>IFERROR(__xludf.DUMMYFUNCTION("""COMPUTED_VALUE"""),1.085)</f>
        <v>1.085</v>
      </c>
      <c r="E11391" s="16">
        <f>IFERROR(__xludf.DUMMYFUNCTION("""COMPUTED_VALUE"""),68.0)</f>
        <v>68</v>
      </c>
      <c r="F11391" s="19" t="str">
        <f>IFERROR(__xludf.DUMMYFUNCTION("""COMPUTED_VALUE"""),"BLACK")</f>
        <v>BLACK</v>
      </c>
      <c r="G11391" s="20" t="str">
        <f>IFERROR(__xludf.DUMMYFUNCTION("""COMPUTED_VALUE"""),"Uncle Sams Cider (04/04/2023)")</f>
        <v>Uncle Sams Cider (04/04/2023)</v>
      </c>
      <c r="H11391" s="19"/>
    </row>
    <row r="11392">
      <c r="A11392" s="9"/>
      <c r="B11392" s="15"/>
      <c r="C11392" s="9">
        <f>IFERROR(__xludf.DUMMYFUNCTION("""COMPUTED_VALUE"""),45024.6437095486)</f>
        <v>45024.64371</v>
      </c>
      <c r="D11392" s="15">
        <f>IFERROR(__xludf.DUMMYFUNCTION("""COMPUTED_VALUE"""),1.085)</f>
        <v>1.085</v>
      </c>
      <c r="E11392" s="16">
        <f>IFERROR(__xludf.DUMMYFUNCTION("""COMPUTED_VALUE"""),68.0)</f>
        <v>68</v>
      </c>
      <c r="F11392" s="19" t="str">
        <f>IFERROR(__xludf.DUMMYFUNCTION("""COMPUTED_VALUE"""),"BLACK")</f>
        <v>BLACK</v>
      </c>
      <c r="G11392" s="20" t="str">
        <f>IFERROR(__xludf.DUMMYFUNCTION("""COMPUTED_VALUE"""),"Uncle Sams Cider (04/04/2023)")</f>
        <v>Uncle Sams Cider (04/04/2023)</v>
      </c>
      <c r="H11392" s="19"/>
    </row>
    <row r="11393">
      <c r="A11393" s="9"/>
      <c r="B11393" s="15"/>
      <c r="C11393" s="9">
        <f>IFERROR(__xludf.DUMMYFUNCTION("""COMPUTED_VALUE"""),45024.6332874652)</f>
        <v>45024.63329</v>
      </c>
      <c r="D11393" s="15">
        <f>IFERROR(__xludf.DUMMYFUNCTION("""COMPUTED_VALUE"""),1.085)</f>
        <v>1.085</v>
      </c>
      <c r="E11393" s="16">
        <f>IFERROR(__xludf.DUMMYFUNCTION("""COMPUTED_VALUE"""),68.0)</f>
        <v>68</v>
      </c>
      <c r="F11393" s="19" t="str">
        <f>IFERROR(__xludf.DUMMYFUNCTION("""COMPUTED_VALUE"""),"BLACK")</f>
        <v>BLACK</v>
      </c>
      <c r="G11393" s="20" t="str">
        <f>IFERROR(__xludf.DUMMYFUNCTION("""COMPUTED_VALUE"""),"Uncle Sams Cider (04/04/2023)")</f>
        <v>Uncle Sams Cider (04/04/2023)</v>
      </c>
      <c r="H11393" s="19"/>
    </row>
    <row r="11394">
      <c r="A11394" s="9"/>
      <c r="B11394" s="15"/>
      <c r="C11394" s="9">
        <f>IFERROR(__xludf.DUMMYFUNCTION("""COMPUTED_VALUE"""),45024.62286603)</f>
        <v>45024.62287</v>
      </c>
      <c r="D11394" s="15">
        <f>IFERROR(__xludf.DUMMYFUNCTION("""COMPUTED_VALUE"""),1.085)</f>
        <v>1.085</v>
      </c>
      <c r="E11394" s="16">
        <f>IFERROR(__xludf.DUMMYFUNCTION("""COMPUTED_VALUE"""),68.0)</f>
        <v>68</v>
      </c>
      <c r="F11394" s="19" t="str">
        <f>IFERROR(__xludf.DUMMYFUNCTION("""COMPUTED_VALUE"""),"BLACK")</f>
        <v>BLACK</v>
      </c>
      <c r="G11394" s="20" t="str">
        <f>IFERROR(__xludf.DUMMYFUNCTION("""COMPUTED_VALUE"""),"Uncle Sams Cider (04/04/2023)")</f>
        <v>Uncle Sams Cider (04/04/2023)</v>
      </c>
      <c r="H11394" s="19"/>
    </row>
    <row r="11395">
      <c r="A11395" s="9"/>
      <c r="B11395" s="15"/>
      <c r="C11395" s="9">
        <f>IFERROR(__xludf.DUMMYFUNCTION("""COMPUTED_VALUE"""),45024.6124321759)</f>
        <v>45024.61243</v>
      </c>
      <c r="D11395" s="15">
        <f>IFERROR(__xludf.DUMMYFUNCTION("""COMPUTED_VALUE"""),1.085)</f>
        <v>1.085</v>
      </c>
      <c r="E11395" s="16">
        <f>IFERROR(__xludf.DUMMYFUNCTION("""COMPUTED_VALUE"""),68.0)</f>
        <v>68</v>
      </c>
      <c r="F11395" s="19" t="str">
        <f>IFERROR(__xludf.DUMMYFUNCTION("""COMPUTED_VALUE"""),"BLACK")</f>
        <v>BLACK</v>
      </c>
      <c r="G11395" s="20" t="str">
        <f>IFERROR(__xludf.DUMMYFUNCTION("""COMPUTED_VALUE"""),"Uncle Sams Cider (04/04/2023)")</f>
        <v>Uncle Sams Cider (04/04/2023)</v>
      </c>
      <c r="H11395" s="19"/>
    </row>
    <row r="11396">
      <c r="A11396" s="9"/>
      <c r="B11396" s="15"/>
      <c r="C11396" s="9">
        <f>IFERROR(__xludf.DUMMYFUNCTION("""COMPUTED_VALUE"""),45024.6020122453)</f>
        <v>45024.60201</v>
      </c>
      <c r="D11396" s="15">
        <f>IFERROR(__xludf.DUMMYFUNCTION("""COMPUTED_VALUE"""),1.085)</f>
        <v>1.085</v>
      </c>
      <c r="E11396" s="16">
        <f>IFERROR(__xludf.DUMMYFUNCTION("""COMPUTED_VALUE"""),68.0)</f>
        <v>68</v>
      </c>
      <c r="F11396" s="19" t="str">
        <f>IFERROR(__xludf.DUMMYFUNCTION("""COMPUTED_VALUE"""),"BLACK")</f>
        <v>BLACK</v>
      </c>
      <c r="G11396" s="20" t="str">
        <f>IFERROR(__xludf.DUMMYFUNCTION("""COMPUTED_VALUE"""),"Uncle Sams Cider (04/04/2023)")</f>
        <v>Uncle Sams Cider (04/04/2023)</v>
      </c>
      <c r="H11396" s="19"/>
    </row>
    <row r="11397">
      <c r="A11397" s="9"/>
      <c r="B11397" s="15"/>
      <c r="C11397" s="9">
        <f>IFERROR(__xludf.DUMMYFUNCTION("""COMPUTED_VALUE"""),45024.5915906713)</f>
        <v>45024.59159</v>
      </c>
      <c r="D11397" s="15">
        <f>IFERROR(__xludf.DUMMYFUNCTION("""COMPUTED_VALUE"""),1.085)</f>
        <v>1.085</v>
      </c>
      <c r="E11397" s="16">
        <f>IFERROR(__xludf.DUMMYFUNCTION("""COMPUTED_VALUE"""),68.0)</f>
        <v>68</v>
      </c>
      <c r="F11397" s="19" t="str">
        <f>IFERROR(__xludf.DUMMYFUNCTION("""COMPUTED_VALUE"""),"BLACK")</f>
        <v>BLACK</v>
      </c>
      <c r="G11397" s="20" t="str">
        <f>IFERROR(__xludf.DUMMYFUNCTION("""COMPUTED_VALUE"""),"Uncle Sams Cider (04/04/2023)")</f>
        <v>Uncle Sams Cider (04/04/2023)</v>
      </c>
      <c r="H11397" s="19"/>
    </row>
    <row r="11398">
      <c r="A11398" s="9"/>
      <c r="B11398" s="15"/>
      <c r="C11398" s="9">
        <f>IFERROR(__xludf.DUMMYFUNCTION("""COMPUTED_VALUE"""),45024.5811586226)</f>
        <v>45024.58116</v>
      </c>
      <c r="D11398" s="15">
        <f>IFERROR(__xludf.DUMMYFUNCTION("""COMPUTED_VALUE"""),1.085)</f>
        <v>1.085</v>
      </c>
      <c r="E11398" s="16">
        <f>IFERROR(__xludf.DUMMYFUNCTION("""COMPUTED_VALUE"""),68.0)</f>
        <v>68</v>
      </c>
      <c r="F11398" s="19" t="str">
        <f>IFERROR(__xludf.DUMMYFUNCTION("""COMPUTED_VALUE"""),"BLACK")</f>
        <v>BLACK</v>
      </c>
      <c r="G11398" s="20" t="str">
        <f>IFERROR(__xludf.DUMMYFUNCTION("""COMPUTED_VALUE"""),"Uncle Sams Cider (04/04/2023)")</f>
        <v>Uncle Sams Cider (04/04/2023)</v>
      </c>
      <c r="H11398" s="19"/>
    </row>
    <row r="11399">
      <c r="A11399" s="9"/>
      <c r="B11399" s="15"/>
      <c r="C11399" s="9">
        <f>IFERROR(__xludf.DUMMYFUNCTION("""COMPUTED_VALUE"""),45024.570738912)</f>
        <v>45024.57074</v>
      </c>
      <c r="D11399" s="15">
        <f>IFERROR(__xludf.DUMMYFUNCTION("""COMPUTED_VALUE"""),1.085)</f>
        <v>1.085</v>
      </c>
      <c r="E11399" s="16">
        <f>IFERROR(__xludf.DUMMYFUNCTION("""COMPUTED_VALUE"""),68.0)</f>
        <v>68</v>
      </c>
      <c r="F11399" s="19" t="str">
        <f>IFERROR(__xludf.DUMMYFUNCTION("""COMPUTED_VALUE"""),"BLACK")</f>
        <v>BLACK</v>
      </c>
      <c r="G11399" s="20" t="str">
        <f>IFERROR(__xludf.DUMMYFUNCTION("""COMPUTED_VALUE"""),"Uncle Sams Cider (04/04/2023)")</f>
        <v>Uncle Sams Cider (04/04/2023)</v>
      </c>
      <c r="H11399" s="19"/>
    </row>
    <row r="11400">
      <c r="A11400" s="9"/>
      <c r="B11400" s="15"/>
      <c r="C11400" s="9">
        <f>IFERROR(__xludf.DUMMYFUNCTION("""COMPUTED_VALUE"""),45024.5603171296)</f>
        <v>45024.56032</v>
      </c>
      <c r="D11400" s="15">
        <f>IFERROR(__xludf.DUMMYFUNCTION("""COMPUTED_VALUE"""),1.085)</f>
        <v>1.085</v>
      </c>
      <c r="E11400" s="16">
        <f>IFERROR(__xludf.DUMMYFUNCTION("""COMPUTED_VALUE"""),68.0)</f>
        <v>68</v>
      </c>
      <c r="F11400" s="19" t="str">
        <f>IFERROR(__xludf.DUMMYFUNCTION("""COMPUTED_VALUE"""),"BLACK")</f>
        <v>BLACK</v>
      </c>
      <c r="G11400" s="20" t="str">
        <f>IFERROR(__xludf.DUMMYFUNCTION("""COMPUTED_VALUE"""),"Uncle Sams Cider (04/04/2023)")</f>
        <v>Uncle Sams Cider (04/04/2023)</v>
      </c>
      <c r="H11400" s="19"/>
    </row>
    <row r="11401">
      <c r="A11401" s="9"/>
      <c r="B11401" s="15"/>
      <c r="C11401" s="9">
        <f>IFERROR(__xludf.DUMMYFUNCTION("""COMPUTED_VALUE"""),45024.5498970138)</f>
        <v>45024.5499</v>
      </c>
      <c r="D11401" s="15">
        <f>IFERROR(__xludf.DUMMYFUNCTION("""COMPUTED_VALUE"""),1.085)</f>
        <v>1.085</v>
      </c>
      <c r="E11401" s="16">
        <f>IFERROR(__xludf.DUMMYFUNCTION("""COMPUTED_VALUE"""),68.0)</f>
        <v>68</v>
      </c>
      <c r="F11401" s="19" t="str">
        <f>IFERROR(__xludf.DUMMYFUNCTION("""COMPUTED_VALUE"""),"BLACK")</f>
        <v>BLACK</v>
      </c>
      <c r="G11401" s="20" t="str">
        <f>IFERROR(__xludf.DUMMYFUNCTION("""COMPUTED_VALUE"""),"Uncle Sams Cider (04/04/2023)")</f>
        <v>Uncle Sams Cider (04/04/2023)</v>
      </c>
      <c r="H11401" s="19"/>
    </row>
    <row r="11402">
      <c r="A11402" s="9"/>
      <c r="B11402" s="15"/>
      <c r="C11402" s="9">
        <f>IFERROR(__xludf.DUMMYFUNCTION("""COMPUTED_VALUE"""),45024.5394737384)</f>
        <v>45024.53947</v>
      </c>
      <c r="D11402" s="15">
        <f>IFERROR(__xludf.DUMMYFUNCTION("""COMPUTED_VALUE"""),1.085)</f>
        <v>1.085</v>
      </c>
      <c r="E11402" s="16">
        <f>IFERROR(__xludf.DUMMYFUNCTION("""COMPUTED_VALUE"""),68.0)</f>
        <v>68</v>
      </c>
      <c r="F11402" s="19" t="str">
        <f>IFERROR(__xludf.DUMMYFUNCTION("""COMPUTED_VALUE"""),"BLACK")</f>
        <v>BLACK</v>
      </c>
      <c r="G11402" s="20" t="str">
        <f>IFERROR(__xludf.DUMMYFUNCTION("""COMPUTED_VALUE"""),"Uncle Sams Cider (04/04/2023)")</f>
        <v>Uncle Sams Cider (04/04/2023)</v>
      </c>
      <c r="H11402" s="19"/>
    </row>
    <row r="11403">
      <c r="A11403" s="9"/>
      <c r="B11403" s="15"/>
      <c r="C11403" s="9">
        <f>IFERROR(__xludf.DUMMYFUNCTION("""COMPUTED_VALUE"""),45024.5290407407)</f>
        <v>45024.52904</v>
      </c>
      <c r="D11403" s="15">
        <f>IFERROR(__xludf.DUMMYFUNCTION("""COMPUTED_VALUE"""),1.085)</f>
        <v>1.085</v>
      </c>
      <c r="E11403" s="16">
        <f>IFERROR(__xludf.DUMMYFUNCTION("""COMPUTED_VALUE"""),68.0)</f>
        <v>68</v>
      </c>
      <c r="F11403" s="19" t="str">
        <f>IFERROR(__xludf.DUMMYFUNCTION("""COMPUTED_VALUE"""),"BLACK")</f>
        <v>BLACK</v>
      </c>
      <c r="G11403" s="20" t="str">
        <f>IFERROR(__xludf.DUMMYFUNCTION("""COMPUTED_VALUE"""),"Uncle Sams Cider (04/04/2023)")</f>
        <v>Uncle Sams Cider (04/04/2023)</v>
      </c>
      <c r="H11403" s="19"/>
    </row>
    <row r="11404">
      <c r="A11404" s="9"/>
      <c r="B11404" s="15"/>
      <c r="C11404" s="9">
        <f>IFERROR(__xludf.DUMMYFUNCTION("""COMPUTED_VALUE"""),45024.5186199305)</f>
        <v>45024.51862</v>
      </c>
      <c r="D11404" s="15">
        <f>IFERROR(__xludf.DUMMYFUNCTION("""COMPUTED_VALUE"""),1.086)</f>
        <v>1.086</v>
      </c>
      <c r="E11404" s="16">
        <f>IFERROR(__xludf.DUMMYFUNCTION("""COMPUTED_VALUE"""),68.0)</f>
        <v>68</v>
      </c>
      <c r="F11404" s="19" t="str">
        <f>IFERROR(__xludf.DUMMYFUNCTION("""COMPUTED_VALUE"""),"BLACK")</f>
        <v>BLACK</v>
      </c>
      <c r="G11404" s="20" t="str">
        <f>IFERROR(__xludf.DUMMYFUNCTION("""COMPUTED_VALUE"""),"Uncle Sams Cider (04/04/2023)")</f>
        <v>Uncle Sams Cider (04/04/2023)</v>
      </c>
      <c r="H11404" s="19"/>
    </row>
    <row r="11405">
      <c r="A11405" s="9"/>
      <c r="B11405" s="15"/>
      <c r="C11405" s="9">
        <f>IFERROR(__xludf.DUMMYFUNCTION("""COMPUTED_VALUE"""),45024.5081872916)</f>
        <v>45024.50819</v>
      </c>
      <c r="D11405" s="15">
        <f>IFERROR(__xludf.DUMMYFUNCTION("""COMPUTED_VALUE"""),1.085)</f>
        <v>1.085</v>
      </c>
      <c r="E11405" s="16">
        <f>IFERROR(__xludf.DUMMYFUNCTION("""COMPUTED_VALUE"""),68.0)</f>
        <v>68</v>
      </c>
      <c r="F11405" s="19" t="str">
        <f>IFERROR(__xludf.DUMMYFUNCTION("""COMPUTED_VALUE"""),"BLACK")</f>
        <v>BLACK</v>
      </c>
      <c r="G11405" s="20" t="str">
        <f>IFERROR(__xludf.DUMMYFUNCTION("""COMPUTED_VALUE"""),"Uncle Sams Cider (04/04/2023)")</f>
        <v>Uncle Sams Cider (04/04/2023)</v>
      </c>
      <c r="H11405" s="19"/>
    </row>
    <row r="11406">
      <c r="A11406" s="9"/>
      <c r="B11406" s="15"/>
      <c r="C11406" s="9">
        <f>IFERROR(__xludf.DUMMYFUNCTION("""COMPUTED_VALUE"""),45024.4977538078)</f>
        <v>45024.49775</v>
      </c>
      <c r="D11406" s="15">
        <f>IFERROR(__xludf.DUMMYFUNCTION("""COMPUTED_VALUE"""),1.085)</f>
        <v>1.085</v>
      </c>
      <c r="E11406" s="16">
        <f>IFERROR(__xludf.DUMMYFUNCTION("""COMPUTED_VALUE"""),68.0)</f>
        <v>68</v>
      </c>
      <c r="F11406" s="19" t="str">
        <f>IFERROR(__xludf.DUMMYFUNCTION("""COMPUTED_VALUE"""),"BLACK")</f>
        <v>BLACK</v>
      </c>
      <c r="G11406" s="20" t="str">
        <f>IFERROR(__xludf.DUMMYFUNCTION("""COMPUTED_VALUE"""),"Uncle Sams Cider (04/04/2023)")</f>
        <v>Uncle Sams Cider (04/04/2023)</v>
      </c>
      <c r="H11406" s="19"/>
    </row>
    <row r="11407">
      <c r="A11407" s="9"/>
      <c r="B11407" s="15"/>
      <c r="C11407" s="9">
        <f>IFERROR(__xludf.DUMMYFUNCTION("""COMPUTED_VALUE"""),45024.4873217129)</f>
        <v>45024.48732</v>
      </c>
      <c r="D11407" s="15">
        <f>IFERROR(__xludf.DUMMYFUNCTION("""COMPUTED_VALUE"""),1.086)</f>
        <v>1.086</v>
      </c>
      <c r="E11407" s="16">
        <f>IFERROR(__xludf.DUMMYFUNCTION("""COMPUTED_VALUE"""),68.0)</f>
        <v>68</v>
      </c>
      <c r="F11407" s="19" t="str">
        <f>IFERROR(__xludf.DUMMYFUNCTION("""COMPUTED_VALUE"""),"BLACK")</f>
        <v>BLACK</v>
      </c>
      <c r="G11407" s="20" t="str">
        <f>IFERROR(__xludf.DUMMYFUNCTION("""COMPUTED_VALUE"""),"Uncle Sams Cider (04/04/2023)")</f>
        <v>Uncle Sams Cider (04/04/2023)</v>
      </c>
      <c r="H11407" s="19"/>
    </row>
    <row r="11408">
      <c r="A11408" s="9"/>
      <c r="B11408" s="15"/>
      <c r="C11408" s="9">
        <f>IFERROR(__xludf.DUMMYFUNCTION("""COMPUTED_VALUE"""),45024.4768895949)</f>
        <v>45024.47689</v>
      </c>
      <c r="D11408" s="15">
        <f>IFERROR(__xludf.DUMMYFUNCTION("""COMPUTED_VALUE"""),1.086)</f>
        <v>1.086</v>
      </c>
      <c r="E11408" s="16">
        <f>IFERROR(__xludf.DUMMYFUNCTION("""COMPUTED_VALUE"""),68.0)</f>
        <v>68</v>
      </c>
      <c r="F11408" s="19" t="str">
        <f>IFERROR(__xludf.DUMMYFUNCTION("""COMPUTED_VALUE"""),"BLACK")</f>
        <v>BLACK</v>
      </c>
      <c r="G11408" s="20" t="str">
        <f>IFERROR(__xludf.DUMMYFUNCTION("""COMPUTED_VALUE"""),"Uncle Sams Cider (04/04/2023)")</f>
        <v>Uncle Sams Cider (04/04/2023)</v>
      </c>
      <c r="H11408" s="19"/>
    </row>
    <row r="11409">
      <c r="A11409" s="9"/>
      <c r="B11409" s="15"/>
      <c r="C11409" s="9">
        <f>IFERROR(__xludf.DUMMYFUNCTION("""COMPUTED_VALUE"""),45024.4664674421)</f>
        <v>45024.46647</v>
      </c>
      <c r="D11409" s="15">
        <f>IFERROR(__xludf.DUMMYFUNCTION("""COMPUTED_VALUE"""),1.086)</f>
        <v>1.086</v>
      </c>
      <c r="E11409" s="16">
        <f>IFERROR(__xludf.DUMMYFUNCTION("""COMPUTED_VALUE"""),68.0)</f>
        <v>68</v>
      </c>
      <c r="F11409" s="19" t="str">
        <f>IFERROR(__xludf.DUMMYFUNCTION("""COMPUTED_VALUE"""),"BLACK")</f>
        <v>BLACK</v>
      </c>
      <c r="G11409" s="20" t="str">
        <f>IFERROR(__xludf.DUMMYFUNCTION("""COMPUTED_VALUE"""),"Uncle Sams Cider (04/04/2023)")</f>
        <v>Uncle Sams Cider (04/04/2023)</v>
      </c>
      <c r="H11409" s="19"/>
    </row>
    <row r="11410">
      <c r="A11410" s="9"/>
      <c r="B11410" s="15"/>
      <c r="C11410" s="9">
        <f>IFERROR(__xludf.DUMMYFUNCTION("""COMPUTED_VALUE"""),45024.45604603)</f>
        <v>45024.45605</v>
      </c>
      <c r="D11410" s="15">
        <f>IFERROR(__xludf.DUMMYFUNCTION("""COMPUTED_VALUE"""),1.086)</f>
        <v>1.086</v>
      </c>
      <c r="E11410" s="16">
        <f>IFERROR(__xludf.DUMMYFUNCTION("""COMPUTED_VALUE"""),68.0)</f>
        <v>68</v>
      </c>
      <c r="F11410" s="19" t="str">
        <f>IFERROR(__xludf.DUMMYFUNCTION("""COMPUTED_VALUE"""),"BLACK")</f>
        <v>BLACK</v>
      </c>
      <c r="G11410" s="20" t="str">
        <f>IFERROR(__xludf.DUMMYFUNCTION("""COMPUTED_VALUE"""),"Uncle Sams Cider (04/04/2023)")</f>
        <v>Uncle Sams Cider (04/04/2023)</v>
      </c>
      <c r="H11410" s="19"/>
    </row>
    <row r="11411">
      <c r="A11411" s="9"/>
      <c r="B11411" s="15"/>
      <c r="C11411" s="9">
        <f>IFERROR(__xludf.DUMMYFUNCTION("""COMPUTED_VALUE"""),45024.4456125463)</f>
        <v>45024.44561</v>
      </c>
      <c r="D11411" s="15">
        <f>IFERROR(__xludf.DUMMYFUNCTION("""COMPUTED_VALUE"""),1.086)</f>
        <v>1.086</v>
      </c>
      <c r="E11411" s="16">
        <f>IFERROR(__xludf.DUMMYFUNCTION("""COMPUTED_VALUE"""),68.0)</f>
        <v>68</v>
      </c>
      <c r="F11411" s="19" t="str">
        <f>IFERROR(__xludf.DUMMYFUNCTION("""COMPUTED_VALUE"""),"BLACK")</f>
        <v>BLACK</v>
      </c>
      <c r="G11411" s="20" t="str">
        <f>IFERROR(__xludf.DUMMYFUNCTION("""COMPUTED_VALUE"""),"Uncle Sams Cider (04/04/2023)")</f>
        <v>Uncle Sams Cider (04/04/2023)</v>
      </c>
      <c r="H11411" s="19"/>
    </row>
    <row r="11412">
      <c r="A11412" s="9"/>
      <c r="B11412" s="15"/>
      <c r="C11412" s="9">
        <f>IFERROR(__xludf.DUMMYFUNCTION("""COMPUTED_VALUE"""),45024.4351802662)</f>
        <v>45024.43518</v>
      </c>
      <c r="D11412" s="15">
        <f>IFERROR(__xludf.DUMMYFUNCTION("""COMPUTED_VALUE"""),1.086)</f>
        <v>1.086</v>
      </c>
      <c r="E11412" s="16">
        <f>IFERROR(__xludf.DUMMYFUNCTION("""COMPUTED_VALUE"""),68.0)</f>
        <v>68</v>
      </c>
      <c r="F11412" s="19" t="str">
        <f>IFERROR(__xludf.DUMMYFUNCTION("""COMPUTED_VALUE"""),"BLACK")</f>
        <v>BLACK</v>
      </c>
      <c r="G11412" s="20" t="str">
        <f>IFERROR(__xludf.DUMMYFUNCTION("""COMPUTED_VALUE"""),"Uncle Sams Cider (04/04/2023)")</f>
        <v>Uncle Sams Cider (04/04/2023)</v>
      </c>
      <c r="H11412" s="19"/>
    </row>
    <row r="11413">
      <c r="A11413" s="9"/>
      <c r="B11413" s="15"/>
      <c r="C11413" s="9">
        <f>IFERROR(__xludf.DUMMYFUNCTION("""COMPUTED_VALUE"""),45024.4247483912)</f>
        <v>45024.42475</v>
      </c>
      <c r="D11413" s="15">
        <f>IFERROR(__xludf.DUMMYFUNCTION("""COMPUTED_VALUE"""),1.086)</f>
        <v>1.086</v>
      </c>
      <c r="E11413" s="16">
        <f>IFERROR(__xludf.DUMMYFUNCTION("""COMPUTED_VALUE"""),68.0)</f>
        <v>68</v>
      </c>
      <c r="F11413" s="19" t="str">
        <f>IFERROR(__xludf.DUMMYFUNCTION("""COMPUTED_VALUE"""),"BLACK")</f>
        <v>BLACK</v>
      </c>
      <c r="G11413" s="20" t="str">
        <f>IFERROR(__xludf.DUMMYFUNCTION("""COMPUTED_VALUE"""),"Uncle Sams Cider (04/04/2023)")</f>
        <v>Uncle Sams Cider (04/04/2023)</v>
      </c>
      <c r="H11413" s="19"/>
    </row>
    <row r="11414">
      <c r="A11414" s="9"/>
      <c r="B11414" s="15"/>
      <c r="C11414" s="9">
        <f>IFERROR(__xludf.DUMMYFUNCTION("""COMPUTED_VALUE"""),45024.4143284027)</f>
        <v>45024.41433</v>
      </c>
      <c r="D11414" s="15">
        <f>IFERROR(__xludf.DUMMYFUNCTION("""COMPUTED_VALUE"""),1.086)</f>
        <v>1.086</v>
      </c>
      <c r="E11414" s="16">
        <f>IFERROR(__xludf.DUMMYFUNCTION("""COMPUTED_VALUE"""),68.0)</f>
        <v>68</v>
      </c>
      <c r="F11414" s="19" t="str">
        <f>IFERROR(__xludf.DUMMYFUNCTION("""COMPUTED_VALUE"""),"BLACK")</f>
        <v>BLACK</v>
      </c>
      <c r="G11414" s="20" t="str">
        <f>IFERROR(__xludf.DUMMYFUNCTION("""COMPUTED_VALUE"""),"Uncle Sams Cider (04/04/2023)")</f>
        <v>Uncle Sams Cider (04/04/2023)</v>
      </c>
      <c r="H11414" s="19"/>
    </row>
    <row r="11415">
      <c r="A11415" s="9"/>
      <c r="B11415" s="15"/>
      <c r="C11415" s="9">
        <f>IFERROR(__xludf.DUMMYFUNCTION("""COMPUTED_VALUE"""),45024.4039090277)</f>
        <v>45024.40391</v>
      </c>
      <c r="D11415" s="15">
        <f>IFERROR(__xludf.DUMMYFUNCTION("""COMPUTED_VALUE"""),1.086)</f>
        <v>1.086</v>
      </c>
      <c r="E11415" s="16">
        <f>IFERROR(__xludf.DUMMYFUNCTION("""COMPUTED_VALUE"""),68.0)</f>
        <v>68</v>
      </c>
      <c r="F11415" s="19" t="str">
        <f>IFERROR(__xludf.DUMMYFUNCTION("""COMPUTED_VALUE"""),"BLACK")</f>
        <v>BLACK</v>
      </c>
      <c r="G11415" s="20" t="str">
        <f>IFERROR(__xludf.DUMMYFUNCTION("""COMPUTED_VALUE"""),"Uncle Sams Cider (04/04/2023)")</f>
        <v>Uncle Sams Cider (04/04/2023)</v>
      </c>
      <c r="H11415" s="19"/>
    </row>
    <row r="11416">
      <c r="A11416" s="9"/>
      <c r="B11416" s="15"/>
      <c r="C11416" s="9">
        <f>IFERROR(__xludf.DUMMYFUNCTION("""COMPUTED_VALUE"""),45024.3934734606)</f>
        <v>45024.39347</v>
      </c>
      <c r="D11416" s="15">
        <f>IFERROR(__xludf.DUMMYFUNCTION("""COMPUTED_VALUE"""),1.086)</f>
        <v>1.086</v>
      </c>
      <c r="E11416" s="16">
        <f>IFERROR(__xludf.DUMMYFUNCTION("""COMPUTED_VALUE"""),68.0)</f>
        <v>68</v>
      </c>
      <c r="F11416" s="19" t="str">
        <f>IFERROR(__xludf.DUMMYFUNCTION("""COMPUTED_VALUE"""),"BLACK")</f>
        <v>BLACK</v>
      </c>
      <c r="G11416" s="20" t="str">
        <f>IFERROR(__xludf.DUMMYFUNCTION("""COMPUTED_VALUE"""),"Uncle Sams Cider (04/04/2023)")</f>
        <v>Uncle Sams Cider (04/04/2023)</v>
      </c>
      <c r="H11416" s="19"/>
    </row>
    <row r="11417">
      <c r="A11417" s="9"/>
      <c r="B11417" s="15"/>
      <c r="C11417" s="9">
        <f>IFERROR(__xludf.DUMMYFUNCTION("""COMPUTED_VALUE"""),45024.3830542476)</f>
        <v>45024.38305</v>
      </c>
      <c r="D11417" s="15">
        <f>IFERROR(__xludf.DUMMYFUNCTION("""COMPUTED_VALUE"""),1.086)</f>
        <v>1.086</v>
      </c>
      <c r="E11417" s="16">
        <f>IFERROR(__xludf.DUMMYFUNCTION("""COMPUTED_VALUE"""),68.0)</f>
        <v>68</v>
      </c>
      <c r="F11417" s="19" t="str">
        <f>IFERROR(__xludf.DUMMYFUNCTION("""COMPUTED_VALUE"""),"BLACK")</f>
        <v>BLACK</v>
      </c>
      <c r="G11417" s="20" t="str">
        <f>IFERROR(__xludf.DUMMYFUNCTION("""COMPUTED_VALUE"""),"Uncle Sams Cider (04/04/2023)")</f>
        <v>Uncle Sams Cider (04/04/2023)</v>
      </c>
      <c r="H11417" s="19"/>
    </row>
    <row r="11418">
      <c r="A11418" s="9"/>
      <c r="B11418" s="15"/>
      <c r="C11418" s="9">
        <f>IFERROR(__xludf.DUMMYFUNCTION("""COMPUTED_VALUE"""),45024.3726329861)</f>
        <v>45024.37263</v>
      </c>
      <c r="D11418" s="15">
        <f>IFERROR(__xludf.DUMMYFUNCTION("""COMPUTED_VALUE"""),1.086)</f>
        <v>1.086</v>
      </c>
      <c r="E11418" s="16">
        <f>IFERROR(__xludf.DUMMYFUNCTION("""COMPUTED_VALUE"""),68.0)</f>
        <v>68</v>
      </c>
      <c r="F11418" s="19" t="str">
        <f>IFERROR(__xludf.DUMMYFUNCTION("""COMPUTED_VALUE"""),"BLACK")</f>
        <v>BLACK</v>
      </c>
      <c r="G11418" s="20" t="str">
        <f>IFERROR(__xludf.DUMMYFUNCTION("""COMPUTED_VALUE"""),"Uncle Sams Cider (04/04/2023)")</f>
        <v>Uncle Sams Cider (04/04/2023)</v>
      </c>
      <c r="H11418" s="19"/>
    </row>
    <row r="11419">
      <c r="A11419" s="9"/>
      <c r="B11419" s="15"/>
      <c r="C11419" s="9">
        <f>IFERROR(__xludf.DUMMYFUNCTION("""COMPUTED_VALUE"""),45024.362211493)</f>
        <v>45024.36221</v>
      </c>
      <c r="D11419" s="15">
        <f>IFERROR(__xludf.DUMMYFUNCTION("""COMPUTED_VALUE"""),1.086)</f>
        <v>1.086</v>
      </c>
      <c r="E11419" s="16">
        <f>IFERROR(__xludf.DUMMYFUNCTION("""COMPUTED_VALUE"""),68.0)</f>
        <v>68</v>
      </c>
      <c r="F11419" s="19" t="str">
        <f>IFERROR(__xludf.DUMMYFUNCTION("""COMPUTED_VALUE"""),"BLACK")</f>
        <v>BLACK</v>
      </c>
      <c r="G11419" s="20" t="str">
        <f>IFERROR(__xludf.DUMMYFUNCTION("""COMPUTED_VALUE"""),"Uncle Sams Cider (04/04/2023)")</f>
        <v>Uncle Sams Cider (04/04/2023)</v>
      </c>
      <c r="H11419" s="19"/>
    </row>
    <row r="11420">
      <c r="A11420" s="9"/>
      <c r="B11420" s="15"/>
      <c r="C11420" s="9">
        <f>IFERROR(__xludf.DUMMYFUNCTION("""COMPUTED_VALUE"""),45024.3517917013)</f>
        <v>45024.35179</v>
      </c>
      <c r="D11420" s="15">
        <f>IFERROR(__xludf.DUMMYFUNCTION("""COMPUTED_VALUE"""),1.086)</f>
        <v>1.086</v>
      </c>
      <c r="E11420" s="16">
        <f>IFERROR(__xludf.DUMMYFUNCTION("""COMPUTED_VALUE"""),68.0)</f>
        <v>68</v>
      </c>
      <c r="F11420" s="19" t="str">
        <f>IFERROR(__xludf.DUMMYFUNCTION("""COMPUTED_VALUE"""),"BLACK")</f>
        <v>BLACK</v>
      </c>
      <c r="G11420" s="20" t="str">
        <f>IFERROR(__xludf.DUMMYFUNCTION("""COMPUTED_VALUE"""),"Uncle Sams Cider (04/04/2023)")</f>
        <v>Uncle Sams Cider (04/04/2023)</v>
      </c>
      <c r="H11420" s="19"/>
    </row>
    <row r="11421">
      <c r="A11421" s="9"/>
      <c r="B11421" s="15"/>
      <c r="C11421" s="9">
        <f>IFERROR(__xludf.DUMMYFUNCTION("""COMPUTED_VALUE"""),45024.3413469328)</f>
        <v>45024.34135</v>
      </c>
      <c r="D11421" s="15">
        <f>IFERROR(__xludf.DUMMYFUNCTION("""COMPUTED_VALUE"""),1.086)</f>
        <v>1.086</v>
      </c>
      <c r="E11421" s="16">
        <f>IFERROR(__xludf.DUMMYFUNCTION("""COMPUTED_VALUE"""),68.0)</f>
        <v>68</v>
      </c>
      <c r="F11421" s="19" t="str">
        <f>IFERROR(__xludf.DUMMYFUNCTION("""COMPUTED_VALUE"""),"BLACK")</f>
        <v>BLACK</v>
      </c>
      <c r="G11421" s="20" t="str">
        <f>IFERROR(__xludf.DUMMYFUNCTION("""COMPUTED_VALUE"""),"Uncle Sams Cider (04/04/2023)")</f>
        <v>Uncle Sams Cider (04/04/2023)</v>
      </c>
      <c r="H11421" s="19"/>
    </row>
    <row r="11422">
      <c r="A11422" s="9"/>
      <c r="B11422" s="15"/>
      <c r="C11422" s="9">
        <f>IFERROR(__xludf.DUMMYFUNCTION("""COMPUTED_VALUE"""),45024.3309143287)</f>
        <v>45024.33091</v>
      </c>
      <c r="D11422" s="15">
        <f>IFERROR(__xludf.DUMMYFUNCTION("""COMPUTED_VALUE"""),1.086)</f>
        <v>1.086</v>
      </c>
      <c r="E11422" s="16">
        <f>IFERROR(__xludf.DUMMYFUNCTION("""COMPUTED_VALUE"""),68.0)</f>
        <v>68</v>
      </c>
      <c r="F11422" s="19" t="str">
        <f>IFERROR(__xludf.DUMMYFUNCTION("""COMPUTED_VALUE"""),"BLACK")</f>
        <v>BLACK</v>
      </c>
      <c r="G11422" s="20" t="str">
        <f>IFERROR(__xludf.DUMMYFUNCTION("""COMPUTED_VALUE"""),"Uncle Sams Cider (04/04/2023)")</f>
        <v>Uncle Sams Cider (04/04/2023)</v>
      </c>
      <c r="H11422" s="19"/>
    </row>
    <row r="11423">
      <c r="A11423" s="9"/>
      <c r="B11423" s="15"/>
      <c r="C11423" s="9">
        <f>IFERROR(__xludf.DUMMYFUNCTION("""COMPUTED_VALUE"""),45024.3204941088)</f>
        <v>45024.32049</v>
      </c>
      <c r="D11423" s="15">
        <f>IFERROR(__xludf.DUMMYFUNCTION("""COMPUTED_VALUE"""),1.086)</f>
        <v>1.086</v>
      </c>
      <c r="E11423" s="16">
        <f>IFERROR(__xludf.DUMMYFUNCTION("""COMPUTED_VALUE"""),68.0)</f>
        <v>68</v>
      </c>
      <c r="F11423" s="19" t="str">
        <f>IFERROR(__xludf.DUMMYFUNCTION("""COMPUTED_VALUE"""),"BLACK")</f>
        <v>BLACK</v>
      </c>
      <c r="G11423" s="20" t="str">
        <f>IFERROR(__xludf.DUMMYFUNCTION("""COMPUTED_VALUE"""),"Uncle Sams Cider (04/04/2023)")</f>
        <v>Uncle Sams Cider (04/04/2023)</v>
      </c>
      <c r="H11423" s="19"/>
    </row>
    <row r="11424">
      <c r="A11424" s="9"/>
      <c r="B11424" s="15"/>
      <c r="C11424" s="9">
        <f>IFERROR(__xludf.DUMMYFUNCTION("""COMPUTED_VALUE"""),45024.3100725)</f>
        <v>45024.31007</v>
      </c>
      <c r="D11424" s="15">
        <f>IFERROR(__xludf.DUMMYFUNCTION("""COMPUTED_VALUE"""),1.086)</f>
        <v>1.086</v>
      </c>
      <c r="E11424" s="16">
        <f>IFERROR(__xludf.DUMMYFUNCTION("""COMPUTED_VALUE"""),68.0)</f>
        <v>68</v>
      </c>
      <c r="F11424" s="19" t="str">
        <f>IFERROR(__xludf.DUMMYFUNCTION("""COMPUTED_VALUE"""),"BLACK")</f>
        <v>BLACK</v>
      </c>
      <c r="G11424" s="20" t="str">
        <f>IFERROR(__xludf.DUMMYFUNCTION("""COMPUTED_VALUE"""),"Uncle Sams Cider (04/04/2023)")</f>
        <v>Uncle Sams Cider (04/04/2023)</v>
      </c>
      <c r="H11424" s="19"/>
    </row>
    <row r="11425">
      <c r="A11425" s="9"/>
      <c r="B11425" s="15"/>
      <c r="C11425" s="9">
        <f>IFERROR(__xludf.DUMMYFUNCTION("""COMPUTED_VALUE"""),45024.2996401157)</f>
        <v>45024.29964</v>
      </c>
      <c r="D11425" s="15">
        <f>IFERROR(__xludf.DUMMYFUNCTION("""COMPUTED_VALUE"""),1.087)</f>
        <v>1.087</v>
      </c>
      <c r="E11425" s="16">
        <f>IFERROR(__xludf.DUMMYFUNCTION("""COMPUTED_VALUE"""),68.0)</f>
        <v>68</v>
      </c>
      <c r="F11425" s="19" t="str">
        <f>IFERROR(__xludf.DUMMYFUNCTION("""COMPUTED_VALUE"""),"BLACK")</f>
        <v>BLACK</v>
      </c>
      <c r="G11425" s="20" t="str">
        <f>IFERROR(__xludf.DUMMYFUNCTION("""COMPUTED_VALUE"""),"Uncle Sams Cider (04/04/2023)")</f>
        <v>Uncle Sams Cider (04/04/2023)</v>
      </c>
      <c r="H11425" s="19"/>
    </row>
    <row r="11426">
      <c r="A11426" s="9"/>
      <c r="B11426" s="15"/>
      <c r="C11426" s="9">
        <f>IFERROR(__xludf.DUMMYFUNCTION("""COMPUTED_VALUE"""),45024.2892166435)</f>
        <v>45024.28922</v>
      </c>
      <c r="D11426" s="15">
        <f>IFERROR(__xludf.DUMMYFUNCTION("""COMPUTED_VALUE"""),1.087)</f>
        <v>1.087</v>
      </c>
      <c r="E11426" s="16">
        <f>IFERROR(__xludf.DUMMYFUNCTION("""COMPUTED_VALUE"""),68.0)</f>
        <v>68</v>
      </c>
      <c r="F11426" s="19" t="str">
        <f>IFERROR(__xludf.DUMMYFUNCTION("""COMPUTED_VALUE"""),"BLACK")</f>
        <v>BLACK</v>
      </c>
      <c r="G11426" s="20" t="str">
        <f>IFERROR(__xludf.DUMMYFUNCTION("""COMPUTED_VALUE"""),"Uncle Sams Cider (04/04/2023)")</f>
        <v>Uncle Sams Cider (04/04/2023)</v>
      </c>
      <c r="H11426" s="19"/>
    </row>
    <row r="11427">
      <c r="A11427" s="9"/>
      <c r="B11427" s="15"/>
      <c r="C11427" s="9">
        <f>IFERROR(__xludf.DUMMYFUNCTION("""COMPUTED_VALUE"""),45024.2787960995)</f>
        <v>45024.2788</v>
      </c>
      <c r="D11427" s="15">
        <f>IFERROR(__xludf.DUMMYFUNCTION("""COMPUTED_VALUE"""),1.087)</f>
        <v>1.087</v>
      </c>
      <c r="E11427" s="16">
        <f>IFERROR(__xludf.DUMMYFUNCTION("""COMPUTED_VALUE"""),68.0)</f>
        <v>68</v>
      </c>
      <c r="F11427" s="19" t="str">
        <f>IFERROR(__xludf.DUMMYFUNCTION("""COMPUTED_VALUE"""),"BLACK")</f>
        <v>BLACK</v>
      </c>
      <c r="G11427" s="20" t="str">
        <f>IFERROR(__xludf.DUMMYFUNCTION("""COMPUTED_VALUE"""),"Uncle Sams Cider (04/04/2023)")</f>
        <v>Uncle Sams Cider (04/04/2023)</v>
      </c>
      <c r="H11427" s="19"/>
    </row>
    <row r="11428">
      <c r="A11428" s="9"/>
      <c r="B11428" s="15"/>
      <c r="C11428" s="9">
        <f>IFERROR(__xludf.DUMMYFUNCTION("""COMPUTED_VALUE"""),45024.2683754398)</f>
        <v>45024.26838</v>
      </c>
      <c r="D11428" s="15">
        <f>IFERROR(__xludf.DUMMYFUNCTION("""COMPUTED_VALUE"""),1.086)</f>
        <v>1.086</v>
      </c>
      <c r="E11428" s="16">
        <f>IFERROR(__xludf.DUMMYFUNCTION("""COMPUTED_VALUE"""),68.0)</f>
        <v>68</v>
      </c>
      <c r="F11428" s="19" t="str">
        <f>IFERROR(__xludf.DUMMYFUNCTION("""COMPUTED_VALUE"""),"BLACK")</f>
        <v>BLACK</v>
      </c>
      <c r="G11428" s="20" t="str">
        <f>IFERROR(__xludf.DUMMYFUNCTION("""COMPUTED_VALUE"""),"Uncle Sams Cider (04/04/2023)")</f>
        <v>Uncle Sams Cider (04/04/2023)</v>
      </c>
      <c r="H11428" s="19"/>
    </row>
    <row r="11429">
      <c r="A11429" s="9"/>
      <c r="B11429" s="15"/>
      <c r="C11429" s="9">
        <f>IFERROR(__xludf.DUMMYFUNCTION("""COMPUTED_VALUE"""),45024.2579539236)</f>
        <v>45024.25795</v>
      </c>
      <c r="D11429" s="15">
        <f>IFERROR(__xludf.DUMMYFUNCTION("""COMPUTED_VALUE"""),1.087)</f>
        <v>1.087</v>
      </c>
      <c r="E11429" s="16">
        <f>IFERROR(__xludf.DUMMYFUNCTION("""COMPUTED_VALUE"""),68.0)</f>
        <v>68</v>
      </c>
      <c r="F11429" s="19" t="str">
        <f>IFERROR(__xludf.DUMMYFUNCTION("""COMPUTED_VALUE"""),"BLACK")</f>
        <v>BLACK</v>
      </c>
      <c r="G11429" s="20" t="str">
        <f>IFERROR(__xludf.DUMMYFUNCTION("""COMPUTED_VALUE"""),"Uncle Sams Cider (04/04/2023)")</f>
        <v>Uncle Sams Cider (04/04/2023)</v>
      </c>
      <c r="H11429" s="19"/>
    </row>
    <row r="11430">
      <c r="A11430" s="9"/>
      <c r="B11430" s="15"/>
      <c r="C11430" s="9">
        <f>IFERROR(__xludf.DUMMYFUNCTION("""COMPUTED_VALUE"""),45024.2475333101)</f>
        <v>45024.24753</v>
      </c>
      <c r="D11430" s="15">
        <f>IFERROR(__xludf.DUMMYFUNCTION("""COMPUTED_VALUE"""),1.087)</f>
        <v>1.087</v>
      </c>
      <c r="E11430" s="16">
        <f>IFERROR(__xludf.DUMMYFUNCTION("""COMPUTED_VALUE"""),68.0)</f>
        <v>68</v>
      </c>
      <c r="F11430" s="19" t="str">
        <f>IFERROR(__xludf.DUMMYFUNCTION("""COMPUTED_VALUE"""),"BLACK")</f>
        <v>BLACK</v>
      </c>
      <c r="G11430" s="20" t="str">
        <f>IFERROR(__xludf.DUMMYFUNCTION("""COMPUTED_VALUE"""),"Uncle Sams Cider (04/04/2023)")</f>
        <v>Uncle Sams Cider (04/04/2023)</v>
      </c>
      <c r="H11430" s="19"/>
    </row>
    <row r="11431">
      <c r="A11431" s="9"/>
      <c r="B11431" s="15"/>
      <c r="C11431" s="9">
        <f>IFERROR(__xludf.DUMMYFUNCTION("""COMPUTED_VALUE"""),45024.237099074)</f>
        <v>45024.2371</v>
      </c>
      <c r="D11431" s="15">
        <f>IFERROR(__xludf.DUMMYFUNCTION("""COMPUTED_VALUE"""),1.087)</f>
        <v>1.087</v>
      </c>
      <c r="E11431" s="16">
        <f>IFERROR(__xludf.DUMMYFUNCTION("""COMPUTED_VALUE"""),68.0)</f>
        <v>68</v>
      </c>
      <c r="F11431" s="19" t="str">
        <f>IFERROR(__xludf.DUMMYFUNCTION("""COMPUTED_VALUE"""),"BLACK")</f>
        <v>BLACK</v>
      </c>
      <c r="G11431" s="20" t="str">
        <f>IFERROR(__xludf.DUMMYFUNCTION("""COMPUTED_VALUE"""),"Uncle Sams Cider (04/04/2023)")</f>
        <v>Uncle Sams Cider (04/04/2023)</v>
      </c>
      <c r="H11431" s="19"/>
    </row>
    <row r="11432">
      <c r="A11432" s="9"/>
      <c r="B11432" s="15"/>
      <c r="C11432" s="9">
        <f>IFERROR(__xludf.DUMMYFUNCTION("""COMPUTED_VALUE"""),45024.2266778472)</f>
        <v>45024.22668</v>
      </c>
      <c r="D11432" s="15">
        <f>IFERROR(__xludf.DUMMYFUNCTION("""COMPUTED_VALUE"""),1.087)</f>
        <v>1.087</v>
      </c>
      <c r="E11432" s="16">
        <f>IFERROR(__xludf.DUMMYFUNCTION("""COMPUTED_VALUE"""),68.0)</f>
        <v>68</v>
      </c>
      <c r="F11432" s="19" t="str">
        <f>IFERROR(__xludf.DUMMYFUNCTION("""COMPUTED_VALUE"""),"BLACK")</f>
        <v>BLACK</v>
      </c>
      <c r="G11432" s="20" t="str">
        <f>IFERROR(__xludf.DUMMYFUNCTION("""COMPUTED_VALUE"""),"Uncle Sams Cider (04/04/2023)")</f>
        <v>Uncle Sams Cider (04/04/2023)</v>
      </c>
      <c r="H11432" s="19"/>
    </row>
    <row r="11433">
      <c r="A11433" s="9"/>
      <c r="B11433" s="15"/>
      <c r="C11433" s="9">
        <f>IFERROR(__xludf.DUMMYFUNCTION("""COMPUTED_VALUE"""),45024.2162563194)</f>
        <v>45024.21626</v>
      </c>
      <c r="D11433" s="15">
        <f>IFERROR(__xludf.DUMMYFUNCTION("""COMPUTED_VALUE"""),1.087)</f>
        <v>1.087</v>
      </c>
      <c r="E11433" s="16">
        <f>IFERROR(__xludf.DUMMYFUNCTION("""COMPUTED_VALUE"""),68.0)</f>
        <v>68</v>
      </c>
      <c r="F11433" s="19" t="str">
        <f>IFERROR(__xludf.DUMMYFUNCTION("""COMPUTED_VALUE"""),"BLACK")</f>
        <v>BLACK</v>
      </c>
      <c r="G11433" s="20" t="str">
        <f>IFERROR(__xludf.DUMMYFUNCTION("""COMPUTED_VALUE"""),"Uncle Sams Cider (04/04/2023)")</f>
        <v>Uncle Sams Cider (04/04/2023)</v>
      </c>
      <c r="H11433" s="19"/>
    </row>
    <row r="11434">
      <c r="A11434" s="9"/>
      <c r="B11434" s="15"/>
      <c r="C11434" s="9">
        <f>IFERROR(__xludf.DUMMYFUNCTION("""COMPUTED_VALUE"""),45024.2058339351)</f>
        <v>45024.20583</v>
      </c>
      <c r="D11434" s="15">
        <f>IFERROR(__xludf.DUMMYFUNCTION("""COMPUTED_VALUE"""),1.087)</f>
        <v>1.087</v>
      </c>
      <c r="E11434" s="16">
        <f>IFERROR(__xludf.DUMMYFUNCTION("""COMPUTED_VALUE"""),68.0)</f>
        <v>68</v>
      </c>
      <c r="F11434" s="19" t="str">
        <f>IFERROR(__xludf.DUMMYFUNCTION("""COMPUTED_VALUE"""),"BLACK")</f>
        <v>BLACK</v>
      </c>
      <c r="G11434" s="20" t="str">
        <f>IFERROR(__xludf.DUMMYFUNCTION("""COMPUTED_VALUE"""),"Uncle Sams Cider (04/04/2023)")</f>
        <v>Uncle Sams Cider (04/04/2023)</v>
      </c>
      <c r="H11434" s="19"/>
    </row>
    <row r="11435">
      <c r="A11435" s="9"/>
      <c r="B11435" s="15"/>
      <c r="C11435" s="9">
        <f>IFERROR(__xludf.DUMMYFUNCTION("""COMPUTED_VALUE"""),45024.1954110763)</f>
        <v>45024.19541</v>
      </c>
      <c r="D11435" s="15">
        <f>IFERROR(__xludf.DUMMYFUNCTION("""COMPUTED_VALUE"""),1.087)</f>
        <v>1.087</v>
      </c>
      <c r="E11435" s="16">
        <f>IFERROR(__xludf.DUMMYFUNCTION("""COMPUTED_VALUE"""),68.0)</f>
        <v>68</v>
      </c>
      <c r="F11435" s="19" t="str">
        <f>IFERROR(__xludf.DUMMYFUNCTION("""COMPUTED_VALUE"""),"BLACK")</f>
        <v>BLACK</v>
      </c>
      <c r="G11435" s="20" t="str">
        <f>IFERROR(__xludf.DUMMYFUNCTION("""COMPUTED_VALUE"""),"Uncle Sams Cider (04/04/2023)")</f>
        <v>Uncle Sams Cider (04/04/2023)</v>
      </c>
      <c r="H11435" s="19"/>
    </row>
    <row r="11436">
      <c r="A11436" s="9"/>
      <c r="B11436" s="15"/>
      <c r="C11436" s="9">
        <f>IFERROR(__xludf.DUMMYFUNCTION("""COMPUTED_VALUE"""),45024.1849885301)</f>
        <v>45024.18499</v>
      </c>
      <c r="D11436" s="15">
        <f>IFERROR(__xludf.DUMMYFUNCTION("""COMPUTED_VALUE"""),1.087)</f>
        <v>1.087</v>
      </c>
      <c r="E11436" s="16">
        <f>IFERROR(__xludf.DUMMYFUNCTION("""COMPUTED_VALUE"""),68.0)</f>
        <v>68</v>
      </c>
      <c r="F11436" s="19" t="str">
        <f>IFERROR(__xludf.DUMMYFUNCTION("""COMPUTED_VALUE"""),"BLACK")</f>
        <v>BLACK</v>
      </c>
      <c r="G11436" s="20" t="str">
        <f>IFERROR(__xludf.DUMMYFUNCTION("""COMPUTED_VALUE"""),"Uncle Sams Cider (04/04/2023)")</f>
        <v>Uncle Sams Cider (04/04/2023)</v>
      </c>
      <c r="H11436" s="19"/>
    </row>
    <row r="11437">
      <c r="A11437" s="9"/>
      <c r="B11437" s="15"/>
      <c r="C11437" s="9">
        <f>IFERROR(__xludf.DUMMYFUNCTION("""COMPUTED_VALUE"""),45024.174569375)</f>
        <v>45024.17457</v>
      </c>
      <c r="D11437" s="15">
        <f>IFERROR(__xludf.DUMMYFUNCTION("""COMPUTED_VALUE"""),1.087)</f>
        <v>1.087</v>
      </c>
      <c r="E11437" s="16">
        <f>IFERROR(__xludf.DUMMYFUNCTION("""COMPUTED_VALUE"""),68.0)</f>
        <v>68</v>
      </c>
      <c r="F11437" s="19" t="str">
        <f>IFERROR(__xludf.DUMMYFUNCTION("""COMPUTED_VALUE"""),"BLACK")</f>
        <v>BLACK</v>
      </c>
      <c r="G11437" s="20" t="str">
        <f>IFERROR(__xludf.DUMMYFUNCTION("""COMPUTED_VALUE"""),"Uncle Sams Cider (04/04/2023)")</f>
        <v>Uncle Sams Cider (04/04/2023)</v>
      </c>
      <c r="H11437" s="19"/>
    </row>
    <row r="11438">
      <c r="A11438" s="9"/>
      <c r="B11438" s="15"/>
      <c r="C11438" s="9">
        <f>IFERROR(__xludf.DUMMYFUNCTION("""COMPUTED_VALUE"""),45024.1641459606)</f>
        <v>45024.16415</v>
      </c>
      <c r="D11438" s="15">
        <f>IFERROR(__xludf.DUMMYFUNCTION("""COMPUTED_VALUE"""),1.088)</f>
        <v>1.088</v>
      </c>
      <c r="E11438" s="16">
        <f>IFERROR(__xludf.DUMMYFUNCTION("""COMPUTED_VALUE"""),68.0)</f>
        <v>68</v>
      </c>
      <c r="F11438" s="19" t="str">
        <f>IFERROR(__xludf.DUMMYFUNCTION("""COMPUTED_VALUE"""),"BLACK")</f>
        <v>BLACK</v>
      </c>
      <c r="G11438" s="20" t="str">
        <f>IFERROR(__xludf.DUMMYFUNCTION("""COMPUTED_VALUE"""),"Uncle Sams Cider (04/04/2023)")</f>
        <v>Uncle Sams Cider (04/04/2023)</v>
      </c>
      <c r="H11438" s="19"/>
    </row>
    <row r="11439">
      <c r="A11439" s="9"/>
      <c r="B11439" s="15"/>
      <c r="C11439" s="9">
        <f>IFERROR(__xludf.DUMMYFUNCTION("""COMPUTED_VALUE"""),45024.1537233564)</f>
        <v>45024.15372</v>
      </c>
      <c r="D11439" s="15">
        <f>IFERROR(__xludf.DUMMYFUNCTION("""COMPUTED_VALUE"""),1.088)</f>
        <v>1.088</v>
      </c>
      <c r="E11439" s="16">
        <f>IFERROR(__xludf.DUMMYFUNCTION("""COMPUTED_VALUE"""),68.0)</f>
        <v>68</v>
      </c>
      <c r="F11439" s="19" t="str">
        <f>IFERROR(__xludf.DUMMYFUNCTION("""COMPUTED_VALUE"""),"BLACK")</f>
        <v>BLACK</v>
      </c>
      <c r="G11439" s="20" t="str">
        <f>IFERROR(__xludf.DUMMYFUNCTION("""COMPUTED_VALUE"""),"Uncle Sams Cider (04/04/2023)")</f>
        <v>Uncle Sams Cider (04/04/2023)</v>
      </c>
      <c r="H11439" s="19"/>
    </row>
    <row r="11440">
      <c r="A11440" s="9"/>
      <c r="B11440" s="15"/>
      <c r="C11440" s="9">
        <f>IFERROR(__xludf.DUMMYFUNCTION("""COMPUTED_VALUE"""),45024.1433013425)</f>
        <v>45024.1433</v>
      </c>
      <c r="D11440" s="15">
        <f>IFERROR(__xludf.DUMMYFUNCTION("""COMPUTED_VALUE"""),1.088)</f>
        <v>1.088</v>
      </c>
      <c r="E11440" s="16">
        <f>IFERROR(__xludf.DUMMYFUNCTION("""COMPUTED_VALUE"""),68.0)</f>
        <v>68</v>
      </c>
      <c r="F11440" s="19" t="str">
        <f>IFERROR(__xludf.DUMMYFUNCTION("""COMPUTED_VALUE"""),"BLACK")</f>
        <v>BLACK</v>
      </c>
      <c r="G11440" s="20" t="str">
        <f>IFERROR(__xludf.DUMMYFUNCTION("""COMPUTED_VALUE"""),"Uncle Sams Cider (04/04/2023)")</f>
        <v>Uncle Sams Cider (04/04/2023)</v>
      </c>
      <c r="H11440" s="19"/>
    </row>
    <row r="11441">
      <c r="A11441" s="9"/>
      <c r="B11441" s="15"/>
      <c r="C11441" s="9">
        <f>IFERROR(__xludf.DUMMYFUNCTION("""COMPUTED_VALUE"""),45024.1328678703)</f>
        <v>45024.13287</v>
      </c>
      <c r="D11441" s="15">
        <f>IFERROR(__xludf.DUMMYFUNCTION("""COMPUTED_VALUE"""),1.088)</f>
        <v>1.088</v>
      </c>
      <c r="E11441" s="16">
        <f>IFERROR(__xludf.DUMMYFUNCTION("""COMPUTED_VALUE"""),68.0)</f>
        <v>68</v>
      </c>
      <c r="F11441" s="19" t="str">
        <f>IFERROR(__xludf.DUMMYFUNCTION("""COMPUTED_VALUE"""),"BLACK")</f>
        <v>BLACK</v>
      </c>
      <c r="G11441" s="20" t="str">
        <f>IFERROR(__xludf.DUMMYFUNCTION("""COMPUTED_VALUE"""),"Uncle Sams Cider (04/04/2023)")</f>
        <v>Uncle Sams Cider (04/04/2023)</v>
      </c>
      <c r="H11441" s="19"/>
    </row>
    <row r="11442">
      <c r="A11442" s="9"/>
      <c r="B11442" s="15"/>
      <c r="C11442" s="9">
        <f>IFERROR(__xludf.DUMMYFUNCTION("""COMPUTED_VALUE"""),45024.1224461342)</f>
        <v>45024.12245</v>
      </c>
      <c r="D11442" s="15">
        <f>IFERROR(__xludf.DUMMYFUNCTION("""COMPUTED_VALUE"""),1.088)</f>
        <v>1.088</v>
      </c>
      <c r="E11442" s="16">
        <f>IFERROR(__xludf.DUMMYFUNCTION("""COMPUTED_VALUE"""),68.0)</f>
        <v>68</v>
      </c>
      <c r="F11442" s="19" t="str">
        <f>IFERROR(__xludf.DUMMYFUNCTION("""COMPUTED_VALUE"""),"BLACK")</f>
        <v>BLACK</v>
      </c>
      <c r="G11442" s="20" t="str">
        <f>IFERROR(__xludf.DUMMYFUNCTION("""COMPUTED_VALUE"""),"Uncle Sams Cider (04/04/2023)")</f>
        <v>Uncle Sams Cider (04/04/2023)</v>
      </c>
      <c r="H11442" s="19"/>
    </row>
    <row r="11443">
      <c r="A11443" s="9"/>
      <c r="B11443" s="15"/>
      <c r="C11443" s="9">
        <f>IFERROR(__xludf.DUMMYFUNCTION("""COMPUTED_VALUE"""),45024.1120262152)</f>
        <v>45024.11203</v>
      </c>
      <c r="D11443" s="15">
        <f>IFERROR(__xludf.DUMMYFUNCTION("""COMPUTED_VALUE"""),1.088)</f>
        <v>1.088</v>
      </c>
      <c r="E11443" s="16">
        <f>IFERROR(__xludf.DUMMYFUNCTION("""COMPUTED_VALUE"""),68.0)</f>
        <v>68</v>
      </c>
      <c r="F11443" s="19" t="str">
        <f>IFERROR(__xludf.DUMMYFUNCTION("""COMPUTED_VALUE"""),"BLACK")</f>
        <v>BLACK</v>
      </c>
      <c r="G11443" s="20" t="str">
        <f>IFERROR(__xludf.DUMMYFUNCTION("""COMPUTED_VALUE"""),"Uncle Sams Cider (04/04/2023)")</f>
        <v>Uncle Sams Cider (04/04/2023)</v>
      </c>
      <c r="H11443" s="19"/>
    </row>
    <row r="11444">
      <c r="A11444" s="9"/>
      <c r="B11444" s="15"/>
      <c r="C11444" s="9">
        <f>IFERROR(__xludf.DUMMYFUNCTION("""COMPUTED_VALUE"""),45024.101604456)</f>
        <v>45024.1016</v>
      </c>
      <c r="D11444" s="15">
        <f>IFERROR(__xludf.DUMMYFUNCTION("""COMPUTED_VALUE"""),1.088)</f>
        <v>1.088</v>
      </c>
      <c r="E11444" s="16">
        <f>IFERROR(__xludf.DUMMYFUNCTION("""COMPUTED_VALUE"""),68.0)</f>
        <v>68</v>
      </c>
      <c r="F11444" s="19" t="str">
        <f>IFERROR(__xludf.DUMMYFUNCTION("""COMPUTED_VALUE"""),"BLACK")</f>
        <v>BLACK</v>
      </c>
      <c r="G11444" s="20" t="str">
        <f>IFERROR(__xludf.DUMMYFUNCTION("""COMPUTED_VALUE"""),"Uncle Sams Cider (04/04/2023)")</f>
        <v>Uncle Sams Cider (04/04/2023)</v>
      </c>
      <c r="H11444" s="19"/>
    </row>
    <row r="11445">
      <c r="A11445" s="9"/>
      <c r="B11445" s="15"/>
      <c r="C11445" s="9">
        <f>IFERROR(__xludf.DUMMYFUNCTION("""COMPUTED_VALUE"""),45024.0911828009)</f>
        <v>45024.09118</v>
      </c>
      <c r="D11445" s="15">
        <f>IFERROR(__xludf.DUMMYFUNCTION("""COMPUTED_VALUE"""),1.088)</f>
        <v>1.088</v>
      </c>
      <c r="E11445" s="16">
        <f>IFERROR(__xludf.DUMMYFUNCTION("""COMPUTED_VALUE"""),68.0)</f>
        <v>68</v>
      </c>
      <c r="F11445" s="19" t="str">
        <f>IFERROR(__xludf.DUMMYFUNCTION("""COMPUTED_VALUE"""),"BLACK")</f>
        <v>BLACK</v>
      </c>
      <c r="G11445" s="20" t="str">
        <f>IFERROR(__xludf.DUMMYFUNCTION("""COMPUTED_VALUE"""),"Uncle Sams Cider (04/04/2023)")</f>
        <v>Uncle Sams Cider (04/04/2023)</v>
      </c>
      <c r="H11445" s="19"/>
    </row>
    <row r="11446">
      <c r="A11446" s="9"/>
      <c r="B11446" s="15"/>
      <c r="C11446" s="9">
        <f>IFERROR(__xludf.DUMMYFUNCTION("""COMPUTED_VALUE"""),45024.0807610995)</f>
        <v>45024.08076</v>
      </c>
      <c r="D11446" s="15">
        <f>IFERROR(__xludf.DUMMYFUNCTION("""COMPUTED_VALUE"""),1.088)</f>
        <v>1.088</v>
      </c>
      <c r="E11446" s="16">
        <f>IFERROR(__xludf.DUMMYFUNCTION("""COMPUTED_VALUE"""),68.0)</f>
        <v>68</v>
      </c>
      <c r="F11446" s="19" t="str">
        <f>IFERROR(__xludf.DUMMYFUNCTION("""COMPUTED_VALUE"""),"BLACK")</f>
        <v>BLACK</v>
      </c>
      <c r="G11446" s="20" t="str">
        <f>IFERROR(__xludf.DUMMYFUNCTION("""COMPUTED_VALUE"""),"Uncle Sams Cider (04/04/2023)")</f>
        <v>Uncle Sams Cider (04/04/2023)</v>
      </c>
      <c r="H11446" s="19"/>
    </row>
    <row r="11447">
      <c r="A11447" s="9"/>
      <c r="B11447" s="15"/>
      <c r="C11447" s="9">
        <f>IFERROR(__xludf.DUMMYFUNCTION("""COMPUTED_VALUE"""),45024.0703387152)</f>
        <v>45024.07034</v>
      </c>
      <c r="D11447" s="15">
        <f>IFERROR(__xludf.DUMMYFUNCTION("""COMPUTED_VALUE"""),1.088)</f>
        <v>1.088</v>
      </c>
      <c r="E11447" s="16">
        <f>IFERROR(__xludf.DUMMYFUNCTION("""COMPUTED_VALUE"""),68.0)</f>
        <v>68</v>
      </c>
      <c r="F11447" s="19" t="str">
        <f>IFERROR(__xludf.DUMMYFUNCTION("""COMPUTED_VALUE"""),"BLACK")</f>
        <v>BLACK</v>
      </c>
      <c r="G11447" s="20" t="str">
        <f>IFERROR(__xludf.DUMMYFUNCTION("""COMPUTED_VALUE"""),"Uncle Sams Cider (04/04/2023)")</f>
        <v>Uncle Sams Cider (04/04/2023)</v>
      </c>
      <c r="H11447" s="19"/>
    </row>
    <row r="11448">
      <c r="A11448" s="9"/>
      <c r="B11448" s="15"/>
      <c r="C11448" s="9">
        <f>IFERROR(__xludf.DUMMYFUNCTION("""COMPUTED_VALUE"""),45024.0599178472)</f>
        <v>45024.05992</v>
      </c>
      <c r="D11448" s="15">
        <f>IFERROR(__xludf.DUMMYFUNCTION("""COMPUTED_VALUE"""),1.088)</f>
        <v>1.088</v>
      </c>
      <c r="E11448" s="16">
        <f>IFERROR(__xludf.DUMMYFUNCTION("""COMPUTED_VALUE"""),68.0)</f>
        <v>68</v>
      </c>
      <c r="F11448" s="19" t="str">
        <f>IFERROR(__xludf.DUMMYFUNCTION("""COMPUTED_VALUE"""),"BLACK")</f>
        <v>BLACK</v>
      </c>
      <c r="G11448" s="20" t="str">
        <f>IFERROR(__xludf.DUMMYFUNCTION("""COMPUTED_VALUE"""),"Uncle Sams Cider (04/04/2023)")</f>
        <v>Uncle Sams Cider (04/04/2023)</v>
      </c>
      <c r="H11448" s="19"/>
    </row>
    <row r="11449">
      <c r="A11449" s="9"/>
      <c r="B11449" s="15"/>
      <c r="C11449" s="9">
        <f>IFERROR(__xludf.DUMMYFUNCTION("""COMPUTED_VALUE"""),45024.049462581)</f>
        <v>45024.04946</v>
      </c>
      <c r="D11449" s="15">
        <f>IFERROR(__xludf.DUMMYFUNCTION("""COMPUTED_VALUE"""),1.089)</f>
        <v>1.089</v>
      </c>
      <c r="E11449" s="16">
        <f>IFERROR(__xludf.DUMMYFUNCTION("""COMPUTED_VALUE"""),68.0)</f>
        <v>68</v>
      </c>
      <c r="F11449" s="19" t="str">
        <f>IFERROR(__xludf.DUMMYFUNCTION("""COMPUTED_VALUE"""),"BLACK")</f>
        <v>BLACK</v>
      </c>
      <c r="G11449" s="20" t="str">
        <f>IFERROR(__xludf.DUMMYFUNCTION("""COMPUTED_VALUE"""),"Uncle Sams Cider (04/04/2023)")</f>
        <v>Uncle Sams Cider (04/04/2023)</v>
      </c>
      <c r="H11449" s="19"/>
    </row>
    <row r="11450">
      <c r="A11450" s="9"/>
      <c r="B11450" s="15"/>
      <c r="C11450" s="9">
        <f>IFERROR(__xludf.DUMMYFUNCTION("""COMPUTED_VALUE"""),45024.0390406365)</f>
        <v>45024.03904</v>
      </c>
      <c r="D11450" s="15">
        <f>IFERROR(__xludf.DUMMYFUNCTION("""COMPUTED_VALUE"""),1.089)</f>
        <v>1.089</v>
      </c>
      <c r="E11450" s="16">
        <f>IFERROR(__xludf.DUMMYFUNCTION("""COMPUTED_VALUE"""),68.0)</f>
        <v>68</v>
      </c>
      <c r="F11450" s="19" t="str">
        <f>IFERROR(__xludf.DUMMYFUNCTION("""COMPUTED_VALUE"""),"BLACK")</f>
        <v>BLACK</v>
      </c>
      <c r="G11450" s="20" t="str">
        <f>IFERROR(__xludf.DUMMYFUNCTION("""COMPUTED_VALUE"""),"Uncle Sams Cider (04/04/2023)")</f>
        <v>Uncle Sams Cider (04/04/2023)</v>
      </c>
      <c r="H11450" s="19"/>
    </row>
    <row r="11451">
      <c r="A11451" s="9"/>
      <c r="B11451" s="15"/>
      <c r="C11451" s="9">
        <f>IFERROR(__xludf.DUMMYFUNCTION("""COMPUTED_VALUE"""),45024.028620324)</f>
        <v>45024.02862</v>
      </c>
      <c r="D11451" s="15">
        <f>IFERROR(__xludf.DUMMYFUNCTION("""COMPUTED_VALUE"""),1.089)</f>
        <v>1.089</v>
      </c>
      <c r="E11451" s="16">
        <f>IFERROR(__xludf.DUMMYFUNCTION("""COMPUTED_VALUE"""),68.0)</f>
        <v>68</v>
      </c>
      <c r="F11451" s="19" t="str">
        <f>IFERROR(__xludf.DUMMYFUNCTION("""COMPUTED_VALUE"""),"BLACK")</f>
        <v>BLACK</v>
      </c>
      <c r="G11451" s="20" t="str">
        <f>IFERROR(__xludf.DUMMYFUNCTION("""COMPUTED_VALUE"""),"Uncle Sams Cider (04/04/2023)")</f>
        <v>Uncle Sams Cider (04/04/2023)</v>
      </c>
      <c r="H11451" s="19"/>
    </row>
    <row r="11452">
      <c r="A11452" s="9"/>
      <c r="B11452" s="15"/>
      <c r="C11452" s="9">
        <f>IFERROR(__xludf.DUMMYFUNCTION("""COMPUTED_VALUE"""),45024.0181864699)</f>
        <v>45024.01819</v>
      </c>
      <c r="D11452" s="15">
        <f>IFERROR(__xludf.DUMMYFUNCTION("""COMPUTED_VALUE"""),1.089)</f>
        <v>1.089</v>
      </c>
      <c r="E11452" s="16">
        <f>IFERROR(__xludf.DUMMYFUNCTION("""COMPUTED_VALUE"""),68.0)</f>
        <v>68</v>
      </c>
      <c r="F11452" s="19" t="str">
        <f>IFERROR(__xludf.DUMMYFUNCTION("""COMPUTED_VALUE"""),"BLACK")</f>
        <v>BLACK</v>
      </c>
      <c r="G11452" s="20" t="str">
        <f>IFERROR(__xludf.DUMMYFUNCTION("""COMPUTED_VALUE"""),"Uncle Sams Cider (04/04/2023)")</f>
        <v>Uncle Sams Cider (04/04/2023)</v>
      </c>
      <c r="H11452" s="19"/>
    </row>
    <row r="11453">
      <c r="A11453" s="9"/>
      <c r="B11453" s="15"/>
      <c r="C11453" s="9">
        <f>IFERROR(__xludf.DUMMYFUNCTION("""COMPUTED_VALUE"""),45024.0077645833)</f>
        <v>45024.00776</v>
      </c>
      <c r="D11453" s="15">
        <f>IFERROR(__xludf.DUMMYFUNCTION("""COMPUTED_VALUE"""),1.089)</f>
        <v>1.089</v>
      </c>
      <c r="E11453" s="16">
        <f>IFERROR(__xludf.DUMMYFUNCTION("""COMPUTED_VALUE"""),68.0)</f>
        <v>68</v>
      </c>
      <c r="F11453" s="19" t="str">
        <f>IFERROR(__xludf.DUMMYFUNCTION("""COMPUTED_VALUE"""),"BLACK")</f>
        <v>BLACK</v>
      </c>
      <c r="G11453" s="20" t="str">
        <f>IFERROR(__xludf.DUMMYFUNCTION("""COMPUTED_VALUE"""),"Uncle Sams Cider (04/04/2023)")</f>
        <v>Uncle Sams Cider (04/04/2023)</v>
      </c>
      <c r="H11453" s="19"/>
    </row>
    <row r="11454">
      <c r="A11454" s="9"/>
      <c r="B11454" s="15"/>
      <c r="C11454" s="9">
        <f>IFERROR(__xludf.DUMMYFUNCTION("""COMPUTED_VALUE"""),45023.9973427314)</f>
        <v>45023.99734</v>
      </c>
      <c r="D11454" s="15">
        <f>IFERROR(__xludf.DUMMYFUNCTION("""COMPUTED_VALUE"""),1.089)</f>
        <v>1.089</v>
      </c>
      <c r="E11454" s="16">
        <f>IFERROR(__xludf.DUMMYFUNCTION("""COMPUTED_VALUE"""),68.0)</f>
        <v>68</v>
      </c>
      <c r="F11454" s="19" t="str">
        <f>IFERROR(__xludf.DUMMYFUNCTION("""COMPUTED_VALUE"""),"BLACK")</f>
        <v>BLACK</v>
      </c>
      <c r="G11454" s="20" t="str">
        <f>IFERROR(__xludf.DUMMYFUNCTION("""COMPUTED_VALUE"""),"Uncle Sams Cider (04/04/2023)")</f>
        <v>Uncle Sams Cider (04/04/2023)</v>
      </c>
      <c r="H11454" s="19"/>
    </row>
    <row r="11455">
      <c r="A11455" s="9"/>
      <c r="B11455" s="15"/>
      <c r="C11455" s="9">
        <f>IFERROR(__xludf.DUMMYFUNCTION("""COMPUTED_VALUE"""),45023.9869213078)</f>
        <v>45023.98692</v>
      </c>
      <c r="D11455" s="15">
        <f>IFERROR(__xludf.DUMMYFUNCTION("""COMPUTED_VALUE"""),1.089)</f>
        <v>1.089</v>
      </c>
      <c r="E11455" s="16">
        <f>IFERROR(__xludf.DUMMYFUNCTION("""COMPUTED_VALUE"""),68.0)</f>
        <v>68</v>
      </c>
      <c r="F11455" s="19" t="str">
        <f>IFERROR(__xludf.DUMMYFUNCTION("""COMPUTED_VALUE"""),"BLACK")</f>
        <v>BLACK</v>
      </c>
      <c r="G11455" s="20" t="str">
        <f>IFERROR(__xludf.DUMMYFUNCTION("""COMPUTED_VALUE"""),"Uncle Sams Cider (04/04/2023)")</f>
        <v>Uncle Sams Cider (04/04/2023)</v>
      </c>
      <c r="H11455" s="19"/>
    </row>
    <row r="11456">
      <c r="A11456" s="9"/>
      <c r="B11456" s="15"/>
      <c r="C11456" s="9">
        <f>IFERROR(__xludf.DUMMYFUNCTION("""COMPUTED_VALUE"""),45023.9765004513)</f>
        <v>45023.9765</v>
      </c>
      <c r="D11456" s="15">
        <f>IFERROR(__xludf.DUMMYFUNCTION("""COMPUTED_VALUE"""),1.089)</f>
        <v>1.089</v>
      </c>
      <c r="E11456" s="16">
        <f>IFERROR(__xludf.DUMMYFUNCTION("""COMPUTED_VALUE"""),68.0)</f>
        <v>68</v>
      </c>
      <c r="F11456" s="19" t="str">
        <f>IFERROR(__xludf.DUMMYFUNCTION("""COMPUTED_VALUE"""),"BLACK")</f>
        <v>BLACK</v>
      </c>
      <c r="G11456" s="20" t="str">
        <f>IFERROR(__xludf.DUMMYFUNCTION("""COMPUTED_VALUE"""),"Uncle Sams Cider (04/04/2023)")</f>
        <v>Uncle Sams Cider (04/04/2023)</v>
      </c>
      <c r="H11456" s="19"/>
    </row>
    <row r="11457">
      <c r="A11457" s="9"/>
      <c r="B11457" s="15"/>
      <c r="C11457" s="9">
        <f>IFERROR(__xludf.DUMMYFUNCTION("""COMPUTED_VALUE"""),45023.9660810763)</f>
        <v>45023.96608</v>
      </c>
      <c r="D11457" s="15">
        <f>IFERROR(__xludf.DUMMYFUNCTION("""COMPUTED_VALUE"""),1.089)</f>
        <v>1.089</v>
      </c>
      <c r="E11457" s="16">
        <f>IFERROR(__xludf.DUMMYFUNCTION("""COMPUTED_VALUE"""),68.0)</f>
        <v>68</v>
      </c>
      <c r="F11457" s="19" t="str">
        <f>IFERROR(__xludf.DUMMYFUNCTION("""COMPUTED_VALUE"""),"BLACK")</f>
        <v>BLACK</v>
      </c>
      <c r="G11457" s="20" t="str">
        <f>IFERROR(__xludf.DUMMYFUNCTION("""COMPUTED_VALUE"""),"Uncle Sams Cider (04/04/2023)")</f>
        <v>Uncle Sams Cider (04/04/2023)</v>
      </c>
      <c r="H11457" s="19"/>
    </row>
    <row r="11458">
      <c r="A11458" s="9"/>
      <c r="B11458" s="15"/>
      <c r="C11458" s="9">
        <f>IFERROR(__xludf.DUMMYFUNCTION("""COMPUTED_VALUE"""),45023.9556588888)</f>
        <v>45023.95566</v>
      </c>
      <c r="D11458" s="15">
        <f>IFERROR(__xludf.DUMMYFUNCTION("""COMPUTED_VALUE"""),1.089)</f>
        <v>1.089</v>
      </c>
      <c r="E11458" s="16">
        <f>IFERROR(__xludf.DUMMYFUNCTION("""COMPUTED_VALUE"""),68.0)</f>
        <v>68</v>
      </c>
      <c r="F11458" s="19" t="str">
        <f>IFERROR(__xludf.DUMMYFUNCTION("""COMPUTED_VALUE"""),"BLACK")</f>
        <v>BLACK</v>
      </c>
      <c r="G11458" s="20" t="str">
        <f>IFERROR(__xludf.DUMMYFUNCTION("""COMPUTED_VALUE"""),"Uncle Sams Cider (04/04/2023)")</f>
        <v>Uncle Sams Cider (04/04/2023)</v>
      </c>
      <c r="H11458" s="19"/>
    </row>
    <row r="11459">
      <c r="A11459" s="9"/>
      <c r="B11459" s="15"/>
      <c r="C11459" s="9">
        <f>IFERROR(__xludf.DUMMYFUNCTION("""COMPUTED_VALUE"""),45023.9452398148)</f>
        <v>45023.94524</v>
      </c>
      <c r="D11459" s="15">
        <f>IFERROR(__xludf.DUMMYFUNCTION("""COMPUTED_VALUE"""),1.089)</f>
        <v>1.089</v>
      </c>
      <c r="E11459" s="16">
        <f>IFERROR(__xludf.DUMMYFUNCTION("""COMPUTED_VALUE"""),68.0)</f>
        <v>68</v>
      </c>
      <c r="F11459" s="19" t="str">
        <f>IFERROR(__xludf.DUMMYFUNCTION("""COMPUTED_VALUE"""),"BLACK")</f>
        <v>BLACK</v>
      </c>
      <c r="G11459" s="20" t="str">
        <f>IFERROR(__xludf.DUMMYFUNCTION("""COMPUTED_VALUE"""),"Uncle Sams Cider (04/04/2023)")</f>
        <v>Uncle Sams Cider (04/04/2023)</v>
      </c>
      <c r="H11459" s="19"/>
    </row>
    <row r="11460">
      <c r="A11460" s="9"/>
      <c r="B11460" s="15"/>
      <c r="C11460" s="9">
        <f>IFERROR(__xludf.DUMMYFUNCTION("""COMPUTED_VALUE"""),45023.9348176967)</f>
        <v>45023.93482</v>
      </c>
      <c r="D11460" s="15">
        <f>IFERROR(__xludf.DUMMYFUNCTION("""COMPUTED_VALUE"""),1.089)</f>
        <v>1.089</v>
      </c>
      <c r="E11460" s="16">
        <f>IFERROR(__xludf.DUMMYFUNCTION("""COMPUTED_VALUE"""),68.0)</f>
        <v>68</v>
      </c>
      <c r="F11460" s="19" t="str">
        <f>IFERROR(__xludf.DUMMYFUNCTION("""COMPUTED_VALUE"""),"BLACK")</f>
        <v>BLACK</v>
      </c>
      <c r="G11460" s="20" t="str">
        <f>IFERROR(__xludf.DUMMYFUNCTION("""COMPUTED_VALUE"""),"Uncle Sams Cider (04/04/2023)")</f>
        <v>Uncle Sams Cider (04/04/2023)</v>
      </c>
      <c r="H11460" s="19"/>
    </row>
    <row r="11461">
      <c r="A11461" s="9"/>
      <c r="B11461" s="15"/>
      <c r="C11461" s="9">
        <f>IFERROR(__xludf.DUMMYFUNCTION("""COMPUTED_VALUE"""),45023.9243951157)</f>
        <v>45023.9244</v>
      </c>
      <c r="D11461" s="15">
        <f>IFERROR(__xludf.DUMMYFUNCTION("""COMPUTED_VALUE"""),1.09)</f>
        <v>1.09</v>
      </c>
      <c r="E11461" s="16">
        <f>IFERROR(__xludf.DUMMYFUNCTION("""COMPUTED_VALUE"""),68.0)</f>
        <v>68</v>
      </c>
      <c r="F11461" s="19" t="str">
        <f>IFERROR(__xludf.DUMMYFUNCTION("""COMPUTED_VALUE"""),"BLACK")</f>
        <v>BLACK</v>
      </c>
      <c r="G11461" s="20" t="str">
        <f>IFERROR(__xludf.DUMMYFUNCTION("""COMPUTED_VALUE"""),"Uncle Sams Cider (04/04/2023)")</f>
        <v>Uncle Sams Cider (04/04/2023)</v>
      </c>
      <c r="H11461" s="19"/>
    </row>
    <row r="11462">
      <c r="A11462" s="9"/>
      <c r="B11462" s="15"/>
      <c r="C11462" s="9">
        <f>IFERROR(__xludf.DUMMYFUNCTION("""COMPUTED_VALUE"""),45023.9139734722)</f>
        <v>45023.91397</v>
      </c>
      <c r="D11462" s="15">
        <f>IFERROR(__xludf.DUMMYFUNCTION("""COMPUTED_VALUE"""),1.089)</f>
        <v>1.089</v>
      </c>
      <c r="E11462" s="16">
        <f>IFERROR(__xludf.DUMMYFUNCTION("""COMPUTED_VALUE"""),68.0)</f>
        <v>68</v>
      </c>
      <c r="F11462" s="19" t="str">
        <f>IFERROR(__xludf.DUMMYFUNCTION("""COMPUTED_VALUE"""),"BLACK")</f>
        <v>BLACK</v>
      </c>
      <c r="G11462" s="20" t="str">
        <f>IFERROR(__xludf.DUMMYFUNCTION("""COMPUTED_VALUE"""),"Uncle Sams Cider (04/04/2023)")</f>
        <v>Uncle Sams Cider (04/04/2023)</v>
      </c>
      <c r="H11462" s="19"/>
    </row>
    <row r="11463">
      <c r="A11463" s="9"/>
      <c r="B11463" s="15"/>
      <c r="C11463" s="9">
        <f>IFERROR(__xludf.DUMMYFUNCTION("""COMPUTED_VALUE"""),45023.9035409143)</f>
        <v>45023.90354</v>
      </c>
      <c r="D11463" s="15">
        <f>IFERROR(__xludf.DUMMYFUNCTION("""COMPUTED_VALUE"""),1.09)</f>
        <v>1.09</v>
      </c>
      <c r="E11463" s="16">
        <f>IFERROR(__xludf.DUMMYFUNCTION("""COMPUTED_VALUE"""),68.0)</f>
        <v>68</v>
      </c>
      <c r="F11463" s="19" t="str">
        <f>IFERROR(__xludf.DUMMYFUNCTION("""COMPUTED_VALUE"""),"BLACK")</f>
        <v>BLACK</v>
      </c>
      <c r="G11463" s="20" t="str">
        <f>IFERROR(__xludf.DUMMYFUNCTION("""COMPUTED_VALUE"""),"Uncle Sams Cider (04/04/2023)")</f>
        <v>Uncle Sams Cider (04/04/2023)</v>
      </c>
      <c r="H11463" s="19"/>
    </row>
    <row r="11464">
      <c r="A11464" s="9"/>
      <c r="B11464" s="15"/>
      <c r="C11464" s="9">
        <f>IFERROR(__xludf.DUMMYFUNCTION("""COMPUTED_VALUE"""),45023.8931084722)</f>
        <v>45023.89311</v>
      </c>
      <c r="D11464" s="15">
        <f>IFERROR(__xludf.DUMMYFUNCTION("""COMPUTED_VALUE"""),1.089)</f>
        <v>1.089</v>
      </c>
      <c r="E11464" s="16">
        <f>IFERROR(__xludf.DUMMYFUNCTION("""COMPUTED_VALUE"""),68.0)</f>
        <v>68</v>
      </c>
      <c r="F11464" s="19" t="str">
        <f>IFERROR(__xludf.DUMMYFUNCTION("""COMPUTED_VALUE"""),"BLACK")</f>
        <v>BLACK</v>
      </c>
      <c r="G11464" s="20" t="str">
        <f>IFERROR(__xludf.DUMMYFUNCTION("""COMPUTED_VALUE"""),"Uncle Sams Cider (04/04/2023)")</f>
        <v>Uncle Sams Cider (04/04/2023)</v>
      </c>
      <c r="H11464" s="19"/>
    </row>
    <row r="11465">
      <c r="A11465" s="9"/>
      <c r="B11465" s="15"/>
      <c r="C11465" s="9">
        <f>IFERROR(__xludf.DUMMYFUNCTION("""COMPUTED_VALUE"""),45023.8826878819)</f>
        <v>45023.88269</v>
      </c>
      <c r="D11465" s="15">
        <f>IFERROR(__xludf.DUMMYFUNCTION("""COMPUTED_VALUE"""),1.09)</f>
        <v>1.09</v>
      </c>
      <c r="E11465" s="16">
        <f>IFERROR(__xludf.DUMMYFUNCTION("""COMPUTED_VALUE"""),68.0)</f>
        <v>68</v>
      </c>
      <c r="F11465" s="19" t="str">
        <f>IFERROR(__xludf.DUMMYFUNCTION("""COMPUTED_VALUE"""),"BLACK")</f>
        <v>BLACK</v>
      </c>
      <c r="G11465" s="20" t="str">
        <f>IFERROR(__xludf.DUMMYFUNCTION("""COMPUTED_VALUE"""),"Uncle Sams Cider (04/04/2023)")</f>
        <v>Uncle Sams Cider (04/04/2023)</v>
      </c>
      <c r="H11465" s="19"/>
    </row>
    <row r="11466">
      <c r="A11466" s="9"/>
      <c r="B11466" s="15"/>
      <c r="C11466" s="9">
        <f>IFERROR(__xludf.DUMMYFUNCTION("""COMPUTED_VALUE"""),45023.8722665162)</f>
        <v>45023.87227</v>
      </c>
      <c r="D11466" s="15">
        <f>IFERROR(__xludf.DUMMYFUNCTION("""COMPUTED_VALUE"""),1.09)</f>
        <v>1.09</v>
      </c>
      <c r="E11466" s="16">
        <f>IFERROR(__xludf.DUMMYFUNCTION("""COMPUTED_VALUE"""),68.0)</f>
        <v>68</v>
      </c>
      <c r="F11466" s="19" t="str">
        <f>IFERROR(__xludf.DUMMYFUNCTION("""COMPUTED_VALUE"""),"BLACK")</f>
        <v>BLACK</v>
      </c>
      <c r="G11466" s="20" t="str">
        <f>IFERROR(__xludf.DUMMYFUNCTION("""COMPUTED_VALUE"""),"Uncle Sams Cider (04/04/2023)")</f>
        <v>Uncle Sams Cider (04/04/2023)</v>
      </c>
      <c r="H11466" s="19"/>
    </row>
    <row r="11467">
      <c r="A11467" s="9"/>
      <c r="B11467" s="15"/>
      <c r="C11467" s="9">
        <f>IFERROR(__xludf.DUMMYFUNCTION("""COMPUTED_VALUE"""),45023.8618457407)</f>
        <v>45023.86185</v>
      </c>
      <c r="D11467" s="15">
        <f>IFERROR(__xludf.DUMMYFUNCTION("""COMPUTED_VALUE"""),1.089)</f>
        <v>1.089</v>
      </c>
      <c r="E11467" s="16">
        <f>IFERROR(__xludf.DUMMYFUNCTION("""COMPUTED_VALUE"""),68.0)</f>
        <v>68</v>
      </c>
      <c r="F11467" s="19" t="str">
        <f>IFERROR(__xludf.DUMMYFUNCTION("""COMPUTED_VALUE"""),"BLACK")</f>
        <v>BLACK</v>
      </c>
      <c r="G11467" s="20" t="str">
        <f>IFERROR(__xludf.DUMMYFUNCTION("""COMPUTED_VALUE"""),"Uncle Sams Cider (04/04/2023)")</f>
        <v>Uncle Sams Cider (04/04/2023)</v>
      </c>
      <c r="H11467" s="19"/>
    </row>
    <row r="11468">
      <c r="A11468" s="9"/>
      <c r="B11468" s="15"/>
      <c r="C11468" s="9">
        <f>IFERROR(__xludf.DUMMYFUNCTION("""COMPUTED_VALUE"""),45023.8514253356)</f>
        <v>45023.85143</v>
      </c>
      <c r="D11468" s="15">
        <f>IFERROR(__xludf.DUMMYFUNCTION("""COMPUTED_VALUE"""),1.09)</f>
        <v>1.09</v>
      </c>
      <c r="E11468" s="16">
        <f>IFERROR(__xludf.DUMMYFUNCTION("""COMPUTED_VALUE"""),68.0)</f>
        <v>68</v>
      </c>
      <c r="F11468" s="19" t="str">
        <f>IFERROR(__xludf.DUMMYFUNCTION("""COMPUTED_VALUE"""),"BLACK")</f>
        <v>BLACK</v>
      </c>
      <c r="G11468" s="20" t="str">
        <f>IFERROR(__xludf.DUMMYFUNCTION("""COMPUTED_VALUE"""),"Uncle Sams Cider (04/04/2023)")</f>
        <v>Uncle Sams Cider (04/04/2023)</v>
      </c>
      <c r="H11468" s="19"/>
    </row>
    <row r="11469">
      <c r="A11469" s="9"/>
      <c r="B11469" s="15"/>
      <c r="C11469" s="9">
        <f>IFERROR(__xludf.DUMMYFUNCTION("""COMPUTED_VALUE"""),45023.8410035069)</f>
        <v>45023.841</v>
      </c>
      <c r="D11469" s="15">
        <f>IFERROR(__xludf.DUMMYFUNCTION("""COMPUTED_VALUE"""),1.09)</f>
        <v>1.09</v>
      </c>
      <c r="E11469" s="16">
        <f>IFERROR(__xludf.DUMMYFUNCTION("""COMPUTED_VALUE"""),68.0)</f>
        <v>68</v>
      </c>
      <c r="F11469" s="19" t="str">
        <f>IFERROR(__xludf.DUMMYFUNCTION("""COMPUTED_VALUE"""),"BLACK")</f>
        <v>BLACK</v>
      </c>
      <c r="G11469" s="20" t="str">
        <f>IFERROR(__xludf.DUMMYFUNCTION("""COMPUTED_VALUE"""),"Uncle Sams Cider (04/04/2023)")</f>
        <v>Uncle Sams Cider (04/04/2023)</v>
      </c>
      <c r="H11469" s="19"/>
    </row>
    <row r="11470">
      <c r="A11470" s="9"/>
      <c r="B11470" s="15"/>
      <c r="C11470" s="9">
        <f>IFERROR(__xludf.DUMMYFUNCTION("""COMPUTED_VALUE"""),45023.8305702546)</f>
        <v>45023.83057</v>
      </c>
      <c r="D11470" s="15">
        <f>IFERROR(__xludf.DUMMYFUNCTION("""COMPUTED_VALUE"""),1.09)</f>
        <v>1.09</v>
      </c>
      <c r="E11470" s="16">
        <f>IFERROR(__xludf.DUMMYFUNCTION("""COMPUTED_VALUE"""),68.0)</f>
        <v>68</v>
      </c>
      <c r="F11470" s="19" t="str">
        <f>IFERROR(__xludf.DUMMYFUNCTION("""COMPUTED_VALUE"""),"BLACK")</f>
        <v>BLACK</v>
      </c>
      <c r="G11470" s="20" t="str">
        <f>IFERROR(__xludf.DUMMYFUNCTION("""COMPUTED_VALUE"""),"Uncle Sams Cider (04/04/2023)")</f>
        <v>Uncle Sams Cider (04/04/2023)</v>
      </c>
      <c r="H11470" s="19"/>
    </row>
    <row r="11471">
      <c r="A11471" s="9"/>
      <c r="B11471" s="15"/>
      <c r="C11471" s="9">
        <f>IFERROR(__xludf.DUMMYFUNCTION("""COMPUTED_VALUE"""),45023.8201376504)</f>
        <v>45023.82014</v>
      </c>
      <c r="D11471" s="15">
        <f>IFERROR(__xludf.DUMMYFUNCTION("""COMPUTED_VALUE"""),1.09)</f>
        <v>1.09</v>
      </c>
      <c r="E11471" s="16">
        <f>IFERROR(__xludf.DUMMYFUNCTION("""COMPUTED_VALUE"""),68.0)</f>
        <v>68</v>
      </c>
      <c r="F11471" s="19" t="str">
        <f>IFERROR(__xludf.DUMMYFUNCTION("""COMPUTED_VALUE"""),"BLACK")</f>
        <v>BLACK</v>
      </c>
      <c r="G11471" s="20" t="str">
        <f>IFERROR(__xludf.DUMMYFUNCTION("""COMPUTED_VALUE"""),"Uncle Sams Cider (04/04/2023)")</f>
        <v>Uncle Sams Cider (04/04/2023)</v>
      </c>
      <c r="H11471" s="19"/>
    </row>
    <row r="11472">
      <c r="A11472" s="9"/>
      <c r="B11472" s="15"/>
      <c r="C11472" s="9">
        <f>IFERROR(__xludf.DUMMYFUNCTION("""COMPUTED_VALUE"""),45023.8097030092)</f>
        <v>45023.8097</v>
      </c>
      <c r="D11472" s="15">
        <f>IFERROR(__xludf.DUMMYFUNCTION("""COMPUTED_VALUE"""),1.09)</f>
        <v>1.09</v>
      </c>
      <c r="E11472" s="16">
        <f>IFERROR(__xludf.DUMMYFUNCTION("""COMPUTED_VALUE"""),68.0)</f>
        <v>68</v>
      </c>
      <c r="F11472" s="19" t="str">
        <f>IFERROR(__xludf.DUMMYFUNCTION("""COMPUTED_VALUE"""),"BLACK")</f>
        <v>BLACK</v>
      </c>
      <c r="G11472" s="20" t="str">
        <f>IFERROR(__xludf.DUMMYFUNCTION("""COMPUTED_VALUE"""),"Uncle Sams Cider (04/04/2023)")</f>
        <v>Uncle Sams Cider (04/04/2023)</v>
      </c>
      <c r="H11472" s="19"/>
    </row>
    <row r="11473">
      <c r="A11473" s="9"/>
      <c r="B11473" s="15"/>
      <c r="C11473" s="9">
        <f>IFERROR(__xludf.DUMMYFUNCTION("""COMPUTED_VALUE"""),45023.7992811689)</f>
        <v>45023.79928</v>
      </c>
      <c r="D11473" s="15">
        <f>IFERROR(__xludf.DUMMYFUNCTION("""COMPUTED_VALUE"""),1.09)</f>
        <v>1.09</v>
      </c>
      <c r="E11473" s="16">
        <f>IFERROR(__xludf.DUMMYFUNCTION("""COMPUTED_VALUE"""),68.0)</f>
        <v>68</v>
      </c>
      <c r="F11473" s="19" t="str">
        <f>IFERROR(__xludf.DUMMYFUNCTION("""COMPUTED_VALUE"""),"BLACK")</f>
        <v>BLACK</v>
      </c>
      <c r="G11473" s="20" t="str">
        <f>IFERROR(__xludf.DUMMYFUNCTION("""COMPUTED_VALUE"""),"Uncle Sams Cider (04/04/2023)")</f>
        <v>Uncle Sams Cider (04/04/2023)</v>
      </c>
      <c r="H11473" s="19"/>
    </row>
    <row r="11474">
      <c r="A11474" s="9"/>
      <c r="B11474" s="15"/>
      <c r="C11474" s="9">
        <f>IFERROR(__xludf.DUMMYFUNCTION("""COMPUTED_VALUE"""),45023.7888500926)</f>
        <v>45023.78885</v>
      </c>
      <c r="D11474" s="15">
        <f>IFERROR(__xludf.DUMMYFUNCTION("""COMPUTED_VALUE"""),1.09)</f>
        <v>1.09</v>
      </c>
      <c r="E11474" s="16">
        <f>IFERROR(__xludf.DUMMYFUNCTION("""COMPUTED_VALUE"""),68.0)</f>
        <v>68</v>
      </c>
      <c r="F11474" s="19" t="str">
        <f>IFERROR(__xludf.DUMMYFUNCTION("""COMPUTED_VALUE"""),"BLACK")</f>
        <v>BLACK</v>
      </c>
      <c r="G11474" s="20" t="str">
        <f>IFERROR(__xludf.DUMMYFUNCTION("""COMPUTED_VALUE"""),"Uncle Sams Cider (04/04/2023)")</f>
        <v>Uncle Sams Cider (04/04/2023)</v>
      </c>
      <c r="H11474" s="19"/>
    </row>
    <row r="11475">
      <c r="A11475" s="9"/>
      <c r="B11475" s="15"/>
      <c r="C11475" s="9">
        <f>IFERROR(__xludf.DUMMYFUNCTION("""COMPUTED_VALUE"""),45023.7784298726)</f>
        <v>45023.77843</v>
      </c>
      <c r="D11475" s="15">
        <f>IFERROR(__xludf.DUMMYFUNCTION("""COMPUTED_VALUE"""),1.09)</f>
        <v>1.09</v>
      </c>
      <c r="E11475" s="16">
        <f>IFERROR(__xludf.DUMMYFUNCTION("""COMPUTED_VALUE"""),68.0)</f>
        <v>68</v>
      </c>
      <c r="F11475" s="19" t="str">
        <f>IFERROR(__xludf.DUMMYFUNCTION("""COMPUTED_VALUE"""),"BLACK")</f>
        <v>BLACK</v>
      </c>
      <c r="G11475" s="20" t="str">
        <f>IFERROR(__xludf.DUMMYFUNCTION("""COMPUTED_VALUE"""),"Uncle Sams Cider (04/04/2023)")</f>
        <v>Uncle Sams Cider (04/04/2023)</v>
      </c>
      <c r="H11475" s="19"/>
    </row>
    <row r="11476">
      <c r="A11476" s="9"/>
      <c r="B11476" s="15"/>
      <c r="C11476" s="9">
        <f>IFERROR(__xludf.DUMMYFUNCTION("""COMPUTED_VALUE"""),45023.7680072338)</f>
        <v>45023.76801</v>
      </c>
      <c r="D11476" s="15">
        <f>IFERROR(__xludf.DUMMYFUNCTION("""COMPUTED_VALUE"""),1.09)</f>
        <v>1.09</v>
      </c>
      <c r="E11476" s="16">
        <f>IFERROR(__xludf.DUMMYFUNCTION("""COMPUTED_VALUE"""),68.0)</f>
        <v>68</v>
      </c>
      <c r="F11476" s="19" t="str">
        <f>IFERROR(__xludf.DUMMYFUNCTION("""COMPUTED_VALUE"""),"BLACK")</f>
        <v>BLACK</v>
      </c>
      <c r="G11476" s="20" t="str">
        <f>IFERROR(__xludf.DUMMYFUNCTION("""COMPUTED_VALUE"""),"Uncle Sams Cider (04/04/2023)")</f>
        <v>Uncle Sams Cider (04/04/2023)</v>
      </c>
      <c r="H11476" s="19"/>
    </row>
    <row r="11477">
      <c r="A11477" s="9"/>
      <c r="B11477" s="15"/>
      <c r="C11477" s="9">
        <f>IFERROR(__xludf.DUMMYFUNCTION("""COMPUTED_VALUE"""),45023.7575847222)</f>
        <v>45023.75758</v>
      </c>
      <c r="D11477" s="15">
        <f>IFERROR(__xludf.DUMMYFUNCTION("""COMPUTED_VALUE"""),1.09)</f>
        <v>1.09</v>
      </c>
      <c r="E11477" s="16">
        <f>IFERROR(__xludf.DUMMYFUNCTION("""COMPUTED_VALUE"""),68.0)</f>
        <v>68</v>
      </c>
      <c r="F11477" s="19" t="str">
        <f>IFERROR(__xludf.DUMMYFUNCTION("""COMPUTED_VALUE"""),"BLACK")</f>
        <v>BLACK</v>
      </c>
      <c r="G11477" s="20" t="str">
        <f>IFERROR(__xludf.DUMMYFUNCTION("""COMPUTED_VALUE"""),"Uncle Sams Cider (04/04/2023)")</f>
        <v>Uncle Sams Cider (04/04/2023)</v>
      </c>
      <c r="H11477" s="19"/>
    </row>
    <row r="11478">
      <c r="A11478" s="9"/>
      <c r="B11478" s="15"/>
      <c r="C11478" s="9">
        <f>IFERROR(__xludf.DUMMYFUNCTION("""COMPUTED_VALUE"""),45023.7471514236)</f>
        <v>45023.74715</v>
      </c>
      <c r="D11478" s="15">
        <f>IFERROR(__xludf.DUMMYFUNCTION("""COMPUTED_VALUE"""),1.09)</f>
        <v>1.09</v>
      </c>
      <c r="E11478" s="16">
        <f>IFERROR(__xludf.DUMMYFUNCTION("""COMPUTED_VALUE"""),68.0)</f>
        <v>68</v>
      </c>
      <c r="F11478" s="19" t="str">
        <f>IFERROR(__xludf.DUMMYFUNCTION("""COMPUTED_VALUE"""),"BLACK")</f>
        <v>BLACK</v>
      </c>
      <c r="G11478" s="20" t="str">
        <f>IFERROR(__xludf.DUMMYFUNCTION("""COMPUTED_VALUE"""),"Uncle Sams Cider (04/04/2023)")</f>
        <v>Uncle Sams Cider (04/04/2023)</v>
      </c>
      <c r="H11478" s="19"/>
    </row>
    <row r="11479">
      <c r="A11479" s="9"/>
      <c r="B11479" s="15"/>
      <c r="C11479" s="9">
        <f>IFERROR(__xludf.DUMMYFUNCTION("""COMPUTED_VALUE"""),45023.7367301967)</f>
        <v>45023.73673</v>
      </c>
      <c r="D11479" s="15">
        <f>IFERROR(__xludf.DUMMYFUNCTION("""COMPUTED_VALUE"""),1.091)</f>
        <v>1.091</v>
      </c>
      <c r="E11479" s="16">
        <f>IFERROR(__xludf.DUMMYFUNCTION("""COMPUTED_VALUE"""),68.0)</f>
        <v>68</v>
      </c>
      <c r="F11479" s="19" t="str">
        <f>IFERROR(__xludf.DUMMYFUNCTION("""COMPUTED_VALUE"""),"BLACK")</f>
        <v>BLACK</v>
      </c>
      <c r="G11479" s="20" t="str">
        <f>IFERROR(__xludf.DUMMYFUNCTION("""COMPUTED_VALUE"""),"Uncle Sams Cider (04/04/2023)")</f>
        <v>Uncle Sams Cider (04/04/2023)</v>
      </c>
      <c r="H11479" s="19"/>
    </row>
    <row r="11480">
      <c r="A11480" s="9"/>
      <c r="B11480" s="15"/>
      <c r="C11480" s="9">
        <f>IFERROR(__xludf.DUMMYFUNCTION("""COMPUTED_VALUE"""),45023.7263093055)</f>
        <v>45023.72631</v>
      </c>
      <c r="D11480" s="15">
        <f>IFERROR(__xludf.DUMMYFUNCTION("""COMPUTED_VALUE"""),1.09)</f>
        <v>1.09</v>
      </c>
      <c r="E11480" s="16">
        <f>IFERROR(__xludf.DUMMYFUNCTION("""COMPUTED_VALUE"""),68.0)</f>
        <v>68</v>
      </c>
      <c r="F11480" s="19" t="str">
        <f>IFERROR(__xludf.DUMMYFUNCTION("""COMPUTED_VALUE"""),"BLACK")</f>
        <v>BLACK</v>
      </c>
      <c r="G11480" s="20" t="str">
        <f>IFERROR(__xludf.DUMMYFUNCTION("""COMPUTED_VALUE"""),"Uncle Sams Cider (04/04/2023)")</f>
        <v>Uncle Sams Cider (04/04/2023)</v>
      </c>
      <c r="H11480" s="19"/>
    </row>
    <row r="11481">
      <c r="A11481" s="9"/>
      <c r="B11481" s="15"/>
      <c r="C11481" s="9">
        <f>IFERROR(__xludf.DUMMYFUNCTION("""COMPUTED_VALUE"""),45023.7158882754)</f>
        <v>45023.71589</v>
      </c>
      <c r="D11481" s="15">
        <f>IFERROR(__xludf.DUMMYFUNCTION("""COMPUTED_VALUE"""),1.091)</f>
        <v>1.091</v>
      </c>
      <c r="E11481" s="16">
        <f>IFERROR(__xludf.DUMMYFUNCTION("""COMPUTED_VALUE"""),68.0)</f>
        <v>68</v>
      </c>
      <c r="F11481" s="19" t="str">
        <f>IFERROR(__xludf.DUMMYFUNCTION("""COMPUTED_VALUE"""),"BLACK")</f>
        <v>BLACK</v>
      </c>
      <c r="G11481" s="20" t="str">
        <f>IFERROR(__xludf.DUMMYFUNCTION("""COMPUTED_VALUE"""),"Uncle Sams Cider (04/04/2023)")</f>
        <v>Uncle Sams Cider (04/04/2023)</v>
      </c>
      <c r="H11481" s="19"/>
    </row>
    <row r="11482">
      <c r="A11482" s="9"/>
      <c r="B11482" s="15"/>
      <c r="C11482" s="9">
        <f>IFERROR(__xludf.DUMMYFUNCTION("""COMPUTED_VALUE"""),45023.7054683564)</f>
        <v>45023.70547</v>
      </c>
      <c r="D11482" s="15">
        <f>IFERROR(__xludf.DUMMYFUNCTION("""COMPUTED_VALUE"""),1.09)</f>
        <v>1.09</v>
      </c>
      <c r="E11482" s="16">
        <f>IFERROR(__xludf.DUMMYFUNCTION("""COMPUTED_VALUE"""),68.0)</f>
        <v>68</v>
      </c>
      <c r="F11482" s="19" t="str">
        <f>IFERROR(__xludf.DUMMYFUNCTION("""COMPUTED_VALUE"""),"BLACK")</f>
        <v>BLACK</v>
      </c>
      <c r="G11482" s="20" t="str">
        <f>IFERROR(__xludf.DUMMYFUNCTION("""COMPUTED_VALUE"""),"Uncle Sams Cider (04/04/2023)")</f>
        <v>Uncle Sams Cider (04/04/2023)</v>
      </c>
      <c r="H11482" s="19"/>
    </row>
    <row r="11483">
      <c r="A11483" s="9"/>
      <c r="B11483" s="15"/>
      <c r="C11483" s="9">
        <f>IFERROR(__xludf.DUMMYFUNCTION("""COMPUTED_VALUE"""),45023.6950367824)</f>
        <v>45023.69504</v>
      </c>
      <c r="D11483" s="15">
        <f>IFERROR(__xludf.DUMMYFUNCTION("""COMPUTED_VALUE"""),1.091)</f>
        <v>1.091</v>
      </c>
      <c r="E11483" s="16">
        <f>IFERROR(__xludf.DUMMYFUNCTION("""COMPUTED_VALUE"""),68.0)</f>
        <v>68</v>
      </c>
      <c r="F11483" s="19" t="str">
        <f>IFERROR(__xludf.DUMMYFUNCTION("""COMPUTED_VALUE"""),"BLACK")</f>
        <v>BLACK</v>
      </c>
      <c r="G11483" s="20" t="str">
        <f>IFERROR(__xludf.DUMMYFUNCTION("""COMPUTED_VALUE"""),"Uncle Sams Cider (04/04/2023)")</f>
        <v>Uncle Sams Cider (04/04/2023)</v>
      </c>
      <c r="H11483" s="19"/>
    </row>
    <row r="11484">
      <c r="A11484" s="9"/>
      <c r="B11484" s="15"/>
      <c r="C11484" s="9">
        <f>IFERROR(__xludf.DUMMYFUNCTION("""COMPUTED_VALUE"""),45023.6846142129)</f>
        <v>45023.68461</v>
      </c>
      <c r="D11484" s="15">
        <f>IFERROR(__xludf.DUMMYFUNCTION("""COMPUTED_VALUE"""),1.091)</f>
        <v>1.091</v>
      </c>
      <c r="E11484" s="16">
        <f>IFERROR(__xludf.DUMMYFUNCTION("""COMPUTED_VALUE"""),68.0)</f>
        <v>68</v>
      </c>
      <c r="F11484" s="19" t="str">
        <f>IFERROR(__xludf.DUMMYFUNCTION("""COMPUTED_VALUE"""),"BLACK")</f>
        <v>BLACK</v>
      </c>
      <c r="G11484" s="20" t="str">
        <f>IFERROR(__xludf.DUMMYFUNCTION("""COMPUTED_VALUE"""),"Uncle Sams Cider (04/04/2023)")</f>
        <v>Uncle Sams Cider (04/04/2023)</v>
      </c>
      <c r="H11484" s="19"/>
    </row>
    <row r="11485">
      <c r="A11485" s="9"/>
      <c r="B11485" s="15"/>
      <c r="C11485" s="9">
        <f>IFERROR(__xludf.DUMMYFUNCTION("""COMPUTED_VALUE"""),45023.6741821296)</f>
        <v>45023.67418</v>
      </c>
      <c r="D11485" s="15">
        <f>IFERROR(__xludf.DUMMYFUNCTION("""COMPUTED_VALUE"""),1.091)</f>
        <v>1.091</v>
      </c>
      <c r="E11485" s="16">
        <f>IFERROR(__xludf.DUMMYFUNCTION("""COMPUTED_VALUE"""),68.0)</f>
        <v>68</v>
      </c>
      <c r="F11485" s="19" t="str">
        <f>IFERROR(__xludf.DUMMYFUNCTION("""COMPUTED_VALUE"""),"BLACK")</f>
        <v>BLACK</v>
      </c>
      <c r="G11485" s="20" t="str">
        <f>IFERROR(__xludf.DUMMYFUNCTION("""COMPUTED_VALUE"""),"Uncle Sams Cider (04/04/2023)")</f>
        <v>Uncle Sams Cider (04/04/2023)</v>
      </c>
      <c r="H11485" s="19"/>
    </row>
    <row r="11486">
      <c r="A11486" s="9"/>
      <c r="B11486" s="15"/>
      <c r="C11486" s="9">
        <f>IFERROR(__xludf.DUMMYFUNCTION("""COMPUTED_VALUE"""),45023.6637596296)</f>
        <v>45023.66376</v>
      </c>
      <c r="D11486" s="15">
        <f>IFERROR(__xludf.DUMMYFUNCTION("""COMPUTED_VALUE"""),1.091)</f>
        <v>1.091</v>
      </c>
      <c r="E11486" s="16">
        <f>IFERROR(__xludf.DUMMYFUNCTION("""COMPUTED_VALUE"""),68.0)</f>
        <v>68</v>
      </c>
      <c r="F11486" s="19" t="str">
        <f>IFERROR(__xludf.DUMMYFUNCTION("""COMPUTED_VALUE"""),"BLACK")</f>
        <v>BLACK</v>
      </c>
      <c r="G11486" s="20" t="str">
        <f>IFERROR(__xludf.DUMMYFUNCTION("""COMPUTED_VALUE"""),"Uncle Sams Cider (04/04/2023)")</f>
        <v>Uncle Sams Cider (04/04/2023)</v>
      </c>
      <c r="H11486" s="19"/>
    </row>
    <row r="11487">
      <c r="A11487" s="9"/>
      <c r="B11487" s="15"/>
      <c r="C11487" s="9">
        <f>IFERROR(__xludf.DUMMYFUNCTION("""COMPUTED_VALUE"""),45023.6533366319)</f>
        <v>45023.65334</v>
      </c>
      <c r="D11487" s="15">
        <f>IFERROR(__xludf.DUMMYFUNCTION("""COMPUTED_VALUE"""),1.091)</f>
        <v>1.091</v>
      </c>
      <c r="E11487" s="16">
        <f>IFERROR(__xludf.DUMMYFUNCTION("""COMPUTED_VALUE"""),68.0)</f>
        <v>68</v>
      </c>
      <c r="F11487" s="19" t="str">
        <f>IFERROR(__xludf.DUMMYFUNCTION("""COMPUTED_VALUE"""),"BLACK")</f>
        <v>BLACK</v>
      </c>
      <c r="G11487" s="20" t="str">
        <f>IFERROR(__xludf.DUMMYFUNCTION("""COMPUTED_VALUE"""),"Uncle Sams Cider (04/04/2023)")</f>
        <v>Uncle Sams Cider (04/04/2023)</v>
      </c>
      <c r="H11487" s="19"/>
    </row>
    <row r="11488">
      <c r="A11488" s="9"/>
      <c r="B11488" s="15"/>
      <c r="C11488" s="9">
        <f>IFERROR(__xludf.DUMMYFUNCTION("""COMPUTED_VALUE"""),45023.642914537)</f>
        <v>45023.64291</v>
      </c>
      <c r="D11488" s="15">
        <f>IFERROR(__xludf.DUMMYFUNCTION("""COMPUTED_VALUE"""),1.091)</f>
        <v>1.091</v>
      </c>
      <c r="E11488" s="16">
        <f>IFERROR(__xludf.DUMMYFUNCTION("""COMPUTED_VALUE"""),68.0)</f>
        <v>68</v>
      </c>
      <c r="F11488" s="19" t="str">
        <f>IFERROR(__xludf.DUMMYFUNCTION("""COMPUTED_VALUE"""),"BLACK")</f>
        <v>BLACK</v>
      </c>
      <c r="G11488" s="20" t="str">
        <f>IFERROR(__xludf.DUMMYFUNCTION("""COMPUTED_VALUE"""),"Uncle Sams Cider (04/04/2023)")</f>
        <v>Uncle Sams Cider (04/04/2023)</v>
      </c>
      <c r="H11488" s="19"/>
    </row>
    <row r="11489">
      <c r="A11489" s="9"/>
      <c r="B11489" s="15"/>
      <c r="C11489" s="9">
        <f>IFERROR(__xludf.DUMMYFUNCTION("""COMPUTED_VALUE"""),45023.6324461111)</f>
        <v>45023.63245</v>
      </c>
      <c r="D11489" s="15">
        <f>IFERROR(__xludf.DUMMYFUNCTION("""COMPUTED_VALUE"""),1.091)</f>
        <v>1.091</v>
      </c>
      <c r="E11489" s="16">
        <f>IFERROR(__xludf.DUMMYFUNCTION("""COMPUTED_VALUE"""),68.0)</f>
        <v>68</v>
      </c>
      <c r="F11489" s="19" t="str">
        <f>IFERROR(__xludf.DUMMYFUNCTION("""COMPUTED_VALUE"""),"BLACK")</f>
        <v>BLACK</v>
      </c>
      <c r="G11489" s="20" t="str">
        <f>IFERROR(__xludf.DUMMYFUNCTION("""COMPUTED_VALUE"""),"Uncle Sams Cider (04/04/2023)")</f>
        <v>Uncle Sams Cider (04/04/2023)</v>
      </c>
      <c r="H11489" s="19"/>
    </row>
    <row r="11490">
      <c r="A11490" s="9"/>
      <c r="B11490" s="15"/>
      <c r="C11490" s="9">
        <f>IFERROR(__xludf.DUMMYFUNCTION("""COMPUTED_VALUE"""),45023.6220028125)</f>
        <v>45023.622</v>
      </c>
      <c r="D11490" s="15">
        <f>IFERROR(__xludf.DUMMYFUNCTION("""COMPUTED_VALUE"""),1.091)</f>
        <v>1.091</v>
      </c>
      <c r="E11490" s="16">
        <f>IFERROR(__xludf.DUMMYFUNCTION("""COMPUTED_VALUE"""),68.0)</f>
        <v>68</v>
      </c>
      <c r="F11490" s="19" t="str">
        <f>IFERROR(__xludf.DUMMYFUNCTION("""COMPUTED_VALUE"""),"BLACK")</f>
        <v>BLACK</v>
      </c>
      <c r="G11490" s="20" t="str">
        <f>IFERROR(__xludf.DUMMYFUNCTION("""COMPUTED_VALUE"""),"Uncle Sams Cider (04/04/2023)")</f>
        <v>Uncle Sams Cider (04/04/2023)</v>
      </c>
      <c r="H11490" s="19"/>
    </row>
    <row r="11491">
      <c r="A11491" s="9"/>
      <c r="B11491" s="15"/>
      <c r="C11491" s="9">
        <f>IFERROR(__xludf.DUMMYFUNCTION("""COMPUTED_VALUE"""),45023.6115821064)</f>
        <v>45023.61158</v>
      </c>
      <c r="D11491" s="15">
        <f>IFERROR(__xludf.DUMMYFUNCTION("""COMPUTED_VALUE"""),1.091)</f>
        <v>1.091</v>
      </c>
      <c r="E11491" s="16">
        <f>IFERROR(__xludf.DUMMYFUNCTION("""COMPUTED_VALUE"""),68.0)</f>
        <v>68</v>
      </c>
      <c r="F11491" s="19" t="str">
        <f>IFERROR(__xludf.DUMMYFUNCTION("""COMPUTED_VALUE"""),"BLACK")</f>
        <v>BLACK</v>
      </c>
      <c r="G11491" s="20" t="str">
        <f>IFERROR(__xludf.DUMMYFUNCTION("""COMPUTED_VALUE"""),"Uncle Sams Cider (04/04/2023)")</f>
        <v>Uncle Sams Cider (04/04/2023)</v>
      </c>
      <c r="H11491" s="19"/>
    </row>
    <row r="11492">
      <c r="A11492" s="9"/>
      <c r="B11492" s="15"/>
      <c r="C11492" s="9">
        <f>IFERROR(__xludf.DUMMYFUNCTION("""COMPUTED_VALUE"""),45023.6011484838)</f>
        <v>45023.60115</v>
      </c>
      <c r="D11492" s="15">
        <f>IFERROR(__xludf.DUMMYFUNCTION("""COMPUTED_VALUE"""),1.091)</f>
        <v>1.091</v>
      </c>
      <c r="E11492" s="16">
        <f>IFERROR(__xludf.DUMMYFUNCTION("""COMPUTED_VALUE"""),68.0)</f>
        <v>68</v>
      </c>
      <c r="F11492" s="19" t="str">
        <f>IFERROR(__xludf.DUMMYFUNCTION("""COMPUTED_VALUE"""),"BLACK")</f>
        <v>BLACK</v>
      </c>
      <c r="G11492" s="20" t="str">
        <f>IFERROR(__xludf.DUMMYFUNCTION("""COMPUTED_VALUE"""),"Uncle Sams Cider (04/04/2023)")</f>
        <v>Uncle Sams Cider (04/04/2023)</v>
      </c>
      <c r="H11492" s="19"/>
    </row>
    <row r="11493">
      <c r="A11493" s="9"/>
      <c r="B11493" s="15"/>
      <c r="C11493" s="9">
        <f>IFERROR(__xludf.DUMMYFUNCTION("""COMPUTED_VALUE"""),45023.5907280439)</f>
        <v>45023.59073</v>
      </c>
      <c r="D11493" s="15">
        <f>IFERROR(__xludf.DUMMYFUNCTION("""COMPUTED_VALUE"""),1.091)</f>
        <v>1.091</v>
      </c>
      <c r="E11493" s="16">
        <f>IFERROR(__xludf.DUMMYFUNCTION("""COMPUTED_VALUE"""),68.0)</f>
        <v>68</v>
      </c>
      <c r="F11493" s="19" t="str">
        <f>IFERROR(__xludf.DUMMYFUNCTION("""COMPUTED_VALUE"""),"BLACK")</f>
        <v>BLACK</v>
      </c>
      <c r="G11493" s="20" t="str">
        <f>IFERROR(__xludf.DUMMYFUNCTION("""COMPUTED_VALUE"""),"Uncle Sams Cider (04/04/2023)")</f>
        <v>Uncle Sams Cider (04/04/2023)</v>
      </c>
      <c r="H11493" s="19"/>
    </row>
    <row r="11494">
      <c r="A11494" s="9"/>
      <c r="B11494" s="15"/>
      <c r="C11494" s="9">
        <f>IFERROR(__xludf.DUMMYFUNCTION("""COMPUTED_VALUE"""),45023.5803053356)</f>
        <v>45023.58031</v>
      </c>
      <c r="D11494" s="15">
        <f>IFERROR(__xludf.DUMMYFUNCTION("""COMPUTED_VALUE"""),1.091)</f>
        <v>1.091</v>
      </c>
      <c r="E11494" s="16">
        <f>IFERROR(__xludf.DUMMYFUNCTION("""COMPUTED_VALUE"""),68.0)</f>
        <v>68</v>
      </c>
      <c r="F11494" s="19" t="str">
        <f>IFERROR(__xludf.DUMMYFUNCTION("""COMPUTED_VALUE"""),"BLACK")</f>
        <v>BLACK</v>
      </c>
      <c r="G11494" s="20" t="str">
        <f>IFERROR(__xludf.DUMMYFUNCTION("""COMPUTED_VALUE"""),"Uncle Sams Cider (04/04/2023)")</f>
        <v>Uncle Sams Cider (04/04/2023)</v>
      </c>
      <c r="H11494" s="19"/>
    </row>
    <row r="11495">
      <c r="A11495" s="9"/>
      <c r="B11495" s="15"/>
      <c r="C11495" s="9">
        <f>IFERROR(__xludf.DUMMYFUNCTION("""COMPUTED_VALUE"""),45023.5698730208)</f>
        <v>45023.56987</v>
      </c>
      <c r="D11495" s="15">
        <f>IFERROR(__xludf.DUMMYFUNCTION("""COMPUTED_VALUE"""),1.091)</f>
        <v>1.091</v>
      </c>
      <c r="E11495" s="16">
        <f>IFERROR(__xludf.DUMMYFUNCTION("""COMPUTED_VALUE"""),68.0)</f>
        <v>68</v>
      </c>
      <c r="F11495" s="19" t="str">
        <f>IFERROR(__xludf.DUMMYFUNCTION("""COMPUTED_VALUE"""),"BLACK")</f>
        <v>BLACK</v>
      </c>
      <c r="G11495" s="20" t="str">
        <f>IFERROR(__xludf.DUMMYFUNCTION("""COMPUTED_VALUE"""),"Uncle Sams Cider (04/04/2023)")</f>
        <v>Uncle Sams Cider (04/04/2023)</v>
      </c>
      <c r="H11495" s="19"/>
    </row>
    <row r="11496">
      <c r="A11496" s="9"/>
      <c r="B11496" s="15"/>
      <c r="C11496" s="9">
        <f>IFERROR(__xludf.DUMMYFUNCTION("""COMPUTED_VALUE"""),45023.5594530324)</f>
        <v>45023.55945</v>
      </c>
      <c r="D11496" s="15">
        <f>IFERROR(__xludf.DUMMYFUNCTION("""COMPUTED_VALUE"""),1.091)</f>
        <v>1.091</v>
      </c>
      <c r="E11496" s="16">
        <f>IFERROR(__xludf.DUMMYFUNCTION("""COMPUTED_VALUE"""),68.0)</f>
        <v>68</v>
      </c>
      <c r="F11496" s="19" t="str">
        <f>IFERROR(__xludf.DUMMYFUNCTION("""COMPUTED_VALUE"""),"BLACK")</f>
        <v>BLACK</v>
      </c>
      <c r="G11496" s="20" t="str">
        <f>IFERROR(__xludf.DUMMYFUNCTION("""COMPUTED_VALUE"""),"Uncle Sams Cider (04/04/2023)")</f>
        <v>Uncle Sams Cider (04/04/2023)</v>
      </c>
      <c r="H11496" s="19"/>
    </row>
    <row r="11497">
      <c r="A11497" s="9"/>
      <c r="B11497" s="15"/>
      <c r="C11497" s="9">
        <f>IFERROR(__xludf.DUMMYFUNCTION("""COMPUTED_VALUE"""),45023.5490315972)</f>
        <v>45023.54903</v>
      </c>
      <c r="D11497" s="15">
        <f>IFERROR(__xludf.DUMMYFUNCTION("""COMPUTED_VALUE"""),1.091)</f>
        <v>1.091</v>
      </c>
      <c r="E11497" s="16">
        <f>IFERROR(__xludf.DUMMYFUNCTION("""COMPUTED_VALUE"""),68.0)</f>
        <v>68</v>
      </c>
      <c r="F11497" s="19" t="str">
        <f>IFERROR(__xludf.DUMMYFUNCTION("""COMPUTED_VALUE"""),"BLACK")</f>
        <v>BLACK</v>
      </c>
      <c r="G11497" s="20" t="str">
        <f>IFERROR(__xludf.DUMMYFUNCTION("""COMPUTED_VALUE"""),"Uncle Sams Cider (04/04/2023)")</f>
        <v>Uncle Sams Cider (04/04/2023)</v>
      </c>
      <c r="H11497" s="19"/>
    </row>
    <row r="11498">
      <c r="A11498" s="9"/>
      <c r="B11498" s="15"/>
      <c r="C11498" s="9">
        <f>IFERROR(__xludf.DUMMYFUNCTION("""COMPUTED_VALUE"""),45023.5386114004)</f>
        <v>45023.53861</v>
      </c>
      <c r="D11498" s="15">
        <f>IFERROR(__xludf.DUMMYFUNCTION("""COMPUTED_VALUE"""),1.092)</f>
        <v>1.092</v>
      </c>
      <c r="E11498" s="16">
        <f>IFERROR(__xludf.DUMMYFUNCTION("""COMPUTED_VALUE"""),68.0)</f>
        <v>68</v>
      </c>
      <c r="F11498" s="19" t="str">
        <f>IFERROR(__xludf.DUMMYFUNCTION("""COMPUTED_VALUE"""),"BLACK")</f>
        <v>BLACK</v>
      </c>
      <c r="G11498" s="20" t="str">
        <f>IFERROR(__xludf.DUMMYFUNCTION("""COMPUTED_VALUE"""),"Uncle Sams Cider (04/04/2023)")</f>
        <v>Uncle Sams Cider (04/04/2023)</v>
      </c>
      <c r="H11498" s="19"/>
    </row>
    <row r="11499">
      <c r="A11499" s="9"/>
      <c r="B11499" s="15"/>
      <c r="C11499" s="9">
        <f>IFERROR(__xludf.DUMMYFUNCTION("""COMPUTED_VALUE"""),45023.5281913078)</f>
        <v>45023.52819</v>
      </c>
      <c r="D11499" s="15">
        <f>IFERROR(__xludf.DUMMYFUNCTION("""COMPUTED_VALUE"""),1.092)</f>
        <v>1.092</v>
      </c>
      <c r="E11499" s="16">
        <f>IFERROR(__xludf.DUMMYFUNCTION("""COMPUTED_VALUE"""),68.0)</f>
        <v>68</v>
      </c>
      <c r="F11499" s="19" t="str">
        <f>IFERROR(__xludf.DUMMYFUNCTION("""COMPUTED_VALUE"""),"BLACK")</f>
        <v>BLACK</v>
      </c>
      <c r="G11499" s="20" t="str">
        <f>IFERROR(__xludf.DUMMYFUNCTION("""COMPUTED_VALUE"""),"Uncle Sams Cider (04/04/2023)")</f>
        <v>Uncle Sams Cider (04/04/2023)</v>
      </c>
      <c r="H11499" s="19"/>
    </row>
    <row r="11500">
      <c r="A11500" s="9"/>
      <c r="B11500" s="15"/>
      <c r="C11500" s="9">
        <f>IFERROR(__xludf.DUMMYFUNCTION("""COMPUTED_VALUE"""),45023.5177706481)</f>
        <v>45023.51777</v>
      </c>
      <c r="D11500" s="15">
        <f>IFERROR(__xludf.DUMMYFUNCTION("""COMPUTED_VALUE"""),1.092)</f>
        <v>1.092</v>
      </c>
      <c r="E11500" s="16">
        <f>IFERROR(__xludf.DUMMYFUNCTION("""COMPUTED_VALUE"""),68.0)</f>
        <v>68</v>
      </c>
      <c r="F11500" s="19" t="str">
        <f>IFERROR(__xludf.DUMMYFUNCTION("""COMPUTED_VALUE"""),"BLACK")</f>
        <v>BLACK</v>
      </c>
      <c r="G11500" s="20" t="str">
        <f>IFERROR(__xludf.DUMMYFUNCTION("""COMPUTED_VALUE"""),"Uncle Sams Cider (04/04/2023)")</f>
        <v>Uncle Sams Cider (04/04/2023)</v>
      </c>
      <c r="H11500" s="19"/>
    </row>
    <row r="11501">
      <c r="A11501" s="9"/>
      <c r="B11501" s="15"/>
      <c r="C11501" s="9">
        <f>IFERROR(__xludf.DUMMYFUNCTION("""COMPUTED_VALUE"""),45023.5073268981)</f>
        <v>45023.50733</v>
      </c>
      <c r="D11501" s="15">
        <f>IFERROR(__xludf.DUMMYFUNCTION("""COMPUTED_VALUE"""),1.092)</f>
        <v>1.092</v>
      </c>
      <c r="E11501" s="16">
        <f>IFERROR(__xludf.DUMMYFUNCTION("""COMPUTED_VALUE"""),68.0)</f>
        <v>68</v>
      </c>
      <c r="F11501" s="19" t="str">
        <f>IFERROR(__xludf.DUMMYFUNCTION("""COMPUTED_VALUE"""),"BLACK")</f>
        <v>BLACK</v>
      </c>
      <c r="G11501" s="20" t="str">
        <f>IFERROR(__xludf.DUMMYFUNCTION("""COMPUTED_VALUE"""),"Uncle Sams Cider (04/04/2023)")</f>
        <v>Uncle Sams Cider (04/04/2023)</v>
      </c>
      <c r="H11501" s="19"/>
    </row>
    <row r="11502">
      <c r="A11502" s="9"/>
      <c r="B11502" s="15"/>
      <c r="C11502" s="9">
        <f>IFERROR(__xludf.DUMMYFUNCTION("""COMPUTED_VALUE"""),45023.4969055439)</f>
        <v>45023.49691</v>
      </c>
      <c r="D11502" s="15">
        <f>IFERROR(__xludf.DUMMYFUNCTION("""COMPUTED_VALUE"""),1.092)</f>
        <v>1.092</v>
      </c>
      <c r="E11502" s="16">
        <f>IFERROR(__xludf.DUMMYFUNCTION("""COMPUTED_VALUE"""),68.0)</f>
        <v>68</v>
      </c>
      <c r="F11502" s="19" t="str">
        <f>IFERROR(__xludf.DUMMYFUNCTION("""COMPUTED_VALUE"""),"BLACK")</f>
        <v>BLACK</v>
      </c>
      <c r="G11502" s="20" t="str">
        <f>IFERROR(__xludf.DUMMYFUNCTION("""COMPUTED_VALUE"""),"Uncle Sams Cider (04/04/2023)")</f>
        <v>Uncle Sams Cider (04/04/2023)</v>
      </c>
      <c r="H11502" s="19"/>
    </row>
    <row r="11503">
      <c r="A11503" s="9"/>
      <c r="B11503" s="15"/>
      <c r="C11503" s="9">
        <f>IFERROR(__xludf.DUMMYFUNCTION("""COMPUTED_VALUE"""),45023.4864724189)</f>
        <v>45023.48647</v>
      </c>
      <c r="D11503" s="15">
        <f>IFERROR(__xludf.DUMMYFUNCTION("""COMPUTED_VALUE"""),1.092)</f>
        <v>1.092</v>
      </c>
      <c r="E11503" s="16">
        <f>IFERROR(__xludf.DUMMYFUNCTION("""COMPUTED_VALUE"""),68.0)</f>
        <v>68</v>
      </c>
      <c r="F11503" s="19" t="str">
        <f>IFERROR(__xludf.DUMMYFUNCTION("""COMPUTED_VALUE"""),"BLACK")</f>
        <v>BLACK</v>
      </c>
      <c r="G11503" s="20" t="str">
        <f>IFERROR(__xludf.DUMMYFUNCTION("""COMPUTED_VALUE"""),"Uncle Sams Cider (04/04/2023)")</f>
        <v>Uncle Sams Cider (04/04/2023)</v>
      </c>
      <c r="H11503" s="19"/>
    </row>
    <row r="11504">
      <c r="A11504" s="9"/>
      <c r="B11504" s="15"/>
      <c r="C11504" s="9">
        <f>IFERROR(__xludf.DUMMYFUNCTION("""COMPUTED_VALUE"""),45023.4760530787)</f>
        <v>45023.47605</v>
      </c>
      <c r="D11504" s="15">
        <f>IFERROR(__xludf.DUMMYFUNCTION("""COMPUTED_VALUE"""),1.092)</f>
        <v>1.092</v>
      </c>
      <c r="E11504" s="16">
        <f>IFERROR(__xludf.DUMMYFUNCTION("""COMPUTED_VALUE"""),68.0)</f>
        <v>68</v>
      </c>
      <c r="F11504" s="19" t="str">
        <f>IFERROR(__xludf.DUMMYFUNCTION("""COMPUTED_VALUE"""),"BLACK")</f>
        <v>BLACK</v>
      </c>
      <c r="G11504" s="20" t="str">
        <f>IFERROR(__xludf.DUMMYFUNCTION("""COMPUTED_VALUE"""),"Uncle Sams Cider (04/04/2023)")</f>
        <v>Uncle Sams Cider (04/04/2023)</v>
      </c>
      <c r="H11504" s="19"/>
    </row>
    <row r="11505">
      <c r="A11505" s="9"/>
      <c r="B11505" s="15"/>
      <c r="C11505" s="9">
        <f>IFERROR(__xludf.DUMMYFUNCTION("""COMPUTED_VALUE"""),45023.465632581)</f>
        <v>45023.46563</v>
      </c>
      <c r="D11505" s="15">
        <f>IFERROR(__xludf.DUMMYFUNCTION("""COMPUTED_VALUE"""),1.092)</f>
        <v>1.092</v>
      </c>
      <c r="E11505" s="16">
        <f>IFERROR(__xludf.DUMMYFUNCTION("""COMPUTED_VALUE"""),68.0)</f>
        <v>68</v>
      </c>
      <c r="F11505" s="19" t="str">
        <f>IFERROR(__xludf.DUMMYFUNCTION("""COMPUTED_VALUE"""),"BLACK")</f>
        <v>BLACK</v>
      </c>
      <c r="G11505" s="20" t="str">
        <f>IFERROR(__xludf.DUMMYFUNCTION("""COMPUTED_VALUE"""),"Uncle Sams Cider (04/04/2023)")</f>
        <v>Uncle Sams Cider (04/04/2023)</v>
      </c>
      <c r="H11505" s="19"/>
    </row>
    <row r="11506">
      <c r="A11506" s="9"/>
      <c r="B11506" s="15"/>
      <c r="C11506" s="9">
        <f>IFERROR(__xludf.DUMMYFUNCTION("""COMPUTED_VALUE"""),45023.4552143865)</f>
        <v>45023.45521</v>
      </c>
      <c r="D11506" s="15">
        <f>IFERROR(__xludf.DUMMYFUNCTION("""COMPUTED_VALUE"""),1.092)</f>
        <v>1.092</v>
      </c>
      <c r="E11506" s="16">
        <f>IFERROR(__xludf.DUMMYFUNCTION("""COMPUTED_VALUE"""),68.0)</f>
        <v>68</v>
      </c>
      <c r="F11506" s="19" t="str">
        <f>IFERROR(__xludf.DUMMYFUNCTION("""COMPUTED_VALUE"""),"BLACK")</f>
        <v>BLACK</v>
      </c>
      <c r="G11506" s="20" t="str">
        <f>IFERROR(__xludf.DUMMYFUNCTION("""COMPUTED_VALUE"""),"Uncle Sams Cider (04/04/2023)")</f>
        <v>Uncle Sams Cider (04/04/2023)</v>
      </c>
      <c r="H11506" s="19"/>
    </row>
    <row r="11507">
      <c r="A11507" s="9"/>
      <c r="B11507" s="15"/>
      <c r="C11507" s="9">
        <f>IFERROR(__xludf.DUMMYFUNCTION("""COMPUTED_VALUE"""),45023.4447703935)</f>
        <v>45023.44477</v>
      </c>
      <c r="D11507" s="15">
        <f>IFERROR(__xludf.DUMMYFUNCTION("""COMPUTED_VALUE"""),1.092)</f>
        <v>1.092</v>
      </c>
      <c r="E11507" s="16">
        <f>IFERROR(__xludf.DUMMYFUNCTION("""COMPUTED_VALUE"""),68.0)</f>
        <v>68</v>
      </c>
      <c r="F11507" s="19" t="str">
        <f>IFERROR(__xludf.DUMMYFUNCTION("""COMPUTED_VALUE"""),"BLACK")</f>
        <v>BLACK</v>
      </c>
      <c r="G11507" s="20" t="str">
        <f>IFERROR(__xludf.DUMMYFUNCTION("""COMPUTED_VALUE"""),"Uncle Sams Cider (04/04/2023)")</f>
        <v>Uncle Sams Cider (04/04/2023)</v>
      </c>
      <c r="H11507" s="19"/>
    </row>
    <row r="11508">
      <c r="A11508" s="9"/>
      <c r="B11508" s="15"/>
      <c r="C11508" s="9">
        <f>IFERROR(__xludf.DUMMYFUNCTION("""COMPUTED_VALUE"""),45023.434348125)</f>
        <v>45023.43435</v>
      </c>
      <c r="D11508" s="15">
        <f>IFERROR(__xludf.DUMMYFUNCTION("""COMPUTED_VALUE"""),1.092)</f>
        <v>1.092</v>
      </c>
      <c r="E11508" s="16">
        <f>IFERROR(__xludf.DUMMYFUNCTION("""COMPUTED_VALUE"""),68.0)</f>
        <v>68</v>
      </c>
      <c r="F11508" s="19" t="str">
        <f>IFERROR(__xludf.DUMMYFUNCTION("""COMPUTED_VALUE"""),"BLACK")</f>
        <v>BLACK</v>
      </c>
      <c r="G11508" s="20" t="str">
        <f>IFERROR(__xludf.DUMMYFUNCTION("""COMPUTED_VALUE"""),"Uncle Sams Cider (04/04/2023)")</f>
        <v>Uncle Sams Cider (04/04/2023)</v>
      </c>
      <c r="H11508" s="19"/>
    </row>
    <row r="11509">
      <c r="A11509" s="9"/>
      <c r="B11509" s="15"/>
      <c r="C11509" s="9">
        <f>IFERROR(__xludf.DUMMYFUNCTION("""COMPUTED_VALUE"""),45023.4239264699)</f>
        <v>45023.42393</v>
      </c>
      <c r="D11509" s="15">
        <f>IFERROR(__xludf.DUMMYFUNCTION("""COMPUTED_VALUE"""),1.092)</f>
        <v>1.092</v>
      </c>
      <c r="E11509" s="16">
        <f>IFERROR(__xludf.DUMMYFUNCTION("""COMPUTED_VALUE"""),68.0)</f>
        <v>68</v>
      </c>
      <c r="F11509" s="19" t="str">
        <f>IFERROR(__xludf.DUMMYFUNCTION("""COMPUTED_VALUE"""),"BLACK")</f>
        <v>BLACK</v>
      </c>
      <c r="G11509" s="20" t="str">
        <f>IFERROR(__xludf.DUMMYFUNCTION("""COMPUTED_VALUE"""),"Uncle Sams Cider (04/04/2023)")</f>
        <v>Uncle Sams Cider (04/04/2023)</v>
      </c>
      <c r="H11509" s="19"/>
    </row>
    <row r="11510">
      <c r="A11510" s="9"/>
      <c r="B11510" s="15"/>
      <c r="C11510" s="9">
        <f>IFERROR(__xludf.DUMMYFUNCTION("""COMPUTED_VALUE"""),45023.4135031018)</f>
        <v>45023.4135</v>
      </c>
      <c r="D11510" s="15">
        <f>IFERROR(__xludf.DUMMYFUNCTION("""COMPUTED_VALUE"""),1.092)</f>
        <v>1.092</v>
      </c>
      <c r="E11510" s="16">
        <f>IFERROR(__xludf.DUMMYFUNCTION("""COMPUTED_VALUE"""),68.0)</f>
        <v>68</v>
      </c>
      <c r="F11510" s="19" t="str">
        <f>IFERROR(__xludf.DUMMYFUNCTION("""COMPUTED_VALUE"""),"BLACK")</f>
        <v>BLACK</v>
      </c>
      <c r="G11510" s="20" t="str">
        <f>IFERROR(__xludf.DUMMYFUNCTION("""COMPUTED_VALUE"""),"Uncle Sams Cider (04/04/2023)")</f>
        <v>Uncle Sams Cider (04/04/2023)</v>
      </c>
      <c r="H11510" s="19"/>
    </row>
    <row r="11511">
      <c r="A11511" s="9"/>
      <c r="B11511" s="15"/>
      <c r="C11511" s="9">
        <f>IFERROR(__xludf.DUMMYFUNCTION("""COMPUTED_VALUE"""),45023.403068831)</f>
        <v>45023.40307</v>
      </c>
      <c r="D11511" s="15">
        <f>IFERROR(__xludf.DUMMYFUNCTION("""COMPUTED_VALUE"""),1.092)</f>
        <v>1.092</v>
      </c>
      <c r="E11511" s="16">
        <f>IFERROR(__xludf.DUMMYFUNCTION("""COMPUTED_VALUE"""),68.0)</f>
        <v>68</v>
      </c>
      <c r="F11511" s="19" t="str">
        <f>IFERROR(__xludf.DUMMYFUNCTION("""COMPUTED_VALUE"""),"BLACK")</f>
        <v>BLACK</v>
      </c>
      <c r="G11511" s="20" t="str">
        <f>IFERROR(__xludf.DUMMYFUNCTION("""COMPUTED_VALUE"""),"Uncle Sams Cider (04/04/2023)")</f>
        <v>Uncle Sams Cider (04/04/2023)</v>
      </c>
      <c r="H11511" s="19"/>
    </row>
    <row r="11512">
      <c r="A11512" s="9"/>
      <c r="B11512" s="15"/>
      <c r="C11512" s="9">
        <f>IFERROR(__xludf.DUMMYFUNCTION("""COMPUTED_VALUE"""),45023.3926478009)</f>
        <v>45023.39265</v>
      </c>
      <c r="D11512" s="15">
        <f>IFERROR(__xludf.DUMMYFUNCTION("""COMPUTED_VALUE"""),1.092)</f>
        <v>1.092</v>
      </c>
      <c r="E11512" s="16">
        <f>IFERROR(__xludf.DUMMYFUNCTION("""COMPUTED_VALUE"""),68.0)</f>
        <v>68</v>
      </c>
      <c r="F11512" s="19" t="str">
        <f>IFERROR(__xludf.DUMMYFUNCTION("""COMPUTED_VALUE"""),"BLACK")</f>
        <v>BLACK</v>
      </c>
      <c r="G11512" s="20" t="str">
        <f>IFERROR(__xludf.DUMMYFUNCTION("""COMPUTED_VALUE"""),"Uncle Sams Cider (04/04/2023)")</f>
        <v>Uncle Sams Cider (04/04/2023)</v>
      </c>
      <c r="H11512" s="19"/>
    </row>
    <row r="11513">
      <c r="A11513" s="9"/>
      <c r="B11513" s="15"/>
      <c r="C11513" s="9">
        <f>IFERROR(__xludf.DUMMYFUNCTION("""COMPUTED_VALUE"""),45023.3822277893)</f>
        <v>45023.38223</v>
      </c>
      <c r="D11513" s="15">
        <f>IFERROR(__xludf.DUMMYFUNCTION("""COMPUTED_VALUE"""),1.092)</f>
        <v>1.092</v>
      </c>
      <c r="E11513" s="16">
        <f>IFERROR(__xludf.DUMMYFUNCTION("""COMPUTED_VALUE"""),68.0)</f>
        <v>68</v>
      </c>
      <c r="F11513" s="19" t="str">
        <f>IFERROR(__xludf.DUMMYFUNCTION("""COMPUTED_VALUE"""),"BLACK")</f>
        <v>BLACK</v>
      </c>
      <c r="G11513" s="20" t="str">
        <f>IFERROR(__xludf.DUMMYFUNCTION("""COMPUTED_VALUE"""),"Uncle Sams Cider (04/04/2023)")</f>
        <v>Uncle Sams Cider (04/04/2023)</v>
      </c>
      <c r="H11513" s="19"/>
    </row>
    <row r="11514">
      <c r="A11514" s="9"/>
      <c r="B11514" s="15"/>
      <c r="C11514" s="9">
        <f>IFERROR(__xludf.DUMMYFUNCTION("""COMPUTED_VALUE"""),45023.3717946759)</f>
        <v>45023.37179</v>
      </c>
      <c r="D11514" s="15">
        <f>IFERROR(__xludf.DUMMYFUNCTION("""COMPUTED_VALUE"""),1.092)</f>
        <v>1.092</v>
      </c>
      <c r="E11514" s="16">
        <f>IFERROR(__xludf.DUMMYFUNCTION("""COMPUTED_VALUE"""),68.0)</f>
        <v>68</v>
      </c>
      <c r="F11514" s="19" t="str">
        <f>IFERROR(__xludf.DUMMYFUNCTION("""COMPUTED_VALUE"""),"BLACK")</f>
        <v>BLACK</v>
      </c>
      <c r="G11514" s="20" t="str">
        <f>IFERROR(__xludf.DUMMYFUNCTION("""COMPUTED_VALUE"""),"Uncle Sams Cider (04/04/2023)")</f>
        <v>Uncle Sams Cider (04/04/2023)</v>
      </c>
      <c r="H11514" s="19"/>
    </row>
    <row r="11515">
      <c r="A11515" s="9"/>
      <c r="B11515" s="15"/>
      <c r="C11515" s="9">
        <f>IFERROR(__xludf.DUMMYFUNCTION("""COMPUTED_VALUE"""),45023.3613732523)</f>
        <v>45023.36137</v>
      </c>
      <c r="D11515" s="15">
        <f>IFERROR(__xludf.DUMMYFUNCTION("""COMPUTED_VALUE"""),1.092)</f>
        <v>1.092</v>
      </c>
      <c r="E11515" s="16">
        <f>IFERROR(__xludf.DUMMYFUNCTION("""COMPUTED_VALUE"""),68.0)</f>
        <v>68</v>
      </c>
      <c r="F11515" s="19" t="str">
        <f>IFERROR(__xludf.DUMMYFUNCTION("""COMPUTED_VALUE"""),"BLACK")</f>
        <v>BLACK</v>
      </c>
      <c r="G11515" s="20" t="str">
        <f>IFERROR(__xludf.DUMMYFUNCTION("""COMPUTED_VALUE"""),"Uncle Sams Cider (04/04/2023)")</f>
        <v>Uncle Sams Cider (04/04/2023)</v>
      </c>
      <c r="H11515" s="19"/>
    </row>
    <row r="11516">
      <c r="A11516" s="9"/>
      <c r="B11516" s="15"/>
      <c r="C11516" s="9">
        <f>IFERROR(__xludf.DUMMYFUNCTION("""COMPUTED_VALUE"""),45023.350952824)</f>
        <v>45023.35095</v>
      </c>
      <c r="D11516" s="15">
        <f>IFERROR(__xludf.DUMMYFUNCTION("""COMPUTED_VALUE"""),1.092)</f>
        <v>1.092</v>
      </c>
      <c r="E11516" s="16">
        <f>IFERROR(__xludf.DUMMYFUNCTION("""COMPUTED_VALUE"""),68.0)</f>
        <v>68</v>
      </c>
      <c r="F11516" s="19" t="str">
        <f>IFERROR(__xludf.DUMMYFUNCTION("""COMPUTED_VALUE"""),"BLACK")</f>
        <v>BLACK</v>
      </c>
      <c r="G11516" s="20" t="str">
        <f>IFERROR(__xludf.DUMMYFUNCTION("""COMPUTED_VALUE"""),"Uncle Sams Cider (04/04/2023)")</f>
        <v>Uncle Sams Cider (04/04/2023)</v>
      </c>
      <c r="H11516" s="19"/>
    </row>
    <row r="11517">
      <c r="A11517" s="9"/>
      <c r="B11517" s="15"/>
      <c r="C11517" s="9">
        <f>IFERROR(__xludf.DUMMYFUNCTION("""COMPUTED_VALUE"""),45023.3405205671)</f>
        <v>45023.34052</v>
      </c>
      <c r="D11517" s="15">
        <f>IFERROR(__xludf.DUMMYFUNCTION("""COMPUTED_VALUE"""),1.092)</f>
        <v>1.092</v>
      </c>
      <c r="E11517" s="16">
        <f>IFERROR(__xludf.DUMMYFUNCTION("""COMPUTED_VALUE"""),67.0)</f>
        <v>67</v>
      </c>
      <c r="F11517" s="19" t="str">
        <f>IFERROR(__xludf.DUMMYFUNCTION("""COMPUTED_VALUE"""),"BLACK")</f>
        <v>BLACK</v>
      </c>
      <c r="G11517" s="20" t="str">
        <f>IFERROR(__xludf.DUMMYFUNCTION("""COMPUTED_VALUE"""),"Uncle Sams Cider (04/04/2023)")</f>
        <v>Uncle Sams Cider (04/04/2023)</v>
      </c>
      <c r="H11517" s="19"/>
    </row>
    <row r="11518">
      <c r="A11518" s="9"/>
      <c r="B11518" s="15"/>
      <c r="C11518" s="9">
        <f>IFERROR(__xludf.DUMMYFUNCTION("""COMPUTED_VALUE"""),45023.3301007407)</f>
        <v>45023.3301</v>
      </c>
      <c r="D11518" s="15">
        <f>IFERROR(__xludf.DUMMYFUNCTION("""COMPUTED_VALUE"""),1.093)</f>
        <v>1.093</v>
      </c>
      <c r="E11518" s="16">
        <f>IFERROR(__xludf.DUMMYFUNCTION("""COMPUTED_VALUE"""),68.0)</f>
        <v>68</v>
      </c>
      <c r="F11518" s="19" t="str">
        <f>IFERROR(__xludf.DUMMYFUNCTION("""COMPUTED_VALUE"""),"BLACK")</f>
        <v>BLACK</v>
      </c>
      <c r="G11518" s="20" t="str">
        <f>IFERROR(__xludf.DUMMYFUNCTION("""COMPUTED_VALUE"""),"Uncle Sams Cider (04/04/2023)")</f>
        <v>Uncle Sams Cider (04/04/2023)</v>
      </c>
      <c r="H11518" s="19"/>
    </row>
    <row r="11519">
      <c r="A11519" s="9"/>
      <c r="B11519" s="15"/>
      <c r="C11519" s="9">
        <f>IFERROR(__xludf.DUMMYFUNCTION("""COMPUTED_VALUE"""),45023.3196561805)</f>
        <v>45023.31966</v>
      </c>
      <c r="D11519" s="15">
        <f>IFERROR(__xludf.DUMMYFUNCTION("""COMPUTED_VALUE"""),1.092)</f>
        <v>1.092</v>
      </c>
      <c r="E11519" s="16">
        <f>IFERROR(__xludf.DUMMYFUNCTION("""COMPUTED_VALUE"""),67.0)</f>
        <v>67</v>
      </c>
      <c r="F11519" s="19" t="str">
        <f>IFERROR(__xludf.DUMMYFUNCTION("""COMPUTED_VALUE"""),"BLACK")</f>
        <v>BLACK</v>
      </c>
      <c r="G11519" s="20" t="str">
        <f>IFERROR(__xludf.DUMMYFUNCTION("""COMPUTED_VALUE"""),"Uncle Sams Cider (04/04/2023)")</f>
        <v>Uncle Sams Cider (04/04/2023)</v>
      </c>
      <c r="H11519" s="19"/>
    </row>
    <row r="11520">
      <c r="A11520" s="9"/>
      <c r="B11520" s="15"/>
      <c r="C11520" s="9">
        <f>IFERROR(__xludf.DUMMYFUNCTION("""COMPUTED_VALUE"""),45023.3092228125)</f>
        <v>45023.30922</v>
      </c>
      <c r="D11520" s="15">
        <f>IFERROR(__xludf.DUMMYFUNCTION("""COMPUTED_VALUE"""),1.093)</f>
        <v>1.093</v>
      </c>
      <c r="E11520" s="16">
        <f>IFERROR(__xludf.DUMMYFUNCTION("""COMPUTED_VALUE"""),67.0)</f>
        <v>67</v>
      </c>
      <c r="F11520" s="19" t="str">
        <f>IFERROR(__xludf.DUMMYFUNCTION("""COMPUTED_VALUE"""),"BLACK")</f>
        <v>BLACK</v>
      </c>
      <c r="G11520" s="20" t="str">
        <f>IFERROR(__xludf.DUMMYFUNCTION("""COMPUTED_VALUE"""),"Uncle Sams Cider (04/04/2023)")</f>
        <v>Uncle Sams Cider (04/04/2023)</v>
      </c>
      <c r="H11520" s="19"/>
    </row>
    <row r="11521">
      <c r="A11521" s="9"/>
      <c r="B11521" s="15"/>
      <c r="C11521" s="9">
        <f>IFERROR(__xludf.DUMMYFUNCTION("""COMPUTED_VALUE"""),45023.2987990509)</f>
        <v>45023.2988</v>
      </c>
      <c r="D11521" s="15">
        <f>IFERROR(__xludf.DUMMYFUNCTION("""COMPUTED_VALUE"""),1.093)</f>
        <v>1.093</v>
      </c>
      <c r="E11521" s="16">
        <f>IFERROR(__xludf.DUMMYFUNCTION("""COMPUTED_VALUE"""),67.0)</f>
        <v>67</v>
      </c>
      <c r="F11521" s="19" t="str">
        <f>IFERROR(__xludf.DUMMYFUNCTION("""COMPUTED_VALUE"""),"BLACK")</f>
        <v>BLACK</v>
      </c>
      <c r="G11521" s="20" t="str">
        <f>IFERROR(__xludf.DUMMYFUNCTION("""COMPUTED_VALUE"""),"Uncle Sams Cider (04/04/2023)")</f>
        <v>Uncle Sams Cider (04/04/2023)</v>
      </c>
      <c r="H11521" s="19"/>
    </row>
    <row r="11522">
      <c r="A11522" s="9"/>
      <c r="B11522" s="15"/>
      <c r="C11522" s="9">
        <f>IFERROR(__xludf.DUMMYFUNCTION("""COMPUTED_VALUE"""),45023.2883760995)</f>
        <v>45023.28838</v>
      </c>
      <c r="D11522" s="15">
        <f>IFERROR(__xludf.DUMMYFUNCTION("""COMPUTED_VALUE"""),1.093)</f>
        <v>1.093</v>
      </c>
      <c r="E11522" s="16">
        <f>IFERROR(__xludf.DUMMYFUNCTION("""COMPUTED_VALUE"""),67.0)</f>
        <v>67</v>
      </c>
      <c r="F11522" s="19" t="str">
        <f>IFERROR(__xludf.DUMMYFUNCTION("""COMPUTED_VALUE"""),"BLACK")</f>
        <v>BLACK</v>
      </c>
      <c r="G11522" s="20" t="str">
        <f>IFERROR(__xludf.DUMMYFUNCTION("""COMPUTED_VALUE"""),"Uncle Sams Cider (04/04/2023)")</f>
        <v>Uncle Sams Cider (04/04/2023)</v>
      </c>
      <c r="H11522" s="19"/>
    </row>
    <row r="11523">
      <c r="A11523" s="9"/>
      <c r="B11523" s="15"/>
      <c r="C11523" s="9">
        <f>IFERROR(__xludf.DUMMYFUNCTION("""COMPUTED_VALUE"""),45023.2779554629)</f>
        <v>45023.27796</v>
      </c>
      <c r="D11523" s="15">
        <f>IFERROR(__xludf.DUMMYFUNCTION("""COMPUTED_VALUE"""),1.093)</f>
        <v>1.093</v>
      </c>
      <c r="E11523" s="16">
        <f>IFERROR(__xludf.DUMMYFUNCTION("""COMPUTED_VALUE"""),67.0)</f>
        <v>67</v>
      </c>
      <c r="F11523" s="19" t="str">
        <f>IFERROR(__xludf.DUMMYFUNCTION("""COMPUTED_VALUE"""),"BLACK")</f>
        <v>BLACK</v>
      </c>
      <c r="G11523" s="20" t="str">
        <f>IFERROR(__xludf.DUMMYFUNCTION("""COMPUTED_VALUE"""),"Uncle Sams Cider (04/04/2023)")</f>
        <v>Uncle Sams Cider (04/04/2023)</v>
      </c>
      <c r="H11523" s="19"/>
    </row>
    <row r="11524">
      <c r="A11524" s="9"/>
      <c r="B11524" s="15"/>
      <c r="C11524" s="9">
        <f>IFERROR(__xludf.DUMMYFUNCTION("""COMPUTED_VALUE"""),45023.2675107176)</f>
        <v>45023.26751</v>
      </c>
      <c r="D11524" s="15">
        <f>IFERROR(__xludf.DUMMYFUNCTION("""COMPUTED_VALUE"""),1.093)</f>
        <v>1.093</v>
      </c>
      <c r="E11524" s="16">
        <f>IFERROR(__xludf.DUMMYFUNCTION("""COMPUTED_VALUE"""),67.0)</f>
        <v>67</v>
      </c>
      <c r="F11524" s="19" t="str">
        <f>IFERROR(__xludf.DUMMYFUNCTION("""COMPUTED_VALUE"""),"BLACK")</f>
        <v>BLACK</v>
      </c>
      <c r="G11524" s="20" t="str">
        <f>IFERROR(__xludf.DUMMYFUNCTION("""COMPUTED_VALUE"""),"Uncle Sams Cider (04/04/2023)")</f>
        <v>Uncle Sams Cider (04/04/2023)</v>
      </c>
      <c r="H11524" s="19"/>
    </row>
    <row r="11525">
      <c r="A11525" s="9"/>
      <c r="B11525" s="15"/>
      <c r="C11525" s="9">
        <f>IFERROR(__xludf.DUMMYFUNCTION("""COMPUTED_VALUE"""),45023.2570902199)</f>
        <v>45023.25709</v>
      </c>
      <c r="D11525" s="15">
        <f>IFERROR(__xludf.DUMMYFUNCTION("""COMPUTED_VALUE"""),1.093)</f>
        <v>1.093</v>
      </c>
      <c r="E11525" s="16">
        <f>IFERROR(__xludf.DUMMYFUNCTION("""COMPUTED_VALUE"""),67.0)</f>
        <v>67</v>
      </c>
      <c r="F11525" s="19" t="str">
        <f>IFERROR(__xludf.DUMMYFUNCTION("""COMPUTED_VALUE"""),"BLACK")</f>
        <v>BLACK</v>
      </c>
      <c r="G11525" s="20" t="str">
        <f>IFERROR(__xludf.DUMMYFUNCTION("""COMPUTED_VALUE"""),"Uncle Sams Cider (04/04/2023)")</f>
        <v>Uncle Sams Cider (04/04/2023)</v>
      </c>
      <c r="H11525" s="19"/>
    </row>
    <row r="11526">
      <c r="A11526" s="9"/>
      <c r="B11526" s="15"/>
      <c r="C11526" s="9">
        <f>IFERROR(__xludf.DUMMYFUNCTION("""COMPUTED_VALUE"""),45023.2466568055)</f>
        <v>45023.24666</v>
      </c>
      <c r="D11526" s="15">
        <f>IFERROR(__xludf.DUMMYFUNCTION("""COMPUTED_VALUE"""),1.093)</f>
        <v>1.093</v>
      </c>
      <c r="E11526" s="16">
        <f>IFERROR(__xludf.DUMMYFUNCTION("""COMPUTED_VALUE"""),67.0)</f>
        <v>67</v>
      </c>
      <c r="F11526" s="19" t="str">
        <f>IFERROR(__xludf.DUMMYFUNCTION("""COMPUTED_VALUE"""),"BLACK")</f>
        <v>BLACK</v>
      </c>
      <c r="G11526" s="20" t="str">
        <f>IFERROR(__xludf.DUMMYFUNCTION("""COMPUTED_VALUE"""),"Uncle Sams Cider (04/04/2023)")</f>
        <v>Uncle Sams Cider (04/04/2023)</v>
      </c>
      <c r="H11526" s="19"/>
    </row>
    <row r="11527">
      <c r="A11527" s="9"/>
      <c r="B11527" s="15"/>
      <c r="C11527" s="9">
        <f>IFERROR(__xludf.DUMMYFUNCTION("""COMPUTED_VALUE"""),45023.2362359375)</f>
        <v>45023.23624</v>
      </c>
      <c r="D11527" s="15">
        <f>IFERROR(__xludf.DUMMYFUNCTION("""COMPUTED_VALUE"""),1.093)</f>
        <v>1.093</v>
      </c>
      <c r="E11527" s="16">
        <f>IFERROR(__xludf.DUMMYFUNCTION("""COMPUTED_VALUE"""),67.0)</f>
        <v>67</v>
      </c>
      <c r="F11527" s="19" t="str">
        <f>IFERROR(__xludf.DUMMYFUNCTION("""COMPUTED_VALUE"""),"BLACK")</f>
        <v>BLACK</v>
      </c>
      <c r="G11527" s="20" t="str">
        <f>IFERROR(__xludf.DUMMYFUNCTION("""COMPUTED_VALUE"""),"Uncle Sams Cider (04/04/2023)")</f>
        <v>Uncle Sams Cider (04/04/2023)</v>
      </c>
      <c r="H11527" s="19"/>
    </row>
    <row r="11528">
      <c r="A11528" s="9"/>
      <c r="B11528" s="15"/>
      <c r="C11528" s="9">
        <f>IFERROR(__xludf.DUMMYFUNCTION("""COMPUTED_VALUE"""),45023.2258151967)</f>
        <v>45023.22582</v>
      </c>
      <c r="D11528" s="15">
        <f>IFERROR(__xludf.DUMMYFUNCTION("""COMPUTED_VALUE"""),1.093)</f>
        <v>1.093</v>
      </c>
      <c r="E11528" s="16">
        <f>IFERROR(__xludf.DUMMYFUNCTION("""COMPUTED_VALUE"""),67.0)</f>
        <v>67</v>
      </c>
      <c r="F11528" s="19" t="str">
        <f>IFERROR(__xludf.DUMMYFUNCTION("""COMPUTED_VALUE"""),"BLACK")</f>
        <v>BLACK</v>
      </c>
      <c r="G11528" s="20" t="str">
        <f>IFERROR(__xludf.DUMMYFUNCTION("""COMPUTED_VALUE"""),"Uncle Sams Cider (04/04/2023)")</f>
        <v>Uncle Sams Cider (04/04/2023)</v>
      </c>
      <c r="H11528" s="19"/>
    </row>
    <row r="11529">
      <c r="A11529" s="9"/>
      <c r="B11529" s="15"/>
      <c r="C11529" s="9">
        <f>IFERROR(__xludf.DUMMYFUNCTION("""COMPUTED_VALUE"""),45023.2153937847)</f>
        <v>45023.21539</v>
      </c>
      <c r="D11529" s="15">
        <f>IFERROR(__xludf.DUMMYFUNCTION("""COMPUTED_VALUE"""),1.093)</f>
        <v>1.093</v>
      </c>
      <c r="E11529" s="16">
        <f>IFERROR(__xludf.DUMMYFUNCTION("""COMPUTED_VALUE"""),67.0)</f>
        <v>67</v>
      </c>
      <c r="F11529" s="19" t="str">
        <f>IFERROR(__xludf.DUMMYFUNCTION("""COMPUTED_VALUE"""),"BLACK")</f>
        <v>BLACK</v>
      </c>
      <c r="G11529" s="20" t="str">
        <f>IFERROR(__xludf.DUMMYFUNCTION("""COMPUTED_VALUE"""),"Uncle Sams Cider (04/04/2023)")</f>
        <v>Uncle Sams Cider (04/04/2023)</v>
      </c>
      <c r="H11529" s="19"/>
    </row>
    <row r="11530">
      <c r="A11530" s="9"/>
      <c r="B11530" s="15"/>
      <c r="C11530" s="9">
        <f>IFERROR(__xludf.DUMMYFUNCTION("""COMPUTED_VALUE"""),45023.2049605092)</f>
        <v>45023.20496</v>
      </c>
      <c r="D11530" s="15">
        <f>IFERROR(__xludf.DUMMYFUNCTION("""COMPUTED_VALUE"""),1.093)</f>
        <v>1.093</v>
      </c>
      <c r="E11530" s="16">
        <f>IFERROR(__xludf.DUMMYFUNCTION("""COMPUTED_VALUE"""),67.0)</f>
        <v>67</v>
      </c>
      <c r="F11530" s="19" t="str">
        <f>IFERROR(__xludf.DUMMYFUNCTION("""COMPUTED_VALUE"""),"BLACK")</f>
        <v>BLACK</v>
      </c>
      <c r="G11530" s="20" t="str">
        <f>IFERROR(__xludf.DUMMYFUNCTION("""COMPUTED_VALUE"""),"Uncle Sams Cider (04/04/2023)")</f>
        <v>Uncle Sams Cider (04/04/2023)</v>
      </c>
      <c r="H11530" s="19"/>
    </row>
    <row r="11531">
      <c r="A11531" s="9"/>
      <c r="B11531" s="15"/>
      <c r="C11531" s="9">
        <f>IFERROR(__xludf.DUMMYFUNCTION("""COMPUTED_VALUE"""),45023.1945390393)</f>
        <v>45023.19454</v>
      </c>
      <c r="D11531" s="15">
        <f>IFERROR(__xludf.DUMMYFUNCTION("""COMPUTED_VALUE"""),1.093)</f>
        <v>1.093</v>
      </c>
      <c r="E11531" s="16">
        <f>IFERROR(__xludf.DUMMYFUNCTION("""COMPUTED_VALUE"""),67.0)</f>
        <v>67</v>
      </c>
      <c r="F11531" s="19" t="str">
        <f>IFERROR(__xludf.DUMMYFUNCTION("""COMPUTED_VALUE"""),"BLACK")</f>
        <v>BLACK</v>
      </c>
      <c r="G11531" s="20" t="str">
        <f>IFERROR(__xludf.DUMMYFUNCTION("""COMPUTED_VALUE"""),"Uncle Sams Cider (04/04/2023)")</f>
        <v>Uncle Sams Cider (04/04/2023)</v>
      </c>
      <c r="H11531" s="19"/>
    </row>
    <row r="11532">
      <c r="A11532" s="9"/>
      <c r="B11532" s="15"/>
      <c r="C11532" s="9">
        <f>IFERROR(__xludf.DUMMYFUNCTION("""COMPUTED_VALUE"""),45023.1841195138)</f>
        <v>45023.18412</v>
      </c>
      <c r="D11532" s="15">
        <f>IFERROR(__xludf.DUMMYFUNCTION("""COMPUTED_VALUE"""),1.093)</f>
        <v>1.093</v>
      </c>
      <c r="E11532" s="16">
        <f>IFERROR(__xludf.DUMMYFUNCTION("""COMPUTED_VALUE"""),67.0)</f>
        <v>67</v>
      </c>
      <c r="F11532" s="19" t="str">
        <f>IFERROR(__xludf.DUMMYFUNCTION("""COMPUTED_VALUE"""),"BLACK")</f>
        <v>BLACK</v>
      </c>
      <c r="G11532" s="20" t="str">
        <f>IFERROR(__xludf.DUMMYFUNCTION("""COMPUTED_VALUE"""),"Uncle Sams Cider (04/04/2023)")</f>
        <v>Uncle Sams Cider (04/04/2023)</v>
      </c>
      <c r="H11532" s="19"/>
    </row>
    <row r="11533">
      <c r="A11533" s="9"/>
      <c r="B11533" s="15"/>
      <c r="C11533" s="9">
        <f>IFERROR(__xludf.DUMMYFUNCTION("""COMPUTED_VALUE"""),45023.1736983333)</f>
        <v>45023.1737</v>
      </c>
      <c r="D11533" s="15">
        <f>IFERROR(__xludf.DUMMYFUNCTION("""COMPUTED_VALUE"""),1.093)</f>
        <v>1.093</v>
      </c>
      <c r="E11533" s="16">
        <f>IFERROR(__xludf.DUMMYFUNCTION("""COMPUTED_VALUE"""),67.0)</f>
        <v>67</v>
      </c>
      <c r="F11533" s="19" t="str">
        <f>IFERROR(__xludf.DUMMYFUNCTION("""COMPUTED_VALUE"""),"BLACK")</f>
        <v>BLACK</v>
      </c>
      <c r="G11533" s="20" t="str">
        <f>IFERROR(__xludf.DUMMYFUNCTION("""COMPUTED_VALUE"""),"Uncle Sams Cider (04/04/2023)")</f>
        <v>Uncle Sams Cider (04/04/2023)</v>
      </c>
      <c r="H11533" s="19"/>
    </row>
    <row r="11534">
      <c r="A11534" s="9"/>
      <c r="B11534" s="15"/>
      <c r="C11534" s="9">
        <f>IFERROR(__xludf.DUMMYFUNCTION("""COMPUTED_VALUE"""),45023.1632779629)</f>
        <v>45023.16328</v>
      </c>
      <c r="D11534" s="15">
        <f>IFERROR(__xludf.DUMMYFUNCTION("""COMPUTED_VALUE"""),1.093)</f>
        <v>1.093</v>
      </c>
      <c r="E11534" s="16">
        <f>IFERROR(__xludf.DUMMYFUNCTION("""COMPUTED_VALUE"""),67.0)</f>
        <v>67</v>
      </c>
      <c r="F11534" s="19" t="str">
        <f>IFERROR(__xludf.DUMMYFUNCTION("""COMPUTED_VALUE"""),"BLACK")</f>
        <v>BLACK</v>
      </c>
      <c r="G11534" s="20" t="str">
        <f>IFERROR(__xludf.DUMMYFUNCTION("""COMPUTED_VALUE"""),"Uncle Sams Cider (04/04/2023)")</f>
        <v>Uncle Sams Cider (04/04/2023)</v>
      </c>
      <c r="H11534" s="19"/>
    </row>
    <row r="11535">
      <c r="A11535" s="9"/>
      <c r="B11535" s="15"/>
      <c r="C11535" s="9">
        <f>IFERROR(__xludf.DUMMYFUNCTION("""COMPUTED_VALUE"""),45023.1528472106)</f>
        <v>45023.15285</v>
      </c>
      <c r="D11535" s="15">
        <f>IFERROR(__xludf.DUMMYFUNCTION("""COMPUTED_VALUE"""),1.094)</f>
        <v>1.094</v>
      </c>
      <c r="E11535" s="16">
        <f>IFERROR(__xludf.DUMMYFUNCTION("""COMPUTED_VALUE"""),67.0)</f>
        <v>67</v>
      </c>
      <c r="F11535" s="19" t="str">
        <f>IFERROR(__xludf.DUMMYFUNCTION("""COMPUTED_VALUE"""),"BLACK")</f>
        <v>BLACK</v>
      </c>
      <c r="G11535" s="20" t="str">
        <f>IFERROR(__xludf.DUMMYFUNCTION("""COMPUTED_VALUE"""),"Uncle Sams Cider (04/04/2023)")</f>
        <v>Uncle Sams Cider (04/04/2023)</v>
      </c>
      <c r="H11535" s="19"/>
    </row>
    <row r="11536">
      <c r="A11536" s="9"/>
      <c r="B11536" s="15"/>
      <c r="C11536" s="9">
        <f>IFERROR(__xludf.DUMMYFUNCTION("""COMPUTED_VALUE"""),45023.1424254166)</f>
        <v>45023.14243</v>
      </c>
      <c r="D11536" s="15">
        <f>IFERROR(__xludf.DUMMYFUNCTION("""COMPUTED_VALUE"""),1.093)</f>
        <v>1.093</v>
      </c>
      <c r="E11536" s="16">
        <f>IFERROR(__xludf.DUMMYFUNCTION("""COMPUTED_VALUE"""),67.0)</f>
        <v>67</v>
      </c>
      <c r="F11536" s="19" t="str">
        <f>IFERROR(__xludf.DUMMYFUNCTION("""COMPUTED_VALUE"""),"BLACK")</f>
        <v>BLACK</v>
      </c>
      <c r="G11536" s="20" t="str">
        <f>IFERROR(__xludf.DUMMYFUNCTION("""COMPUTED_VALUE"""),"Uncle Sams Cider (04/04/2023)")</f>
        <v>Uncle Sams Cider (04/04/2023)</v>
      </c>
      <c r="H11536" s="19"/>
    </row>
    <row r="11537">
      <c r="A11537" s="9"/>
      <c r="B11537" s="15"/>
      <c r="C11537" s="9">
        <f>IFERROR(__xludf.DUMMYFUNCTION("""COMPUTED_VALUE"""),45023.1320048842)</f>
        <v>45023.132</v>
      </c>
      <c r="D11537" s="15">
        <f>IFERROR(__xludf.DUMMYFUNCTION("""COMPUTED_VALUE"""),1.093)</f>
        <v>1.093</v>
      </c>
      <c r="E11537" s="16">
        <f>IFERROR(__xludf.DUMMYFUNCTION("""COMPUTED_VALUE"""),67.0)</f>
        <v>67</v>
      </c>
      <c r="F11537" s="19" t="str">
        <f>IFERROR(__xludf.DUMMYFUNCTION("""COMPUTED_VALUE"""),"BLACK")</f>
        <v>BLACK</v>
      </c>
      <c r="G11537" s="20" t="str">
        <f>IFERROR(__xludf.DUMMYFUNCTION("""COMPUTED_VALUE"""),"Uncle Sams Cider (04/04/2023)")</f>
        <v>Uncle Sams Cider (04/04/2023)</v>
      </c>
      <c r="H11537" s="19"/>
    </row>
    <row r="11538">
      <c r="A11538" s="9"/>
      <c r="B11538" s="15"/>
      <c r="C11538" s="9">
        <f>IFERROR(__xludf.DUMMYFUNCTION("""COMPUTED_VALUE"""),45023.1215716898)</f>
        <v>45023.12157</v>
      </c>
      <c r="D11538" s="15">
        <f>IFERROR(__xludf.DUMMYFUNCTION("""COMPUTED_VALUE"""),1.094)</f>
        <v>1.094</v>
      </c>
      <c r="E11538" s="16">
        <f>IFERROR(__xludf.DUMMYFUNCTION("""COMPUTED_VALUE"""),67.0)</f>
        <v>67</v>
      </c>
      <c r="F11538" s="19" t="str">
        <f>IFERROR(__xludf.DUMMYFUNCTION("""COMPUTED_VALUE"""),"BLACK")</f>
        <v>BLACK</v>
      </c>
      <c r="G11538" s="20" t="str">
        <f>IFERROR(__xludf.DUMMYFUNCTION("""COMPUTED_VALUE"""),"Uncle Sams Cider (04/04/2023)")</f>
        <v>Uncle Sams Cider (04/04/2023)</v>
      </c>
      <c r="H11538" s="19"/>
    </row>
    <row r="11539">
      <c r="A11539" s="9"/>
      <c r="B11539" s="15"/>
      <c r="C11539" s="9">
        <f>IFERROR(__xludf.DUMMYFUNCTION("""COMPUTED_VALUE"""),45023.1111505208)</f>
        <v>45023.11115</v>
      </c>
      <c r="D11539" s="15">
        <f>IFERROR(__xludf.DUMMYFUNCTION("""COMPUTED_VALUE"""),1.094)</f>
        <v>1.094</v>
      </c>
      <c r="E11539" s="16">
        <f>IFERROR(__xludf.DUMMYFUNCTION("""COMPUTED_VALUE"""),67.0)</f>
        <v>67</v>
      </c>
      <c r="F11539" s="19" t="str">
        <f>IFERROR(__xludf.DUMMYFUNCTION("""COMPUTED_VALUE"""),"BLACK")</f>
        <v>BLACK</v>
      </c>
      <c r="G11539" s="20" t="str">
        <f>IFERROR(__xludf.DUMMYFUNCTION("""COMPUTED_VALUE"""),"Uncle Sams Cider (04/04/2023)")</f>
        <v>Uncle Sams Cider (04/04/2023)</v>
      </c>
      <c r="H11539" s="19"/>
    </row>
    <row r="11540">
      <c r="A11540" s="9"/>
      <c r="B11540" s="15"/>
      <c r="C11540" s="9">
        <f>IFERROR(__xludf.DUMMYFUNCTION("""COMPUTED_VALUE"""),45023.1007309143)</f>
        <v>45023.10073</v>
      </c>
      <c r="D11540" s="15">
        <f>IFERROR(__xludf.DUMMYFUNCTION("""COMPUTED_VALUE"""),1.094)</f>
        <v>1.094</v>
      </c>
      <c r="E11540" s="16">
        <f>IFERROR(__xludf.DUMMYFUNCTION("""COMPUTED_VALUE"""),67.0)</f>
        <v>67</v>
      </c>
      <c r="F11540" s="19" t="str">
        <f>IFERROR(__xludf.DUMMYFUNCTION("""COMPUTED_VALUE"""),"BLACK")</f>
        <v>BLACK</v>
      </c>
      <c r="G11540" s="20" t="str">
        <f>IFERROR(__xludf.DUMMYFUNCTION("""COMPUTED_VALUE"""),"Uncle Sams Cider (04/04/2023)")</f>
        <v>Uncle Sams Cider (04/04/2023)</v>
      </c>
      <c r="H11540" s="19"/>
    </row>
    <row r="11541">
      <c r="A11541" s="9"/>
      <c r="B11541" s="15"/>
      <c r="C11541" s="9">
        <f>IFERROR(__xludf.DUMMYFUNCTION("""COMPUTED_VALUE"""),45023.0903098148)</f>
        <v>45023.09031</v>
      </c>
      <c r="D11541" s="15">
        <f>IFERROR(__xludf.DUMMYFUNCTION("""COMPUTED_VALUE"""),1.094)</f>
        <v>1.094</v>
      </c>
      <c r="E11541" s="16">
        <f>IFERROR(__xludf.DUMMYFUNCTION("""COMPUTED_VALUE"""),67.0)</f>
        <v>67</v>
      </c>
      <c r="F11541" s="19" t="str">
        <f>IFERROR(__xludf.DUMMYFUNCTION("""COMPUTED_VALUE"""),"BLACK")</f>
        <v>BLACK</v>
      </c>
      <c r="G11541" s="20" t="str">
        <f>IFERROR(__xludf.DUMMYFUNCTION("""COMPUTED_VALUE"""),"Uncle Sams Cider (04/04/2023)")</f>
        <v>Uncle Sams Cider (04/04/2023)</v>
      </c>
      <c r="H11541" s="19"/>
    </row>
    <row r="11542">
      <c r="A11542" s="9"/>
      <c r="B11542" s="15"/>
      <c r="C11542" s="9">
        <f>IFERROR(__xludf.DUMMYFUNCTION("""COMPUTED_VALUE"""),45023.0798879629)</f>
        <v>45023.07989</v>
      </c>
      <c r="D11542" s="15">
        <f>IFERROR(__xludf.DUMMYFUNCTION("""COMPUTED_VALUE"""),1.094)</f>
        <v>1.094</v>
      </c>
      <c r="E11542" s="16">
        <f>IFERROR(__xludf.DUMMYFUNCTION("""COMPUTED_VALUE"""),67.0)</f>
        <v>67</v>
      </c>
      <c r="F11542" s="19" t="str">
        <f>IFERROR(__xludf.DUMMYFUNCTION("""COMPUTED_VALUE"""),"BLACK")</f>
        <v>BLACK</v>
      </c>
      <c r="G11542" s="20" t="str">
        <f>IFERROR(__xludf.DUMMYFUNCTION("""COMPUTED_VALUE"""),"Uncle Sams Cider (04/04/2023)")</f>
        <v>Uncle Sams Cider (04/04/2023)</v>
      </c>
      <c r="H11542" s="19"/>
    </row>
    <row r="11543">
      <c r="A11543" s="9"/>
      <c r="B11543" s="15"/>
      <c r="C11543" s="9">
        <f>IFERROR(__xludf.DUMMYFUNCTION("""COMPUTED_VALUE"""),45023.0694561111)</f>
        <v>45023.06946</v>
      </c>
      <c r="D11543" s="15">
        <f>IFERROR(__xludf.DUMMYFUNCTION("""COMPUTED_VALUE"""),1.094)</f>
        <v>1.094</v>
      </c>
      <c r="E11543" s="16">
        <f>IFERROR(__xludf.DUMMYFUNCTION("""COMPUTED_VALUE"""),67.0)</f>
        <v>67</v>
      </c>
      <c r="F11543" s="19" t="str">
        <f>IFERROR(__xludf.DUMMYFUNCTION("""COMPUTED_VALUE"""),"BLACK")</f>
        <v>BLACK</v>
      </c>
      <c r="G11543" s="20" t="str">
        <f>IFERROR(__xludf.DUMMYFUNCTION("""COMPUTED_VALUE"""),"Uncle Sams Cider (04/04/2023)")</f>
        <v>Uncle Sams Cider (04/04/2023)</v>
      </c>
      <c r="H11543" s="19"/>
    </row>
    <row r="11544">
      <c r="A11544" s="9"/>
      <c r="B11544" s="15"/>
      <c r="C11544" s="9">
        <f>IFERROR(__xludf.DUMMYFUNCTION("""COMPUTED_VALUE"""),45023.059022905)</f>
        <v>45023.05902</v>
      </c>
      <c r="D11544" s="15">
        <f>IFERROR(__xludf.DUMMYFUNCTION("""COMPUTED_VALUE"""),1.094)</f>
        <v>1.094</v>
      </c>
      <c r="E11544" s="16">
        <f>IFERROR(__xludf.DUMMYFUNCTION("""COMPUTED_VALUE"""),67.0)</f>
        <v>67</v>
      </c>
      <c r="F11544" s="19" t="str">
        <f>IFERROR(__xludf.DUMMYFUNCTION("""COMPUTED_VALUE"""),"BLACK")</f>
        <v>BLACK</v>
      </c>
      <c r="G11544" s="20" t="str">
        <f>IFERROR(__xludf.DUMMYFUNCTION("""COMPUTED_VALUE"""),"Uncle Sams Cider (04/04/2023)")</f>
        <v>Uncle Sams Cider (04/04/2023)</v>
      </c>
      <c r="H11544" s="19"/>
    </row>
    <row r="11545">
      <c r="A11545" s="9"/>
      <c r="B11545" s="15"/>
      <c r="C11545" s="9">
        <f>IFERROR(__xludf.DUMMYFUNCTION("""COMPUTED_VALUE"""),45023.0486011805)</f>
        <v>45023.0486</v>
      </c>
      <c r="D11545" s="15">
        <f>IFERROR(__xludf.DUMMYFUNCTION("""COMPUTED_VALUE"""),1.094)</f>
        <v>1.094</v>
      </c>
      <c r="E11545" s="16">
        <f>IFERROR(__xludf.DUMMYFUNCTION("""COMPUTED_VALUE"""),67.0)</f>
        <v>67</v>
      </c>
      <c r="F11545" s="19" t="str">
        <f>IFERROR(__xludf.DUMMYFUNCTION("""COMPUTED_VALUE"""),"BLACK")</f>
        <v>BLACK</v>
      </c>
      <c r="G11545" s="20" t="str">
        <f>IFERROR(__xludf.DUMMYFUNCTION("""COMPUTED_VALUE"""),"Uncle Sams Cider (04/04/2023)")</f>
        <v>Uncle Sams Cider (04/04/2023)</v>
      </c>
      <c r="H11545" s="19"/>
    </row>
    <row r="11546">
      <c r="A11546" s="9"/>
      <c r="B11546" s="15"/>
      <c r="C11546" s="9">
        <f>IFERROR(__xludf.DUMMYFUNCTION("""COMPUTED_VALUE"""),45023.0381815162)</f>
        <v>45023.03818</v>
      </c>
      <c r="D11546" s="15">
        <f>IFERROR(__xludf.DUMMYFUNCTION("""COMPUTED_VALUE"""),1.094)</f>
        <v>1.094</v>
      </c>
      <c r="E11546" s="16">
        <f>IFERROR(__xludf.DUMMYFUNCTION("""COMPUTED_VALUE"""),67.0)</f>
        <v>67</v>
      </c>
      <c r="F11546" s="19" t="str">
        <f>IFERROR(__xludf.DUMMYFUNCTION("""COMPUTED_VALUE"""),"BLACK")</f>
        <v>BLACK</v>
      </c>
      <c r="G11546" s="20" t="str">
        <f>IFERROR(__xludf.DUMMYFUNCTION("""COMPUTED_VALUE"""),"Uncle Sams Cider (04/04/2023)")</f>
        <v>Uncle Sams Cider (04/04/2023)</v>
      </c>
      <c r="H11546" s="19"/>
    </row>
    <row r="11547">
      <c r="A11547" s="9"/>
      <c r="B11547" s="15"/>
      <c r="C11547" s="9">
        <f>IFERROR(__xludf.DUMMYFUNCTION("""COMPUTED_VALUE"""),45023.0277607175)</f>
        <v>45023.02776</v>
      </c>
      <c r="D11547" s="15">
        <f>IFERROR(__xludf.DUMMYFUNCTION("""COMPUTED_VALUE"""),1.094)</f>
        <v>1.094</v>
      </c>
      <c r="E11547" s="16">
        <f>IFERROR(__xludf.DUMMYFUNCTION("""COMPUTED_VALUE"""),67.0)</f>
        <v>67</v>
      </c>
      <c r="F11547" s="19" t="str">
        <f>IFERROR(__xludf.DUMMYFUNCTION("""COMPUTED_VALUE"""),"BLACK")</f>
        <v>BLACK</v>
      </c>
      <c r="G11547" s="20" t="str">
        <f>IFERROR(__xludf.DUMMYFUNCTION("""COMPUTED_VALUE"""),"Uncle Sams Cider (04/04/2023)")</f>
        <v>Uncle Sams Cider (04/04/2023)</v>
      </c>
      <c r="H11547" s="19"/>
    </row>
    <row r="11548">
      <c r="A11548" s="9"/>
      <c r="B11548" s="15"/>
      <c r="C11548" s="9">
        <f>IFERROR(__xludf.DUMMYFUNCTION("""COMPUTED_VALUE"""),45023.017338368)</f>
        <v>45023.01734</v>
      </c>
      <c r="D11548" s="15">
        <f>IFERROR(__xludf.DUMMYFUNCTION("""COMPUTED_VALUE"""),1.094)</f>
        <v>1.094</v>
      </c>
      <c r="E11548" s="16">
        <f>IFERROR(__xludf.DUMMYFUNCTION("""COMPUTED_VALUE"""),67.0)</f>
        <v>67</v>
      </c>
      <c r="F11548" s="19" t="str">
        <f>IFERROR(__xludf.DUMMYFUNCTION("""COMPUTED_VALUE"""),"BLACK")</f>
        <v>BLACK</v>
      </c>
      <c r="G11548" s="20" t="str">
        <f>IFERROR(__xludf.DUMMYFUNCTION("""COMPUTED_VALUE"""),"Uncle Sams Cider (04/04/2023)")</f>
        <v>Uncle Sams Cider (04/04/2023)</v>
      </c>
      <c r="H11548" s="19"/>
    </row>
    <row r="11549">
      <c r="A11549" s="9"/>
      <c r="B11549" s="15"/>
      <c r="C11549" s="9">
        <f>IFERROR(__xludf.DUMMYFUNCTION("""COMPUTED_VALUE"""),45023.0069147338)</f>
        <v>45023.00691</v>
      </c>
      <c r="D11549" s="15">
        <f>IFERROR(__xludf.DUMMYFUNCTION("""COMPUTED_VALUE"""),1.094)</f>
        <v>1.094</v>
      </c>
      <c r="E11549" s="16">
        <f>IFERROR(__xludf.DUMMYFUNCTION("""COMPUTED_VALUE"""),67.0)</f>
        <v>67</v>
      </c>
      <c r="F11549" s="19" t="str">
        <f>IFERROR(__xludf.DUMMYFUNCTION("""COMPUTED_VALUE"""),"BLACK")</f>
        <v>BLACK</v>
      </c>
      <c r="G11549" s="20" t="str">
        <f>IFERROR(__xludf.DUMMYFUNCTION("""COMPUTED_VALUE"""),"Uncle Sams Cider (04/04/2023)")</f>
        <v>Uncle Sams Cider (04/04/2023)</v>
      </c>
      <c r="H11549" s="19"/>
    </row>
    <row r="11550">
      <c r="A11550" s="9"/>
      <c r="B11550" s="15"/>
      <c r="C11550" s="9">
        <f>IFERROR(__xludf.DUMMYFUNCTION("""COMPUTED_VALUE"""),45022.9964838773)</f>
        <v>45022.99648</v>
      </c>
      <c r="D11550" s="15">
        <f>IFERROR(__xludf.DUMMYFUNCTION("""COMPUTED_VALUE"""),1.094)</f>
        <v>1.094</v>
      </c>
      <c r="E11550" s="16">
        <f>IFERROR(__xludf.DUMMYFUNCTION("""COMPUTED_VALUE"""),67.0)</f>
        <v>67</v>
      </c>
      <c r="F11550" s="19" t="str">
        <f>IFERROR(__xludf.DUMMYFUNCTION("""COMPUTED_VALUE"""),"BLACK")</f>
        <v>BLACK</v>
      </c>
      <c r="G11550" s="20" t="str">
        <f>IFERROR(__xludf.DUMMYFUNCTION("""COMPUTED_VALUE"""),"Uncle Sams Cider (04/04/2023)")</f>
        <v>Uncle Sams Cider (04/04/2023)</v>
      </c>
      <c r="H11550" s="19"/>
    </row>
    <row r="11551">
      <c r="A11551" s="9"/>
      <c r="B11551" s="15"/>
      <c r="C11551" s="9">
        <f>IFERROR(__xludf.DUMMYFUNCTION("""COMPUTED_VALUE"""),45022.986063449)</f>
        <v>45022.98606</v>
      </c>
      <c r="D11551" s="15">
        <f>IFERROR(__xludf.DUMMYFUNCTION("""COMPUTED_VALUE"""),1.094)</f>
        <v>1.094</v>
      </c>
      <c r="E11551" s="16">
        <f>IFERROR(__xludf.DUMMYFUNCTION("""COMPUTED_VALUE"""),67.0)</f>
        <v>67</v>
      </c>
      <c r="F11551" s="19" t="str">
        <f>IFERROR(__xludf.DUMMYFUNCTION("""COMPUTED_VALUE"""),"BLACK")</f>
        <v>BLACK</v>
      </c>
      <c r="G11551" s="20" t="str">
        <f>IFERROR(__xludf.DUMMYFUNCTION("""COMPUTED_VALUE"""),"Uncle Sams Cider (04/04/2023)")</f>
        <v>Uncle Sams Cider (04/04/2023)</v>
      </c>
      <c r="H11551" s="19"/>
    </row>
    <row r="11552">
      <c r="A11552" s="9"/>
      <c r="B11552" s="15"/>
      <c r="C11552" s="9">
        <f>IFERROR(__xludf.DUMMYFUNCTION("""COMPUTED_VALUE"""),45022.9756415046)</f>
        <v>45022.97564</v>
      </c>
      <c r="D11552" s="15">
        <f>IFERROR(__xludf.DUMMYFUNCTION("""COMPUTED_VALUE"""),1.094)</f>
        <v>1.094</v>
      </c>
      <c r="E11552" s="16">
        <f>IFERROR(__xludf.DUMMYFUNCTION("""COMPUTED_VALUE"""),67.0)</f>
        <v>67</v>
      </c>
      <c r="F11552" s="19" t="str">
        <f>IFERROR(__xludf.DUMMYFUNCTION("""COMPUTED_VALUE"""),"BLACK")</f>
        <v>BLACK</v>
      </c>
      <c r="G11552" s="20" t="str">
        <f>IFERROR(__xludf.DUMMYFUNCTION("""COMPUTED_VALUE"""),"Uncle Sams Cider (04/04/2023)")</f>
        <v>Uncle Sams Cider (04/04/2023)</v>
      </c>
      <c r="H11552" s="19"/>
    </row>
    <row r="11553">
      <c r="A11553" s="9"/>
      <c r="B11553" s="15"/>
      <c r="C11553" s="9">
        <f>IFERROR(__xludf.DUMMYFUNCTION("""COMPUTED_VALUE"""),45022.9652207523)</f>
        <v>45022.96522</v>
      </c>
      <c r="D11553" s="15">
        <f>IFERROR(__xludf.DUMMYFUNCTION("""COMPUTED_VALUE"""),1.094)</f>
        <v>1.094</v>
      </c>
      <c r="E11553" s="16">
        <f>IFERROR(__xludf.DUMMYFUNCTION("""COMPUTED_VALUE"""),67.0)</f>
        <v>67</v>
      </c>
      <c r="F11553" s="19" t="str">
        <f>IFERROR(__xludf.DUMMYFUNCTION("""COMPUTED_VALUE"""),"BLACK")</f>
        <v>BLACK</v>
      </c>
      <c r="G11553" s="20" t="str">
        <f>IFERROR(__xludf.DUMMYFUNCTION("""COMPUTED_VALUE"""),"Uncle Sams Cider (04/04/2023)")</f>
        <v>Uncle Sams Cider (04/04/2023)</v>
      </c>
      <c r="H11553" s="19"/>
    </row>
    <row r="11554">
      <c r="A11554" s="9"/>
      <c r="B11554" s="15"/>
      <c r="C11554" s="9">
        <f>IFERROR(__xludf.DUMMYFUNCTION("""COMPUTED_VALUE"""),45022.9548001157)</f>
        <v>45022.9548</v>
      </c>
      <c r="D11554" s="15">
        <f>IFERROR(__xludf.DUMMYFUNCTION("""COMPUTED_VALUE"""),1.094)</f>
        <v>1.094</v>
      </c>
      <c r="E11554" s="16">
        <f>IFERROR(__xludf.DUMMYFUNCTION("""COMPUTED_VALUE"""),67.0)</f>
        <v>67</v>
      </c>
      <c r="F11554" s="19" t="str">
        <f>IFERROR(__xludf.DUMMYFUNCTION("""COMPUTED_VALUE"""),"BLACK")</f>
        <v>BLACK</v>
      </c>
      <c r="G11554" s="20" t="str">
        <f>IFERROR(__xludf.DUMMYFUNCTION("""COMPUTED_VALUE"""),"Uncle Sams Cider (04/04/2023)")</f>
        <v>Uncle Sams Cider (04/04/2023)</v>
      </c>
      <c r="H11554" s="19"/>
    </row>
    <row r="11555">
      <c r="A11555" s="9"/>
      <c r="B11555" s="15"/>
      <c r="C11555" s="9">
        <f>IFERROR(__xludf.DUMMYFUNCTION("""COMPUTED_VALUE"""),45022.9443783101)</f>
        <v>45022.94438</v>
      </c>
      <c r="D11555" s="15">
        <f>IFERROR(__xludf.DUMMYFUNCTION("""COMPUTED_VALUE"""),1.094)</f>
        <v>1.094</v>
      </c>
      <c r="E11555" s="16">
        <f>IFERROR(__xludf.DUMMYFUNCTION("""COMPUTED_VALUE"""),67.0)</f>
        <v>67</v>
      </c>
      <c r="F11555" s="19" t="str">
        <f>IFERROR(__xludf.DUMMYFUNCTION("""COMPUTED_VALUE"""),"BLACK")</f>
        <v>BLACK</v>
      </c>
      <c r="G11555" s="20" t="str">
        <f>IFERROR(__xludf.DUMMYFUNCTION("""COMPUTED_VALUE"""),"Uncle Sams Cider (04/04/2023)")</f>
        <v>Uncle Sams Cider (04/04/2023)</v>
      </c>
      <c r="H11555" s="19"/>
    </row>
    <row r="11556">
      <c r="A11556" s="9"/>
      <c r="B11556" s="15"/>
      <c r="C11556" s="9">
        <f>IFERROR(__xludf.DUMMYFUNCTION("""COMPUTED_VALUE"""),45022.9339574421)</f>
        <v>45022.93396</v>
      </c>
      <c r="D11556" s="15">
        <f>IFERROR(__xludf.DUMMYFUNCTION("""COMPUTED_VALUE"""),1.095)</f>
        <v>1.095</v>
      </c>
      <c r="E11556" s="16">
        <f>IFERROR(__xludf.DUMMYFUNCTION("""COMPUTED_VALUE"""),67.0)</f>
        <v>67</v>
      </c>
      <c r="F11556" s="19" t="str">
        <f>IFERROR(__xludf.DUMMYFUNCTION("""COMPUTED_VALUE"""),"BLACK")</f>
        <v>BLACK</v>
      </c>
      <c r="G11556" s="20" t="str">
        <f>IFERROR(__xludf.DUMMYFUNCTION("""COMPUTED_VALUE"""),"Uncle Sams Cider (04/04/2023)")</f>
        <v>Uncle Sams Cider (04/04/2023)</v>
      </c>
      <c r="H11556" s="19"/>
    </row>
    <row r="11557">
      <c r="A11557" s="9"/>
      <c r="B11557" s="15"/>
      <c r="C11557" s="9">
        <f>IFERROR(__xludf.DUMMYFUNCTION("""COMPUTED_VALUE"""),45022.9235124652)</f>
        <v>45022.92351</v>
      </c>
      <c r="D11557" s="15">
        <f>IFERROR(__xludf.DUMMYFUNCTION("""COMPUTED_VALUE"""),1.095)</f>
        <v>1.095</v>
      </c>
      <c r="E11557" s="16">
        <f>IFERROR(__xludf.DUMMYFUNCTION("""COMPUTED_VALUE"""),67.0)</f>
        <v>67</v>
      </c>
      <c r="F11557" s="19" t="str">
        <f>IFERROR(__xludf.DUMMYFUNCTION("""COMPUTED_VALUE"""),"BLACK")</f>
        <v>BLACK</v>
      </c>
      <c r="G11557" s="20" t="str">
        <f>IFERROR(__xludf.DUMMYFUNCTION("""COMPUTED_VALUE"""),"Uncle Sams Cider (04/04/2023)")</f>
        <v>Uncle Sams Cider (04/04/2023)</v>
      </c>
      <c r="H11557" s="19"/>
    </row>
    <row r="11558">
      <c r="A11558" s="9"/>
      <c r="B11558" s="15"/>
      <c r="C11558" s="9">
        <f>IFERROR(__xludf.DUMMYFUNCTION("""COMPUTED_VALUE"""),45022.9130793055)</f>
        <v>45022.91308</v>
      </c>
      <c r="D11558" s="15">
        <f>IFERROR(__xludf.DUMMYFUNCTION("""COMPUTED_VALUE"""),1.095)</f>
        <v>1.095</v>
      </c>
      <c r="E11558" s="16">
        <f>IFERROR(__xludf.DUMMYFUNCTION("""COMPUTED_VALUE"""),67.0)</f>
        <v>67</v>
      </c>
      <c r="F11558" s="19" t="str">
        <f>IFERROR(__xludf.DUMMYFUNCTION("""COMPUTED_VALUE"""),"BLACK")</f>
        <v>BLACK</v>
      </c>
      <c r="G11558" s="20" t="str">
        <f>IFERROR(__xludf.DUMMYFUNCTION("""COMPUTED_VALUE"""),"Uncle Sams Cider (04/04/2023)")</f>
        <v>Uncle Sams Cider (04/04/2023)</v>
      </c>
      <c r="H11558" s="19"/>
    </row>
    <row r="11559">
      <c r="A11559" s="9"/>
      <c r="B11559" s="15"/>
      <c r="C11559" s="9">
        <f>IFERROR(__xludf.DUMMYFUNCTION("""COMPUTED_VALUE"""),45022.9026578703)</f>
        <v>45022.90266</v>
      </c>
      <c r="D11559" s="15">
        <f>IFERROR(__xludf.DUMMYFUNCTION("""COMPUTED_VALUE"""),1.094)</f>
        <v>1.094</v>
      </c>
      <c r="E11559" s="16">
        <f>IFERROR(__xludf.DUMMYFUNCTION("""COMPUTED_VALUE"""),67.0)</f>
        <v>67</v>
      </c>
      <c r="F11559" s="19" t="str">
        <f>IFERROR(__xludf.DUMMYFUNCTION("""COMPUTED_VALUE"""),"BLACK")</f>
        <v>BLACK</v>
      </c>
      <c r="G11559" s="20" t="str">
        <f>IFERROR(__xludf.DUMMYFUNCTION("""COMPUTED_VALUE"""),"Uncle Sams Cider (04/04/2023)")</f>
        <v>Uncle Sams Cider (04/04/2023)</v>
      </c>
      <c r="H11559" s="19"/>
    </row>
    <row r="11560">
      <c r="A11560" s="9"/>
      <c r="B11560" s="15"/>
      <c r="C11560" s="9">
        <f>IFERROR(__xludf.DUMMYFUNCTION("""COMPUTED_VALUE"""),45022.892236875)</f>
        <v>45022.89224</v>
      </c>
      <c r="D11560" s="15">
        <f>IFERROR(__xludf.DUMMYFUNCTION("""COMPUTED_VALUE"""),1.095)</f>
        <v>1.095</v>
      </c>
      <c r="E11560" s="16">
        <f>IFERROR(__xludf.DUMMYFUNCTION("""COMPUTED_VALUE"""),67.0)</f>
        <v>67</v>
      </c>
      <c r="F11560" s="19" t="str">
        <f>IFERROR(__xludf.DUMMYFUNCTION("""COMPUTED_VALUE"""),"BLACK")</f>
        <v>BLACK</v>
      </c>
      <c r="G11560" s="20" t="str">
        <f>IFERROR(__xludf.DUMMYFUNCTION("""COMPUTED_VALUE"""),"Uncle Sams Cider (04/04/2023)")</f>
        <v>Uncle Sams Cider (04/04/2023)</v>
      </c>
      <c r="H11560" s="19"/>
    </row>
    <row r="11561">
      <c r="A11561" s="9"/>
      <c r="B11561" s="15"/>
      <c r="C11561" s="9">
        <f>IFERROR(__xludf.DUMMYFUNCTION("""COMPUTED_VALUE"""),45022.8818171875)</f>
        <v>45022.88182</v>
      </c>
      <c r="D11561" s="15">
        <f>IFERROR(__xludf.DUMMYFUNCTION("""COMPUTED_VALUE"""),1.095)</f>
        <v>1.095</v>
      </c>
      <c r="E11561" s="16">
        <f>IFERROR(__xludf.DUMMYFUNCTION("""COMPUTED_VALUE"""),66.0)</f>
        <v>66</v>
      </c>
      <c r="F11561" s="19" t="str">
        <f>IFERROR(__xludf.DUMMYFUNCTION("""COMPUTED_VALUE"""),"BLACK")</f>
        <v>BLACK</v>
      </c>
      <c r="G11561" s="20" t="str">
        <f>IFERROR(__xludf.DUMMYFUNCTION("""COMPUTED_VALUE"""),"Uncle Sams Cider (04/04/2023)")</f>
        <v>Uncle Sams Cider (04/04/2023)</v>
      </c>
      <c r="H11561" s="19"/>
    </row>
    <row r="11562">
      <c r="A11562" s="9"/>
      <c r="B11562" s="15"/>
      <c r="C11562" s="9">
        <f>IFERROR(__xludf.DUMMYFUNCTION("""COMPUTED_VALUE"""),45022.8713941319)</f>
        <v>45022.87139</v>
      </c>
      <c r="D11562" s="15">
        <f>IFERROR(__xludf.DUMMYFUNCTION("""COMPUTED_VALUE"""),1.095)</f>
        <v>1.095</v>
      </c>
      <c r="E11562" s="16">
        <f>IFERROR(__xludf.DUMMYFUNCTION("""COMPUTED_VALUE"""),66.0)</f>
        <v>66</v>
      </c>
      <c r="F11562" s="19" t="str">
        <f>IFERROR(__xludf.DUMMYFUNCTION("""COMPUTED_VALUE"""),"BLACK")</f>
        <v>BLACK</v>
      </c>
      <c r="G11562" s="20" t="str">
        <f>IFERROR(__xludf.DUMMYFUNCTION("""COMPUTED_VALUE"""),"Uncle Sams Cider (04/04/2023)")</f>
        <v>Uncle Sams Cider (04/04/2023)</v>
      </c>
      <c r="H11562" s="19"/>
    </row>
    <row r="11563">
      <c r="A11563" s="9"/>
      <c r="B11563" s="15"/>
      <c r="C11563" s="9">
        <f>IFERROR(__xludf.DUMMYFUNCTION("""COMPUTED_VALUE"""),45022.8609719907)</f>
        <v>45022.86097</v>
      </c>
      <c r="D11563" s="15">
        <f>IFERROR(__xludf.DUMMYFUNCTION("""COMPUTED_VALUE"""),1.095)</f>
        <v>1.095</v>
      </c>
      <c r="E11563" s="16">
        <f>IFERROR(__xludf.DUMMYFUNCTION("""COMPUTED_VALUE"""),66.0)</f>
        <v>66</v>
      </c>
      <c r="F11563" s="19" t="str">
        <f>IFERROR(__xludf.DUMMYFUNCTION("""COMPUTED_VALUE"""),"BLACK")</f>
        <v>BLACK</v>
      </c>
      <c r="G11563" s="20" t="str">
        <f>IFERROR(__xludf.DUMMYFUNCTION("""COMPUTED_VALUE"""),"Uncle Sams Cider (04/04/2023)")</f>
        <v>Uncle Sams Cider (04/04/2023)</v>
      </c>
      <c r="H11563" s="19"/>
    </row>
    <row r="11564">
      <c r="A11564" s="9"/>
      <c r="B11564" s="15"/>
      <c r="C11564" s="9">
        <f>IFERROR(__xludf.DUMMYFUNCTION("""COMPUTED_VALUE"""),45022.8505504629)</f>
        <v>45022.85055</v>
      </c>
      <c r="D11564" s="15">
        <f>IFERROR(__xludf.DUMMYFUNCTION("""COMPUTED_VALUE"""),1.095)</f>
        <v>1.095</v>
      </c>
      <c r="E11564" s="16">
        <f>IFERROR(__xludf.DUMMYFUNCTION("""COMPUTED_VALUE"""),66.0)</f>
        <v>66</v>
      </c>
      <c r="F11564" s="19" t="str">
        <f>IFERROR(__xludf.DUMMYFUNCTION("""COMPUTED_VALUE"""),"BLACK")</f>
        <v>BLACK</v>
      </c>
      <c r="G11564" s="20" t="str">
        <f>IFERROR(__xludf.DUMMYFUNCTION("""COMPUTED_VALUE"""),"Uncle Sams Cider (04/04/2023)")</f>
        <v>Uncle Sams Cider (04/04/2023)</v>
      </c>
      <c r="H11564" s="19"/>
    </row>
    <row r="11565">
      <c r="A11565" s="9"/>
      <c r="B11565" s="15"/>
      <c r="C11565" s="9">
        <f>IFERROR(__xludf.DUMMYFUNCTION("""COMPUTED_VALUE"""),45022.8401289004)</f>
        <v>45022.84013</v>
      </c>
      <c r="D11565" s="15">
        <f>IFERROR(__xludf.DUMMYFUNCTION("""COMPUTED_VALUE"""),1.095)</f>
        <v>1.095</v>
      </c>
      <c r="E11565" s="16">
        <f>IFERROR(__xludf.DUMMYFUNCTION("""COMPUTED_VALUE"""),66.0)</f>
        <v>66</v>
      </c>
      <c r="F11565" s="19" t="str">
        <f>IFERROR(__xludf.DUMMYFUNCTION("""COMPUTED_VALUE"""),"BLACK")</f>
        <v>BLACK</v>
      </c>
      <c r="G11565" s="20" t="str">
        <f>IFERROR(__xludf.DUMMYFUNCTION("""COMPUTED_VALUE"""),"Uncle Sams Cider (04/04/2023)")</f>
        <v>Uncle Sams Cider (04/04/2023)</v>
      </c>
      <c r="H11565" s="19"/>
    </row>
    <row r="11566">
      <c r="A11566" s="9"/>
      <c r="B11566" s="15"/>
      <c r="C11566" s="9">
        <f>IFERROR(__xludf.DUMMYFUNCTION("""COMPUTED_VALUE"""),45022.8297099189)</f>
        <v>45022.82971</v>
      </c>
      <c r="D11566" s="15">
        <f>IFERROR(__xludf.DUMMYFUNCTION("""COMPUTED_VALUE"""),1.095)</f>
        <v>1.095</v>
      </c>
      <c r="E11566" s="16">
        <f>IFERROR(__xludf.DUMMYFUNCTION("""COMPUTED_VALUE"""),66.0)</f>
        <v>66</v>
      </c>
      <c r="F11566" s="19" t="str">
        <f>IFERROR(__xludf.DUMMYFUNCTION("""COMPUTED_VALUE"""),"BLACK")</f>
        <v>BLACK</v>
      </c>
      <c r="G11566" s="20" t="str">
        <f>IFERROR(__xludf.DUMMYFUNCTION("""COMPUTED_VALUE"""),"Uncle Sams Cider (04/04/2023)")</f>
        <v>Uncle Sams Cider (04/04/2023)</v>
      </c>
      <c r="H11566" s="19"/>
    </row>
    <row r="11567">
      <c r="A11567" s="9"/>
      <c r="B11567" s="15"/>
      <c r="C11567" s="9">
        <f>IFERROR(__xludf.DUMMYFUNCTION("""COMPUTED_VALUE"""),45022.8192789814)</f>
        <v>45022.81928</v>
      </c>
      <c r="D11567" s="15">
        <f>IFERROR(__xludf.DUMMYFUNCTION("""COMPUTED_VALUE"""),1.095)</f>
        <v>1.095</v>
      </c>
      <c r="E11567" s="16">
        <f>IFERROR(__xludf.DUMMYFUNCTION("""COMPUTED_VALUE"""),66.0)</f>
        <v>66</v>
      </c>
      <c r="F11567" s="19" t="str">
        <f>IFERROR(__xludf.DUMMYFUNCTION("""COMPUTED_VALUE"""),"BLACK")</f>
        <v>BLACK</v>
      </c>
      <c r="G11567" s="20" t="str">
        <f>IFERROR(__xludf.DUMMYFUNCTION("""COMPUTED_VALUE"""),"Uncle Sams Cider (04/04/2023)")</f>
        <v>Uncle Sams Cider (04/04/2023)</v>
      </c>
      <c r="H11567" s="19"/>
    </row>
    <row r="11568">
      <c r="A11568" s="9"/>
      <c r="B11568" s="15"/>
      <c r="C11568" s="9">
        <f>IFERROR(__xludf.DUMMYFUNCTION("""COMPUTED_VALUE"""),45022.8088567129)</f>
        <v>45022.80886</v>
      </c>
      <c r="D11568" s="15">
        <f>IFERROR(__xludf.DUMMYFUNCTION("""COMPUTED_VALUE"""),1.095)</f>
        <v>1.095</v>
      </c>
      <c r="E11568" s="16">
        <f>IFERROR(__xludf.DUMMYFUNCTION("""COMPUTED_VALUE"""),66.0)</f>
        <v>66</v>
      </c>
      <c r="F11568" s="19" t="str">
        <f>IFERROR(__xludf.DUMMYFUNCTION("""COMPUTED_VALUE"""),"BLACK")</f>
        <v>BLACK</v>
      </c>
      <c r="G11568" s="20" t="str">
        <f>IFERROR(__xludf.DUMMYFUNCTION("""COMPUTED_VALUE"""),"Uncle Sams Cider (04/04/2023)")</f>
        <v>Uncle Sams Cider (04/04/2023)</v>
      </c>
      <c r="H11568" s="19"/>
    </row>
    <row r="11569">
      <c r="A11569" s="9"/>
      <c r="B11569" s="15"/>
      <c r="C11569" s="9">
        <f>IFERROR(__xludf.DUMMYFUNCTION("""COMPUTED_VALUE"""),45022.7984347222)</f>
        <v>45022.79843</v>
      </c>
      <c r="D11569" s="15">
        <f>IFERROR(__xludf.DUMMYFUNCTION("""COMPUTED_VALUE"""),1.095)</f>
        <v>1.095</v>
      </c>
      <c r="E11569" s="16">
        <f>IFERROR(__xludf.DUMMYFUNCTION("""COMPUTED_VALUE"""),66.0)</f>
        <v>66</v>
      </c>
      <c r="F11569" s="19" t="str">
        <f>IFERROR(__xludf.DUMMYFUNCTION("""COMPUTED_VALUE"""),"BLACK")</f>
        <v>BLACK</v>
      </c>
      <c r="G11569" s="20" t="str">
        <f>IFERROR(__xludf.DUMMYFUNCTION("""COMPUTED_VALUE"""),"Uncle Sams Cider (04/04/2023)")</f>
        <v>Uncle Sams Cider (04/04/2023)</v>
      </c>
      <c r="H11569" s="19"/>
    </row>
    <row r="11570">
      <c r="A11570" s="9"/>
      <c r="B11570" s="15"/>
      <c r="C11570" s="9">
        <f>IFERROR(__xludf.DUMMYFUNCTION("""COMPUTED_VALUE"""),45022.7880126967)</f>
        <v>45022.78801</v>
      </c>
      <c r="D11570" s="15">
        <f>IFERROR(__xludf.DUMMYFUNCTION("""COMPUTED_VALUE"""),1.095)</f>
        <v>1.095</v>
      </c>
      <c r="E11570" s="16">
        <f>IFERROR(__xludf.DUMMYFUNCTION("""COMPUTED_VALUE"""),66.0)</f>
        <v>66</v>
      </c>
      <c r="F11570" s="19" t="str">
        <f>IFERROR(__xludf.DUMMYFUNCTION("""COMPUTED_VALUE"""),"BLACK")</f>
        <v>BLACK</v>
      </c>
      <c r="G11570" s="20" t="str">
        <f>IFERROR(__xludf.DUMMYFUNCTION("""COMPUTED_VALUE"""),"Uncle Sams Cider (04/04/2023)")</f>
        <v>Uncle Sams Cider (04/04/2023)</v>
      </c>
      <c r="H11570" s="19"/>
    </row>
    <row r="11571">
      <c r="A11571" s="9"/>
      <c r="B11571" s="15"/>
      <c r="C11571" s="9">
        <f>IFERROR(__xludf.DUMMYFUNCTION("""COMPUTED_VALUE"""),45022.7775908564)</f>
        <v>45022.77759</v>
      </c>
      <c r="D11571" s="15">
        <f>IFERROR(__xludf.DUMMYFUNCTION("""COMPUTED_VALUE"""),1.095)</f>
        <v>1.095</v>
      </c>
      <c r="E11571" s="16">
        <f>IFERROR(__xludf.DUMMYFUNCTION("""COMPUTED_VALUE"""),66.0)</f>
        <v>66</v>
      </c>
      <c r="F11571" s="19" t="str">
        <f>IFERROR(__xludf.DUMMYFUNCTION("""COMPUTED_VALUE"""),"BLACK")</f>
        <v>BLACK</v>
      </c>
      <c r="G11571" s="20" t="str">
        <f>IFERROR(__xludf.DUMMYFUNCTION("""COMPUTED_VALUE"""),"Uncle Sams Cider (04/04/2023)")</f>
        <v>Uncle Sams Cider (04/04/2023)</v>
      </c>
      <c r="H11571" s="19"/>
    </row>
    <row r="11572">
      <c r="A11572" s="9"/>
      <c r="B11572" s="15"/>
      <c r="C11572" s="9">
        <f>IFERROR(__xludf.DUMMYFUNCTION("""COMPUTED_VALUE"""),45022.7671703588)</f>
        <v>45022.76717</v>
      </c>
      <c r="D11572" s="15">
        <f>IFERROR(__xludf.DUMMYFUNCTION("""COMPUTED_VALUE"""),1.095)</f>
        <v>1.095</v>
      </c>
      <c r="E11572" s="16">
        <f>IFERROR(__xludf.DUMMYFUNCTION("""COMPUTED_VALUE"""),66.0)</f>
        <v>66</v>
      </c>
      <c r="F11572" s="19" t="str">
        <f>IFERROR(__xludf.DUMMYFUNCTION("""COMPUTED_VALUE"""),"BLACK")</f>
        <v>BLACK</v>
      </c>
      <c r="G11572" s="20" t="str">
        <f>IFERROR(__xludf.DUMMYFUNCTION("""COMPUTED_VALUE"""),"Uncle Sams Cider (04/04/2023)")</f>
        <v>Uncle Sams Cider (04/04/2023)</v>
      </c>
      <c r="H11572" s="19"/>
    </row>
    <row r="11573">
      <c r="A11573" s="9"/>
      <c r="B11573" s="15"/>
      <c r="C11573" s="9">
        <f>IFERROR(__xludf.DUMMYFUNCTION("""COMPUTED_VALUE"""),45022.7567495254)</f>
        <v>45022.75675</v>
      </c>
      <c r="D11573" s="15">
        <f>IFERROR(__xludf.DUMMYFUNCTION("""COMPUTED_VALUE"""),1.095)</f>
        <v>1.095</v>
      </c>
      <c r="E11573" s="16">
        <f>IFERROR(__xludf.DUMMYFUNCTION("""COMPUTED_VALUE"""),66.0)</f>
        <v>66</v>
      </c>
      <c r="F11573" s="19" t="str">
        <f>IFERROR(__xludf.DUMMYFUNCTION("""COMPUTED_VALUE"""),"BLACK")</f>
        <v>BLACK</v>
      </c>
      <c r="G11573" s="20" t="str">
        <f>IFERROR(__xludf.DUMMYFUNCTION("""COMPUTED_VALUE"""),"Uncle Sams Cider (04/04/2023)")</f>
        <v>Uncle Sams Cider (04/04/2023)</v>
      </c>
      <c r="H11573" s="19"/>
    </row>
    <row r="11574">
      <c r="A11574" s="9"/>
      <c r="B11574" s="15"/>
      <c r="C11574" s="9">
        <f>IFERROR(__xludf.DUMMYFUNCTION("""COMPUTED_VALUE"""),45022.7463295949)</f>
        <v>45022.74633</v>
      </c>
      <c r="D11574" s="15">
        <f>IFERROR(__xludf.DUMMYFUNCTION("""COMPUTED_VALUE"""),1.095)</f>
        <v>1.095</v>
      </c>
      <c r="E11574" s="16">
        <f>IFERROR(__xludf.DUMMYFUNCTION("""COMPUTED_VALUE"""),66.0)</f>
        <v>66</v>
      </c>
      <c r="F11574" s="19" t="str">
        <f>IFERROR(__xludf.DUMMYFUNCTION("""COMPUTED_VALUE"""),"BLACK")</f>
        <v>BLACK</v>
      </c>
      <c r="G11574" s="20" t="str">
        <f>IFERROR(__xludf.DUMMYFUNCTION("""COMPUTED_VALUE"""),"Uncle Sams Cider (04/04/2023)")</f>
        <v>Uncle Sams Cider (04/04/2023)</v>
      </c>
      <c r="H11574" s="19"/>
    </row>
    <row r="11575">
      <c r="A11575" s="9"/>
      <c r="B11575" s="15"/>
      <c r="C11575" s="9">
        <f>IFERROR(__xludf.DUMMYFUNCTION("""COMPUTED_VALUE"""),45022.7359089699)</f>
        <v>45022.73591</v>
      </c>
      <c r="D11575" s="15">
        <f>IFERROR(__xludf.DUMMYFUNCTION("""COMPUTED_VALUE"""),1.095)</f>
        <v>1.095</v>
      </c>
      <c r="E11575" s="16">
        <f>IFERROR(__xludf.DUMMYFUNCTION("""COMPUTED_VALUE"""),66.0)</f>
        <v>66</v>
      </c>
      <c r="F11575" s="19" t="str">
        <f>IFERROR(__xludf.DUMMYFUNCTION("""COMPUTED_VALUE"""),"BLACK")</f>
        <v>BLACK</v>
      </c>
      <c r="G11575" s="20" t="str">
        <f>IFERROR(__xludf.DUMMYFUNCTION("""COMPUTED_VALUE"""),"Uncle Sams Cider (04/04/2023)")</f>
        <v>Uncle Sams Cider (04/04/2023)</v>
      </c>
      <c r="H11575" s="19"/>
    </row>
    <row r="11576">
      <c r="A11576" s="9"/>
      <c r="B11576" s="15"/>
      <c r="C11576" s="9">
        <f>IFERROR(__xludf.DUMMYFUNCTION("""COMPUTED_VALUE"""),45022.7254887152)</f>
        <v>45022.72549</v>
      </c>
      <c r="D11576" s="15">
        <f>IFERROR(__xludf.DUMMYFUNCTION("""COMPUTED_VALUE"""),1.095)</f>
        <v>1.095</v>
      </c>
      <c r="E11576" s="16">
        <f>IFERROR(__xludf.DUMMYFUNCTION("""COMPUTED_VALUE"""),66.0)</f>
        <v>66</v>
      </c>
      <c r="F11576" s="19" t="str">
        <f>IFERROR(__xludf.DUMMYFUNCTION("""COMPUTED_VALUE"""),"BLACK")</f>
        <v>BLACK</v>
      </c>
      <c r="G11576" s="20" t="str">
        <f>IFERROR(__xludf.DUMMYFUNCTION("""COMPUTED_VALUE"""),"Uncle Sams Cider (04/04/2023)")</f>
        <v>Uncle Sams Cider (04/04/2023)</v>
      </c>
      <c r="H11576" s="19"/>
    </row>
    <row r="11577">
      <c r="A11577" s="9"/>
      <c r="B11577" s="15"/>
      <c r="C11577" s="9">
        <f>IFERROR(__xludf.DUMMYFUNCTION("""COMPUTED_VALUE"""),45022.715068449)</f>
        <v>45022.71507</v>
      </c>
      <c r="D11577" s="15">
        <f>IFERROR(__xludf.DUMMYFUNCTION("""COMPUTED_VALUE"""),1.095)</f>
        <v>1.095</v>
      </c>
      <c r="E11577" s="16">
        <f>IFERROR(__xludf.DUMMYFUNCTION("""COMPUTED_VALUE"""),66.0)</f>
        <v>66</v>
      </c>
      <c r="F11577" s="19" t="str">
        <f>IFERROR(__xludf.DUMMYFUNCTION("""COMPUTED_VALUE"""),"BLACK")</f>
        <v>BLACK</v>
      </c>
      <c r="G11577" s="20" t="str">
        <f>IFERROR(__xludf.DUMMYFUNCTION("""COMPUTED_VALUE"""),"Uncle Sams Cider (04/04/2023)")</f>
        <v>Uncle Sams Cider (04/04/2023)</v>
      </c>
      <c r="H11577" s="19"/>
    </row>
    <row r="11578">
      <c r="A11578" s="9"/>
      <c r="B11578" s="15"/>
      <c r="C11578" s="9">
        <f>IFERROR(__xludf.DUMMYFUNCTION("""COMPUTED_VALUE"""),45022.7046355671)</f>
        <v>45022.70464</v>
      </c>
      <c r="D11578" s="15">
        <f>IFERROR(__xludf.DUMMYFUNCTION("""COMPUTED_VALUE"""),1.095)</f>
        <v>1.095</v>
      </c>
      <c r="E11578" s="16">
        <f>IFERROR(__xludf.DUMMYFUNCTION("""COMPUTED_VALUE"""),66.0)</f>
        <v>66</v>
      </c>
      <c r="F11578" s="19" t="str">
        <f>IFERROR(__xludf.DUMMYFUNCTION("""COMPUTED_VALUE"""),"BLACK")</f>
        <v>BLACK</v>
      </c>
      <c r="G11578" s="20" t="str">
        <f>IFERROR(__xludf.DUMMYFUNCTION("""COMPUTED_VALUE"""),"Uncle Sams Cider (04/04/2023)")</f>
        <v>Uncle Sams Cider (04/04/2023)</v>
      </c>
      <c r="H11578" s="19"/>
    </row>
    <row r="11579">
      <c r="A11579" s="9"/>
      <c r="B11579" s="15"/>
      <c r="C11579" s="9">
        <f>IFERROR(__xludf.DUMMYFUNCTION("""COMPUTED_VALUE"""),45022.6942156481)</f>
        <v>45022.69422</v>
      </c>
      <c r="D11579" s="15">
        <f>IFERROR(__xludf.DUMMYFUNCTION("""COMPUTED_VALUE"""),1.095)</f>
        <v>1.095</v>
      </c>
      <c r="E11579" s="16">
        <f>IFERROR(__xludf.DUMMYFUNCTION("""COMPUTED_VALUE"""),66.0)</f>
        <v>66</v>
      </c>
      <c r="F11579" s="19" t="str">
        <f>IFERROR(__xludf.DUMMYFUNCTION("""COMPUTED_VALUE"""),"BLACK")</f>
        <v>BLACK</v>
      </c>
      <c r="G11579" s="20" t="str">
        <f>IFERROR(__xludf.DUMMYFUNCTION("""COMPUTED_VALUE"""),"Uncle Sams Cider (04/04/2023)")</f>
        <v>Uncle Sams Cider (04/04/2023)</v>
      </c>
      <c r="H11579" s="19"/>
    </row>
    <row r="11580">
      <c r="A11580" s="9"/>
      <c r="B11580" s="15"/>
      <c r="C11580" s="9">
        <f>IFERROR(__xludf.DUMMYFUNCTION("""COMPUTED_VALUE"""),45022.68379625)</f>
        <v>45022.6838</v>
      </c>
      <c r="D11580" s="15">
        <f>IFERROR(__xludf.DUMMYFUNCTION("""COMPUTED_VALUE"""),1.096)</f>
        <v>1.096</v>
      </c>
      <c r="E11580" s="16">
        <f>IFERROR(__xludf.DUMMYFUNCTION("""COMPUTED_VALUE"""),66.0)</f>
        <v>66</v>
      </c>
      <c r="F11580" s="19" t="str">
        <f>IFERROR(__xludf.DUMMYFUNCTION("""COMPUTED_VALUE"""),"BLACK")</f>
        <v>BLACK</v>
      </c>
      <c r="G11580" s="20" t="str">
        <f>IFERROR(__xludf.DUMMYFUNCTION("""COMPUTED_VALUE"""),"Uncle Sams Cider (04/04/2023)")</f>
        <v>Uncle Sams Cider (04/04/2023)</v>
      </c>
      <c r="H11580" s="19"/>
    </row>
    <row r="11581">
      <c r="A11581" s="9"/>
      <c r="B11581" s="15"/>
      <c r="C11581" s="9">
        <f>IFERROR(__xludf.DUMMYFUNCTION("""COMPUTED_VALUE"""),45022.673374618)</f>
        <v>45022.67337</v>
      </c>
      <c r="D11581" s="15">
        <f>IFERROR(__xludf.DUMMYFUNCTION("""COMPUTED_VALUE"""),1.096)</f>
        <v>1.096</v>
      </c>
      <c r="E11581" s="16">
        <f>IFERROR(__xludf.DUMMYFUNCTION("""COMPUTED_VALUE"""),66.0)</f>
        <v>66</v>
      </c>
      <c r="F11581" s="19" t="str">
        <f>IFERROR(__xludf.DUMMYFUNCTION("""COMPUTED_VALUE"""),"BLACK")</f>
        <v>BLACK</v>
      </c>
      <c r="G11581" s="20" t="str">
        <f>IFERROR(__xludf.DUMMYFUNCTION("""COMPUTED_VALUE"""),"Uncle Sams Cider (04/04/2023)")</f>
        <v>Uncle Sams Cider (04/04/2023)</v>
      </c>
      <c r="H11581" s="19"/>
    </row>
    <row r="11582">
      <c r="A11582" s="9"/>
      <c r="B11582" s="15"/>
      <c r="C11582" s="9">
        <f>IFERROR(__xludf.DUMMYFUNCTION("""COMPUTED_VALUE"""),45022.6629530902)</f>
        <v>45022.66295</v>
      </c>
      <c r="D11582" s="15">
        <f>IFERROR(__xludf.DUMMYFUNCTION("""COMPUTED_VALUE"""),1.096)</f>
        <v>1.096</v>
      </c>
      <c r="E11582" s="16">
        <f>IFERROR(__xludf.DUMMYFUNCTION("""COMPUTED_VALUE"""),66.0)</f>
        <v>66</v>
      </c>
      <c r="F11582" s="19" t="str">
        <f>IFERROR(__xludf.DUMMYFUNCTION("""COMPUTED_VALUE"""),"BLACK")</f>
        <v>BLACK</v>
      </c>
      <c r="G11582" s="20" t="str">
        <f>IFERROR(__xludf.DUMMYFUNCTION("""COMPUTED_VALUE"""),"Uncle Sams Cider (04/04/2023)")</f>
        <v>Uncle Sams Cider (04/04/2023)</v>
      </c>
      <c r="H11582" s="19"/>
    </row>
    <row r="11583">
      <c r="A11583" s="9"/>
      <c r="B11583" s="15"/>
      <c r="C11583" s="9">
        <f>IFERROR(__xludf.DUMMYFUNCTION("""COMPUTED_VALUE"""),45022.6525305208)</f>
        <v>45022.65253</v>
      </c>
      <c r="D11583" s="15">
        <f>IFERROR(__xludf.DUMMYFUNCTION("""COMPUTED_VALUE"""),1.096)</f>
        <v>1.096</v>
      </c>
      <c r="E11583" s="16">
        <f>IFERROR(__xludf.DUMMYFUNCTION("""COMPUTED_VALUE"""),66.0)</f>
        <v>66</v>
      </c>
      <c r="F11583" s="19" t="str">
        <f>IFERROR(__xludf.DUMMYFUNCTION("""COMPUTED_VALUE"""),"BLACK")</f>
        <v>BLACK</v>
      </c>
      <c r="G11583" s="20" t="str">
        <f>IFERROR(__xludf.DUMMYFUNCTION("""COMPUTED_VALUE"""),"Uncle Sams Cider (04/04/2023)")</f>
        <v>Uncle Sams Cider (04/04/2023)</v>
      </c>
      <c r="H11583" s="19"/>
    </row>
    <row r="11584">
      <c r="A11584" s="9"/>
      <c r="B11584" s="15"/>
      <c r="C11584" s="9">
        <f>IFERROR(__xludf.DUMMYFUNCTION("""COMPUTED_VALUE"""),45022.6421084722)</f>
        <v>45022.64211</v>
      </c>
      <c r="D11584" s="15">
        <f>IFERROR(__xludf.DUMMYFUNCTION("""COMPUTED_VALUE"""),1.096)</f>
        <v>1.096</v>
      </c>
      <c r="E11584" s="16">
        <f>IFERROR(__xludf.DUMMYFUNCTION("""COMPUTED_VALUE"""),66.0)</f>
        <v>66</v>
      </c>
      <c r="F11584" s="19" t="str">
        <f>IFERROR(__xludf.DUMMYFUNCTION("""COMPUTED_VALUE"""),"BLACK")</f>
        <v>BLACK</v>
      </c>
      <c r="G11584" s="20" t="str">
        <f>IFERROR(__xludf.DUMMYFUNCTION("""COMPUTED_VALUE"""),"Uncle Sams Cider (04/04/2023)")</f>
        <v>Uncle Sams Cider (04/04/2023)</v>
      </c>
      <c r="H11584" s="19"/>
    </row>
    <row r="11585">
      <c r="A11585" s="9"/>
      <c r="B11585" s="15"/>
      <c r="C11585" s="9">
        <f>IFERROR(__xludf.DUMMYFUNCTION("""COMPUTED_VALUE"""),45022.6316869907)</f>
        <v>45022.63169</v>
      </c>
      <c r="D11585" s="15">
        <f>IFERROR(__xludf.DUMMYFUNCTION("""COMPUTED_VALUE"""),1.096)</f>
        <v>1.096</v>
      </c>
      <c r="E11585" s="16">
        <f>IFERROR(__xludf.DUMMYFUNCTION("""COMPUTED_VALUE"""),66.0)</f>
        <v>66</v>
      </c>
      <c r="F11585" s="19" t="str">
        <f>IFERROR(__xludf.DUMMYFUNCTION("""COMPUTED_VALUE"""),"BLACK")</f>
        <v>BLACK</v>
      </c>
      <c r="G11585" s="20" t="str">
        <f>IFERROR(__xludf.DUMMYFUNCTION("""COMPUTED_VALUE"""),"Uncle Sams Cider (04/04/2023)")</f>
        <v>Uncle Sams Cider (04/04/2023)</v>
      </c>
      <c r="H11585" s="19"/>
    </row>
    <row r="11586">
      <c r="A11586" s="9"/>
      <c r="B11586" s="15"/>
      <c r="C11586" s="9">
        <f>IFERROR(__xludf.DUMMYFUNCTION("""COMPUTED_VALUE"""),45022.6212654282)</f>
        <v>45022.62127</v>
      </c>
      <c r="D11586" s="15">
        <f>IFERROR(__xludf.DUMMYFUNCTION("""COMPUTED_VALUE"""),1.096)</f>
        <v>1.096</v>
      </c>
      <c r="E11586" s="16">
        <f>IFERROR(__xludf.DUMMYFUNCTION("""COMPUTED_VALUE"""),66.0)</f>
        <v>66</v>
      </c>
      <c r="F11586" s="19" t="str">
        <f>IFERROR(__xludf.DUMMYFUNCTION("""COMPUTED_VALUE"""),"BLACK")</f>
        <v>BLACK</v>
      </c>
      <c r="G11586" s="20" t="str">
        <f>IFERROR(__xludf.DUMMYFUNCTION("""COMPUTED_VALUE"""),"Uncle Sams Cider (04/04/2023)")</f>
        <v>Uncle Sams Cider (04/04/2023)</v>
      </c>
      <c r="H11586" s="19"/>
    </row>
    <row r="11587">
      <c r="A11587" s="9"/>
      <c r="B11587" s="15"/>
      <c r="C11587" s="9">
        <f>IFERROR(__xludf.DUMMYFUNCTION("""COMPUTED_VALUE"""),45022.6108315277)</f>
        <v>45022.61083</v>
      </c>
      <c r="D11587" s="15">
        <f>IFERROR(__xludf.DUMMYFUNCTION("""COMPUTED_VALUE"""),1.096)</f>
        <v>1.096</v>
      </c>
      <c r="E11587" s="16">
        <f>IFERROR(__xludf.DUMMYFUNCTION("""COMPUTED_VALUE"""),66.0)</f>
        <v>66</v>
      </c>
      <c r="F11587" s="19" t="str">
        <f>IFERROR(__xludf.DUMMYFUNCTION("""COMPUTED_VALUE"""),"BLACK")</f>
        <v>BLACK</v>
      </c>
      <c r="G11587" s="20" t="str">
        <f>IFERROR(__xludf.DUMMYFUNCTION("""COMPUTED_VALUE"""),"Uncle Sams Cider (04/04/2023)")</f>
        <v>Uncle Sams Cider (04/04/2023)</v>
      </c>
      <c r="H11587" s="19"/>
    </row>
    <row r="11588">
      <c r="A11588" s="9"/>
      <c r="B11588" s="15"/>
      <c r="C11588" s="9">
        <f>IFERROR(__xludf.DUMMYFUNCTION("""COMPUTED_VALUE"""),45022.6004087152)</f>
        <v>45022.60041</v>
      </c>
      <c r="D11588" s="15">
        <f>IFERROR(__xludf.DUMMYFUNCTION("""COMPUTED_VALUE"""),1.096)</f>
        <v>1.096</v>
      </c>
      <c r="E11588" s="16">
        <f>IFERROR(__xludf.DUMMYFUNCTION("""COMPUTED_VALUE"""),66.0)</f>
        <v>66</v>
      </c>
      <c r="F11588" s="19" t="str">
        <f>IFERROR(__xludf.DUMMYFUNCTION("""COMPUTED_VALUE"""),"BLACK")</f>
        <v>BLACK</v>
      </c>
      <c r="G11588" s="20" t="str">
        <f>IFERROR(__xludf.DUMMYFUNCTION("""COMPUTED_VALUE"""),"Uncle Sams Cider (04/04/2023)")</f>
        <v>Uncle Sams Cider (04/04/2023)</v>
      </c>
      <c r="H11588" s="19"/>
    </row>
    <row r="11589">
      <c r="A11589" s="9"/>
      <c r="B11589" s="15"/>
      <c r="C11589" s="9">
        <f>IFERROR(__xludf.DUMMYFUNCTION("""COMPUTED_VALUE"""),45022.5899892129)</f>
        <v>45022.58999</v>
      </c>
      <c r="D11589" s="15">
        <f>IFERROR(__xludf.DUMMYFUNCTION("""COMPUTED_VALUE"""),1.096)</f>
        <v>1.096</v>
      </c>
      <c r="E11589" s="16">
        <f>IFERROR(__xludf.DUMMYFUNCTION("""COMPUTED_VALUE"""),66.0)</f>
        <v>66</v>
      </c>
      <c r="F11589" s="19" t="str">
        <f>IFERROR(__xludf.DUMMYFUNCTION("""COMPUTED_VALUE"""),"BLACK")</f>
        <v>BLACK</v>
      </c>
      <c r="G11589" s="20" t="str">
        <f>IFERROR(__xludf.DUMMYFUNCTION("""COMPUTED_VALUE"""),"Uncle Sams Cider (04/04/2023)")</f>
        <v>Uncle Sams Cider (04/04/2023)</v>
      </c>
      <c r="H11589" s="19"/>
    </row>
    <row r="11590">
      <c r="A11590" s="9"/>
      <c r="B11590" s="15"/>
      <c r="C11590" s="9">
        <f>IFERROR(__xludf.DUMMYFUNCTION("""COMPUTED_VALUE"""),45022.5795555324)</f>
        <v>45022.57956</v>
      </c>
      <c r="D11590" s="15">
        <f>IFERROR(__xludf.DUMMYFUNCTION("""COMPUTED_VALUE"""),1.096)</f>
        <v>1.096</v>
      </c>
      <c r="E11590" s="16">
        <f>IFERROR(__xludf.DUMMYFUNCTION("""COMPUTED_VALUE"""),66.0)</f>
        <v>66</v>
      </c>
      <c r="F11590" s="19" t="str">
        <f>IFERROR(__xludf.DUMMYFUNCTION("""COMPUTED_VALUE"""),"BLACK")</f>
        <v>BLACK</v>
      </c>
      <c r="G11590" s="20" t="str">
        <f>IFERROR(__xludf.DUMMYFUNCTION("""COMPUTED_VALUE"""),"Uncle Sams Cider (04/04/2023)")</f>
        <v>Uncle Sams Cider (04/04/2023)</v>
      </c>
      <c r="H11590" s="19"/>
    </row>
    <row r="11591">
      <c r="A11591" s="9"/>
      <c r="B11591" s="15"/>
      <c r="C11591" s="9">
        <f>IFERROR(__xludf.DUMMYFUNCTION("""COMPUTED_VALUE"""),45022.5691338773)</f>
        <v>45022.56913</v>
      </c>
      <c r="D11591" s="15">
        <f>IFERROR(__xludf.DUMMYFUNCTION("""COMPUTED_VALUE"""),1.096)</f>
        <v>1.096</v>
      </c>
      <c r="E11591" s="16">
        <f>IFERROR(__xludf.DUMMYFUNCTION("""COMPUTED_VALUE"""),66.0)</f>
        <v>66</v>
      </c>
      <c r="F11591" s="19" t="str">
        <f>IFERROR(__xludf.DUMMYFUNCTION("""COMPUTED_VALUE"""),"BLACK")</f>
        <v>BLACK</v>
      </c>
      <c r="G11591" s="20" t="str">
        <f>IFERROR(__xludf.DUMMYFUNCTION("""COMPUTED_VALUE"""),"Uncle Sams Cider (04/04/2023)")</f>
        <v>Uncle Sams Cider (04/04/2023)</v>
      </c>
      <c r="H11591" s="19"/>
    </row>
    <row r="11592">
      <c r="A11592" s="9"/>
      <c r="B11592" s="15"/>
      <c r="C11592" s="9">
        <f>IFERROR(__xludf.DUMMYFUNCTION("""COMPUTED_VALUE"""),45022.5587115625)</f>
        <v>45022.55871</v>
      </c>
      <c r="D11592" s="15">
        <f>IFERROR(__xludf.DUMMYFUNCTION("""COMPUTED_VALUE"""),1.096)</f>
        <v>1.096</v>
      </c>
      <c r="E11592" s="16">
        <f>IFERROR(__xludf.DUMMYFUNCTION("""COMPUTED_VALUE"""),66.0)</f>
        <v>66</v>
      </c>
      <c r="F11592" s="19" t="str">
        <f>IFERROR(__xludf.DUMMYFUNCTION("""COMPUTED_VALUE"""),"BLACK")</f>
        <v>BLACK</v>
      </c>
      <c r="G11592" s="20" t="str">
        <f>IFERROR(__xludf.DUMMYFUNCTION("""COMPUTED_VALUE"""),"Uncle Sams Cider (04/04/2023)")</f>
        <v>Uncle Sams Cider (04/04/2023)</v>
      </c>
      <c r="H11592" s="19"/>
    </row>
    <row r="11593">
      <c r="A11593" s="9"/>
      <c r="B11593" s="15"/>
      <c r="C11593" s="9">
        <f>IFERROR(__xludf.DUMMYFUNCTION("""COMPUTED_VALUE"""),45022.5482782407)</f>
        <v>45022.54828</v>
      </c>
      <c r="D11593" s="15">
        <f>IFERROR(__xludf.DUMMYFUNCTION("""COMPUTED_VALUE"""),1.096)</f>
        <v>1.096</v>
      </c>
      <c r="E11593" s="16">
        <f>IFERROR(__xludf.DUMMYFUNCTION("""COMPUTED_VALUE"""),66.0)</f>
        <v>66</v>
      </c>
      <c r="F11593" s="19" t="str">
        <f>IFERROR(__xludf.DUMMYFUNCTION("""COMPUTED_VALUE"""),"BLACK")</f>
        <v>BLACK</v>
      </c>
      <c r="G11593" s="20" t="str">
        <f>IFERROR(__xludf.DUMMYFUNCTION("""COMPUTED_VALUE"""),"Uncle Sams Cider (04/04/2023)")</f>
        <v>Uncle Sams Cider (04/04/2023)</v>
      </c>
      <c r="H11593" s="19"/>
    </row>
    <row r="11594">
      <c r="A11594" s="9"/>
      <c r="B11594" s="15"/>
      <c r="C11594" s="9">
        <f>IFERROR(__xludf.DUMMYFUNCTION("""COMPUTED_VALUE"""),45022.5378569213)</f>
        <v>45022.53786</v>
      </c>
      <c r="D11594" s="15">
        <f>IFERROR(__xludf.DUMMYFUNCTION("""COMPUTED_VALUE"""),1.096)</f>
        <v>1.096</v>
      </c>
      <c r="E11594" s="16">
        <f>IFERROR(__xludf.DUMMYFUNCTION("""COMPUTED_VALUE"""),65.0)</f>
        <v>65</v>
      </c>
      <c r="F11594" s="19" t="str">
        <f>IFERROR(__xludf.DUMMYFUNCTION("""COMPUTED_VALUE"""),"BLACK")</f>
        <v>BLACK</v>
      </c>
      <c r="G11594" s="20" t="str">
        <f>IFERROR(__xludf.DUMMYFUNCTION("""COMPUTED_VALUE"""),"Uncle Sams Cider (04/04/2023)")</f>
        <v>Uncle Sams Cider (04/04/2023)</v>
      </c>
      <c r="H11594" s="19"/>
    </row>
    <row r="11595">
      <c r="A11595" s="9"/>
      <c r="B11595" s="15"/>
      <c r="C11595" s="9">
        <f>IFERROR(__xludf.DUMMYFUNCTION("""COMPUTED_VALUE"""),45022.5274239467)</f>
        <v>45022.52742</v>
      </c>
      <c r="D11595" s="15">
        <f>IFERROR(__xludf.DUMMYFUNCTION("""COMPUTED_VALUE"""),1.096)</f>
        <v>1.096</v>
      </c>
      <c r="E11595" s="16">
        <f>IFERROR(__xludf.DUMMYFUNCTION("""COMPUTED_VALUE"""),65.0)</f>
        <v>65</v>
      </c>
      <c r="F11595" s="19" t="str">
        <f>IFERROR(__xludf.DUMMYFUNCTION("""COMPUTED_VALUE"""),"BLACK")</f>
        <v>BLACK</v>
      </c>
      <c r="G11595" s="20" t="str">
        <f>IFERROR(__xludf.DUMMYFUNCTION("""COMPUTED_VALUE"""),"Uncle Sams Cider (04/04/2023)")</f>
        <v>Uncle Sams Cider (04/04/2023)</v>
      </c>
      <c r="H11595" s="19"/>
    </row>
    <row r="11596">
      <c r="A11596" s="9"/>
      <c r="B11596" s="15"/>
      <c r="C11596" s="9">
        <f>IFERROR(__xludf.DUMMYFUNCTION("""COMPUTED_VALUE"""),45022.5169898842)</f>
        <v>45022.51699</v>
      </c>
      <c r="D11596" s="15">
        <f>IFERROR(__xludf.DUMMYFUNCTION("""COMPUTED_VALUE"""),1.096)</f>
        <v>1.096</v>
      </c>
      <c r="E11596" s="16">
        <f>IFERROR(__xludf.DUMMYFUNCTION("""COMPUTED_VALUE"""),65.0)</f>
        <v>65</v>
      </c>
      <c r="F11596" s="19" t="str">
        <f>IFERROR(__xludf.DUMMYFUNCTION("""COMPUTED_VALUE"""),"BLACK")</f>
        <v>BLACK</v>
      </c>
      <c r="G11596" s="20" t="str">
        <f>IFERROR(__xludf.DUMMYFUNCTION("""COMPUTED_VALUE"""),"Uncle Sams Cider (04/04/2023)")</f>
        <v>Uncle Sams Cider (04/04/2023)</v>
      </c>
      <c r="H11596" s="19"/>
    </row>
    <row r="11597">
      <c r="A11597" s="9"/>
      <c r="B11597" s="15"/>
      <c r="C11597" s="9">
        <f>IFERROR(__xludf.DUMMYFUNCTION("""COMPUTED_VALUE"""),45022.5065694328)</f>
        <v>45022.50657</v>
      </c>
      <c r="D11597" s="15">
        <f>IFERROR(__xludf.DUMMYFUNCTION("""COMPUTED_VALUE"""),1.097)</f>
        <v>1.097</v>
      </c>
      <c r="E11597" s="16">
        <f>IFERROR(__xludf.DUMMYFUNCTION("""COMPUTED_VALUE"""),65.0)</f>
        <v>65</v>
      </c>
      <c r="F11597" s="19" t="str">
        <f>IFERROR(__xludf.DUMMYFUNCTION("""COMPUTED_VALUE"""),"BLACK")</f>
        <v>BLACK</v>
      </c>
      <c r="G11597" s="20" t="str">
        <f>IFERROR(__xludf.DUMMYFUNCTION("""COMPUTED_VALUE"""),"Uncle Sams Cider (04/04/2023)")</f>
        <v>Uncle Sams Cider (04/04/2023)</v>
      </c>
      <c r="H11597" s="19"/>
    </row>
    <row r="11598">
      <c r="A11598" s="9"/>
      <c r="B11598" s="15"/>
      <c r="C11598" s="9">
        <f>IFERROR(__xludf.DUMMYFUNCTION("""COMPUTED_VALUE"""),45022.4961255324)</f>
        <v>45022.49613</v>
      </c>
      <c r="D11598" s="15">
        <f>IFERROR(__xludf.DUMMYFUNCTION("""COMPUTED_VALUE"""),1.097)</f>
        <v>1.097</v>
      </c>
      <c r="E11598" s="16">
        <f>IFERROR(__xludf.DUMMYFUNCTION("""COMPUTED_VALUE"""),65.0)</f>
        <v>65</v>
      </c>
      <c r="F11598" s="19" t="str">
        <f>IFERROR(__xludf.DUMMYFUNCTION("""COMPUTED_VALUE"""),"BLACK")</f>
        <v>BLACK</v>
      </c>
      <c r="G11598" s="20" t="str">
        <f>IFERROR(__xludf.DUMMYFUNCTION("""COMPUTED_VALUE"""),"Uncle Sams Cider (04/04/2023)")</f>
        <v>Uncle Sams Cider (04/04/2023)</v>
      </c>
      <c r="H11598" s="19"/>
    </row>
    <row r="11599">
      <c r="A11599" s="9"/>
      <c r="B11599" s="15"/>
      <c r="C11599" s="9">
        <f>IFERROR(__xludf.DUMMYFUNCTION("""COMPUTED_VALUE"""),45022.4857041666)</f>
        <v>45022.4857</v>
      </c>
      <c r="D11599" s="15">
        <f>IFERROR(__xludf.DUMMYFUNCTION("""COMPUTED_VALUE"""),1.097)</f>
        <v>1.097</v>
      </c>
      <c r="E11599" s="16">
        <f>IFERROR(__xludf.DUMMYFUNCTION("""COMPUTED_VALUE"""),65.0)</f>
        <v>65</v>
      </c>
      <c r="F11599" s="19" t="str">
        <f>IFERROR(__xludf.DUMMYFUNCTION("""COMPUTED_VALUE"""),"BLACK")</f>
        <v>BLACK</v>
      </c>
      <c r="G11599" s="20" t="str">
        <f>IFERROR(__xludf.DUMMYFUNCTION("""COMPUTED_VALUE"""),"Uncle Sams Cider (04/04/2023)")</f>
        <v>Uncle Sams Cider (04/04/2023)</v>
      </c>
      <c r="H11599" s="19"/>
    </row>
    <row r="11600">
      <c r="A11600" s="9"/>
      <c r="B11600" s="15"/>
      <c r="C11600" s="9">
        <f>IFERROR(__xludf.DUMMYFUNCTION("""COMPUTED_VALUE"""),45022.4752828588)</f>
        <v>45022.47528</v>
      </c>
      <c r="D11600" s="15">
        <f>IFERROR(__xludf.DUMMYFUNCTION("""COMPUTED_VALUE"""),1.096)</f>
        <v>1.096</v>
      </c>
      <c r="E11600" s="16">
        <f>IFERROR(__xludf.DUMMYFUNCTION("""COMPUTED_VALUE"""),65.0)</f>
        <v>65</v>
      </c>
      <c r="F11600" s="19" t="str">
        <f>IFERROR(__xludf.DUMMYFUNCTION("""COMPUTED_VALUE"""),"BLACK")</f>
        <v>BLACK</v>
      </c>
      <c r="G11600" s="20" t="str">
        <f>IFERROR(__xludf.DUMMYFUNCTION("""COMPUTED_VALUE"""),"Uncle Sams Cider (04/04/2023)")</f>
        <v>Uncle Sams Cider (04/04/2023)</v>
      </c>
      <c r="H11600" s="19"/>
    </row>
    <row r="11601">
      <c r="A11601" s="9"/>
      <c r="B11601" s="15"/>
      <c r="C11601" s="9">
        <f>IFERROR(__xludf.DUMMYFUNCTION("""COMPUTED_VALUE"""),45022.4648612615)</f>
        <v>45022.46486</v>
      </c>
      <c r="D11601" s="15">
        <f>IFERROR(__xludf.DUMMYFUNCTION("""COMPUTED_VALUE"""),1.097)</f>
        <v>1.097</v>
      </c>
      <c r="E11601" s="16">
        <f>IFERROR(__xludf.DUMMYFUNCTION("""COMPUTED_VALUE"""),65.0)</f>
        <v>65</v>
      </c>
      <c r="F11601" s="19" t="str">
        <f>IFERROR(__xludf.DUMMYFUNCTION("""COMPUTED_VALUE"""),"BLACK")</f>
        <v>BLACK</v>
      </c>
      <c r="G11601" s="20" t="str">
        <f>IFERROR(__xludf.DUMMYFUNCTION("""COMPUTED_VALUE"""),"Uncle Sams Cider (04/04/2023)")</f>
        <v>Uncle Sams Cider (04/04/2023)</v>
      </c>
      <c r="H11601" s="19"/>
    </row>
    <row r="11602">
      <c r="A11602" s="9"/>
      <c r="B11602" s="15"/>
      <c r="C11602" s="9">
        <f>IFERROR(__xludf.DUMMYFUNCTION("""COMPUTED_VALUE"""),45022.4544427199)</f>
        <v>45022.45444</v>
      </c>
      <c r="D11602" s="15">
        <f>IFERROR(__xludf.DUMMYFUNCTION("""COMPUTED_VALUE"""),1.097)</f>
        <v>1.097</v>
      </c>
      <c r="E11602" s="16">
        <f>IFERROR(__xludf.DUMMYFUNCTION("""COMPUTED_VALUE"""),65.0)</f>
        <v>65</v>
      </c>
      <c r="F11602" s="19" t="str">
        <f>IFERROR(__xludf.DUMMYFUNCTION("""COMPUTED_VALUE"""),"BLACK")</f>
        <v>BLACK</v>
      </c>
      <c r="G11602" s="20" t="str">
        <f>IFERROR(__xludf.DUMMYFUNCTION("""COMPUTED_VALUE"""),"Uncle Sams Cider (04/04/2023)")</f>
        <v>Uncle Sams Cider (04/04/2023)</v>
      </c>
      <c r="H11602" s="19"/>
    </row>
    <row r="11603">
      <c r="A11603" s="9"/>
      <c r="B11603" s="15"/>
      <c r="C11603" s="9">
        <f>IFERROR(__xludf.DUMMYFUNCTION("""COMPUTED_VALUE"""),45022.4440239004)</f>
        <v>45022.44402</v>
      </c>
      <c r="D11603" s="15">
        <f>IFERROR(__xludf.DUMMYFUNCTION("""COMPUTED_VALUE"""),1.097)</f>
        <v>1.097</v>
      </c>
      <c r="E11603" s="16">
        <f>IFERROR(__xludf.DUMMYFUNCTION("""COMPUTED_VALUE"""),65.0)</f>
        <v>65</v>
      </c>
      <c r="F11603" s="19" t="str">
        <f>IFERROR(__xludf.DUMMYFUNCTION("""COMPUTED_VALUE"""),"BLACK")</f>
        <v>BLACK</v>
      </c>
      <c r="G11603" s="20" t="str">
        <f>IFERROR(__xludf.DUMMYFUNCTION("""COMPUTED_VALUE"""),"Uncle Sams Cider (04/04/2023)")</f>
        <v>Uncle Sams Cider (04/04/2023)</v>
      </c>
      <c r="H11603" s="19"/>
    </row>
    <row r="11604">
      <c r="A11604" s="9"/>
      <c r="B11604" s="15"/>
      <c r="C11604" s="9">
        <f>IFERROR(__xludf.DUMMYFUNCTION("""COMPUTED_VALUE"""),45022.4336020717)</f>
        <v>45022.4336</v>
      </c>
      <c r="D11604" s="15">
        <f>IFERROR(__xludf.DUMMYFUNCTION("""COMPUTED_VALUE"""),1.096)</f>
        <v>1.096</v>
      </c>
      <c r="E11604" s="16">
        <f>IFERROR(__xludf.DUMMYFUNCTION("""COMPUTED_VALUE"""),65.0)</f>
        <v>65</v>
      </c>
      <c r="F11604" s="19" t="str">
        <f>IFERROR(__xludf.DUMMYFUNCTION("""COMPUTED_VALUE"""),"BLACK")</f>
        <v>BLACK</v>
      </c>
      <c r="G11604" s="20" t="str">
        <f>IFERROR(__xludf.DUMMYFUNCTION("""COMPUTED_VALUE"""),"Uncle Sams Cider (04/04/2023)")</f>
        <v>Uncle Sams Cider (04/04/2023)</v>
      </c>
      <c r="H11604" s="19"/>
    </row>
    <row r="11605">
      <c r="A11605" s="9"/>
      <c r="B11605" s="15"/>
      <c r="C11605" s="9">
        <f>IFERROR(__xludf.DUMMYFUNCTION("""COMPUTED_VALUE"""),45022.4231795254)</f>
        <v>45022.42318</v>
      </c>
      <c r="D11605" s="15">
        <f>IFERROR(__xludf.DUMMYFUNCTION("""COMPUTED_VALUE"""),1.097)</f>
        <v>1.097</v>
      </c>
      <c r="E11605" s="16">
        <f>IFERROR(__xludf.DUMMYFUNCTION("""COMPUTED_VALUE"""),65.0)</f>
        <v>65</v>
      </c>
      <c r="F11605" s="19" t="str">
        <f>IFERROR(__xludf.DUMMYFUNCTION("""COMPUTED_VALUE"""),"BLACK")</f>
        <v>BLACK</v>
      </c>
      <c r="G11605" s="20" t="str">
        <f>IFERROR(__xludf.DUMMYFUNCTION("""COMPUTED_VALUE"""),"Uncle Sams Cider (04/04/2023)")</f>
        <v>Uncle Sams Cider (04/04/2023)</v>
      </c>
      <c r="H11605" s="19"/>
    </row>
    <row r="11606">
      <c r="A11606" s="9"/>
      <c r="B11606" s="15"/>
      <c r="C11606" s="9">
        <f>IFERROR(__xludf.DUMMYFUNCTION("""COMPUTED_VALUE"""),45022.4126999537)</f>
        <v>45022.4127</v>
      </c>
      <c r="D11606" s="15">
        <f>IFERROR(__xludf.DUMMYFUNCTION("""COMPUTED_VALUE"""),1.097)</f>
        <v>1.097</v>
      </c>
      <c r="E11606" s="16">
        <f>IFERROR(__xludf.DUMMYFUNCTION("""COMPUTED_VALUE"""),65.0)</f>
        <v>65</v>
      </c>
      <c r="F11606" s="19" t="str">
        <f>IFERROR(__xludf.DUMMYFUNCTION("""COMPUTED_VALUE"""),"BLACK")</f>
        <v>BLACK</v>
      </c>
      <c r="G11606" s="20" t="str">
        <f>IFERROR(__xludf.DUMMYFUNCTION("""COMPUTED_VALUE"""),"Uncle Sams Cider (04/04/2023)")</f>
        <v>Uncle Sams Cider (04/04/2023)</v>
      </c>
      <c r="H11606" s="19"/>
    </row>
    <row r="11607">
      <c r="A11607" s="9"/>
      <c r="B11607" s="15"/>
      <c r="C11607" s="9">
        <f>IFERROR(__xludf.DUMMYFUNCTION("""COMPUTED_VALUE"""),45022.4022806134)</f>
        <v>45022.40228</v>
      </c>
      <c r="D11607" s="15">
        <f>IFERROR(__xludf.DUMMYFUNCTION("""COMPUTED_VALUE"""),1.097)</f>
        <v>1.097</v>
      </c>
      <c r="E11607" s="16">
        <f>IFERROR(__xludf.DUMMYFUNCTION("""COMPUTED_VALUE"""),65.0)</f>
        <v>65</v>
      </c>
      <c r="F11607" s="19" t="str">
        <f>IFERROR(__xludf.DUMMYFUNCTION("""COMPUTED_VALUE"""),"BLACK")</f>
        <v>BLACK</v>
      </c>
      <c r="G11607" s="20" t="str">
        <f>IFERROR(__xludf.DUMMYFUNCTION("""COMPUTED_VALUE"""),"Uncle Sams Cider (04/04/2023)")</f>
        <v>Uncle Sams Cider (04/04/2023)</v>
      </c>
      <c r="H11607" s="19"/>
    </row>
    <row r="11608">
      <c r="A11608" s="9"/>
      <c r="B11608" s="15"/>
      <c r="C11608" s="9">
        <f>IFERROR(__xludf.DUMMYFUNCTION("""COMPUTED_VALUE"""),45022.3918587384)</f>
        <v>45022.39186</v>
      </c>
      <c r="D11608" s="15">
        <f>IFERROR(__xludf.DUMMYFUNCTION("""COMPUTED_VALUE"""),1.097)</f>
        <v>1.097</v>
      </c>
      <c r="E11608" s="16">
        <f>IFERROR(__xludf.DUMMYFUNCTION("""COMPUTED_VALUE"""),65.0)</f>
        <v>65</v>
      </c>
      <c r="F11608" s="19" t="str">
        <f>IFERROR(__xludf.DUMMYFUNCTION("""COMPUTED_VALUE"""),"BLACK")</f>
        <v>BLACK</v>
      </c>
      <c r="G11608" s="20" t="str">
        <f>IFERROR(__xludf.DUMMYFUNCTION("""COMPUTED_VALUE"""),"Uncle Sams Cider (04/04/2023)")</f>
        <v>Uncle Sams Cider (04/04/2023)</v>
      </c>
      <c r="H11608" s="19"/>
    </row>
    <row r="11609">
      <c r="A11609" s="9"/>
      <c r="B11609" s="15"/>
      <c r="C11609" s="9">
        <f>IFERROR(__xludf.DUMMYFUNCTION("""COMPUTED_VALUE"""),45022.3814376157)</f>
        <v>45022.38144</v>
      </c>
      <c r="D11609" s="15">
        <f>IFERROR(__xludf.DUMMYFUNCTION("""COMPUTED_VALUE"""),1.097)</f>
        <v>1.097</v>
      </c>
      <c r="E11609" s="16">
        <f>IFERROR(__xludf.DUMMYFUNCTION("""COMPUTED_VALUE"""),65.0)</f>
        <v>65</v>
      </c>
      <c r="F11609" s="19" t="str">
        <f>IFERROR(__xludf.DUMMYFUNCTION("""COMPUTED_VALUE"""),"BLACK")</f>
        <v>BLACK</v>
      </c>
      <c r="G11609" s="20" t="str">
        <f>IFERROR(__xludf.DUMMYFUNCTION("""COMPUTED_VALUE"""),"Uncle Sams Cider (04/04/2023)")</f>
        <v>Uncle Sams Cider (04/04/2023)</v>
      </c>
      <c r="H11609" s="19"/>
    </row>
    <row r="11610">
      <c r="A11610" s="9"/>
      <c r="B11610" s="15"/>
      <c r="C11610" s="9">
        <f>IFERROR(__xludf.DUMMYFUNCTION("""COMPUTED_VALUE"""),45022.3710152662)</f>
        <v>45022.37102</v>
      </c>
      <c r="D11610" s="15">
        <f>IFERROR(__xludf.DUMMYFUNCTION("""COMPUTED_VALUE"""),1.098)</f>
        <v>1.098</v>
      </c>
      <c r="E11610" s="16">
        <f>IFERROR(__xludf.DUMMYFUNCTION("""COMPUTED_VALUE"""),65.0)</f>
        <v>65</v>
      </c>
      <c r="F11610" s="19" t="str">
        <f>IFERROR(__xludf.DUMMYFUNCTION("""COMPUTED_VALUE"""),"BLACK")</f>
        <v>BLACK</v>
      </c>
      <c r="G11610" s="20" t="str">
        <f>IFERROR(__xludf.DUMMYFUNCTION("""COMPUTED_VALUE"""),"Uncle Sams Cider (04/04/2023)")</f>
        <v>Uncle Sams Cider (04/04/2023)</v>
      </c>
      <c r="H11610" s="19"/>
    </row>
    <row r="11611">
      <c r="A11611" s="9"/>
      <c r="B11611" s="15"/>
      <c r="C11611" s="9">
        <f>IFERROR(__xludf.DUMMYFUNCTION("""COMPUTED_VALUE"""),45022.3605942476)</f>
        <v>45022.36059</v>
      </c>
      <c r="D11611" s="15">
        <f>IFERROR(__xludf.DUMMYFUNCTION("""COMPUTED_VALUE"""),1.097)</f>
        <v>1.097</v>
      </c>
      <c r="E11611" s="16">
        <f>IFERROR(__xludf.DUMMYFUNCTION("""COMPUTED_VALUE"""),65.0)</f>
        <v>65</v>
      </c>
      <c r="F11611" s="19" t="str">
        <f>IFERROR(__xludf.DUMMYFUNCTION("""COMPUTED_VALUE"""),"BLACK")</f>
        <v>BLACK</v>
      </c>
      <c r="G11611" s="20" t="str">
        <f>IFERROR(__xludf.DUMMYFUNCTION("""COMPUTED_VALUE"""),"Uncle Sams Cider (04/04/2023)")</f>
        <v>Uncle Sams Cider (04/04/2023)</v>
      </c>
      <c r="H11611" s="19"/>
    </row>
    <row r="11612">
      <c r="A11612" s="9"/>
      <c r="B11612" s="15"/>
      <c r="C11612" s="9">
        <f>IFERROR(__xludf.DUMMYFUNCTION("""COMPUTED_VALUE"""),45022.3501707523)</f>
        <v>45022.35017</v>
      </c>
      <c r="D11612" s="15">
        <f>IFERROR(__xludf.DUMMYFUNCTION("""COMPUTED_VALUE"""),1.098)</f>
        <v>1.098</v>
      </c>
      <c r="E11612" s="16">
        <f>IFERROR(__xludf.DUMMYFUNCTION("""COMPUTED_VALUE"""),65.0)</f>
        <v>65</v>
      </c>
      <c r="F11612" s="19" t="str">
        <f>IFERROR(__xludf.DUMMYFUNCTION("""COMPUTED_VALUE"""),"BLACK")</f>
        <v>BLACK</v>
      </c>
      <c r="G11612" s="20" t="str">
        <f>IFERROR(__xludf.DUMMYFUNCTION("""COMPUTED_VALUE"""),"Uncle Sams Cider (04/04/2023)")</f>
        <v>Uncle Sams Cider (04/04/2023)</v>
      </c>
      <c r="H11612" s="19"/>
    </row>
    <row r="11613">
      <c r="A11613" s="9"/>
      <c r="B11613" s="15"/>
      <c r="C11613" s="9">
        <f>IFERROR(__xludf.DUMMYFUNCTION("""COMPUTED_VALUE"""),45022.3397491666)</f>
        <v>45022.33975</v>
      </c>
      <c r="D11613" s="15">
        <f>IFERROR(__xludf.DUMMYFUNCTION("""COMPUTED_VALUE"""),1.097)</f>
        <v>1.097</v>
      </c>
      <c r="E11613" s="16">
        <f>IFERROR(__xludf.DUMMYFUNCTION("""COMPUTED_VALUE"""),65.0)</f>
        <v>65</v>
      </c>
      <c r="F11613" s="19" t="str">
        <f>IFERROR(__xludf.DUMMYFUNCTION("""COMPUTED_VALUE"""),"BLACK")</f>
        <v>BLACK</v>
      </c>
      <c r="G11613" s="20" t="str">
        <f>IFERROR(__xludf.DUMMYFUNCTION("""COMPUTED_VALUE"""),"Uncle Sams Cider (04/04/2023)")</f>
        <v>Uncle Sams Cider (04/04/2023)</v>
      </c>
      <c r="H11613" s="19"/>
    </row>
    <row r="11614">
      <c r="A11614" s="9"/>
      <c r="B11614" s="15"/>
      <c r="C11614" s="9">
        <f>IFERROR(__xludf.DUMMYFUNCTION("""COMPUTED_VALUE"""),45022.3293266666)</f>
        <v>45022.32933</v>
      </c>
      <c r="D11614" s="15">
        <f>IFERROR(__xludf.DUMMYFUNCTION("""COMPUTED_VALUE"""),1.098)</f>
        <v>1.098</v>
      </c>
      <c r="E11614" s="16">
        <f>IFERROR(__xludf.DUMMYFUNCTION("""COMPUTED_VALUE"""),65.0)</f>
        <v>65</v>
      </c>
      <c r="F11614" s="19" t="str">
        <f>IFERROR(__xludf.DUMMYFUNCTION("""COMPUTED_VALUE"""),"BLACK")</f>
        <v>BLACK</v>
      </c>
      <c r="G11614" s="20" t="str">
        <f>IFERROR(__xludf.DUMMYFUNCTION("""COMPUTED_VALUE"""),"Uncle Sams Cider (04/04/2023)")</f>
        <v>Uncle Sams Cider (04/04/2023)</v>
      </c>
      <c r="H11614" s="19"/>
    </row>
    <row r="11615">
      <c r="A11615" s="9"/>
      <c r="B11615" s="15"/>
      <c r="C11615" s="9">
        <f>IFERROR(__xludf.DUMMYFUNCTION("""COMPUTED_VALUE"""),45022.3189049884)</f>
        <v>45022.3189</v>
      </c>
      <c r="D11615" s="15">
        <f>IFERROR(__xludf.DUMMYFUNCTION("""COMPUTED_VALUE"""),1.098)</f>
        <v>1.098</v>
      </c>
      <c r="E11615" s="16">
        <f>IFERROR(__xludf.DUMMYFUNCTION("""COMPUTED_VALUE"""),65.0)</f>
        <v>65</v>
      </c>
      <c r="F11615" s="19" t="str">
        <f>IFERROR(__xludf.DUMMYFUNCTION("""COMPUTED_VALUE"""),"BLACK")</f>
        <v>BLACK</v>
      </c>
      <c r="G11615" s="20" t="str">
        <f>IFERROR(__xludf.DUMMYFUNCTION("""COMPUTED_VALUE"""),"Uncle Sams Cider (04/04/2023)")</f>
        <v>Uncle Sams Cider (04/04/2023)</v>
      </c>
      <c r="H11615" s="19"/>
    </row>
    <row r="11616">
      <c r="A11616" s="9"/>
      <c r="B11616" s="15"/>
      <c r="C11616" s="9">
        <f>IFERROR(__xludf.DUMMYFUNCTION("""COMPUTED_VALUE"""),45022.3084822222)</f>
        <v>45022.30848</v>
      </c>
      <c r="D11616" s="15">
        <f>IFERROR(__xludf.DUMMYFUNCTION("""COMPUTED_VALUE"""),1.098)</f>
        <v>1.098</v>
      </c>
      <c r="E11616" s="16">
        <f>IFERROR(__xludf.DUMMYFUNCTION("""COMPUTED_VALUE"""),65.0)</f>
        <v>65</v>
      </c>
      <c r="F11616" s="19" t="str">
        <f>IFERROR(__xludf.DUMMYFUNCTION("""COMPUTED_VALUE"""),"BLACK")</f>
        <v>BLACK</v>
      </c>
      <c r="G11616" s="20" t="str">
        <f>IFERROR(__xludf.DUMMYFUNCTION("""COMPUTED_VALUE"""),"Uncle Sams Cider (04/04/2023)")</f>
        <v>Uncle Sams Cider (04/04/2023)</v>
      </c>
      <c r="H11616" s="19"/>
    </row>
    <row r="11617">
      <c r="A11617" s="9"/>
      <c r="B11617" s="15"/>
      <c r="C11617" s="9">
        <f>IFERROR(__xludf.DUMMYFUNCTION("""COMPUTED_VALUE"""),45022.2980604398)</f>
        <v>45022.29806</v>
      </c>
      <c r="D11617" s="15">
        <f>IFERROR(__xludf.DUMMYFUNCTION("""COMPUTED_VALUE"""),1.098)</f>
        <v>1.098</v>
      </c>
      <c r="E11617" s="16">
        <f>IFERROR(__xludf.DUMMYFUNCTION("""COMPUTED_VALUE"""),65.0)</f>
        <v>65</v>
      </c>
      <c r="F11617" s="19" t="str">
        <f>IFERROR(__xludf.DUMMYFUNCTION("""COMPUTED_VALUE"""),"BLACK")</f>
        <v>BLACK</v>
      </c>
      <c r="G11617" s="20" t="str">
        <f>IFERROR(__xludf.DUMMYFUNCTION("""COMPUTED_VALUE"""),"Uncle Sams Cider (04/04/2023)")</f>
        <v>Uncle Sams Cider (04/04/2023)</v>
      </c>
      <c r="H11617" s="19"/>
    </row>
    <row r="11618">
      <c r="A11618" s="9"/>
      <c r="B11618" s="15"/>
      <c r="C11618" s="9">
        <f>IFERROR(__xludf.DUMMYFUNCTION("""COMPUTED_VALUE"""),45022.2876383333)</f>
        <v>45022.28764</v>
      </c>
      <c r="D11618" s="15">
        <f>IFERROR(__xludf.DUMMYFUNCTION("""COMPUTED_VALUE"""),1.098)</f>
        <v>1.098</v>
      </c>
      <c r="E11618" s="16">
        <f>IFERROR(__xludf.DUMMYFUNCTION("""COMPUTED_VALUE"""),65.0)</f>
        <v>65</v>
      </c>
      <c r="F11618" s="19" t="str">
        <f>IFERROR(__xludf.DUMMYFUNCTION("""COMPUTED_VALUE"""),"BLACK")</f>
        <v>BLACK</v>
      </c>
      <c r="G11618" s="20" t="str">
        <f>IFERROR(__xludf.DUMMYFUNCTION("""COMPUTED_VALUE"""),"Uncle Sams Cider (04/04/2023)")</f>
        <v>Uncle Sams Cider (04/04/2023)</v>
      </c>
      <c r="H11618" s="19"/>
    </row>
    <row r="11619">
      <c r="A11619" s="9"/>
      <c r="B11619" s="15"/>
      <c r="C11619" s="9">
        <f>IFERROR(__xludf.DUMMYFUNCTION("""COMPUTED_VALUE"""),45022.2772160416)</f>
        <v>45022.27722</v>
      </c>
      <c r="D11619" s="15">
        <f>IFERROR(__xludf.DUMMYFUNCTION("""COMPUTED_VALUE"""),1.098)</f>
        <v>1.098</v>
      </c>
      <c r="E11619" s="16">
        <f>IFERROR(__xludf.DUMMYFUNCTION("""COMPUTED_VALUE"""),65.0)</f>
        <v>65</v>
      </c>
      <c r="F11619" s="19" t="str">
        <f>IFERROR(__xludf.DUMMYFUNCTION("""COMPUTED_VALUE"""),"BLACK")</f>
        <v>BLACK</v>
      </c>
      <c r="G11619" s="20" t="str">
        <f>IFERROR(__xludf.DUMMYFUNCTION("""COMPUTED_VALUE"""),"Uncle Sams Cider (04/04/2023)")</f>
        <v>Uncle Sams Cider (04/04/2023)</v>
      </c>
      <c r="H11619" s="19"/>
    </row>
    <row r="11620">
      <c r="A11620" s="9"/>
      <c r="B11620" s="15"/>
      <c r="C11620" s="9">
        <f>IFERROR(__xludf.DUMMYFUNCTION("""COMPUTED_VALUE"""),45022.2667927546)</f>
        <v>45022.26679</v>
      </c>
      <c r="D11620" s="15">
        <f>IFERROR(__xludf.DUMMYFUNCTION("""COMPUTED_VALUE"""),1.098)</f>
        <v>1.098</v>
      </c>
      <c r="E11620" s="16">
        <f>IFERROR(__xludf.DUMMYFUNCTION("""COMPUTED_VALUE"""),65.0)</f>
        <v>65</v>
      </c>
      <c r="F11620" s="19" t="str">
        <f>IFERROR(__xludf.DUMMYFUNCTION("""COMPUTED_VALUE"""),"BLACK")</f>
        <v>BLACK</v>
      </c>
      <c r="G11620" s="20" t="str">
        <f>IFERROR(__xludf.DUMMYFUNCTION("""COMPUTED_VALUE"""),"Uncle Sams Cider (04/04/2023)")</f>
        <v>Uncle Sams Cider (04/04/2023)</v>
      </c>
      <c r="H11620" s="19"/>
    </row>
    <row r="11621">
      <c r="A11621" s="9"/>
      <c r="B11621" s="15"/>
      <c r="C11621" s="9">
        <f>IFERROR(__xludf.DUMMYFUNCTION("""COMPUTED_VALUE"""),45022.2563585185)</f>
        <v>45022.25636</v>
      </c>
      <c r="D11621" s="15">
        <f>IFERROR(__xludf.DUMMYFUNCTION("""COMPUTED_VALUE"""),1.097)</f>
        <v>1.097</v>
      </c>
      <c r="E11621" s="16">
        <f>IFERROR(__xludf.DUMMYFUNCTION("""COMPUTED_VALUE"""),65.0)</f>
        <v>65</v>
      </c>
      <c r="F11621" s="19" t="str">
        <f>IFERROR(__xludf.DUMMYFUNCTION("""COMPUTED_VALUE"""),"BLACK")</f>
        <v>BLACK</v>
      </c>
      <c r="G11621" s="20" t="str">
        <f>IFERROR(__xludf.DUMMYFUNCTION("""COMPUTED_VALUE"""),"Uncle Sams Cider (04/04/2023)")</f>
        <v>Uncle Sams Cider (04/04/2023)</v>
      </c>
      <c r="H11621" s="19"/>
    </row>
    <row r="11622">
      <c r="A11622" s="9"/>
      <c r="B11622" s="15"/>
      <c r="C11622" s="9">
        <f>IFERROR(__xludf.DUMMYFUNCTION("""COMPUTED_VALUE"""),45022.2459370138)</f>
        <v>45022.24594</v>
      </c>
      <c r="D11622" s="15">
        <f>IFERROR(__xludf.DUMMYFUNCTION("""COMPUTED_VALUE"""),1.098)</f>
        <v>1.098</v>
      </c>
      <c r="E11622" s="16">
        <f>IFERROR(__xludf.DUMMYFUNCTION("""COMPUTED_VALUE"""),65.0)</f>
        <v>65</v>
      </c>
      <c r="F11622" s="19" t="str">
        <f>IFERROR(__xludf.DUMMYFUNCTION("""COMPUTED_VALUE"""),"BLACK")</f>
        <v>BLACK</v>
      </c>
      <c r="G11622" s="20" t="str">
        <f>IFERROR(__xludf.DUMMYFUNCTION("""COMPUTED_VALUE"""),"Uncle Sams Cider (04/04/2023)")</f>
        <v>Uncle Sams Cider (04/04/2023)</v>
      </c>
      <c r="H11622" s="19"/>
    </row>
    <row r="11623">
      <c r="A11623" s="9"/>
      <c r="B11623" s="15"/>
      <c r="C11623" s="9">
        <f>IFERROR(__xludf.DUMMYFUNCTION("""COMPUTED_VALUE"""),45022.2355143634)</f>
        <v>45022.23551</v>
      </c>
      <c r="D11623" s="15">
        <f>IFERROR(__xludf.DUMMYFUNCTION("""COMPUTED_VALUE"""),1.099)</f>
        <v>1.099</v>
      </c>
      <c r="E11623" s="16">
        <f>IFERROR(__xludf.DUMMYFUNCTION("""COMPUTED_VALUE"""),65.0)</f>
        <v>65</v>
      </c>
      <c r="F11623" s="19" t="str">
        <f>IFERROR(__xludf.DUMMYFUNCTION("""COMPUTED_VALUE"""),"BLACK")</f>
        <v>BLACK</v>
      </c>
      <c r="G11623" s="20" t="str">
        <f>IFERROR(__xludf.DUMMYFUNCTION("""COMPUTED_VALUE"""),"Uncle Sams Cider (04/04/2023)")</f>
        <v>Uncle Sams Cider (04/04/2023)</v>
      </c>
      <c r="H11623" s="19"/>
    </row>
    <row r="11624">
      <c r="A11624" s="9"/>
      <c r="B11624" s="15"/>
      <c r="C11624" s="9">
        <f>IFERROR(__xludf.DUMMYFUNCTION("""COMPUTED_VALUE"""),45022.2250917361)</f>
        <v>45022.22509</v>
      </c>
      <c r="D11624" s="15">
        <f>IFERROR(__xludf.DUMMYFUNCTION("""COMPUTED_VALUE"""),1.097)</f>
        <v>1.097</v>
      </c>
      <c r="E11624" s="16">
        <f>IFERROR(__xludf.DUMMYFUNCTION("""COMPUTED_VALUE"""),65.0)</f>
        <v>65</v>
      </c>
      <c r="F11624" s="19" t="str">
        <f>IFERROR(__xludf.DUMMYFUNCTION("""COMPUTED_VALUE"""),"BLACK")</f>
        <v>BLACK</v>
      </c>
      <c r="G11624" s="20" t="str">
        <f>IFERROR(__xludf.DUMMYFUNCTION("""COMPUTED_VALUE"""),"Uncle Sams Cider (04/04/2023)")</f>
        <v>Uncle Sams Cider (04/04/2023)</v>
      </c>
      <c r="H11624" s="19"/>
    </row>
    <row r="11625">
      <c r="A11625" s="9"/>
      <c r="B11625" s="15"/>
      <c r="C11625" s="9">
        <f>IFERROR(__xludf.DUMMYFUNCTION("""COMPUTED_VALUE"""),45022.214670787)</f>
        <v>45022.21467</v>
      </c>
      <c r="D11625" s="15">
        <f>IFERROR(__xludf.DUMMYFUNCTION("""COMPUTED_VALUE"""),1.098)</f>
        <v>1.098</v>
      </c>
      <c r="E11625" s="16">
        <f>IFERROR(__xludf.DUMMYFUNCTION("""COMPUTED_VALUE"""),64.0)</f>
        <v>64</v>
      </c>
      <c r="F11625" s="19" t="str">
        <f>IFERROR(__xludf.DUMMYFUNCTION("""COMPUTED_VALUE"""),"BLACK")</f>
        <v>BLACK</v>
      </c>
      <c r="G11625" s="20" t="str">
        <f>IFERROR(__xludf.DUMMYFUNCTION("""COMPUTED_VALUE"""),"Uncle Sams Cider (04/04/2023)")</f>
        <v>Uncle Sams Cider (04/04/2023)</v>
      </c>
      <c r="H11625" s="19"/>
    </row>
    <row r="11626">
      <c r="A11626" s="9"/>
      <c r="B11626" s="15"/>
      <c r="C11626" s="9">
        <f>IFERROR(__xludf.DUMMYFUNCTION("""COMPUTED_VALUE"""),45022.204238287)</f>
        <v>45022.20424</v>
      </c>
      <c r="D11626" s="15">
        <f>IFERROR(__xludf.DUMMYFUNCTION("""COMPUTED_VALUE"""),1.099)</f>
        <v>1.099</v>
      </c>
      <c r="E11626" s="16">
        <f>IFERROR(__xludf.DUMMYFUNCTION("""COMPUTED_VALUE"""),65.0)</f>
        <v>65</v>
      </c>
      <c r="F11626" s="19" t="str">
        <f>IFERROR(__xludf.DUMMYFUNCTION("""COMPUTED_VALUE"""),"BLACK")</f>
        <v>BLACK</v>
      </c>
      <c r="G11626" s="20" t="str">
        <f>IFERROR(__xludf.DUMMYFUNCTION("""COMPUTED_VALUE"""),"Uncle Sams Cider (04/04/2023)")</f>
        <v>Uncle Sams Cider (04/04/2023)</v>
      </c>
      <c r="H11626" s="19"/>
    </row>
    <row r="11627">
      <c r="A11627" s="9"/>
      <c r="B11627" s="15"/>
      <c r="C11627" s="9">
        <f>IFERROR(__xludf.DUMMYFUNCTION("""COMPUTED_VALUE"""),45022.1938181481)</f>
        <v>45022.19382</v>
      </c>
      <c r="D11627" s="15">
        <f>IFERROR(__xludf.DUMMYFUNCTION("""COMPUTED_VALUE"""),1.098)</f>
        <v>1.098</v>
      </c>
      <c r="E11627" s="16">
        <f>IFERROR(__xludf.DUMMYFUNCTION("""COMPUTED_VALUE"""),65.0)</f>
        <v>65</v>
      </c>
      <c r="F11627" s="19" t="str">
        <f>IFERROR(__xludf.DUMMYFUNCTION("""COMPUTED_VALUE"""),"BLACK")</f>
        <v>BLACK</v>
      </c>
      <c r="G11627" s="20" t="str">
        <f>IFERROR(__xludf.DUMMYFUNCTION("""COMPUTED_VALUE"""),"Uncle Sams Cider (04/04/2023)")</f>
        <v>Uncle Sams Cider (04/04/2023)</v>
      </c>
      <c r="H11627" s="19"/>
    </row>
    <row r="11628">
      <c r="A11628" s="9"/>
      <c r="B11628" s="15"/>
      <c r="C11628" s="9">
        <f>IFERROR(__xludf.DUMMYFUNCTION("""COMPUTED_VALUE"""),45022.1833967361)</f>
        <v>45022.1834</v>
      </c>
      <c r="D11628" s="15">
        <f>IFERROR(__xludf.DUMMYFUNCTION("""COMPUTED_VALUE"""),1.098)</f>
        <v>1.098</v>
      </c>
      <c r="E11628" s="16">
        <f>IFERROR(__xludf.DUMMYFUNCTION("""COMPUTED_VALUE"""),64.0)</f>
        <v>64</v>
      </c>
      <c r="F11628" s="19" t="str">
        <f>IFERROR(__xludf.DUMMYFUNCTION("""COMPUTED_VALUE"""),"BLACK")</f>
        <v>BLACK</v>
      </c>
      <c r="G11628" s="20" t="str">
        <f>IFERROR(__xludf.DUMMYFUNCTION("""COMPUTED_VALUE"""),"Uncle Sams Cider (04/04/2023)")</f>
        <v>Uncle Sams Cider (04/04/2023)</v>
      </c>
      <c r="H11628" s="19"/>
    </row>
    <row r="11629">
      <c r="A11629" s="9"/>
      <c r="B11629" s="15"/>
      <c r="C11629" s="9">
        <f>IFERROR(__xludf.DUMMYFUNCTION("""COMPUTED_VALUE"""),45022.1729759143)</f>
        <v>45022.17298</v>
      </c>
      <c r="D11629" s="15">
        <f>IFERROR(__xludf.DUMMYFUNCTION("""COMPUTED_VALUE"""),1.098)</f>
        <v>1.098</v>
      </c>
      <c r="E11629" s="16">
        <f>IFERROR(__xludf.DUMMYFUNCTION("""COMPUTED_VALUE"""),64.0)</f>
        <v>64</v>
      </c>
      <c r="F11629" s="19" t="str">
        <f>IFERROR(__xludf.DUMMYFUNCTION("""COMPUTED_VALUE"""),"BLACK")</f>
        <v>BLACK</v>
      </c>
      <c r="G11629" s="20" t="str">
        <f>IFERROR(__xludf.DUMMYFUNCTION("""COMPUTED_VALUE"""),"Uncle Sams Cider (04/04/2023)")</f>
        <v>Uncle Sams Cider (04/04/2023)</v>
      </c>
      <c r="H11629" s="19"/>
    </row>
    <row r="11630">
      <c r="A11630" s="9"/>
      <c r="B11630" s="15"/>
      <c r="C11630" s="9">
        <f>IFERROR(__xludf.DUMMYFUNCTION("""COMPUTED_VALUE"""),45022.1625541203)</f>
        <v>45022.16255</v>
      </c>
      <c r="D11630" s="15">
        <f>IFERROR(__xludf.DUMMYFUNCTION("""COMPUTED_VALUE"""),1.098)</f>
        <v>1.098</v>
      </c>
      <c r="E11630" s="16">
        <f>IFERROR(__xludf.DUMMYFUNCTION("""COMPUTED_VALUE"""),64.0)</f>
        <v>64</v>
      </c>
      <c r="F11630" s="19" t="str">
        <f>IFERROR(__xludf.DUMMYFUNCTION("""COMPUTED_VALUE"""),"BLACK")</f>
        <v>BLACK</v>
      </c>
      <c r="G11630" s="20" t="str">
        <f>IFERROR(__xludf.DUMMYFUNCTION("""COMPUTED_VALUE"""),"Uncle Sams Cider (04/04/2023)")</f>
        <v>Uncle Sams Cider (04/04/2023)</v>
      </c>
      <c r="H11630" s="19"/>
    </row>
    <row r="11631">
      <c r="A11631" s="9"/>
      <c r="B11631" s="15"/>
      <c r="C11631" s="9">
        <f>IFERROR(__xludf.DUMMYFUNCTION("""COMPUTED_VALUE"""),45022.1521223611)</f>
        <v>45022.15212</v>
      </c>
      <c r="D11631" s="15">
        <f>IFERROR(__xludf.DUMMYFUNCTION("""COMPUTED_VALUE"""),1.098)</f>
        <v>1.098</v>
      </c>
      <c r="E11631" s="16">
        <f>IFERROR(__xludf.DUMMYFUNCTION("""COMPUTED_VALUE"""),64.0)</f>
        <v>64</v>
      </c>
      <c r="F11631" s="19" t="str">
        <f>IFERROR(__xludf.DUMMYFUNCTION("""COMPUTED_VALUE"""),"BLACK")</f>
        <v>BLACK</v>
      </c>
      <c r="G11631" s="20" t="str">
        <f>IFERROR(__xludf.DUMMYFUNCTION("""COMPUTED_VALUE"""),"Uncle Sams Cider (04/04/2023)")</f>
        <v>Uncle Sams Cider (04/04/2023)</v>
      </c>
      <c r="H11631" s="19"/>
    </row>
    <row r="11632">
      <c r="A11632" s="9"/>
      <c r="B11632" s="15"/>
      <c r="C11632" s="9">
        <f>IFERROR(__xludf.DUMMYFUNCTION("""COMPUTED_VALUE"""),45022.1417011574)</f>
        <v>45022.1417</v>
      </c>
      <c r="D11632" s="15">
        <f>IFERROR(__xludf.DUMMYFUNCTION("""COMPUTED_VALUE"""),1.099)</f>
        <v>1.099</v>
      </c>
      <c r="E11632" s="16">
        <f>IFERROR(__xludf.DUMMYFUNCTION("""COMPUTED_VALUE"""),64.0)</f>
        <v>64</v>
      </c>
      <c r="F11632" s="19" t="str">
        <f>IFERROR(__xludf.DUMMYFUNCTION("""COMPUTED_VALUE"""),"BLACK")</f>
        <v>BLACK</v>
      </c>
      <c r="G11632" s="20" t="str">
        <f>IFERROR(__xludf.DUMMYFUNCTION("""COMPUTED_VALUE"""),"Uncle Sams Cider (04/04/2023)")</f>
        <v>Uncle Sams Cider (04/04/2023)</v>
      </c>
      <c r="H11632" s="19"/>
    </row>
    <row r="11633">
      <c r="A11633" s="9"/>
      <c r="B11633" s="15"/>
      <c r="C11633" s="9">
        <f>IFERROR(__xludf.DUMMYFUNCTION("""COMPUTED_VALUE"""),45022.1312581481)</f>
        <v>45022.13126</v>
      </c>
      <c r="D11633" s="15">
        <f>IFERROR(__xludf.DUMMYFUNCTION("""COMPUTED_VALUE"""),1.098)</f>
        <v>1.098</v>
      </c>
      <c r="E11633" s="16">
        <f>IFERROR(__xludf.DUMMYFUNCTION("""COMPUTED_VALUE"""),64.0)</f>
        <v>64</v>
      </c>
      <c r="F11633" s="19" t="str">
        <f>IFERROR(__xludf.DUMMYFUNCTION("""COMPUTED_VALUE"""),"BLACK")</f>
        <v>BLACK</v>
      </c>
      <c r="G11633" s="20" t="str">
        <f>IFERROR(__xludf.DUMMYFUNCTION("""COMPUTED_VALUE"""),"Uncle Sams Cider (04/04/2023)")</f>
        <v>Uncle Sams Cider (04/04/2023)</v>
      </c>
      <c r="H11633" s="19"/>
    </row>
    <row r="11634">
      <c r="A11634" s="9"/>
      <c r="B11634" s="15"/>
      <c r="C11634" s="9">
        <f>IFERROR(__xludf.DUMMYFUNCTION("""COMPUTED_VALUE"""),45022.1208376967)</f>
        <v>45022.12084</v>
      </c>
      <c r="D11634" s="15">
        <f>IFERROR(__xludf.DUMMYFUNCTION("""COMPUTED_VALUE"""),1.099)</f>
        <v>1.099</v>
      </c>
      <c r="E11634" s="16">
        <f>IFERROR(__xludf.DUMMYFUNCTION("""COMPUTED_VALUE"""),64.0)</f>
        <v>64</v>
      </c>
      <c r="F11634" s="19" t="str">
        <f>IFERROR(__xludf.DUMMYFUNCTION("""COMPUTED_VALUE"""),"BLACK")</f>
        <v>BLACK</v>
      </c>
      <c r="G11634" s="20" t="str">
        <f>IFERROR(__xludf.DUMMYFUNCTION("""COMPUTED_VALUE"""),"Uncle Sams Cider (04/04/2023)")</f>
        <v>Uncle Sams Cider (04/04/2023)</v>
      </c>
      <c r="H11634" s="19"/>
    </row>
    <row r="11635">
      <c r="A11635" s="9"/>
      <c r="B11635" s="15"/>
      <c r="C11635" s="9">
        <f>IFERROR(__xludf.DUMMYFUNCTION("""COMPUTED_VALUE"""),45022.1104159953)</f>
        <v>45022.11042</v>
      </c>
      <c r="D11635" s="15">
        <f>IFERROR(__xludf.DUMMYFUNCTION("""COMPUTED_VALUE"""),1.099)</f>
        <v>1.099</v>
      </c>
      <c r="E11635" s="16">
        <f>IFERROR(__xludf.DUMMYFUNCTION("""COMPUTED_VALUE"""),64.0)</f>
        <v>64</v>
      </c>
      <c r="F11635" s="19" t="str">
        <f>IFERROR(__xludf.DUMMYFUNCTION("""COMPUTED_VALUE"""),"BLACK")</f>
        <v>BLACK</v>
      </c>
      <c r="G11635" s="20" t="str">
        <f>IFERROR(__xludf.DUMMYFUNCTION("""COMPUTED_VALUE"""),"Uncle Sams Cider (04/04/2023)")</f>
        <v>Uncle Sams Cider (04/04/2023)</v>
      </c>
      <c r="H11635" s="19"/>
    </row>
    <row r="11636">
      <c r="A11636" s="9"/>
      <c r="B11636" s="15"/>
      <c r="C11636" s="9">
        <f>IFERROR(__xludf.DUMMYFUNCTION("""COMPUTED_VALUE"""),45022.0999960995)</f>
        <v>45022.1</v>
      </c>
      <c r="D11636" s="15">
        <f>IFERROR(__xludf.DUMMYFUNCTION("""COMPUTED_VALUE"""),1.098)</f>
        <v>1.098</v>
      </c>
      <c r="E11636" s="16">
        <f>IFERROR(__xludf.DUMMYFUNCTION("""COMPUTED_VALUE"""),64.0)</f>
        <v>64</v>
      </c>
      <c r="F11636" s="19" t="str">
        <f>IFERROR(__xludf.DUMMYFUNCTION("""COMPUTED_VALUE"""),"BLACK")</f>
        <v>BLACK</v>
      </c>
      <c r="G11636" s="20" t="str">
        <f>IFERROR(__xludf.DUMMYFUNCTION("""COMPUTED_VALUE"""),"Uncle Sams Cider (04/04/2023)")</f>
        <v>Uncle Sams Cider (04/04/2023)</v>
      </c>
      <c r="H11636" s="19"/>
    </row>
    <row r="11637">
      <c r="A11637" s="9"/>
      <c r="B11637" s="15"/>
      <c r="C11637" s="9">
        <f>IFERROR(__xludf.DUMMYFUNCTION("""COMPUTED_VALUE"""),45022.089574537)</f>
        <v>45022.08957</v>
      </c>
      <c r="D11637" s="15">
        <f>IFERROR(__xludf.DUMMYFUNCTION("""COMPUTED_VALUE"""),1.098)</f>
        <v>1.098</v>
      </c>
      <c r="E11637" s="16">
        <f>IFERROR(__xludf.DUMMYFUNCTION("""COMPUTED_VALUE"""),64.0)</f>
        <v>64</v>
      </c>
      <c r="F11637" s="19" t="str">
        <f>IFERROR(__xludf.DUMMYFUNCTION("""COMPUTED_VALUE"""),"BLACK")</f>
        <v>BLACK</v>
      </c>
      <c r="G11637" s="20" t="str">
        <f>IFERROR(__xludf.DUMMYFUNCTION("""COMPUTED_VALUE"""),"Uncle Sams Cider (04/04/2023)")</f>
        <v>Uncle Sams Cider (04/04/2023)</v>
      </c>
      <c r="H11637" s="19"/>
    </row>
    <row r="11638">
      <c r="A11638" s="9"/>
      <c r="B11638" s="15"/>
      <c r="C11638" s="9">
        <f>IFERROR(__xludf.DUMMYFUNCTION("""COMPUTED_VALUE"""),45022.0791519213)</f>
        <v>45022.07915</v>
      </c>
      <c r="D11638" s="15">
        <f>IFERROR(__xludf.DUMMYFUNCTION("""COMPUTED_VALUE"""),1.098)</f>
        <v>1.098</v>
      </c>
      <c r="E11638" s="16">
        <f>IFERROR(__xludf.DUMMYFUNCTION("""COMPUTED_VALUE"""),64.0)</f>
        <v>64</v>
      </c>
      <c r="F11638" s="19" t="str">
        <f>IFERROR(__xludf.DUMMYFUNCTION("""COMPUTED_VALUE"""),"BLACK")</f>
        <v>BLACK</v>
      </c>
      <c r="G11638" s="20" t="str">
        <f>IFERROR(__xludf.DUMMYFUNCTION("""COMPUTED_VALUE"""),"Uncle Sams Cider (04/04/2023)")</f>
        <v>Uncle Sams Cider (04/04/2023)</v>
      </c>
      <c r="H11638" s="19"/>
    </row>
    <row r="11639">
      <c r="A11639" s="9"/>
      <c r="B11639" s="15"/>
      <c r="C11639" s="9">
        <f>IFERROR(__xludf.DUMMYFUNCTION("""COMPUTED_VALUE"""),45022.0687331944)</f>
        <v>45022.06873</v>
      </c>
      <c r="D11639" s="15">
        <f>IFERROR(__xludf.DUMMYFUNCTION("""COMPUTED_VALUE"""),1.098)</f>
        <v>1.098</v>
      </c>
      <c r="E11639" s="16">
        <f>IFERROR(__xludf.DUMMYFUNCTION("""COMPUTED_VALUE"""),64.0)</f>
        <v>64</v>
      </c>
      <c r="F11639" s="19" t="str">
        <f>IFERROR(__xludf.DUMMYFUNCTION("""COMPUTED_VALUE"""),"BLACK")</f>
        <v>BLACK</v>
      </c>
      <c r="G11639" s="20" t="str">
        <f>IFERROR(__xludf.DUMMYFUNCTION("""COMPUTED_VALUE"""),"Uncle Sams Cider (04/04/2023)")</f>
        <v>Uncle Sams Cider (04/04/2023)</v>
      </c>
      <c r="H11639" s="19"/>
    </row>
    <row r="11640">
      <c r="A11640" s="9"/>
      <c r="B11640" s="15"/>
      <c r="C11640" s="9">
        <f>IFERROR(__xludf.DUMMYFUNCTION("""COMPUTED_VALUE"""),45022.058311493)</f>
        <v>45022.05831</v>
      </c>
      <c r="D11640" s="15">
        <f>IFERROR(__xludf.DUMMYFUNCTION("""COMPUTED_VALUE"""),1.098)</f>
        <v>1.098</v>
      </c>
      <c r="E11640" s="16">
        <f>IFERROR(__xludf.DUMMYFUNCTION("""COMPUTED_VALUE"""),64.0)</f>
        <v>64</v>
      </c>
      <c r="F11640" s="19" t="str">
        <f>IFERROR(__xludf.DUMMYFUNCTION("""COMPUTED_VALUE"""),"BLACK")</f>
        <v>BLACK</v>
      </c>
      <c r="G11640" s="20" t="str">
        <f>IFERROR(__xludf.DUMMYFUNCTION("""COMPUTED_VALUE"""),"Uncle Sams Cider (04/04/2023)")</f>
        <v>Uncle Sams Cider (04/04/2023)</v>
      </c>
      <c r="H11640" s="19"/>
    </row>
    <row r="11641">
      <c r="A11641" s="9"/>
      <c r="B11641" s="15"/>
      <c r="C11641" s="9">
        <f>IFERROR(__xludf.DUMMYFUNCTION("""COMPUTED_VALUE"""),45022.0478891319)</f>
        <v>45022.04789</v>
      </c>
      <c r="D11641" s="15">
        <f>IFERROR(__xludf.DUMMYFUNCTION("""COMPUTED_VALUE"""),1.098)</f>
        <v>1.098</v>
      </c>
      <c r="E11641" s="16">
        <f>IFERROR(__xludf.DUMMYFUNCTION("""COMPUTED_VALUE"""),64.0)</f>
        <v>64</v>
      </c>
      <c r="F11641" s="19" t="str">
        <f>IFERROR(__xludf.DUMMYFUNCTION("""COMPUTED_VALUE"""),"BLACK")</f>
        <v>BLACK</v>
      </c>
      <c r="G11641" s="20" t="str">
        <f>IFERROR(__xludf.DUMMYFUNCTION("""COMPUTED_VALUE"""),"Uncle Sams Cider (04/04/2023)")</f>
        <v>Uncle Sams Cider (04/04/2023)</v>
      </c>
      <c r="H11641" s="19"/>
    </row>
    <row r="11642">
      <c r="A11642" s="9"/>
      <c r="B11642" s="15"/>
      <c r="C11642" s="9">
        <f>IFERROR(__xludf.DUMMYFUNCTION("""COMPUTED_VALUE"""),45022.0374702662)</f>
        <v>45022.03747</v>
      </c>
      <c r="D11642" s="15">
        <f>IFERROR(__xludf.DUMMYFUNCTION("""COMPUTED_VALUE"""),1.099)</f>
        <v>1.099</v>
      </c>
      <c r="E11642" s="16">
        <f>IFERROR(__xludf.DUMMYFUNCTION("""COMPUTED_VALUE"""),64.0)</f>
        <v>64</v>
      </c>
      <c r="F11642" s="19" t="str">
        <f>IFERROR(__xludf.DUMMYFUNCTION("""COMPUTED_VALUE"""),"BLACK")</f>
        <v>BLACK</v>
      </c>
      <c r="G11642" s="20" t="str">
        <f>IFERROR(__xludf.DUMMYFUNCTION("""COMPUTED_VALUE"""),"Uncle Sams Cider (04/04/2023)")</f>
        <v>Uncle Sams Cider (04/04/2023)</v>
      </c>
      <c r="H11642" s="19"/>
    </row>
    <row r="11643">
      <c r="A11643" s="9"/>
      <c r="B11643" s="15"/>
      <c r="C11643" s="9">
        <f>IFERROR(__xludf.DUMMYFUNCTION("""COMPUTED_VALUE"""),45022.02704875)</f>
        <v>45022.02705</v>
      </c>
      <c r="D11643" s="15">
        <f>IFERROR(__xludf.DUMMYFUNCTION("""COMPUTED_VALUE"""),1.099)</f>
        <v>1.099</v>
      </c>
      <c r="E11643" s="16">
        <f>IFERROR(__xludf.DUMMYFUNCTION("""COMPUTED_VALUE"""),64.0)</f>
        <v>64</v>
      </c>
      <c r="F11643" s="19" t="str">
        <f>IFERROR(__xludf.DUMMYFUNCTION("""COMPUTED_VALUE"""),"BLACK")</f>
        <v>BLACK</v>
      </c>
      <c r="G11643" s="20" t="str">
        <f>IFERROR(__xludf.DUMMYFUNCTION("""COMPUTED_VALUE"""),"Uncle Sams Cider (04/04/2023)")</f>
        <v>Uncle Sams Cider (04/04/2023)</v>
      </c>
      <c r="H11643" s="19"/>
    </row>
    <row r="11644">
      <c r="A11644" s="9"/>
      <c r="B11644" s="15"/>
      <c r="C11644" s="9">
        <f>IFERROR(__xludf.DUMMYFUNCTION("""COMPUTED_VALUE"""),45022.0166270023)</f>
        <v>45022.01663</v>
      </c>
      <c r="D11644" s="15">
        <f>IFERROR(__xludf.DUMMYFUNCTION("""COMPUTED_VALUE"""),1.099)</f>
        <v>1.099</v>
      </c>
      <c r="E11644" s="16">
        <f>IFERROR(__xludf.DUMMYFUNCTION("""COMPUTED_VALUE"""),64.0)</f>
        <v>64</v>
      </c>
      <c r="F11644" s="19" t="str">
        <f>IFERROR(__xludf.DUMMYFUNCTION("""COMPUTED_VALUE"""),"BLACK")</f>
        <v>BLACK</v>
      </c>
      <c r="G11644" s="20" t="str">
        <f>IFERROR(__xludf.DUMMYFUNCTION("""COMPUTED_VALUE"""),"Uncle Sams Cider (04/04/2023)")</f>
        <v>Uncle Sams Cider (04/04/2023)</v>
      </c>
      <c r="H11644" s="19"/>
    </row>
    <row r="11645">
      <c r="A11645" s="9"/>
      <c r="B11645" s="15"/>
      <c r="C11645" s="9">
        <f>IFERROR(__xludf.DUMMYFUNCTION("""COMPUTED_VALUE"""),45022.0061726157)</f>
        <v>45022.00617</v>
      </c>
      <c r="D11645" s="15">
        <f>IFERROR(__xludf.DUMMYFUNCTION("""COMPUTED_VALUE"""),1.099)</f>
        <v>1.099</v>
      </c>
      <c r="E11645" s="16">
        <f>IFERROR(__xludf.DUMMYFUNCTION("""COMPUTED_VALUE"""),64.0)</f>
        <v>64</v>
      </c>
      <c r="F11645" s="19" t="str">
        <f>IFERROR(__xludf.DUMMYFUNCTION("""COMPUTED_VALUE"""),"BLACK")</f>
        <v>BLACK</v>
      </c>
      <c r="G11645" s="20" t="str">
        <f>IFERROR(__xludf.DUMMYFUNCTION("""COMPUTED_VALUE"""),"Uncle Sams Cider (04/04/2023)")</f>
        <v>Uncle Sams Cider (04/04/2023)</v>
      </c>
      <c r="H11645" s="19"/>
    </row>
    <row r="11646">
      <c r="A11646" s="9"/>
      <c r="B11646" s="15"/>
      <c r="C11646" s="9">
        <f>IFERROR(__xludf.DUMMYFUNCTION("""COMPUTED_VALUE"""),45021.9957406365)</f>
        <v>45021.99574</v>
      </c>
      <c r="D11646" s="15">
        <f>IFERROR(__xludf.DUMMYFUNCTION("""COMPUTED_VALUE"""),1.1)</f>
        <v>1.1</v>
      </c>
      <c r="E11646" s="16">
        <f>IFERROR(__xludf.DUMMYFUNCTION("""COMPUTED_VALUE"""),64.0)</f>
        <v>64</v>
      </c>
      <c r="F11646" s="19" t="str">
        <f>IFERROR(__xludf.DUMMYFUNCTION("""COMPUTED_VALUE"""),"BLACK")</f>
        <v>BLACK</v>
      </c>
      <c r="G11646" s="20" t="str">
        <f>IFERROR(__xludf.DUMMYFUNCTION("""COMPUTED_VALUE"""),"Uncle Sams Cider (04/04/2023)")</f>
        <v>Uncle Sams Cider (04/04/2023)</v>
      </c>
      <c r="H11646" s="19"/>
    </row>
    <row r="11647">
      <c r="A11647" s="9"/>
      <c r="B11647" s="15"/>
      <c r="C11647" s="9">
        <f>IFERROR(__xludf.DUMMYFUNCTION("""COMPUTED_VALUE"""),45021.9853073958)</f>
        <v>45021.98531</v>
      </c>
      <c r="D11647" s="15">
        <f>IFERROR(__xludf.DUMMYFUNCTION("""COMPUTED_VALUE"""),1.1)</f>
        <v>1.1</v>
      </c>
      <c r="E11647" s="16">
        <f>IFERROR(__xludf.DUMMYFUNCTION("""COMPUTED_VALUE"""),64.0)</f>
        <v>64</v>
      </c>
      <c r="F11647" s="19" t="str">
        <f>IFERROR(__xludf.DUMMYFUNCTION("""COMPUTED_VALUE"""),"BLACK")</f>
        <v>BLACK</v>
      </c>
      <c r="G11647" s="20" t="str">
        <f>IFERROR(__xludf.DUMMYFUNCTION("""COMPUTED_VALUE"""),"Uncle Sams Cider (04/04/2023)")</f>
        <v>Uncle Sams Cider (04/04/2023)</v>
      </c>
      <c r="H11647" s="19"/>
    </row>
    <row r="11648">
      <c r="A11648" s="9"/>
      <c r="B11648" s="15"/>
      <c r="C11648" s="9">
        <f>IFERROR(__xludf.DUMMYFUNCTION("""COMPUTED_VALUE"""),45021.9748865856)</f>
        <v>45021.97489</v>
      </c>
      <c r="D11648" s="15">
        <f>IFERROR(__xludf.DUMMYFUNCTION("""COMPUTED_VALUE"""),1.1)</f>
        <v>1.1</v>
      </c>
      <c r="E11648" s="16">
        <f>IFERROR(__xludf.DUMMYFUNCTION("""COMPUTED_VALUE"""),64.0)</f>
        <v>64</v>
      </c>
      <c r="F11648" s="19" t="str">
        <f>IFERROR(__xludf.DUMMYFUNCTION("""COMPUTED_VALUE"""),"BLACK")</f>
        <v>BLACK</v>
      </c>
      <c r="G11648" s="20" t="str">
        <f>IFERROR(__xludf.DUMMYFUNCTION("""COMPUTED_VALUE"""),"Uncle Sams Cider (04/04/2023)")</f>
        <v>Uncle Sams Cider (04/04/2023)</v>
      </c>
      <c r="H11648" s="19"/>
    </row>
    <row r="11649">
      <c r="A11649" s="9"/>
      <c r="B11649" s="15"/>
      <c r="C11649" s="9">
        <f>IFERROR(__xludf.DUMMYFUNCTION("""COMPUTED_VALUE"""),45021.9644669212)</f>
        <v>45021.96447</v>
      </c>
      <c r="D11649" s="15">
        <f>IFERROR(__xludf.DUMMYFUNCTION("""COMPUTED_VALUE"""),1.1)</f>
        <v>1.1</v>
      </c>
      <c r="E11649" s="16">
        <f>IFERROR(__xludf.DUMMYFUNCTION("""COMPUTED_VALUE"""),63.0)</f>
        <v>63</v>
      </c>
      <c r="F11649" s="19" t="str">
        <f>IFERROR(__xludf.DUMMYFUNCTION("""COMPUTED_VALUE"""),"BLACK")</f>
        <v>BLACK</v>
      </c>
      <c r="G11649" s="20" t="str">
        <f>IFERROR(__xludf.DUMMYFUNCTION("""COMPUTED_VALUE"""),"Uncle Sams Cider (04/04/2023)")</f>
        <v>Uncle Sams Cider (04/04/2023)</v>
      </c>
      <c r="H11649" s="19"/>
    </row>
    <row r="11650">
      <c r="A11650" s="9"/>
      <c r="B11650" s="15"/>
      <c r="C11650" s="9">
        <f>IFERROR(__xludf.DUMMYFUNCTION("""COMPUTED_VALUE"""),45021.9540457638)</f>
        <v>45021.95405</v>
      </c>
      <c r="D11650" s="15">
        <f>IFERROR(__xludf.DUMMYFUNCTION("""COMPUTED_VALUE"""),1.1)</f>
        <v>1.1</v>
      </c>
      <c r="E11650" s="16">
        <f>IFERROR(__xludf.DUMMYFUNCTION("""COMPUTED_VALUE"""),63.0)</f>
        <v>63</v>
      </c>
      <c r="F11650" s="19" t="str">
        <f>IFERROR(__xludf.DUMMYFUNCTION("""COMPUTED_VALUE"""),"BLACK")</f>
        <v>BLACK</v>
      </c>
      <c r="G11650" s="20" t="str">
        <f>IFERROR(__xludf.DUMMYFUNCTION("""COMPUTED_VALUE"""),"Uncle Sams Cider (04/04/2023)")</f>
        <v>Uncle Sams Cider (04/04/2023)</v>
      </c>
      <c r="H11650" s="19"/>
    </row>
    <row r="11651">
      <c r="A11651" s="9"/>
      <c r="B11651" s="15"/>
      <c r="C11651" s="9">
        <f>IFERROR(__xludf.DUMMYFUNCTION("""COMPUTED_VALUE"""),45021.9436236921)</f>
        <v>45021.94362</v>
      </c>
      <c r="D11651" s="15">
        <f>IFERROR(__xludf.DUMMYFUNCTION("""COMPUTED_VALUE"""),1.099)</f>
        <v>1.099</v>
      </c>
      <c r="E11651" s="16">
        <f>IFERROR(__xludf.DUMMYFUNCTION("""COMPUTED_VALUE"""),64.0)</f>
        <v>64</v>
      </c>
      <c r="F11651" s="19" t="str">
        <f>IFERROR(__xludf.DUMMYFUNCTION("""COMPUTED_VALUE"""),"BLACK")</f>
        <v>BLACK</v>
      </c>
      <c r="G11651" s="20" t="str">
        <f>IFERROR(__xludf.DUMMYFUNCTION("""COMPUTED_VALUE"""),"Uncle Sams Cider (04/04/2023)")</f>
        <v>Uncle Sams Cider (04/04/2023)</v>
      </c>
      <c r="H11651" s="19"/>
    </row>
    <row r="11652">
      <c r="A11652" s="9"/>
      <c r="B11652" s="15"/>
      <c r="C11652" s="9">
        <f>IFERROR(__xludf.DUMMYFUNCTION("""COMPUTED_VALUE"""),45021.93320125)</f>
        <v>45021.9332</v>
      </c>
      <c r="D11652" s="15">
        <f>IFERROR(__xludf.DUMMYFUNCTION("""COMPUTED_VALUE"""),1.099)</f>
        <v>1.099</v>
      </c>
      <c r="E11652" s="16">
        <f>IFERROR(__xludf.DUMMYFUNCTION("""COMPUTED_VALUE"""),65.0)</f>
        <v>65</v>
      </c>
      <c r="F11652" s="19" t="str">
        <f>IFERROR(__xludf.DUMMYFUNCTION("""COMPUTED_VALUE"""),"BLACK")</f>
        <v>BLACK</v>
      </c>
      <c r="G11652" s="20" t="str">
        <f>IFERROR(__xludf.DUMMYFUNCTION("""COMPUTED_VALUE"""),"Uncle Sams Cider (04/04/2023)")</f>
        <v>Uncle Sams Cider (04/04/2023)</v>
      </c>
      <c r="H11652" s="19"/>
    </row>
    <row r="11653">
      <c r="A11653" s="9"/>
      <c r="B11653" s="15"/>
      <c r="C11653" s="9">
        <f>IFERROR(__xludf.DUMMYFUNCTION("""COMPUTED_VALUE"""),45021.9227790162)</f>
        <v>45021.92278</v>
      </c>
      <c r="D11653" s="15">
        <f>IFERROR(__xludf.DUMMYFUNCTION("""COMPUTED_VALUE"""),1.099)</f>
        <v>1.099</v>
      </c>
      <c r="E11653" s="16">
        <f>IFERROR(__xludf.DUMMYFUNCTION("""COMPUTED_VALUE"""),66.0)</f>
        <v>66</v>
      </c>
      <c r="F11653" s="19" t="str">
        <f>IFERROR(__xludf.DUMMYFUNCTION("""COMPUTED_VALUE"""),"BLACK")</f>
        <v>BLACK</v>
      </c>
      <c r="G11653" s="20" t="str">
        <f>IFERROR(__xludf.DUMMYFUNCTION("""COMPUTED_VALUE"""),"Uncle Sams Cider (04/04/2023)")</f>
        <v>Uncle Sams Cider (04/04/2023)</v>
      </c>
      <c r="H11653" s="19"/>
    </row>
    <row r="11654">
      <c r="A11654" s="9"/>
      <c r="B11654" s="15"/>
      <c r="C11654" s="9">
        <f>IFERROR(__xludf.DUMMYFUNCTION("""COMPUTED_VALUE"""),45021.9123481712)</f>
        <v>45021.91235</v>
      </c>
      <c r="D11654" s="15">
        <f>IFERROR(__xludf.DUMMYFUNCTION("""COMPUTED_VALUE"""),1.1)</f>
        <v>1.1</v>
      </c>
      <c r="E11654" s="16">
        <f>IFERROR(__xludf.DUMMYFUNCTION("""COMPUTED_VALUE"""),67.0)</f>
        <v>67</v>
      </c>
      <c r="F11654" s="19" t="str">
        <f>IFERROR(__xludf.DUMMYFUNCTION("""COMPUTED_VALUE"""),"BLACK")</f>
        <v>BLACK</v>
      </c>
      <c r="G11654" s="20" t="str">
        <f>IFERROR(__xludf.DUMMYFUNCTION("""COMPUTED_VALUE"""),"Uncle Sams Cider (04/04/2023)")</f>
        <v>Uncle Sams Cider (04/04/2023)</v>
      </c>
      <c r="H11654" s="19"/>
    </row>
    <row r="11655">
      <c r="A11655" s="9"/>
      <c r="B11655" s="15"/>
      <c r="C11655" s="9">
        <f>IFERROR(__xludf.DUMMYFUNCTION("""COMPUTED_VALUE"""),45021.9019258796)</f>
        <v>45021.90193</v>
      </c>
      <c r="D11655" s="15">
        <f>IFERROR(__xludf.DUMMYFUNCTION("""COMPUTED_VALUE"""),1.099)</f>
        <v>1.099</v>
      </c>
      <c r="E11655" s="16">
        <f>IFERROR(__xludf.DUMMYFUNCTION("""COMPUTED_VALUE"""),68.0)</f>
        <v>68</v>
      </c>
      <c r="F11655" s="19" t="str">
        <f>IFERROR(__xludf.DUMMYFUNCTION("""COMPUTED_VALUE"""),"BLACK")</f>
        <v>BLACK</v>
      </c>
      <c r="G11655" s="20" t="str">
        <f>IFERROR(__xludf.DUMMYFUNCTION("""COMPUTED_VALUE"""),"Uncle Sams Cider (04/04/2023)")</f>
        <v>Uncle Sams Cider (04/04/2023)</v>
      </c>
      <c r="H11655" s="19"/>
    </row>
    <row r="11656">
      <c r="A11656" s="9"/>
      <c r="B11656" s="15"/>
      <c r="C11656" s="9">
        <f>IFERROR(__xludf.DUMMYFUNCTION("""COMPUTED_VALUE"""),45021.8915045254)</f>
        <v>45021.8915</v>
      </c>
      <c r="D11656" s="15">
        <f>IFERROR(__xludf.DUMMYFUNCTION("""COMPUTED_VALUE"""),1.099)</f>
        <v>1.099</v>
      </c>
      <c r="E11656" s="16">
        <f>IFERROR(__xludf.DUMMYFUNCTION("""COMPUTED_VALUE"""),69.0)</f>
        <v>69</v>
      </c>
      <c r="F11656" s="19" t="str">
        <f>IFERROR(__xludf.DUMMYFUNCTION("""COMPUTED_VALUE"""),"BLACK")</f>
        <v>BLACK</v>
      </c>
      <c r="G11656" s="20" t="str">
        <f>IFERROR(__xludf.DUMMYFUNCTION("""COMPUTED_VALUE"""),"Uncle Sams Cider (04/04/2023)")</f>
        <v>Uncle Sams Cider (04/04/2023)</v>
      </c>
      <c r="H11656" s="19"/>
    </row>
    <row r="11657">
      <c r="A11657" s="9"/>
      <c r="B11657" s="15"/>
      <c r="C11657" s="9">
        <f>IFERROR(__xludf.DUMMYFUNCTION("""COMPUTED_VALUE"""),45021.88107228)</f>
        <v>45021.88107</v>
      </c>
      <c r="D11657" s="15">
        <f>IFERROR(__xludf.DUMMYFUNCTION("""COMPUTED_VALUE"""),1.098)</f>
        <v>1.098</v>
      </c>
      <c r="E11657" s="16">
        <f>IFERROR(__xludf.DUMMYFUNCTION("""COMPUTED_VALUE"""),71.0)</f>
        <v>71</v>
      </c>
      <c r="F11657" s="19" t="str">
        <f>IFERROR(__xludf.DUMMYFUNCTION("""COMPUTED_VALUE"""),"BLACK")</f>
        <v>BLACK</v>
      </c>
      <c r="G11657" s="20" t="str">
        <f>IFERROR(__xludf.DUMMYFUNCTION("""COMPUTED_VALUE"""),"Uncle Sams Cider (04/04/2023)")</f>
        <v>Uncle Sams Cider (04/04/2023)</v>
      </c>
      <c r="H11657" s="19"/>
    </row>
    <row r="11658">
      <c r="A11658" s="9"/>
      <c r="B11658" s="15"/>
      <c r="C11658" s="9">
        <f>IFERROR(__xludf.DUMMYFUNCTION("""COMPUTED_VALUE"""),45021.8706511689)</f>
        <v>45021.87065</v>
      </c>
      <c r="D11658" s="15">
        <f>IFERROR(__xludf.DUMMYFUNCTION("""COMPUTED_VALUE"""),1.099)</f>
        <v>1.099</v>
      </c>
      <c r="E11658" s="16">
        <f>IFERROR(__xludf.DUMMYFUNCTION("""COMPUTED_VALUE"""),72.0)</f>
        <v>72</v>
      </c>
      <c r="F11658" s="19" t="str">
        <f>IFERROR(__xludf.DUMMYFUNCTION("""COMPUTED_VALUE"""),"BLACK")</f>
        <v>BLACK</v>
      </c>
      <c r="G11658" s="20" t="str">
        <f>IFERROR(__xludf.DUMMYFUNCTION("""COMPUTED_VALUE"""),"Uncle Sams Cider (04/04/2023)")</f>
        <v>Uncle Sams Cider (04/04/2023)</v>
      </c>
      <c r="H11658" s="19"/>
    </row>
    <row r="11659">
      <c r="A11659" s="9"/>
      <c r="B11659" s="15"/>
      <c r="C11659" s="9">
        <f>IFERROR(__xludf.DUMMYFUNCTION("""COMPUTED_VALUE"""),45021.8602299884)</f>
        <v>45021.86023</v>
      </c>
      <c r="D11659" s="15">
        <f>IFERROR(__xludf.DUMMYFUNCTION("""COMPUTED_VALUE"""),1.098)</f>
        <v>1.098</v>
      </c>
      <c r="E11659" s="16">
        <f>IFERROR(__xludf.DUMMYFUNCTION("""COMPUTED_VALUE"""),74.0)</f>
        <v>74</v>
      </c>
      <c r="F11659" s="19" t="str">
        <f>IFERROR(__xludf.DUMMYFUNCTION("""COMPUTED_VALUE"""),"BLACK")</f>
        <v>BLACK</v>
      </c>
      <c r="G11659" s="20" t="str">
        <f>IFERROR(__xludf.DUMMYFUNCTION("""COMPUTED_VALUE"""),"Uncle Sams Cider (04/04/2023)")</f>
        <v>Uncle Sams Cider (04/04/2023)</v>
      </c>
      <c r="H11659" s="19"/>
    </row>
    <row r="11660">
      <c r="A11660" s="9"/>
      <c r="B11660" s="15"/>
      <c r="C11660" s="9">
        <f>IFERROR(__xludf.DUMMYFUNCTION("""COMPUTED_VALUE"""),45021.8498094907)</f>
        <v>45021.84981</v>
      </c>
      <c r="D11660" s="15">
        <f>IFERROR(__xludf.DUMMYFUNCTION("""COMPUTED_VALUE"""),1.098)</f>
        <v>1.098</v>
      </c>
      <c r="E11660" s="16">
        <f>IFERROR(__xludf.DUMMYFUNCTION("""COMPUTED_VALUE"""),76.0)</f>
        <v>76</v>
      </c>
      <c r="F11660" s="19" t="str">
        <f>IFERROR(__xludf.DUMMYFUNCTION("""COMPUTED_VALUE"""),"BLACK")</f>
        <v>BLACK</v>
      </c>
      <c r="G11660" s="20" t="str">
        <f>IFERROR(__xludf.DUMMYFUNCTION("""COMPUTED_VALUE"""),"Uncle Sams Cider (04/04/2023)")</f>
        <v>Uncle Sams Cider (04/04/2023)</v>
      </c>
      <c r="H11660" s="19"/>
    </row>
    <row r="11661">
      <c r="A11661" s="9"/>
      <c r="B11661" s="15"/>
      <c r="C11661" s="9">
        <f>IFERROR(__xludf.DUMMYFUNCTION("""COMPUTED_VALUE"""),45021.8393885416)</f>
        <v>45021.83939</v>
      </c>
      <c r="D11661" s="15">
        <f>IFERROR(__xludf.DUMMYFUNCTION("""COMPUTED_VALUE"""),1.099)</f>
        <v>1.099</v>
      </c>
      <c r="E11661" s="16">
        <f>IFERROR(__xludf.DUMMYFUNCTION("""COMPUTED_VALUE"""),78.0)</f>
        <v>78</v>
      </c>
      <c r="F11661" s="19" t="str">
        <f>IFERROR(__xludf.DUMMYFUNCTION("""COMPUTED_VALUE"""),"BLACK")</f>
        <v>BLACK</v>
      </c>
      <c r="G11661" s="20" t="str">
        <f>IFERROR(__xludf.DUMMYFUNCTION("""COMPUTED_VALUE"""),"Uncle Sams Cider (04/04/2023)")</f>
        <v>Uncle Sams Cider (04/04/2023)</v>
      </c>
      <c r="H11661" s="19"/>
    </row>
    <row r="11662">
      <c r="A11662" s="9"/>
      <c r="B11662" s="15"/>
      <c r="C11662" s="9">
        <f>IFERROR(__xludf.DUMMYFUNCTION("""COMPUTED_VALUE"""),45021.8289668055)</f>
        <v>45021.82897</v>
      </c>
      <c r="D11662" s="15">
        <f>IFERROR(__xludf.DUMMYFUNCTION("""COMPUTED_VALUE"""),1.099)</f>
        <v>1.099</v>
      </c>
      <c r="E11662" s="16">
        <f>IFERROR(__xludf.DUMMYFUNCTION("""COMPUTED_VALUE"""),79.0)</f>
        <v>79</v>
      </c>
      <c r="F11662" s="19" t="str">
        <f>IFERROR(__xludf.DUMMYFUNCTION("""COMPUTED_VALUE"""),"BLACK")</f>
        <v>BLACK</v>
      </c>
      <c r="G11662" s="20" t="str">
        <f>IFERROR(__xludf.DUMMYFUNCTION("""COMPUTED_VALUE"""),"Uncle Sams Cider (04/04/2023)")</f>
        <v>Uncle Sams Cider (04/04/2023)</v>
      </c>
      <c r="H11662" s="19"/>
    </row>
    <row r="11663">
      <c r="A11663" s="9"/>
      <c r="B11663" s="15"/>
      <c r="C11663" s="9">
        <f>IFERROR(__xludf.DUMMYFUNCTION("""COMPUTED_VALUE"""),45021.8185447685)</f>
        <v>45021.81854</v>
      </c>
      <c r="D11663" s="15">
        <f>IFERROR(__xludf.DUMMYFUNCTION("""COMPUTED_VALUE"""),1.099)</f>
        <v>1.099</v>
      </c>
      <c r="E11663" s="16">
        <f>IFERROR(__xludf.DUMMYFUNCTION("""COMPUTED_VALUE"""),79.0)</f>
        <v>79</v>
      </c>
      <c r="F11663" s="19" t="str">
        <f>IFERROR(__xludf.DUMMYFUNCTION("""COMPUTED_VALUE"""),"BLACK")</f>
        <v>BLACK</v>
      </c>
      <c r="G11663" s="20" t="str">
        <f>IFERROR(__xludf.DUMMYFUNCTION("""COMPUTED_VALUE"""),"Uncle Sams Cider (04/04/2023)")</f>
        <v>Uncle Sams Cider (04/04/2023)</v>
      </c>
      <c r="H11663" s="19"/>
    </row>
    <row r="11664">
      <c r="A11664" s="9"/>
      <c r="B11664" s="15"/>
      <c r="C11664" s="9">
        <f>IFERROR(__xludf.DUMMYFUNCTION("""COMPUTED_VALUE"""),45021.8081255671)</f>
        <v>45021.80813</v>
      </c>
      <c r="D11664" s="15">
        <f>IFERROR(__xludf.DUMMYFUNCTION("""COMPUTED_VALUE"""),1.099)</f>
        <v>1.099</v>
      </c>
      <c r="E11664" s="16">
        <f>IFERROR(__xludf.DUMMYFUNCTION("""COMPUTED_VALUE"""),79.0)</f>
        <v>79</v>
      </c>
      <c r="F11664" s="19" t="str">
        <f>IFERROR(__xludf.DUMMYFUNCTION("""COMPUTED_VALUE"""),"BLACK")</f>
        <v>BLACK</v>
      </c>
      <c r="G11664" s="20" t="str">
        <f>IFERROR(__xludf.DUMMYFUNCTION("""COMPUTED_VALUE"""),"Uncle Sams Cider (04/04/2023)")</f>
        <v>Uncle Sams Cider (04/04/2023)</v>
      </c>
      <c r="H11664" s="19"/>
    </row>
    <row r="11665">
      <c r="A11665" s="9"/>
      <c r="B11665" s="15"/>
      <c r="C11665" s="9">
        <f>IFERROR(__xludf.DUMMYFUNCTION("""COMPUTED_VALUE"""),45021.7976913888)</f>
        <v>45021.79769</v>
      </c>
      <c r="D11665" s="15">
        <f>IFERROR(__xludf.DUMMYFUNCTION("""COMPUTED_VALUE"""),1.099)</f>
        <v>1.099</v>
      </c>
      <c r="E11665" s="16">
        <f>IFERROR(__xludf.DUMMYFUNCTION("""COMPUTED_VALUE"""),79.0)</f>
        <v>79</v>
      </c>
      <c r="F11665" s="19" t="str">
        <f>IFERROR(__xludf.DUMMYFUNCTION("""COMPUTED_VALUE"""),"BLACK")</f>
        <v>BLACK</v>
      </c>
      <c r="G11665" s="20" t="str">
        <f>IFERROR(__xludf.DUMMYFUNCTION("""COMPUTED_VALUE"""),"Uncle Sams Cider (04/04/2023)")</f>
        <v>Uncle Sams Cider (04/04/2023)</v>
      </c>
      <c r="H11665" s="19"/>
    </row>
    <row r="11666">
      <c r="A11666" s="9"/>
      <c r="B11666" s="15"/>
      <c r="C11666" s="9">
        <f>IFERROR(__xludf.DUMMYFUNCTION("""COMPUTED_VALUE"""),45021.7872703356)</f>
        <v>45021.78727</v>
      </c>
      <c r="D11666" s="15">
        <f>IFERROR(__xludf.DUMMYFUNCTION("""COMPUTED_VALUE"""),1.099)</f>
        <v>1.099</v>
      </c>
      <c r="E11666" s="16">
        <f>IFERROR(__xludf.DUMMYFUNCTION("""COMPUTED_VALUE"""),79.0)</f>
        <v>79</v>
      </c>
      <c r="F11666" s="19" t="str">
        <f>IFERROR(__xludf.DUMMYFUNCTION("""COMPUTED_VALUE"""),"BLACK")</f>
        <v>BLACK</v>
      </c>
      <c r="G11666" s="20" t="str">
        <f>IFERROR(__xludf.DUMMYFUNCTION("""COMPUTED_VALUE"""),"Uncle Sams Cider (04/04/2023)")</f>
        <v>Uncle Sams Cider (04/04/2023)</v>
      </c>
      <c r="H11666" s="19"/>
    </row>
    <row r="11667">
      <c r="A11667" s="9"/>
      <c r="B11667" s="15"/>
      <c r="C11667" s="9">
        <f>IFERROR(__xludf.DUMMYFUNCTION("""COMPUTED_VALUE"""),45021.7768490509)</f>
        <v>45021.77685</v>
      </c>
      <c r="D11667" s="15">
        <f>IFERROR(__xludf.DUMMYFUNCTION("""COMPUTED_VALUE"""),1.099)</f>
        <v>1.099</v>
      </c>
      <c r="E11667" s="16">
        <f>IFERROR(__xludf.DUMMYFUNCTION("""COMPUTED_VALUE"""),80.0)</f>
        <v>80</v>
      </c>
      <c r="F11667" s="19" t="str">
        <f>IFERROR(__xludf.DUMMYFUNCTION("""COMPUTED_VALUE"""),"BLACK")</f>
        <v>BLACK</v>
      </c>
      <c r="G11667" s="20" t="str">
        <f>IFERROR(__xludf.DUMMYFUNCTION("""COMPUTED_VALUE"""),"Uncle Sams Cider (04/04/2023)")</f>
        <v>Uncle Sams Cider (04/04/2023)</v>
      </c>
      <c r="H11667" s="19"/>
    </row>
    <row r="11668">
      <c r="A11668" s="9"/>
      <c r="B11668" s="15"/>
      <c r="C11668" s="9">
        <f>IFERROR(__xludf.DUMMYFUNCTION("""COMPUTED_VALUE"""),45021.7664283912)</f>
        <v>45021.76643</v>
      </c>
      <c r="D11668" s="15">
        <f>IFERROR(__xludf.DUMMYFUNCTION("""COMPUTED_VALUE"""),1.099)</f>
        <v>1.099</v>
      </c>
      <c r="E11668" s="16">
        <f>IFERROR(__xludf.DUMMYFUNCTION("""COMPUTED_VALUE"""),80.0)</f>
        <v>80</v>
      </c>
      <c r="F11668" s="19" t="str">
        <f>IFERROR(__xludf.DUMMYFUNCTION("""COMPUTED_VALUE"""),"BLACK")</f>
        <v>BLACK</v>
      </c>
      <c r="G11668" s="20" t="str">
        <f>IFERROR(__xludf.DUMMYFUNCTION("""COMPUTED_VALUE"""),"Uncle Sams Cider (04/04/2023)")</f>
        <v>Uncle Sams Cider (04/04/2023)</v>
      </c>
      <c r="H11668" s="19"/>
    </row>
    <row r="11669">
      <c r="A11669" s="9"/>
      <c r="B11669" s="15"/>
      <c r="C11669" s="9">
        <f>IFERROR(__xludf.DUMMYFUNCTION("""COMPUTED_VALUE"""),45021.7560090856)</f>
        <v>45021.75601</v>
      </c>
      <c r="D11669" s="15">
        <f>IFERROR(__xludf.DUMMYFUNCTION("""COMPUTED_VALUE"""),1.099)</f>
        <v>1.099</v>
      </c>
      <c r="E11669" s="16">
        <f>IFERROR(__xludf.DUMMYFUNCTION("""COMPUTED_VALUE"""),80.0)</f>
        <v>80</v>
      </c>
      <c r="F11669" s="19" t="str">
        <f>IFERROR(__xludf.DUMMYFUNCTION("""COMPUTED_VALUE"""),"BLACK")</f>
        <v>BLACK</v>
      </c>
      <c r="G11669" s="20" t="str">
        <f>IFERROR(__xludf.DUMMYFUNCTION("""COMPUTED_VALUE"""),"Uncle Sams Cider (04/04/2023)")</f>
        <v>Uncle Sams Cider (04/04/2023)</v>
      </c>
      <c r="H11669" s="19"/>
    </row>
    <row r="11670">
      <c r="A11670" s="9"/>
      <c r="B11670" s="15"/>
      <c r="C11670" s="9">
        <f>IFERROR(__xludf.DUMMYFUNCTION("""COMPUTED_VALUE"""),45021.7455900115)</f>
        <v>45021.74559</v>
      </c>
      <c r="D11670" s="15">
        <f>IFERROR(__xludf.DUMMYFUNCTION("""COMPUTED_VALUE"""),1.101)</f>
        <v>1.101</v>
      </c>
      <c r="E11670" s="16">
        <f>IFERROR(__xludf.DUMMYFUNCTION("""COMPUTED_VALUE"""),80.0)</f>
        <v>80</v>
      </c>
      <c r="F11670" s="19" t="str">
        <f>IFERROR(__xludf.DUMMYFUNCTION("""COMPUTED_VALUE"""),"BLACK")</f>
        <v>BLACK</v>
      </c>
      <c r="G11670" s="20" t="str">
        <f>IFERROR(__xludf.DUMMYFUNCTION("""COMPUTED_VALUE"""),"Uncle Sams Cider (04/04/2023)")</f>
        <v>Uncle Sams Cider (04/04/2023)</v>
      </c>
      <c r="H11670" s="19"/>
    </row>
    <row r="11671">
      <c r="A11671" s="9"/>
      <c r="B11671" s="15"/>
      <c r="C11671" s="9">
        <f>IFERROR(__xludf.DUMMYFUNCTION("""COMPUTED_VALUE"""),45021.7351630555)</f>
        <v>45021.73516</v>
      </c>
      <c r="D11671" s="15">
        <f>IFERROR(__xludf.DUMMYFUNCTION("""COMPUTED_VALUE"""),1.1)</f>
        <v>1.1</v>
      </c>
      <c r="E11671" s="16">
        <f>IFERROR(__xludf.DUMMYFUNCTION("""COMPUTED_VALUE"""),80.0)</f>
        <v>80</v>
      </c>
      <c r="F11671" s="19" t="str">
        <f>IFERROR(__xludf.DUMMYFUNCTION("""COMPUTED_VALUE"""),"BLACK")</f>
        <v>BLACK</v>
      </c>
      <c r="G11671" s="20" t="str">
        <f>IFERROR(__xludf.DUMMYFUNCTION("""COMPUTED_VALUE"""),"Uncle Sams Cider (04/04/2023)")</f>
        <v>Uncle Sams Cider (04/04/2023)</v>
      </c>
      <c r="H11671" s="19"/>
    </row>
    <row r="11672">
      <c r="A11672" s="9"/>
      <c r="B11672" s="15"/>
      <c r="C11672" s="9">
        <f>IFERROR(__xludf.DUMMYFUNCTION("""COMPUTED_VALUE"""),45021.7327628472)</f>
        <v>45021.73276</v>
      </c>
      <c r="D11672" s="15">
        <f>IFERROR(__xludf.DUMMYFUNCTION("""COMPUTED_VALUE"""),1.1)</f>
        <v>1.1</v>
      </c>
      <c r="E11672" s="16">
        <f>IFERROR(__xludf.DUMMYFUNCTION("""COMPUTED_VALUE"""),80.0)</f>
        <v>80</v>
      </c>
      <c r="F11672" s="19" t="str">
        <f>IFERROR(__xludf.DUMMYFUNCTION("""COMPUTED_VALUE"""),"BLACK")</f>
        <v>BLACK</v>
      </c>
      <c r="G11672" s="20" t="str">
        <f>IFERROR(__xludf.DUMMYFUNCTION("""COMPUTED_VALUE"""),"Uncle Sams Cider (04/04/2023)")</f>
        <v>Uncle Sams Cider (04/04/2023)</v>
      </c>
      <c r="H11672" s="19"/>
    </row>
    <row r="11673">
      <c r="A11673" s="9"/>
      <c r="B11673" s="15"/>
      <c r="C11673" s="9">
        <f>IFERROR(__xludf.DUMMYFUNCTION("""COMPUTED_VALUE"""),45021.7277273726)</f>
        <v>45021.72773</v>
      </c>
      <c r="D11673" s="15">
        <f>IFERROR(__xludf.DUMMYFUNCTION("""COMPUTED_VALUE"""),1.099)</f>
        <v>1.099</v>
      </c>
      <c r="E11673" s="16">
        <f>IFERROR(__xludf.DUMMYFUNCTION("""COMPUTED_VALUE"""),80.0)</f>
        <v>80</v>
      </c>
      <c r="F11673" s="19" t="str">
        <f>IFERROR(__xludf.DUMMYFUNCTION("""COMPUTED_VALUE"""),"BLACK")</f>
        <v>BLACK</v>
      </c>
      <c r="G11673" s="20" t="str">
        <f>IFERROR(__xludf.DUMMYFUNCTION("""COMPUTED_VALUE"""),"Uncle Sams Cider (04/04/2023)")</f>
        <v>Uncle Sams Cider (04/04/2023)</v>
      </c>
      <c r="H11673" s="19"/>
    </row>
    <row r="11674">
      <c r="A11674" s="9"/>
      <c r="B11674" s="15"/>
      <c r="C11674" s="9">
        <f>IFERROR(__xludf.DUMMYFUNCTION("""COMPUTED_VALUE"""),45021.7223281944)</f>
        <v>45021.72233</v>
      </c>
      <c r="D11674" s="15">
        <f>IFERROR(__xludf.DUMMYFUNCTION("""COMPUTED_VALUE"""),1.1)</f>
        <v>1.1</v>
      </c>
      <c r="E11674" s="16">
        <f>IFERROR(__xludf.DUMMYFUNCTION("""COMPUTED_VALUE"""),80.0)</f>
        <v>80</v>
      </c>
      <c r="F11674" s="19" t="str">
        <f>IFERROR(__xludf.DUMMYFUNCTION("""COMPUTED_VALUE"""),"BLACK")</f>
        <v>BLACK</v>
      </c>
      <c r="G11674" s="20" t="str">
        <f>IFERROR(__xludf.DUMMYFUNCTION("""COMPUTED_VALUE"""),"Uncle Sams Cider (04/04/2023)")</f>
        <v>Uncle Sams Cider (04/04/2023)</v>
      </c>
      <c r="H11674" s="19"/>
    </row>
    <row r="11675">
      <c r="A11675" s="9"/>
      <c r="B11675" s="15"/>
      <c r="C11675" s="9">
        <f>IFERROR(__xludf.DUMMYFUNCTION("""COMPUTED_VALUE"""),45021.7119070138)</f>
        <v>45021.71191</v>
      </c>
      <c r="D11675" s="15">
        <f>IFERROR(__xludf.DUMMYFUNCTION("""COMPUTED_VALUE"""),1.1)</f>
        <v>1.1</v>
      </c>
      <c r="E11675" s="16">
        <f>IFERROR(__xludf.DUMMYFUNCTION("""COMPUTED_VALUE"""),80.0)</f>
        <v>80</v>
      </c>
      <c r="F11675" s="19" t="str">
        <f>IFERROR(__xludf.DUMMYFUNCTION("""COMPUTED_VALUE"""),"BLACK")</f>
        <v>BLACK</v>
      </c>
      <c r="G11675" s="20" t="str">
        <f>IFERROR(__xludf.DUMMYFUNCTION("""COMPUTED_VALUE"""),"Uncle Sams Cider (04/04/2023)")</f>
        <v>Uncle Sams Cider (04/04/2023)</v>
      </c>
      <c r="H11675" s="19"/>
    </row>
    <row r="11676">
      <c r="A11676" s="9"/>
      <c r="B11676" s="15"/>
      <c r="C11676" s="9">
        <f>IFERROR(__xludf.DUMMYFUNCTION("""COMPUTED_VALUE"""),45021.7014739583)</f>
        <v>45021.70147</v>
      </c>
      <c r="D11676" s="15">
        <f>IFERROR(__xludf.DUMMYFUNCTION("""COMPUTED_VALUE"""),1.1)</f>
        <v>1.1</v>
      </c>
      <c r="E11676" s="16">
        <f>IFERROR(__xludf.DUMMYFUNCTION("""COMPUTED_VALUE"""),80.0)</f>
        <v>80</v>
      </c>
      <c r="F11676" s="19" t="str">
        <f>IFERROR(__xludf.DUMMYFUNCTION("""COMPUTED_VALUE"""),"BLACK")</f>
        <v>BLACK</v>
      </c>
      <c r="G11676" s="20" t="str">
        <f>IFERROR(__xludf.DUMMYFUNCTION("""COMPUTED_VALUE"""),"Uncle Sams Cider (04/04/2023)")</f>
        <v>Uncle Sams Cider (04/04/2023)</v>
      </c>
      <c r="H11676" s="19"/>
    </row>
    <row r="11677">
      <c r="A11677" s="9"/>
      <c r="B11677" s="15"/>
      <c r="C11677" s="9">
        <f>IFERROR(__xludf.DUMMYFUNCTION("""COMPUTED_VALUE"""),45021.6910537268)</f>
        <v>45021.69105</v>
      </c>
      <c r="D11677" s="15">
        <f>IFERROR(__xludf.DUMMYFUNCTION("""COMPUTED_VALUE"""),1.099)</f>
        <v>1.099</v>
      </c>
      <c r="E11677" s="16">
        <f>IFERROR(__xludf.DUMMYFUNCTION("""COMPUTED_VALUE"""),80.0)</f>
        <v>80</v>
      </c>
      <c r="F11677" s="19" t="str">
        <f>IFERROR(__xludf.DUMMYFUNCTION("""COMPUTED_VALUE"""),"BLACK")</f>
        <v>BLACK</v>
      </c>
      <c r="G11677" s="20" t="str">
        <f>IFERROR(__xludf.DUMMYFUNCTION("""COMPUTED_VALUE"""),"Uncle Sams Cider (04/04/2023)")</f>
        <v>Uncle Sams Cider (04/04/2023)</v>
      </c>
      <c r="H11677" s="19"/>
    </row>
    <row r="11678">
      <c r="A11678" s="9"/>
      <c r="B11678" s="15"/>
      <c r="C11678" s="9">
        <f>IFERROR(__xludf.DUMMYFUNCTION("""COMPUTED_VALUE"""),45021.6806305324)</f>
        <v>45021.68063</v>
      </c>
      <c r="D11678" s="15">
        <f>IFERROR(__xludf.DUMMYFUNCTION("""COMPUTED_VALUE"""),1.1)</f>
        <v>1.1</v>
      </c>
      <c r="E11678" s="16">
        <f>IFERROR(__xludf.DUMMYFUNCTION("""COMPUTED_VALUE"""),81.0)</f>
        <v>81</v>
      </c>
      <c r="F11678" s="19" t="str">
        <f>IFERROR(__xludf.DUMMYFUNCTION("""COMPUTED_VALUE"""),"BLACK")</f>
        <v>BLACK</v>
      </c>
      <c r="G11678" s="20" t="str">
        <f>IFERROR(__xludf.DUMMYFUNCTION("""COMPUTED_VALUE"""),"Uncle Sams Cider (04/04/2023)")</f>
        <v>Uncle Sams Cider (04/04/2023)</v>
      </c>
      <c r="H11678" s="19"/>
    </row>
    <row r="11679">
      <c r="A11679" s="9"/>
      <c r="B11679" s="15"/>
      <c r="C11679" s="9">
        <f>IFERROR(__xludf.DUMMYFUNCTION("""COMPUTED_VALUE"""),45021.6701636689)</f>
        <v>45021.67016</v>
      </c>
      <c r="D11679" s="15">
        <f>IFERROR(__xludf.DUMMYFUNCTION("""COMPUTED_VALUE"""),1.099)</f>
        <v>1.099</v>
      </c>
      <c r="E11679" s="16">
        <f>IFERROR(__xludf.DUMMYFUNCTION("""COMPUTED_VALUE"""),81.0)</f>
        <v>81</v>
      </c>
      <c r="F11679" s="19" t="str">
        <f>IFERROR(__xludf.DUMMYFUNCTION("""COMPUTED_VALUE"""),"BLACK")</f>
        <v>BLACK</v>
      </c>
      <c r="G11679" s="20" t="str">
        <f>IFERROR(__xludf.DUMMYFUNCTION("""COMPUTED_VALUE"""),"Uncle Sams Cider (04/04/2023)")</f>
        <v>Uncle Sams Cider (04/04/2023)</v>
      </c>
      <c r="H11679" s="19"/>
    </row>
    <row r="11680">
      <c r="A11680" s="9"/>
      <c r="B11680" s="15"/>
      <c r="C11680" s="9">
        <f>IFERROR(__xludf.DUMMYFUNCTION("""COMPUTED_VALUE"""),45021.6597424884)</f>
        <v>45021.65974</v>
      </c>
      <c r="D11680" s="15">
        <f>IFERROR(__xludf.DUMMYFUNCTION("""COMPUTED_VALUE"""),1.101)</f>
        <v>1.101</v>
      </c>
      <c r="E11680" s="16">
        <f>IFERROR(__xludf.DUMMYFUNCTION("""COMPUTED_VALUE"""),81.0)</f>
        <v>81</v>
      </c>
      <c r="F11680" s="19" t="str">
        <f>IFERROR(__xludf.DUMMYFUNCTION("""COMPUTED_VALUE"""),"BLACK")</f>
        <v>BLACK</v>
      </c>
      <c r="G11680" s="20" t="str">
        <f>IFERROR(__xludf.DUMMYFUNCTION("""COMPUTED_VALUE"""),"Uncle Sams Cider (04/04/2023)")</f>
        <v>Uncle Sams Cider (04/04/2023)</v>
      </c>
      <c r="H11680" s="19"/>
    </row>
    <row r="11681">
      <c r="A11681" s="9"/>
      <c r="B11681" s="15"/>
      <c r="C11681" s="9">
        <f>IFERROR(__xludf.DUMMYFUNCTION("""COMPUTED_VALUE"""),45021.6493215856)</f>
        <v>45021.64932</v>
      </c>
      <c r="D11681" s="15">
        <f>IFERROR(__xludf.DUMMYFUNCTION("""COMPUTED_VALUE"""),1.101)</f>
        <v>1.101</v>
      </c>
      <c r="E11681" s="16">
        <f>IFERROR(__xludf.DUMMYFUNCTION("""COMPUTED_VALUE"""),81.0)</f>
        <v>81</v>
      </c>
      <c r="F11681" s="19" t="str">
        <f>IFERROR(__xludf.DUMMYFUNCTION("""COMPUTED_VALUE"""),"BLACK")</f>
        <v>BLACK</v>
      </c>
      <c r="G11681" s="20" t="str">
        <f>IFERROR(__xludf.DUMMYFUNCTION("""COMPUTED_VALUE"""),"Uncle Sams Cider (04/04/2023)")</f>
        <v>Uncle Sams Cider (04/04/2023)</v>
      </c>
      <c r="H11681" s="19"/>
    </row>
    <row r="11682">
      <c r="A11682" s="9"/>
      <c r="B11682" s="15"/>
      <c r="C11682" s="9">
        <f>IFERROR(__xludf.DUMMYFUNCTION("""COMPUTED_VALUE"""),45021.6389023958)</f>
        <v>45021.6389</v>
      </c>
      <c r="D11682" s="15">
        <f>IFERROR(__xludf.DUMMYFUNCTION("""COMPUTED_VALUE"""),1.101)</f>
        <v>1.101</v>
      </c>
      <c r="E11682" s="16">
        <f>IFERROR(__xludf.DUMMYFUNCTION("""COMPUTED_VALUE"""),81.0)</f>
        <v>81</v>
      </c>
      <c r="F11682" s="19" t="str">
        <f>IFERROR(__xludf.DUMMYFUNCTION("""COMPUTED_VALUE"""),"BLACK")</f>
        <v>BLACK</v>
      </c>
      <c r="G11682" s="20" t="str">
        <f>IFERROR(__xludf.DUMMYFUNCTION("""COMPUTED_VALUE"""),"Uncle Sams Cider (04/04/2023)")</f>
        <v>Uncle Sams Cider (04/04/2023)</v>
      </c>
      <c r="H11682" s="19"/>
    </row>
    <row r="11683">
      <c r="A11683" s="9"/>
      <c r="B11683" s="15"/>
      <c r="C11683" s="9">
        <f>IFERROR(__xludf.DUMMYFUNCTION("""COMPUTED_VALUE"""),45021.6284801736)</f>
        <v>45021.62848</v>
      </c>
      <c r="D11683" s="15">
        <f>IFERROR(__xludf.DUMMYFUNCTION("""COMPUTED_VALUE"""),1.101)</f>
        <v>1.101</v>
      </c>
      <c r="E11683" s="16">
        <f>IFERROR(__xludf.DUMMYFUNCTION("""COMPUTED_VALUE"""),81.0)</f>
        <v>81</v>
      </c>
      <c r="F11683" s="19" t="str">
        <f>IFERROR(__xludf.DUMMYFUNCTION("""COMPUTED_VALUE"""),"BLACK")</f>
        <v>BLACK</v>
      </c>
      <c r="G11683" s="20" t="str">
        <f>IFERROR(__xludf.DUMMYFUNCTION("""COMPUTED_VALUE"""),"Uncle Sams Cider (04/04/2023)")</f>
        <v>Uncle Sams Cider (04/04/2023)</v>
      </c>
      <c r="H11683" s="19"/>
    </row>
    <row r="11684">
      <c r="A11684" s="9"/>
      <c r="B11684" s="15"/>
      <c r="C11684" s="9">
        <f>IFERROR(__xludf.DUMMYFUNCTION("""COMPUTED_VALUE"""),45021.6180481365)</f>
        <v>45021.61805</v>
      </c>
      <c r="D11684" s="15">
        <f>IFERROR(__xludf.DUMMYFUNCTION("""COMPUTED_VALUE"""),1.101)</f>
        <v>1.101</v>
      </c>
      <c r="E11684" s="16">
        <f>IFERROR(__xludf.DUMMYFUNCTION("""COMPUTED_VALUE"""),82.0)</f>
        <v>82</v>
      </c>
      <c r="F11684" s="19" t="str">
        <f>IFERROR(__xludf.DUMMYFUNCTION("""COMPUTED_VALUE"""),"BLACK")</f>
        <v>BLACK</v>
      </c>
      <c r="G11684" s="20" t="str">
        <f>IFERROR(__xludf.DUMMYFUNCTION("""COMPUTED_VALUE"""),"Uncle Sams Cider (04/04/2023)")</f>
        <v>Uncle Sams Cider (04/04/2023)</v>
      </c>
      <c r="H11684" s="19"/>
    </row>
    <row r="11685">
      <c r="A11685" s="9"/>
      <c r="B11685" s="15"/>
      <c r="C11685" s="9">
        <f>IFERROR(__xludf.DUMMYFUNCTION("""COMPUTED_VALUE"""),45021.6076027662)</f>
        <v>45021.6076</v>
      </c>
      <c r="D11685" s="15">
        <f>IFERROR(__xludf.DUMMYFUNCTION("""COMPUTED_VALUE"""),1.101)</f>
        <v>1.101</v>
      </c>
      <c r="E11685" s="16">
        <f>IFERROR(__xludf.DUMMYFUNCTION("""COMPUTED_VALUE"""),82.0)</f>
        <v>82</v>
      </c>
      <c r="F11685" s="19" t="str">
        <f>IFERROR(__xludf.DUMMYFUNCTION("""COMPUTED_VALUE"""),"BLACK")</f>
        <v>BLACK</v>
      </c>
      <c r="G11685" s="20" t="str">
        <f>IFERROR(__xludf.DUMMYFUNCTION("""COMPUTED_VALUE"""),"Uncle Sams Cider (04/04/2023)")</f>
        <v>Uncle Sams Cider (04/04/2023)</v>
      </c>
      <c r="H11685" s="19"/>
    </row>
    <row r="11686">
      <c r="A11686" s="9"/>
      <c r="B11686" s="15"/>
      <c r="C11686" s="9">
        <f>IFERROR(__xludf.DUMMYFUNCTION("""COMPUTED_VALUE"""),45021.597180243)</f>
        <v>45021.59718</v>
      </c>
      <c r="D11686" s="15">
        <f>IFERROR(__xludf.DUMMYFUNCTION("""COMPUTED_VALUE"""),1.102)</f>
        <v>1.102</v>
      </c>
      <c r="E11686" s="16">
        <f>IFERROR(__xludf.DUMMYFUNCTION("""COMPUTED_VALUE"""),82.0)</f>
        <v>82</v>
      </c>
      <c r="F11686" s="19" t="str">
        <f>IFERROR(__xludf.DUMMYFUNCTION("""COMPUTED_VALUE"""),"BLACK")</f>
        <v>BLACK</v>
      </c>
      <c r="G11686" s="20" t="str">
        <f>IFERROR(__xludf.DUMMYFUNCTION("""COMPUTED_VALUE"""),"Uncle Sams Cider (04/04/2023)")</f>
        <v>Uncle Sams Cider (04/04/2023)</v>
      </c>
      <c r="H11686" s="19"/>
    </row>
    <row r="11687">
      <c r="A11687" s="9"/>
      <c r="B11687" s="15"/>
      <c r="C11687" s="9">
        <f>IFERROR(__xludf.DUMMYFUNCTION("""COMPUTED_VALUE"""),45021.58676)</f>
        <v>45021.58676</v>
      </c>
      <c r="D11687" s="15">
        <f>IFERROR(__xludf.DUMMYFUNCTION("""COMPUTED_VALUE"""),1.102)</f>
        <v>1.102</v>
      </c>
      <c r="E11687" s="16">
        <f>IFERROR(__xludf.DUMMYFUNCTION("""COMPUTED_VALUE"""),82.0)</f>
        <v>82</v>
      </c>
      <c r="F11687" s="19" t="str">
        <f>IFERROR(__xludf.DUMMYFUNCTION("""COMPUTED_VALUE"""),"BLACK")</f>
        <v>BLACK</v>
      </c>
      <c r="G11687" s="20" t="str">
        <f>IFERROR(__xludf.DUMMYFUNCTION("""COMPUTED_VALUE"""),"Uncle Sams Cider (04/04/2023)")</f>
        <v>Uncle Sams Cider (04/04/2023)</v>
      </c>
      <c r="H11687" s="19"/>
    </row>
    <row r="11688">
      <c r="A11688" s="9"/>
      <c r="B11688" s="15"/>
      <c r="C11688" s="9">
        <f>IFERROR(__xludf.DUMMYFUNCTION("""COMPUTED_VALUE"""),45021.5763269328)</f>
        <v>45021.57633</v>
      </c>
      <c r="D11688" s="15">
        <f>IFERROR(__xludf.DUMMYFUNCTION("""COMPUTED_VALUE"""),1.1)</f>
        <v>1.1</v>
      </c>
      <c r="E11688" s="16">
        <f>IFERROR(__xludf.DUMMYFUNCTION("""COMPUTED_VALUE"""),82.0)</f>
        <v>82</v>
      </c>
      <c r="F11688" s="19" t="str">
        <f>IFERROR(__xludf.DUMMYFUNCTION("""COMPUTED_VALUE"""),"BLACK")</f>
        <v>BLACK</v>
      </c>
      <c r="G11688" s="20" t="str">
        <f>IFERROR(__xludf.DUMMYFUNCTION("""COMPUTED_VALUE"""),"Uncle Sams Cider (04/04/2023)")</f>
        <v>Uncle Sams Cider (04/04/2023)</v>
      </c>
      <c r="H11688" s="19"/>
    </row>
    <row r="11689">
      <c r="A11689" s="9"/>
      <c r="B11689" s="15"/>
      <c r="C11689" s="9">
        <f>IFERROR(__xludf.DUMMYFUNCTION("""COMPUTED_VALUE"""),45021.5659052546)</f>
        <v>45021.56591</v>
      </c>
      <c r="D11689" s="15">
        <f>IFERROR(__xludf.DUMMYFUNCTION("""COMPUTED_VALUE"""),1.101)</f>
        <v>1.101</v>
      </c>
      <c r="E11689" s="16">
        <f>IFERROR(__xludf.DUMMYFUNCTION("""COMPUTED_VALUE"""),82.0)</f>
        <v>82</v>
      </c>
      <c r="F11689" s="19" t="str">
        <f>IFERROR(__xludf.DUMMYFUNCTION("""COMPUTED_VALUE"""),"BLACK")</f>
        <v>BLACK</v>
      </c>
      <c r="G11689" s="20" t="str">
        <f>IFERROR(__xludf.DUMMYFUNCTION("""COMPUTED_VALUE"""),"Uncle Sams Cider (04/04/2023)")</f>
        <v>Uncle Sams Cider (04/04/2023)</v>
      </c>
      <c r="H11689" s="19"/>
    </row>
    <row r="11690">
      <c r="A11690" s="9"/>
      <c r="B11690" s="15"/>
      <c r="C11690" s="9">
        <f>IFERROR(__xludf.DUMMYFUNCTION("""COMPUTED_VALUE"""),45021.5554830555)</f>
        <v>45021.55548</v>
      </c>
      <c r="D11690" s="15">
        <f>IFERROR(__xludf.DUMMYFUNCTION("""COMPUTED_VALUE"""),1.102)</f>
        <v>1.102</v>
      </c>
      <c r="E11690" s="16">
        <f>IFERROR(__xludf.DUMMYFUNCTION("""COMPUTED_VALUE"""),82.0)</f>
        <v>82</v>
      </c>
      <c r="F11690" s="19" t="str">
        <f>IFERROR(__xludf.DUMMYFUNCTION("""COMPUTED_VALUE"""),"BLACK")</f>
        <v>BLACK</v>
      </c>
      <c r="G11690" s="20" t="str">
        <f>IFERROR(__xludf.DUMMYFUNCTION("""COMPUTED_VALUE"""),"Uncle Sams Cider (04/04/2023)")</f>
        <v>Uncle Sams Cider (04/04/2023)</v>
      </c>
      <c r="H11690" s="19"/>
    </row>
    <row r="11691">
      <c r="A11691" s="9"/>
      <c r="B11691" s="15"/>
      <c r="C11691" s="9">
        <f>IFERROR(__xludf.DUMMYFUNCTION("""COMPUTED_VALUE"""),45021.5450621643)</f>
        <v>45021.54506</v>
      </c>
      <c r="D11691" s="15">
        <f>IFERROR(__xludf.DUMMYFUNCTION("""COMPUTED_VALUE"""),1.102)</f>
        <v>1.102</v>
      </c>
      <c r="E11691" s="16">
        <f>IFERROR(__xludf.DUMMYFUNCTION("""COMPUTED_VALUE"""),82.0)</f>
        <v>82</v>
      </c>
      <c r="F11691" s="19" t="str">
        <f>IFERROR(__xludf.DUMMYFUNCTION("""COMPUTED_VALUE"""),"BLACK")</f>
        <v>BLACK</v>
      </c>
      <c r="G11691" s="20" t="str">
        <f>IFERROR(__xludf.DUMMYFUNCTION("""COMPUTED_VALUE"""),"Uncle Sams Cider (04/04/2023)")</f>
        <v>Uncle Sams Cider (04/04/2023)</v>
      </c>
      <c r="H11691" s="19"/>
    </row>
    <row r="11692">
      <c r="A11692" s="9"/>
      <c r="B11692" s="15"/>
      <c r="C11692" s="9">
        <f>IFERROR(__xludf.DUMMYFUNCTION("""COMPUTED_VALUE"""),45021.5346411111)</f>
        <v>45021.53464</v>
      </c>
      <c r="D11692" s="15">
        <f>IFERROR(__xludf.DUMMYFUNCTION("""COMPUTED_VALUE"""),1.103)</f>
        <v>1.103</v>
      </c>
      <c r="E11692" s="16">
        <f>IFERROR(__xludf.DUMMYFUNCTION("""COMPUTED_VALUE"""),83.0)</f>
        <v>83</v>
      </c>
      <c r="F11692" s="19" t="str">
        <f>IFERROR(__xludf.DUMMYFUNCTION("""COMPUTED_VALUE"""),"BLACK")</f>
        <v>BLACK</v>
      </c>
      <c r="G11692" s="20" t="str">
        <f>IFERROR(__xludf.DUMMYFUNCTION("""COMPUTED_VALUE"""),"Uncle Sams Cider (04/04/2023)")</f>
        <v>Uncle Sams Cider (04/04/2023)</v>
      </c>
      <c r="H11692" s="19"/>
    </row>
    <row r="11693">
      <c r="A11693" s="9"/>
      <c r="B11693" s="15"/>
      <c r="C11693" s="9">
        <f>IFERROR(__xludf.DUMMYFUNCTION("""COMPUTED_VALUE"""),45021.5242204166)</f>
        <v>45021.52422</v>
      </c>
      <c r="D11693" s="15">
        <f>IFERROR(__xludf.DUMMYFUNCTION("""COMPUTED_VALUE"""),1.101)</f>
        <v>1.101</v>
      </c>
      <c r="E11693" s="16">
        <f>IFERROR(__xludf.DUMMYFUNCTION("""COMPUTED_VALUE"""),83.0)</f>
        <v>83</v>
      </c>
      <c r="F11693" s="19" t="str">
        <f>IFERROR(__xludf.DUMMYFUNCTION("""COMPUTED_VALUE"""),"BLACK")</f>
        <v>BLACK</v>
      </c>
      <c r="G11693" s="20" t="str">
        <f>IFERROR(__xludf.DUMMYFUNCTION("""COMPUTED_VALUE"""),"Uncle Sams Cider (04/04/2023)")</f>
        <v>Uncle Sams Cider (04/04/2023)</v>
      </c>
      <c r="H11693" s="19"/>
    </row>
    <row r="11694">
      <c r="A11694" s="9"/>
      <c r="B11694" s="15"/>
      <c r="C11694" s="9">
        <f>IFERROR(__xludf.DUMMYFUNCTION("""COMPUTED_VALUE"""),45021.5137755555)</f>
        <v>45021.51378</v>
      </c>
      <c r="D11694" s="15">
        <f>IFERROR(__xludf.DUMMYFUNCTION("""COMPUTED_VALUE"""),1.102)</f>
        <v>1.102</v>
      </c>
      <c r="E11694" s="16">
        <f>IFERROR(__xludf.DUMMYFUNCTION("""COMPUTED_VALUE"""),83.0)</f>
        <v>83</v>
      </c>
      <c r="F11694" s="19" t="str">
        <f>IFERROR(__xludf.DUMMYFUNCTION("""COMPUTED_VALUE"""),"BLACK")</f>
        <v>BLACK</v>
      </c>
      <c r="G11694" s="20" t="str">
        <f>IFERROR(__xludf.DUMMYFUNCTION("""COMPUTED_VALUE"""),"Uncle Sams Cider (04/04/2023)")</f>
        <v>Uncle Sams Cider (04/04/2023)</v>
      </c>
      <c r="H11694" s="19"/>
    </row>
    <row r="11695">
      <c r="A11695" s="9"/>
      <c r="B11695" s="15"/>
      <c r="C11695" s="9">
        <f>IFERROR(__xludf.DUMMYFUNCTION("""COMPUTED_VALUE"""),45021.5033542361)</f>
        <v>45021.50335</v>
      </c>
      <c r="D11695" s="15">
        <f>IFERROR(__xludf.DUMMYFUNCTION("""COMPUTED_VALUE"""),1.103)</f>
        <v>1.103</v>
      </c>
      <c r="E11695" s="16">
        <f>IFERROR(__xludf.DUMMYFUNCTION("""COMPUTED_VALUE"""),83.0)</f>
        <v>83</v>
      </c>
      <c r="F11695" s="19" t="str">
        <f>IFERROR(__xludf.DUMMYFUNCTION("""COMPUTED_VALUE"""),"BLACK")</f>
        <v>BLACK</v>
      </c>
      <c r="G11695" s="20" t="str">
        <f>IFERROR(__xludf.DUMMYFUNCTION("""COMPUTED_VALUE"""),"Uncle Sams Cider (04/04/2023)")</f>
        <v>Uncle Sams Cider (04/04/2023)</v>
      </c>
      <c r="H11695" s="19"/>
    </row>
    <row r="11696">
      <c r="A11696" s="9"/>
      <c r="B11696" s="15"/>
      <c r="C11696" s="9">
        <f>IFERROR(__xludf.DUMMYFUNCTION("""COMPUTED_VALUE"""),45021.492932581)</f>
        <v>45021.49293</v>
      </c>
      <c r="D11696" s="15">
        <f>IFERROR(__xludf.DUMMYFUNCTION("""COMPUTED_VALUE"""),1.103)</f>
        <v>1.103</v>
      </c>
      <c r="E11696" s="16">
        <f>IFERROR(__xludf.DUMMYFUNCTION("""COMPUTED_VALUE"""),83.0)</f>
        <v>83</v>
      </c>
      <c r="F11696" s="19" t="str">
        <f>IFERROR(__xludf.DUMMYFUNCTION("""COMPUTED_VALUE"""),"BLACK")</f>
        <v>BLACK</v>
      </c>
      <c r="G11696" s="20" t="str">
        <f>IFERROR(__xludf.DUMMYFUNCTION("""COMPUTED_VALUE"""),"Uncle Sams Cider (04/04/2023)")</f>
        <v>Uncle Sams Cider (04/04/2023)</v>
      </c>
      <c r="H11696" s="19"/>
    </row>
    <row r="11697">
      <c r="A11697" s="9"/>
      <c r="B11697" s="15"/>
      <c r="C11697" s="9">
        <f>IFERROR(__xludf.DUMMYFUNCTION("""COMPUTED_VALUE"""),45021.4825113426)</f>
        <v>45021.48251</v>
      </c>
      <c r="D11697" s="15">
        <f>IFERROR(__xludf.DUMMYFUNCTION("""COMPUTED_VALUE"""),1.103)</f>
        <v>1.103</v>
      </c>
      <c r="E11697" s="16">
        <f>IFERROR(__xludf.DUMMYFUNCTION("""COMPUTED_VALUE"""),83.0)</f>
        <v>83</v>
      </c>
      <c r="F11697" s="19" t="str">
        <f>IFERROR(__xludf.DUMMYFUNCTION("""COMPUTED_VALUE"""),"BLACK")</f>
        <v>BLACK</v>
      </c>
      <c r="G11697" s="20" t="str">
        <f>IFERROR(__xludf.DUMMYFUNCTION("""COMPUTED_VALUE"""),"Uncle Sams Cider (04/04/2023)")</f>
        <v>Uncle Sams Cider (04/04/2023)</v>
      </c>
      <c r="H11697" s="19"/>
    </row>
    <row r="11698">
      <c r="A11698" s="9"/>
      <c r="B11698" s="15"/>
      <c r="C11698" s="9">
        <f>IFERROR(__xludf.DUMMYFUNCTION("""COMPUTED_VALUE"""),45021.4720905902)</f>
        <v>45021.47209</v>
      </c>
      <c r="D11698" s="15">
        <f>IFERROR(__xludf.DUMMYFUNCTION("""COMPUTED_VALUE"""),1.103)</f>
        <v>1.103</v>
      </c>
      <c r="E11698" s="16">
        <f>IFERROR(__xludf.DUMMYFUNCTION("""COMPUTED_VALUE"""),83.0)</f>
        <v>83</v>
      </c>
      <c r="F11698" s="19" t="str">
        <f>IFERROR(__xludf.DUMMYFUNCTION("""COMPUTED_VALUE"""),"BLACK")</f>
        <v>BLACK</v>
      </c>
      <c r="G11698" s="20" t="str">
        <f>IFERROR(__xludf.DUMMYFUNCTION("""COMPUTED_VALUE"""),"Uncle Sams Cider (04/04/2023)")</f>
        <v>Uncle Sams Cider (04/04/2023)</v>
      </c>
      <c r="H11698" s="19"/>
    </row>
    <row r="11699">
      <c r="A11699" s="9"/>
      <c r="B11699" s="15"/>
      <c r="C11699" s="9">
        <f>IFERROR(__xludf.DUMMYFUNCTION("""COMPUTED_VALUE"""),45021.4616683333)</f>
        <v>45021.46167</v>
      </c>
      <c r="D11699" s="15">
        <f>IFERROR(__xludf.DUMMYFUNCTION("""COMPUTED_VALUE"""),1.103)</f>
        <v>1.103</v>
      </c>
      <c r="E11699" s="16">
        <f>IFERROR(__xludf.DUMMYFUNCTION("""COMPUTED_VALUE"""),83.0)</f>
        <v>83</v>
      </c>
      <c r="F11699" s="19" t="str">
        <f>IFERROR(__xludf.DUMMYFUNCTION("""COMPUTED_VALUE"""),"BLACK")</f>
        <v>BLACK</v>
      </c>
      <c r="G11699" s="20" t="str">
        <f>IFERROR(__xludf.DUMMYFUNCTION("""COMPUTED_VALUE"""),"Uncle Sams Cider (04/04/2023)")</f>
        <v>Uncle Sams Cider (04/04/2023)</v>
      </c>
      <c r="H11699" s="19"/>
    </row>
    <row r="11700">
      <c r="A11700" s="9"/>
      <c r="B11700" s="15"/>
      <c r="C11700" s="9">
        <f>IFERROR(__xludf.DUMMYFUNCTION("""COMPUTED_VALUE"""),45021.4512370833)</f>
        <v>45021.45124</v>
      </c>
      <c r="D11700" s="15">
        <f>IFERROR(__xludf.DUMMYFUNCTION("""COMPUTED_VALUE"""),1.104)</f>
        <v>1.104</v>
      </c>
      <c r="E11700" s="16">
        <f>IFERROR(__xludf.DUMMYFUNCTION("""COMPUTED_VALUE"""),84.0)</f>
        <v>84</v>
      </c>
      <c r="F11700" s="19" t="str">
        <f>IFERROR(__xludf.DUMMYFUNCTION("""COMPUTED_VALUE"""),"BLACK")</f>
        <v>BLACK</v>
      </c>
      <c r="G11700" s="20" t="str">
        <f>IFERROR(__xludf.DUMMYFUNCTION("""COMPUTED_VALUE"""),"Uncle Sams Cider (04/04/2023)")</f>
        <v>Uncle Sams Cider (04/04/2023)</v>
      </c>
      <c r="H11700" s="19"/>
    </row>
    <row r="11701">
      <c r="A11701" s="9"/>
      <c r="B11701" s="15"/>
      <c r="C11701" s="9">
        <f>IFERROR(__xludf.DUMMYFUNCTION("""COMPUTED_VALUE"""),45021.4407943981)</f>
        <v>45021.44079</v>
      </c>
      <c r="D11701" s="15">
        <f>IFERROR(__xludf.DUMMYFUNCTION("""COMPUTED_VALUE"""),1.104)</f>
        <v>1.104</v>
      </c>
      <c r="E11701" s="16">
        <f>IFERROR(__xludf.DUMMYFUNCTION("""COMPUTED_VALUE"""),84.0)</f>
        <v>84</v>
      </c>
      <c r="F11701" s="19" t="str">
        <f>IFERROR(__xludf.DUMMYFUNCTION("""COMPUTED_VALUE"""),"BLACK")</f>
        <v>BLACK</v>
      </c>
      <c r="G11701" s="20" t="str">
        <f>IFERROR(__xludf.DUMMYFUNCTION("""COMPUTED_VALUE"""),"Uncle Sams Cider (04/04/2023)")</f>
        <v>Uncle Sams Cider (04/04/2023)</v>
      </c>
      <c r="H11701" s="19"/>
    </row>
    <row r="11702">
      <c r="A11702" s="9"/>
      <c r="B11702" s="15"/>
      <c r="C11702" s="9">
        <f>IFERROR(__xludf.DUMMYFUNCTION("""COMPUTED_VALUE"""),45021.4303730902)</f>
        <v>45021.43037</v>
      </c>
      <c r="D11702" s="15">
        <f>IFERROR(__xludf.DUMMYFUNCTION("""COMPUTED_VALUE"""),1.104)</f>
        <v>1.104</v>
      </c>
      <c r="E11702" s="16">
        <f>IFERROR(__xludf.DUMMYFUNCTION("""COMPUTED_VALUE"""),84.0)</f>
        <v>84</v>
      </c>
      <c r="F11702" s="19" t="str">
        <f>IFERROR(__xludf.DUMMYFUNCTION("""COMPUTED_VALUE"""),"BLACK")</f>
        <v>BLACK</v>
      </c>
      <c r="G11702" s="20" t="str">
        <f>IFERROR(__xludf.DUMMYFUNCTION("""COMPUTED_VALUE"""),"Uncle Sams Cider (04/04/2023)")</f>
        <v>Uncle Sams Cider (04/04/2023)</v>
      </c>
      <c r="H11702" s="19"/>
    </row>
    <row r="11703">
      <c r="A11703" s="9"/>
      <c r="B11703" s="15"/>
      <c r="C11703" s="9">
        <f>IFERROR(__xludf.DUMMYFUNCTION("""COMPUTED_VALUE"""),45021.419950324)</f>
        <v>45021.41995</v>
      </c>
      <c r="D11703" s="15">
        <f>IFERROR(__xludf.DUMMYFUNCTION("""COMPUTED_VALUE"""),1.105)</f>
        <v>1.105</v>
      </c>
      <c r="E11703" s="16">
        <f>IFERROR(__xludf.DUMMYFUNCTION("""COMPUTED_VALUE"""),84.0)</f>
        <v>84</v>
      </c>
      <c r="F11703" s="19" t="str">
        <f>IFERROR(__xludf.DUMMYFUNCTION("""COMPUTED_VALUE"""),"BLACK")</f>
        <v>BLACK</v>
      </c>
      <c r="G11703" s="20" t="str">
        <f>IFERROR(__xludf.DUMMYFUNCTION("""COMPUTED_VALUE"""),"Uncle Sams Cider (04/04/2023)")</f>
        <v>Uncle Sams Cider (04/04/2023)</v>
      </c>
      <c r="H11703" s="19"/>
    </row>
    <row r="11704">
      <c r="A11704" s="9"/>
      <c r="B11704" s="15"/>
      <c r="C11704" s="9">
        <f>IFERROR(__xludf.DUMMYFUNCTION("""COMPUTED_VALUE"""),45021.409517037)</f>
        <v>45021.40952</v>
      </c>
      <c r="D11704" s="15">
        <f>IFERROR(__xludf.DUMMYFUNCTION("""COMPUTED_VALUE"""),1.105)</f>
        <v>1.105</v>
      </c>
      <c r="E11704" s="16">
        <f>IFERROR(__xludf.DUMMYFUNCTION("""COMPUTED_VALUE"""),84.0)</f>
        <v>84</v>
      </c>
      <c r="F11704" s="19" t="str">
        <f>IFERROR(__xludf.DUMMYFUNCTION("""COMPUTED_VALUE"""),"BLACK")</f>
        <v>BLACK</v>
      </c>
      <c r="G11704" s="20" t="str">
        <f>IFERROR(__xludf.DUMMYFUNCTION("""COMPUTED_VALUE"""),"Uncle Sams Cider (04/04/2023)")</f>
        <v>Uncle Sams Cider (04/04/2023)</v>
      </c>
      <c r="H11704" s="19"/>
    </row>
    <row r="11705">
      <c r="A11705" s="9"/>
      <c r="B11705" s="15"/>
      <c r="C11705" s="9">
        <f>IFERROR(__xludf.DUMMYFUNCTION("""COMPUTED_VALUE"""),45021.3990964699)</f>
        <v>45021.3991</v>
      </c>
      <c r="D11705" s="15">
        <f>IFERROR(__xludf.DUMMYFUNCTION("""COMPUTED_VALUE"""),1.106)</f>
        <v>1.106</v>
      </c>
      <c r="E11705" s="16">
        <f>IFERROR(__xludf.DUMMYFUNCTION("""COMPUTED_VALUE"""),84.0)</f>
        <v>84</v>
      </c>
      <c r="F11705" s="19" t="str">
        <f>IFERROR(__xludf.DUMMYFUNCTION("""COMPUTED_VALUE"""),"BLACK")</f>
        <v>BLACK</v>
      </c>
      <c r="G11705" s="20" t="str">
        <f>IFERROR(__xludf.DUMMYFUNCTION("""COMPUTED_VALUE"""),"Uncle Sams Cider (04/04/2023)")</f>
        <v>Uncle Sams Cider (04/04/2023)</v>
      </c>
      <c r="H11705" s="19"/>
    </row>
    <row r="11706">
      <c r="A11706" s="9"/>
      <c r="B11706" s="15"/>
      <c r="C11706" s="9">
        <f>IFERROR(__xludf.DUMMYFUNCTION("""COMPUTED_VALUE"""),45021.3886748495)</f>
        <v>45021.38867</v>
      </c>
      <c r="D11706" s="15">
        <f>IFERROR(__xludf.DUMMYFUNCTION("""COMPUTED_VALUE"""),1.106)</f>
        <v>1.106</v>
      </c>
      <c r="E11706" s="16">
        <f>IFERROR(__xludf.DUMMYFUNCTION("""COMPUTED_VALUE"""),84.0)</f>
        <v>84</v>
      </c>
      <c r="F11706" s="19" t="str">
        <f>IFERROR(__xludf.DUMMYFUNCTION("""COMPUTED_VALUE"""),"BLACK")</f>
        <v>BLACK</v>
      </c>
      <c r="G11706" s="20" t="str">
        <f>IFERROR(__xludf.DUMMYFUNCTION("""COMPUTED_VALUE"""),"Uncle Sams Cider (04/04/2023)")</f>
        <v>Uncle Sams Cider (04/04/2023)</v>
      </c>
      <c r="H11706" s="19"/>
    </row>
    <row r="11707">
      <c r="A11707" s="9"/>
      <c r="B11707" s="15"/>
      <c r="C11707" s="9">
        <f>IFERROR(__xludf.DUMMYFUNCTION("""COMPUTED_VALUE"""),45021.3782545023)</f>
        <v>45021.37825</v>
      </c>
      <c r="D11707" s="15">
        <f>IFERROR(__xludf.DUMMYFUNCTION("""COMPUTED_VALUE"""),1.105)</f>
        <v>1.105</v>
      </c>
      <c r="E11707" s="16">
        <f>IFERROR(__xludf.DUMMYFUNCTION("""COMPUTED_VALUE"""),84.0)</f>
        <v>84</v>
      </c>
      <c r="F11707" s="19" t="str">
        <f>IFERROR(__xludf.DUMMYFUNCTION("""COMPUTED_VALUE"""),"BLACK")</f>
        <v>BLACK</v>
      </c>
      <c r="G11707" s="20" t="str">
        <f>IFERROR(__xludf.DUMMYFUNCTION("""COMPUTED_VALUE"""),"Uncle Sams Cider (04/04/2023)")</f>
        <v>Uncle Sams Cider (04/04/2023)</v>
      </c>
      <c r="H11707" s="19"/>
    </row>
    <row r="11708">
      <c r="A11708" s="9"/>
      <c r="B11708" s="15"/>
      <c r="C11708" s="9">
        <f>IFERROR(__xludf.DUMMYFUNCTION("""COMPUTED_VALUE"""),45021.3677647338)</f>
        <v>45021.36776</v>
      </c>
      <c r="D11708" s="15">
        <f>IFERROR(__xludf.DUMMYFUNCTION("""COMPUTED_VALUE"""),1.106)</f>
        <v>1.106</v>
      </c>
      <c r="E11708" s="16">
        <f>IFERROR(__xludf.DUMMYFUNCTION("""COMPUTED_VALUE"""),84.0)</f>
        <v>84</v>
      </c>
      <c r="F11708" s="19" t="str">
        <f>IFERROR(__xludf.DUMMYFUNCTION("""COMPUTED_VALUE"""),"BLACK")</f>
        <v>BLACK</v>
      </c>
      <c r="G11708" s="20" t="str">
        <f>IFERROR(__xludf.DUMMYFUNCTION("""COMPUTED_VALUE"""),"Uncle Sams Cider (04/04/2023)")</f>
        <v>Uncle Sams Cider (04/04/2023)</v>
      </c>
      <c r="H11708" s="19"/>
    </row>
    <row r="11709">
      <c r="A11709" s="9"/>
      <c r="B11709" s="15"/>
      <c r="C11709" s="9">
        <f>IFERROR(__xludf.DUMMYFUNCTION("""COMPUTED_VALUE"""),45021.3573434953)</f>
        <v>45021.35734</v>
      </c>
      <c r="D11709" s="15">
        <f>IFERROR(__xludf.DUMMYFUNCTION("""COMPUTED_VALUE"""),1.107)</f>
        <v>1.107</v>
      </c>
      <c r="E11709" s="16">
        <f>IFERROR(__xludf.DUMMYFUNCTION("""COMPUTED_VALUE"""),85.0)</f>
        <v>85</v>
      </c>
      <c r="F11709" s="19" t="str">
        <f>IFERROR(__xludf.DUMMYFUNCTION("""COMPUTED_VALUE"""),"BLACK")</f>
        <v>BLACK</v>
      </c>
      <c r="G11709" s="20" t="str">
        <f>IFERROR(__xludf.DUMMYFUNCTION("""COMPUTED_VALUE"""),"Uncle Sams Cider (04/04/2023)")</f>
        <v>Uncle Sams Cider (04/04/2023)</v>
      </c>
      <c r="H11709" s="19"/>
    </row>
    <row r="11710">
      <c r="A11710" s="9"/>
      <c r="B11710" s="15"/>
      <c r="C11710" s="9">
        <f>IFERROR(__xludf.DUMMYFUNCTION("""COMPUTED_VALUE"""),45021.3469226736)</f>
        <v>45021.34692</v>
      </c>
      <c r="D11710" s="15">
        <f>IFERROR(__xludf.DUMMYFUNCTION("""COMPUTED_VALUE"""),1.107)</f>
        <v>1.107</v>
      </c>
      <c r="E11710" s="16">
        <f>IFERROR(__xludf.DUMMYFUNCTION("""COMPUTED_VALUE"""),85.0)</f>
        <v>85</v>
      </c>
      <c r="F11710" s="19" t="str">
        <f>IFERROR(__xludf.DUMMYFUNCTION("""COMPUTED_VALUE"""),"BLACK")</f>
        <v>BLACK</v>
      </c>
      <c r="G11710" s="20" t="str">
        <f>IFERROR(__xludf.DUMMYFUNCTION("""COMPUTED_VALUE"""),"Uncle Sams Cider (04/04/2023)")</f>
        <v>Uncle Sams Cider (04/04/2023)</v>
      </c>
      <c r="H11710" s="19"/>
    </row>
    <row r="11711">
      <c r="A11711" s="9"/>
      <c r="B11711" s="15"/>
      <c r="C11711" s="9">
        <f>IFERROR(__xludf.DUMMYFUNCTION("""COMPUTED_VALUE"""),45021.3364781365)</f>
        <v>45021.33648</v>
      </c>
      <c r="D11711" s="15">
        <f>IFERROR(__xludf.DUMMYFUNCTION("""COMPUTED_VALUE"""),1.107)</f>
        <v>1.107</v>
      </c>
      <c r="E11711" s="16">
        <f>IFERROR(__xludf.DUMMYFUNCTION("""COMPUTED_VALUE"""),85.0)</f>
        <v>85</v>
      </c>
      <c r="F11711" s="19" t="str">
        <f>IFERROR(__xludf.DUMMYFUNCTION("""COMPUTED_VALUE"""),"BLACK")</f>
        <v>BLACK</v>
      </c>
      <c r="G11711" s="20" t="str">
        <f>IFERROR(__xludf.DUMMYFUNCTION("""COMPUTED_VALUE"""),"Uncle Sams Cider (04/04/2023)")</f>
        <v>Uncle Sams Cider (04/04/2023)</v>
      </c>
      <c r="H11711" s="19"/>
    </row>
    <row r="11712">
      <c r="A11712" s="9"/>
      <c r="B11712" s="15"/>
      <c r="C11712" s="9">
        <f>IFERROR(__xludf.DUMMYFUNCTION("""COMPUTED_VALUE"""),45021.3260574189)</f>
        <v>45021.32606</v>
      </c>
      <c r="D11712" s="15">
        <f>IFERROR(__xludf.DUMMYFUNCTION("""COMPUTED_VALUE"""),1.108)</f>
        <v>1.108</v>
      </c>
      <c r="E11712" s="16">
        <f>IFERROR(__xludf.DUMMYFUNCTION("""COMPUTED_VALUE"""),85.0)</f>
        <v>85</v>
      </c>
      <c r="F11712" s="19" t="str">
        <f>IFERROR(__xludf.DUMMYFUNCTION("""COMPUTED_VALUE"""),"BLACK")</f>
        <v>BLACK</v>
      </c>
      <c r="G11712" s="20" t="str">
        <f>IFERROR(__xludf.DUMMYFUNCTION("""COMPUTED_VALUE"""),"Uncle Sams Cider (04/04/2023)")</f>
        <v>Uncle Sams Cider (04/04/2023)</v>
      </c>
      <c r="H11712" s="19"/>
    </row>
    <row r="11713">
      <c r="A11713" s="9"/>
      <c r="B11713" s="15"/>
      <c r="C11713" s="9">
        <f>IFERROR(__xludf.DUMMYFUNCTION("""COMPUTED_VALUE"""),45021.3156268634)</f>
        <v>45021.31563</v>
      </c>
      <c r="D11713" s="15">
        <f>IFERROR(__xludf.DUMMYFUNCTION("""COMPUTED_VALUE"""),1.108)</f>
        <v>1.108</v>
      </c>
      <c r="E11713" s="16">
        <f>IFERROR(__xludf.DUMMYFUNCTION("""COMPUTED_VALUE"""),85.0)</f>
        <v>85</v>
      </c>
      <c r="F11713" s="19" t="str">
        <f>IFERROR(__xludf.DUMMYFUNCTION("""COMPUTED_VALUE"""),"BLACK")</f>
        <v>BLACK</v>
      </c>
      <c r="G11713" s="20" t="str">
        <f>IFERROR(__xludf.DUMMYFUNCTION("""COMPUTED_VALUE"""),"Uncle Sams Cider (04/04/2023)")</f>
        <v>Uncle Sams Cider (04/04/2023)</v>
      </c>
      <c r="H11713" s="19"/>
    </row>
    <row r="11714">
      <c r="A11714" s="9"/>
      <c r="B11714" s="15"/>
      <c r="C11714" s="9">
        <f>IFERROR(__xludf.DUMMYFUNCTION("""COMPUTED_VALUE"""),45021.3051928819)</f>
        <v>45021.30519</v>
      </c>
      <c r="D11714" s="15">
        <f>IFERROR(__xludf.DUMMYFUNCTION("""COMPUTED_VALUE"""),1.108)</f>
        <v>1.108</v>
      </c>
      <c r="E11714" s="16">
        <f>IFERROR(__xludf.DUMMYFUNCTION("""COMPUTED_VALUE"""),85.0)</f>
        <v>85</v>
      </c>
      <c r="F11714" s="19" t="str">
        <f>IFERROR(__xludf.DUMMYFUNCTION("""COMPUTED_VALUE"""),"BLACK")</f>
        <v>BLACK</v>
      </c>
      <c r="G11714" s="20" t="str">
        <f>IFERROR(__xludf.DUMMYFUNCTION("""COMPUTED_VALUE"""),"Uncle Sams Cider (04/04/2023)")</f>
        <v>Uncle Sams Cider (04/04/2023)</v>
      </c>
      <c r="H11714" s="19"/>
    </row>
    <row r="11715">
      <c r="A11715" s="9"/>
      <c r="B11715" s="15"/>
      <c r="C11715" s="9">
        <f>IFERROR(__xludf.DUMMYFUNCTION("""COMPUTED_VALUE"""),45021.2947610763)</f>
        <v>45021.29476</v>
      </c>
      <c r="D11715" s="15">
        <f>IFERROR(__xludf.DUMMYFUNCTION("""COMPUTED_VALUE"""),1.108)</f>
        <v>1.108</v>
      </c>
      <c r="E11715" s="16">
        <f>IFERROR(__xludf.DUMMYFUNCTION("""COMPUTED_VALUE"""),85.0)</f>
        <v>85</v>
      </c>
      <c r="F11715" s="19" t="str">
        <f>IFERROR(__xludf.DUMMYFUNCTION("""COMPUTED_VALUE"""),"BLACK")</f>
        <v>BLACK</v>
      </c>
      <c r="G11715" s="20" t="str">
        <f>IFERROR(__xludf.DUMMYFUNCTION("""COMPUTED_VALUE"""),"Uncle Sams Cider (04/04/2023)")</f>
        <v>Uncle Sams Cider (04/04/2023)</v>
      </c>
      <c r="H11715" s="19"/>
    </row>
    <row r="11716">
      <c r="A11716" s="9"/>
      <c r="B11716" s="15"/>
      <c r="C11716" s="9">
        <f>IFERROR(__xludf.DUMMYFUNCTION("""COMPUTED_VALUE"""),45021.2843392014)</f>
        <v>45021.28434</v>
      </c>
      <c r="D11716" s="15">
        <f>IFERROR(__xludf.DUMMYFUNCTION("""COMPUTED_VALUE"""),1.108)</f>
        <v>1.108</v>
      </c>
      <c r="E11716" s="16">
        <f>IFERROR(__xludf.DUMMYFUNCTION("""COMPUTED_VALUE"""),85.0)</f>
        <v>85</v>
      </c>
      <c r="F11716" s="19" t="str">
        <f>IFERROR(__xludf.DUMMYFUNCTION("""COMPUTED_VALUE"""),"BLACK")</f>
        <v>BLACK</v>
      </c>
      <c r="G11716" s="20" t="str">
        <f>IFERROR(__xludf.DUMMYFUNCTION("""COMPUTED_VALUE"""),"Uncle Sams Cider (04/04/2023)")</f>
        <v>Uncle Sams Cider (04/04/2023)</v>
      </c>
      <c r="H11716" s="19"/>
    </row>
    <row r="11717">
      <c r="A11717" s="9"/>
      <c r="B11717" s="15"/>
      <c r="C11717" s="9">
        <f>IFERROR(__xludf.DUMMYFUNCTION("""COMPUTED_VALUE"""),45021.273918206)</f>
        <v>45021.27392</v>
      </c>
      <c r="D11717" s="15">
        <f>IFERROR(__xludf.DUMMYFUNCTION("""COMPUTED_VALUE"""),1.108)</f>
        <v>1.108</v>
      </c>
      <c r="E11717" s="16">
        <f>IFERROR(__xludf.DUMMYFUNCTION("""COMPUTED_VALUE"""),86.0)</f>
        <v>86</v>
      </c>
      <c r="F11717" s="19" t="str">
        <f>IFERROR(__xludf.DUMMYFUNCTION("""COMPUTED_VALUE"""),"BLACK")</f>
        <v>BLACK</v>
      </c>
      <c r="G11717" s="20" t="str">
        <f>IFERROR(__xludf.DUMMYFUNCTION("""COMPUTED_VALUE"""),"Uncle Sams Cider (04/04/2023)")</f>
        <v>Uncle Sams Cider (04/04/2023)</v>
      </c>
      <c r="H11717" s="19"/>
    </row>
    <row r="11718">
      <c r="A11718" s="9"/>
      <c r="B11718" s="15"/>
      <c r="C11718" s="9">
        <f>IFERROR(__xludf.DUMMYFUNCTION("""COMPUTED_VALUE"""),45021.2634979629)</f>
        <v>45021.2635</v>
      </c>
      <c r="D11718" s="15">
        <f>IFERROR(__xludf.DUMMYFUNCTION("""COMPUTED_VALUE"""),1.108)</f>
        <v>1.108</v>
      </c>
      <c r="E11718" s="16">
        <f>IFERROR(__xludf.DUMMYFUNCTION("""COMPUTED_VALUE"""),86.0)</f>
        <v>86</v>
      </c>
      <c r="F11718" s="19" t="str">
        <f>IFERROR(__xludf.DUMMYFUNCTION("""COMPUTED_VALUE"""),"BLACK")</f>
        <v>BLACK</v>
      </c>
      <c r="G11718" s="20" t="str">
        <f>IFERROR(__xludf.DUMMYFUNCTION("""COMPUTED_VALUE"""),"Uncle Sams Cider (04/04/2023)")</f>
        <v>Uncle Sams Cider (04/04/2023)</v>
      </c>
      <c r="H11718" s="19"/>
    </row>
    <row r="11719">
      <c r="A11719" s="9"/>
      <c r="B11719" s="15"/>
      <c r="C11719" s="9">
        <f>IFERROR(__xludf.DUMMYFUNCTION("""COMPUTED_VALUE"""),45021.2530656481)</f>
        <v>45021.25307</v>
      </c>
      <c r="D11719" s="15">
        <f>IFERROR(__xludf.DUMMYFUNCTION("""COMPUTED_VALUE"""),1.108)</f>
        <v>1.108</v>
      </c>
      <c r="E11719" s="16">
        <f>IFERROR(__xludf.DUMMYFUNCTION("""COMPUTED_VALUE"""),86.0)</f>
        <v>86</v>
      </c>
      <c r="F11719" s="19" t="str">
        <f>IFERROR(__xludf.DUMMYFUNCTION("""COMPUTED_VALUE"""),"BLACK")</f>
        <v>BLACK</v>
      </c>
      <c r="G11719" s="20" t="str">
        <f>IFERROR(__xludf.DUMMYFUNCTION("""COMPUTED_VALUE"""),"Uncle Sams Cider (04/04/2023)")</f>
        <v>Uncle Sams Cider (04/04/2023)</v>
      </c>
      <c r="H11719" s="19"/>
    </row>
    <row r="11720">
      <c r="A11720" s="9"/>
      <c r="B11720" s="15"/>
      <c r="C11720" s="9">
        <f>IFERROR(__xludf.DUMMYFUNCTION("""COMPUTED_VALUE"""),45021.2426432639)</f>
        <v>45021.24264</v>
      </c>
      <c r="D11720" s="15">
        <f>IFERROR(__xludf.DUMMYFUNCTION("""COMPUTED_VALUE"""),1.108)</f>
        <v>1.108</v>
      </c>
      <c r="E11720" s="16">
        <f>IFERROR(__xludf.DUMMYFUNCTION("""COMPUTED_VALUE"""),86.0)</f>
        <v>86</v>
      </c>
      <c r="F11720" s="19" t="str">
        <f>IFERROR(__xludf.DUMMYFUNCTION("""COMPUTED_VALUE"""),"BLACK")</f>
        <v>BLACK</v>
      </c>
      <c r="G11720" s="20" t="str">
        <f>IFERROR(__xludf.DUMMYFUNCTION("""COMPUTED_VALUE"""),"Uncle Sams Cider (04/04/2023)")</f>
        <v>Uncle Sams Cider (04/04/2023)</v>
      </c>
      <c r="H11720" s="19"/>
    </row>
    <row r="11721">
      <c r="A11721" s="9"/>
      <c r="B11721" s="15"/>
      <c r="C11721" s="9">
        <f>IFERROR(__xludf.DUMMYFUNCTION("""COMPUTED_VALUE"""),45021.2322222338)</f>
        <v>45021.23222</v>
      </c>
      <c r="D11721" s="15">
        <f>IFERROR(__xludf.DUMMYFUNCTION("""COMPUTED_VALUE"""),1.108)</f>
        <v>1.108</v>
      </c>
      <c r="E11721" s="16">
        <f>IFERROR(__xludf.DUMMYFUNCTION("""COMPUTED_VALUE"""),86.0)</f>
        <v>86</v>
      </c>
      <c r="F11721" s="19" t="str">
        <f>IFERROR(__xludf.DUMMYFUNCTION("""COMPUTED_VALUE"""),"BLACK")</f>
        <v>BLACK</v>
      </c>
      <c r="G11721" s="20" t="str">
        <f>IFERROR(__xludf.DUMMYFUNCTION("""COMPUTED_VALUE"""),"Uncle Sams Cider (04/04/2023)")</f>
        <v>Uncle Sams Cider (04/04/2023)</v>
      </c>
      <c r="H11721" s="19"/>
    </row>
    <row r="11722">
      <c r="A11722" s="9"/>
      <c r="B11722" s="15"/>
      <c r="C11722" s="9">
        <f>IFERROR(__xludf.DUMMYFUNCTION("""COMPUTED_VALUE"""),45021.2218013773)</f>
        <v>45021.2218</v>
      </c>
      <c r="D11722" s="15">
        <f>IFERROR(__xludf.DUMMYFUNCTION("""COMPUTED_VALUE"""),1.109)</f>
        <v>1.109</v>
      </c>
      <c r="E11722" s="16">
        <f>IFERROR(__xludf.DUMMYFUNCTION("""COMPUTED_VALUE"""),86.0)</f>
        <v>86</v>
      </c>
      <c r="F11722" s="19" t="str">
        <f>IFERROR(__xludf.DUMMYFUNCTION("""COMPUTED_VALUE"""),"BLACK")</f>
        <v>BLACK</v>
      </c>
      <c r="G11722" s="20" t="str">
        <f>IFERROR(__xludf.DUMMYFUNCTION("""COMPUTED_VALUE"""),"Uncle Sams Cider (04/04/2023)")</f>
        <v>Uncle Sams Cider (04/04/2023)</v>
      </c>
      <c r="H11722" s="19"/>
    </row>
    <row r="11723">
      <c r="A11723" s="9"/>
      <c r="B11723" s="15"/>
      <c r="C11723" s="9">
        <f>IFERROR(__xludf.DUMMYFUNCTION("""COMPUTED_VALUE"""),45021.2113672337)</f>
        <v>45021.21137</v>
      </c>
      <c r="D11723" s="15">
        <f>IFERROR(__xludf.DUMMYFUNCTION("""COMPUTED_VALUE"""),1.108)</f>
        <v>1.108</v>
      </c>
      <c r="E11723" s="16">
        <f>IFERROR(__xludf.DUMMYFUNCTION("""COMPUTED_VALUE"""),86.0)</f>
        <v>86</v>
      </c>
      <c r="F11723" s="19" t="str">
        <f>IFERROR(__xludf.DUMMYFUNCTION("""COMPUTED_VALUE"""),"BLACK")</f>
        <v>BLACK</v>
      </c>
      <c r="G11723" s="20" t="str">
        <f>IFERROR(__xludf.DUMMYFUNCTION("""COMPUTED_VALUE"""),"Uncle Sams Cider (04/04/2023)")</f>
        <v>Uncle Sams Cider (04/04/2023)</v>
      </c>
      <c r="H11723" s="19"/>
    </row>
    <row r="11724">
      <c r="A11724" s="9"/>
      <c r="B11724" s="15"/>
      <c r="C11724" s="9">
        <f>IFERROR(__xludf.DUMMYFUNCTION("""COMPUTED_VALUE"""),45021.2009448611)</f>
        <v>45021.20094</v>
      </c>
      <c r="D11724" s="15">
        <f>IFERROR(__xludf.DUMMYFUNCTION("""COMPUTED_VALUE"""),1.108)</f>
        <v>1.108</v>
      </c>
      <c r="E11724" s="16">
        <f>IFERROR(__xludf.DUMMYFUNCTION("""COMPUTED_VALUE"""),86.0)</f>
        <v>86</v>
      </c>
      <c r="F11724" s="19" t="str">
        <f>IFERROR(__xludf.DUMMYFUNCTION("""COMPUTED_VALUE"""),"BLACK")</f>
        <v>BLACK</v>
      </c>
      <c r="G11724" s="20" t="str">
        <f>IFERROR(__xludf.DUMMYFUNCTION("""COMPUTED_VALUE"""),"Uncle Sams Cider (04/04/2023)")</f>
        <v>Uncle Sams Cider (04/04/2023)</v>
      </c>
      <c r="H11724" s="19"/>
    </row>
    <row r="11725">
      <c r="A11725" s="9"/>
      <c r="B11725" s="15"/>
      <c r="C11725" s="9">
        <f>IFERROR(__xludf.DUMMYFUNCTION("""COMPUTED_VALUE"""),45021.190523125)</f>
        <v>45021.19052</v>
      </c>
      <c r="D11725" s="15">
        <f>IFERROR(__xludf.DUMMYFUNCTION("""COMPUTED_VALUE"""),1.108)</f>
        <v>1.108</v>
      </c>
      <c r="E11725" s="16">
        <f>IFERROR(__xludf.DUMMYFUNCTION("""COMPUTED_VALUE"""),87.0)</f>
        <v>87</v>
      </c>
      <c r="F11725" s="19" t="str">
        <f>IFERROR(__xludf.DUMMYFUNCTION("""COMPUTED_VALUE"""),"BLACK")</f>
        <v>BLACK</v>
      </c>
      <c r="G11725" s="20" t="str">
        <f>IFERROR(__xludf.DUMMYFUNCTION("""COMPUTED_VALUE"""),"Uncle Sams Cider (04/04/2023)")</f>
        <v>Uncle Sams Cider (04/04/2023)</v>
      </c>
      <c r="H11725" s="19"/>
    </row>
    <row r="11726">
      <c r="A11726" s="9"/>
      <c r="B11726" s="15"/>
      <c r="C11726" s="9">
        <f>IFERROR(__xludf.DUMMYFUNCTION("""COMPUTED_VALUE"""),45021.1800650463)</f>
        <v>45021.18007</v>
      </c>
      <c r="D11726" s="15">
        <f>IFERROR(__xludf.DUMMYFUNCTION("""COMPUTED_VALUE"""),1.109)</f>
        <v>1.109</v>
      </c>
      <c r="E11726" s="16">
        <f>IFERROR(__xludf.DUMMYFUNCTION("""COMPUTED_VALUE"""),87.0)</f>
        <v>87</v>
      </c>
      <c r="F11726" s="19" t="str">
        <f>IFERROR(__xludf.DUMMYFUNCTION("""COMPUTED_VALUE"""),"BLACK")</f>
        <v>BLACK</v>
      </c>
      <c r="G11726" s="20" t="str">
        <f>IFERROR(__xludf.DUMMYFUNCTION("""COMPUTED_VALUE"""),"Uncle Sams Cider (04/04/2023)")</f>
        <v>Uncle Sams Cider (04/04/2023)</v>
      </c>
      <c r="H11726" s="19"/>
    </row>
    <row r="11727">
      <c r="A11727" s="9"/>
      <c r="B11727" s="15"/>
      <c r="C11727" s="9">
        <f>IFERROR(__xludf.DUMMYFUNCTION("""COMPUTED_VALUE"""),45021.1696439236)</f>
        <v>45021.16964</v>
      </c>
      <c r="D11727" s="15">
        <f>IFERROR(__xludf.DUMMYFUNCTION("""COMPUTED_VALUE"""),1.109)</f>
        <v>1.109</v>
      </c>
      <c r="E11727" s="16">
        <f>IFERROR(__xludf.DUMMYFUNCTION("""COMPUTED_VALUE"""),87.0)</f>
        <v>87</v>
      </c>
      <c r="F11727" s="19" t="str">
        <f>IFERROR(__xludf.DUMMYFUNCTION("""COMPUTED_VALUE"""),"BLACK")</f>
        <v>BLACK</v>
      </c>
      <c r="G11727" s="20" t="str">
        <f>IFERROR(__xludf.DUMMYFUNCTION("""COMPUTED_VALUE"""),"Uncle Sams Cider (04/04/2023)")</f>
        <v>Uncle Sams Cider (04/04/2023)</v>
      </c>
      <c r="H11727" s="19"/>
    </row>
    <row r="11728">
      <c r="A11728" s="9"/>
      <c r="B11728" s="15"/>
      <c r="C11728" s="9">
        <f>IFERROR(__xludf.DUMMYFUNCTION("""COMPUTED_VALUE"""),45021.1592218518)</f>
        <v>45021.15922</v>
      </c>
      <c r="D11728" s="15">
        <f>IFERROR(__xludf.DUMMYFUNCTION("""COMPUTED_VALUE"""),1.109)</f>
        <v>1.109</v>
      </c>
      <c r="E11728" s="16">
        <f>IFERROR(__xludf.DUMMYFUNCTION("""COMPUTED_VALUE"""),87.0)</f>
        <v>87</v>
      </c>
      <c r="F11728" s="19" t="str">
        <f>IFERROR(__xludf.DUMMYFUNCTION("""COMPUTED_VALUE"""),"BLACK")</f>
        <v>BLACK</v>
      </c>
      <c r="G11728" s="20" t="str">
        <f>IFERROR(__xludf.DUMMYFUNCTION("""COMPUTED_VALUE"""),"Uncle Sams Cider (04/04/2023)")</f>
        <v>Uncle Sams Cider (04/04/2023)</v>
      </c>
      <c r="H11728" s="19"/>
    </row>
    <row r="11729">
      <c r="A11729" s="9"/>
      <c r="B11729" s="15"/>
      <c r="C11729" s="9">
        <f>IFERROR(__xludf.DUMMYFUNCTION("""COMPUTED_VALUE"""),45021.1488004745)</f>
        <v>45021.1488</v>
      </c>
      <c r="D11729" s="15">
        <f>IFERROR(__xludf.DUMMYFUNCTION("""COMPUTED_VALUE"""),1.109)</f>
        <v>1.109</v>
      </c>
      <c r="E11729" s="16">
        <f>IFERROR(__xludf.DUMMYFUNCTION("""COMPUTED_VALUE"""),87.0)</f>
        <v>87</v>
      </c>
      <c r="F11729" s="19" t="str">
        <f>IFERROR(__xludf.DUMMYFUNCTION("""COMPUTED_VALUE"""),"BLACK")</f>
        <v>BLACK</v>
      </c>
      <c r="G11729" s="20" t="str">
        <f>IFERROR(__xludf.DUMMYFUNCTION("""COMPUTED_VALUE"""),"Uncle Sams Cider (04/04/2023)")</f>
        <v>Uncle Sams Cider (04/04/2023)</v>
      </c>
      <c r="H11729" s="19"/>
    </row>
    <row r="11730">
      <c r="A11730" s="9"/>
      <c r="B11730" s="15"/>
      <c r="C11730" s="9">
        <f>IFERROR(__xludf.DUMMYFUNCTION("""COMPUTED_VALUE"""),45021.1383788888)</f>
        <v>45021.13838</v>
      </c>
      <c r="D11730" s="15">
        <f>IFERROR(__xludf.DUMMYFUNCTION("""COMPUTED_VALUE"""),1.109)</f>
        <v>1.109</v>
      </c>
      <c r="E11730" s="16">
        <f>IFERROR(__xludf.DUMMYFUNCTION("""COMPUTED_VALUE"""),88.0)</f>
        <v>88</v>
      </c>
      <c r="F11730" s="19" t="str">
        <f>IFERROR(__xludf.DUMMYFUNCTION("""COMPUTED_VALUE"""),"BLACK")</f>
        <v>BLACK</v>
      </c>
      <c r="G11730" s="20" t="str">
        <f>IFERROR(__xludf.DUMMYFUNCTION("""COMPUTED_VALUE"""),"Uncle Sams Cider (04/04/2023)")</f>
        <v>Uncle Sams Cider (04/04/2023)</v>
      </c>
      <c r="H11730" s="19"/>
    </row>
    <row r="11731">
      <c r="A11731" s="9"/>
      <c r="B11731" s="15"/>
      <c r="C11731" s="9">
        <f>IFERROR(__xludf.DUMMYFUNCTION("""COMPUTED_VALUE"""),45021.1279449884)</f>
        <v>45021.12794</v>
      </c>
      <c r="D11731" s="15">
        <f>IFERROR(__xludf.DUMMYFUNCTION("""COMPUTED_VALUE"""),1.108)</f>
        <v>1.108</v>
      </c>
      <c r="E11731" s="16">
        <f>IFERROR(__xludf.DUMMYFUNCTION("""COMPUTED_VALUE"""),88.0)</f>
        <v>88</v>
      </c>
      <c r="F11731" s="19" t="str">
        <f>IFERROR(__xludf.DUMMYFUNCTION("""COMPUTED_VALUE"""),"BLACK")</f>
        <v>BLACK</v>
      </c>
      <c r="G11731" s="20" t="str">
        <f>IFERROR(__xludf.DUMMYFUNCTION("""COMPUTED_VALUE"""),"Uncle Sams Cider (04/04/2023)")</f>
        <v>Uncle Sams Cider (04/04/2023)</v>
      </c>
      <c r="H11731" s="19"/>
    </row>
    <row r="11732">
      <c r="A11732" s="9"/>
      <c r="B11732" s="15"/>
      <c r="C11732" s="9">
        <f>IFERROR(__xludf.DUMMYFUNCTION("""COMPUTED_VALUE"""),45021.1175227083)</f>
        <v>45021.11752</v>
      </c>
      <c r="D11732" s="15">
        <f>IFERROR(__xludf.DUMMYFUNCTION("""COMPUTED_VALUE"""),1.109)</f>
        <v>1.109</v>
      </c>
      <c r="E11732" s="16">
        <f>IFERROR(__xludf.DUMMYFUNCTION("""COMPUTED_VALUE"""),88.0)</f>
        <v>88</v>
      </c>
      <c r="F11732" s="19" t="str">
        <f>IFERROR(__xludf.DUMMYFUNCTION("""COMPUTED_VALUE"""),"BLACK")</f>
        <v>BLACK</v>
      </c>
      <c r="G11732" s="20" t="str">
        <f>IFERROR(__xludf.DUMMYFUNCTION("""COMPUTED_VALUE"""),"Uncle Sams Cider (04/04/2023)")</f>
        <v>Uncle Sams Cider (04/04/2023)</v>
      </c>
      <c r="H11732" s="19"/>
    </row>
    <row r="11733">
      <c r="A11733" s="9"/>
      <c r="B11733" s="15"/>
      <c r="C11733" s="9">
        <f>IFERROR(__xludf.DUMMYFUNCTION("""COMPUTED_VALUE"""),45021.1070784259)</f>
        <v>45021.10708</v>
      </c>
      <c r="D11733" s="15">
        <f>IFERROR(__xludf.DUMMYFUNCTION("""COMPUTED_VALUE"""),1.109)</f>
        <v>1.109</v>
      </c>
      <c r="E11733" s="16">
        <f>IFERROR(__xludf.DUMMYFUNCTION("""COMPUTED_VALUE"""),89.0)</f>
        <v>89</v>
      </c>
      <c r="F11733" s="19" t="str">
        <f>IFERROR(__xludf.DUMMYFUNCTION("""COMPUTED_VALUE"""),"BLACK")</f>
        <v>BLACK</v>
      </c>
      <c r="G11733" s="20" t="str">
        <f>IFERROR(__xludf.DUMMYFUNCTION("""COMPUTED_VALUE"""),"Uncle Sams Cider (04/04/2023)")</f>
        <v>Uncle Sams Cider (04/04/2023)</v>
      </c>
      <c r="H11733" s="19"/>
    </row>
    <row r="11734">
      <c r="A11734" s="9"/>
      <c r="B11734" s="15"/>
      <c r="C11734" s="9">
        <f>IFERROR(__xludf.DUMMYFUNCTION("""COMPUTED_VALUE"""),45021.0966576967)</f>
        <v>45021.09666</v>
      </c>
      <c r="D11734" s="15">
        <f>IFERROR(__xludf.DUMMYFUNCTION("""COMPUTED_VALUE"""),1.11)</f>
        <v>1.11</v>
      </c>
      <c r="E11734" s="16">
        <f>IFERROR(__xludf.DUMMYFUNCTION("""COMPUTED_VALUE"""),89.0)</f>
        <v>89</v>
      </c>
      <c r="F11734" s="19" t="str">
        <f>IFERROR(__xludf.DUMMYFUNCTION("""COMPUTED_VALUE"""),"BLACK")</f>
        <v>BLACK</v>
      </c>
      <c r="G11734" s="20" t="str">
        <f>IFERROR(__xludf.DUMMYFUNCTION("""COMPUTED_VALUE"""),"Uncle Sams Cider (04/04/2023)")</f>
        <v>Uncle Sams Cider (04/04/2023)</v>
      </c>
      <c r="H11734" s="19"/>
    </row>
    <row r="11735">
      <c r="A11735" s="9"/>
      <c r="B11735" s="15"/>
      <c r="C11735" s="9">
        <f>IFERROR(__xludf.DUMMYFUNCTION("""COMPUTED_VALUE"""),45021.0862367592)</f>
        <v>45021.08624</v>
      </c>
      <c r="D11735" s="15">
        <f>IFERROR(__xludf.DUMMYFUNCTION("""COMPUTED_VALUE"""),1.111)</f>
        <v>1.111</v>
      </c>
      <c r="E11735" s="16">
        <f>IFERROR(__xludf.DUMMYFUNCTION("""COMPUTED_VALUE"""),89.0)</f>
        <v>89</v>
      </c>
      <c r="F11735" s="19" t="str">
        <f>IFERROR(__xludf.DUMMYFUNCTION("""COMPUTED_VALUE"""),"BLACK")</f>
        <v>BLACK</v>
      </c>
      <c r="G11735" s="20" t="str">
        <f>IFERROR(__xludf.DUMMYFUNCTION("""COMPUTED_VALUE"""),"Uncle Sams Cider (04/04/2023)")</f>
        <v>Uncle Sams Cider (04/04/2023)</v>
      </c>
      <c r="H11735" s="19"/>
    </row>
    <row r="11736">
      <c r="A11736" s="9"/>
      <c r="B11736" s="15"/>
      <c r="C11736" s="9">
        <f>IFERROR(__xludf.DUMMYFUNCTION("""COMPUTED_VALUE"""),45021.0757930902)</f>
        <v>45021.07579</v>
      </c>
      <c r="D11736" s="15">
        <f>IFERROR(__xludf.DUMMYFUNCTION("""COMPUTED_VALUE"""),1.113)</f>
        <v>1.113</v>
      </c>
      <c r="E11736" s="16">
        <f>IFERROR(__xludf.DUMMYFUNCTION("""COMPUTED_VALUE"""),89.0)</f>
        <v>89</v>
      </c>
      <c r="F11736" s="19" t="str">
        <f>IFERROR(__xludf.DUMMYFUNCTION("""COMPUTED_VALUE"""),"BLACK")</f>
        <v>BLACK</v>
      </c>
      <c r="G11736" s="20" t="str">
        <f>IFERROR(__xludf.DUMMYFUNCTION("""COMPUTED_VALUE"""),"Uncle Sams Cider (04/04/2023)")</f>
        <v>Uncle Sams Cider (04/04/2023)</v>
      </c>
      <c r="H11736" s="19"/>
    </row>
    <row r="11737">
      <c r="A11737" s="9"/>
      <c r="B11737" s="15"/>
      <c r="C11737" s="9">
        <f>IFERROR(__xludf.DUMMYFUNCTION("""COMPUTED_VALUE"""),45021.0653609027)</f>
        <v>45021.06536</v>
      </c>
      <c r="D11737" s="15">
        <f>IFERROR(__xludf.DUMMYFUNCTION("""COMPUTED_VALUE"""),1.113)</f>
        <v>1.113</v>
      </c>
      <c r="E11737" s="16">
        <f>IFERROR(__xludf.DUMMYFUNCTION("""COMPUTED_VALUE"""),89.0)</f>
        <v>89</v>
      </c>
      <c r="F11737" s="19" t="str">
        <f>IFERROR(__xludf.DUMMYFUNCTION("""COMPUTED_VALUE"""),"BLACK")</f>
        <v>BLACK</v>
      </c>
      <c r="G11737" s="20" t="str">
        <f>IFERROR(__xludf.DUMMYFUNCTION("""COMPUTED_VALUE"""),"Uncle Sams Cider (04/04/2023)")</f>
        <v>Uncle Sams Cider (04/04/2023)</v>
      </c>
      <c r="H11737" s="19"/>
    </row>
    <row r="11738">
      <c r="A11738" s="9"/>
      <c r="B11738" s="15"/>
      <c r="C11738" s="9">
        <f>IFERROR(__xludf.DUMMYFUNCTION("""COMPUTED_VALUE"""),45021.0549388541)</f>
        <v>45021.05494</v>
      </c>
      <c r="D11738" s="15">
        <f>IFERROR(__xludf.DUMMYFUNCTION("""COMPUTED_VALUE"""),1.113)</f>
        <v>1.113</v>
      </c>
      <c r="E11738" s="16">
        <f>IFERROR(__xludf.DUMMYFUNCTION("""COMPUTED_VALUE"""),89.0)</f>
        <v>89</v>
      </c>
      <c r="F11738" s="19" t="str">
        <f>IFERROR(__xludf.DUMMYFUNCTION("""COMPUTED_VALUE"""),"BLACK")</f>
        <v>BLACK</v>
      </c>
      <c r="G11738" s="20" t="str">
        <f>IFERROR(__xludf.DUMMYFUNCTION("""COMPUTED_VALUE"""),"Uncle Sams Cider (04/04/2023)")</f>
        <v>Uncle Sams Cider (04/04/2023)</v>
      </c>
      <c r="H11738" s="19"/>
    </row>
    <row r="11739">
      <c r="A11739" s="9"/>
      <c r="B11739" s="15"/>
      <c r="C11739" s="9">
        <f>IFERROR(__xludf.DUMMYFUNCTION("""COMPUTED_VALUE"""),45021.0445195833)</f>
        <v>45021.04452</v>
      </c>
      <c r="D11739" s="15">
        <f>IFERROR(__xludf.DUMMYFUNCTION("""COMPUTED_VALUE"""),1.112)</f>
        <v>1.112</v>
      </c>
      <c r="E11739" s="16">
        <f>IFERROR(__xludf.DUMMYFUNCTION("""COMPUTED_VALUE"""),90.0)</f>
        <v>90</v>
      </c>
      <c r="F11739" s="19" t="str">
        <f>IFERROR(__xludf.DUMMYFUNCTION("""COMPUTED_VALUE"""),"BLACK")</f>
        <v>BLACK</v>
      </c>
      <c r="G11739" s="20" t="str">
        <f>IFERROR(__xludf.DUMMYFUNCTION("""COMPUTED_VALUE"""),"Uncle Sams Cider (04/04/2023)")</f>
        <v>Uncle Sams Cider (04/04/2023)</v>
      </c>
      <c r="H11739" s="19"/>
    </row>
    <row r="11740">
      <c r="A11740" s="9"/>
      <c r="B11740" s="15"/>
      <c r="C11740" s="9">
        <f>IFERROR(__xludf.DUMMYFUNCTION("""COMPUTED_VALUE"""),45021.0340983564)</f>
        <v>45021.0341</v>
      </c>
      <c r="D11740" s="15">
        <f>IFERROR(__xludf.DUMMYFUNCTION("""COMPUTED_VALUE"""),1.11)</f>
        <v>1.11</v>
      </c>
      <c r="E11740" s="16">
        <f>IFERROR(__xludf.DUMMYFUNCTION("""COMPUTED_VALUE"""),90.0)</f>
        <v>90</v>
      </c>
      <c r="F11740" s="19" t="str">
        <f>IFERROR(__xludf.DUMMYFUNCTION("""COMPUTED_VALUE"""),"BLACK")</f>
        <v>BLACK</v>
      </c>
      <c r="G11740" s="20" t="str">
        <f>IFERROR(__xludf.DUMMYFUNCTION("""COMPUTED_VALUE"""),"Uncle Sams Cider (04/04/2023)")</f>
        <v>Uncle Sams Cider (04/04/2023)</v>
      </c>
      <c r="H11740" s="19"/>
    </row>
    <row r="11741">
      <c r="A11741" s="9"/>
      <c r="B11741" s="15"/>
      <c r="C11741" s="9">
        <f>IFERROR(__xludf.DUMMYFUNCTION("""COMPUTED_VALUE"""),45021.0236656597)</f>
        <v>45021.02367</v>
      </c>
      <c r="D11741" s="15">
        <f>IFERROR(__xludf.DUMMYFUNCTION("""COMPUTED_VALUE"""),1.111)</f>
        <v>1.111</v>
      </c>
      <c r="E11741" s="16">
        <f>IFERROR(__xludf.DUMMYFUNCTION("""COMPUTED_VALUE"""),90.0)</f>
        <v>90</v>
      </c>
      <c r="F11741" s="19" t="str">
        <f>IFERROR(__xludf.DUMMYFUNCTION("""COMPUTED_VALUE"""),"BLACK")</f>
        <v>BLACK</v>
      </c>
      <c r="G11741" s="20" t="str">
        <f>IFERROR(__xludf.DUMMYFUNCTION("""COMPUTED_VALUE"""),"Uncle Sams Cider (04/04/2023)")</f>
        <v>Uncle Sams Cider (04/04/2023)</v>
      </c>
      <c r="H11741" s="19"/>
    </row>
    <row r="11742">
      <c r="A11742" s="9"/>
      <c r="B11742" s="15"/>
      <c r="C11742" s="9">
        <f>IFERROR(__xludf.DUMMYFUNCTION("""COMPUTED_VALUE"""),45021.0132437152)</f>
        <v>45021.01324</v>
      </c>
      <c r="D11742" s="15">
        <f>IFERROR(__xludf.DUMMYFUNCTION("""COMPUTED_VALUE"""),1.111)</f>
        <v>1.111</v>
      </c>
      <c r="E11742" s="16">
        <f>IFERROR(__xludf.DUMMYFUNCTION("""COMPUTED_VALUE"""),91.0)</f>
        <v>91</v>
      </c>
      <c r="F11742" s="19" t="str">
        <f>IFERROR(__xludf.DUMMYFUNCTION("""COMPUTED_VALUE"""),"BLACK")</f>
        <v>BLACK</v>
      </c>
      <c r="G11742" s="20" t="str">
        <f>IFERROR(__xludf.DUMMYFUNCTION("""COMPUTED_VALUE"""),"Uncle Sams Cider (04/04/2023)")</f>
        <v>Uncle Sams Cider (04/04/2023)</v>
      </c>
      <c r="H11742" s="19"/>
    </row>
    <row r="11743">
      <c r="A11743" s="9"/>
      <c r="B11743" s="15"/>
      <c r="C11743" s="9">
        <f>IFERROR(__xludf.DUMMYFUNCTION("""COMPUTED_VALUE"""),45021.0028216898)</f>
        <v>45021.00282</v>
      </c>
      <c r="D11743" s="15">
        <f>IFERROR(__xludf.DUMMYFUNCTION("""COMPUTED_VALUE"""),1.111)</f>
        <v>1.111</v>
      </c>
      <c r="E11743" s="16">
        <f>IFERROR(__xludf.DUMMYFUNCTION("""COMPUTED_VALUE"""),91.0)</f>
        <v>91</v>
      </c>
      <c r="F11743" s="19" t="str">
        <f>IFERROR(__xludf.DUMMYFUNCTION("""COMPUTED_VALUE"""),"BLACK")</f>
        <v>BLACK</v>
      </c>
      <c r="G11743" s="20" t="str">
        <f>IFERROR(__xludf.DUMMYFUNCTION("""COMPUTED_VALUE"""),"Uncle Sams Cider (04/04/2023)")</f>
        <v>Uncle Sams Cider (04/04/2023)</v>
      </c>
      <c r="H11743" s="19"/>
    </row>
    <row r="11744">
      <c r="A11744" s="9"/>
      <c r="B11744" s="15"/>
      <c r="C11744" s="9">
        <f>IFERROR(__xludf.DUMMYFUNCTION("""COMPUTED_VALUE"""),45020.9924007986)</f>
        <v>45020.9924</v>
      </c>
      <c r="D11744" s="15">
        <f>IFERROR(__xludf.DUMMYFUNCTION("""COMPUTED_VALUE"""),1.112)</f>
        <v>1.112</v>
      </c>
      <c r="E11744" s="16">
        <f>IFERROR(__xludf.DUMMYFUNCTION("""COMPUTED_VALUE"""),91.0)</f>
        <v>91</v>
      </c>
      <c r="F11744" s="19" t="str">
        <f>IFERROR(__xludf.DUMMYFUNCTION("""COMPUTED_VALUE"""),"BLACK")</f>
        <v>BLACK</v>
      </c>
      <c r="G11744" s="20" t="str">
        <f>IFERROR(__xludf.DUMMYFUNCTION("""COMPUTED_VALUE"""),"Uncle Sams Cider (04/04/2023)")</f>
        <v>Uncle Sams Cider (04/04/2023)</v>
      </c>
      <c r="H11744" s="19"/>
    </row>
    <row r="11745">
      <c r="A11745" s="9"/>
      <c r="B11745" s="15"/>
      <c r="C11745" s="9">
        <f>IFERROR(__xludf.DUMMYFUNCTION("""COMPUTED_VALUE"""),45020.9819805092)</f>
        <v>45020.98198</v>
      </c>
      <c r="D11745" s="15">
        <f>IFERROR(__xludf.DUMMYFUNCTION("""COMPUTED_VALUE"""),1.112)</f>
        <v>1.112</v>
      </c>
      <c r="E11745" s="16">
        <f>IFERROR(__xludf.DUMMYFUNCTION("""COMPUTED_VALUE"""),91.0)</f>
        <v>91</v>
      </c>
      <c r="F11745" s="19" t="str">
        <f>IFERROR(__xludf.DUMMYFUNCTION("""COMPUTED_VALUE"""),"BLACK")</f>
        <v>BLACK</v>
      </c>
      <c r="G11745" s="20" t="str">
        <f>IFERROR(__xludf.DUMMYFUNCTION("""COMPUTED_VALUE"""),"Uncle Sams Cider (04/04/2023)")</f>
        <v>Uncle Sams Cider (04/04/2023)</v>
      </c>
      <c r="H11745" s="19"/>
    </row>
    <row r="11746">
      <c r="A11746" s="9"/>
      <c r="B11746" s="15"/>
      <c r="C11746" s="9">
        <f>IFERROR(__xludf.DUMMYFUNCTION("""COMPUTED_VALUE"""),45020.9715574768)</f>
        <v>45020.97156</v>
      </c>
      <c r="D11746" s="15">
        <f>IFERROR(__xludf.DUMMYFUNCTION("""COMPUTED_VALUE"""),1.113)</f>
        <v>1.113</v>
      </c>
      <c r="E11746" s="16">
        <f>IFERROR(__xludf.DUMMYFUNCTION("""COMPUTED_VALUE"""),92.0)</f>
        <v>92</v>
      </c>
      <c r="F11746" s="19" t="str">
        <f>IFERROR(__xludf.DUMMYFUNCTION("""COMPUTED_VALUE"""),"BLACK")</f>
        <v>BLACK</v>
      </c>
      <c r="G11746" s="20" t="str">
        <f>IFERROR(__xludf.DUMMYFUNCTION("""COMPUTED_VALUE"""),"Uncle Sams Cider (04/04/2023)")</f>
        <v>Uncle Sams Cider (04/04/2023)</v>
      </c>
      <c r="H11746" s="19"/>
    </row>
    <row r="11747">
      <c r="A11747" s="9"/>
      <c r="B11747" s="15"/>
      <c r="C11747" s="9">
        <f>IFERROR(__xludf.DUMMYFUNCTION("""COMPUTED_VALUE"""),45020.9611372569)</f>
        <v>45020.96114</v>
      </c>
      <c r="D11747" s="15">
        <f>IFERROR(__xludf.DUMMYFUNCTION("""COMPUTED_VALUE"""),1.114)</f>
        <v>1.114</v>
      </c>
      <c r="E11747" s="16">
        <f>IFERROR(__xludf.DUMMYFUNCTION("""COMPUTED_VALUE"""),92.0)</f>
        <v>92</v>
      </c>
      <c r="F11747" s="19" t="str">
        <f>IFERROR(__xludf.DUMMYFUNCTION("""COMPUTED_VALUE"""),"BLACK")</f>
        <v>BLACK</v>
      </c>
      <c r="G11747" s="20" t="str">
        <f>IFERROR(__xludf.DUMMYFUNCTION("""COMPUTED_VALUE"""),"Uncle Sams Cider (04/04/2023)")</f>
        <v>Uncle Sams Cider (04/04/2023)</v>
      </c>
      <c r="H11747" s="19"/>
    </row>
    <row r="11748">
      <c r="A11748" s="9"/>
      <c r="B11748" s="15"/>
      <c r="C11748" s="9">
        <f>IFERROR(__xludf.DUMMYFUNCTION("""COMPUTED_VALUE"""),45020.9507143287)</f>
        <v>45020.95071</v>
      </c>
      <c r="D11748" s="15">
        <f>IFERROR(__xludf.DUMMYFUNCTION("""COMPUTED_VALUE"""),1.115)</f>
        <v>1.115</v>
      </c>
      <c r="E11748" s="16">
        <f>IFERROR(__xludf.DUMMYFUNCTION("""COMPUTED_VALUE"""),92.0)</f>
        <v>92</v>
      </c>
      <c r="F11748" s="19" t="str">
        <f>IFERROR(__xludf.DUMMYFUNCTION("""COMPUTED_VALUE"""),"BLACK")</f>
        <v>BLACK</v>
      </c>
      <c r="G11748" s="20" t="str">
        <f>IFERROR(__xludf.DUMMYFUNCTION("""COMPUTED_VALUE"""),"Uncle Sams Cider (04/04/2023)")</f>
        <v>Uncle Sams Cider (04/04/2023)</v>
      </c>
      <c r="H11748" s="19"/>
    </row>
    <row r="11749">
      <c r="A11749" s="9"/>
      <c r="B11749" s="15"/>
      <c r="C11749" s="9">
        <f>IFERROR(__xludf.DUMMYFUNCTION("""COMPUTED_VALUE"""),45020.9402926273)</f>
        <v>45020.94029</v>
      </c>
      <c r="D11749" s="15">
        <f>IFERROR(__xludf.DUMMYFUNCTION("""COMPUTED_VALUE"""),1.117)</f>
        <v>1.117</v>
      </c>
      <c r="E11749" s="16">
        <f>IFERROR(__xludf.DUMMYFUNCTION("""COMPUTED_VALUE"""),92.0)</f>
        <v>92</v>
      </c>
      <c r="F11749" s="19" t="str">
        <f>IFERROR(__xludf.DUMMYFUNCTION("""COMPUTED_VALUE"""),"BLACK")</f>
        <v>BLACK</v>
      </c>
      <c r="G11749" s="20" t="str">
        <f>IFERROR(__xludf.DUMMYFUNCTION("""COMPUTED_VALUE"""),"Uncle Sams Cider (04/04/2023)")</f>
        <v>Uncle Sams Cider (04/04/2023)</v>
      </c>
      <c r="H11749" s="19"/>
    </row>
    <row r="11750">
      <c r="A11750" s="9"/>
      <c r="B11750" s="15"/>
      <c r="C11750" s="9">
        <f>IFERROR(__xludf.DUMMYFUNCTION("""COMPUTED_VALUE"""),45020.9298724652)</f>
        <v>45020.92987</v>
      </c>
      <c r="D11750" s="15">
        <f>IFERROR(__xludf.DUMMYFUNCTION("""COMPUTED_VALUE"""),1.12)</f>
        <v>1.12</v>
      </c>
      <c r="E11750" s="16">
        <f>IFERROR(__xludf.DUMMYFUNCTION("""COMPUTED_VALUE"""),92.0)</f>
        <v>92</v>
      </c>
      <c r="F11750" s="19" t="str">
        <f>IFERROR(__xludf.DUMMYFUNCTION("""COMPUTED_VALUE"""),"BLACK")</f>
        <v>BLACK</v>
      </c>
      <c r="G11750" s="20" t="str">
        <f>IFERROR(__xludf.DUMMYFUNCTION("""COMPUTED_VALUE"""),"Uncle Sams Cider (04/04/2023)")</f>
        <v>Uncle Sams Cider (04/04/2023)</v>
      </c>
      <c r="H11750" s="19"/>
    </row>
    <row r="11751">
      <c r="A11751" s="9"/>
      <c r="B11751" s="15"/>
      <c r="C11751" s="9">
        <f>IFERROR(__xludf.DUMMYFUNCTION("""COMPUTED_VALUE"""),45020.9193812731)</f>
        <v>45020.91938</v>
      </c>
      <c r="D11751" s="15">
        <f>IFERROR(__xludf.DUMMYFUNCTION("""COMPUTED_VALUE"""),1.12)</f>
        <v>1.12</v>
      </c>
      <c r="E11751" s="16">
        <f>IFERROR(__xludf.DUMMYFUNCTION("""COMPUTED_VALUE"""),92.0)</f>
        <v>92</v>
      </c>
      <c r="F11751" s="19" t="str">
        <f>IFERROR(__xludf.DUMMYFUNCTION("""COMPUTED_VALUE"""),"BLACK")</f>
        <v>BLACK</v>
      </c>
      <c r="G11751" s="20" t="str">
        <f>IFERROR(__xludf.DUMMYFUNCTION("""COMPUTED_VALUE"""),"Uncle Sams Cider (04/04/2023)")</f>
        <v>Uncle Sams Cider (04/04/2023)</v>
      </c>
      <c r="H11751" s="19"/>
    </row>
    <row r="11752">
      <c r="A11752" s="9"/>
      <c r="B11752" s="15"/>
      <c r="C11752" s="9"/>
      <c r="D11752" s="15"/>
      <c r="E11752" s="16"/>
      <c r="F11752" s="19"/>
      <c r="G11752" s="20"/>
      <c r="H11752" s="19"/>
    </row>
    <row r="11753">
      <c r="A11753" s="9"/>
      <c r="B11753" s="15"/>
      <c r="C11753" s="9"/>
      <c r="D11753" s="15"/>
      <c r="E11753" s="16"/>
      <c r="F11753" s="19"/>
      <c r="G11753" s="20"/>
      <c r="H11753" s="19"/>
    </row>
    <row r="11754">
      <c r="A11754" s="9"/>
      <c r="B11754" s="15"/>
      <c r="C11754" s="9"/>
      <c r="D11754" s="15"/>
      <c r="E11754" s="16"/>
      <c r="F11754" s="19"/>
      <c r="G11754" s="20"/>
      <c r="H11754" s="19"/>
    </row>
    <row r="11755">
      <c r="A11755" s="9"/>
      <c r="B11755" s="15"/>
      <c r="C11755" s="9"/>
      <c r="D11755" s="15"/>
      <c r="E11755" s="16"/>
      <c r="F11755" s="19"/>
      <c r="G11755" s="20"/>
      <c r="H11755" s="19"/>
    </row>
    <row r="11756">
      <c r="A11756" s="9"/>
      <c r="B11756" s="15"/>
      <c r="C11756" s="9"/>
      <c r="D11756" s="15"/>
      <c r="E11756" s="16"/>
      <c r="F11756" s="19"/>
      <c r="G11756" s="20"/>
      <c r="H11756" s="19"/>
    </row>
    <row r="11757">
      <c r="A11757" s="9"/>
      <c r="B11757" s="15"/>
      <c r="C11757" s="9"/>
      <c r="D11757" s="15"/>
      <c r="E11757" s="16"/>
      <c r="F11757" s="19"/>
      <c r="G11757" s="20"/>
      <c r="H11757" s="19"/>
    </row>
    <row r="11758">
      <c r="A11758" s="9"/>
      <c r="B11758" s="15"/>
      <c r="C11758" s="9"/>
      <c r="D11758" s="15"/>
      <c r="E11758" s="16"/>
      <c r="F11758" s="19"/>
      <c r="G11758" s="20"/>
      <c r="H11758" s="19"/>
    </row>
    <row r="11759">
      <c r="A11759" s="9"/>
      <c r="B11759" s="15"/>
      <c r="C11759" s="9"/>
      <c r="D11759" s="15"/>
      <c r="E11759" s="16"/>
      <c r="F11759" s="19"/>
      <c r="G11759" s="20"/>
      <c r="H11759" s="19"/>
    </row>
    <row r="11760">
      <c r="A11760" s="9"/>
      <c r="B11760" s="15"/>
      <c r="C11760" s="9"/>
      <c r="D11760" s="15"/>
      <c r="E11760" s="16"/>
      <c r="F11760" s="19"/>
      <c r="G11760" s="20"/>
      <c r="H11760" s="19"/>
    </row>
    <row r="11761">
      <c r="A11761" s="9"/>
      <c r="B11761" s="15"/>
      <c r="C11761" s="9"/>
      <c r="D11761" s="15"/>
      <c r="E11761" s="16"/>
      <c r="F11761" s="19"/>
      <c r="G11761" s="20"/>
      <c r="H11761" s="19"/>
    </row>
    <row r="11762">
      <c r="A11762" s="9"/>
      <c r="B11762" s="15"/>
      <c r="C11762" s="9"/>
      <c r="D11762" s="15"/>
      <c r="E11762" s="16"/>
      <c r="F11762" s="19"/>
      <c r="G11762" s="20"/>
      <c r="H11762" s="19"/>
    </row>
    <row r="11763">
      <c r="A11763" s="9"/>
      <c r="B11763" s="15"/>
      <c r="C11763" s="9"/>
      <c r="D11763" s="15"/>
      <c r="E11763" s="16"/>
      <c r="F11763" s="19"/>
      <c r="G11763" s="20"/>
      <c r="H11763" s="19"/>
    </row>
    <row r="11764">
      <c r="A11764" s="9"/>
      <c r="B11764" s="15"/>
      <c r="C11764" s="9"/>
      <c r="D11764" s="15"/>
      <c r="E11764" s="16"/>
      <c r="F11764" s="19"/>
      <c r="G11764" s="20"/>
      <c r="H11764" s="19"/>
    </row>
    <row r="11765">
      <c r="A11765" s="9"/>
      <c r="B11765" s="15"/>
      <c r="C11765" s="9"/>
      <c r="D11765" s="15"/>
      <c r="E11765" s="16"/>
      <c r="F11765" s="19"/>
      <c r="G11765" s="20"/>
      <c r="H11765" s="19"/>
    </row>
    <row r="11766">
      <c r="A11766" s="9"/>
      <c r="B11766" s="15"/>
      <c r="C11766" s="9"/>
      <c r="D11766" s="15"/>
      <c r="E11766" s="16"/>
      <c r="F11766" s="19"/>
      <c r="G11766" s="20"/>
      <c r="H11766" s="19"/>
    </row>
    <row r="11767">
      <c r="A11767" s="9"/>
      <c r="B11767" s="15"/>
      <c r="C11767" s="9"/>
      <c r="D11767" s="15"/>
      <c r="E11767" s="16"/>
      <c r="F11767" s="19"/>
      <c r="G11767" s="20"/>
      <c r="H11767" s="19"/>
    </row>
    <row r="11768">
      <c r="A11768" s="9"/>
      <c r="B11768" s="15"/>
      <c r="C11768" s="9"/>
      <c r="D11768" s="15"/>
      <c r="E11768" s="16"/>
      <c r="F11768" s="19"/>
      <c r="G11768" s="20"/>
      <c r="H11768" s="19"/>
    </row>
    <row r="11769">
      <c r="A11769" s="9"/>
      <c r="B11769" s="15"/>
      <c r="C11769" s="9"/>
      <c r="D11769" s="15"/>
      <c r="E11769" s="16"/>
      <c r="F11769" s="19"/>
      <c r="G11769" s="20"/>
      <c r="H11769" s="19"/>
    </row>
    <row r="11770">
      <c r="A11770" s="9"/>
      <c r="B11770" s="15"/>
      <c r="C11770" s="9"/>
      <c r="D11770" s="15"/>
      <c r="E11770" s="16"/>
      <c r="F11770" s="19"/>
      <c r="G11770" s="20"/>
      <c r="H11770" s="19"/>
    </row>
    <row r="11771">
      <c r="A11771" s="9"/>
      <c r="B11771" s="15"/>
      <c r="C11771" s="9"/>
      <c r="D11771" s="15"/>
      <c r="E11771" s="16"/>
      <c r="F11771" s="19"/>
      <c r="G11771" s="20"/>
      <c r="H11771" s="19"/>
    </row>
    <row r="11772">
      <c r="A11772" s="9"/>
      <c r="B11772" s="15"/>
      <c r="C11772" s="9"/>
      <c r="D11772" s="15"/>
      <c r="E11772" s="16"/>
      <c r="F11772" s="19"/>
      <c r="G11772" s="20"/>
      <c r="H11772" s="19"/>
    </row>
    <row r="11773">
      <c r="A11773" s="9"/>
      <c r="B11773" s="15"/>
      <c r="C11773" s="9"/>
      <c r="D11773" s="15"/>
      <c r="E11773" s="16"/>
      <c r="F11773" s="19"/>
      <c r="G11773" s="20"/>
      <c r="H11773" s="19"/>
    </row>
    <row r="11774">
      <c r="A11774" s="9"/>
      <c r="B11774" s="15"/>
      <c r="C11774" s="9"/>
      <c r="D11774" s="15"/>
      <c r="E11774" s="16"/>
      <c r="F11774" s="19"/>
      <c r="G11774" s="20"/>
      <c r="H11774" s="19"/>
    </row>
    <row r="11775">
      <c r="A11775" s="9"/>
      <c r="B11775" s="15"/>
      <c r="C11775" s="9"/>
      <c r="D11775" s="15"/>
      <c r="E11775" s="16"/>
      <c r="F11775" s="19"/>
      <c r="G11775" s="20"/>
      <c r="H11775" s="19"/>
    </row>
    <row r="11776">
      <c r="A11776" s="9"/>
      <c r="B11776" s="15"/>
      <c r="C11776" s="9"/>
      <c r="D11776" s="15"/>
      <c r="E11776" s="16"/>
      <c r="F11776" s="19"/>
      <c r="G11776" s="20"/>
      <c r="H11776" s="19"/>
    </row>
    <row r="11777">
      <c r="A11777" s="9"/>
      <c r="B11777" s="15"/>
      <c r="C11777" s="9"/>
      <c r="D11777" s="15"/>
      <c r="E11777" s="16"/>
      <c r="F11777" s="19"/>
      <c r="G11777" s="20"/>
      <c r="H11777" s="19"/>
    </row>
    <row r="11778">
      <c r="A11778" s="9"/>
      <c r="B11778" s="15"/>
      <c r="C11778" s="9"/>
      <c r="D11778" s="15"/>
      <c r="E11778" s="16"/>
      <c r="F11778" s="19"/>
      <c r="G11778" s="20"/>
      <c r="H11778" s="19"/>
    </row>
    <row r="11779">
      <c r="A11779" s="9"/>
      <c r="B11779" s="15"/>
      <c r="C11779" s="9"/>
      <c r="D11779" s="15"/>
      <c r="E11779" s="16"/>
      <c r="F11779" s="19"/>
      <c r="G11779" s="20"/>
      <c r="H11779" s="19"/>
    </row>
    <row r="11780">
      <c r="A11780" s="9"/>
      <c r="B11780" s="15"/>
      <c r="C11780" s="9"/>
      <c r="D11780" s="15"/>
      <c r="E11780" s="16"/>
      <c r="F11780" s="19"/>
      <c r="G11780" s="20"/>
      <c r="H11780" s="19"/>
    </row>
    <row r="11781">
      <c r="A11781" s="9"/>
      <c r="B11781" s="15"/>
      <c r="C11781" s="9"/>
      <c r="D11781" s="15"/>
      <c r="E11781" s="16"/>
      <c r="F11781" s="19"/>
      <c r="G11781" s="20"/>
      <c r="H11781" s="19"/>
    </row>
    <row r="11782">
      <c r="A11782" s="9"/>
      <c r="B11782" s="15"/>
      <c r="C11782" s="9"/>
      <c r="D11782" s="15"/>
      <c r="E11782" s="16"/>
      <c r="F11782" s="19"/>
      <c r="G11782" s="20"/>
      <c r="H11782" s="19"/>
    </row>
    <row r="11783">
      <c r="A11783" s="9"/>
      <c r="B11783" s="15"/>
      <c r="C11783" s="9"/>
      <c r="D11783" s="15"/>
      <c r="E11783" s="16"/>
      <c r="F11783" s="19"/>
      <c r="G11783" s="20"/>
      <c r="H11783" s="19"/>
    </row>
    <row r="11784">
      <c r="A11784" s="9"/>
      <c r="B11784" s="15"/>
      <c r="C11784" s="9"/>
      <c r="D11784" s="15"/>
      <c r="E11784" s="16"/>
      <c r="F11784" s="19"/>
      <c r="G11784" s="20"/>
      <c r="H11784" s="19"/>
    </row>
    <row r="11785">
      <c r="A11785" s="9"/>
      <c r="B11785" s="15"/>
      <c r="C11785" s="9"/>
      <c r="D11785" s="15"/>
      <c r="E11785" s="16"/>
      <c r="F11785" s="19"/>
      <c r="G11785" s="20"/>
      <c r="H11785" s="19"/>
    </row>
    <row r="11786">
      <c r="A11786" s="9"/>
      <c r="B11786" s="15"/>
      <c r="C11786" s="9"/>
      <c r="D11786" s="15"/>
      <c r="E11786" s="16"/>
      <c r="F11786" s="19"/>
      <c r="G11786" s="20"/>
      <c r="H11786" s="19"/>
    </row>
    <row r="11787">
      <c r="A11787" s="9"/>
      <c r="B11787" s="15"/>
      <c r="C11787" s="9"/>
      <c r="D11787" s="15"/>
      <c r="E11787" s="16"/>
      <c r="F11787" s="19"/>
      <c r="G11787" s="20"/>
      <c r="H11787" s="19"/>
    </row>
    <row r="11788">
      <c r="A11788" s="9"/>
      <c r="B11788" s="15"/>
      <c r="C11788" s="9"/>
      <c r="D11788" s="15"/>
      <c r="E11788" s="16"/>
      <c r="F11788" s="19"/>
      <c r="G11788" s="20"/>
      <c r="H11788" s="19"/>
    </row>
    <row r="11789">
      <c r="A11789" s="9"/>
      <c r="B11789" s="15"/>
      <c r="C11789" s="9"/>
      <c r="D11789" s="15"/>
      <c r="E11789" s="16"/>
      <c r="F11789" s="19"/>
      <c r="G11789" s="20"/>
      <c r="H11789" s="19"/>
    </row>
    <row r="11790">
      <c r="A11790" s="9"/>
      <c r="B11790" s="15"/>
      <c r="C11790" s="9"/>
      <c r="D11790" s="15"/>
      <c r="E11790" s="16"/>
      <c r="F11790" s="19"/>
      <c r="G11790" s="20"/>
      <c r="H11790" s="19"/>
    </row>
    <row r="11791">
      <c r="A11791" s="9"/>
      <c r="B11791" s="15"/>
      <c r="C11791" s="9"/>
      <c r="D11791" s="15"/>
      <c r="E11791" s="16"/>
      <c r="F11791" s="19"/>
      <c r="G11791" s="20"/>
      <c r="H11791" s="19"/>
    </row>
    <row r="11792">
      <c r="A11792" s="9"/>
      <c r="B11792" s="15"/>
      <c r="C11792" s="9"/>
      <c r="D11792" s="15"/>
      <c r="E11792" s="16"/>
      <c r="F11792" s="19"/>
      <c r="G11792" s="20"/>
      <c r="H11792" s="19"/>
    </row>
    <row r="11793">
      <c r="A11793" s="9"/>
      <c r="B11793" s="15"/>
      <c r="C11793" s="9"/>
      <c r="D11793" s="15"/>
      <c r="E11793" s="16"/>
      <c r="F11793" s="19"/>
      <c r="G11793" s="20"/>
      <c r="H11793" s="19"/>
    </row>
    <row r="11794">
      <c r="A11794" s="9"/>
      <c r="B11794" s="15"/>
      <c r="C11794" s="9"/>
      <c r="D11794" s="15"/>
      <c r="E11794" s="16"/>
      <c r="F11794" s="19"/>
      <c r="G11794" s="20"/>
      <c r="H11794" s="19"/>
    </row>
    <row r="11795">
      <c r="A11795" s="9"/>
      <c r="B11795" s="15"/>
      <c r="C11795" s="9"/>
      <c r="D11795" s="15"/>
      <c r="E11795" s="16"/>
      <c r="F11795" s="19"/>
      <c r="G11795" s="20"/>
      <c r="H11795" s="19"/>
    </row>
    <row r="11796">
      <c r="A11796" s="9"/>
      <c r="B11796" s="15"/>
      <c r="C11796" s="9"/>
      <c r="D11796" s="15"/>
      <c r="E11796" s="16"/>
      <c r="F11796" s="19"/>
      <c r="G11796" s="20"/>
      <c r="H11796" s="19"/>
    </row>
    <row r="11797">
      <c r="A11797" s="9"/>
      <c r="B11797" s="15"/>
      <c r="C11797" s="9"/>
      <c r="D11797" s="15"/>
      <c r="E11797" s="16"/>
      <c r="F11797" s="19"/>
      <c r="G11797" s="20"/>
      <c r="H11797" s="19"/>
    </row>
    <row r="11798">
      <c r="A11798" s="9"/>
      <c r="B11798" s="15"/>
      <c r="C11798" s="9"/>
      <c r="D11798" s="15"/>
      <c r="E11798" s="16"/>
      <c r="F11798" s="19"/>
      <c r="G11798" s="20"/>
      <c r="H11798" s="19"/>
    </row>
    <row r="11799">
      <c r="A11799" s="9"/>
      <c r="B11799" s="15"/>
      <c r="C11799" s="9"/>
      <c r="D11799" s="15"/>
      <c r="E11799" s="16"/>
      <c r="F11799" s="19"/>
      <c r="G11799" s="20"/>
      <c r="H11799" s="19"/>
    </row>
    <row r="11800">
      <c r="A11800" s="9"/>
      <c r="B11800" s="15"/>
      <c r="C11800" s="9"/>
      <c r="D11800" s="15"/>
      <c r="E11800" s="16"/>
      <c r="F11800" s="19"/>
      <c r="G11800" s="20"/>
      <c r="H11800" s="19"/>
    </row>
    <row r="11801">
      <c r="A11801" s="9"/>
      <c r="B11801" s="15"/>
      <c r="C11801" s="9"/>
      <c r="D11801" s="15"/>
      <c r="E11801" s="16"/>
      <c r="F11801" s="19"/>
      <c r="G11801" s="20"/>
      <c r="H11801" s="19"/>
    </row>
    <row r="11802">
      <c r="A11802" s="9"/>
      <c r="B11802" s="15"/>
      <c r="C11802" s="9"/>
      <c r="D11802" s="15"/>
      <c r="E11802" s="16"/>
      <c r="F11802" s="19"/>
      <c r="G11802" s="20"/>
      <c r="H11802" s="19"/>
    </row>
    <row r="11803">
      <c r="A11803" s="9"/>
      <c r="B11803" s="15"/>
      <c r="C11803" s="9"/>
      <c r="D11803" s="15"/>
      <c r="E11803" s="16"/>
      <c r="F11803" s="19"/>
      <c r="G11803" s="20"/>
      <c r="H11803" s="19"/>
    </row>
    <row r="11804">
      <c r="A11804" s="9"/>
      <c r="B11804" s="15"/>
      <c r="C11804" s="9"/>
      <c r="D11804" s="15"/>
      <c r="E11804" s="16"/>
      <c r="F11804" s="19"/>
      <c r="G11804" s="20"/>
      <c r="H11804" s="19"/>
    </row>
    <row r="11805">
      <c r="A11805" s="9"/>
      <c r="B11805" s="15"/>
      <c r="C11805" s="9"/>
      <c r="D11805" s="15"/>
      <c r="E11805" s="16"/>
      <c r="F11805" s="19"/>
      <c r="G11805" s="20"/>
      <c r="H11805" s="19"/>
    </row>
    <row r="11806">
      <c r="A11806" s="9"/>
      <c r="B11806" s="15"/>
      <c r="C11806" s="9"/>
      <c r="D11806" s="15"/>
      <c r="E11806" s="16"/>
      <c r="F11806" s="19"/>
      <c r="G11806" s="20"/>
      <c r="H11806" s="19"/>
    </row>
    <row r="11807">
      <c r="A11807" s="9"/>
      <c r="B11807" s="15"/>
      <c r="C11807" s="9"/>
      <c r="D11807" s="15"/>
      <c r="E11807" s="16"/>
      <c r="F11807" s="19"/>
      <c r="G11807" s="20"/>
      <c r="H11807" s="19"/>
    </row>
    <row r="11808">
      <c r="A11808" s="9"/>
      <c r="B11808" s="15"/>
      <c r="C11808" s="9"/>
      <c r="D11808" s="15"/>
      <c r="E11808" s="16"/>
      <c r="F11808" s="19"/>
      <c r="G11808" s="20"/>
      <c r="H11808" s="19"/>
    </row>
    <row r="11809">
      <c r="A11809" s="9"/>
      <c r="B11809" s="15"/>
      <c r="C11809" s="9"/>
      <c r="D11809" s="15"/>
      <c r="E11809" s="16"/>
      <c r="F11809" s="19"/>
      <c r="G11809" s="20"/>
      <c r="H11809" s="19"/>
    </row>
    <row r="11810">
      <c r="A11810" s="9"/>
      <c r="B11810" s="15"/>
      <c r="C11810" s="9"/>
      <c r="D11810" s="15"/>
      <c r="E11810" s="16"/>
      <c r="F11810" s="19"/>
      <c r="G11810" s="20"/>
      <c r="H11810" s="19"/>
    </row>
    <row r="11811">
      <c r="A11811" s="9"/>
      <c r="B11811" s="15"/>
      <c r="C11811" s="9"/>
      <c r="D11811" s="15"/>
      <c r="E11811" s="16"/>
      <c r="F11811" s="19"/>
      <c r="G11811" s="20"/>
      <c r="H11811" s="19"/>
    </row>
    <row r="11812">
      <c r="A11812" s="9"/>
      <c r="B11812" s="15"/>
      <c r="C11812" s="9"/>
      <c r="D11812" s="15"/>
      <c r="E11812" s="16"/>
      <c r="F11812" s="19"/>
      <c r="G11812" s="20"/>
      <c r="H11812" s="19"/>
    </row>
    <row r="11813">
      <c r="A11813" s="9"/>
      <c r="B11813" s="15"/>
      <c r="C11813" s="9"/>
      <c r="D11813" s="15"/>
      <c r="E11813" s="16"/>
      <c r="F11813" s="19"/>
      <c r="G11813" s="20"/>
      <c r="H11813" s="19"/>
    </row>
    <row r="11814">
      <c r="A11814" s="9"/>
      <c r="B11814" s="15"/>
      <c r="C11814" s="9"/>
      <c r="D11814" s="15"/>
      <c r="E11814" s="16"/>
      <c r="F11814" s="19"/>
      <c r="G11814" s="20"/>
      <c r="H11814" s="19"/>
    </row>
    <row r="11815">
      <c r="A11815" s="9"/>
      <c r="B11815" s="15"/>
      <c r="C11815" s="9"/>
      <c r="D11815" s="15"/>
      <c r="E11815" s="16"/>
      <c r="F11815" s="19"/>
      <c r="G11815" s="20"/>
      <c r="H11815" s="19"/>
    </row>
    <row r="11816">
      <c r="A11816" s="9"/>
      <c r="B11816" s="15"/>
      <c r="C11816" s="9"/>
      <c r="D11816" s="15"/>
      <c r="E11816" s="16"/>
      <c r="F11816" s="19"/>
      <c r="G11816" s="20"/>
      <c r="H11816" s="19"/>
    </row>
    <row r="11817">
      <c r="A11817" s="9"/>
      <c r="B11817" s="15"/>
      <c r="C11817" s="9"/>
      <c r="D11817" s="15"/>
      <c r="E11817" s="16"/>
      <c r="F11817" s="19"/>
      <c r="G11817" s="20"/>
      <c r="H11817" s="19"/>
    </row>
    <row r="11818">
      <c r="A11818" s="9"/>
      <c r="B11818" s="15"/>
      <c r="C11818" s="9"/>
      <c r="D11818" s="15"/>
      <c r="E11818" s="16"/>
      <c r="F11818" s="19"/>
      <c r="G11818" s="20"/>
      <c r="H11818" s="19"/>
    </row>
    <row r="11819">
      <c r="A11819" s="9"/>
      <c r="B11819" s="15"/>
      <c r="C11819" s="9"/>
      <c r="D11819" s="15"/>
      <c r="E11819" s="16"/>
      <c r="F11819" s="19"/>
      <c r="G11819" s="20"/>
      <c r="H11819" s="19"/>
    </row>
    <row r="11820">
      <c r="A11820" s="9"/>
      <c r="B11820" s="15"/>
      <c r="C11820" s="9"/>
      <c r="D11820" s="15"/>
      <c r="E11820" s="16"/>
      <c r="F11820" s="19"/>
      <c r="G11820" s="20"/>
      <c r="H11820" s="19"/>
    </row>
    <row r="11821">
      <c r="A11821" s="9"/>
      <c r="B11821" s="15"/>
      <c r="C11821" s="9"/>
      <c r="D11821" s="15"/>
      <c r="E11821" s="16"/>
      <c r="F11821" s="19"/>
      <c r="G11821" s="20"/>
      <c r="H11821" s="19"/>
    </row>
    <row r="11822">
      <c r="A11822" s="9"/>
      <c r="B11822" s="15"/>
      <c r="C11822" s="9"/>
      <c r="D11822" s="15"/>
      <c r="E11822" s="16"/>
      <c r="F11822" s="19"/>
      <c r="G11822" s="20"/>
      <c r="H11822" s="19"/>
    </row>
    <row r="11823">
      <c r="A11823" s="9"/>
      <c r="B11823" s="15"/>
      <c r="C11823" s="9"/>
      <c r="D11823" s="15"/>
      <c r="E11823" s="16"/>
      <c r="F11823" s="19"/>
      <c r="G11823" s="20"/>
      <c r="H11823" s="19"/>
    </row>
    <row r="11824">
      <c r="A11824" s="9"/>
      <c r="B11824" s="15"/>
      <c r="C11824" s="9"/>
      <c r="D11824" s="15"/>
      <c r="E11824" s="16"/>
      <c r="F11824" s="19"/>
      <c r="G11824" s="20"/>
      <c r="H11824" s="19"/>
    </row>
    <row r="11825">
      <c r="A11825" s="9"/>
      <c r="B11825" s="15"/>
      <c r="C11825" s="9"/>
      <c r="D11825" s="15"/>
      <c r="E11825" s="16"/>
      <c r="F11825" s="19"/>
      <c r="G11825" s="20"/>
      <c r="H11825" s="19"/>
    </row>
    <row r="11826">
      <c r="A11826" s="9"/>
      <c r="B11826" s="15"/>
      <c r="C11826" s="9"/>
      <c r="D11826" s="15"/>
      <c r="E11826" s="16"/>
      <c r="F11826" s="19"/>
      <c r="G11826" s="20"/>
      <c r="H11826" s="19"/>
    </row>
    <row r="11827">
      <c r="A11827" s="9"/>
      <c r="B11827" s="15"/>
      <c r="C11827" s="9"/>
      <c r="D11827" s="15"/>
      <c r="E11827" s="16"/>
      <c r="F11827" s="19"/>
      <c r="G11827" s="20"/>
      <c r="H11827" s="19"/>
    </row>
    <row r="11828">
      <c r="A11828" s="9"/>
      <c r="B11828" s="15"/>
      <c r="C11828" s="9"/>
      <c r="D11828" s="15"/>
      <c r="E11828" s="16"/>
      <c r="F11828" s="19"/>
      <c r="G11828" s="20"/>
      <c r="H11828" s="19"/>
    </row>
    <row r="11829">
      <c r="A11829" s="9"/>
      <c r="B11829" s="15"/>
      <c r="C11829" s="9"/>
      <c r="D11829" s="15"/>
      <c r="E11829" s="16"/>
      <c r="F11829" s="19"/>
      <c r="G11829" s="20"/>
      <c r="H11829" s="19"/>
    </row>
    <row r="11830">
      <c r="A11830" s="9"/>
      <c r="B11830" s="15"/>
      <c r="C11830" s="9"/>
      <c r="D11830" s="15"/>
      <c r="E11830" s="16"/>
      <c r="F11830" s="19"/>
      <c r="G11830" s="20"/>
      <c r="H11830" s="19"/>
    </row>
    <row r="11831">
      <c r="A11831" s="9"/>
      <c r="B11831" s="15"/>
      <c r="C11831" s="9"/>
      <c r="D11831" s="15"/>
      <c r="E11831" s="16"/>
      <c r="F11831" s="19"/>
      <c r="G11831" s="20"/>
      <c r="H11831" s="19"/>
    </row>
    <row r="11832">
      <c r="A11832" s="9"/>
      <c r="B11832" s="15"/>
      <c r="C11832" s="9"/>
      <c r="D11832" s="15"/>
      <c r="E11832" s="16"/>
      <c r="F11832" s="19"/>
      <c r="G11832" s="20"/>
      <c r="H11832" s="19"/>
    </row>
    <row r="11833">
      <c r="A11833" s="9"/>
      <c r="B11833" s="15"/>
      <c r="C11833" s="9"/>
      <c r="D11833" s="15"/>
      <c r="E11833" s="16"/>
      <c r="F11833" s="19"/>
      <c r="G11833" s="20"/>
      <c r="H11833" s="19"/>
    </row>
    <row r="11834">
      <c r="A11834" s="9"/>
      <c r="B11834" s="15"/>
      <c r="C11834" s="9"/>
      <c r="D11834" s="15"/>
      <c r="E11834" s="16"/>
      <c r="F11834" s="19"/>
      <c r="G11834" s="20"/>
      <c r="H11834" s="19"/>
    </row>
    <row r="11835">
      <c r="A11835" s="9"/>
      <c r="B11835" s="15"/>
      <c r="C11835" s="9"/>
      <c r="D11835" s="15"/>
      <c r="E11835" s="16"/>
      <c r="F11835" s="19"/>
      <c r="G11835" s="20"/>
      <c r="H11835" s="19"/>
    </row>
    <row r="11836">
      <c r="A11836" s="9"/>
      <c r="B11836" s="15"/>
      <c r="C11836" s="9"/>
      <c r="D11836" s="15"/>
      <c r="E11836" s="16"/>
      <c r="F11836" s="19"/>
      <c r="G11836" s="20"/>
      <c r="H11836" s="19"/>
    </row>
    <row r="11837">
      <c r="A11837" s="9"/>
      <c r="B11837" s="15"/>
      <c r="C11837" s="9"/>
      <c r="D11837" s="15"/>
      <c r="E11837" s="16"/>
      <c r="F11837" s="19"/>
      <c r="G11837" s="20"/>
      <c r="H11837" s="19"/>
    </row>
    <row r="11838">
      <c r="A11838" s="9"/>
      <c r="B11838" s="15"/>
      <c r="C11838" s="9"/>
      <c r="D11838" s="15"/>
      <c r="E11838" s="16"/>
      <c r="F11838" s="19"/>
      <c r="G11838" s="20"/>
      <c r="H11838" s="19"/>
    </row>
    <row r="11839">
      <c r="A11839" s="9"/>
      <c r="B11839" s="15"/>
      <c r="C11839" s="9"/>
      <c r="D11839" s="15"/>
      <c r="E11839" s="16"/>
      <c r="F11839" s="19"/>
      <c r="G11839" s="20"/>
      <c r="H11839" s="19"/>
    </row>
    <row r="11840">
      <c r="A11840" s="9"/>
      <c r="B11840" s="15"/>
      <c r="C11840" s="9"/>
      <c r="D11840" s="15"/>
      <c r="E11840" s="16"/>
      <c r="F11840" s="19"/>
      <c r="G11840" s="20"/>
      <c r="H11840" s="19"/>
    </row>
    <row r="11841">
      <c r="A11841" s="9"/>
      <c r="B11841" s="15"/>
      <c r="C11841" s="9"/>
      <c r="D11841" s="15"/>
      <c r="E11841" s="16"/>
      <c r="F11841" s="19"/>
      <c r="G11841" s="20"/>
      <c r="H11841" s="19"/>
    </row>
    <row r="11842">
      <c r="A11842" s="9"/>
      <c r="B11842" s="15"/>
      <c r="C11842" s="9"/>
      <c r="D11842" s="15"/>
      <c r="E11842" s="16"/>
      <c r="F11842" s="19"/>
      <c r="G11842" s="20"/>
      <c r="H11842" s="19"/>
    </row>
    <row r="11843">
      <c r="A11843" s="9"/>
      <c r="B11843" s="15"/>
      <c r="C11843" s="9"/>
      <c r="D11843" s="15"/>
      <c r="E11843" s="16"/>
      <c r="F11843" s="19"/>
      <c r="G11843" s="20"/>
      <c r="H11843" s="19"/>
    </row>
    <row r="11844">
      <c r="A11844" s="9"/>
      <c r="B11844" s="15"/>
      <c r="C11844" s="9"/>
      <c r="D11844" s="15"/>
      <c r="E11844" s="16"/>
      <c r="F11844" s="19"/>
      <c r="G11844" s="20"/>
      <c r="H11844" s="19"/>
    </row>
    <row r="11845">
      <c r="A11845" s="9"/>
      <c r="B11845" s="15"/>
      <c r="C11845" s="9"/>
      <c r="D11845" s="15"/>
      <c r="E11845" s="16"/>
      <c r="F11845" s="19"/>
      <c r="G11845" s="20"/>
      <c r="H11845" s="19"/>
    </row>
    <row r="11846">
      <c r="A11846" s="9"/>
      <c r="B11846" s="15"/>
      <c r="C11846" s="9"/>
      <c r="D11846" s="15"/>
      <c r="E11846" s="16"/>
      <c r="F11846" s="19"/>
      <c r="G11846" s="20"/>
      <c r="H11846" s="19"/>
    </row>
    <row r="11847">
      <c r="A11847" s="9"/>
      <c r="B11847" s="15"/>
      <c r="C11847" s="9"/>
      <c r="D11847" s="15"/>
      <c r="E11847" s="16"/>
      <c r="F11847" s="19"/>
      <c r="G11847" s="20"/>
      <c r="H11847" s="19"/>
    </row>
    <row r="11848">
      <c r="A11848" s="9"/>
      <c r="B11848" s="15"/>
      <c r="C11848" s="9"/>
      <c r="D11848" s="15"/>
      <c r="E11848" s="16"/>
      <c r="F11848" s="19"/>
      <c r="G11848" s="20"/>
      <c r="H11848" s="19"/>
    </row>
    <row r="11849">
      <c r="A11849" s="9"/>
      <c r="B11849" s="15"/>
      <c r="C11849" s="9"/>
      <c r="D11849" s="15"/>
      <c r="E11849" s="16"/>
      <c r="F11849" s="19"/>
      <c r="G11849" s="20"/>
      <c r="H11849" s="19"/>
    </row>
    <row r="11850">
      <c r="A11850" s="9"/>
      <c r="B11850" s="15"/>
      <c r="C11850" s="9"/>
      <c r="D11850" s="15"/>
      <c r="E11850" s="16"/>
      <c r="F11850" s="19"/>
      <c r="G11850" s="20"/>
      <c r="H11850" s="19"/>
    </row>
    <row r="11851">
      <c r="A11851" s="9"/>
      <c r="B11851" s="15"/>
      <c r="C11851" s="9"/>
      <c r="D11851" s="15"/>
      <c r="E11851" s="16"/>
      <c r="F11851" s="19"/>
      <c r="G11851" s="20"/>
      <c r="H11851" s="19"/>
    </row>
    <row r="11852">
      <c r="A11852" s="9"/>
      <c r="B11852" s="15"/>
      <c r="C11852" s="9"/>
      <c r="D11852" s="15"/>
      <c r="E11852" s="16"/>
      <c r="F11852" s="19"/>
      <c r="G11852" s="20"/>
      <c r="H11852" s="19"/>
    </row>
    <row r="11853">
      <c r="A11853" s="9"/>
      <c r="B11853" s="15"/>
      <c r="C11853" s="9"/>
      <c r="D11853" s="15"/>
      <c r="E11853" s="16"/>
      <c r="F11853" s="19"/>
      <c r="G11853" s="20"/>
      <c r="H11853" s="19"/>
    </row>
    <row r="11854">
      <c r="A11854" s="9"/>
      <c r="B11854" s="15"/>
      <c r="C11854" s="9"/>
      <c r="D11854" s="15"/>
      <c r="E11854" s="16"/>
      <c r="F11854" s="19"/>
      <c r="G11854" s="20"/>
      <c r="H11854" s="19"/>
    </row>
    <row r="11855">
      <c r="A11855" s="9"/>
      <c r="B11855" s="15"/>
      <c r="C11855" s="9"/>
      <c r="D11855" s="15"/>
      <c r="E11855" s="16"/>
      <c r="F11855" s="19"/>
      <c r="G11855" s="20"/>
      <c r="H11855" s="19"/>
    </row>
    <row r="11856">
      <c r="A11856" s="9"/>
      <c r="B11856" s="15"/>
      <c r="C11856" s="9"/>
      <c r="D11856" s="15"/>
      <c r="E11856" s="16"/>
      <c r="F11856" s="19"/>
      <c r="G11856" s="20"/>
      <c r="H11856" s="19"/>
    </row>
    <row r="11857">
      <c r="A11857" s="9"/>
      <c r="B11857" s="15"/>
      <c r="C11857" s="9"/>
      <c r="D11857" s="15"/>
      <c r="E11857" s="16"/>
      <c r="F11857" s="19"/>
      <c r="G11857" s="20"/>
      <c r="H11857" s="19"/>
    </row>
    <row r="11858">
      <c r="A11858" s="9"/>
      <c r="B11858" s="15"/>
      <c r="C11858" s="9"/>
      <c r="D11858" s="15"/>
      <c r="E11858" s="16"/>
      <c r="F11858" s="19"/>
      <c r="G11858" s="20"/>
      <c r="H11858" s="19"/>
    </row>
    <row r="11859">
      <c r="A11859" s="9"/>
      <c r="B11859" s="15"/>
      <c r="C11859" s="9"/>
      <c r="D11859" s="15"/>
      <c r="E11859" s="16"/>
      <c r="F11859" s="19"/>
      <c r="G11859" s="20"/>
      <c r="H11859" s="19"/>
    </row>
    <row r="11860">
      <c r="A11860" s="9"/>
      <c r="B11860" s="15"/>
      <c r="C11860" s="9"/>
      <c r="D11860" s="15"/>
      <c r="E11860" s="16"/>
      <c r="F11860" s="19"/>
      <c r="G11860" s="20"/>
      <c r="H11860" s="19"/>
    </row>
    <row r="11861">
      <c r="A11861" s="9"/>
      <c r="B11861" s="15"/>
      <c r="C11861" s="9"/>
      <c r="D11861" s="15"/>
      <c r="E11861" s="16"/>
      <c r="F11861" s="19"/>
      <c r="G11861" s="20"/>
      <c r="H11861" s="19"/>
    </row>
    <row r="11862">
      <c r="A11862" s="9"/>
      <c r="B11862" s="15"/>
      <c r="C11862" s="9"/>
      <c r="D11862" s="15"/>
      <c r="E11862" s="16"/>
      <c r="F11862" s="19"/>
      <c r="G11862" s="20"/>
      <c r="H11862" s="19"/>
    </row>
    <row r="11863">
      <c r="A11863" s="9"/>
      <c r="B11863" s="15"/>
      <c r="C11863" s="9"/>
      <c r="D11863" s="15"/>
      <c r="E11863" s="16"/>
      <c r="F11863" s="19"/>
      <c r="G11863" s="20"/>
      <c r="H11863" s="19"/>
    </row>
    <row r="11864">
      <c r="A11864" s="9"/>
      <c r="B11864" s="15"/>
      <c r="C11864" s="9"/>
      <c r="D11864" s="15"/>
      <c r="E11864" s="16"/>
      <c r="F11864" s="19"/>
      <c r="G11864" s="20"/>
      <c r="H11864" s="19"/>
    </row>
    <row r="11865">
      <c r="A11865" s="9"/>
      <c r="B11865" s="15"/>
      <c r="C11865" s="9"/>
      <c r="D11865" s="15"/>
      <c r="E11865" s="16"/>
      <c r="F11865" s="19"/>
      <c r="G11865" s="20"/>
      <c r="H11865" s="19"/>
    </row>
    <row r="11866">
      <c r="A11866" s="9"/>
      <c r="B11866" s="15"/>
      <c r="C11866" s="9"/>
      <c r="D11866" s="15"/>
      <c r="E11866" s="16"/>
      <c r="F11866" s="19"/>
      <c r="G11866" s="20"/>
      <c r="H11866" s="19"/>
    </row>
    <row r="11867">
      <c r="A11867" s="9"/>
      <c r="B11867" s="15"/>
      <c r="C11867" s="9"/>
      <c r="D11867" s="15"/>
      <c r="E11867" s="16"/>
      <c r="F11867" s="19"/>
      <c r="G11867" s="20"/>
      <c r="H11867" s="19"/>
    </row>
    <row r="11868">
      <c r="A11868" s="9"/>
      <c r="B11868" s="15"/>
      <c r="C11868" s="9"/>
      <c r="D11868" s="15"/>
      <c r="E11868" s="16"/>
      <c r="F11868" s="19"/>
      <c r="G11868" s="20"/>
      <c r="H11868" s="19"/>
    </row>
    <row r="11869">
      <c r="A11869" s="9"/>
      <c r="B11869" s="15"/>
      <c r="C11869" s="9"/>
      <c r="D11869" s="15"/>
      <c r="E11869" s="16"/>
      <c r="F11869" s="19"/>
      <c r="G11869" s="20"/>
      <c r="H11869" s="19"/>
    </row>
    <row r="11870">
      <c r="A11870" s="9"/>
      <c r="B11870" s="15"/>
      <c r="C11870" s="9"/>
      <c r="D11870" s="15"/>
      <c r="E11870" s="16"/>
      <c r="F11870" s="19"/>
      <c r="G11870" s="20"/>
      <c r="H11870" s="19"/>
    </row>
    <row r="11871">
      <c r="A11871" s="9"/>
      <c r="B11871" s="15"/>
      <c r="C11871" s="9"/>
      <c r="D11871" s="15"/>
      <c r="E11871" s="16"/>
      <c r="F11871" s="19"/>
      <c r="G11871" s="20"/>
      <c r="H11871" s="19"/>
    </row>
    <row r="11872">
      <c r="A11872" s="9"/>
      <c r="B11872" s="15"/>
      <c r="C11872" s="9"/>
      <c r="D11872" s="15"/>
      <c r="E11872" s="16"/>
      <c r="F11872" s="19"/>
      <c r="G11872" s="20"/>
      <c r="H11872" s="19"/>
    </row>
    <row r="11873">
      <c r="A11873" s="9"/>
      <c r="B11873" s="15"/>
      <c r="C11873" s="9"/>
      <c r="D11873" s="15"/>
      <c r="E11873" s="16"/>
      <c r="F11873" s="19"/>
      <c r="G11873" s="20"/>
      <c r="H11873" s="19"/>
    </row>
    <row r="11874">
      <c r="A11874" s="9"/>
      <c r="B11874" s="15"/>
      <c r="C11874" s="9"/>
      <c r="D11874" s="15"/>
      <c r="E11874" s="16"/>
      <c r="F11874" s="19"/>
      <c r="G11874" s="20"/>
      <c r="H11874" s="19"/>
    </row>
    <row r="11875">
      <c r="A11875" s="9"/>
      <c r="B11875" s="15"/>
      <c r="C11875" s="9"/>
      <c r="D11875" s="15"/>
      <c r="E11875" s="16"/>
      <c r="F11875" s="19"/>
      <c r="G11875" s="20"/>
      <c r="H11875" s="19"/>
    </row>
    <row r="11876">
      <c r="A11876" s="9"/>
      <c r="B11876" s="15"/>
      <c r="C11876" s="9"/>
      <c r="D11876" s="15"/>
      <c r="E11876" s="16"/>
      <c r="F11876" s="19"/>
      <c r="G11876" s="20"/>
      <c r="H11876" s="19"/>
    </row>
    <row r="11877">
      <c r="A11877" s="9"/>
      <c r="B11877" s="15"/>
      <c r="C11877" s="9"/>
      <c r="D11877" s="15"/>
      <c r="E11877" s="16"/>
      <c r="F11877" s="19"/>
      <c r="G11877" s="20"/>
      <c r="H11877" s="19"/>
    </row>
    <row r="11878">
      <c r="A11878" s="9"/>
      <c r="B11878" s="15"/>
      <c r="C11878" s="9"/>
      <c r="D11878" s="15"/>
      <c r="E11878" s="16"/>
      <c r="F11878" s="19"/>
      <c r="G11878" s="20"/>
      <c r="H11878" s="19"/>
    </row>
    <row r="11879">
      <c r="A11879" s="9"/>
      <c r="B11879" s="15"/>
      <c r="C11879" s="9"/>
      <c r="D11879" s="15"/>
      <c r="E11879" s="16"/>
      <c r="F11879" s="19"/>
      <c r="G11879" s="20"/>
      <c r="H11879" s="19"/>
    </row>
    <row r="11880">
      <c r="A11880" s="9"/>
      <c r="B11880" s="15"/>
      <c r="C11880" s="9"/>
      <c r="D11880" s="15"/>
      <c r="E11880" s="16"/>
      <c r="F11880" s="19"/>
      <c r="G11880" s="20"/>
      <c r="H11880" s="19"/>
    </row>
    <row r="11881">
      <c r="A11881" s="9"/>
      <c r="B11881" s="15"/>
      <c r="C11881" s="9"/>
      <c r="D11881" s="15"/>
      <c r="E11881" s="16"/>
      <c r="F11881" s="19"/>
      <c r="G11881" s="20"/>
      <c r="H11881" s="19"/>
    </row>
    <row r="11882">
      <c r="A11882" s="9"/>
      <c r="B11882" s="15"/>
      <c r="C11882" s="9"/>
      <c r="D11882" s="15"/>
      <c r="E11882" s="16"/>
      <c r="F11882" s="19"/>
      <c r="G11882" s="20"/>
      <c r="H11882" s="19"/>
    </row>
    <row r="11883">
      <c r="A11883" s="9"/>
      <c r="B11883" s="15"/>
      <c r="C11883" s="9"/>
      <c r="D11883" s="15"/>
      <c r="E11883" s="16"/>
      <c r="F11883" s="19"/>
      <c r="G11883" s="20"/>
      <c r="H11883" s="19"/>
    </row>
    <row r="11884">
      <c r="A11884" s="9"/>
      <c r="B11884" s="15"/>
      <c r="C11884" s="9"/>
      <c r="D11884" s="15"/>
      <c r="E11884" s="16"/>
      <c r="F11884" s="19"/>
      <c r="G11884" s="20"/>
      <c r="H11884" s="19"/>
    </row>
    <row r="11885">
      <c r="A11885" s="9"/>
      <c r="B11885" s="15"/>
      <c r="C11885" s="9"/>
      <c r="D11885" s="15"/>
      <c r="E11885" s="16"/>
      <c r="F11885" s="19"/>
      <c r="G11885" s="20"/>
      <c r="H11885" s="19"/>
    </row>
    <row r="11886">
      <c r="A11886" s="9"/>
      <c r="B11886" s="15"/>
      <c r="C11886" s="9"/>
      <c r="D11886" s="15"/>
      <c r="E11886" s="16"/>
      <c r="F11886" s="19"/>
      <c r="G11886" s="20"/>
      <c r="H11886" s="19"/>
    </row>
    <row r="11887">
      <c r="A11887" s="9"/>
      <c r="B11887" s="15"/>
      <c r="C11887" s="9"/>
      <c r="D11887" s="15"/>
      <c r="E11887" s="16"/>
      <c r="F11887" s="19"/>
      <c r="G11887" s="20"/>
      <c r="H11887" s="19"/>
    </row>
    <row r="11888">
      <c r="A11888" s="9"/>
      <c r="B11888" s="15"/>
      <c r="C11888" s="9"/>
      <c r="D11888" s="15"/>
      <c r="E11888" s="16"/>
      <c r="F11888" s="19"/>
      <c r="G11888" s="20"/>
      <c r="H11888" s="19"/>
    </row>
    <row r="11889">
      <c r="A11889" s="9"/>
      <c r="B11889" s="15"/>
      <c r="C11889" s="9"/>
      <c r="D11889" s="15"/>
      <c r="E11889" s="16"/>
      <c r="F11889" s="19"/>
      <c r="G11889" s="20"/>
      <c r="H11889" s="19"/>
    </row>
    <row r="11890">
      <c r="A11890" s="9"/>
      <c r="B11890" s="15"/>
      <c r="C11890" s="9"/>
      <c r="D11890" s="15"/>
      <c r="E11890" s="16"/>
      <c r="F11890" s="19"/>
      <c r="G11890" s="20"/>
      <c r="H11890" s="19"/>
    </row>
    <row r="11891">
      <c r="A11891" s="9"/>
      <c r="B11891" s="15"/>
      <c r="C11891" s="9"/>
      <c r="D11891" s="15"/>
      <c r="E11891" s="16"/>
      <c r="F11891" s="19"/>
      <c r="G11891" s="20"/>
      <c r="H11891" s="19"/>
    </row>
    <row r="11892">
      <c r="A11892" s="9"/>
      <c r="B11892" s="15"/>
      <c r="C11892" s="9"/>
      <c r="D11892" s="15"/>
      <c r="E11892" s="16"/>
      <c r="F11892" s="19"/>
      <c r="G11892" s="20"/>
      <c r="H11892" s="19"/>
    </row>
    <row r="11893">
      <c r="A11893" s="9"/>
      <c r="B11893" s="15"/>
      <c r="C11893" s="9"/>
      <c r="D11893" s="15"/>
      <c r="E11893" s="16"/>
      <c r="F11893" s="19"/>
      <c r="G11893" s="20"/>
      <c r="H11893" s="19"/>
    </row>
    <row r="11894">
      <c r="A11894" s="9"/>
      <c r="B11894" s="15"/>
      <c r="C11894" s="9"/>
      <c r="D11894" s="15"/>
      <c r="E11894" s="16"/>
      <c r="F11894" s="19"/>
      <c r="G11894" s="20"/>
      <c r="H11894" s="19"/>
    </row>
    <row r="11895">
      <c r="A11895" s="9"/>
      <c r="B11895" s="15"/>
      <c r="C11895" s="9"/>
      <c r="D11895" s="15"/>
      <c r="E11895" s="16"/>
      <c r="F11895" s="19"/>
      <c r="G11895" s="20"/>
      <c r="H11895" s="19"/>
    </row>
    <row r="11896">
      <c r="A11896" s="9"/>
      <c r="B11896" s="15"/>
      <c r="C11896" s="9"/>
      <c r="D11896" s="15"/>
      <c r="E11896" s="16"/>
      <c r="F11896" s="19"/>
      <c r="G11896" s="20"/>
      <c r="H11896" s="19"/>
    </row>
    <row r="11897">
      <c r="A11897" s="9"/>
      <c r="B11897" s="15"/>
      <c r="C11897" s="9"/>
      <c r="D11897" s="15"/>
      <c r="E11897" s="16"/>
      <c r="F11897" s="19"/>
      <c r="G11897" s="20"/>
      <c r="H11897" s="19"/>
    </row>
    <row r="11898">
      <c r="A11898" s="9"/>
      <c r="B11898" s="15"/>
      <c r="C11898" s="9"/>
      <c r="D11898" s="15"/>
      <c r="E11898" s="16"/>
      <c r="F11898" s="19"/>
      <c r="G11898" s="20"/>
      <c r="H11898" s="19"/>
    </row>
    <row r="11899">
      <c r="A11899" s="9"/>
      <c r="B11899" s="15"/>
      <c r="C11899" s="9"/>
      <c r="D11899" s="15"/>
      <c r="E11899" s="16"/>
      <c r="F11899" s="19"/>
      <c r="G11899" s="20"/>
      <c r="H11899" s="19"/>
    </row>
    <row r="11900">
      <c r="A11900" s="9"/>
      <c r="B11900" s="15"/>
      <c r="C11900" s="9"/>
      <c r="D11900" s="15"/>
      <c r="E11900" s="16"/>
      <c r="F11900" s="19"/>
      <c r="G11900" s="20"/>
      <c r="H11900" s="19"/>
    </row>
    <row r="11901">
      <c r="A11901" s="9"/>
      <c r="B11901" s="15"/>
      <c r="C11901" s="9"/>
      <c r="D11901" s="15"/>
      <c r="E11901" s="16"/>
      <c r="F11901" s="19"/>
      <c r="G11901" s="20"/>
      <c r="H11901" s="19"/>
    </row>
    <row r="11902">
      <c r="A11902" s="9"/>
      <c r="B11902" s="15"/>
      <c r="C11902" s="9"/>
      <c r="D11902" s="15"/>
      <c r="E11902" s="16"/>
      <c r="F11902" s="19"/>
      <c r="G11902" s="20"/>
      <c r="H11902" s="19"/>
    </row>
    <row r="11903">
      <c r="A11903" s="9"/>
      <c r="B11903" s="15"/>
      <c r="C11903" s="9"/>
      <c r="D11903" s="15"/>
      <c r="E11903" s="16"/>
      <c r="F11903" s="19"/>
      <c r="G11903" s="20"/>
      <c r="H11903" s="19"/>
    </row>
    <row r="11904">
      <c r="A11904" s="9"/>
      <c r="B11904" s="15"/>
      <c r="C11904" s="9"/>
      <c r="D11904" s="15"/>
      <c r="E11904" s="16"/>
      <c r="F11904" s="19"/>
      <c r="G11904" s="20"/>
      <c r="H11904" s="19"/>
    </row>
    <row r="11905">
      <c r="A11905" s="9"/>
      <c r="B11905" s="15"/>
      <c r="C11905" s="9"/>
      <c r="D11905" s="15"/>
      <c r="E11905" s="16"/>
      <c r="F11905" s="19"/>
      <c r="G11905" s="20"/>
      <c r="H11905" s="19"/>
    </row>
    <row r="11906">
      <c r="A11906" s="9"/>
      <c r="B11906" s="15"/>
      <c r="C11906" s="9"/>
      <c r="D11906" s="15"/>
      <c r="E11906" s="16"/>
      <c r="F11906" s="19"/>
      <c r="G11906" s="20"/>
      <c r="H11906" s="19"/>
    </row>
    <row r="11907">
      <c r="A11907" s="9"/>
      <c r="B11907" s="15"/>
      <c r="C11907" s="9"/>
      <c r="D11907" s="15"/>
      <c r="E11907" s="16"/>
      <c r="F11907" s="19"/>
      <c r="G11907" s="20"/>
      <c r="H11907" s="19"/>
    </row>
    <row r="11908">
      <c r="A11908" s="9"/>
      <c r="B11908" s="15"/>
      <c r="C11908" s="9"/>
      <c r="D11908" s="15"/>
      <c r="E11908" s="16"/>
      <c r="F11908" s="19"/>
      <c r="G11908" s="20"/>
      <c r="H11908" s="19"/>
    </row>
    <row r="11909">
      <c r="A11909" s="9"/>
      <c r="B11909" s="15"/>
      <c r="C11909" s="9"/>
      <c r="D11909" s="15"/>
      <c r="E11909" s="16"/>
      <c r="F11909" s="19"/>
      <c r="G11909" s="20"/>
      <c r="H11909" s="19"/>
    </row>
    <row r="11910">
      <c r="A11910" s="9"/>
      <c r="B11910" s="15"/>
      <c r="C11910" s="9"/>
      <c r="D11910" s="15"/>
      <c r="E11910" s="16"/>
      <c r="F11910" s="19"/>
      <c r="G11910" s="20"/>
      <c r="H11910" s="19"/>
    </row>
    <row r="11911">
      <c r="A11911" s="9"/>
      <c r="B11911" s="15"/>
      <c r="C11911" s="9"/>
      <c r="D11911" s="15"/>
      <c r="E11911" s="16"/>
      <c r="F11911" s="19"/>
      <c r="G11911" s="20"/>
      <c r="H11911" s="19"/>
    </row>
    <row r="11912">
      <c r="A11912" s="9"/>
      <c r="B11912" s="15"/>
      <c r="C11912" s="9"/>
      <c r="D11912" s="15"/>
      <c r="E11912" s="16"/>
      <c r="F11912" s="19"/>
      <c r="G11912" s="20"/>
      <c r="H11912" s="19"/>
    </row>
    <row r="11913">
      <c r="A11913" s="9"/>
      <c r="B11913" s="15"/>
      <c r="C11913" s="9"/>
      <c r="D11913" s="15"/>
      <c r="E11913" s="16"/>
      <c r="F11913" s="19"/>
      <c r="G11913" s="20"/>
      <c r="H11913" s="19"/>
    </row>
    <row r="11914">
      <c r="A11914" s="9"/>
      <c r="B11914" s="15"/>
      <c r="C11914" s="9"/>
      <c r="D11914" s="15"/>
      <c r="E11914" s="16"/>
      <c r="F11914" s="19"/>
      <c r="G11914" s="20"/>
      <c r="H11914" s="19"/>
    </row>
    <row r="11915">
      <c r="A11915" s="9"/>
      <c r="B11915" s="15"/>
      <c r="C11915" s="9"/>
      <c r="D11915" s="15"/>
      <c r="E11915" s="16"/>
      <c r="F11915" s="19"/>
      <c r="G11915" s="20"/>
      <c r="H11915" s="19"/>
    </row>
    <row r="11916">
      <c r="A11916" s="9"/>
      <c r="B11916" s="15"/>
      <c r="C11916" s="9"/>
      <c r="D11916" s="15"/>
      <c r="E11916" s="16"/>
      <c r="F11916" s="19"/>
      <c r="G11916" s="20"/>
      <c r="H11916" s="19"/>
    </row>
    <row r="11917">
      <c r="A11917" s="9"/>
      <c r="B11917" s="15"/>
      <c r="C11917" s="9"/>
      <c r="D11917" s="15"/>
      <c r="E11917" s="16"/>
      <c r="F11917" s="19"/>
      <c r="G11917" s="20"/>
      <c r="H11917" s="19"/>
    </row>
    <row r="11918">
      <c r="A11918" s="9"/>
      <c r="B11918" s="15"/>
      <c r="C11918" s="9"/>
      <c r="D11918" s="15"/>
      <c r="E11918" s="16"/>
      <c r="F11918" s="19"/>
      <c r="G11918" s="20"/>
      <c r="H11918" s="19"/>
    </row>
    <row r="11919">
      <c r="A11919" s="9"/>
      <c r="B11919" s="15"/>
      <c r="C11919" s="9"/>
      <c r="D11919" s="15"/>
      <c r="E11919" s="16"/>
      <c r="F11919" s="19"/>
      <c r="G11919" s="20"/>
      <c r="H11919" s="19"/>
    </row>
    <row r="11920">
      <c r="A11920" s="9"/>
      <c r="B11920" s="15"/>
      <c r="C11920" s="9"/>
      <c r="D11920" s="15"/>
      <c r="E11920" s="16"/>
      <c r="F11920" s="19"/>
      <c r="G11920" s="20"/>
      <c r="H11920" s="19"/>
    </row>
    <row r="11921">
      <c r="A11921" s="9"/>
      <c r="B11921" s="15"/>
      <c r="C11921" s="9"/>
      <c r="D11921" s="15"/>
      <c r="E11921" s="16"/>
      <c r="F11921" s="19"/>
      <c r="G11921" s="20"/>
      <c r="H11921" s="19"/>
    </row>
    <row r="11922">
      <c r="A11922" s="9"/>
      <c r="B11922" s="15"/>
      <c r="C11922" s="9"/>
      <c r="D11922" s="15"/>
      <c r="E11922" s="16"/>
      <c r="F11922" s="19"/>
      <c r="G11922" s="20"/>
      <c r="H11922" s="19"/>
    </row>
    <row r="11923">
      <c r="A11923" s="9"/>
      <c r="B11923" s="15"/>
      <c r="C11923" s="9"/>
      <c r="D11923" s="15"/>
      <c r="E11923" s="16"/>
      <c r="F11923" s="19"/>
      <c r="G11923" s="20"/>
      <c r="H11923" s="19"/>
    </row>
    <row r="11924">
      <c r="A11924" s="9"/>
      <c r="B11924" s="15"/>
      <c r="C11924" s="9"/>
      <c r="D11924" s="15"/>
      <c r="E11924" s="16"/>
      <c r="F11924" s="19"/>
      <c r="G11924" s="20"/>
      <c r="H11924" s="19"/>
    </row>
    <row r="11925">
      <c r="A11925" s="9"/>
      <c r="B11925" s="15"/>
      <c r="C11925" s="9"/>
      <c r="D11925" s="15"/>
      <c r="E11925" s="16"/>
      <c r="F11925" s="19"/>
      <c r="G11925" s="20"/>
      <c r="H11925" s="19"/>
    </row>
    <row r="11926">
      <c r="A11926" s="9"/>
      <c r="B11926" s="15"/>
      <c r="C11926" s="9"/>
      <c r="D11926" s="15"/>
      <c r="E11926" s="16"/>
      <c r="F11926" s="19"/>
      <c r="G11926" s="20"/>
      <c r="H11926" s="19"/>
    </row>
    <row r="11927">
      <c r="A11927" s="9"/>
      <c r="B11927" s="15"/>
      <c r="C11927" s="9"/>
      <c r="D11927" s="15"/>
      <c r="E11927" s="16"/>
      <c r="F11927" s="19"/>
      <c r="G11927" s="20"/>
      <c r="H11927" s="19"/>
    </row>
    <row r="11928">
      <c r="A11928" s="9"/>
      <c r="B11928" s="15"/>
      <c r="C11928" s="9"/>
      <c r="D11928" s="15"/>
      <c r="E11928" s="16"/>
      <c r="F11928" s="19"/>
      <c r="G11928" s="20"/>
      <c r="H11928" s="19"/>
    </row>
    <row r="11929">
      <c r="A11929" s="9"/>
      <c r="B11929" s="15"/>
      <c r="C11929" s="9"/>
      <c r="D11929" s="15"/>
      <c r="E11929" s="16"/>
      <c r="F11929" s="19"/>
      <c r="G11929" s="20"/>
      <c r="H11929" s="19"/>
    </row>
    <row r="11930">
      <c r="A11930" s="9"/>
      <c r="B11930" s="15"/>
      <c r="C11930" s="9"/>
      <c r="D11930" s="15"/>
      <c r="E11930" s="16"/>
      <c r="F11930" s="19"/>
      <c r="G11930" s="20"/>
      <c r="H11930" s="19"/>
    </row>
    <row r="11931">
      <c r="A11931" s="9"/>
      <c r="B11931" s="15"/>
      <c r="C11931" s="9"/>
      <c r="D11931" s="15"/>
      <c r="E11931" s="16"/>
      <c r="F11931" s="19"/>
      <c r="G11931" s="20"/>
      <c r="H11931" s="19"/>
    </row>
    <row r="11932">
      <c r="A11932" s="9"/>
      <c r="B11932" s="15"/>
      <c r="C11932" s="9"/>
      <c r="D11932" s="15"/>
      <c r="E11932" s="16"/>
      <c r="F11932" s="19"/>
      <c r="G11932" s="20"/>
      <c r="H11932" s="19"/>
    </row>
    <row r="11933">
      <c r="A11933" s="9"/>
      <c r="B11933" s="15"/>
      <c r="C11933" s="9"/>
      <c r="D11933" s="15"/>
      <c r="E11933" s="16"/>
      <c r="F11933" s="19"/>
      <c r="G11933" s="20"/>
      <c r="H11933" s="19"/>
    </row>
    <row r="11934">
      <c r="A11934" s="9"/>
      <c r="B11934" s="15"/>
      <c r="C11934" s="9"/>
      <c r="D11934" s="15"/>
      <c r="E11934" s="16"/>
      <c r="F11934" s="19"/>
      <c r="G11934" s="20"/>
      <c r="H11934" s="19"/>
    </row>
    <row r="11935">
      <c r="A11935" s="9"/>
      <c r="B11935" s="15"/>
      <c r="C11935" s="9"/>
      <c r="D11935" s="15"/>
      <c r="E11935" s="16"/>
      <c r="F11935" s="19"/>
      <c r="G11935" s="20"/>
      <c r="H11935" s="19"/>
    </row>
    <row r="11936">
      <c r="A11936" s="9"/>
      <c r="B11936" s="15"/>
      <c r="C11936" s="9"/>
      <c r="D11936" s="15"/>
      <c r="E11936" s="16"/>
      <c r="F11936" s="19"/>
      <c r="G11936" s="20"/>
      <c r="H11936" s="19"/>
    </row>
    <row r="11937">
      <c r="A11937" s="9"/>
      <c r="B11937" s="15"/>
      <c r="C11937" s="9"/>
      <c r="D11937" s="15"/>
      <c r="E11937" s="16"/>
      <c r="F11937" s="19"/>
      <c r="G11937" s="20"/>
      <c r="H11937" s="19"/>
    </row>
    <row r="11938">
      <c r="A11938" s="9"/>
      <c r="B11938" s="15"/>
      <c r="C11938" s="9"/>
      <c r="D11938" s="15"/>
      <c r="E11938" s="16"/>
      <c r="F11938" s="19"/>
      <c r="G11938" s="20"/>
      <c r="H11938" s="19"/>
    </row>
    <row r="11939">
      <c r="A11939" s="9"/>
      <c r="B11939" s="15"/>
      <c r="C11939" s="9"/>
      <c r="D11939" s="15"/>
      <c r="E11939" s="16"/>
      <c r="F11939" s="19"/>
      <c r="G11939" s="20"/>
      <c r="H11939" s="19"/>
    </row>
    <row r="11940">
      <c r="A11940" s="9"/>
      <c r="B11940" s="15"/>
      <c r="C11940" s="9"/>
      <c r="D11940" s="15"/>
      <c r="E11940" s="16"/>
      <c r="F11940" s="19"/>
      <c r="G11940" s="20"/>
      <c r="H11940" s="19"/>
    </row>
    <row r="11941">
      <c r="A11941" s="9"/>
      <c r="B11941" s="15"/>
      <c r="C11941" s="9"/>
      <c r="D11941" s="15"/>
      <c r="E11941" s="16"/>
      <c r="F11941" s="19"/>
      <c r="G11941" s="20"/>
      <c r="H11941" s="19"/>
    </row>
    <row r="11942">
      <c r="A11942" s="9"/>
      <c r="B11942" s="15"/>
      <c r="C11942" s="9"/>
      <c r="D11942" s="15"/>
      <c r="E11942" s="16"/>
      <c r="F11942" s="19"/>
      <c r="G11942" s="20"/>
      <c r="H11942" s="19"/>
    </row>
    <row r="11943">
      <c r="A11943" s="9"/>
      <c r="B11943" s="15"/>
      <c r="C11943" s="9"/>
      <c r="D11943" s="15"/>
      <c r="E11943" s="16"/>
      <c r="F11943" s="19"/>
      <c r="G11943" s="20"/>
      <c r="H11943" s="19"/>
    </row>
    <row r="11944">
      <c r="A11944" s="9"/>
      <c r="B11944" s="15"/>
      <c r="C11944" s="9"/>
      <c r="D11944" s="15"/>
      <c r="E11944" s="16"/>
      <c r="F11944" s="19"/>
      <c r="G11944" s="20"/>
      <c r="H11944" s="19"/>
    </row>
    <row r="11945">
      <c r="A11945" s="9"/>
      <c r="B11945" s="15"/>
      <c r="C11945" s="9"/>
      <c r="D11945" s="15"/>
      <c r="E11945" s="16"/>
      <c r="F11945" s="19"/>
      <c r="G11945" s="20"/>
      <c r="H11945" s="19"/>
    </row>
    <row r="11946">
      <c r="A11946" s="9"/>
      <c r="B11946" s="15"/>
      <c r="C11946" s="9"/>
      <c r="D11946" s="15"/>
      <c r="E11946" s="16"/>
      <c r="F11946" s="19"/>
      <c r="G11946" s="20"/>
      <c r="H11946" s="19"/>
    </row>
    <row r="11947">
      <c r="A11947" s="9"/>
      <c r="B11947" s="15"/>
      <c r="C11947" s="9"/>
      <c r="D11947" s="15"/>
      <c r="E11947" s="16"/>
      <c r="F11947" s="19"/>
      <c r="G11947" s="20"/>
      <c r="H11947" s="19"/>
    </row>
    <row r="11948">
      <c r="A11948" s="9"/>
      <c r="B11948" s="15"/>
      <c r="C11948" s="9"/>
      <c r="D11948" s="15"/>
      <c r="E11948" s="16"/>
      <c r="F11948" s="19"/>
      <c r="G11948" s="20"/>
      <c r="H11948" s="19"/>
    </row>
    <row r="11949">
      <c r="A11949" s="9"/>
      <c r="B11949" s="15"/>
      <c r="C11949" s="9"/>
      <c r="D11949" s="15"/>
      <c r="E11949" s="16"/>
      <c r="F11949" s="19"/>
      <c r="G11949" s="20"/>
      <c r="H11949" s="19"/>
    </row>
    <row r="11950">
      <c r="A11950" s="9"/>
      <c r="B11950" s="15"/>
      <c r="C11950" s="9"/>
      <c r="D11950" s="15"/>
      <c r="E11950" s="16"/>
      <c r="F11950" s="19"/>
      <c r="G11950" s="20"/>
      <c r="H11950" s="19"/>
    </row>
    <row r="11951">
      <c r="A11951" s="9"/>
      <c r="B11951" s="15"/>
      <c r="C11951" s="9"/>
      <c r="D11951" s="15"/>
      <c r="E11951" s="16"/>
      <c r="F11951" s="19"/>
      <c r="G11951" s="20"/>
      <c r="H11951" s="19"/>
    </row>
    <row r="11952">
      <c r="A11952" s="9"/>
      <c r="B11952" s="15"/>
      <c r="C11952" s="9"/>
      <c r="D11952" s="15"/>
      <c r="E11952" s="16"/>
      <c r="F11952" s="19"/>
      <c r="G11952" s="20"/>
      <c r="H11952" s="19"/>
    </row>
    <row r="11953">
      <c r="A11953" s="9"/>
      <c r="B11953" s="15"/>
      <c r="C11953" s="9"/>
      <c r="D11953" s="15"/>
      <c r="E11953" s="16"/>
      <c r="F11953" s="19"/>
      <c r="G11953" s="20"/>
      <c r="H11953" s="19"/>
    </row>
    <row r="11954">
      <c r="A11954" s="9"/>
      <c r="B11954" s="15"/>
      <c r="C11954" s="9"/>
      <c r="D11954" s="15"/>
      <c r="E11954" s="16"/>
      <c r="F11954" s="19"/>
      <c r="G11954" s="20"/>
      <c r="H11954" s="19"/>
    </row>
    <row r="11955">
      <c r="A11955" s="9"/>
      <c r="B11955" s="15"/>
      <c r="C11955" s="9"/>
      <c r="D11955" s="15"/>
      <c r="E11955" s="16"/>
      <c r="F11955" s="19"/>
      <c r="G11955" s="20"/>
      <c r="H11955" s="19"/>
    </row>
    <row r="11956">
      <c r="A11956" s="9"/>
      <c r="B11956" s="15"/>
      <c r="C11956" s="9"/>
      <c r="D11956" s="15"/>
      <c r="E11956" s="16"/>
      <c r="F11956" s="19"/>
      <c r="G11956" s="20"/>
      <c r="H11956" s="19"/>
    </row>
    <row r="11957">
      <c r="A11957" s="9"/>
      <c r="B11957" s="15"/>
      <c r="C11957" s="9"/>
      <c r="D11957" s="15"/>
      <c r="E11957" s="16"/>
      <c r="F11957" s="19"/>
      <c r="G11957" s="20"/>
      <c r="H11957" s="19"/>
    </row>
    <row r="11958">
      <c r="A11958" s="9"/>
      <c r="B11958" s="15"/>
      <c r="C11958" s="9"/>
      <c r="D11958" s="15"/>
      <c r="E11958" s="16"/>
      <c r="F11958" s="19"/>
      <c r="G11958" s="20"/>
      <c r="H11958" s="19"/>
    </row>
    <row r="11959">
      <c r="A11959" s="9"/>
      <c r="B11959" s="15"/>
      <c r="C11959" s="9"/>
      <c r="D11959" s="15"/>
      <c r="E11959" s="16"/>
      <c r="F11959" s="19"/>
      <c r="G11959" s="20"/>
      <c r="H11959" s="19"/>
    </row>
    <row r="11960">
      <c r="A11960" s="9"/>
      <c r="B11960" s="15"/>
      <c r="C11960" s="9"/>
      <c r="D11960" s="15"/>
      <c r="E11960" s="16"/>
      <c r="F11960" s="19"/>
      <c r="G11960" s="20"/>
      <c r="H11960" s="19"/>
    </row>
    <row r="11961">
      <c r="A11961" s="9"/>
      <c r="B11961" s="15"/>
      <c r="C11961" s="9"/>
      <c r="D11961" s="15"/>
      <c r="E11961" s="16"/>
      <c r="F11961" s="19"/>
      <c r="G11961" s="20"/>
      <c r="H11961" s="19"/>
    </row>
    <row r="11962">
      <c r="A11962" s="9"/>
      <c r="B11962" s="15"/>
      <c r="C11962" s="9"/>
      <c r="D11962" s="15"/>
      <c r="E11962" s="16"/>
      <c r="F11962" s="19"/>
      <c r="G11962" s="20"/>
      <c r="H11962" s="19"/>
    </row>
    <row r="11963">
      <c r="A11963" s="9"/>
      <c r="B11963" s="15"/>
      <c r="C11963" s="9"/>
      <c r="D11963" s="15"/>
      <c r="E11963" s="16"/>
      <c r="F11963" s="19"/>
      <c r="G11963" s="20"/>
      <c r="H11963" s="19"/>
    </row>
    <row r="11964">
      <c r="A11964" s="9"/>
      <c r="B11964" s="15"/>
      <c r="C11964" s="9"/>
      <c r="D11964" s="15"/>
      <c r="E11964" s="16"/>
      <c r="F11964" s="19"/>
      <c r="G11964" s="20"/>
      <c r="H11964" s="19"/>
    </row>
    <row r="11965">
      <c r="A11965" s="9"/>
      <c r="B11965" s="15"/>
      <c r="C11965" s="9"/>
      <c r="D11965" s="15"/>
      <c r="E11965" s="16"/>
      <c r="F11965" s="19"/>
      <c r="G11965" s="20"/>
      <c r="H11965" s="19"/>
    </row>
    <row r="11966">
      <c r="A11966" s="9"/>
      <c r="B11966" s="15"/>
      <c r="C11966" s="9"/>
      <c r="D11966" s="15"/>
      <c r="E11966" s="16"/>
      <c r="F11966" s="19"/>
      <c r="G11966" s="20"/>
      <c r="H11966" s="19"/>
    </row>
    <row r="11967">
      <c r="A11967" s="9"/>
      <c r="B11967" s="15"/>
      <c r="C11967" s="9"/>
      <c r="D11967" s="15"/>
      <c r="E11967" s="16"/>
      <c r="F11967" s="19"/>
      <c r="G11967" s="20"/>
      <c r="H11967" s="19"/>
    </row>
    <row r="11968">
      <c r="A11968" s="9"/>
      <c r="B11968" s="15"/>
      <c r="C11968" s="9"/>
      <c r="D11968" s="15"/>
      <c r="E11968" s="16"/>
      <c r="F11968" s="19"/>
      <c r="G11968" s="20"/>
      <c r="H11968" s="19"/>
    </row>
    <row r="11969">
      <c r="A11969" s="9"/>
      <c r="B11969" s="15"/>
      <c r="C11969" s="9"/>
      <c r="D11969" s="15"/>
      <c r="E11969" s="16"/>
      <c r="F11969" s="19"/>
      <c r="G11969" s="20"/>
      <c r="H11969" s="19"/>
    </row>
    <row r="11970">
      <c r="A11970" s="9"/>
      <c r="B11970" s="15"/>
      <c r="C11970" s="9"/>
      <c r="D11970" s="15"/>
      <c r="E11970" s="16"/>
      <c r="F11970" s="19"/>
      <c r="G11970" s="20"/>
      <c r="H11970" s="19"/>
    </row>
    <row r="11971">
      <c r="A11971" s="9"/>
      <c r="B11971" s="15"/>
      <c r="C11971" s="9"/>
      <c r="D11971" s="15"/>
      <c r="E11971" s="16"/>
      <c r="F11971" s="19"/>
      <c r="G11971" s="20"/>
      <c r="H11971" s="19"/>
    </row>
    <row r="11972">
      <c r="A11972" s="9"/>
      <c r="B11972" s="15"/>
      <c r="C11972" s="9"/>
      <c r="D11972" s="15"/>
      <c r="E11972" s="16"/>
      <c r="F11972" s="19"/>
      <c r="G11972" s="20"/>
      <c r="H11972" s="19"/>
    </row>
    <row r="11973">
      <c r="A11973" s="9"/>
      <c r="B11973" s="15"/>
      <c r="C11973" s="9"/>
      <c r="D11973" s="15"/>
      <c r="E11973" s="16"/>
      <c r="F11973" s="19"/>
      <c r="G11973" s="20"/>
      <c r="H11973" s="19"/>
    </row>
    <row r="11974">
      <c r="A11974" s="9"/>
      <c r="B11974" s="15"/>
      <c r="C11974" s="9"/>
      <c r="D11974" s="15"/>
      <c r="E11974" s="16"/>
      <c r="F11974" s="19"/>
      <c r="G11974" s="20"/>
      <c r="H11974" s="19"/>
    </row>
    <row r="11975">
      <c r="A11975" s="9"/>
      <c r="B11975" s="15"/>
      <c r="C11975" s="9"/>
      <c r="D11975" s="15"/>
      <c r="E11975" s="16"/>
      <c r="F11975" s="19"/>
      <c r="G11975" s="20"/>
      <c r="H11975" s="19"/>
    </row>
    <row r="11976">
      <c r="A11976" s="9"/>
      <c r="B11976" s="15"/>
      <c r="C11976" s="9"/>
      <c r="D11976" s="15"/>
      <c r="E11976" s="16"/>
      <c r="F11976" s="19"/>
      <c r="G11976" s="20"/>
      <c r="H11976" s="19"/>
    </row>
    <row r="11977">
      <c r="A11977" s="9"/>
      <c r="B11977" s="15"/>
      <c r="C11977" s="9"/>
      <c r="D11977" s="15"/>
      <c r="E11977" s="16"/>
      <c r="F11977" s="19"/>
      <c r="G11977" s="20"/>
      <c r="H11977" s="19"/>
    </row>
    <row r="11978">
      <c r="A11978" s="9"/>
      <c r="B11978" s="15"/>
      <c r="C11978" s="9"/>
      <c r="D11978" s="15"/>
      <c r="E11978" s="16"/>
      <c r="F11978" s="19"/>
      <c r="G11978" s="20"/>
      <c r="H11978" s="19"/>
    </row>
    <row r="11979">
      <c r="A11979" s="9"/>
      <c r="B11979" s="15"/>
      <c r="C11979" s="9"/>
      <c r="D11979" s="15"/>
      <c r="E11979" s="16"/>
      <c r="F11979" s="19"/>
      <c r="G11979" s="20"/>
      <c r="H11979" s="19"/>
    </row>
    <row r="11980">
      <c r="A11980" s="9"/>
      <c r="B11980" s="15"/>
      <c r="C11980" s="9"/>
      <c r="D11980" s="15"/>
      <c r="E11980" s="16"/>
      <c r="F11980" s="19"/>
      <c r="G11980" s="20"/>
      <c r="H11980" s="19"/>
    </row>
    <row r="11981">
      <c r="A11981" s="9"/>
      <c r="B11981" s="15"/>
      <c r="C11981" s="9"/>
      <c r="D11981" s="15"/>
      <c r="E11981" s="16"/>
      <c r="F11981" s="19"/>
      <c r="G11981" s="20"/>
      <c r="H11981" s="19"/>
    </row>
    <row r="11982">
      <c r="A11982" s="9"/>
      <c r="B11982" s="15"/>
      <c r="C11982" s="9"/>
      <c r="D11982" s="15"/>
      <c r="E11982" s="16"/>
      <c r="F11982" s="19"/>
      <c r="G11982" s="20"/>
      <c r="H11982" s="19"/>
    </row>
  </sheetData>
  <dataValidations>
    <dataValidation type="list" allowBlank="1" showErrorMessage="1" sqref="B5">
      <formula1>"Celsius,Fahrenheit"</formula1>
    </dataValidation>
    <dataValidation type="list" allowBlank="1" showErrorMessage="1" sqref="B6">
      <formula1>"SG,Plato"</formula1>
    </dataValidation>
    <dataValidation type="list" allowBlank="1" sqref="B4">
      <formula1>"all,last 7 days,last 3 days,last 2 days,last 1 day,last .5 days"</formula1>
    </dataValidation>
    <dataValidation type="list" allowBlank="1" sqref="A22">
      <formula1>"Standard Method ABV:,Alternate Method ABV:,UK HMRC Method ABV:,Wine Method ABV:"</formula1>
    </dataValidation>
  </dataValidations>
  <drawing r:id="rId2"/>
  <legacyDrawing r:id="rId3"/>
  <extLst>
    <ext uri="{05C60535-1F16-4fd2-B633-F4F36F0B64E0}">
      <x14:sparklineGroups>
        <x14:sparklineGroup displayEmptyCellsAs="gap" rightToLeft="1">
          <x14:colorSeries rgb="FF000000"/>
          <x14:sparklines>
            <x14:sparkline>
              <xm:f>Report!D:D</xm:f>
              <xm:sqref>B7</xm:sqref>
            </x14:sparkline>
          </x14:sparklines>
        </x14:sparklineGroup>
        <x14:sparklineGroup displayEmptyCellsAs="gap" rightToLeft="1">
          <x14:colorSeries rgb="FFFF0000"/>
          <x14:sparklines>
            <x14:sparkline>
              <xm:f>Report!E:E</xm:f>
              <xm:sqref>B14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0.25"/>
    <col customWidth="1" min="3" max="3" width="4.88"/>
    <col customWidth="1" min="4" max="4" width="5.25"/>
    <col customWidth="1" min="5" max="5" width="7.88"/>
    <col customWidth="1" min="6" max="6" width="15.88"/>
    <col customWidth="1" min="7" max="7" width="17.25"/>
  </cols>
  <sheetData>
    <row r="1">
      <c r="A1" s="46" t="s">
        <v>19</v>
      </c>
      <c r="B1" s="47" t="s">
        <v>20</v>
      </c>
      <c r="C1" s="48" t="s">
        <v>8</v>
      </c>
      <c r="D1" s="48" t="s">
        <v>21</v>
      </c>
      <c r="E1" s="48" t="s">
        <v>22</v>
      </c>
      <c r="F1" s="48" t="s">
        <v>23</v>
      </c>
      <c r="G1" s="48" t="s">
        <v>24</v>
      </c>
    </row>
    <row r="2">
      <c r="A2" s="49">
        <v>45020.79456284722</v>
      </c>
      <c r="B2" s="50">
        <v>45020.9193812731</v>
      </c>
      <c r="C2" s="51">
        <v>1.12</v>
      </c>
      <c r="D2" s="51">
        <v>92.0</v>
      </c>
      <c r="E2" s="52" t="s">
        <v>25</v>
      </c>
      <c r="F2" s="52" t="s">
        <v>26</v>
      </c>
      <c r="G2" s="53"/>
    </row>
    <row r="3">
      <c r="A3" s="49">
        <v>45020.804893796296</v>
      </c>
      <c r="B3" s="50">
        <v>45020.9298724652</v>
      </c>
      <c r="C3" s="51">
        <v>1.12</v>
      </c>
      <c r="D3" s="51">
        <v>92.0</v>
      </c>
      <c r="E3" s="52" t="s">
        <v>25</v>
      </c>
      <c r="F3" s="52" t="s">
        <v>26</v>
      </c>
      <c r="G3" s="53"/>
    </row>
    <row r="4">
      <c r="A4" s="49">
        <v>45020.81531126157</v>
      </c>
      <c r="B4" s="50">
        <v>45020.9402926273</v>
      </c>
      <c r="C4" s="51">
        <v>1.117</v>
      </c>
      <c r="D4" s="51">
        <v>92.0</v>
      </c>
      <c r="E4" s="52" t="s">
        <v>25</v>
      </c>
      <c r="F4" s="52" t="s">
        <v>26</v>
      </c>
      <c r="G4" s="53"/>
    </row>
    <row r="5">
      <c r="A5" s="49">
        <v>45020.825746111106</v>
      </c>
      <c r="B5" s="50">
        <v>45020.9507143287</v>
      </c>
      <c r="C5" s="51">
        <v>1.115</v>
      </c>
      <c r="D5" s="51">
        <v>92.0</v>
      </c>
      <c r="E5" s="52" t="s">
        <v>25</v>
      </c>
      <c r="F5" s="52" t="s">
        <v>26</v>
      </c>
      <c r="G5" s="53"/>
    </row>
    <row r="6">
      <c r="A6" s="49">
        <v>45020.83622907408</v>
      </c>
      <c r="B6" s="50">
        <v>45020.9611372569</v>
      </c>
      <c r="C6" s="51">
        <v>1.114</v>
      </c>
      <c r="D6" s="51">
        <v>92.0</v>
      </c>
      <c r="E6" s="52" t="s">
        <v>25</v>
      </c>
      <c r="F6" s="52" t="s">
        <v>26</v>
      </c>
      <c r="G6" s="53"/>
    </row>
    <row r="7">
      <c r="A7" s="49">
        <v>45020.84657767361</v>
      </c>
      <c r="B7" s="50">
        <v>45020.9715574768</v>
      </c>
      <c r="C7" s="51">
        <v>1.113</v>
      </c>
      <c r="D7" s="51">
        <v>92.0</v>
      </c>
      <c r="E7" s="52" t="s">
        <v>25</v>
      </c>
      <c r="F7" s="52" t="s">
        <v>26</v>
      </c>
      <c r="G7" s="53"/>
    </row>
    <row r="8">
      <c r="A8" s="49">
        <v>45020.857004502315</v>
      </c>
      <c r="B8" s="50">
        <v>45020.9819805092</v>
      </c>
      <c r="C8" s="51">
        <v>1.112</v>
      </c>
      <c r="D8" s="51">
        <v>91.0</v>
      </c>
      <c r="E8" s="52" t="s">
        <v>25</v>
      </c>
      <c r="F8" s="52" t="s">
        <v>26</v>
      </c>
      <c r="G8" s="53"/>
    </row>
    <row r="9">
      <c r="A9" s="49">
        <v>45020.867429143516</v>
      </c>
      <c r="B9" s="50">
        <v>45020.9924007986</v>
      </c>
      <c r="C9" s="51">
        <v>1.112</v>
      </c>
      <c r="D9" s="51">
        <v>91.0</v>
      </c>
      <c r="E9" s="52" t="s">
        <v>25</v>
      </c>
      <c r="F9" s="52" t="s">
        <v>26</v>
      </c>
      <c r="G9" s="53"/>
    </row>
    <row r="10">
      <c r="A10" s="49">
        <v>45020.877842870366</v>
      </c>
      <c r="B10" s="50">
        <v>45021.0028216898</v>
      </c>
      <c r="C10" s="51">
        <v>1.111</v>
      </c>
      <c r="D10" s="51">
        <v>91.0</v>
      </c>
      <c r="E10" s="52" t="s">
        <v>25</v>
      </c>
      <c r="F10" s="52" t="s">
        <v>26</v>
      </c>
      <c r="G10" s="53"/>
    </row>
    <row r="11">
      <c r="A11" s="49">
        <v>45020.88827222222</v>
      </c>
      <c r="B11" s="50">
        <v>45021.0132437152</v>
      </c>
      <c r="C11" s="51">
        <v>1.111</v>
      </c>
      <c r="D11" s="51">
        <v>91.0</v>
      </c>
      <c r="E11" s="52" t="s">
        <v>25</v>
      </c>
      <c r="F11" s="52" t="s">
        <v>26</v>
      </c>
      <c r="G11" s="53"/>
    </row>
    <row r="12">
      <c r="A12" s="49">
        <v>45020.89868759259</v>
      </c>
      <c r="B12" s="50">
        <v>45021.0236656597</v>
      </c>
      <c r="C12" s="51">
        <v>1.111</v>
      </c>
      <c r="D12" s="51">
        <v>90.0</v>
      </c>
      <c r="E12" s="52" t="s">
        <v>25</v>
      </c>
      <c r="F12" s="52" t="s">
        <v>26</v>
      </c>
      <c r="G12" s="53"/>
    </row>
    <row r="13">
      <c r="A13" s="49">
        <v>45020.90911552083</v>
      </c>
      <c r="B13" s="50">
        <v>45021.0340983564</v>
      </c>
      <c r="C13" s="51">
        <v>1.11</v>
      </c>
      <c r="D13" s="51">
        <v>90.0</v>
      </c>
      <c r="E13" s="52" t="s">
        <v>25</v>
      </c>
      <c r="F13" s="52" t="s">
        <v>26</v>
      </c>
      <c r="G13" s="53"/>
    </row>
    <row r="14">
      <c r="A14" s="49">
        <v>45020.91954469908</v>
      </c>
      <c r="B14" s="50">
        <v>45021.0445195833</v>
      </c>
      <c r="C14" s="51">
        <v>1.112</v>
      </c>
      <c r="D14" s="51">
        <v>90.0</v>
      </c>
      <c r="E14" s="52" t="s">
        <v>25</v>
      </c>
      <c r="F14" s="52" t="s">
        <v>26</v>
      </c>
      <c r="G14" s="53"/>
    </row>
    <row r="15">
      <c r="A15" s="49">
        <v>45020.929962511575</v>
      </c>
      <c r="B15" s="50">
        <v>45021.0549388541</v>
      </c>
      <c r="C15" s="51">
        <v>1.113</v>
      </c>
      <c r="D15" s="51">
        <v>89.0</v>
      </c>
      <c r="E15" s="52" t="s">
        <v>25</v>
      </c>
      <c r="F15" s="52" t="s">
        <v>26</v>
      </c>
      <c r="G15" s="53"/>
    </row>
    <row r="16">
      <c r="A16" s="49">
        <v>45020.940387361115</v>
      </c>
      <c r="B16" s="50">
        <v>45021.0653609027</v>
      </c>
      <c r="C16" s="51">
        <v>1.113</v>
      </c>
      <c r="D16" s="51">
        <v>89.0</v>
      </c>
      <c r="E16" s="52" t="s">
        <v>25</v>
      </c>
      <c r="F16" s="52" t="s">
        <v>26</v>
      </c>
      <c r="G16" s="53"/>
    </row>
    <row r="17">
      <c r="A17" s="49">
        <v>45020.950817812496</v>
      </c>
      <c r="B17" s="50">
        <v>45021.0757930902</v>
      </c>
      <c r="C17" s="51">
        <v>1.113</v>
      </c>
      <c r="D17" s="51">
        <v>89.0</v>
      </c>
      <c r="E17" s="52" t="s">
        <v>25</v>
      </c>
      <c r="F17" s="52" t="s">
        <v>26</v>
      </c>
      <c r="G17" s="53"/>
    </row>
    <row r="18">
      <c r="A18" s="49">
        <v>45020.96125983796</v>
      </c>
      <c r="B18" s="50">
        <v>45021.0862367592</v>
      </c>
      <c r="C18" s="51">
        <v>1.111</v>
      </c>
      <c r="D18" s="51">
        <v>89.0</v>
      </c>
      <c r="E18" s="52" t="s">
        <v>25</v>
      </c>
      <c r="F18" s="52" t="s">
        <v>26</v>
      </c>
      <c r="G18" s="53"/>
    </row>
    <row r="19">
      <c r="A19" s="49">
        <v>45020.971687604164</v>
      </c>
      <c r="B19" s="50">
        <v>45021.0966576967</v>
      </c>
      <c r="C19" s="51">
        <v>1.11</v>
      </c>
      <c r="D19" s="51">
        <v>89.0</v>
      </c>
      <c r="E19" s="52" t="s">
        <v>25</v>
      </c>
      <c r="F19" s="52" t="s">
        <v>26</v>
      </c>
      <c r="G19" s="53"/>
    </row>
    <row r="20">
      <c r="A20" s="49">
        <v>45020.982110902776</v>
      </c>
      <c r="B20" s="50">
        <v>45021.1070784259</v>
      </c>
      <c r="C20" s="51">
        <v>1.109</v>
      </c>
      <c r="D20" s="51">
        <v>89.0</v>
      </c>
      <c r="E20" s="52" t="s">
        <v>25</v>
      </c>
      <c r="F20" s="52" t="s">
        <v>26</v>
      </c>
      <c r="G20" s="53"/>
    </row>
    <row r="21">
      <c r="A21" s="49">
        <v>45020.99254612268</v>
      </c>
      <c r="B21" s="50">
        <v>45021.1175227083</v>
      </c>
      <c r="C21" s="51">
        <v>1.109</v>
      </c>
      <c r="D21" s="51">
        <v>88.0</v>
      </c>
      <c r="E21" s="52" t="s">
        <v>25</v>
      </c>
      <c r="F21" s="52" t="s">
        <v>26</v>
      </c>
      <c r="G21" s="53"/>
    </row>
    <row r="22">
      <c r="A22" s="49">
        <v>45021.00297383102</v>
      </c>
      <c r="B22" s="50">
        <v>45021.1279449884</v>
      </c>
      <c r="C22" s="51">
        <v>1.108</v>
      </c>
      <c r="D22" s="51">
        <v>88.0</v>
      </c>
      <c r="E22" s="52" t="s">
        <v>25</v>
      </c>
      <c r="F22" s="52" t="s">
        <v>26</v>
      </c>
      <c r="G22" s="53"/>
    </row>
    <row r="23">
      <c r="A23" s="49">
        <v>45021.01340445602</v>
      </c>
      <c r="B23" s="50">
        <v>45021.1383788888</v>
      </c>
      <c r="C23" s="51">
        <v>1.109</v>
      </c>
      <c r="D23" s="51">
        <v>88.0</v>
      </c>
      <c r="E23" s="52" t="s">
        <v>25</v>
      </c>
      <c r="F23" s="52" t="s">
        <v>26</v>
      </c>
      <c r="G23" s="53"/>
    </row>
    <row r="24">
      <c r="A24" s="49">
        <v>45021.02383239583</v>
      </c>
      <c r="B24" s="50">
        <v>45021.1488004745</v>
      </c>
      <c r="C24" s="51">
        <v>1.109</v>
      </c>
      <c r="D24" s="51">
        <v>87.0</v>
      </c>
      <c r="E24" s="52" t="s">
        <v>25</v>
      </c>
      <c r="F24" s="52" t="s">
        <v>26</v>
      </c>
      <c r="G24" s="53"/>
    </row>
    <row r="25">
      <c r="A25" s="49">
        <v>45021.03424756945</v>
      </c>
      <c r="B25" s="50">
        <v>45021.1592218518</v>
      </c>
      <c r="C25" s="51">
        <v>1.109</v>
      </c>
      <c r="D25" s="51">
        <v>87.0</v>
      </c>
      <c r="E25" s="52" t="s">
        <v>25</v>
      </c>
      <c r="F25" s="52" t="s">
        <v>26</v>
      </c>
      <c r="G25" s="53"/>
    </row>
    <row r="26">
      <c r="A26" s="49">
        <v>45021.04467004629</v>
      </c>
      <c r="B26" s="50">
        <v>45021.1696439236</v>
      </c>
      <c r="C26" s="51">
        <v>1.109</v>
      </c>
      <c r="D26" s="51">
        <v>87.0</v>
      </c>
      <c r="E26" s="52" t="s">
        <v>25</v>
      </c>
      <c r="F26" s="52" t="s">
        <v>26</v>
      </c>
      <c r="G26" s="53"/>
    </row>
    <row r="27">
      <c r="A27" s="49">
        <v>45021.05508846065</v>
      </c>
      <c r="B27" s="50">
        <v>45021.1800650463</v>
      </c>
      <c r="C27" s="51">
        <v>1.109</v>
      </c>
      <c r="D27" s="51">
        <v>87.0</v>
      </c>
      <c r="E27" s="52" t="s">
        <v>25</v>
      </c>
      <c r="F27" s="52" t="s">
        <v>26</v>
      </c>
      <c r="G27" s="53"/>
    </row>
    <row r="28">
      <c r="A28" s="49">
        <v>45021.06555115741</v>
      </c>
      <c r="B28" s="50">
        <v>45021.190523125</v>
      </c>
      <c r="C28" s="51">
        <v>1.108</v>
      </c>
      <c r="D28" s="51">
        <v>87.0</v>
      </c>
      <c r="E28" s="52" t="s">
        <v>25</v>
      </c>
      <c r="F28" s="52" t="s">
        <v>26</v>
      </c>
      <c r="G28" s="53"/>
    </row>
    <row r="29">
      <c r="A29" s="49">
        <v>45021.07597622686</v>
      </c>
      <c r="B29" s="50">
        <v>45021.2009448611</v>
      </c>
      <c r="C29" s="51">
        <v>1.108</v>
      </c>
      <c r="D29" s="51">
        <v>86.0</v>
      </c>
      <c r="E29" s="52" t="s">
        <v>25</v>
      </c>
      <c r="F29" s="52" t="s">
        <v>26</v>
      </c>
      <c r="G29" s="53"/>
    </row>
    <row r="30">
      <c r="A30" s="49">
        <v>45021.08639040509</v>
      </c>
      <c r="B30" s="50">
        <v>45021.2113672337</v>
      </c>
      <c r="C30" s="51">
        <v>1.108</v>
      </c>
      <c r="D30" s="51">
        <v>86.0</v>
      </c>
      <c r="E30" s="52" t="s">
        <v>25</v>
      </c>
      <c r="F30" s="52" t="s">
        <v>26</v>
      </c>
      <c r="G30" s="53"/>
    </row>
    <row r="31">
      <c r="A31" s="49">
        <v>45021.09683050926</v>
      </c>
      <c r="B31" s="50">
        <v>45021.2218013773</v>
      </c>
      <c r="C31" s="51">
        <v>1.109</v>
      </c>
      <c r="D31" s="51">
        <v>86.0</v>
      </c>
      <c r="E31" s="52" t="s">
        <v>25</v>
      </c>
      <c r="F31" s="52" t="s">
        <v>26</v>
      </c>
      <c r="G31" s="53"/>
    </row>
    <row r="32">
      <c r="A32" s="49">
        <v>45021.107255208335</v>
      </c>
      <c r="B32" s="50">
        <v>45021.2322222338</v>
      </c>
      <c r="C32" s="51">
        <v>1.108</v>
      </c>
      <c r="D32" s="51">
        <v>86.0</v>
      </c>
      <c r="E32" s="52" t="s">
        <v>25</v>
      </c>
      <c r="F32" s="52" t="s">
        <v>26</v>
      </c>
      <c r="G32" s="53"/>
    </row>
    <row r="33">
      <c r="A33" s="49">
        <v>45021.11766679398</v>
      </c>
      <c r="B33" s="50">
        <v>45021.2426432639</v>
      </c>
      <c r="C33" s="51">
        <v>1.108</v>
      </c>
      <c r="D33" s="51">
        <v>86.0</v>
      </c>
      <c r="E33" s="52" t="s">
        <v>25</v>
      </c>
      <c r="F33" s="52" t="s">
        <v>26</v>
      </c>
      <c r="G33" s="53"/>
    </row>
    <row r="34">
      <c r="A34" s="49">
        <v>45021.128086157405</v>
      </c>
      <c r="B34" s="50">
        <v>45021.2530656481</v>
      </c>
      <c r="C34" s="51">
        <v>1.108</v>
      </c>
      <c r="D34" s="51">
        <v>86.0</v>
      </c>
      <c r="E34" s="52" t="s">
        <v>25</v>
      </c>
      <c r="F34" s="52" t="s">
        <v>26</v>
      </c>
      <c r="G34" s="53"/>
    </row>
    <row r="35">
      <c r="A35" s="49">
        <v>45021.138516446765</v>
      </c>
      <c r="B35" s="50">
        <v>45021.2634979629</v>
      </c>
      <c r="C35" s="51">
        <v>1.108</v>
      </c>
      <c r="D35" s="51">
        <v>86.0</v>
      </c>
      <c r="E35" s="52" t="s">
        <v>25</v>
      </c>
      <c r="F35" s="52" t="s">
        <v>26</v>
      </c>
      <c r="G35" s="53"/>
    </row>
    <row r="36">
      <c r="A36" s="49">
        <v>45021.14893693287</v>
      </c>
      <c r="B36" s="50">
        <v>45021.273918206</v>
      </c>
      <c r="C36" s="51">
        <v>1.108</v>
      </c>
      <c r="D36" s="51">
        <v>86.0</v>
      </c>
      <c r="E36" s="52" t="s">
        <v>25</v>
      </c>
      <c r="F36" s="52" t="s">
        <v>26</v>
      </c>
      <c r="G36" s="53"/>
    </row>
    <row r="37">
      <c r="A37" s="49">
        <v>45021.15937552083</v>
      </c>
      <c r="B37" s="50">
        <v>45021.2843392014</v>
      </c>
      <c r="C37" s="51">
        <v>1.108</v>
      </c>
      <c r="D37" s="51">
        <v>85.0</v>
      </c>
      <c r="E37" s="52" t="s">
        <v>25</v>
      </c>
      <c r="F37" s="52" t="s">
        <v>26</v>
      </c>
      <c r="G37" s="53"/>
    </row>
    <row r="38">
      <c r="A38" s="49">
        <v>45021.16978923611</v>
      </c>
      <c r="B38" s="50">
        <v>45021.2947610763</v>
      </c>
      <c r="C38" s="51">
        <v>1.108</v>
      </c>
      <c r="D38" s="51">
        <v>85.0</v>
      </c>
      <c r="E38" s="52" t="s">
        <v>25</v>
      </c>
      <c r="F38" s="52" t="s">
        <v>26</v>
      </c>
      <c r="G38" s="53"/>
    </row>
    <row r="39">
      <c r="A39" s="49">
        <v>45021.18021543982</v>
      </c>
      <c r="B39" s="50">
        <v>45021.3051928819</v>
      </c>
      <c r="C39" s="51">
        <v>1.108</v>
      </c>
      <c r="D39" s="51">
        <v>85.0</v>
      </c>
      <c r="E39" s="52" t="s">
        <v>25</v>
      </c>
      <c r="F39" s="52" t="s">
        <v>26</v>
      </c>
      <c r="G39" s="53"/>
    </row>
    <row r="40">
      <c r="A40" s="49">
        <v>45021.19065078704</v>
      </c>
      <c r="B40" s="50">
        <v>45021.3156268634</v>
      </c>
      <c r="C40" s="51">
        <v>1.108</v>
      </c>
      <c r="D40" s="51">
        <v>85.0</v>
      </c>
      <c r="E40" s="52" t="s">
        <v>25</v>
      </c>
      <c r="F40" s="52" t="s">
        <v>26</v>
      </c>
      <c r="G40" s="53"/>
    </row>
    <row r="41">
      <c r="A41" s="49">
        <v>45021.201085162036</v>
      </c>
      <c r="B41" s="50">
        <v>45021.3260574189</v>
      </c>
      <c r="C41" s="51">
        <v>1.108</v>
      </c>
      <c r="D41" s="51">
        <v>85.0</v>
      </c>
      <c r="E41" s="52" t="s">
        <v>25</v>
      </c>
      <c r="F41" s="52" t="s">
        <v>26</v>
      </c>
      <c r="G41" s="53"/>
    </row>
    <row r="42">
      <c r="A42" s="49">
        <v>45021.21150089121</v>
      </c>
      <c r="B42" s="50">
        <v>45021.3364781365</v>
      </c>
      <c r="C42" s="51">
        <v>1.107</v>
      </c>
      <c r="D42" s="51">
        <v>85.0</v>
      </c>
      <c r="E42" s="52" t="s">
        <v>25</v>
      </c>
      <c r="F42" s="52" t="s">
        <v>26</v>
      </c>
      <c r="G42" s="53"/>
    </row>
    <row r="43">
      <c r="A43" s="49">
        <v>45021.22195175926</v>
      </c>
      <c r="B43" s="50">
        <v>45021.3469226736</v>
      </c>
      <c r="C43" s="51">
        <v>1.107</v>
      </c>
      <c r="D43" s="51">
        <v>85.0</v>
      </c>
      <c r="E43" s="52" t="s">
        <v>25</v>
      </c>
      <c r="F43" s="52" t="s">
        <v>26</v>
      </c>
      <c r="G43" s="53"/>
    </row>
    <row r="44">
      <c r="A44" s="49">
        <v>45021.23236385417</v>
      </c>
      <c r="B44" s="50">
        <v>45021.3573434953</v>
      </c>
      <c r="C44" s="51">
        <v>1.107</v>
      </c>
      <c r="D44" s="51">
        <v>85.0</v>
      </c>
      <c r="E44" s="52" t="s">
        <v>25</v>
      </c>
      <c r="F44" s="52" t="s">
        <v>26</v>
      </c>
      <c r="G44" s="53"/>
    </row>
    <row r="45">
      <c r="A45" s="49">
        <v>45021.242787986106</v>
      </c>
      <c r="B45" s="50">
        <v>45021.3677647338</v>
      </c>
      <c r="C45" s="51">
        <v>1.106</v>
      </c>
      <c r="D45" s="51">
        <v>84.0</v>
      </c>
      <c r="E45" s="52" t="s">
        <v>25</v>
      </c>
      <c r="F45" s="52" t="s">
        <v>26</v>
      </c>
      <c r="G45" s="53"/>
    </row>
    <row r="46">
      <c r="A46" s="49">
        <v>45021.253285949075</v>
      </c>
      <c r="B46" s="50">
        <v>45021.3782545023</v>
      </c>
      <c r="C46" s="51">
        <v>1.105</v>
      </c>
      <c r="D46" s="51">
        <v>84.0</v>
      </c>
      <c r="E46" s="52" t="s">
        <v>25</v>
      </c>
      <c r="F46" s="52" t="s">
        <v>26</v>
      </c>
      <c r="G46" s="53"/>
    </row>
    <row r="47">
      <c r="A47" s="49">
        <v>45021.26369571759</v>
      </c>
      <c r="B47" s="50">
        <v>45021.3886748495</v>
      </c>
      <c r="C47" s="51">
        <v>1.106</v>
      </c>
      <c r="D47" s="51">
        <v>84.0</v>
      </c>
      <c r="E47" s="52" t="s">
        <v>25</v>
      </c>
      <c r="F47" s="52" t="s">
        <v>26</v>
      </c>
      <c r="G47" s="53"/>
    </row>
    <row r="48">
      <c r="A48" s="49">
        <v>45021.2741215625</v>
      </c>
      <c r="B48" s="50">
        <v>45021.3990964699</v>
      </c>
      <c r="C48" s="51">
        <v>1.106</v>
      </c>
      <c r="D48" s="51">
        <v>84.0</v>
      </c>
      <c r="E48" s="52" t="s">
        <v>25</v>
      </c>
      <c r="F48" s="52" t="s">
        <v>26</v>
      </c>
      <c r="G48" s="53"/>
    </row>
    <row r="49">
      <c r="A49" s="49">
        <v>45021.2845444213</v>
      </c>
      <c r="B49" s="50">
        <v>45021.409517037</v>
      </c>
      <c r="C49" s="51">
        <v>1.105</v>
      </c>
      <c r="D49" s="51">
        <v>84.0</v>
      </c>
      <c r="E49" s="52" t="s">
        <v>25</v>
      </c>
      <c r="F49" s="52" t="s">
        <v>26</v>
      </c>
      <c r="G49" s="53"/>
    </row>
    <row r="50">
      <c r="A50" s="49">
        <v>45021.2949855787</v>
      </c>
      <c r="B50" s="50">
        <v>45021.419950324</v>
      </c>
      <c r="C50" s="51">
        <v>1.105</v>
      </c>
      <c r="D50" s="51">
        <v>84.0</v>
      </c>
      <c r="E50" s="52" t="s">
        <v>25</v>
      </c>
      <c r="F50" s="52" t="s">
        <v>26</v>
      </c>
      <c r="G50" s="53"/>
    </row>
    <row r="51">
      <c r="A51" s="49">
        <v>45021.30540030093</v>
      </c>
      <c r="B51" s="50">
        <v>45021.4303730902</v>
      </c>
      <c r="C51" s="51">
        <v>1.104</v>
      </c>
      <c r="D51" s="51">
        <v>84.0</v>
      </c>
      <c r="E51" s="52" t="s">
        <v>25</v>
      </c>
      <c r="F51" s="52" t="s">
        <v>26</v>
      </c>
      <c r="G51" s="53"/>
    </row>
    <row r="52">
      <c r="A52" s="49">
        <v>45021.31582388889</v>
      </c>
      <c r="B52" s="50">
        <v>45021.4407943981</v>
      </c>
      <c r="C52" s="51">
        <v>1.104</v>
      </c>
      <c r="D52" s="51">
        <v>84.0</v>
      </c>
      <c r="E52" s="52" t="s">
        <v>25</v>
      </c>
      <c r="F52" s="52" t="s">
        <v>26</v>
      </c>
      <c r="G52" s="53"/>
    </row>
    <row r="53">
      <c r="A53" s="49">
        <v>45021.32625916667</v>
      </c>
      <c r="B53" s="50">
        <v>45021.4512370833</v>
      </c>
      <c r="C53" s="51">
        <v>1.104</v>
      </c>
      <c r="D53" s="51">
        <v>84.0</v>
      </c>
      <c r="E53" s="52" t="s">
        <v>25</v>
      </c>
      <c r="F53" s="52" t="s">
        <v>26</v>
      </c>
      <c r="G53" s="53"/>
    </row>
    <row r="54">
      <c r="A54" s="49">
        <v>45021.33670341435</v>
      </c>
      <c r="B54" s="50">
        <v>45021.4616683333</v>
      </c>
      <c r="C54" s="51">
        <v>1.103</v>
      </c>
      <c r="D54" s="51">
        <v>83.0</v>
      </c>
      <c r="E54" s="52" t="s">
        <v>25</v>
      </c>
      <c r="F54" s="52" t="s">
        <v>26</v>
      </c>
      <c r="G54" s="53"/>
    </row>
    <row r="55">
      <c r="A55" s="49">
        <v>45021.34711945602</v>
      </c>
      <c r="B55" s="50">
        <v>45021.4720905902</v>
      </c>
      <c r="C55" s="51">
        <v>1.103</v>
      </c>
      <c r="D55" s="51">
        <v>83.0</v>
      </c>
      <c r="E55" s="52" t="s">
        <v>25</v>
      </c>
      <c r="F55" s="52" t="s">
        <v>26</v>
      </c>
      <c r="G55" s="53"/>
    </row>
    <row r="56">
      <c r="A56" s="49">
        <v>45021.35753704861</v>
      </c>
      <c r="B56" s="50">
        <v>45021.4825113426</v>
      </c>
      <c r="C56" s="51">
        <v>1.103</v>
      </c>
      <c r="D56" s="51">
        <v>83.0</v>
      </c>
      <c r="E56" s="52" t="s">
        <v>25</v>
      </c>
      <c r="F56" s="52" t="s">
        <v>26</v>
      </c>
      <c r="G56" s="53"/>
    </row>
    <row r="57">
      <c r="A57" s="49">
        <v>45021.36797126157</v>
      </c>
      <c r="B57" s="50">
        <v>45021.492932581</v>
      </c>
      <c r="C57" s="51">
        <v>1.103</v>
      </c>
      <c r="D57" s="51">
        <v>83.0</v>
      </c>
      <c r="E57" s="52" t="s">
        <v>25</v>
      </c>
      <c r="F57" s="52" t="s">
        <v>26</v>
      </c>
      <c r="G57" s="53"/>
    </row>
    <row r="58">
      <c r="A58" s="49">
        <v>45021.37837482639</v>
      </c>
      <c r="B58" s="50">
        <v>45021.5033542361</v>
      </c>
      <c r="C58" s="51">
        <v>1.103</v>
      </c>
      <c r="D58" s="51">
        <v>83.0</v>
      </c>
      <c r="E58" s="52" t="s">
        <v>25</v>
      </c>
      <c r="F58" s="52" t="s">
        <v>26</v>
      </c>
      <c r="G58" s="53"/>
    </row>
    <row r="59">
      <c r="A59" s="49">
        <v>45021.38879890046</v>
      </c>
      <c r="B59" s="50">
        <v>45021.5137755555</v>
      </c>
      <c r="C59" s="51">
        <v>1.102</v>
      </c>
      <c r="D59" s="51">
        <v>83.0</v>
      </c>
      <c r="E59" s="52" t="s">
        <v>25</v>
      </c>
      <c r="F59" s="52" t="s">
        <v>26</v>
      </c>
      <c r="G59" s="53"/>
    </row>
    <row r="60">
      <c r="A60" s="49">
        <v>45021.399240046296</v>
      </c>
      <c r="B60" s="50">
        <v>45021.5242204166</v>
      </c>
      <c r="C60" s="51">
        <v>1.101</v>
      </c>
      <c r="D60" s="51">
        <v>83.0</v>
      </c>
      <c r="E60" s="52" t="s">
        <v>25</v>
      </c>
      <c r="F60" s="52" t="s">
        <v>26</v>
      </c>
      <c r="G60" s="53"/>
    </row>
    <row r="61">
      <c r="A61" s="49">
        <v>45021.40967190972</v>
      </c>
      <c r="B61" s="50">
        <v>45021.5346411111</v>
      </c>
      <c r="C61" s="51">
        <v>1.103</v>
      </c>
      <c r="D61" s="51">
        <v>83.0</v>
      </c>
      <c r="E61" s="52" t="s">
        <v>25</v>
      </c>
      <c r="F61" s="52" t="s">
        <v>26</v>
      </c>
      <c r="G61" s="53"/>
    </row>
    <row r="62">
      <c r="A62" s="49">
        <v>45021.420092326385</v>
      </c>
      <c r="B62" s="50">
        <v>45021.5450621643</v>
      </c>
      <c r="C62" s="51">
        <v>1.102</v>
      </c>
      <c r="D62" s="51">
        <v>82.0</v>
      </c>
      <c r="E62" s="52" t="s">
        <v>25</v>
      </c>
      <c r="F62" s="52" t="s">
        <v>26</v>
      </c>
      <c r="G62" s="53"/>
    </row>
    <row r="63">
      <c r="A63" s="49">
        <v>45021.43050318287</v>
      </c>
      <c r="B63" s="50">
        <v>45021.5554830555</v>
      </c>
      <c r="C63" s="51">
        <v>1.102</v>
      </c>
      <c r="D63" s="51">
        <v>82.0</v>
      </c>
      <c r="E63" s="52" t="s">
        <v>25</v>
      </c>
      <c r="F63" s="52" t="s">
        <v>26</v>
      </c>
      <c r="G63" s="53"/>
    </row>
    <row r="64">
      <c r="A64" s="49">
        <v>45021.44093121528</v>
      </c>
      <c r="B64" s="50">
        <v>45021.5659052546</v>
      </c>
      <c r="C64" s="51">
        <v>1.101</v>
      </c>
      <c r="D64" s="51">
        <v>82.0</v>
      </c>
      <c r="E64" s="52" t="s">
        <v>25</v>
      </c>
      <c r="F64" s="52" t="s">
        <v>26</v>
      </c>
      <c r="G64" s="53"/>
    </row>
    <row r="65">
      <c r="A65" s="49">
        <v>45021.451350324074</v>
      </c>
      <c r="B65" s="50">
        <v>45021.5763269328</v>
      </c>
      <c r="C65" s="51">
        <v>1.1</v>
      </c>
      <c r="D65" s="51">
        <v>82.0</v>
      </c>
      <c r="E65" s="52" t="s">
        <v>25</v>
      </c>
      <c r="F65" s="52" t="s">
        <v>26</v>
      </c>
      <c r="G65" s="53"/>
    </row>
    <row r="66">
      <c r="A66" s="49">
        <v>45021.461786712964</v>
      </c>
      <c r="B66" s="50">
        <v>45021.58676</v>
      </c>
      <c r="C66" s="51">
        <v>1.102</v>
      </c>
      <c r="D66" s="51">
        <v>82.0</v>
      </c>
      <c r="E66" s="52" t="s">
        <v>25</v>
      </c>
      <c r="F66" s="52" t="s">
        <v>26</v>
      </c>
      <c r="G66" s="53"/>
    </row>
    <row r="67">
      <c r="A67" s="49">
        <v>45021.47220761574</v>
      </c>
      <c r="B67" s="50">
        <v>45021.597180243</v>
      </c>
      <c r="C67" s="51">
        <v>1.102</v>
      </c>
      <c r="D67" s="51">
        <v>82.0</v>
      </c>
      <c r="E67" s="52" t="s">
        <v>25</v>
      </c>
      <c r="F67" s="52" t="s">
        <v>26</v>
      </c>
      <c r="G67" s="53"/>
    </row>
    <row r="68">
      <c r="A68" s="49">
        <v>45021.48262384259</v>
      </c>
      <c r="B68" s="50">
        <v>45021.6076027662</v>
      </c>
      <c r="C68" s="51">
        <v>1.101</v>
      </c>
      <c r="D68" s="51">
        <v>82.0</v>
      </c>
      <c r="E68" s="52" t="s">
        <v>25</v>
      </c>
      <c r="F68" s="52" t="s">
        <v>26</v>
      </c>
      <c r="G68" s="53"/>
    </row>
    <row r="69">
      <c r="A69" s="49">
        <v>45021.49307795139</v>
      </c>
      <c r="B69" s="50">
        <v>45021.6180481365</v>
      </c>
      <c r="C69" s="51">
        <v>1.101</v>
      </c>
      <c r="D69" s="51">
        <v>82.0</v>
      </c>
      <c r="E69" s="52" t="s">
        <v>25</v>
      </c>
      <c r="F69" s="52" t="s">
        <v>26</v>
      </c>
      <c r="G69" s="53"/>
    </row>
    <row r="70">
      <c r="A70" s="49">
        <v>45021.50349837963</v>
      </c>
      <c r="B70" s="50">
        <v>45021.6284801736</v>
      </c>
      <c r="C70" s="51">
        <v>1.101</v>
      </c>
      <c r="D70" s="51">
        <v>81.0</v>
      </c>
      <c r="E70" s="52" t="s">
        <v>25</v>
      </c>
      <c r="F70" s="52" t="s">
        <v>26</v>
      </c>
      <c r="G70" s="53"/>
    </row>
    <row r="71">
      <c r="A71" s="49">
        <v>45021.51392395834</v>
      </c>
      <c r="B71" s="50">
        <v>45021.6389023958</v>
      </c>
      <c r="C71" s="51">
        <v>1.101</v>
      </c>
      <c r="D71" s="51">
        <v>81.0</v>
      </c>
      <c r="E71" s="52" t="s">
        <v>25</v>
      </c>
      <c r="F71" s="52" t="s">
        <v>26</v>
      </c>
      <c r="G71" s="53"/>
    </row>
    <row r="72">
      <c r="A72" s="49">
        <v>45021.524348125</v>
      </c>
      <c r="B72" s="50">
        <v>45021.6493215856</v>
      </c>
      <c r="C72" s="51">
        <v>1.101</v>
      </c>
      <c r="D72" s="51">
        <v>81.0</v>
      </c>
      <c r="E72" s="52" t="s">
        <v>25</v>
      </c>
      <c r="F72" s="52" t="s">
        <v>26</v>
      </c>
      <c r="G72" s="53"/>
    </row>
    <row r="73">
      <c r="A73" s="49">
        <v>45021.534764502314</v>
      </c>
      <c r="B73" s="50">
        <v>45021.6597424884</v>
      </c>
      <c r="C73" s="51">
        <v>1.101</v>
      </c>
      <c r="D73" s="51">
        <v>81.0</v>
      </c>
      <c r="E73" s="52" t="s">
        <v>25</v>
      </c>
      <c r="F73" s="52" t="s">
        <v>26</v>
      </c>
      <c r="G73" s="53"/>
    </row>
    <row r="74">
      <c r="A74" s="49">
        <v>45021.54519350694</v>
      </c>
      <c r="B74" s="50">
        <v>45021.6701636689</v>
      </c>
      <c r="C74" s="51">
        <v>1.099</v>
      </c>
      <c r="D74" s="51">
        <v>81.0</v>
      </c>
      <c r="E74" s="52" t="s">
        <v>25</v>
      </c>
      <c r="F74" s="52" t="s">
        <v>26</v>
      </c>
      <c r="G74" s="53"/>
    </row>
    <row r="75">
      <c r="A75" s="49">
        <v>45021.555655868055</v>
      </c>
      <c r="B75" s="50">
        <v>45021.6806305324</v>
      </c>
      <c r="C75" s="51">
        <v>1.1</v>
      </c>
      <c r="D75" s="51">
        <v>81.0</v>
      </c>
      <c r="E75" s="52" t="s">
        <v>25</v>
      </c>
      <c r="F75" s="52" t="s">
        <v>26</v>
      </c>
      <c r="G75" s="53"/>
    </row>
    <row r="76">
      <c r="A76" s="49">
        <v>45021.5660791088</v>
      </c>
      <c r="B76" s="50">
        <v>45021.6910537268</v>
      </c>
      <c r="C76" s="51">
        <v>1.099</v>
      </c>
      <c r="D76" s="51">
        <v>80.0</v>
      </c>
      <c r="E76" s="52" t="s">
        <v>25</v>
      </c>
      <c r="F76" s="52" t="s">
        <v>26</v>
      </c>
      <c r="G76" s="53"/>
    </row>
    <row r="77">
      <c r="A77" s="49">
        <v>45021.57650084491</v>
      </c>
      <c r="B77" s="50">
        <v>45021.7014739583</v>
      </c>
      <c r="C77" s="51">
        <v>1.1</v>
      </c>
      <c r="D77" s="51">
        <v>80.0</v>
      </c>
      <c r="E77" s="52" t="s">
        <v>25</v>
      </c>
      <c r="F77" s="52" t="s">
        <v>26</v>
      </c>
      <c r="G77" s="53"/>
    </row>
    <row r="78">
      <c r="A78" s="49">
        <v>45021.5869321412</v>
      </c>
      <c r="B78" s="50">
        <v>45021.7119070138</v>
      </c>
      <c r="C78" s="51">
        <v>1.1</v>
      </c>
      <c r="D78" s="51">
        <v>80.0</v>
      </c>
      <c r="E78" s="52" t="s">
        <v>25</v>
      </c>
      <c r="F78" s="52" t="s">
        <v>26</v>
      </c>
      <c r="G78" s="53"/>
    </row>
    <row r="79">
      <c r="A79" s="49">
        <v>45021.59734980324</v>
      </c>
      <c r="B79" s="50">
        <v>45021.7223281944</v>
      </c>
      <c r="C79" s="51">
        <v>1.1</v>
      </c>
      <c r="D79" s="51">
        <v>80.0</v>
      </c>
      <c r="E79" s="52" t="s">
        <v>25</v>
      </c>
      <c r="F79" s="52" t="s">
        <v>26</v>
      </c>
      <c r="G79" s="53"/>
    </row>
    <row r="80">
      <c r="A80" s="49">
        <v>45021.6077884838</v>
      </c>
      <c r="B80" s="50">
        <v>45021.7327628472</v>
      </c>
      <c r="C80" s="51">
        <v>1.1</v>
      </c>
      <c r="D80" s="51">
        <v>80.0</v>
      </c>
      <c r="E80" s="52" t="s">
        <v>25</v>
      </c>
      <c r="F80" s="52" t="s">
        <v>26</v>
      </c>
      <c r="G80" s="53"/>
    </row>
    <row r="81">
      <c r="A81" s="49">
        <v>45021.60946951389</v>
      </c>
      <c r="B81" s="50">
        <v>45021.7277273726</v>
      </c>
      <c r="C81" s="51">
        <v>1.099</v>
      </c>
      <c r="D81" s="51">
        <v>80.0</v>
      </c>
      <c r="E81" s="52" t="s">
        <v>25</v>
      </c>
      <c r="F81" s="52" t="s">
        <v>26</v>
      </c>
      <c r="G81" s="53"/>
    </row>
    <row r="82">
      <c r="A82" s="49">
        <v>45021.61261416667</v>
      </c>
      <c r="B82" s="50">
        <v>45021.7351630555</v>
      </c>
      <c r="C82" s="51">
        <v>1.1</v>
      </c>
      <c r="D82" s="51">
        <v>80.0</v>
      </c>
      <c r="E82" s="52" t="s">
        <v>25</v>
      </c>
      <c r="F82" s="52" t="s">
        <v>26</v>
      </c>
      <c r="G82" s="53"/>
    </row>
    <row r="83">
      <c r="A83" s="49">
        <v>45021.62061753472</v>
      </c>
      <c r="B83" s="50">
        <v>45021.7455900115</v>
      </c>
      <c r="C83" s="51">
        <v>1.101</v>
      </c>
      <c r="D83" s="51">
        <v>80.0</v>
      </c>
      <c r="E83" s="52" t="s">
        <v>25</v>
      </c>
      <c r="F83" s="52" t="s">
        <v>26</v>
      </c>
      <c r="G83" s="53"/>
    </row>
    <row r="84">
      <c r="A84" s="49">
        <v>45021.631030902776</v>
      </c>
      <c r="B84" s="50">
        <v>45021.7560090856</v>
      </c>
      <c r="C84" s="51">
        <v>1.099</v>
      </c>
      <c r="D84" s="51">
        <v>80.0</v>
      </c>
      <c r="E84" s="52" t="s">
        <v>25</v>
      </c>
      <c r="F84" s="52" t="s">
        <v>26</v>
      </c>
      <c r="G84" s="53"/>
    </row>
    <row r="85">
      <c r="A85" s="49">
        <v>45021.64145545139</v>
      </c>
      <c r="B85" s="50">
        <v>45021.7664283912</v>
      </c>
      <c r="C85" s="51">
        <v>1.099</v>
      </c>
      <c r="D85" s="51">
        <v>80.0</v>
      </c>
      <c r="E85" s="52" t="s">
        <v>25</v>
      </c>
      <c r="F85" s="52" t="s">
        <v>26</v>
      </c>
      <c r="G85" s="53"/>
    </row>
    <row r="86">
      <c r="A86" s="49">
        <v>45021.651865381944</v>
      </c>
      <c r="B86" s="50">
        <v>45021.7768490509</v>
      </c>
      <c r="C86" s="51">
        <v>1.099</v>
      </c>
      <c r="D86" s="51">
        <v>80.0</v>
      </c>
      <c r="E86" s="52" t="s">
        <v>25</v>
      </c>
      <c r="F86" s="52" t="s">
        <v>26</v>
      </c>
      <c r="G86" s="53"/>
    </row>
    <row r="87">
      <c r="A87" s="49">
        <v>45021.662297523144</v>
      </c>
      <c r="B87" s="50">
        <v>45021.7872703356</v>
      </c>
      <c r="C87" s="51">
        <v>1.099</v>
      </c>
      <c r="D87" s="51">
        <v>79.0</v>
      </c>
      <c r="E87" s="52" t="s">
        <v>25</v>
      </c>
      <c r="F87" s="52" t="s">
        <v>26</v>
      </c>
      <c r="G87" s="53"/>
    </row>
    <row r="88">
      <c r="A88" s="49">
        <v>45021.67271866898</v>
      </c>
      <c r="B88" s="50">
        <v>45021.7976913888</v>
      </c>
      <c r="C88" s="51">
        <v>1.099</v>
      </c>
      <c r="D88" s="51">
        <v>79.0</v>
      </c>
      <c r="E88" s="52" t="s">
        <v>25</v>
      </c>
      <c r="F88" s="52" t="s">
        <v>26</v>
      </c>
      <c r="G88" s="53"/>
    </row>
    <row r="89">
      <c r="A89" s="49">
        <v>45021.68314958333</v>
      </c>
      <c r="B89" s="50">
        <v>45021.8081255671</v>
      </c>
      <c r="C89" s="51">
        <v>1.099</v>
      </c>
      <c r="D89" s="51">
        <v>79.0</v>
      </c>
      <c r="E89" s="52" t="s">
        <v>25</v>
      </c>
      <c r="F89" s="52" t="s">
        <v>26</v>
      </c>
      <c r="G89" s="53"/>
    </row>
    <row r="90">
      <c r="A90" s="49">
        <v>45021.69356773148</v>
      </c>
      <c r="B90" s="50">
        <v>45021.8185447685</v>
      </c>
      <c r="C90" s="51">
        <v>1.099</v>
      </c>
      <c r="D90" s="51">
        <v>79.0</v>
      </c>
      <c r="E90" s="52" t="s">
        <v>25</v>
      </c>
      <c r="F90" s="52" t="s">
        <v>26</v>
      </c>
      <c r="G90" s="53"/>
    </row>
    <row r="91">
      <c r="A91" s="49">
        <v>45021.703996875</v>
      </c>
      <c r="B91" s="50">
        <v>45021.8289668055</v>
      </c>
      <c r="C91" s="51">
        <v>1.099</v>
      </c>
      <c r="D91" s="51">
        <v>79.0</v>
      </c>
      <c r="E91" s="52" t="s">
        <v>25</v>
      </c>
      <c r="F91" s="52" t="s">
        <v>26</v>
      </c>
      <c r="G91" s="53"/>
    </row>
    <row r="92">
      <c r="A92" s="49">
        <v>45021.71441513889</v>
      </c>
      <c r="B92" s="50">
        <v>45021.8393885416</v>
      </c>
      <c r="C92" s="51">
        <v>1.099</v>
      </c>
      <c r="D92" s="51">
        <v>78.0</v>
      </c>
      <c r="E92" s="52" t="s">
        <v>25</v>
      </c>
      <c r="F92" s="52" t="s">
        <v>26</v>
      </c>
      <c r="G92" s="53"/>
    </row>
    <row r="93">
      <c r="A93" s="49">
        <v>45021.724829375</v>
      </c>
      <c r="B93" s="50">
        <v>45021.8498094907</v>
      </c>
      <c r="C93" s="51">
        <v>1.098</v>
      </c>
      <c r="D93" s="51">
        <v>76.0</v>
      </c>
      <c r="E93" s="52" t="s">
        <v>25</v>
      </c>
      <c r="F93" s="52" t="s">
        <v>26</v>
      </c>
      <c r="G93" s="53"/>
    </row>
    <row r="94">
      <c r="A94" s="49">
        <v>45021.73525592593</v>
      </c>
      <c r="B94" s="50">
        <v>45021.8602299884</v>
      </c>
      <c r="C94" s="51">
        <v>1.098</v>
      </c>
      <c r="D94" s="51">
        <v>74.0</v>
      </c>
      <c r="E94" s="52" t="s">
        <v>25</v>
      </c>
      <c r="F94" s="52" t="s">
        <v>26</v>
      </c>
      <c r="G94" s="53"/>
    </row>
    <row r="95">
      <c r="A95" s="49">
        <v>45021.74567877315</v>
      </c>
      <c r="B95" s="50">
        <v>45021.8706511689</v>
      </c>
      <c r="C95" s="51">
        <v>1.099</v>
      </c>
      <c r="D95" s="51">
        <v>72.0</v>
      </c>
      <c r="E95" s="52" t="s">
        <v>25</v>
      </c>
      <c r="F95" s="52" t="s">
        <v>26</v>
      </c>
      <c r="G95" s="53"/>
    </row>
    <row r="96">
      <c r="A96" s="49">
        <v>45021.75609513889</v>
      </c>
      <c r="B96" s="50">
        <v>45021.88107228</v>
      </c>
      <c r="C96" s="51">
        <v>1.098</v>
      </c>
      <c r="D96" s="51">
        <v>71.0</v>
      </c>
      <c r="E96" s="52" t="s">
        <v>25</v>
      </c>
      <c r="F96" s="52" t="s">
        <v>26</v>
      </c>
      <c r="G96" s="53"/>
    </row>
    <row r="97">
      <c r="A97" s="49">
        <v>45021.766531030094</v>
      </c>
      <c r="B97" s="50">
        <v>45021.8915045254</v>
      </c>
      <c r="C97" s="51">
        <v>1.099</v>
      </c>
      <c r="D97" s="51">
        <v>69.0</v>
      </c>
      <c r="E97" s="52" t="s">
        <v>25</v>
      </c>
      <c r="F97" s="52" t="s">
        <v>26</v>
      </c>
      <c r="G97" s="53"/>
    </row>
    <row r="98">
      <c r="A98" s="49">
        <v>45021.77695287037</v>
      </c>
      <c r="B98" s="50">
        <v>45021.9019258796</v>
      </c>
      <c r="C98" s="51">
        <v>1.099</v>
      </c>
      <c r="D98" s="51">
        <v>68.0</v>
      </c>
      <c r="E98" s="52" t="s">
        <v>25</v>
      </c>
      <c r="F98" s="52" t="s">
        <v>26</v>
      </c>
      <c r="G98" s="53"/>
    </row>
    <row r="99">
      <c r="A99" s="49">
        <v>45021.78737090278</v>
      </c>
      <c r="B99" s="50">
        <v>45021.9123481712</v>
      </c>
      <c r="C99" s="51">
        <v>1.1</v>
      </c>
      <c r="D99" s="51">
        <v>67.0</v>
      </c>
      <c r="E99" s="52" t="s">
        <v>25</v>
      </c>
      <c r="F99" s="52" t="s">
        <v>26</v>
      </c>
      <c r="G99" s="53"/>
    </row>
    <row r="100">
      <c r="A100" s="49">
        <v>45021.7978138426</v>
      </c>
      <c r="B100" s="50">
        <v>45021.9227790162</v>
      </c>
      <c r="C100" s="51">
        <v>1.099</v>
      </c>
      <c r="D100" s="51">
        <v>66.0</v>
      </c>
      <c r="E100" s="52" t="s">
        <v>25</v>
      </c>
      <c r="F100" s="52" t="s">
        <v>26</v>
      </c>
      <c r="G100" s="53"/>
    </row>
    <row r="101">
      <c r="A101" s="49">
        <v>45021.80823263889</v>
      </c>
      <c r="B101" s="50">
        <v>45021.93320125</v>
      </c>
      <c r="C101" s="51">
        <v>1.099</v>
      </c>
      <c r="D101" s="51">
        <v>65.0</v>
      </c>
      <c r="E101" s="52" t="s">
        <v>25</v>
      </c>
      <c r="F101" s="52" t="s">
        <v>26</v>
      </c>
      <c r="G101" s="53"/>
    </row>
    <row r="102">
      <c r="A102" s="49">
        <v>45021.818648252316</v>
      </c>
      <c r="B102" s="50">
        <v>45021.9436236921</v>
      </c>
      <c r="C102" s="51">
        <v>1.099</v>
      </c>
      <c r="D102" s="51">
        <v>64.0</v>
      </c>
      <c r="E102" s="52" t="s">
        <v>25</v>
      </c>
      <c r="F102" s="52" t="s">
        <v>26</v>
      </c>
      <c r="G102" s="53"/>
    </row>
    <row r="103">
      <c r="A103" s="49">
        <v>45021.8290699537</v>
      </c>
      <c r="B103" s="50">
        <v>45021.9540457638</v>
      </c>
      <c r="C103" s="51">
        <v>1.1</v>
      </c>
      <c r="D103" s="51">
        <v>63.0</v>
      </c>
      <c r="E103" s="52" t="s">
        <v>25</v>
      </c>
      <c r="F103" s="52" t="s">
        <v>26</v>
      </c>
      <c r="G103" s="53"/>
    </row>
    <row r="104">
      <c r="A104" s="49">
        <v>45021.83949038194</v>
      </c>
      <c r="B104" s="50">
        <v>45021.9644669212</v>
      </c>
      <c r="C104" s="51">
        <v>1.1</v>
      </c>
      <c r="D104" s="51">
        <v>63.0</v>
      </c>
      <c r="E104" s="52" t="s">
        <v>25</v>
      </c>
      <c r="F104" s="52" t="s">
        <v>26</v>
      </c>
      <c r="G104" s="53"/>
    </row>
    <row r="105">
      <c r="A105" s="49">
        <v>45021.84991142361</v>
      </c>
      <c r="B105" s="50">
        <v>45021.9748865856</v>
      </c>
      <c r="C105" s="51">
        <v>1.1</v>
      </c>
      <c r="D105" s="51">
        <v>64.0</v>
      </c>
      <c r="E105" s="52" t="s">
        <v>25</v>
      </c>
      <c r="F105" s="52" t="s">
        <v>26</v>
      </c>
      <c r="G105" s="53"/>
    </row>
    <row r="106">
      <c r="A106" s="49">
        <v>45021.8603459838</v>
      </c>
      <c r="B106" s="50">
        <v>45021.9853073958</v>
      </c>
      <c r="C106" s="51">
        <v>1.1</v>
      </c>
      <c r="D106" s="51">
        <v>64.0</v>
      </c>
      <c r="E106" s="52" t="s">
        <v>25</v>
      </c>
      <c r="F106" s="52" t="s">
        <v>26</v>
      </c>
      <c r="G106" s="53"/>
    </row>
    <row r="107">
      <c r="A107" s="49">
        <v>45021.87076961806</v>
      </c>
      <c r="B107" s="50">
        <v>45021.9957406365</v>
      </c>
      <c r="C107" s="51">
        <v>1.1</v>
      </c>
      <c r="D107" s="51">
        <v>64.0</v>
      </c>
      <c r="E107" s="52" t="s">
        <v>25</v>
      </c>
      <c r="F107" s="52" t="s">
        <v>26</v>
      </c>
      <c r="G107" s="53"/>
    </row>
    <row r="108">
      <c r="A108" s="49">
        <v>45021.88119837963</v>
      </c>
      <c r="B108" s="50">
        <v>45022.0061726157</v>
      </c>
      <c r="C108" s="51">
        <v>1.099</v>
      </c>
      <c r="D108" s="51">
        <v>64.0</v>
      </c>
      <c r="E108" s="52" t="s">
        <v>25</v>
      </c>
      <c r="F108" s="52" t="s">
        <v>26</v>
      </c>
      <c r="G108" s="53"/>
    </row>
    <row r="109">
      <c r="A109" s="49">
        <v>45021.89168424769</v>
      </c>
      <c r="B109" s="50">
        <v>45022.0166270023</v>
      </c>
      <c r="C109" s="51">
        <v>1.099</v>
      </c>
      <c r="D109" s="51">
        <v>64.0</v>
      </c>
      <c r="E109" s="52" t="s">
        <v>25</v>
      </c>
      <c r="F109" s="52" t="s">
        <v>26</v>
      </c>
      <c r="G109" s="53"/>
    </row>
    <row r="110">
      <c r="A110" s="49">
        <v>45021.90206947917</v>
      </c>
      <c r="B110" s="50">
        <v>45022.02704875</v>
      </c>
      <c r="C110" s="51">
        <v>1.099</v>
      </c>
      <c r="D110" s="51">
        <v>64.0</v>
      </c>
      <c r="E110" s="52" t="s">
        <v>25</v>
      </c>
      <c r="F110" s="52" t="s">
        <v>26</v>
      </c>
      <c r="G110" s="53"/>
    </row>
    <row r="111">
      <c r="A111" s="49">
        <v>45021.91249361111</v>
      </c>
      <c r="B111" s="50">
        <v>45022.0374702662</v>
      </c>
      <c r="C111" s="51">
        <v>1.099</v>
      </c>
      <c r="D111" s="51">
        <v>64.0</v>
      </c>
      <c r="E111" s="52" t="s">
        <v>25</v>
      </c>
      <c r="F111" s="52" t="s">
        <v>26</v>
      </c>
      <c r="G111" s="53"/>
    </row>
    <row r="112">
      <c r="A112" s="49">
        <v>45021.92296818287</v>
      </c>
      <c r="B112" s="50">
        <v>45022.0478891319</v>
      </c>
      <c r="C112" s="51">
        <v>1.098</v>
      </c>
      <c r="D112" s="51">
        <v>64.0</v>
      </c>
      <c r="E112" s="52" t="s">
        <v>25</v>
      </c>
      <c r="F112" s="52" t="s">
        <v>26</v>
      </c>
      <c r="G112" s="53"/>
    </row>
    <row r="113">
      <c r="A113" s="49">
        <v>45021.93333756944</v>
      </c>
      <c r="B113" s="50">
        <v>45022.058311493</v>
      </c>
      <c r="C113" s="51">
        <v>1.098</v>
      </c>
      <c r="D113" s="51">
        <v>64.0</v>
      </c>
      <c r="E113" s="52" t="s">
        <v>25</v>
      </c>
      <c r="F113" s="52" t="s">
        <v>26</v>
      </c>
      <c r="G113" s="53"/>
    </row>
    <row r="114">
      <c r="A114" s="49">
        <v>45021.9438115625</v>
      </c>
      <c r="B114" s="50">
        <v>45022.0687331944</v>
      </c>
      <c r="C114" s="51">
        <v>1.098</v>
      </c>
      <c r="D114" s="51">
        <v>64.0</v>
      </c>
      <c r="E114" s="52" t="s">
        <v>25</v>
      </c>
      <c r="F114" s="52" t="s">
        <v>26</v>
      </c>
      <c r="G114" s="53"/>
    </row>
    <row r="115">
      <c r="A115" s="49">
        <v>45021.954227118054</v>
      </c>
      <c r="B115" s="50">
        <v>45022.0791519213</v>
      </c>
      <c r="C115" s="51">
        <v>1.098</v>
      </c>
      <c r="D115" s="51">
        <v>64.0</v>
      </c>
      <c r="E115" s="52" t="s">
        <v>25</v>
      </c>
      <c r="F115" s="52" t="s">
        <v>26</v>
      </c>
      <c r="G115" s="53"/>
    </row>
    <row r="116">
      <c r="A116" s="49">
        <v>45021.96460131944</v>
      </c>
      <c r="B116" s="50">
        <v>45022.089574537</v>
      </c>
      <c r="C116" s="51">
        <v>1.098</v>
      </c>
      <c r="D116" s="51">
        <v>64.0</v>
      </c>
      <c r="E116" s="52" t="s">
        <v>25</v>
      </c>
      <c r="F116" s="52" t="s">
        <v>26</v>
      </c>
      <c r="G116" s="53"/>
    </row>
    <row r="117">
      <c r="A117" s="49">
        <v>45021.975026643515</v>
      </c>
      <c r="B117" s="50">
        <v>45022.0999960995</v>
      </c>
      <c r="C117" s="51">
        <v>1.098</v>
      </c>
      <c r="D117" s="51">
        <v>64.0</v>
      </c>
      <c r="E117" s="52" t="s">
        <v>25</v>
      </c>
      <c r="F117" s="52" t="s">
        <v>26</v>
      </c>
      <c r="G117" s="53"/>
    </row>
    <row r="118">
      <c r="A118" s="49">
        <v>45021.98543810185</v>
      </c>
      <c r="B118" s="50">
        <v>45022.1104159953</v>
      </c>
      <c r="C118" s="51">
        <v>1.099</v>
      </c>
      <c r="D118" s="51">
        <v>64.0</v>
      </c>
      <c r="E118" s="52" t="s">
        <v>25</v>
      </c>
      <c r="F118" s="52" t="s">
        <v>26</v>
      </c>
      <c r="G118" s="53"/>
    </row>
    <row r="119">
      <c r="A119" s="49">
        <v>45021.995868611106</v>
      </c>
      <c r="B119" s="50">
        <v>45022.1208376967</v>
      </c>
      <c r="C119" s="51">
        <v>1.099</v>
      </c>
      <c r="D119" s="51">
        <v>64.0</v>
      </c>
      <c r="E119" s="52" t="s">
        <v>25</v>
      </c>
      <c r="F119" s="52" t="s">
        <v>26</v>
      </c>
      <c r="G119" s="53"/>
    </row>
    <row r="120">
      <c r="A120" s="49">
        <v>45022.00628297454</v>
      </c>
      <c r="B120" s="50">
        <v>45022.1312581481</v>
      </c>
      <c r="C120" s="51">
        <v>1.098</v>
      </c>
      <c r="D120" s="51">
        <v>64.0</v>
      </c>
      <c r="E120" s="52" t="s">
        <v>25</v>
      </c>
      <c r="F120" s="52" t="s">
        <v>26</v>
      </c>
      <c r="G120" s="53"/>
    </row>
    <row r="121">
      <c r="A121" s="49">
        <v>45022.016734861114</v>
      </c>
      <c r="B121" s="50">
        <v>45022.1417011574</v>
      </c>
      <c r="C121" s="51">
        <v>1.099</v>
      </c>
      <c r="D121" s="51">
        <v>64.0</v>
      </c>
      <c r="E121" s="52" t="s">
        <v>25</v>
      </c>
      <c r="F121" s="52" t="s">
        <v>26</v>
      </c>
      <c r="G121" s="53"/>
    </row>
    <row r="122">
      <c r="A122" s="49">
        <v>45022.02714019676</v>
      </c>
      <c r="B122" s="50">
        <v>45022.1521223611</v>
      </c>
      <c r="C122" s="51">
        <v>1.098</v>
      </c>
      <c r="D122" s="51">
        <v>64.0</v>
      </c>
      <c r="E122" s="52" t="s">
        <v>25</v>
      </c>
      <c r="F122" s="52" t="s">
        <v>26</v>
      </c>
      <c r="G122" s="53"/>
    </row>
    <row r="123">
      <c r="A123" s="49">
        <v>45022.037575243055</v>
      </c>
      <c r="B123" s="50">
        <v>45022.1625541203</v>
      </c>
      <c r="C123" s="51">
        <v>1.098</v>
      </c>
      <c r="D123" s="51">
        <v>64.0</v>
      </c>
      <c r="E123" s="52" t="s">
        <v>25</v>
      </c>
      <c r="F123" s="52" t="s">
        <v>26</v>
      </c>
      <c r="G123" s="53"/>
    </row>
    <row r="124">
      <c r="A124" s="49">
        <v>45022.04799715278</v>
      </c>
      <c r="B124" s="50">
        <v>45022.1729759143</v>
      </c>
      <c r="C124" s="51">
        <v>1.098</v>
      </c>
      <c r="D124" s="51">
        <v>64.0</v>
      </c>
      <c r="E124" s="52" t="s">
        <v>25</v>
      </c>
      <c r="F124" s="52" t="s">
        <v>26</v>
      </c>
      <c r="G124" s="53"/>
    </row>
    <row r="125">
      <c r="A125" s="49">
        <v>45022.05846638889</v>
      </c>
      <c r="B125" s="50">
        <v>45022.1833967361</v>
      </c>
      <c r="C125" s="51">
        <v>1.098</v>
      </c>
      <c r="D125" s="51">
        <v>64.0</v>
      </c>
      <c r="E125" s="52" t="s">
        <v>25</v>
      </c>
      <c r="F125" s="52" t="s">
        <v>26</v>
      </c>
      <c r="G125" s="53"/>
    </row>
    <row r="126">
      <c r="A126" s="49">
        <v>45022.06889193287</v>
      </c>
      <c r="B126" s="50">
        <v>45022.1938181481</v>
      </c>
      <c r="C126" s="51">
        <v>1.098</v>
      </c>
      <c r="D126" s="51">
        <v>65.0</v>
      </c>
      <c r="E126" s="52" t="s">
        <v>25</v>
      </c>
      <c r="F126" s="52" t="s">
        <v>26</v>
      </c>
      <c r="G126" s="53"/>
    </row>
    <row r="127">
      <c r="A127" s="49">
        <v>45022.07931210648</v>
      </c>
      <c r="B127" s="50">
        <v>45022.204238287</v>
      </c>
      <c r="C127" s="51">
        <v>1.099</v>
      </c>
      <c r="D127" s="51">
        <v>65.0</v>
      </c>
      <c r="E127" s="52" t="s">
        <v>25</v>
      </c>
      <c r="F127" s="52" t="s">
        <v>26</v>
      </c>
      <c r="G127" s="53"/>
    </row>
    <row r="128">
      <c r="A128" s="49">
        <v>45022.089732569446</v>
      </c>
      <c r="B128" s="50">
        <v>45022.214670787</v>
      </c>
      <c r="C128" s="51">
        <v>1.098</v>
      </c>
      <c r="D128" s="51">
        <v>64.0</v>
      </c>
      <c r="E128" s="52" t="s">
        <v>25</v>
      </c>
      <c r="F128" s="52" t="s">
        <v>26</v>
      </c>
      <c r="G128" s="53"/>
    </row>
    <row r="129">
      <c r="A129" s="49">
        <v>45022.10014724537</v>
      </c>
      <c r="B129" s="50">
        <v>45022.2250917361</v>
      </c>
      <c r="C129" s="51">
        <v>1.097</v>
      </c>
      <c r="D129" s="51">
        <v>65.0</v>
      </c>
      <c r="E129" s="52" t="s">
        <v>25</v>
      </c>
      <c r="F129" s="52" t="s">
        <v>26</v>
      </c>
      <c r="G129" s="53"/>
    </row>
    <row r="130">
      <c r="A130" s="49">
        <v>45022.11057118056</v>
      </c>
      <c r="B130" s="50">
        <v>45022.2355143634</v>
      </c>
      <c r="C130" s="51">
        <v>1.099</v>
      </c>
      <c r="D130" s="51">
        <v>65.0</v>
      </c>
      <c r="E130" s="52" t="s">
        <v>25</v>
      </c>
      <c r="F130" s="52" t="s">
        <v>26</v>
      </c>
      <c r="G130" s="53"/>
    </row>
    <row r="131">
      <c r="A131" s="49">
        <v>45022.12099541667</v>
      </c>
      <c r="B131" s="50">
        <v>45022.2459370138</v>
      </c>
      <c r="C131" s="51">
        <v>1.098</v>
      </c>
      <c r="D131" s="51">
        <v>65.0</v>
      </c>
      <c r="E131" s="52" t="s">
        <v>25</v>
      </c>
      <c r="F131" s="52" t="s">
        <v>26</v>
      </c>
      <c r="G131" s="53"/>
    </row>
    <row r="132">
      <c r="A132" s="49">
        <v>45022.13141782407</v>
      </c>
      <c r="B132" s="50">
        <v>45022.2563585185</v>
      </c>
      <c r="C132" s="51">
        <v>1.097</v>
      </c>
      <c r="D132" s="51">
        <v>65.0</v>
      </c>
      <c r="E132" s="52" t="s">
        <v>25</v>
      </c>
      <c r="F132" s="52" t="s">
        <v>26</v>
      </c>
      <c r="G132" s="53"/>
    </row>
    <row r="133">
      <c r="A133" s="49">
        <v>45022.1418374537</v>
      </c>
      <c r="B133" s="50">
        <v>45022.2667927546</v>
      </c>
      <c r="C133" s="51">
        <v>1.098</v>
      </c>
      <c r="D133" s="51">
        <v>65.0</v>
      </c>
      <c r="E133" s="52" t="s">
        <v>25</v>
      </c>
      <c r="F133" s="52" t="s">
        <v>26</v>
      </c>
      <c r="G133" s="53"/>
    </row>
    <row r="134">
      <c r="A134" s="49">
        <v>45022.15225342593</v>
      </c>
      <c r="B134" s="50">
        <v>45022.2772160416</v>
      </c>
      <c r="C134" s="51">
        <v>1.098</v>
      </c>
      <c r="D134" s="51">
        <v>65.0</v>
      </c>
      <c r="E134" s="52" t="s">
        <v>25</v>
      </c>
      <c r="F134" s="52" t="s">
        <v>26</v>
      </c>
      <c r="G134" s="53"/>
    </row>
    <row r="135">
      <c r="A135" s="49">
        <v>45022.1627005787</v>
      </c>
      <c r="B135" s="50">
        <v>45022.2876383333</v>
      </c>
      <c r="C135" s="51">
        <v>1.098</v>
      </c>
      <c r="D135" s="51">
        <v>65.0</v>
      </c>
      <c r="E135" s="52" t="s">
        <v>25</v>
      </c>
      <c r="F135" s="52" t="s">
        <v>26</v>
      </c>
      <c r="G135" s="53"/>
    </row>
    <row r="136">
      <c r="A136" s="49">
        <v>45022.17310935185</v>
      </c>
      <c r="B136" s="50">
        <v>45022.2980604398</v>
      </c>
      <c r="C136" s="51">
        <v>1.098</v>
      </c>
      <c r="D136" s="51">
        <v>65.0</v>
      </c>
      <c r="E136" s="52" t="s">
        <v>25</v>
      </c>
      <c r="F136" s="52" t="s">
        <v>26</v>
      </c>
      <c r="G136" s="53"/>
    </row>
    <row r="137">
      <c r="A137" s="49">
        <v>45022.18354025463</v>
      </c>
      <c r="B137" s="50">
        <v>45022.3084822222</v>
      </c>
      <c r="C137" s="51">
        <v>1.098</v>
      </c>
      <c r="D137" s="51">
        <v>65.0</v>
      </c>
      <c r="E137" s="52" t="s">
        <v>25</v>
      </c>
      <c r="F137" s="52" t="s">
        <v>26</v>
      </c>
      <c r="G137" s="53"/>
    </row>
    <row r="138">
      <c r="A138" s="49">
        <v>45022.193958715274</v>
      </c>
      <c r="B138" s="50">
        <v>45022.3189049884</v>
      </c>
      <c r="C138" s="51">
        <v>1.098</v>
      </c>
      <c r="D138" s="51">
        <v>65.0</v>
      </c>
      <c r="E138" s="52" t="s">
        <v>25</v>
      </c>
      <c r="F138" s="52" t="s">
        <v>26</v>
      </c>
      <c r="G138" s="53"/>
    </row>
    <row r="139">
      <c r="A139" s="49">
        <v>45022.20437087963</v>
      </c>
      <c r="B139" s="50">
        <v>45022.3293266666</v>
      </c>
      <c r="C139" s="51">
        <v>1.098</v>
      </c>
      <c r="D139" s="51">
        <v>65.0</v>
      </c>
      <c r="E139" s="52" t="s">
        <v>25</v>
      </c>
      <c r="F139" s="52" t="s">
        <v>26</v>
      </c>
      <c r="G139" s="53"/>
    </row>
    <row r="140">
      <c r="A140" s="49">
        <v>45022.214803090275</v>
      </c>
      <c r="B140" s="50">
        <v>45022.3397491666</v>
      </c>
      <c r="C140" s="51">
        <v>1.097</v>
      </c>
      <c r="D140" s="51">
        <v>65.0</v>
      </c>
      <c r="E140" s="52" t="s">
        <v>25</v>
      </c>
      <c r="F140" s="52" t="s">
        <v>26</v>
      </c>
      <c r="G140" s="53"/>
    </row>
    <row r="141">
      <c r="A141" s="49">
        <v>45022.22522980324</v>
      </c>
      <c r="B141" s="50">
        <v>45022.3501707523</v>
      </c>
      <c r="C141" s="51">
        <v>1.098</v>
      </c>
      <c r="D141" s="51">
        <v>65.0</v>
      </c>
      <c r="E141" s="52" t="s">
        <v>25</v>
      </c>
      <c r="F141" s="52" t="s">
        <v>26</v>
      </c>
      <c r="G141" s="53"/>
    </row>
    <row r="142">
      <c r="A142" s="49">
        <v>45022.235654108794</v>
      </c>
      <c r="B142" s="50">
        <v>45022.3605942476</v>
      </c>
      <c r="C142" s="51">
        <v>1.097</v>
      </c>
      <c r="D142" s="51">
        <v>65.0</v>
      </c>
      <c r="E142" s="52" t="s">
        <v>25</v>
      </c>
      <c r="F142" s="52" t="s">
        <v>26</v>
      </c>
      <c r="G142" s="53"/>
    </row>
    <row r="143">
      <c r="A143" s="49">
        <v>45022.24607096065</v>
      </c>
      <c r="B143" s="50">
        <v>45022.3710152662</v>
      </c>
      <c r="C143" s="51">
        <v>1.098</v>
      </c>
      <c r="D143" s="51">
        <v>65.0</v>
      </c>
      <c r="E143" s="52" t="s">
        <v>25</v>
      </c>
      <c r="F143" s="52" t="s">
        <v>26</v>
      </c>
      <c r="G143" s="53"/>
    </row>
    <row r="144">
      <c r="A144" s="49">
        <v>45022.256485879625</v>
      </c>
      <c r="B144" s="50">
        <v>45022.3814376157</v>
      </c>
      <c r="C144" s="51">
        <v>1.097</v>
      </c>
      <c r="D144" s="51">
        <v>65.0</v>
      </c>
      <c r="E144" s="52" t="s">
        <v>25</v>
      </c>
      <c r="F144" s="52" t="s">
        <v>26</v>
      </c>
      <c r="G144" s="53"/>
    </row>
    <row r="145">
      <c r="A145" s="49">
        <v>45022.26691255787</v>
      </c>
      <c r="B145" s="50">
        <v>45022.3918587384</v>
      </c>
      <c r="C145" s="51">
        <v>1.097</v>
      </c>
      <c r="D145" s="51">
        <v>65.0</v>
      </c>
      <c r="E145" s="52" t="s">
        <v>25</v>
      </c>
      <c r="F145" s="52" t="s">
        <v>26</v>
      </c>
      <c r="G145" s="53"/>
    </row>
    <row r="146">
      <c r="A146" s="49">
        <v>45022.27733561343</v>
      </c>
      <c r="B146" s="50">
        <v>45022.4022806134</v>
      </c>
      <c r="C146" s="51">
        <v>1.097</v>
      </c>
      <c r="D146" s="51">
        <v>65.0</v>
      </c>
      <c r="E146" s="52" t="s">
        <v>25</v>
      </c>
      <c r="F146" s="52" t="s">
        <v>26</v>
      </c>
      <c r="G146" s="53"/>
    </row>
    <row r="147">
      <c r="A147" s="49">
        <v>45022.287758252314</v>
      </c>
      <c r="B147" s="50">
        <v>45022.4126999537</v>
      </c>
      <c r="C147" s="51">
        <v>1.097</v>
      </c>
      <c r="D147" s="51">
        <v>65.0</v>
      </c>
      <c r="E147" s="52" t="s">
        <v>25</v>
      </c>
      <c r="F147" s="52" t="s">
        <v>26</v>
      </c>
      <c r="G147" s="53"/>
    </row>
    <row r="148">
      <c r="A148" s="49">
        <v>45022.29821199074</v>
      </c>
      <c r="B148" s="50">
        <v>45022.4231795254</v>
      </c>
      <c r="C148" s="51">
        <v>1.097</v>
      </c>
      <c r="D148" s="51">
        <v>65.0</v>
      </c>
      <c r="E148" s="52" t="s">
        <v>25</v>
      </c>
      <c r="F148" s="52" t="s">
        <v>26</v>
      </c>
      <c r="G148" s="53"/>
    </row>
    <row r="149">
      <c r="A149" s="49">
        <v>45022.308623680554</v>
      </c>
      <c r="B149" s="50">
        <v>45022.4336020717</v>
      </c>
      <c r="C149" s="51">
        <v>1.096</v>
      </c>
      <c r="D149" s="51">
        <v>65.0</v>
      </c>
      <c r="E149" s="52" t="s">
        <v>25</v>
      </c>
      <c r="F149" s="52" t="s">
        <v>26</v>
      </c>
      <c r="G149" s="53"/>
    </row>
    <row r="150">
      <c r="A150" s="49">
        <v>45022.31906554398</v>
      </c>
      <c r="B150" s="50">
        <v>45022.4440239004</v>
      </c>
      <c r="C150" s="51">
        <v>1.097</v>
      </c>
      <c r="D150" s="51">
        <v>65.0</v>
      </c>
      <c r="E150" s="52" t="s">
        <v>25</v>
      </c>
      <c r="F150" s="52" t="s">
        <v>26</v>
      </c>
      <c r="G150" s="53"/>
    </row>
    <row r="151">
      <c r="A151" s="49">
        <v>45022.32950314815</v>
      </c>
      <c r="B151" s="50">
        <v>45022.4544427199</v>
      </c>
      <c r="C151" s="51">
        <v>1.097</v>
      </c>
      <c r="D151" s="51">
        <v>65.0</v>
      </c>
      <c r="E151" s="52" t="s">
        <v>25</v>
      </c>
      <c r="F151" s="52" t="s">
        <v>26</v>
      </c>
      <c r="G151" s="53"/>
    </row>
    <row r="152">
      <c r="A152" s="49">
        <v>45022.33989939815</v>
      </c>
      <c r="B152" s="50">
        <v>45022.4648612615</v>
      </c>
      <c r="C152" s="51">
        <v>1.097</v>
      </c>
      <c r="D152" s="51">
        <v>65.0</v>
      </c>
      <c r="E152" s="52" t="s">
        <v>25</v>
      </c>
      <c r="F152" s="52" t="s">
        <v>26</v>
      </c>
      <c r="G152" s="53"/>
    </row>
    <row r="153">
      <c r="A153" s="49">
        <v>45022.350328518514</v>
      </c>
      <c r="B153" s="50">
        <v>45022.4752828588</v>
      </c>
      <c r="C153" s="51">
        <v>1.096</v>
      </c>
      <c r="D153" s="51">
        <v>65.0</v>
      </c>
      <c r="E153" s="52" t="s">
        <v>25</v>
      </c>
      <c r="F153" s="52" t="s">
        <v>26</v>
      </c>
      <c r="G153" s="53"/>
    </row>
    <row r="154">
      <c r="A154" s="49">
        <v>45022.36076730324</v>
      </c>
      <c r="B154" s="50">
        <v>45022.4857041666</v>
      </c>
      <c r="C154" s="51">
        <v>1.097</v>
      </c>
      <c r="D154" s="51">
        <v>65.0</v>
      </c>
      <c r="E154" s="52" t="s">
        <v>25</v>
      </c>
      <c r="F154" s="52" t="s">
        <v>26</v>
      </c>
      <c r="G154" s="53"/>
    </row>
    <row r="155">
      <c r="A155" s="49">
        <v>45022.37116962963</v>
      </c>
      <c r="B155" s="50">
        <v>45022.4961255324</v>
      </c>
      <c r="C155" s="51">
        <v>1.097</v>
      </c>
      <c r="D155" s="51">
        <v>65.0</v>
      </c>
      <c r="E155" s="52" t="s">
        <v>25</v>
      </c>
      <c r="F155" s="52" t="s">
        <v>26</v>
      </c>
      <c r="G155" s="53"/>
    </row>
    <row r="156">
      <c r="A156" s="49">
        <v>45022.381591006946</v>
      </c>
      <c r="B156" s="50">
        <v>45022.5065694328</v>
      </c>
      <c r="C156" s="51">
        <v>1.097</v>
      </c>
      <c r="D156" s="51">
        <v>65.0</v>
      </c>
      <c r="E156" s="52" t="s">
        <v>25</v>
      </c>
      <c r="F156" s="52" t="s">
        <v>26</v>
      </c>
      <c r="G156" s="53"/>
    </row>
    <row r="157">
      <c r="A157" s="49">
        <v>45022.39201873842</v>
      </c>
      <c r="B157" s="50">
        <v>45022.5169898842</v>
      </c>
      <c r="C157" s="51">
        <v>1.096</v>
      </c>
      <c r="D157" s="51">
        <v>65.0</v>
      </c>
      <c r="E157" s="52" t="s">
        <v>25</v>
      </c>
      <c r="F157" s="52" t="s">
        <v>26</v>
      </c>
      <c r="G157" s="53"/>
    </row>
    <row r="158">
      <c r="A158" s="49">
        <v>45022.40245743055</v>
      </c>
      <c r="B158" s="50">
        <v>45022.5274239467</v>
      </c>
      <c r="C158" s="51">
        <v>1.096</v>
      </c>
      <c r="D158" s="51">
        <v>65.0</v>
      </c>
      <c r="E158" s="52" t="s">
        <v>25</v>
      </c>
      <c r="F158" s="52" t="s">
        <v>26</v>
      </c>
      <c r="G158" s="53"/>
    </row>
    <row r="159">
      <c r="A159" s="49">
        <v>45022.412885949074</v>
      </c>
      <c r="B159" s="50">
        <v>45022.5378569213</v>
      </c>
      <c r="C159" s="51">
        <v>1.096</v>
      </c>
      <c r="D159" s="51">
        <v>65.0</v>
      </c>
      <c r="E159" s="52" t="s">
        <v>25</v>
      </c>
      <c r="F159" s="52" t="s">
        <v>26</v>
      </c>
      <c r="G159" s="53"/>
    </row>
    <row r="160">
      <c r="A160" s="49">
        <v>45022.42330905092</v>
      </c>
      <c r="B160" s="50">
        <v>45022.5482782407</v>
      </c>
      <c r="C160" s="51">
        <v>1.096</v>
      </c>
      <c r="D160" s="51">
        <v>66.0</v>
      </c>
      <c r="E160" s="52" t="s">
        <v>25</v>
      </c>
      <c r="F160" s="52" t="s">
        <v>26</v>
      </c>
      <c r="G160" s="53"/>
    </row>
    <row r="161">
      <c r="A161" s="49">
        <v>45022.43374206018</v>
      </c>
      <c r="B161" s="50">
        <v>45022.5587115625</v>
      </c>
      <c r="C161" s="51">
        <v>1.096</v>
      </c>
      <c r="D161" s="51">
        <v>66.0</v>
      </c>
      <c r="E161" s="52" t="s">
        <v>25</v>
      </c>
      <c r="F161" s="52" t="s">
        <v>26</v>
      </c>
      <c r="G161" s="53"/>
    </row>
    <row r="162">
      <c r="A162" s="49">
        <v>45022.4441534838</v>
      </c>
      <c r="B162" s="50">
        <v>45022.5691338773</v>
      </c>
      <c r="C162" s="51">
        <v>1.096</v>
      </c>
      <c r="D162" s="51">
        <v>66.0</v>
      </c>
      <c r="E162" s="52" t="s">
        <v>25</v>
      </c>
      <c r="F162" s="52" t="s">
        <v>26</v>
      </c>
      <c r="G162" s="53"/>
    </row>
    <row r="163">
      <c r="A163" s="49">
        <v>45022.45458128472</v>
      </c>
      <c r="B163" s="50">
        <v>45022.5795555324</v>
      </c>
      <c r="C163" s="51">
        <v>1.096</v>
      </c>
      <c r="D163" s="51">
        <v>66.0</v>
      </c>
      <c r="E163" s="52" t="s">
        <v>25</v>
      </c>
      <c r="F163" s="52" t="s">
        <v>26</v>
      </c>
      <c r="G163" s="53"/>
    </row>
    <row r="164">
      <c r="A164" s="49">
        <v>45022.46503744213</v>
      </c>
      <c r="B164" s="50">
        <v>45022.5899892129</v>
      </c>
      <c r="C164" s="51">
        <v>1.096</v>
      </c>
      <c r="D164" s="51">
        <v>66.0</v>
      </c>
      <c r="E164" s="52" t="s">
        <v>25</v>
      </c>
      <c r="F164" s="52" t="s">
        <v>26</v>
      </c>
      <c r="G164" s="53"/>
    </row>
    <row r="165">
      <c r="A165" s="49">
        <v>45022.47543987268</v>
      </c>
      <c r="B165" s="50">
        <v>45022.6004087152</v>
      </c>
      <c r="C165" s="51">
        <v>1.096</v>
      </c>
      <c r="D165" s="51">
        <v>66.0</v>
      </c>
      <c r="E165" s="52" t="s">
        <v>25</v>
      </c>
      <c r="F165" s="52" t="s">
        <v>26</v>
      </c>
      <c r="G165" s="53"/>
    </row>
    <row r="166">
      <c r="A166" s="49">
        <v>45022.485861064815</v>
      </c>
      <c r="B166" s="50">
        <v>45022.6108315277</v>
      </c>
      <c r="C166" s="51">
        <v>1.096</v>
      </c>
      <c r="D166" s="51">
        <v>66.0</v>
      </c>
      <c r="E166" s="52" t="s">
        <v>25</v>
      </c>
      <c r="F166" s="52" t="s">
        <v>26</v>
      </c>
      <c r="G166" s="53"/>
    </row>
    <row r="167">
      <c r="A167" s="49">
        <v>45022.496298495375</v>
      </c>
      <c r="B167" s="50">
        <v>45022.6212654282</v>
      </c>
      <c r="C167" s="51">
        <v>1.096</v>
      </c>
      <c r="D167" s="51">
        <v>66.0</v>
      </c>
      <c r="E167" s="52" t="s">
        <v>25</v>
      </c>
      <c r="F167" s="52" t="s">
        <v>26</v>
      </c>
      <c r="G167" s="53"/>
    </row>
    <row r="168">
      <c r="A168" s="49">
        <v>45022.50672900463</v>
      </c>
      <c r="B168" s="50">
        <v>45022.6316869907</v>
      </c>
      <c r="C168" s="51">
        <v>1.096</v>
      </c>
      <c r="D168" s="51">
        <v>66.0</v>
      </c>
      <c r="E168" s="52" t="s">
        <v>25</v>
      </c>
      <c r="F168" s="52" t="s">
        <v>26</v>
      </c>
      <c r="G168" s="53"/>
    </row>
    <row r="169">
      <c r="A169" s="49">
        <v>45022.51714684028</v>
      </c>
      <c r="B169" s="50">
        <v>45022.6421084722</v>
      </c>
      <c r="C169" s="51">
        <v>1.096</v>
      </c>
      <c r="D169" s="51">
        <v>66.0</v>
      </c>
      <c r="E169" s="52" t="s">
        <v>25</v>
      </c>
      <c r="F169" s="52" t="s">
        <v>26</v>
      </c>
      <c r="G169" s="53"/>
    </row>
    <row r="170">
      <c r="A170" s="49">
        <v>45022.527550659725</v>
      </c>
      <c r="B170" s="50">
        <v>45022.6525305208</v>
      </c>
      <c r="C170" s="51">
        <v>1.096</v>
      </c>
      <c r="D170" s="51">
        <v>66.0</v>
      </c>
      <c r="E170" s="52" t="s">
        <v>25</v>
      </c>
      <c r="F170" s="52" t="s">
        <v>26</v>
      </c>
      <c r="G170" s="53"/>
    </row>
    <row r="171">
      <c r="A171" s="49">
        <v>45022.537982118054</v>
      </c>
      <c r="B171" s="50">
        <v>45022.6629530902</v>
      </c>
      <c r="C171" s="51">
        <v>1.096</v>
      </c>
      <c r="D171" s="51">
        <v>66.0</v>
      </c>
      <c r="E171" s="52" t="s">
        <v>25</v>
      </c>
      <c r="F171" s="52" t="s">
        <v>26</v>
      </c>
      <c r="G171" s="53"/>
    </row>
    <row r="172">
      <c r="A172" s="49">
        <v>45022.54841513889</v>
      </c>
      <c r="B172" s="50">
        <v>45022.673374618</v>
      </c>
      <c r="C172" s="51">
        <v>1.096</v>
      </c>
      <c r="D172" s="51">
        <v>66.0</v>
      </c>
      <c r="E172" s="52" t="s">
        <v>25</v>
      </c>
      <c r="F172" s="52" t="s">
        <v>26</v>
      </c>
      <c r="G172" s="53"/>
    </row>
    <row r="173">
      <c r="A173" s="49">
        <v>45022.55882877315</v>
      </c>
      <c r="B173" s="50">
        <v>45022.68379625</v>
      </c>
      <c r="C173" s="51">
        <v>1.096</v>
      </c>
      <c r="D173" s="51">
        <v>66.0</v>
      </c>
      <c r="E173" s="52" t="s">
        <v>25</v>
      </c>
      <c r="F173" s="52" t="s">
        <v>26</v>
      </c>
      <c r="G173" s="53"/>
    </row>
    <row r="174">
      <c r="A174" s="49">
        <v>45022.56923945602</v>
      </c>
      <c r="B174" s="50">
        <v>45022.6942156481</v>
      </c>
      <c r="C174" s="51">
        <v>1.095</v>
      </c>
      <c r="D174" s="51">
        <v>66.0</v>
      </c>
      <c r="E174" s="52" t="s">
        <v>25</v>
      </c>
      <c r="F174" s="52" t="s">
        <v>26</v>
      </c>
      <c r="G174" s="53"/>
    </row>
    <row r="175">
      <c r="A175" s="49">
        <v>45022.57966809028</v>
      </c>
      <c r="B175" s="50">
        <v>45022.7046355671</v>
      </c>
      <c r="C175" s="51">
        <v>1.095</v>
      </c>
      <c r="D175" s="51">
        <v>66.0</v>
      </c>
      <c r="E175" s="52" t="s">
        <v>25</v>
      </c>
      <c r="F175" s="52" t="s">
        <v>26</v>
      </c>
      <c r="G175" s="53"/>
    </row>
    <row r="176">
      <c r="A176" s="49">
        <v>45022.59009748843</v>
      </c>
      <c r="B176" s="50">
        <v>45022.715068449</v>
      </c>
      <c r="C176" s="51">
        <v>1.095</v>
      </c>
      <c r="D176" s="51">
        <v>66.0</v>
      </c>
      <c r="E176" s="52" t="s">
        <v>25</v>
      </c>
      <c r="F176" s="52" t="s">
        <v>26</v>
      </c>
      <c r="G176" s="53"/>
    </row>
    <row r="177">
      <c r="A177" s="49">
        <v>45022.6005237037</v>
      </c>
      <c r="B177" s="50">
        <v>45022.7254887152</v>
      </c>
      <c r="C177" s="51">
        <v>1.095</v>
      </c>
      <c r="D177" s="51">
        <v>66.0</v>
      </c>
      <c r="E177" s="52" t="s">
        <v>25</v>
      </c>
      <c r="F177" s="52" t="s">
        <v>26</v>
      </c>
      <c r="G177" s="53"/>
    </row>
    <row r="178">
      <c r="A178" s="49">
        <v>45022.610950567134</v>
      </c>
      <c r="B178" s="50">
        <v>45022.7359089699</v>
      </c>
      <c r="C178" s="51">
        <v>1.095</v>
      </c>
      <c r="D178" s="51">
        <v>66.0</v>
      </c>
      <c r="E178" s="52" t="s">
        <v>25</v>
      </c>
      <c r="F178" s="52" t="s">
        <v>26</v>
      </c>
      <c r="G178" s="53"/>
    </row>
    <row r="179">
      <c r="A179" s="49">
        <v>45022.621368935186</v>
      </c>
      <c r="B179" s="50">
        <v>45022.7463295949</v>
      </c>
      <c r="C179" s="51">
        <v>1.095</v>
      </c>
      <c r="D179" s="51">
        <v>66.0</v>
      </c>
      <c r="E179" s="52" t="s">
        <v>25</v>
      </c>
      <c r="F179" s="52" t="s">
        <v>26</v>
      </c>
      <c r="G179" s="53"/>
    </row>
    <row r="180">
      <c r="A180" s="49">
        <v>45022.63180103009</v>
      </c>
      <c r="B180" s="50">
        <v>45022.7567495254</v>
      </c>
      <c r="C180" s="51">
        <v>1.095</v>
      </c>
      <c r="D180" s="51">
        <v>66.0</v>
      </c>
      <c r="E180" s="52" t="s">
        <v>25</v>
      </c>
      <c r="F180" s="52" t="s">
        <v>26</v>
      </c>
      <c r="G180" s="53"/>
    </row>
    <row r="181">
      <c r="A181" s="49">
        <v>45022.64221548611</v>
      </c>
      <c r="B181" s="50">
        <v>45022.7671703588</v>
      </c>
      <c r="C181" s="51">
        <v>1.095</v>
      </c>
      <c r="D181" s="51">
        <v>66.0</v>
      </c>
      <c r="E181" s="52" t="s">
        <v>25</v>
      </c>
      <c r="F181" s="52" t="s">
        <v>26</v>
      </c>
      <c r="G181" s="53"/>
    </row>
    <row r="182">
      <c r="A182" s="49">
        <v>45022.6526329051</v>
      </c>
      <c r="B182" s="50">
        <v>45022.7775908564</v>
      </c>
      <c r="C182" s="51">
        <v>1.095</v>
      </c>
      <c r="D182" s="51">
        <v>66.0</v>
      </c>
      <c r="E182" s="52" t="s">
        <v>25</v>
      </c>
      <c r="F182" s="52" t="s">
        <v>26</v>
      </c>
      <c r="G182" s="53"/>
    </row>
    <row r="183">
      <c r="A183" s="49">
        <v>45022.66305299768</v>
      </c>
      <c r="B183" s="50">
        <v>45022.7880126967</v>
      </c>
      <c r="C183" s="51">
        <v>1.095</v>
      </c>
      <c r="D183" s="51">
        <v>66.0</v>
      </c>
      <c r="E183" s="52" t="s">
        <v>25</v>
      </c>
      <c r="F183" s="52" t="s">
        <v>26</v>
      </c>
      <c r="G183" s="53"/>
    </row>
    <row r="184">
      <c r="A184" s="49">
        <v>45022.673474386575</v>
      </c>
      <c r="B184" s="50">
        <v>45022.7984347222</v>
      </c>
      <c r="C184" s="51">
        <v>1.095</v>
      </c>
      <c r="D184" s="51">
        <v>66.0</v>
      </c>
      <c r="E184" s="52" t="s">
        <v>25</v>
      </c>
      <c r="F184" s="52" t="s">
        <v>26</v>
      </c>
      <c r="G184" s="53"/>
    </row>
    <row r="185">
      <c r="A185" s="49">
        <v>45022.683891249995</v>
      </c>
      <c r="B185" s="50">
        <v>45022.8088567129</v>
      </c>
      <c r="C185" s="51">
        <v>1.095</v>
      </c>
      <c r="D185" s="51">
        <v>66.0</v>
      </c>
      <c r="E185" s="52" t="s">
        <v>25</v>
      </c>
      <c r="F185" s="52" t="s">
        <v>26</v>
      </c>
      <c r="G185" s="53"/>
    </row>
    <row r="186">
      <c r="A186" s="49">
        <v>45022.694323125004</v>
      </c>
      <c r="B186" s="50">
        <v>45022.8192789814</v>
      </c>
      <c r="C186" s="51">
        <v>1.095</v>
      </c>
      <c r="D186" s="51">
        <v>66.0</v>
      </c>
      <c r="E186" s="52" t="s">
        <v>25</v>
      </c>
      <c r="F186" s="52" t="s">
        <v>26</v>
      </c>
      <c r="G186" s="53"/>
    </row>
    <row r="187">
      <c r="A187" s="49">
        <v>45022.70473628472</v>
      </c>
      <c r="B187" s="50">
        <v>45022.8297099189</v>
      </c>
      <c r="C187" s="51">
        <v>1.095</v>
      </c>
      <c r="D187" s="51">
        <v>66.0</v>
      </c>
      <c r="E187" s="52" t="s">
        <v>25</v>
      </c>
      <c r="F187" s="52" t="s">
        <v>26</v>
      </c>
      <c r="G187" s="53"/>
    </row>
    <row r="188">
      <c r="A188" s="49">
        <v>45022.71516636574</v>
      </c>
      <c r="B188" s="50">
        <v>45022.8401289004</v>
      </c>
      <c r="C188" s="51">
        <v>1.095</v>
      </c>
      <c r="D188" s="51">
        <v>66.0</v>
      </c>
      <c r="E188" s="52" t="s">
        <v>25</v>
      </c>
      <c r="F188" s="52" t="s">
        <v>26</v>
      </c>
      <c r="G188" s="53"/>
    </row>
    <row r="189">
      <c r="A189" s="49">
        <v>45022.72559155093</v>
      </c>
      <c r="B189" s="50">
        <v>45022.8505504629</v>
      </c>
      <c r="C189" s="51">
        <v>1.095</v>
      </c>
      <c r="D189" s="51">
        <v>66.0</v>
      </c>
      <c r="E189" s="52" t="s">
        <v>25</v>
      </c>
      <c r="F189" s="52" t="s">
        <v>26</v>
      </c>
      <c r="G189" s="53"/>
    </row>
    <row r="190">
      <c r="A190" s="49">
        <v>45022.73603185185</v>
      </c>
      <c r="B190" s="50">
        <v>45022.8609719907</v>
      </c>
      <c r="C190" s="51">
        <v>1.095</v>
      </c>
      <c r="D190" s="51">
        <v>66.0</v>
      </c>
      <c r="E190" s="52" t="s">
        <v>25</v>
      </c>
      <c r="F190" s="52" t="s">
        <v>26</v>
      </c>
      <c r="G190" s="53"/>
    </row>
    <row r="191">
      <c r="A191" s="49">
        <v>45022.74645104167</v>
      </c>
      <c r="B191" s="50">
        <v>45022.8713941319</v>
      </c>
      <c r="C191" s="51">
        <v>1.095</v>
      </c>
      <c r="D191" s="51">
        <v>66.0</v>
      </c>
      <c r="E191" s="52" t="s">
        <v>25</v>
      </c>
      <c r="F191" s="52" t="s">
        <v>26</v>
      </c>
      <c r="G191" s="53"/>
    </row>
    <row r="192">
      <c r="A192" s="49">
        <v>45022.756865752315</v>
      </c>
      <c r="B192" s="50">
        <v>45022.8818171875</v>
      </c>
      <c r="C192" s="51">
        <v>1.095</v>
      </c>
      <c r="D192" s="51">
        <v>66.0</v>
      </c>
      <c r="E192" s="52" t="s">
        <v>25</v>
      </c>
      <c r="F192" s="52" t="s">
        <v>26</v>
      </c>
      <c r="G192" s="53"/>
    </row>
    <row r="193">
      <c r="A193" s="49">
        <v>45022.767294652775</v>
      </c>
      <c r="B193" s="50">
        <v>45022.892236875</v>
      </c>
      <c r="C193" s="51">
        <v>1.095</v>
      </c>
      <c r="D193" s="51">
        <v>67.0</v>
      </c>
      <c r="E193" s="52" t="s">
        <v>25</v>
      </c>
      <c r="F193" s="52" t="s">
        <v>26</v>
      </c>
      <c r="G193" s="53"/>
    </row>
    <row r="194">
      <c r="A194" s="49">
        <v>45022.77772439815</v>
      </c>
      <c r="B194" s="50">
        <v>45022.9026578703</v>
      </c>
      <c r="C194" s="51">
        <v>1.094</v>
      </c>
      <c r="D194" s="51">
        <v>67.0</v>
      </c>
      <c r="E194" s="52" t="s">
        <v>25</v>
      </c>
      <c r="F194" s="52" t="s">
        <v>26</v>
      </c>
      <c r="G194" s="53"/>
    </row>
    <row r="195">
      <c r="A195" s="49">
        <v>45022.78810287037</v>
      </c>
      <c r="B195" s="50">
        <v>45022.9130793055</v>
      </c>
      <c r="C195" s="51">
        <v>1.095</v>
      </c>
      <c r="D195" s="51">
        <v>67.0</v>
      </c>
      <c r="E195" s="52" t="s">
        <v>25</v>
      </c>
      <c r="F195" s="52" t="s">
        <v>26</v>
      </c>
      <c r="G195" s="53"/>
    </row>
    <row r="196">
      <c r="A196" s="49">
        <v>45022.7985731713</v>
      </c>
      <c r="B196" s="50">
        <v>45022.9235124652</v>
      </c>
      <c r="C196" s="51">
        <v>1.095</v>
      </c>
      <c r="D196" s="51">
        <v>67.0</v>
      </c>
      <c r="E196" s="52" t="s">
        <v>25</v>
      </c>
      <c r="F196" s="52" t="s">
        <v>26</v>
      </c>
      <c r="G196" s="53"/>
    </row>
    <row r="197">
      <c r="A197" s="49">
        <v>45022.80903289352</v>
      </c>
      <c r="B197" s="50">
        <v>45022.9339574421</v>
      </c>
      <c r="C197" s="51">
        <v>1.095</v>
      </c>
      <c r="D197" s="51">
        <v>67.0</v>
      </c>
      <c r="E197" s="52" t="s">
        <v>25</v>
      </c>
      <c r="F197" s="52" t="s">
        <v>26</v>
      </c>
      <c r="G197" s="53"/>
    </row>
    <row r="198">
      <c r="A198" s="49">
        <v>45022.81939863426</v>
      </c>
      <c r="B198" s="50">
        <v>45022.9443783101</v>
      </c>
      <c r="C198" s="51">
        <v>1.094</v>
      </c>
      <c r="D198" s="51">
        <v>67.0</v>
      </c>
      <c r="E198" s="52" t="s">
        <v>25</v>
      </c>
      <c r="F198" s="52" t="s">
        <v>26</v>
      </c>
      <c r="G198" s="53"/>
    </row>
    <row r="199">
      <c r="A199" s="49">
        <v>45022.82981773149</v>
      </c>
      <c r="B199" s="50">
        <v>45022.9548001157</v>
      </c>
      <c r="C199" s="51">
        <v>1.094</v>
      </c>
      <c r="D199" s="51">
        <v>67.0</v>
      </c>
      <c r="E199" s="52" t="s">
        <v>25</v>
      </c>
      <c r="F199" s="52" t="s">
        <v>26</v>
      </c>
      <c r="G199" s="53"/>
    </row>
    <row r="200">
      <c r="A200" s="49">
        <v>45022.84024607639</v>
      </c>
      <c r="B200" s="50">
        <v>45022.9652207523</v>
      </c>
      <c r="C200" s="51">
        <v>1.094</v>
      </c>
      <c r="D200" s="51">
        <v>67.0</v>
      </c>
      <c r="E200" s="52" t="s">
        <v>25</v>
      </c>
      <c r="F200" s="52" t="s">
        <v>26</v>
      </c>
      <c r="G200" s="53"/>
    </row>
    <row r="201">
      <c r="A201" s="49">
        <v>45022.85066877315</v>
      </c>
      <c r="B201" s="50">
        <v>45022.9756415046</v>
      </c>
      <c r="C201" s="51">
        <v>1.094</v>
      </c>
      <c r="D201" s="51">
        <v>67.0</v>
      </c>
      <c r="E201" s="52" t="s">
        <v>25</v>
      </c>
      <c r="F201" s="52" t="s">
        <v>26</v>
      </c>
      <c r="G201" s="53"/>
    </row>
    <row r="202">
      <c r="A202" s="49">
        <v>45022.861089375</v>
      </c>
      <c r="B202" s="50">
        <v>45022.986063449</v>
      </c>
      <c r="C202" s="51">
        <v>1.094</v>
      </c>
      <c r="D202" s="51">
        <v>67.0</v>
      </c>
      <c r="E202" s="52" t="s">
        <v>25</v>
      </c>
      <c r="F202" s="52" t="s">
        <v>26</v>
      </c>
      <c r="G202" s="53"/>
    </row>
    <row r="203">
      <c r="A203" s="49">
        <v>45022.87151167824</v>
      </c>
      <c r="B203" s="50">
        <v>45022.9964838773</v>
      </c>
      <c r="C203" s="51">
        <v>1.094</v>
      </c>
      <c r="D203" s="51">
        <v>67.0</v>
      </c>
      <c r="E203" s="52" t="s">
        <v>25</v>
      </c>
      <c r="F203" s="52" t="s">
        <v>26</v>
      </c>
      <c r="G203" s="53"/>
    </row>
    <row r="204">
      <c r="A204" s="49">
        <v>45022.8819425</v>
      </c>
      <c r="B204" s="50">
        <v>45023.0069147338</v>
      </c>
      <c r="C204" s="51">
        <v>1.094</v>
      </c>
      <c r="D204" s="51">
        <v>67.0</v>
      </c>
      <c r="E204" s="52" t="s">
        <v>25</v>
      </c>
      <c r="F204" s="52" t="s">
        <v>26</v>
      </c>
      <c r="G204" s="53"/>
    </row>
    <row r="205">
      <c r="A205" s="49">
        <v>45022.89236300926</v>
      </c>
      <c r="B205" s="50">
        <v>45023.017338368</v>
      </c>
      <c r="C205" s="51">
        <v>1.094</v>
      </c>
      <c r="D205" s="51">
        <v>67.0</v>
      </c>
      <c r="E205" s="52" t="s">
        <v>25</v>
      </c>
      <c r="F205" s="52" t="s">
        <v>26</v>
      </c>
      <c r="G205" s="53"/>
    </row>
    <row r="206">
      <c r="A206" s="49">
        <v>45022.90278975695</v>
      </c>
      <c r="B206" s="50">
        <v>45023.0277607175</v>
      </c>
      <c r="C206" s="51">
        <v>1.094</v>
      </c>
      <c r="D206" s="51">
        <v>67.0</v>
      </c>
      <c r="E206" s="52" t="s">
        <v>25</v>
      </c>
      <c r="F206" s="52" t="s">
        <v>26</v>
      </c>
      <c r="G206" s="53"/>
    </row>
    <row r="207">
      <c r="A207" s="49">
        <v>45022.91321027778</v>
      </c>
      <c r="B207" s="50">
        <v>45023.0381815162</v>
      </c>
      <c r="C207" s="51">
        <v>1.094</v>
      </c>
      <c r="D207" s="51">
        <v>67.0</v>
      </c>
      <c r="E207" s="52" t="s">
        <v>25</v>
      </c>
      <c r="F207" s="52" t="s">
        <v>26</v>
      </c>
      <c r="G207" s="53"/>
    </row>
    <row r="208">
      <c r="A208" s="49">
        <v>45022.92362392361</v>
      </c>
      <c r="B208" s="50">
        <v>45023.0486011805</v>
      </c>
      <c r="C208" s="51">
        <v>1.094</v>
      </c>
      <c r="D208" s="51">
        <v>67.0</v>
      </c>
      <c r="E208" s="52" t="s">
        <v>25</v>
      </c>
      <c r="F208" s="52" t="s">
        <v>26</v>
      </c>
      <c r="G208" s="53"/>
    </row>
    <row r="209">
      <c r="A209" s="49">
        <v>45022.93405011574</v>
      </c>
      <c r="B209" s="50">
        <v>45023.059022905</v>
      </c>
      <c r="C209" s="51">
        <v>1.094</v>
      </c>
      <c r="D209" s="51">
        <v>67.0</v>
      </c>
      <c r="E209" s="52" t="s">
        <v>25</v>
      </c>
      <c r="F209" s="52" t="s">
        <v>26</v>
      </c>
      <c r="G209" s="53"/>
    </row>
    <row r="210">
      <c r="A210" s="49">
        <v>45022.944497696764</v>
      </c>
      <c r="B210" s="50">
        <v>45023.0694561111</v>
      </c>
      <c r="C210" s="51">
        <v>1.094</v>
      </c>
      <c r="D210" s="51">
        <v>67.0</v>
      </c>
      <c r="E210" s="52" t="s">
        <v>25</v>
      </c>
      <c r="F210" s="52" t="s">
        <v>26</v>
      </c>
      <c r="G210" s="53"/>
    </row>
    <row r="211">
      <c r="A211" s="49">
        <v>45022.95491939815</v>
      </c>
      <c r="B211" s="50">
        <v>45023.0798879629</v>
      </c>
      <c r="C211" s="51">
        <v>1.094</v>
      </c>
      <c r="D211" s="51">
        <v>67.0</v>
      </c>
      <c r="E211" s="52" t="s">
        <v>25</v>
      </c>
      <c r="F211" s="52" t="s">
        <v>26</v>
      </c>
      <c r="G211" s="53"/>
    </row>
    <row r="212">
      <c r="A212" s="49">
        <v>45022.965335138884</v>
      </c>
      <c r="B212" s="50">
        <v>45023.0903098148</v>
      </c>
      <c r="C212" s="51">
        <v>1.094</v>
      </c>
      <c r="D212" s="51">
        <v>67.0</v>
      </c>
      <c r="E212" s="52" t="s">
        <v>25</v>
      </c>
      <c r="F212" s="52" t="s">
        <v>26</v>
      </c>
      <c r="G212" s="53"/>
    </row>
    <row r="213">
      <c r="A213" s="49">
        <v>45022.97575511574</v>
      </c>
      <c r="B213" s="50">
        <v>45023.1007309143</v>
      </c>
      <c r="C213" s="51">
        <v>1.094</v>
      </c>
      <c r="D213" s="51">
        <v>67.0</v>
      </c>
      <c r="E213" s="52" t="s">
        <v>25</v>
      </c>
      <c r="F213" s="52" t="s">
        <v>26</v>
      </c>
      <c r="G213" s="53"/>
    </row>
    <row r="214">
      <c r="A214" s="49">
        <v>45022.986178900464</v>
      </c>
      <c r="B214" s="50">
        <v>45023.1111505208</v>
      </c>
      <c r="C214" s="51">
        <v>1.094</v>
      </c>
      <c r="D214" s="51">
        <v>67.0</v>
      </c>
      <c r="E214" s="52" t="s">
        <v>25</v>
      </c>
      <c r="F214" s="52" t="s">
        <v>26</v>
      </c>
      <c r="G214" s="53"/>
    </row>
    <row r="215">
      <c r="A215" s="49">
        <v>45022.99674418982</v>
      </c>
      <c r="B215" s="50">
        <v>45023.1215716898</v>
      </c>
      <c r="C215" s="51">
        <v>1.094</v>
      </c>
      <c r="D215" s="51">
        <v>67.0</v>
      </c>
      <c r="E215" s="52" t="s">
        <v>25</v>
      </c>
      <c r="F215" s="52" t="s">
        <v>26</v>
      </c>
      <c r="G215" s="53"/>
    </row>
    <row r="216">
      <c r="A216" s="49">
        <v>45023.007021122685</v>
      </c>
      <c r="B216" s="50">
        <v>45023.1320048842</v>
      </c>
      <c r="C216" s="51">
        <v>1.093</v>
      </c>
      <c r="D216" s="51">
        <v>67.0</v>
      </c>
      <c r="E216" s="52" t="s">
        <v>25</v>
      </c>
      <c r="F216" s="52" t="s">
        <v>26</v>
      </c>
      <c r="G216" s="53"/>
    </row>
    <row r="217">
      <c r="A217" s="49">
        <v>45023.01745322917</v>
      </c>
      <c r="B217" s="50">
        <v>45023.1424254166</v>
      </c>
      <c r="C217" s="51">
        <v>1.093</v>
      </c>
      <c r="D217" s="51">
        <v>67.0</v>
      </c>
      <c r="E217" s="52" t="s">
        <v>25</v>
      </c>
      <c r="F217" s="52" t="s">
        <v>26</v>
      </c>
      <c r="G217" s="53"/>
    </row>
    <row r="218">
      <c r="A218" s="49">
        <v>45023.02787585648</v>
      </c>
      <c r="B218" s="50">
        <v>45023.1528472106</v>
      </c>
      <c r="C218" s="51">
        <v>1.094</v>
      </c>
      <c r="D218" s="51">
        <v>67.0</v>
      </c>
      <c r="E218" s="52" t="s">
        <v>25</v>
      </c>
      <c r="F218" s="52" t="s">
        <v>26</v>
      </c>
      <c r="G218" s="53"/>
    </row>
    <row r="219">
      <c r="A219" s="49">
        <v>45023.038301990746</v>
      </c>
      <c r="B219" s="50">
        <v>45023.1632779629</v>
      </c>
      <c r="C219" s="51">
        <v>1.093</v>
      </c>
      <c r="D219" s="51">
        <v>67.0</v>
      </c>
      <c r="E219" s="52" t="s">
        <v>25</v>
      </c>
      <c r="F219" s="52" t="s">
        <v>26</v>
      </c>
      <c r="G219" s="53"/>
    </row>
    <row r="220">
      <c r="A220" s="49">
        <v>45023.04872111111</v>
      </c>
      <c r="B220" s="50">
        <v>45023.1736983333</v>
      </c>
      <c r="C220" s="51">
        <v>1.093</v>
      </c>
      <c r="D220" s="51">
        <v>67.0</v>
      </c>
      <c r="E220" s="52" t="s">
        <v>25</v>
      </c>
      <c r="F220" s="52" t="s">
        <v>26</v>
      </c>
      <c r="G220" s="53"/>
    </row>
    <row r="221">
      <c r="A221" s="49">
        <v>45023.059144513885</v>
      </c>
      <c r="B221" s="50">
        <v>45023.1841195138</v>
      </c>
      <c r="C221" s="51">
        <v>1.093</v>
      </c>
      <c r="D221" s="51">
        <v>67.0</v>
      </c>
      <c r="E221" s="52" t="s">
        <v>25</v>
      </c>
      <c r="F221" s="52" t="s">
        <v>26</v>
      </c>
      <c r="G221" s="53"/>
    </row>
    <row r="222">
      <c r="A222" s="49">
        <v>45023.0695662963</v>
      </c>
      <c r="B222" s="50">
        <v>45023.1945390393</v>
      </c>
      <c r="C222" s="51">
        <v>1.093</v>
      </c>
      <c r="D222" s="51">
        <v>67.0</v>
      </c>
      <c r="E222" s="52" t="s">
        <v>25</v>
      </c>
      <c r="F222" s="52" t="s">
        <v>26</v>
      </c>
      <c r="G222" s="53"/>
    </row>
    <row r="223">
      <c r="A223" s="49">
        <v>45023.07999579862</v>
      </c>
      <c r="B223" s="50">
        <v>45023.2049605092</v>
      </c>
      <c r="C223" s="51">
        <v>1.093</v>
      </c>
      <c r="D223" s="51">
        <v>67.0</v>
      </c>
      <c r="E223" s="52" t="s">
        <v>25</v>
      </c>
      <c r="F223" s="52" t="s">
        <v>26</v>
      </c>
      <c r="G223" s="53"/>
    </row>
    <row r="224">
      <c r="A224" s="49">
        <v>45023.09041587963</v>
      </c>
      <c r="B224" s="50">
        <v>45023.2153937847</v>
      </c>
      <c r="C224" s="51">
        <v>1.093</v>
      </c>
      <c r="D224" s="51">
        <v>67.0</v>
      </c>
      <c r="E224" s="52" t="s">
        <v>25</v>
      </c>
      <c r="F224" s="52" t="s">
        <v>26</v>
      </c>
      <c r="G224" s="53"/>
    </row>
    <row r="225">
      <c r="A225" s="49">
        <v>45023.10083365741</v>
      </c>
      <c r="B225" s="50">
        <v>45023.2258151967</v>
      </c>
      <c r="C225" s="51">
        <v>1.093</v>
      </c>
      <c r="D225" s="51">
        <v>67.0</v>
      </c>
      <c r="E225" s="52" t="s">
        <v>25</v>
      </c>
      <c r="F225" s="52" t="s">
        <v>26</v>
      </c>
      <c r="G225" s="53"/>
    </row>
    <row r="226">
      <c r="A226" s="49">
        <v>45023.111262754624</v>
      </c>
      <c r="B226" s="50">
        <v>45023.2362359375</v>
      </c>
      <c r="C226" s="51">
        <v>1.093</v>
      </c>
      <c r="D226" s="51">
        <v>67.0</v>
      </c>
      <c r="E226" s="52" t="s">
        <v>25</v>
      </c>
      <c r="F226" s="52" t="s">
        <v>26</v>
      </c>
      <c r="G226" s="53"/>
    </row>
    <row r="227">
      <c r="A227" s="49">
        <v>45023.12168188657</v>
      </c>
      <c r="B227" s="50">
        <v>45023.2466568055</v>
      </c>
      <c r="C227" s="51">
        <v>1.093</v>
      </c>
      <c r="D227" s="51">
        <v>67.0</v>
      </c>
      <c r="E227" s="52" t="s">
        <v>25</v>
      </c>
      <c r="F227" s="52" t="s">
        <v>26</v>
      </c>
      <c r="G227" s="53"/>
    </row>
    <row r="228">
      <c r="A228" s="49">
        <v>45023.13211114584</v>
      </c>
      <c r="B228" s="50">
        <v>45023.2570902199</v>
      </c>
      <c r="C228" s="51">
        <v>1.093</v>
      </c>
      <c r="D228" s="51">
        <v>67.0</v>
      </c>
      <c r="E228" s="52" t="s">
        <v>25</v>
      </c>
      <c r="F228" s="52" t="s">
        <v>26</v>
      </c>
      <c r="G228" s="53"/>
    </row>
    <row r="229">
      <c r="A229" s="49">
        <v>45023.14253428241</v>
      </c>
      <c r="B229" s="50">
        <v>45023.2675107176</v>
      </c>
      <c r="C229" s="51">
        <v>1.093</v>
      </c>
      <c r="D229" s="51">
        <v>67.0</v>
      </c>
      <c r="E229" s="52" t="s">
        <v>25</v>
      </c>
      <c r="F229" s="52" t="s">
        <v>26</v>
      </c>
      <c r="G229" s="53"/>
    </row>
    <row r="230">
      <c r="A230" s="49">
        <v>45023.15298509259</v>
      </c>
      <c r="B230" s="50">
        <v>45023.2779554629</v>
      </c>
      <c r="C230" s="51">
        <v>1.093</v>
      </c>
      <c r="D230" s="51">
        <v>67.0</v>
      </c>
      <c r="E230" s="52" t="s">
        <v>25</v>
      </c>
      <c r="F230" s="52" t="s">
        <v>26</v>
      </c>
      <c r="G230" s="53"/>
    </row>
    <row r="231">
      <c r="A231" s="49">
        <v>45023.16340413195</v>
      </c>
      <c r="B231" s="50">
        <v>45023.2883760995</v>
      </c>
      <c r="C231" s="51">
        <v>1.093</v>
      </c>
      <c r="D231" s="51">
        <v>67.0</v>
      </c>
      <c r="E231" s="52" t="s">
        <v>25</v>
      </c>
      <c r="F231" s="52" t="s">
        <v>26</v>
      </c>
      <c r="G231" s="53"/>
    </row>
    <row r="232">
      <c r="A232" s="49">
        <v>45023.17382881945</v>
      </c>
      <c r="B232" s="50">
        <v>45023.2987990509</v>
      </c>
      <c r="C232" s="51">
        <v>1.093</v>
      </c>
      <c r="D232" s="51">
        <v>67.0</v>
      </c>
      <c r="E232" s="52" t="s">
        <v>25</v>
      </c>
      <c r="F232" s="52" t="s">
        <v>26</v>
      </c>
      <c r="G232" s="53"/>
    </row>
    <row r="233">
      <c r="A233" s="49">
        <v>45023.18424989583</v>
      </c>
      <c r="B233" s="50">
        <v>45023.3092228125</v>
      </c>
      <c r="C233" s="51">
        <v>1.093</v>
      </c>
      <c r="D233" s="51">
        <v>67.0</v>
      </c>
      <c r="E233" s="52" t="s">
        <v>25</v>
      </c>
      <c r="F233" s="52" t="s">
        <v>26</v>
      </c>
      <c r="G233" s="53"/>
    </row>
    <row r="234">
      <c r="A234" s="49">
        <v>45023.19468039351</v>
      </c>
      <c r="B234" s="50">
        <v>45023.3196561805</v>
      </c>
      <c r="C234" s="51">
        <v>1.092</v>
      </c>
      <c r="D234" s="51">
        <v>67.0</v>
      </c>
      <c r="E234" s="52" t="s">
        <v>25</v>
      </c>
      <c r="F234" s="52" t="s">
        <v>26</v>
      </c>
      <c r="G234" s="53"/>
    </row>
    <row r="235">
      <c r="A235" s="49">
        <v>45023.20516712963</v>
      </c>
      <c r="B235" s="50">
        <v>45023.3301007407</v>
      </c>
      <c r="C235" s="51">
        <v>1.093</v>
      </c>
      <c r="D235" s="51">
        <v>68.0</v>
      </c>
      <c r="E235" s="52" t="s">
        <v>25</v>
      </c>
      <c r="F235" s="52" t="s">
        <v>26</v>
      </c>
      <c r="G235" s="53"/>
    </row>
    <row r="236">
      <c r="A236" s="49">
        <v>45023.2155924074</v>
      </c>
      <c r="B236" s="50">
        <v>45023.3405205671</v>
      </c>
      <c r="C236" s="51">
        <v>1.092</v>
      </c>
      <c r="D236" s="51">
        <v>67.0</v>
      </c>
      <c r="E236" s="52" t="s">
        <v>25</v>
      </c>
      <c r="F236" s="52" t="s">
        <v>26</v>
      </c>
      <c r="G236" s="53"/>
    </row>
    <row r="237">
      <c r="A237" s="49">
        <v>45023.22601157408</v>
      </c>
      <c r="B237" s="50">
        <v>45023.350952824</v>
      </c>
      <c r="C237" s="51">
        <v>1.092</v>
      </c>
      <c r="D237" s="51">
        <v>68.0</v>
      </c>
      <c r="E237" s="52" t="s">
        <v>25</v>
      </c>
      <c r="F237" s="52" t="s">
        <v>26</v>
      </c>
      <c r="G237" s="53"/>
    </row>
    <row r="238">
      <c r="A238" s="49">
        <v>45023.2363964699</v>
      </c>
      <c r="B238" s="50">
        <v>45023.3613732523</v>
      </c>
      <c r="C238" s="51">
        <v>1.092</v>
      </c>
      <c r="D238" s="51">
        <v>68.0</v>
      </c>
      <c r="E238" s="52" t="s">
        <v>25</v>
      </c>
      <c r="F238" s="52" t="s">
        <v>26</v>
      </c>
      <c r="G238" s="53"/>
    </row>
    <row r="239">
      <c r="A239" s="49">
        <v>45023.24682195602</v>
      </c>
      <c r="B239" s="50">
        <v>45023.3717946759</v>
      </c>
      <c r="C239" s="51">
        <v>1.092</v>
      </c>
      <c r="D239" s="51">
        <v>68.0</v>
      </c>
      <c r="E239" s="52" t="s">
        <v>25</v>
      </c>
      <c r="F239" s="52" t="s">
        <v>26</v>
      </c>
      <c r="G239" s="53"/>
    </row>
    <row r="240">
      <c r="A240" s="49">
        <v>45023.257261701394</v>
      </c>
      <c r="B240" s="50">
        <v>45023.3822277893</v>
      </c>
      <c r="C240" s="51">
        <v>1.092</v>
      </c>
      <c r="D240" s="51">
        <v>68.0</v>
      </c>
      <c r="E240" s="52" t="s">
        <v>25</v>
      </c>
      <c r="F240" s="52" t="s">
        <v>26</v>
      </c>
      <c r="G240" s="53"/>
    </row>
    <row r="241">
      <c r="A241" s="49">
        <v>45023.267676180556</v>
      </c>
      <c r="B241" s="50">
        <v>45023.3926478009</v>
      </c>
      <c r="C241" s="51">
        <v>1.092</v>
      </c>
      <c r="D241" s="51">
        <v>68.0</v>
      </c>
      <c r="E241" s="52" t="s">
        <v>25</v>
      </c>
      <c r="F241" s="52" t="s">
        <v>26</v>
      </c>
      <c r="G241" s="53"/>
    </row>
    <row r="242">
      <c r="A242" s="49">
        <v>45023.27809402777</v>
      </c>
      <c r="B242" s="50">
        <v>45023.403068831</v>
      </c>
      <c r="C242" s="51">
        <v>1.092</v>
      </c>
      <c r="D242" s="51">
        <v>68.0</v>
      </c>
      <c r="E242" s="52" t="s">
        <v>25</v>
      </c>
      <c r="F242" s="52" t="s">
        <v>26</v>
      </c>
      <c r="G242" s="53"/>
    </row>
    <row r="243">
      <c r="A243" s="49">
        <v>45023.288531701386</v>
      </c>
      <c r="B243" s="50">
        <v>45023.4135031018</v>
      </c>
      <c r="C243" s="51">
        <v>1.092</v>
      </c>
      <c r="D243" s="51">
        <v>68.0</v>
      </c>
      <c r="E243" s="52" t="s">
        <v>25</v>
      </c>
      <c r="F243" s="52" t="s">
        <v>26</v>
      </c>
      <c r="G243" s="53"/>
    </row>
    <row r="244">
      <c r="A244" s="49">
        <v>45023.29895337963</v>
      </c>
      <c r="B244" s="50">
        <v>45023.4239264699</v>
      </c>
      <c r="C244" s="51">
        <v>1.092</v>
      </c>
      <c r="D244" s="51">
        <v>68.0</v>
      </c>
      <c r="E244" s="52" t="s">
        <v>25</v>
      </c>
      <c r="F244" s="52" t="s">
        <v>26</v>
      </c>
      <c r="G244" s="53"/>
    </row>
    <row r="245">
      <c r="A245" s="49">
        <v>45023.309370601855</v>
      </c>
      <c r="B245" s="50">
        <v>45023.434348125</v>
      </c>
      <c r="C245" s="51">
        <v>1.092</v>
      </c>
      <c r="D245" s="51">
        <v>68.0</v>
      </c>
      <c r="E245" s="52" t="s">
        <v>25</v>
      </c>
      <c r="F245" s="52" t="s">
        <v>26</v>
      </c>
      <c r="G245" s="53"/>
    </row>
    <row r="246">
      <c r="A246" s="49">
        <v>45023.319799861114</v>
      </c>
      <c r="B246" s="50">
        <v>45023.4447703935</v>
      </c>
      <c r="C246" s="51">
        <v>1.092</v>
      </c>
      <c r="D246" s="51">
        <v>68.0</v>
      </c>
      <c r="E246" s="52" t="s">
        <v>25</v>
      </c>
      <c r="F246" s="52" t="s">
        <v>26</v>
      </c>
      <c r="G246" s="53"/>
    </row>
    <row r="247">
      <c r="A247" s="49">
        <v>45023.33027898148</v>
      </c>
      <c r="B247" s="50">
        <v>45023.4552143865</v>
      </c>
      <c r="C247" s="51">
        <v>1.092</v>
      </c>
      <c r="D247" s="51">
        <v>68.0</v>
      </c>
      <c r="E247" s="52" t="s">
        <v>25</v>
      </c>
      <c r="F247" s="52" t="s">
        <v>26</v>
      </c>
      <c r="G247" s="53"/>
    </row>
    <row r="248">
      <c r="A248" s="49">
        <v>45023.34070630787</v>
      </c>
      <c r="B248" s="50">
        <v>45023.465632581</v>
      </c>
      <c r="C248" s="51">
        <v>1.092</v>
      </c>
      <c r="D248" s="51">
        <v>68.0</v>
      </c>
      <c r="E248" s="52" t="s">
        <v>25</v>
      </c>
      <c r="F248" s="52" t="s">
        <v>26</v>
      </c>
      <c r="G248" s="53"/>
    </row>
    <row r="249">
      <c r="A249" s="49">
        <v>45023.3510809838</v>
      </c>
      <c r="B249" s="50">
        <v>45023.4760530787</v>
      </c>
      <c r="C249" s="51">
        <v>1.092</v>
      </c>
      <c r="D249" s="51">
        <v>68.0</v>
      </c>
      <c r="E249" s="52" t="s">
        <v>25</v>
      </c>
      <c r="F249" s="52" t="s">
        <v>26</v>
      </c>
      <c r="G249" s="53"/>
    </row>
    <row r="250">
      <c r="A250" s="49">
        <v>45023.36150306713</v>
      </c>
      <c r="B250" s="50">
        <v>45023.4864724189</v>
      </c>
      <c r="C250" s="51">
        <v>1.092</v>
      </c>
      <c r="D250" s="51">
        <v>68.0</v>
      </c>
      <c r="E250" s="52" t="s">
        <v>25</v>
      </c>
      <c r="F250" s="52" t="s">
        <v>26</v>
      </c>
      <c r="G250" s="53"/>
    </row>
    <row r="251">
      <c r="A251" s="49">
        <v>45023.37192679398</v>
      </c>
      <c r="B251" s="50">
        <v>45023.4969055439</v>
      </c>
      <c r="C251" s="51">
        <v>1.092</v>
      </c>
      <c r="D251" s="51">
        <v>68.0</v>
      </c>
      <c r="E251" s="52" t="s">
        <v>25</v>
      </c>
      <c r="F251" s="52" t="s">
        <v>26</v>
      </c>
      <c r="G251" s="53"/>
    </row>
    <row r="252">
      <c r="A252" s="49">
        <v>45023.38235113426</v>
      </c>
      <c r="B252" s="50">
        <v>45023.5073268981</v>
      </c>
      <c r="C252" s="51">
        <v>1.092</v>
      </c>
      <c r="D252" s="51">
        <v>68.0</v>
      </c>
      <c r="E252" s="52" t="s">
        <v>25</v>
      </c>
      <c r="F252" s="52" t="s">
        <v>26</v>
      </c>
      <c r="G252" s="53"/>
    </row>
    <row r="253">
      <c r="A253" s="49">
        <v>45023.39280027778</v>
      </c>
      <c r="B253" s="50">
        <v>45023.5177706481</v>
      </c>
      <c r="C253" s="51">
        <v>1.092</v>
      </c>
      <c r="D253" s="51">
        <v>68.0</v>
      </c>
      <c r="E253" s="52" t="s">
        <v>25</v>
      </c>
      <c r="F253" s="52" t="s">
        <v>26</v>
      </c>
      <c r="G253" s="53"/>
    </row>
    <row r="254">
      <c r="A254" s="49">
        <v>45023.403214502316</v>
      </c>
      <c r="B254" s="50">
        <v>45023.5281913078</v>
      </c>
      <c r="C254" s="51">
        <v>1.092</v>
      </c>
      <c r="D254" s="51">
        <v>68.0</v>
      </c>
      <c r="E254" s="52" t="s">
        <v>25</v>
      </c>
      <c r="F254" s="52" t="s">
        <v>26</v>
      </c>
      <c r="G254" s="53"/>
    </row>
    <row r="255">
      <c r="A255" s="49">
        <v>45023.413644189815</v>
      </c>
      <c r="B255" s="50">
        <v>45023.5386114004</v>
      </c>
      <c r="C255" s="51">
        <v>1.092</v>
      </c>
      <c r="D255" s="51">
        <v>68.0</v>
      </c>
      <c r="E255" s="52" t="s">
        <v>25</v>
      </c>
      <c r="F255" s="52" t="s">
        <v>26</v>
      </c>
      <c r="G255" s="53"/>
    </row>
    <row r="256">
      <c r="A256" s="49">
        <v>45023.424061134254</v>
      </c>
      <c r="B256" s="50">
        <v>45023.5490315972</v>
      </c>
      <c r="C256" s="51">
        <v>1.091</v>
      </c>
      <c r="D256" s="51">
        <v>68.0</v>
      </c>
      <c r="E256" s="52" t="s">
        <v>25</v>
      </c>
      <c r="F256" s="52" t="s">
        <v>26</v>
      </c>
      <c r="G256" s="53"/>
    </row>
    <row r="257">
      <c r="A257" s="49">
        <v>45023.43447756945</v>
      </c>
      <c r="B257" s="50">
        <v>45023.5594530324</v>
      </c>
      <c r="C257" s="51">
        <v>1.091</v>
      </c>
      <c r="D257" s="51">
        <v>68.0</v>
      </c>
      <c r="E257" s="52" t="s">
        <v>25</v>
      </c>
      <c r="F257" s="52" t="s">
        <v>26</v>
      </c>
      <c r="G257" s="53"/>
    </row>
    <row r="258">
      <c r="A258" s="49">
        <v>45023.44490108796</v>
      </c>
      <c r="B258" s="50">
        <v>45023.5698730208</v>
      </c>
      <c r="C258" s="51">
        <v>1.091</v>
      </c>
      <c r="D258" s="51">
        <v>68.0</v>
      </c>
      <c r="E258" s="52" t="s">
        <v>25</v>
      </c>
      <c r="F258" s="52" t="s">
        <v>26</v>
      </c>
      <c r="G258" s="53"/>
    </row>
    <row r="259">
      <c r="A259" s="49">
        <v>45023.45533357639</v>
      </c>
      <c r="B259" s="50">
        <v>45023.5803053356</v>
      </c>
      <c r="C259" s="51">
        <v>1.091</v>
      </c>
      <c r="D259" s="51">
        <v>68.0</v>
      </c>
      <c r="E259" s="52" t="s">
        <v>25</v>
      </c>
      <c r="F259" s="52" t="s">
        <v>26</v>
      </c>
      <c r="G259" s="53"/>
    </row>
    <row r="260">
      <c r="A260" s="49">
        <v>45023.465760555555</v>
      </c>
      <c r="B260" s="50">
        <v>45023.5907280439</v>
      </c>
      <c r="C260" s="51">
        <v>1.091</v>
      </c>
      <c r="D260" s="51">
        <v>68.0</v>
      </c>
      <c r="E260" s="52" t="s">
        <v>25</v>
      </c>
      <c r="F260" s="52" t="s">
        <v>26</v>
      </c>
      <c r="G260" s="53"/>
    </row>
    <row r="261">
      <c r="A261" s="49">
        <v>45023.476175034724</v>
      </c>
      <c r="B261" s="50">
        <v>45023.6011484838</v>
      </c>
      <c r="C261" s="51">
        <v>1.091</v>
      </c>
      <c r="D261" s="51">
        <v>68.0</v>
      </c>
      <c r="E261" s="52" t="s">
        <v>25</v>
      </c>
      <c r="F261" s="52" t="s">
        <v>26</v>
      </c>
      <c r="G261" s="53"/>
    </row>
    <row r="262">
      <c r="A262" s="49">
        <v>45023.48661587963</v>
      </c>
      <c r="B262" s="50">
        <v>45023.6115821064</v>
      </c>
      <c r="C262" s="51">
        <v>1.091</v>
      </c>
      <c r="D262" s="51">
        <v>68.0</v>
      </c>
      <c r="E262" s="52" t="s">
        <v>25</v>
      </c>
      <c r="F262" s="52" t="s">
        <v>26</v>
      </c>
      <c r="G262" s="53"/>
    </row>
    <row r="263">
      <c r="A263" s="49">
        <v>45023.49703099537</v>
      </c>
      <c r="B263" s="50">
        <v>45023.6220028125</v>
      </c>
      <c r="C263" s="51">
        <v>1.091</v>
      </c>
      <c r="D263" s="51">
        <v>68.0</v>
      </c>
      <c r="E263" s="52" t="s">
        <v>25</v>
      </c>
      <c r="F263" s="52" t="s">
        <v>26</v>
      </c>
      <c r="G263" s="53"/>
    </row>
    <row r="264">
      <c r="A264" s="49">
        <v>45023.50751542824</v>
      </c>
      <c r="B264" s="50">
        <v>45023.6324461111</v>
      </c>
      <c r="C264" s="51">
        <v>1.091</v>
      </c>
      <c r="D264" s="51">
        <v>68.0</v>
      </c>
      <c r="E264" s="52" t="s">
        <v>25</v>
      </c>
      <c r="F264" s="52" t="s">
        <v>26</v>
      </c>
      <c r="G264" s="53"/>
    </row>
    <row r="265">
      <c r="A265" s="49">
        <v>45023.51794385417</v>
      </c>
      <c r="B265" s="50">
        <v>45023.642914537</v>
      </c>
      <c r="C265" s="51">
        <v>1.091</v>
      </c>
      <c r="D265" s="51">
        <v>68.0</v>
      </c>
      <c r="E265" s="52" t="s">
        <v>25</v>
      </c>
      <c r="F265" s="52" t="s">
        <v>26</v>
      </c>
      <c r="G265" s="53"/>
    </row>
    <row r="266">
      <c r="A266" s="49">
        <v>45023.52835983796</v>
      </c>
      <c r="B266" s="50">
        <v>45023.6533366319</v>
      </c>
      <c r="C266" s="51">
        <v>1.091</v>
      </c>
      <c r="D266" s="51">
        <v>68.0</v>
      </c>
      <c r="E266" s="52" t="s">
        <v>25</v>
      </c>
      <c r="F266" s="52" t="s">
        <v>26</v>
      </c>
      <c r="G266" s="53"/>
    </row>
    <row r="267">
      <c r="A267" s="49">
        <v>45023.53878758102</v>
      </c>
      <c r="B267" s="50">
        <v>45023.6637596296</v>
      </c>
      <c r="C267" s="51">
        <v>1.091</v>
      </c>
      <c r="D267" s="51">
        <v>68.0</v>
      </c>
      <c r="E267" s="52" t="s">
        <v>25</v>
      </c>
      <c r="F267" s="52" t="s">
        <v>26</v>
      </c>
      <c r="G267" s="53"/>
    </row>
    <row r="268">
      <c r="A268" s="49">
        <v>45023.5492168287</v>
      </c>
      <c r="B268" s="50">
        <v>45023.6741821296</v>
      </c>
      <c r="C268" s="51">
        <v>1.091</v>
      </c>
      <c r="D268" s="51">
        <v>68.0</v>
      </c>
      <c r="E268" s="52" t="s">
        <v>25</v>
      </c>
      <c r="F268" s="52" t="s">
        <v>26</v>
      </c>
      <c r="G268" s="53"/>
    </row>
    <row r="269">
      <c r="A269" s="49">
        <v>45023.55963966435</v>
      </c>
      <c r="B269" s="50">
        <v>45023.6846142129</v>
      </c>
      <c r="C269" s="51">
        <v>1.091</v>
      </c>
      <c r="D269" s="51">
        <v>68.0</v>
      </c>
      <c r="E269" s="52" t="s">
        <v>25</v>
      </c>
      <c r="F269" s="52" t="s">
        <v>26</v>
      </c>
      <c r="G269" s="53"/>
    </row>
    <row r="270">
      <c r="A270" s="49">
        <v>45023.57005898148</v>
      </c>
      <c r="B270" s="50">
        <v>45023.6950367824</v>
      </c>
      <c r="C270" s="51">
        <v>1.091</v>
      </c>
      <c r="D270" s="51">
        <v>68.0</v>
      </c>
      <c r="E270" s="52" t="s">
        <v>25</v>
      </c>
      <c r="F270" s="52" t="s">
        <v>26</v>
      </c>
      <c r="G270" s="53"/>
    </row>
    <row r="271">
      <c r="A271" s="49">
        <v>45023.58049083334</v>
      </c>
      <c r="B271" s="50">
        <v>45023.7054683564</v>
      </c>
      <c r="C271" s="51">
        <v>1.09</v>
      </c>
      <c r="D271" s="51">
        <v>68.0</v>
      </c>
      <c r="E271" s="52" t="s">
        <v>25</v>
      </c>
      <c r="F271" s="52" t="s">
        <v>26</v>
      </c>
      <c r="G271" s="53"/>
    </row>
    <row r="272">
      <c r="A272" s="49">
        <v>45023.59092502315</v>
      </c>
      <c r="B272" s="50">
        <v>45023.7158882754</v>
      </c>
      <c r="C272" s="51">
        <v>1.091</v>
      </c>
      <c r="D272" s="51">
        <v>68.0</v>
      </c>
      <c r="E272" s="52" t="s">
        <v>25</v>
      </c>
      <c r="F272" s="52" t="s">
        <v>26</v>
      </c>
      <c r="G272" s="53"/>
    </row>
    <row r="273">
      <c r="A273" s="49">
        <v>45023.60134163195</v>
      </c>
      <c r="B273" s="50">
        <v>45023.7263093055</v>
      </c>
      <c r="C273" s="51">
        <v>1.09</v>
      </c>
      <c r="D273" s="51">
        <v>68.0</v>
      </c>
      <c r="E273" s="52" t="s">
        <v>25</v>
      </c>
      <c r="F273" s="52" t="s">
        <v>26</v>
      </c>
      <c r="G273" s="53"/>
    </row>
    <row r="274">
      <c r="A274" s="49">
        <v>45023.61175834491</v>
      </c>
      <c r="B274" s="50">
        <v>45023.7367301967</v>
      </c>
      <c r="C274" s="51">
        <v>1.091</v>
      </c>
      <c r="D274" s="51">
        <v>68.0</v>
      </c>
      <c r="E274" s="52" t="s">
        <v>25</v>
      </c>
      <c r="F274" s="52" t="s">
        <v>26</v>
      </c>
      <c r="G274" s="53"/>
    </row>
    <row r="275">
      <c r="A275" s="49">
        <v>45023.622183831016</v>
      </c>
      <c r="B275" s="50">
        <v>45023.7471514236</v>
      </c>
      <c r="C275" s="51">
        <v>1.09</v>
      </c>
      <c r="D275" s="51">
        <v>68.0</v>
      </c>
      <c r="E275" s="52" t="s">
        <v>25</v>
      </c>
      <c r="F275" s="52" t="s">
        <v>26</v>
      </c>
      <c r="G275" s="53"/>
    </row>
    <row r="276">
      <c r="A276" s="49">
        <v>45023.632610555556</v>
      </c>
      <c r="B276" s="50">
        <v>45023.7575847222</v>
      </c>
      <c r="C276" s="51">
        <v>1.09</v>
      </c>
      <c r="D276" s="51">
        <v>68.0</v>
      </c>
      <c r="E276" s="52" t="s">
        <v>25</v>
      </c>
      <c r="F276" s="52" t="s">
        <v>26</v>
      </c>
      <c r="G276" s="53"/>
    </row>
    <row r="277">
      <c r="A277" s="49">
        <v>45023.64303648148</v>
      </c>
      <c r="B277" s="50">
        <v>45023.7680072338</v>
      </c>
      <c r="C277" s="51">
        <v>1.09</v>
      </c>
      <c r="D277" s="51">
        <v>68.0</v>
      </c>
      <c r="E277" s="52" t="s">
        <v>25</v>
      </c>
      <c r="F277" s="52" t="s">
        <v>26</v>
      </c>
      <c r="G277" s="53"/>
    </row>
    <row r="278">
      <c r="A278" s="49">
        <v>45023.653450011574</v>
      </c>
      <c r="B278" s="50">
        <v>45023.7784298726</v>
      </c>
      <c r="C278" s="51">
        <v>1.09</v>
      </c>
      <c r="D278" s="51">
        <v>68.0</v>
      </c>
      <c r="E278" s="52" t="s">
        <v>25</v>
      </c>
      <c r="F278" s="52" t="s">
        <v>26</v>
      </c>
      <c r="G278" s="53"/>
    </row>
    <row r="279">
      <c r="A279" s="49">
        <v>45023.663878946754</v>
      </c>
      <c r="B279" s="50">
        <v>45023.7888500926</v>
      </c>
      <c r="C279" s="51">
        <v>1.09</v>
      </c>
      <c r="D279" s="51">
        <v>68.0</v>
      </c>
      <c r="E279" s="52" t="s">
        <v>25</v>
      </c>
      <c r="F279" s="52" t="s">
        <v>26</v>
      </c>
      <c r="G279" s="53"/>
    </row>
    <row r="280">
      <c r="A280" s="49">
        <v>45023.674311006944</v>
      </c>
      <c r="B280" s="50">
        <v>45023.7992811689</v>
      </c>
      <c r="C280" s="51">
        <v>1.09</v>
      </c>
      <c r="D280" s="51">
        <v>68.0</v>
      </c>
      <c r="E280" s="52" t="s">
        <v>25</v>
      </c>
      <c r="F280" s="52" t="s">
        <v>26</v>
      </c>
      <c r="G280" s="53"/>
    </row>
    <row r="281">
      <c r="A281" s="49">
        <v>45023.68472693287</v>
      </c>
      <c r="B281" s="50">
        <v>45023.8097030092</v>
      </c>
      <c r="C281" s="51">
        <v>1.09</v>
      </c>
      <c r="D281" s="51">
        <v>68.0</v>
      </c>
      <c r="E281" s="52" t="s">
        <v>25</v>
      </c>
      <c r="F281" s="52" t="s">
        <v>26</v>
      </c>
      <c r="G281" s="53"/>
    </row>
    <row r="282">
      <c r="A282" s="49">
        <v>45023.695158449074</v>
      </c>
      <c r="B282" s="50">
        <v>45023.8201376504</v>
      </c>
      <c r="C282" s="51">
        <v>1.09</v>
      </c>
      <c r="D282" s="51">
        <v>68.0</v>
      </c>
      <c r="E282" s="52" t="s">
        <v>25</v>
      </c>
      <c r="F282" s="52" t="s">
        <v>26</v>
      </c>
      <c r="G282" s="53"/>
    </row>
    <row r="283">
      <c r="A283" s="49">
        <v>45023.705588055556</v>
      </c>
      <c r="B283" s="50">
        <v>45023.8305702546</v>
      </c>
      <c r="C283" s="51">
        <v>1.09</v>
      </c>
      <c r="D283" s="51">
        <v>68.0</v>
      </c>
      <c r="E283" s="52" t="s">
        <v>25</v>
      </c>
      <c r="F283" s="52" t="s">
        <v>26</v>
      </c>
      <c r="G283" s="53"/>
    </row>
    <row r="284">
      <c r="A284" s="49">
        <v>45023.71603134259</v>
      </c>
      <c r="B284" s="50">
        <v>45023.8410035069</v>
      </c>
      <c r="C284" s="51">
        <v>1.09</v>
      </c>
      <c r="D284" s="51">
        <v>68.0</v>
      </c>
      <c r="E284" s="52" t="s">
        <v>25</v>
      </c>
      <c r="F284" s="52" t="s">
        <v>26</v>
      </c>
      <c r="G284" s="53"/>
    </row>
    <row r="285">
      <c r="A285" s="49">
        <v>45023.72645695602</v>
      </c>
      <c r="B285" s="50">
        <v>45023.8514253356</v>
      </c>
      <c r="C285" s="51">
        <v>1.09</v>
      </c>
      <c r="D285" s="51">
        <v>68.0</v>
      </c>
      <c r="E285" s="52" t="s">
        <v>25</v>
      </c>
      <c r="F285" s="52" t="s">
        <v>26</v>
      </c>
      <c r="G285" s="53"/>
    </row>
    <row r="286">
      <c r="A286" s="49">
        <v>45023.73686712963</v>
      </c>
      <c r="B286" s="50">
        <v>45023.8618457407</v>
      </c>
      <c r="C286" s="51">
        <v>1.089</v>
      </c>
      <c r="D286" s="51">
        <v>68.0</v>
      </c>
      <c r="E286" s="52" t="s">
        <v>25</v>
      </c>
      <c r="F286" s="52" t="s">
        <v>26</v>
      </c>
      <c r="G286" s="53"/>
    </row>
    <row r="287">
      <c r="A287" s="49">
        <v>45023.747290555555</v>
      </c>
      <c r="B287" s="50">
        <v>45023.8722665162</v>
      </c>
      <c r="C287" s="51">
        <v>1.09</v>
      </c>
      <c r="D287" s="51">
        <v>68.0</v>
      </c>
      <c r="E287" s="52" t="s">
        <v>25</v>
      </c>
      <c r="F287" s="52" t="s">
        <v>26</v>
      </c>
      <c r="G287" s="53"/>
    </row>
    <row r="288">
      <c r="A288" s="49">
        <v>45023.757711087965</v>
      </c>
      <c r="B288" s="50">
        <v>45023.8826878819</v>
      </c>
      <c r="C288" s="51">
        <v>1.09</v>
      </c>
      <c r="D288" s="51">
        <v>68.0</v>
      </c>
      <c r="E288" s="52" t="s">
        <v>25</v>
      </c>
      <c r="F288" s="52" t="s">
        <v>26</v>
      </c>
      <c r="G288" s="53"/>
    </row>
    <row r="289">
      <c r="A289" s="49">
        <v>45023.76813037037</v>
      </c>
      <c r="B289" s="50">
        <v>45023.8931084722</v>
      </c>
      <c r="C289" s="51">
        <v>1.089</v>
      </c>
      <c r="D289" s="51">
        <v>68.0</v>
      </c>
      <c r="E289" s="52" t="s">
        <v>25</v>
      </c>
      <c r="F289" s="52" t="s">
        <v>26</v>
      </c>
      <c r="G289" s="53"/>
    </row>
    <row r="290">
      <c r="A290" s="49">
        <v>45023.77857086806</v>
      </c>
      <c r="B290" s="50">
        <v>45023.9035409143</v>
      </c>
      <c r="C290" s="51">
        <v>1.09</v>
      </c>
      <c r="D290" s="51">
        <v>68.0</v>
      </c>
      <c r="E290" s="52" t="s">
        <v>25</v>
      </c>
      <c r="F290" s="52" t="s">
        <v>26</v>
      </c>
      <c r="G290" s="53"/>
    </row>
    <row r="291">
      <c r="A291" s="49">
        <v>45023.78900247686</v>
      </c>
      <c r="B291" s="50">
        <v>45023.9139734722</v>
      </c>
      <c r="C291" s="51">
        <v>1.089</v>
      </c>
      <c r="D291" s="51">
        <v>68.0</v>
      </c>
      <c r="E291" s="52" t="s">
        <v>25</v>
      </c>
      <c r="F291" s="52" t="s">
        <v>26</v>
      </c>
      <c r="G291" s="53"/>
    </row>
    <row r="292">
      <c r="A292" s="49">
        <v>45023.79942502315</v>
      </c>
      <c r="B292" s="50">
        <v>45023.9243951157</v>
      </c>
      <c r="C292" s="51">
        <v>1.09</v>
      </c>
      <c r="D292" s="51">
        <v>68.0</v>
      </c>
      <c r="E292" s="52" t="s">
        <v>25</v>
      </c>
      <c r="F292" s="52" t="s">
        <v>26</v>
      </c>
      <c r="G292" s="53"/>
    </row>
    <row r="293">
      <c r="A293" s="49">
        <v>45023.809841967595</v>
      </c>
      <c r="B293" s="50">
        <v>45023.9348176967</v>
      </c>
      <c r="C293" s="51">
        <v>1.089</v>
      </c>
      <c r="D293" s="51">
        <v>68.0</v>
      </c>
      <c r="E293" s="52" t="s">
        <v>25</v>
      </c>
      <c r="F293" s="52" t="s">
        <v>26</v>
      </c>
      <c r="G293" s="53"/>
    </row>
    <row r="294">
      <c r="A294" s="49">
        <v>45023.82026910879</v>
      </c>
      <c r="B294" s="50">
        <v>45023.9452398148</v>
      </c>
      <c r="C294" s="51">
        <v>1.089</v>
      </c>
      <c r="D294" s="51">
        <v>68.0</v>
      </c>
      <c r="E294" s="52" t="s">
        <v>25</v>
      </c>
      <c r="F294" s="52" t="s">
        <v>26</v>
      </c>
      <c r="G294" s="53"/>
    </row>
    <row r="295">
      <c r="A295" s="49">
        <v>45023.8306805787</v>
      </c>
      <c r="B295" s="50">
        <v>45023.9556588888</v>
      </c>
      <c r="C295" s="51">
        <v>1.089</v>
      </c>
      <c r="D295" s="51">
        <v>68.0</v>
      </c>
      <c r="E295" s="52" t="s">
        <v>25</v>
      </c>
      <c r="F295" s="52" t="s">
        <v>26</v>
      </c>
      <c r="G295" s="53"/>
    </row>
    <row r="296">
      <c r="A296" s="49">
        <v>45023.841103506944</v>
      </c>
      <c r="B296" s="50">
        <v>45023.9660810763</v>
      </c>
      <c r="C296" s="51">
        <v>1.089</v>
      </c>
      <c r="D296" s="51">
        <v>68.0</v>
      </c>
      <c r="E296" s="52" t="s">
        <v>25</v>
      </c>
      <c r="F296" s="52" t="s">
        <v>26</v>
      </c>
      <c r="G296" s="53"/>
    </row>
    <row r="297">
      <c r="A297" s="49">
        <v>45023.85153212963</v>
      </c>
      <c r="B297" s="50">
        <v>45023.9765004513</v>
      </c>
      <c r="C297" s="51">
        <v>1.089</v>
      </c>
      <c r="D297" s="51">
        <v>68.0</v>
      </c>
      <c r="E297" s="52" t="s">
        <v>25</v>
      </c>
      <c r="F297" s="52" t="s">
        <v>26</v>
      </c>
      <c r="G297" s="53"/>
    </row>
    <row r="298">
      <c r="A298" s="49">
        <v>45023.86195239583</v>
      </c>
      <c r="B298" s="50">
        <v>45023.9869213078</v>
      </c>
      <c r="C298" s="51">
        <v>1.089</v>
      </c>
      <c r="D298" s="51">
        <v>68.0</v>
      </c>
      <c r="E298" s="52" t="s">
        <v>25</v>
      </c>
      <c r="F298" s="52" t="s">
        <v>26</v>
      </c>
      <c r="G298" s="53"/>
    </row>
    <row r="299">
      <c r="A299" s="49">
        <v>45023.87237387731</v>
      </c>
      <c r="B299" s="50">
        <v>45023.9973427314</v>
      </c>
      <c r="C299" s="51">
        <v>1.089</v>
      </c>
      <c r="D299" s="51">
        <v>68.0</v>
      </c>
      <c r="E299" s="52" t="s">
        <v>25</v>
      </c>
      <c r="F299" s="52" t="s">
        <v>26</v>
      </c>
      <c r="G299" s="53"/>
    </row>
    <row r="300">
      <c r="A300" s="49">
        <v>45023.88279596065</v>
      </c>
      <c r="B300" s="50">
        <v>45024.0077645833</v>
      </c>
      <c r="C300" s="51">
        <v>1.089</v>
      </c>
      <c r="D300" s="51">
        <v>68.0</v>
      </c>
      <c r="E300" s="52" t="s">
        <v>25</v>
      </c>
      <c r="F300" s="52" t="s">
        <v>26</v>
      </c>
      <c r="G300" s="53"/>
    </row>
    <row r="301">
      <c r="A301" s="49">
        <v>45023.89321895833</v>
      </c>
      <c r="B301" s="50">
        <v>45024.0181864699</v>
      </c>
      <c r="C301" s="51">
        <v>1.089</v>
      </c>
      <c r="D301" s="51">
        <v>68.0</v>
      </c>
      <c r="E301" s="52" t="s">
        <v>25</v>
      </c>
      <c r="F301" s="52" t="s">
        <v>26</v>
      </c>
      <c r="G301" s="53"/>
    </row>
    <row r="302">
      <c r="A302" s="49">
        <v>45023.90364142361</v>
      </c>
      <c r="B302" s="50">
        <v>45024.028620324</v>
      </c>
      <c r="C302" s="51">
        <v>1.089</v>
      </c>
      <c r="D302" s="51">
        <v>68.0</v>
      </c>
      <c r="E302" s="52" t="s">
        <v>25</v>
      </c>
      <c r="F302" s="52" t="s">
        <v>26</v>
      </c>
      <c r="G302" s="53"/>
    </row>
    <row r="303">
      <c r="A303" s="49">
        <v>45023.914068611106</v>
      </c>
      <c r="B303" s="50">
        <v>45024.0390406365</v>
      </c>
      <c r="C303" s="51">
        <v>1.089</v>
      </c>
      <c r="D303" s="51">
        <v>68.0</v>
      </c>
      <c r="E303" s="52" t="s">
        <v>25</v>
      </c>
      <c r="F303" s="52" t="s">
        <v>26</v>
      </c>
      <c r="G303" s="53"/>
    </row>
    <row r="304">
      <c r="A304" s="49">
        <v>45023.924491770835</v>
      </c>
      <c r="B304" s="50">
        <v>45024.049462581</v>
      </c>
      <c r="C304" s="51">
        <v>1.089</v>
      </c>
      <c r="D304" s="51">
        <v>68.0</v>
      </c>
      <c r="E304" s="52" t="s">
        <v>25</v>
      </c>
      <c r="F304" s="52" t="s">
        <v>26</v>
      </c>
      <c r="G304" s="53"/>
    </row>
    <row r="305">
      <c r="A305" s="49">
        <v>45023.9349386574</v>
      </c>
      <c r="B305" s="50">
        <v>45024.0599178472</v>
      </c>
      <c r="C305" s="51">
        <v>1.088</v>
      </c>
      <c r="D305" s="51">
        <v>68.0</v>
      </c>
      <c r="E305" s="52" t="s">
        <v>25</v>
      </c>
      <c r="F305" s="52" t="s">
        <v>26</v>
      </c>
      <c r="G305" s="53"/>
    </row>
    <row r="306">
      <c r="A306" s="49">
        <v>45023.94536288195</v>
      </c>
      <c r="B306" s="50">
        <v>45024.0703387152</v>
      </c>
      <c r="C306" s="51">
        <v>1.088</v>
      </c>
      <c r="D306" s="51">
        <v>68.0</v>
      </c>
      <c r="E306" s="52" t="s">
        <v>25</v>
      </c>
      <c r="F306" s="52" t="s">
        <v>26</v>
      </c>
      <c r="G306" s="53"/>
    </row>
    <row r="307">
      <c r="A307" s="49">
        <v>45023.95579501157</v>
      </c>
      <c r="B307" s="50">
        <v>45024.0807610995</v>
      </c>
      <c r="C307" s="51">
        <v>1.088</v>
      </c>
      <c r="D307" s="51">
        <v>68.0</v>
      </c>
      <c r="E307" s="52" t="s">
        <v>25</v>
      </c>
      <c r="F307" s="52" t="s">
        <v>26</v>
      </c>
      <c r="G307" s="53"/>
    </row>
    <row r="308">
      <c r="A308" s="49">
        <v>45023.96621619213</v>
      </c>
      <c r="B308" s="50">
        <v>45024.0911828009</v>
      </c>
      <c r="C308" s="51">
        <v>1.088</v>
      </c>
      <c r="D308" s="51">
        <v>68.0</v>
      </c>
      <c r="E308" s="52" t="s">
        <v>25</v>
      </c>
      <c r="F308" s="52" t="s">
        <v>26</v>
      </c>
      <c r="G308" s="53"/>
    </row>
    <row r="309">
      <c r="A309" s="49">
        <v>45023.9766265162</v>
      </c>
      <c r="B309" s="50">
        <v>45024.101604456</v>
      </c>
      <c r="C309" s="51">
        <v>1.088</v>
      </c>
      <c r="D309" s="51">
        <v>68.0</v>
      </c>
      <c r="E309" s="52" t="s">
        <v>25</v>
      </c>
      <c r="F309" s="52" t="s">
        <v>26</v>
      </c>
      <c r="G309" s="53"/>
    </row>
    <row r="310">
      <c r="A310" s="49">
        <v>45023.987052303244</v>
      </c>
      <c r="B310" s="50">
        <v>45024.1120262152</v>
      </c>
      <c r="C310" s="51">
        <v>1.088</v>
      </c>
      <c r="D310" s="51">
        <v>68.0</v>
      </c>
      <c r="E310" s="52" t="s">
        <v>25</v>
      </c>
      <c r="F310" s="52" t="s">
        <v>26</v>
      </c>
      <c r="G310" s="53"/>
    </row>
    <row r="311">
      <c r="A311" s="49">
        <v>45023.997465</v>
      </c>
      <c r="B311" s="50">
        <v>45024.1224461342</v>
      </c>
      <c r="C311" s="51">
        <v>1.088</v>
      </c>
      <c r="D311" s="51">
        <v>68.0</v>
      </c>
      <c r="E311" s="52" t="s">
        <v>25</v>
      </c>
      <c r="F311" s="52" t="s">
        <v>26</v>
      </c>
      <c r="G311" s="53"/>
    </row>
    <row r="312">
      <c r="A312" s="49">
        <v>45024.007897407406</v>
      </c>
      <c r="B312" s="50">
        <v>45024.1328678703</v>
      </c>
      <c r="C312" s="51">
        <v>1.088</v>
      </c>
      <c r="D312" s="51">
        <v>68.0</v>
      </c>
      <c r="E312" s="52" t="s">
        <v>25</v>
      </c>
      <c r="F312" s="52" t="s">
        <v>26</v>
      </c>
      <c r="G312" s="53"/>
    </row>
    <row r="313">
      <c r="A313" s="49">
        <v>45024.01833153935</v>
      </c>
      <c r="B313" s="50">
        <v>45024.1433013425</v>
      </c>
      <c r="C313" s="51">
        <v>1.088</v>
      </c>
      <c r="D313" s="51">
        <v>68.0</v>
      </c>
      <c r="E313" s="52" t="s">
        <v>25</v>
      </c>
      <c r="F313" s="52" t="s">
        <v>26</v>
      </c>
      <c r="G313" s="53"/>
    </row>
    <row r="314">
      <c r="A314" s="49">
        <v>45024.02875415509</v>
      </c>
      <c r="B314" s="50">
        <v>45024.1537233564</v>
      </c>
      <c r="C314" s="51">
        <v>1.088</v>
      </c>
      <c r="D314" s="51">
        <v>68.0</v>
      </c>
      <c r="E314" s="52" t="s">
        <v>25</v>
      </c>
      <c r="F314" s="52" t="s">
        <v>26</v>
      </c>
      <c r="G314" s="53"/>
    </row>
    <row r="315">
      <c r="A315" s="49">
        <v>45024.039168206014</v>
      </c>
      <c r="B315" s="50">
        <v>45024.1641459606</v>
      </c>
      <c r="C315" s="51">
        <v>1.088</v>
      </c>
      <c r="D315" s="51">
        <v>68.0</v>
      </c>
      <c r="E315" s="52" t="s">
        <v>25</v>
      </c>
      <c r="F315" s="52" t="s">
        <v>26</v>
      </c>
      <c r="G315" s="53"/>
    </row>
    <row r="316">
      <c r="A316" s="49">
        <v>45024.04959650463</v>
      </c>
      <c r="B316" s="50">
        <v>45024.174569375</v>
      </c>
      <c r="C316" s="51">
        <v>1.087</v>
      </c>
      <c r="D316" s="51">
        <v>68.0</v>
      </c>
      <c r="E316" s="52" t="s">
        <v>25</v>
      </c>
      <c r="F316" s="52" t="s">
        <v>26</v>
      </c>
      <c r="G316" s="53"/>
    </row>
    <row r="317">
      <c r="A317" s="49">
        <v>45024.06002690972</v>
      </c>
      <c r="B317" s="50">
        <v>45024.1849885301</v>
      </c>
      <c r="C317" s="51">
        <v>1.087</v>
      </c>
      <c r="D317" s="51">
        <v>68.0</v>
      </c>
      <c r="E317" s="52" t="s">
        <v>25</v>
      </c>
      <c r="F317" s="52" t="s">
        <v>26</v>
      </c>
      <c r="G317" s="53"/>
    </row>
    <row r="318">
      <c r="A318" s="49">
        <v>45024.07044476852</v>
      </c>
      <c r="B318" s="50">
        <v>45024.1954110763</v>
      </c>
      <c r="C318" s="51">
        <v>1.087</v>
      </c>
      <c r="D318" s="51">
        <v>68.0</v>
      </c>
      <c r="E318" s="52" t="s">
        <v>25</v>
      </c>
      <c r="F318" s="52" t="s">
        <v>26</v>
      </c>
      <c r="G318" s="53"/>
    </row>
    <row r="319">
      <c r="A319" s="49">
        <v>45024.080884201394</v>
      </c>
      <c r="B319" s="50">
        <v>45024.2058339351</v>
      </c>
      <c r="C319" s="51">
        <v>1.087</v>
      </c>
      <c r="D319" s="51">
        <v>68.0</v>
      </c>
      <c r="E319" s="52" t="s">
        <v>25</v>
      </c>
      <c r="F319" s="52" t="s">
        <v>26</v>
      </c>
      <c r="G319" s="53"/>
    </row>
    <row r="320">
      <c r="A320" s="49">
        <v>45024.091308738425</v>
      </c>
      <c r="B320" s="50">
        <v>45024.2162563194</v>
      </c>
      <c r="C320" s="51">
        <v>1.087</v>
      </c>
      <c r="D320" s="51">
        <v>68.0</v>
      </c>
      <c r="E320" s="52" t="s">
        <v>25</v>
      </c>
      <c r="F320" s="52" t="s">
        <v>26</v>
      </c>
      <c r="G320" s="53"/>
    </row>
    <row r="321">
      <c r="A321" s="49">
        <v>45024.10172947917</v>
      </c>
      <c r="B321" s="50">
        <v>45024.2266778472</v>
      </c>
      <c r="C321" s="51">
        <v>1.087</v>
      </c>
      <c r="D321" s="51">
        <v>68.0</v>
      </c>
      <c r="E321" s="52" t="s">
        <v>25</v>
      </c>
      <c r="F321" s="52" t="s">
        <v>26</v>
      </c>
      <c r="G321" s="53"/>
    </row>
    <row r="322">
      <c r="A322" s="49">
        <v>45024.112142569444</v>
      </c>
      <c r="B322" s="50">
        <v>45024.237099074</v>
      </c>
      <c r="C322" s="51">
        <v>1.087</v>
      </c>
      <c r="D322" s="51">
        <v>68.0</v>
      </c>
      <c r="E322" s="52" t="s">
        <v>25</v>
      </c>
      <c r="F322" s="52" t="s">
        <v>26</v>
      </c>
      <c r="G322" s="53"/>
    </row>
    <row r="323">
      <c r="A323" s="49">
        <v>45024.12257597222</v>
      </c>
      <c r="B323" s="50">
        <v>45024.2475333101</v>
      </c>
      <c r="C323" s="51">
        <v>1.087</v>
      </c>
      <c r="D323" s="51">
        <v>68.0</v>
      </c>
      <c r="E323" s="52" t="s">
        <v>25</v>
      </c>
      <c r="F323" s="52" t="s">
        <v>26</v>
      </c>
      <c r="G323" s="53"/>
    </row>
    <row r="324">
      <c r="A324" s="49">
        <v>45024.13301240741</v>
      </c>
      <c r="B324" s="50">
        <v>45024.2579539236</v>
      </c>
      <c r="C324" s="51">
        <v>1.087</v>
      </c>
      <c r="D324" s="51">
        <v>68.0</v>
      </c>
      <c r="E324" s="52" t="s">
        <v>25</v>
      </c>
      <c r="F324" s="52" t="s">
        <v>26</v>
      </c>
      <c r="G324" s="53"/>
    </row>
    <row r="325">
      <c r="A325" s="49">
        <v>45024.14340306713</v>
      </c>
      <c r="B325" s="50">
        <v>45024.2683754398</v>
      </c>
      <c r="C325" s="51">
        <v>1.086</v>
      </c>
      <c r="D325" s="51">
        <v>68.0</v>
      </c>
      <c r="E325" s="52" t="s">
        <v>25</v>
      </c>
      <c r="F325" s="52" t="s">
        <v>26</v>
      </c>
      <c r="G325" s="53"/>
    </row>
    <row r="326">
      <c r="A326" s="49">
        <v>45024.153828379625</v>
      </c>
      <c r="B326" s="50">
        <v>45024.2787960995</v>
      </c>
      <c r="C326" s="51">
        <v>1.087</v>
      </c>
      <c r="D326" s="51">
        <v>68.0</v>
      </c>
      <c r="E326" s="52" t="s">
        <v>25</v>
      </c>
      <c r="F326" s="52" t="s">
        <v>26</v>
      </c>
      <c r="G326" s="53"/>
    </row>
    <row r="327">
      <c r="A327" s="49">
        <v>45024.16424732639</v>
      </c>
      <c r="B327" s="50">
        <v>45024.2892166435</v>
      </c>
      <c r="C327" s="51">
        <v>1.087</v>
      </c>
      <c r="D327" s="51">
        <v>68.0</v>
      </c>
      <c r="E327" s="52" t="s">
        <v>25</v>
      </c>
      <c r="F327" s="52" t="s">
        <v>26</v>
      </c>
      <c r="G327" s="53"/>
    </row>
    <row r="328">
      <c r="A328" s="49">
        <v>45024.174660324075</v>
      </c>
      <c r="B328" s="50">
        <v>45024.2996401157</v>
      </c>
      <c r="C328" s="51">
        <v>1.087</v>
      </c>
      <c r="D328" s="51">
        <v>68.0</v>
      </c>
      <c r="E328" s="52" t="s">
        <v>25</v>
      </c>
      <c r="F328" s="52" t="s">
        <v>26</v>
      </c>
      <c r="G328" s="53"/>
    </row>
    <row r="329">
      <c r="A329" s="49">
        <v>45024.18509640046</v>
      </c>
      <c r="B329" s="50">
        <v>45024.3100725</v>
      </c>
      <c r="C329" s="51">
        <v>1.086</v>
      </c>
      <c r="D329" s="51">
        <v>68.0</v>
      </c>
      <c r="E329" s="52" t="s">
        <v>25</v>
      </c>
      <c r="F329" s="52" t="s">
        <v>26</v>
      </c>
      <c r="G329" s="53"/>
    </row>
    <row r="330">
      <c r="A330" s="49">
        <v>45024.19552540509</v>
      </c>
      <c r="B330" s="50">
        <v>45024.3204941088</v>
      </c>
      <c r="C330" s="51">
        <v>1.086</v>
      </c>
      <c r="D330" s="51">
        <v>68.0</v>
      </c>
      <c r="E330" s="52" t="s">
        <v>25</v>
      </c>
      <c r="F330" s="52" t="s">
        <v>26</v>
      </c>
      <c r="G330" s="53"/>
    </row>
    <row r="331">
      <c r="A331" s="49">
        <v>45024.2059478125</v>
      </c>
      <c r="B331" s="50">
        <v>45024.3309143287</v>
      </c>
      <c r="C331" s="51">
        <v>1.086</v>
      </c>
      <c r="D331" s="51">
        <v>68.0</v>
      </c>
      <c r="E331" s="52" t="s">
        <v>25</v>
      </c>
      <c r="F331" s="52" t="s">
        <v>26</v>
      </c>
      <c r="G331" s="53"/>
    </row>
    <row r="332">
      <c r="A332" s="49">
        <v>45024.216377812496</v>
      </c>
      <c r="B332" s="50">
        <v>45024.3413469328</v>
      </c>
      <c r="C332" s="51">
        <v>1.086</v>
      </c>
      <c r="D332" s="51">
        <v>68.0</v>
      </c>
      <c r="E332" s="52" t="s">
        <v>25</v>
      </c>
      <c r="F332" s="52" t="s">
        <v>26</v>
      </c>
      <c r="G332" s="53"/>
    </row>
    <row r="333">
      <c r="A333" s="49">
        <v>45024.226875810185</v>
      </c>
      <c r="B333" s="50">
        <v>45024.3517917013</v>
      </c>
      <c r="C333" s="51">
        <v>1.086</v>
      </c>
      <c r="D333" s="51">
        <v>68.0</v>
      </c>
      <c r="E333" s="52" t="s">
        <v>25</v>
      </c>
      <c r="F333" s="52" t="s">
        <v>26</v>
      </c>
      <c r="G333" s="53"/>
    </row>
    <row r="334">
      <c r="A334" s="49">
        <v>45024.23727179398</v>
      </c>
      <c r="B334" s="50">
        <v>45024.362211493</v>
      </c>
      <c r="C334" s="51">
        <v>1.086</v>
      </c>
      <c r="D334" s="51">
        <v>68.0</v>
      </c>
      <c r="E334" s="52" t="s">
        <v>25</v>
      </c>
      <c r="F334" s="52" t="s">
        <v>26</v>
      </c>
      <c r="G334" s="53"/>
    </row>
    <row r="335">
      <c r="A335" s="49">
        <v>45024.24769978009</v>
      </c>
      <c r="B335" s="50">
        <v>45024.3726329861</v>
      </c>
      <c r="C335" s="51">
        <v>1.086</v>
      </c>
      <c r="D335" s="51">
        <v>68.0</v>
      </c>
      <c r="E335" s="52" t="s">
        <v>25</v>
      </c>
      <c r="F335" s="52" t="s">
        <v>26</v>
      </c>
      <c r="G335" s="53"/>
    </row>
    <row r="336">
      <c r="A336" s="49">
        <v>45024.25811980324</v>
      </c>
      <c r="B336" s="50">
        <v>45024.3830542476</v>
      </c>
      <c r="C336" s="51">
        <v>1.086</v>
      </c>
      <c r="D336" s="51">
        <v>68.0</v>
      </c>
      <c r="E336" s="52" t="s">
        <v>25</v>
      </c>
      <c r="F336" s="52" t="s">
        <v>26</v>
      </c>
      <c r="G336" s="53"/>
    </row>
    <row r="337">
      <c r="A337" s="49">
        <v>45024.268536400465</v>
      </c>
      <c r="B337" s="50">
        <v>45024.3934734606</v>
      </c>
      <c r="C337" s="51">
        <v>1.086</v>
      </c>
      <c r="D337" s="51">
        <v>68.0</v>
      </c>
      <c r="E337" s="52" t="s">
        <v>25</v>
      </c>
      <c r="F337" s="52" t="s">
        <v>26</v>
      </c>
      <c r="G337" s="53"/>
    </row>
    <row r="338">
      <c r="A338" s="49">
        <v>45024.27895825231</v>
      </c>
      <c r="B338" s="50">
        <v>45024.4039090277</v>
      </c>
      <c r="C338" s="51">
        <v>1.086</v>
      </c>
      <c r="D338" s="51">
        <v>68.0</v>
      </c>
      <c r="E338" s="52" t="s">
        <v>25</v>
      </c>
      <c r="F338" s="52" t="s">
        <v>26</v>
      </c>
      <c r="G338" s="53"/>
    </row>
    <row r="339">
      <c r="A339" s="49">
        <v>45024.28938371528</v>
      </c>
      <c r="B339" s="50">
        <v>45024.4143284027</v>
      </c>
      <c r="C339" s="51">
        <v>1.086</v>
      </c>
      <c r="D339" s="51">
        <v>68.0</v>
      </c>
      <c r="E339" s="52" t="s">
        <v>25</v>
      </c>
      <c r="F339" s="52" t="s">
        <v>26</v>
      </c>
      <c r="G339" s="53"/>
    </row>
    <row r="340">
      <c r="A340" s="49">
        <v>45024.29980458334</v>
      </c>
      <c r="B340" s="50">
        <v>45024.4247483912</v>
      </c>
      <c r="C340" s="51">
        <v>1.086</v>
      </c>
      <c r="D340" s="51">
        <v>68.0</v>
      </c>
      <c r="E340" s="52" t="s">
        <v>25</v>
      </c>
      <c r="F340" s="52" t="s">
        <v>26</v>
      </c>
      <c r="G340" s="53"/>
    </row>
    <row r="341">
      <c r="A341" s="49">
        <v>45024.31022954861</v>
      </c>
      <c r="B341" s="50">
        <v>45024.4351802662</v>
      </c>
      <c r="C341" s="51">
        <v>1.086</v>
      </c>
      <c r="D341" s="51">
        <v>68.0</v>
      </c>
      <c r="E341" s="52" t="s">
        <v>25</v>
      </c>
      <c r="F341" s="52" t="s">
        <v>26</v>
      </c>
      <c r="G341" s="53"/>
    </row>
    <row r="342">
      <c r="A342" s="49">
        <v>45024.320653483795</v>
      </c>
      <c r="B342" s="50">
        <v>45024.4456125463</v>
      </c>
      <c r="C342" s="51">
        <v>1.086</v>
      </c>
      <c r="D342" s="51">
        <v>68.0</v>
      </c>
      <c r="E342" s="52" t="s">
        <v>25</v>
      </c>
      <c r="F342" s="52" t="s">
        <v>26</v>
      </c>
      <c r="G342" s="53"/>
    </row>
    <row r="343">
      <c r="A343" s="49">
        <v>45024.33108148148</v>
      </c>
      <c r="B343" s="50">
        <v>45024.45604603</v>
      </c>
      <c r="C343" s="51">
        <v>1.086</v>
      </c>
      <c r="D343" s="51">
        <v>68.0</v>
      </c>
      <c r="E343" s="52" t="s">
        <v>25</v>
      </c>
      <c r="F343" s="52" t="s">
        <v>26</v>
      </c>
      <c r="G343" s="53"/>
    </row>
    <row r="344">
      <c r="A344" s="49">
        <v>45024.3415025463</v>
      </c>
      <c r="B344" s="50">
        <v>45024.4664674421</v>
      </c>
      <c r="C344" s="51">
        <v>1.086</v>
      </c>
      <c r="D344" s="51">
        <v>68.0</v>
      </c>
      <c r="E344" s="52" t="s">
        <v>25</v>
      </c>
      <c r="F344" s="52" t="s">
        <v>26</v>
      </c>
      <c r="G344" s="53"/>
    </row>
    <row r="345">
      <c r="A345" s="49">
        <v>45024.351924097224</v>
      </c>
      <c r="B345" s="50">
        <v>45024.4768895949</v>
      </c>
      <c r="C345" s="51">
        <v>1.086</v>
      </c>
      <c r="D345" s="51">
        <v>68.0</v>
      </c>
      <c r="E345" s="52" t="s">
        <v>25</v>
      </c>
      <c r="F345" s="52" t="s">
        <v>26</v>
      </c>
      <c r="G345" s="53"/>
    </row>
    <row r="346">
      <c r="A346" s="49">
        <v>45024.36235090278</v>
      </c>
      <c r="B346" s="50">
        <v>45024.4873217129</v>
      </c>
      <c r="C346" s="51">
        <v>1.086</v>
      </c>
      <c r="D346" s="51">
        <v>68.0</v>
      </c>
      <c r="E346" s="52" t="s">
        <v>25</v>
      </c>
      <c r="F346" s="52" t="s">
        <v>26</v>
      </c>
      <c r="G346" s="53"/>
    </row>
    <row r="347">
      <c r="A347" s="49">
        <v>45024.37277847222</v>
      </c>
      <c r="B347" s="50">
        <v>45024.4977538078</v>
      </c>
      <c r="C347" s="51">
        <v>1.085</v>
      </c>
      <c r="D347" s="51">
        <v>68.0</v>
      </c>
      <c r="E347" s="52" t="s">
        <v>25</v>
      </c>
      <c r="F347" s="52" t="s">
        <v>26</v>
      </c>
      <c r="G347" s="53"/>
    </row>
    <row r="348">
      <c r="A348" s="49">
        <v>45024.38322133102</v>
      </c>
      <c r="B348" s="50">
        <v>45024.5081872916</v>
      </c>
      <c r="C348" s="51">
        <v>1.085</v>
      </c>
      <c r="D348" s="51">
        <v>68.0</v>
      </c>
      <c r="E348" s="52" t="s">
        <v>25</v>
      </c>
      <c r="F348" s="52" t="s">
        <v>26</v>
      </c>
      <c r="G348" s="53"/>
    </row>
    <row r="349">
      <c r="A349" s="49">
        <v>45024.393641435185</v>
      </c>
      <c r="B349" s="50">
        <v>45024.5186199305</v>
      </c>
      <c r="C349" s="51">
        <v>1.086</v>
      </c>
      <c r="D349" s="51">
        <v>68.0</v>
      </c>
      <c r="E349" s="52" t="s">
        <v>25</v>
      </c>
      <c r="F349" s="52" t="s">
        <v>26</v>
      </c>
      <c r="G349" s="53"/>
    </row>
    <row r="350">
      <c r="A350" s="49">
        <v>45024.40407087963</v>
      </c>
      <c r="B350" s="50">
        <v>45024.5290407407</v>
      </c>
      <c r="C350" s="51">
        <v>1.085</v>
      </c>
      <c r="D350" s="51">
        <v>68.0</v>
      </c>
      <c r="E350" s="52" t="s">
        <v>25</v>
      </c>
      <c r="F350" s="52" t="s">
        <v>26</v>
      </c>
      <c r="G350" s="53"/>
    </row>
    <row r="351">
      <c r="A351" s="49">
        <v>45024.414499398146</v>
      </c>
      <c r="B351" s="50">
        <v>45024.5394737384</v>
      </c>
      <c r="C351" s="51">
        <v>1.085</v>
      </c>
      <c r="D351" s="51">
        <v>68.0</v>
      </c>
      <c r="E351" s="52" t="s">
        <v>25</v>
      </c>
      <c r="F351" s="52" t="s">
        <v>26</v>
      </c>
      <c r="G351" s="53"/>
    </row>
    <row r="352">
      <c r="A352" s="49">
        <v>45024.42492592592</v>
      </c>
      <c r="B352" s="50">
        <v>45024.5498970138</v>
      </c>
      <c r="C352" s="51">
        <v>1.085</v>
      </c>
      <c r="D352" s="51">
        <v>68.0</v>
      </c>
      <c r="E352" s="52" t="s">
        <v>25</v>
      </c>
      <c r="F352" s="52" t="s">
        <v>26</v>
      </c>
      <c r="G352" s="53"/>
    </row>
    <row r="353">
      <c r="A353" s="49">
        <v>45024.43534480324</v>
      </c>
      <c r="B353" s="50">
        <v>45024.5603171296</v>
      </c>
      <c r="C353" s="51">
        <v>1.085</v>
      </c>
      <c r="D353" s="51">
        <v>68.0</v>
      </c>
      <c r="E353" s="52" t="s">
        <v>25</v>
      </c>
      <c r="F353" s="52" t="s">
        <v>26</v>
      </c>
      <c r="G353" s="53"/>
    </row>
    <row r="354">
      <c r="A354" s="49">
        <v>45024.44576469908</v>
      </c>
      <c r="B354" s="50">
        <v>45024.570738912</v>
      </c>
      <c r="C354" s="51">
        <v>1.085</v>
      </c>
      <c r="D354" s="51">
        <v>68.0</v>
      </c>
      <c r="E354" s="52" t="s">
        <v>25</v>
      </c>
      <c r="F354" s="52" t="s">
        <v>26</v>
      </c>
      <c r="G354" s="53"/>
    </row>
    <row r="355">
      <c r="A355" s="49">
        <v>45024.456189097225</v>
      </c>
      <c r="B355" s="50">
        <v>45024.5811586226</v>
      </c>
      <c r="C355" s="51">
        <v>1.085</v>
      </c>
      <c r="D355" s="51">
        <v>68.0</v>
      </c>
      <c r="E355" s="52" t="s">
        <v>25</v>
      </c>
      <c r="F355" s="52" t="s">
        <v>26</v>
      </c>
      <c r="G355" s="53"/>
    </row>
    <row r="356">
      <c r="A356" s="49">
        <v>45024.46662009259</v>
      </c>
      <c r="B356" s="50">
        <v>45024.5915906713</v>
      </c>
      <c r="C356" s="51">
        <v>1.085</v>
      </c>
      <c r="D356" s="51">
        <v>68.0</v>
      </c>
      <c r="E356" s="52" t="s">
        <v>25</v>
      </c>
      <c r="F356" s="52" t="s">
        <v>26</v>
      </c>
      <c r="G356" s="53"/>
    </row>
    <row r="357">
      <c r="A357" s="49">
        <v>45024.47704629629</v>
      </c>
      <c r="B357" s="50">
        <v>45024.6020122453</v>
      </c>
      <c r="C357" s="51">
        <v>1.085</v>
      </c>
      <c r="D357" s="51">
        <v>68.0</v>
      </c>
      <c r="E357" s="52" t="s">
        <v>25</v>
      </c>
      <c r="F357" s="52" t="s">
        <v>26</v>
      </c>
      <c r="G357" s="53"/>
    </row>
    <row r="358">
      <c r="A358" s="49">
        <v>45024.487465150465</v>
      </c>
      <c r="B358" s="50">
        <v>45024.6124321759</v>
      </c>
      <c r="C358" s="51">
        <v>1.085</v>
      </c>
      <c r="D358" s="51">
        <v>68.0</v>
      </c>
      <c r="E358" s="52" t="s">
        <v>25</v>
      </c>
      <c r="F358" s="52" t="s">
        <v>26</v>
      </c>
      <c r="G358" s="53"/>
    </row>
    <row r="359">
      <c r="A359" s="49">
        <v>45024.49789204861</v>
      </c>
      <c r="B359" s="50">
        <v>45024.62286603</v>
      </c>
      <c r="C359" s="51">
        <v>1.085</v>
      </c>
      <c r="D359" s="51">
        <v>68.0</v>
      </c>
      <c r="E359" s="52" t="s">
        <v>25</v>
      </c>
      <c r="F359" s="52" t="s">
        <v>26</v>
      </c>
      <c r="G359" s="53"/>
    </row>
    <row r="360">
      <c r="A360" s="49">
        <v>45024.50832476852</v>
      </c>
      <c r="B360" s="50">
        <v>45024.6332874652</v>
      </c>
      <c r="C360" s="51">
        <v>1.085</v>
      </c>
      <c r="D360" s="51">
        <v>68.0</v>
      </c>
      <c r="E360" s="52" t="s">
        <v>25</v>
      </c>
      <c r="F360" s="52" t="s">
        <v>26</v>
      </c>
      <c r="G360" s="53"/>
    </row>
    <row r="361">
      <c r="A361" s="49">
        <v>45024.51873940972</v>
      </c>
      <c r="B361" s="50">
        <v>45024.6437095486</v>
      </c>
      <c r="C361" s="51">
        <v>1.085</v>
      </c>
      <c r="D361" s="51">
        <v>68.0</v>
      </c>
      <c r="E361" s="52" t="s">
        <v>25</v>
      </c>
      <c r="F361" s="52" t="s">
        <v>26</v>
      </c>
      <c r="G361" s="53"/>
    </row>
    <row r="362">
      <c r="A362" s="49">
        <v>45024.52915798611</v>
      </c>
      <c r="B362" s="50">
        <v>45024.6541316782</v>
      </c>
      <c r="C362" s="51">
        <v>1.085</v>
      </c>
      <c r="D362" s="51">
        <v>68.0</v>
      </c>
      <c r="E362" s="52" t="s">
        <v>25</v>
      </c>
      <c r="F362" s="52" t="s">
        <v>26</v>
      </c>
      <c r="G362" s="53"/>
    </row>
    <row r="363">
      <c r="A363" s="49">
        <v>45024.53957775463</v>
      </c>
      <c r="B363" s="50">
        <v>45024.6645534375</v>
      </c>
      <c r="C363" s="51">
        <v>1.085</v>
      </c>
      <c r="D363" s="51">
        <v>68.0</v>
      </c>
      <c r="E363" s="52" t="s">
        <v>25</v>
      </c>
      <c r="F363" s="52" t="s">
        <v>26</v>
      </c>
      <c r="G363" s="53"/>
    </row>
    <row r="364">
      <c r="A364" s="49">
        <v>45024.55000265046</v>
      </c>
      <c r="B364" s="50">
        <v>45024.6749756828</v>
      </c>
      <c r="C364" s="51">
        <v>1.085</v>
      </c>
      <c r="D364" s="51">
        <v>68.0</v>
      </c>
      <c r="E364" s="52" t="s">
        <v>25</v>
      </c>
      <c r="F364" s="52" t="s">
        <v>26</v>
      </c>
      <c r="G364" s="53"/>
    </row>
    <row r="365">
      <c r="A365" s="49">
        <v>45024.560417824076</v>
      </c>
      <c r="B365" s="50">
        <v>45024.6853980092</v>
      </c>
      <c r="C365" s="51">
        <v>1.085</v>
      </c>
      <c r="D365" s="51">
        <v>68.0</v>
      </c>
      <c r="E365" s="52" t="s">
        <v>25</v>
      </c>
      <c r="F365" s="52" t="s">
        <v>26</v>
      </c>
      <c r="G365" s="53"/>
    </row>
    <row r="366">
      <c r="A366" s="49">
        <v>45024.57084533565</v>
      </c>
      <c r="B366" s="50">
        <v>45024.6958173032</v>
      </c>
      <c r="C366" s="51">
        <v>1.084</v>
      </c>
      <c r="D366" s="51">
        <v>68.0</v>
      </c>
      <c r="E366" s="52" t="s">
        <v>25</v>
      </c>
      <c r="F366" s="52" t="s">
        <v>26</v>
      </c>
      <c r="G366" s="53"/>
    </row>
    <row r="367">
      <c r="A367" s="49">
        <v>45024.58126584491</v>
      </c>
      <c r="B367" s="50">
        <v>45024.7062376273</v>
      </c>
      <c r="C367" s="51">
        <v>1.085</v>
      </c>
      <c r="D367" s="51">
        <v>68.0</v>
      </c>
      <c r="E367" s="52" t="s">
        <v>25</v>
      </c>
      <c r="F367" s="52" t="s">
        <v>26</v>
      </c>
      <c r="G367" s="53"/>
    </row>
    <row r="368">
      <c r="A368" s="49">
        <v>45024.59170478009</v>
      </c>
      <c r="B368" s="50">
        <v>45024.7166592245</v>
      </c>
      <c r="C368" s="51">
        <v>1.084</v>
      </c>
      <c r="D368" s="51">
        <v>68.0</v>
      </c>
      <c r="E368" s="52" t="s">
        <v>25</v>
      </c>
      <c r="F368" s="52" t="s">
        <v>26</v>
      </c>
      <c r="G368" s="53"/>
    </row>
    <row r="369">
      <c r="A369" s="49">
        <v>45024.60209777778</v>
      </c>
      <c r="B369" s="50">
        <v>45024.7270783217</v>
      </c>
      <c r="C369" s="51">
        <v>1.085</v>
      </c>
      <c r="D369" s="51">
        <v>68.0</v>
      </c>
      <c r="E369" s="52" t="s">
        <v>25</v>
      </c>
      <c r="F369" s="52" t="s">
        <v>26</v>
      </c>
      <c r="G369" s="53"/>
    </row>
    <row r="370">
      <c r="A370" s="49">
        <v>45024.61252546296</v>
      </c>
      <c r="B370" s="50">
        <v>45024.7374988657</v>
      </c>
      <c r="C370" s="51">
        <v>1.085</v>
      </c>
      <c r="D370" s="51">
        <v>68.0</v>
      </c>
      <c r="E370" s="52" t="s">
        <v>25</v>
      </c>
      <c r="F370" s="52" t="s">
        <v>26</v>
      </c>
      <c r="G370" s="53"/>
    </row>
    <row r="371">
      <c r="A371" s="49">
        <v>45024.62294725694</v>
      </c>
      <c r="B371" s="50">
        <v>45024.7479205787</v>
      </c>
      <c r="C371" s="51">
        <v>1.085</v>
      </c>
      <c r="D371" s="51">
        <v>68.0</v>
      </c>
      <c r="E371" s="52" t="s">
        <v>25</v>
      </c>
      <c r="F371" s="52" t="s">
        <v>26</v>
      </c>
      <c r="G371" s="53"/>
    </row>
    <row r="372">
      <c r="A372" s="49">
        <v>45024.63338407407</v>
      </c>
      <c r="B372" s="50">
        <v>45024.7583539004</v>
      </c>
      <c r="C372" s="51">
        <v>1.084</v>
      </c>
      <c r="D372" s="51">
        <v>68.0</v>
      </c>
      <c r="E372" s="52" t="s">
        <v>25</v>
      </c>
      <c r="F372" s="52" t="s">
        <v>26</v>
      </c>
      <c r="G372" s="53"/>
    </row>
    <row r="373">
      <c r="A373" s="49">
        <v>45024.64380010417</v>
      </c>
      <c r="B373" s="50">
        <v>45024.7687752546</v>
      </c>
      <c r="C373" s="51">
        <v>1.084</v>
      </c>
      <c r="D373" s="51">
        <v>68.0</v>
      </c>
      <c r="E373" s="52" t="s">
        <v>25</v>
      </c>
      <c r="F373" s="52" t="s">
        <v>26</v>
      </c>
      <c r="G373" s="53"/>
    </row>
    <row r="374">
      <c r="A374" s="49">
        <v>45024.65422715277</v>
      </c>
      <c r="B374" s="50">
        <v>45024.7791990277</v>
      </c>
      <c r="C374" s="51">
        <v>1.084</v>
      </c>
      <c r="D374" s="51">
        <v>68.0</v>
      </c>
      <c r="E374" s="52" t="s">
        <v>25</v>
      </c>
      <c r="F374" s="52" t="s">
        <v>26</v>
      </c>
      <c r="G374" s="53"/>
    </row>
    <row r="375">
      <c r="A375" s="49">
        <v>45024.664642592594</v>
      </c>
      <c r="B375" s="50">
        <v>45024.7896194328</v>
      </c>
      <c r="C375" s="51">
        <v>1.084</v>
      </c>
      <c r="D375" s="51">
        <v>68.0</v>
      </c>
      <c r="E375" s="52" t="s">
        <v>25</v>
      </c>
      <c r="F375" s="52" t="s">
        <v>26</v>
      </c>
      <c r="G375" s="53"/>
    </row>
    <row r="376">
      <c r="A376" s="49">
        <v>45024.67506800926</v>
      </c>
      <c r="B376" s="50">
        <v>45024.8000400694</v>
      </c>
      <c r="C376" s="51">
        <v>1.084</v>
      </c>
      <c r="D376" s="51">
        <v>68.0</v>
      </c>
      <c r="E376" s="52" t="s">
        <v>25</v>
      </c>
      <c r="F376" s="52" t="s">
        <v>26</v>
      </c>
      <c r="G376" s="53"/>
    </row>
    <row r="377">
      <c r="A377" s="49">
        <v>45024.68548738426</v>
      </c>
      <c r="B377" s="50">
        <v>45024.8104615856</v>
      </c>
      <c r="C377" s="51">
        <v>1.084</v>
      </c>
      <c r="D377" s="51">
        <v>68.0</v>
      </c>
      <c r="E377" s="52" t="s">
        <v>25</v>
      </c>
      <c r="F377" s="52" t="s">
        <v>26</v>
      </c>
      <c r="G377" s="53"/>
    </row>
    <row r="378">
      <c r="A378" s="49">
        <v>45024.69591693287</v>
      </c>
      <c r="B378" s="50">
        <v>45024.8208838657</v>
      </c>
      <c r="C378" s="51">
        <v>1.084</v>
      </c>
      <c r="D378" s="51">
        <v>68.0</v>
      </c>
      <c r="E378" s="52" t="s">
        <v>25</v>
      </c>
      <c r="F378" s="52" t="s">
        <v>26</v>
      </c>
      <c r="G378" s="53"/>
    </row>
    <row r="379">
      <c r="A379" s="49">
        <v>45024.70634400463</v>
      </c>
      <c r="B379" s="50">
        <v>45024.8313159722</v>
      </c>
      <c r="C379" s="51">
        <v>1.084</v>
      </c>
      <c r="D379" s="51">
        <v>68.0</v>
      </c>
      <c r="E379" s="52" t="s">
        <v>25</v>
      </c>
      <c r="F379" s="52" t="s">
        <v>26</v>
      </c>
      <c r="G379" s="53"/>
    </row>
    <row r="380">
      <c r="A380" s="49">
        <v>45024.7167605787</v>
      </c>
      <c r="B380" s="50">
        <v>45024.8417370949</v>
      </c>
      <c r="C380" s="51">
        <v>1.083</v>
      </c>
      <c r="D380" s="51">
        <v>68.0</v>
      </c>
      <c r="E380" s="52" t="s">
        <v>25</v>
      </c>
      <c r="F380" s="52" t="s">
        <v>26</v>
      </c>
      <c r="G380" s="53"/>
    </row>
    <row r="381">
      <c r="A381" s="49">
        <v>45024.72718777778</v>
      </c>
      <c r="B381" s="50">
        <v>45024.8521573842</v>
      </c>
      <c r="C381" s="51">
        <v>1.084</v>
      </c>
      <c r="D381" s="51">
        <v>68.0</v>
      </c>
      <c r="E381" s="52" t="s">
        <v>25</v>
      </c>
      <c r="F381" s="52" t="s">
        <v>26</v>
      </c>
      <c r="G381" s="53"/>
    </row>
    <row r="382">
      <c r="A382" s="49">
        <v>45024.737605636576</v>
      </c>
      <c r="B382" s="50">
        <v>45024.8625778587</v>
      </c>
      <c r="C382" s="51">
        <v>1.084</v>
      </c>
      <c r="D382" s="51">
        <v>68.0</v>
      </c>
      <c r="E382" s="52" t="s">
        <v>25</v>
      </c>
      <c r="F382" s="52" t="s">
        <v>26</v>
      </c>
      <c r="G382" s="53"/>
    </row>
    <row r="383">
      <c r="A383" s="49">
        <v>45024.74801997685</v>
      </c>
      <c r="B383" s="50">
        <v>45024.8729993518</v>
      </c>
      <c r="C383" s="51">
        <v>1.083</v>
      </c>
      <c r="D383" s="51">
        <v>68.0</v>
      </c>
      <c r="E383" s="52" t="s">
        <v>25</v>
      </c>
      <c r="F383" s="52" t="s">
        <v>26</v>
      </c>
      <c r="G383" s="53"/>
    </row>
    <row r="384">
      <c r="A384" s="49">
        <v>45024.758445983796</v>
      </c>
      <c r="B384" s="50">
        <v>45024.8834201504</v>
      </c>
      <c r="C384" s="51">
        <v>1.084</v>
      </c>
      <c r="D384" s="51">
        <v>68.0</v>
      </c>
      <c r="E384" s="52" t="s">
        <v>25</v>
      </c>
      <c r="F384" s="52" t="s">
        <v>26</v>
      </c>
      <c r="G384" s="53"/>
    </row>
    <row r="385">
      <c r="A385" s="49">
        <v>45024.76886369213</v>
      </c>
      <c r="B385" s="50">
        <v>45024.8938396643</v>
      </c>
      <c r="C385" s="51">
        <v>1.083</v>
      </c>
      <c r="D385" s="51">
        <v>68.0</v>
      </c>
      <c r="E385" s="52" t="s">
        <v>25</v>
      </c>
      <c r="F385" s="52" t="s">
        <v>26</v>
      </c>
      <c r="G385" s="53"/>
    </row>
    <row r="386">
      <c r="A386" s="49">
        <v>45024.77928981482</v>
      </c>
      <c r="B386" s="50">
        <v>45024.9042610648</v>
      </c>
      <c r="C386" s="51">
        <v>1.083</v>
      </c>
      <c r="D386" s="51">
        <v>68.0</v>
      </c>
      <c r="E386" s="52" t="s">
        <v>25</v>
      </c>
      <c r="F386" s="52" t="s">
        <v>26</v>
      </c>
      <c r="G386" s="53"/>
    </row>
    <row r="387">
      <c r="A387" s="49">
        <v>45024.78972059028</v>
      </c>
      <c r="B387" s="50">
        <v>45024.9146928703</v>
      </c>
      <c r="C387" s="51">
        <v>1.083</v>
      </c>
      <c r="D387" s="51">
        <v>68.0</v>
      </c>
      <c r="E387" s="52" t="s">
        <v>25</v>
      </c>
      <c r="F387" s="52" t="s">
        <v>26</v>
      </c>
      <c r="G387" s="53"/>
    </row>
    <row r="388">
      <c r="A388" s="49">
        <v>45024.80016428241</v>
      </c>
      <c r="B388" s="50">
        <v>45024.9251261111</v>
      </c>
      <c r="C388" s="51">
        <v>1.083</v>
      </c>
      <c r="D388" s="51">
        <v>68.0</v>
      </c>
      <c r="E388" s="52" t="s">
        <v>25</v>
      </c>
      <c r="F388" s="52" t="s">
        <v>26</v>
      </c>
      <c r="G388" s="53"/>
    </row>
    <row r="389">
      <c r="A389" s="49">
        <v>45024.810569375</v>
      </c>
      <c r="B389" s="50">
        <v>45024.9355474305</v>
      </c>
      <c r="C389" s="51">
        <v>1.083</v>
      </c>
      <c r="D389" s="51">
        <v>68.0</v>
      </c>
      <c r="E389" s="52" t="s">
        <v>25</v>
      </c>
      <c r="F389" s="52" t="s">
        <v>26</v>
      </c>
      <c r="G389" s="53"/>
    </row>
    <row r="390">
      <c r="A390" s="49">
        <v>45024.821005289356</v>
      </c>
      <c r="B390" s="50">
        <v>45024.9459692824</v>
      </c>
      <c r="C390" s="51">
        <v>1.083</v>
      </c>
      <c r="D390" s="51">
        <v>68.0</v>
      </c>
      <c r="E390" s="52" t="s">
        <v>25</v>
      </c>
      <c r="F390" s="52" t="s">
        <v>26</v>
      </c>
      <c r="G390" s="53"/>
    </row>
    <row r="391">
      <c r="A391" s="49">
        <v>45024.831456921296</v>
      </c>
      <c r="B391" s="50">
        <v>45024.9564259143</v>
      </c>
      <c r="C391" s="51">
        <v>1.083</v>
      </c>
      <c r="D391" s="51">
        <v>68.0</v>
      </c>
      <c r="E391" s="52" t="s">
        <v>25</v>
      </c>
      <c r="F391" s="52" t="s">
        <v>26</v>
      </c>
      <c r="G391" s="53"/>
    </row>
    <row r="392">
      <c r="A392" s="49">
        <v>45024.841886504626</v>
      </c>
      <c r="B392" s="50">
        <v>45024.9668579282</v>
      </c>
      <c r="C392" s="51">
        <v>1.083</v>
      </c>
      <c r="D392" s="51">
        <v>68.0</v>
      </c>
      <c r="E392" s="52" t="s">
        <v>25</v>
      </c>
      <c r="F392" s="52" t="s">
        <v>26</v>
      </c>
      <c r="G392" s="53"/>
    </row>
    <row r="393">
      <c r="A393" s="49">
        <v>45024.852318668985</v>
      </c>
      <c r="B393" s="50">
        <v>45024.977290868</v>
      </c>
      <c r="C393" s="51">
        <v>1.083</v>
      </c>
      <c r="D393" s="51">
        <v>68.0</v>
      </c>
      <c r="E393" s="52" t="s">
        <v>25</v>
      </c>
      <c r="F393" s="52" t="s">
        <v>26</v>
      </c>
      <c r="G393" s="53"/>
    </row>
    <row r="394">
      <c r="A394" s="49">
        <v>45024.86273153935</v>
      </c>
      <c r="B394" s="50">
        <v>45024.9877124421</v>
      </c>
      <c r="C394" s="51">
        <v>1.083</v>
      </c>
      <c r="D394" s="51">
        <v>68.0</v>
      </c>
      <c r="E394" s="52" t="s">
        <v>25</v>
      </c>
      <c r="F394" s="52" t="s">
        <v>26</v>
      </c>
      <c r="G394" s="53"/>
    </row>
    <row r="395">
      <c r="A395" s="49">
        <v>45024.8731615625</v>
      </c>
      <c r="B395" s="50">
        <v>45024.9981338541</v>
      </c>
      <c r="C395" s="51">
        <v>1.083</v>
      </c>
      <c r="D395" s="51">
        <v>68.0</v>
      </c>
      <c r="E395" s="52" t="s">
        <v>25</v>
      </c>
      <c r="F395" s="52" t="s">
        <v>26</v>
      </c>
      <c r="G395" s="53"/>
    </row>
    <row r="396">
      <c r="A396" s="49">
        <v>45024.88358956018</v>
      </c>
      <c r="B396" s="50">
        <v>45025.0085571527</v>
      </c>
      <c r="C396" s="51">
        <v>1.083</v>
      </c>
      <c r="D396" s="51">
        <v>68.0</v>
      </c>
      <c r="E396" s="52" t="s">
        <v>25</v>
      </c>
      <c r="F396" s="52" t="s">
        <v>26</v>
      </c>
      <c r="G396" s="53"/>
    </row>
    <row r="397">
      <c r="A397" s="49">
        <v>45024.89400583333</v>
      </c>
      <c r="B397" s="50">
        <v>45025.0189791203</v>
      </c>
      <c r="C397" s="51">
        <v>1.082</v>
      </c>
      <c r="D397" s="51">
        <v>68.0</v>
      </c>
      <c r="E397" s="52" t="s">
        <v>25</v>
      </c>
      <c r="F397" s="52" t="s">
        <v>26</v>
      </c>
      <c r="G397" s="53"/>
    </row>
    <row r="398">
      <c r="A398" s="49">
        <v>45024.904449953705</v>
      </c>
      <c r="B398" s="50">
        <v>45025.0294241898</v>
      </c>
      <c r="C398" s="51">
        <v>1.082</v>
      </c>
      <c r="D398" s="51">
        <v>68.0</v>
      </c>
      <c r="E398" s="52" t="s">
        <v>25</v>
      </c>
      <c r="F398" s="52" t="s">
        <v>26</v>
      </c>
      <c r="G398" s="53"/>
    </row>
    <row r="399">
      <c r="A399" s="49">
        <v>45024.914869872686</v>
      </c>
      <c r="B399" s="50">
        <v>45025.0398455324</v>
      </c>
      <c r="C399" s="51">
        <v>1.083</v>
      </c>
      <c r="D399" s="51">
        <v>68.0</v>
      </c>
      <c r="E399" s="52" t="s">
        <v>25</v>
      </c>
      <c r="F399" s="52" t="s">
        <v>26</v>
      </c>
      <c r="G399" s="53"/>
    </row>
    <row r="400">
      <c r="A400" s="49">
        <v>45024.9252980787</v>
      </c>
      <c r="B400" s="50">
        <v>45025.0502676504</v>
      </c>
      <c r="C400" s="51">
        <v>1.082</v>
      </c>
      <c r="D400" s="51">
        <v>68.0</v>
      </c>
      <c r="E400" s="52" t="s">
        <v>25</v>
      </c>
      <c r="F400" s="52" t="s">
        <v>26</v>
      </c>
      <c r="G400" s="53"/>
    </row>
    <row r="401">
      <c r="A401" s="49">
        <v>45024.93573439815</v>
      </c>
      <c r="B401" s="50">
        <v>45025.0607015856</v>
      </c>
      <c r="C401" s="51">
        <v>1.082</v>
      </c>
      <c r="D401" s="51">
        <v>68.0</v>
      </c>
      <c r="E401" s="52" t="s">
        <v>25</v>
      </c>
      <c r="F401" s="52" t="s">
        <v>26</v>
      </c>
      <c r="G401" s="53"/>
    </row>
    <row r="402">
      <c r="A402" s="49">
        <v>45024.946149641204</v>
      </c>
      <c r="B402" s="50">
        <v>45025.0711211226</v>
      </c>
      <c r="C402" s="51">
        <v>1.082</v>
      </c>
      <c r="D402" s="51">
        <v>68.0</v>
      </c>
      <c r="E402" s="52" t="s">
        <v>25</v>
      </c>
      <c r="F402" s="52" t="s">
        <v>26</v>
      </c>
      <c r="G402" s="53"/>
    </row>
    <row r="403">
      <c r="A403" s="49">
        <v>45024.95659928241</v>
      </c>
      <c r="B403" s="50">
        <v>45025.0815791666</v>
      </c>
      <c r="C403" s="51">
        <v>1.082</v>
      </c>
      <c r="D403" s="51">
        <v>68.0</v>
      </c>
      <c r="E403" s="52" t="s">
        <v>25</v>
      </c>
      <c r="F403" s="52" t="s">
        <v>26</v>
      </c>
      <c r="G403" s="53"/>
    </row>
    <row r="404">
      <c r="A404" s="49">
        <v>45024.967030671294</v>
      </c>
      <c r="B404" s="50">
        <v>45025.0919996527</v>
      </c>
      <c r="C404" s="51">
        <v>1.082</v>
      </c>
      <c r="D404" s="51">
        <v>68.0</v>
      </c>
      <c r="E404" s="52" t="s">
        <v>25</v>
      </c>
      <c r="F404" s="52" t="s">
        <v>26</v>
      </c>
      <c r="G404" s="53"/>
    </row>
    <row r="405">
      <c r="A405" s="49">
        <v>45024.97747587963</v>
      </c>
      <c r="B405" s="50">
        <v>45025.1024433449</v>
      </c>
      <c r="C405" s="51">
        <v>1.082</v>
      </c>
      <c r="D405" s="51">
        <v>68.0</v>
      </c>
      <c r="E405" s="52" t="s">
        <v>25</v>
      </c>
      <c r="F405" s="52" t="s">
        <v>26</v>
      </c>
      <c r="G405" s="53"/>
    </row>
    <row r="406">
      <c r="A406" s="49">
        <v>45024.987892164354</v>
      </c>
      <c r="B406" s="50">
        <v>45025.1128640046</v>
      </c>
      <c r="C406" s="51">
        <v>1.082</v>
      </c>
      <c r="D406" s="51">
        <v>68.0</v>
      </c>
      <c r="E406" s="52" t="s">
        <v>25</v>
      </c>
      <c r="F406" s="52" t="s">
        <v>26</v>
      </c>
      <c r="G406" s="53"/>
    </row>
    <row r="407">
      <c r="A407" s="49">
        <v>45024.99832200231</v>
      </c>
      <c r="B407" s="50">
        <v>45025.1232948379</v>
      </c>
      <c r="C407" s="51">
        <v>1.082</v>
      </c>
      <c r="D407" s="51">
        <v>68.0</v>
      </c>
      <c r="E407" s="52" t="s">
        <v>25</v>
      </c>
      <c r="F407" s="52" t="s">
        <v>26</v>
      </c>
      <c r="G407" s="53"/>
    </row>
    <row r="408">
      <c r="A408" s="49">
        <v>45025.00874615741</v>
      </c>
      <c r="B408" s="50">
        <v>45025.1337153819</v>
      </c>
      <c r="C408" s="51">
        <v>1.082</v>
      </c>
      <c r="D408" s="51">
        <v>68.0</v>
      </c>
      <c r="E408" s="52" t="s">
        <v>25</v>
      </c>
      <c r="F408" s="52" t="s">
        <v>26</v>
      </c>
      <c r="G408" s="53"/>
    </row>
    <row r="409">
      <c r="A409" s="49">
        <v>45025.019165335645</v>
      </c>
      <c r="B409" s="50">
        <v>45025.1441385185</v>
      </c>
      <c r="C409" s="51">
        <v>1.082</v>
      </c>
      <c r="D409" s="51">
        <v>68.0</v>
      </c>
      <c r="E409" s="52" t="s">
        <v>25</v>
      </c>
      <c r="F409" s="52" t="s">
        <v>26</v>
      </c>
      <c r="G409" s="53"/>
    </row>
    <row r="410">
      <c r="A410" s="49">
        <v>45025.029578842594</v>
      </c>
      <c r="B410" s="50">
        <v>45025.1545575463</v>
      </c>
      <c r="C410" s="51">
        <v>1.082</v>
      </c>
      <c r="D410" s="51">
        <v>68.0</v>
      </c>
      <c r="E410" s="52" t="s">
        <v>25</v>
      </c>
      <c r="F410" s="52" t="s">
        <v>26</v>
      </c>
      <c r="G410" s="53"/>
    </row>
    <row r="411">
      <c r="A411" s="49">
        <v>45025.040008703705</v>
      </c>
      <c r="B411" s="50">
        <v>45025.164978912</v>
      </c>
      <c r="C411" s="51">
        <v>1.082</v>
      </c>
      <c r="D411" s="51">
        <v>68.0</v>
      </c>
      <c r="E411" s="52" t="s">
        <v>25</v>
      </c>
      <c r="F411" s="52" t="s">
        <v>26</v>
      </c>
      <c r="G411" s="53"/>
    </row>
    <row r="412">
      <c r="A412" s="49">
        <v>45025.05042480324</v>
      </c>
      <c r="B412" s="50">
        <v>45025.1754008564</v>
      </c>
      <c r="C412" s="51">
        <v>1.082</v>
      </c>
      <c r="D412" s="51">
        <v>68.0</v>
      </c>
      <c r="E412" s="52" t="s">
        <v>25</v>
      </c>
      <c r="F412" s="52" t="s">
        <v>26</v>
      </c>
      <c r="G412" s="53"/>
    </row>
    <row r="413">
      <c r="A413" s="49">
        <v>45025.06085361111</v>
      </c>
      <c r="B413" s="50">
        <v>45025.1858237037</v>
      </c>
      <c r="C413" s="51">
        <v>1.082</v>
      </c>
      <c r="D413" s="51">
        <v>68.0</v>
      </c>
      <c r="E413" s="52" t="s">
        <v>25</v>
      </c>
      <c r="F413" s="52" t="s">
        <v>26</v>
      </c>
      <c r="G413" s="53"/>
    </row>
    <row r="414">
      <c r="A414" s="49">
        <v>45025.07127734953</v>
      </c>
      <c r="B414" s="50">
        <v>45025.1962565509</v>
      </c>
      <c r="C414" s="51">
        <v>1.082</v>
      </c>
      <c r="D414" s="51">
        <v>68.0</v>
      </c>
      <c r="E414" s="52" t="s">
        <v>25</v>
      </c>
      <c r="F414" s="52" t="s">
        <v>26</v>
      </c>
      <c r="G414" s="53"/>
    </row>
    <row r="415">
      <c r="A415" s="49">
        <v>45025.08170847222</v>
      </c>
      <c r="B415" s="50">
        <v>45025.2066793055</v>
      </c>
      <c r="C415" s="51">
        <v>1.082</v>
      </c>
      <c r="D415" s="51">
        <v>68.0</v>
      </c>
      <c r="E415" s="52" t="s">
        <v>25</v>
      </c>
      <c r="F415" s="52" t="s">
        <v>26</v>
      </c>
      <c r="G415" s="53"/>
    </row>
    <row r="416">
      <c r="A416" s="49">
        <v>45025.09213447917</v>
      </c>
      <c r="B416" s="50">
        <v>45025.2171018287</v>
      </c>
      <c r="C416" s="51">
        <v>1.082</v>
      </c>
      <c r="D416" s="51">
        <v>68.0</v>
      </c>
      <c r="E416" s="52" t="s">
        <v>25</v>
      </c>
      <c r="F416" s="52" t="s">
        <v>26</v>
      </c>
      <c r="G416" s="53"/>
    </row>
    <row r="417">
      <c r="A417" s="49">
        <v>45025.10255163195</v>
      </c>
      <c r="B417" s="50">
        <v>45025.2275228588</v>
      </c>
      <c r="C417" s="51">
        <v>1.082</v>
      </c>
      <c r="D417" s="51">
        <v>68.0</v>
      </c>
      <c r="E417" s="52" t="s">
        <v>25</v>
      </c>
      <c r="F417" s="52" t="s">
        <v>26</v>
      </c>
      <c r="G417" s="53"/>
    </row>
    <row r="418">
      <c r="A418" s="49">
        <v>45025.112976122684</v>
      </c>
      <c r="B418" s="50">
        <v>45025.2379439814</v>
      </c>
      <c r="C418" s="51">
        <v>1.082</v>
      </c>
      <c r="D418" s="51">
        <v>68.0</v>
      </c>
      <c r="E418" s="52" t="s">
        <v>25</v>
      </c>
      <c r="F418" s="52" t="s">
        <v>26</v>
      </c>
      <c r="G418" s="53"/>
    </row>
    <row r="419">
      <c r="A419" s="49">
        <v>45025.12339202546</v>
      </c>
      <c r="B419" s="50">
        <v>45025.2483653356</v>
      </c>
      <c r="C419" s="51">
        <v>1.082</v>
      </c>
      <c r="D419" s="51">
        <v>68.0</v>
      </c>
      <c r="E419" s="52" t="s">
        <v>25</v>
      </c>
      <c r="F419" s="52" t="s">
        <v>26</v>
      </c>
      <c r="G419" s="53"/>
    </row>
    <row r="420">
      <c r="A420" s="49">
        <v>45025.13380971065</v>
      </c>
      <c r="B420" s="50">
        <v>45025.2587866551</v>
      </c>
      <c r="C420" s="51">
        <v>1.081</v>
      </c>
      <c r="D420" s="51">
        <v>68.0</v>
      </c>
      <c r="E420" s="52" t="s">
        <v>25</v>
      </c>
      <c r="F420" s="52" t="s">
        <v>26</v>
      </c>
      <c r="G420" s="53"/>
    </row>
    <row r="421">
      <c r="A421" s="49">
        <v>45025.14425291667</v>
      </c>
      <c r="B421" s="50">
        <v>45025.269220243</v>
      </c>
      <c r="C421" s="51">
        <v>1.081</v>
      </c>
      <c r="D421" s="51">
        <v>68.0</v>
      </c>
      <c r="E421" s="52" t="s">
        <v>25</v>
      </c>
      <c r="F421" s="52" t="s">
        <v>26</v>
      </c>
      <c r="G421" s="53"/>
    </row>
    <row r="422">
      <c r="A422" s="49">
        <v>45025.15467076389</v>
      </c>
      <c r="B422" s="50">
        <v>45025.2796406481</v>
      </c>
      <c r="C422" s="51">
        <v>1.081</v>
      </c>
      <c r="D422" s="51">
        <v>68.0</v>
      </c>
      <c r="E422" s="52" t="s">
        <v>25</v>
      </c>
      <c r="F422" s="52" t="s">
        <v>26</v>
      </c>
      <c r="G422" s="53"/>
    </row>
    <row r="423">
      <c r="A423" s="49">
        <v>45025.16508976852</v>
      </c>
      <c r="B423" s="50">
        <v>45025.2900615393</v>
      </c>
      <c r="C423" s="51">
        <v>1.081</v>
      </c>
      <c r="D423" s="51">
        <v>68.0</v>
      </c>
      <c r="E423" s="52" t="s">
        <v>25</v>
      </c>
      <c r="F423" s="52" t="s">
        <v>26</v>
      </c>
      <c r="G423" s="53"/>
    </row>
    <row r="424">
      <c r="A424" s="49">
        <v>45025.17551451389</v>
      </c>
      <c r="B424" s="50">
        <v>45025.3004817361</v>
      </c>
      <c r="C424" s="51">
        <v>1.081</v>
      </c>
      <c r="D424" s="51">
        <v>68.0</v>
      </c>
      <c r="E424" s="52" t="s">
        <v>25</v>
      </c>
      <c r="F424" s="52" t="s">
        <v>26</v>
      </c>
      <c r="G424" s="53"/>
    </row>
    <row r="425">
      <c r="A425" s="49">
        <v>45025.185927060185</v>
      </c>
      <c r="B425" s="50">
        <v>45025.3109019791</v>
      </c>
      <c r="C425" s="51">
        <v>1.081</v>
      </c>
      <c r="D425" s="51">
        <v>68.0</v>
      </c>
      <c r="E425" s="52" t="s">
        <v>25</v>
      </c>
      <c r="F425" s="52" t="s">
        <v>26</v>
      </c>
      <c r="G425" s="53"/>
    </row>
    <row r="426">
      <c r="A426" s="49">
        <v>45025.1963521875</v>
      </c>
      <c r="B426" s="50">
        <v>45025.3213229398</v>
      </c>
      <c r="C426" s="51">
        <v>1.081</v>
      </c>
      <c r="D426" s="51">
        <v>68.0</v>
      </c>
      <c r="E426" s="52" t="s">
        <v>25</v>
      </c>
      <c r="F426" s="52" t="s">
        <v>26</v>
      </c>
      <c r="G426" s="53"/>
    </row>
    <row r="427">
      <c r="A427" s="49">
        <v>45025.20676952547</v>
      </c>
      <c r="B427" s="50">
        <v>45025.331745324</v>
      </c>
      <c r="C427" s="51">
        <v>1.081</v>
      </c>
      <c r="D427" s="51">
        <v>68.0</v>
      </c>
      <c r="E427" s="52" t="s">
        <v>25</v>
      </c>
      <c r="F427" s="52" t="s">
        <v>26</v>
      </c>
      <c r="G427" s="53"/>
    </row>
    <row r="428">
      <c r="A428" s="49">
        <v>45025.217188043986</v>
      </c>
      <c r="B428" s="50">
        <v>45025.3421652777</v>
      </c>
      <c r="C428" s="51">
        <v>1.081</v>
      </c>
      <c r="D428" s="51">
        <v>68.0</v>
      </c>
      <c r="E428" s="52" t="s">
        <v>25</v>
      </c>
      <c r="F428" s="52" t="s">
        <v>26</v>
      </c>
      <c r="G428" s="53"/>
    </row>
    <row r="429">
      <c r="A429" s="49">
        <v>45025.22761657408</v>
      </c>
      <c r="B429" s="50">
        <v>45025.3525862152</v>
      </c>
      <c r="C429" s="51">
        <v>1.081</v>
      </c>
      <c r="D429" s="51">
        <v>68.0</v>
      </c>
      <c r="E429" s="52" t="s">
        <v>25</v>
      </c>
      <c r="F429" s="52" t="s">
        <v>26</v>
      </c>
      <c r="G429" s="53"/>
    </row>
    <row r="430">
      <c r="A430" s="49">
        <v>45025.23803212963</v>
      </c>
      <c r="B430" s="50">
        <v>45025.3630078009</v>
      </c>
      <c r="C430" s="51">
        <v>1.081</v>
      </c>
      <c r="D430" s="51">
        <v>68.0</v>
      </c>
      <c r="E430" s="52" t="s">
        <v>25</v>
      </c>
      <c r="F430" s="52" t="s">
        <v>26</v>
      </c>
      <c r="G430" s="53"/>
    </row>
    <row r="431">
      <c r="A431" s="49">
        <v>45025.24845810185</v>
      </c>
      <c r="B431" s="50">
        <v>45025.3734301851</v>
      </c>
      <c r="C431" s="51">
        <v>1.081</v>
      </c>
      <c r="D431" s="51">
        <v>68.0</v>
      </c>
      <c r="E431" s="52" t="s">
        <v>25</v>
      </c>
      <c r="F431" s="52" t="s">
        <v>26</v>
      </c>
      <c r="G431" s="53"/>
    </row>
    <row r="432">
      <c r="A432" s="49">
        <v>45025.25888303241</v>
      </c>
      <c r="B432" s="50">
        <v>45025.38386375</v>
      </c>
      <c r="C432" s="51">
        <v>1.081</v>
      </c>
      <c r="D432" s="51">
        <v>68.0</v>
      </c>
      <c r="E432" s="52" t="s">
        <v>25</v>
      </c>
      <c r="F432" s="52" t="s">
        <v>26</v>
      </c>
      <c r="G432" s="53"/>
    </row>
    <row r="433">
      <c r="A433" s="49">
        <v>45025.26931459491</v>
      </c>
      <c r="B433" s="50">
        <v>45025.3942844676</v>
      </c>
      <c r="C433" s="51">
        <v>1.08</v>
      </c>
      <c r="D433" s="51">
        <v>68.0</v>
      </c>
      <c r="E433" s="52" t="s">
        <v>25</v>
      </c>
      <c r="F433" s="52" t="s">
        <v>26</v>
      </c>
      <c r="G433" s="53"/>
    </row>
    <row r="434">
      <c r="A434" s="49">
        <v>45025.279746458335</v>
      </c>
      <c r="B434" s="50">
        <v>45025.4047170138</v>
      </c>
      <c r="C434" s="51">
        <v>1.081</v>
      </c>
      <c r="D434" s="51">
        <v>68.0</v>
      </c>
      <c r="E434" s="52" t="s">
        <v>25</v>
      </c>
      <c r="F434" s="52" t="s">
        <v>26</v>
      </c>
      <c r="G434" s="53"/>
    </row>
    <row r="435">
      <c r="A435" s="49">
        <v>45025.290168657404</v>
      </c>
      <c r="B435" s="50">
        <v>45025.4151404051</v>
      </c>
      <c r="C435" s="51">
        <v>1.08</v>
      </c>
      <c r="D435" s="51">
        <v>68.0</v>
      </c>
      <c r="E435" s="52" t="s">
        <v>25</v>
      </c>
      <c r="F435" s="52" t="s">
        <v>26</v>
      </c>
      <c r="G435" s="53"/>
    </row>
    <row r="436">
      <c r="A436" s="49">
        <v>45025.30058685185</v>
      </c>
      <c r="B436" s="50">
        <v>45025.4255608101</v>
      </c>
      <c r="C436" s="51">
        <v>1.081</v>
      </c>
      <c r="D436" s="51">
        <v>68.0</v>
      </c>
      <c r="E436" s="52" t="s">
        <v>25</v>
      </c>
      <c r="F436" s="52" t="s">
        <v>26</v>
      </c>
      <c r="G436" s="53"/>
    </row>
    <row r="437">
      <c r="A437" s="49">
        <v>45025.31100965278</v>
      </c>
      <c r="B437" s="50">
        <v>45025.4359819097</v>
      </c>
      <c r="C437" s="51">
        <v>1.081</v>
      </c>
      <c r="D437" s="51">
        <v>68.0</v>
      </c>
      <c r="E437" s="52" t="s">
        <v>25</v>
      </c>
      <c r="F437" s="52" t="s">
        <v>26</v>
      </c>
      <c r="G437" s="53"/>
    </row>
    <row r="438">
      <c r="A438" s="49">
        <v>45025.32142680556</v>
      </c>
      <c r="B438" s="50">
        <v>45025.4464020833</v>
      </c>
      <c r="C438" s="51">
        <v>1.08</v>
      </c>
      <c r="D438" s="51">
        <v>68.0</v>
      </c>
      <c r="E438" s="52" t="s">
        <v>25</v>
      </c>
      <c r="F438" s="52" t="s">
        <v>26</v>
      </c>
      <c r="G438" s="53"/>
    </row>
    <row r="439">
      <c r="A439" s="49">
        <v>45025.33184461806</v>
      </c>
      <c r="B439" s="50">
        <v>45025.4568242824</v>
      </c>
      <c r="C439" s="51">
        <v>1.08</v>
      </c>
      <c r="D439" s="51">
        <v>68.0</v>
      </c>
      <c r="E439" s="52" t="s">
        <v>25</v>
      </c>
      <c r="F439" s="52" t="s">
        <v>26</v>
      </c>
      <c r="G439" s="53"/>
    </row>
    <row r="440">
      <c r="A440" s="49">
        <v>45025.34227497685</v>
      </c>
      <c r="B440" s="50">
        <v>45025.4672456828</v>
      </c>
      <c r="C440" s="51">
        <v>1.08</v>
      </c>
      <c r="D440" s="51">
        <v>68.0</v>
      </c>
      <c r="E440" s="52" t="s">
        <v>25</v>
      </c>
      <c r="F440" s="52" t="s">
        <v>26</v>
      </c>
      <c r="G440" s="53"/>
    </row>
    <row r="441">
      <c r="A441" s="49">
        <v>45025.35270966435</v>
      </c>
      <c r="B441" s="50">
        <v>45025.477676412</v>
      </c>
      <c r="C441" s="51">
        <v>1.08</v>
      </c>
      <c r="D441" s="51">
        <v>68.0</v>
      </c>
      <c r="E441" s="52" t="s">
        <v>25</v>
      </c>
      <c r="F441" s="52" t="s">
        <v>26</v>
      </c>
      <c r="G441" s="53"/>
    </row>
    <row r="442">
      <c r="A442" s="49">
        <v>45025.363126041666</v>
      </c>
      <c r="B442" s="50">
        <v>45025.4880968634</v>
      </c>
      <c r="C442" s="51">
        <v>1.08</v>
      </c>
      <c r="D442" s="51">
        <v>68.0</v>
      </c>
      <c r="E442" s="52" t="s">
        <v>25</v>
      </c>
      <c r="F442" s="52" t="s">
        <v>26</v>
      </c>
      <c r="G442" s="53"/>
    </row>
    <row r="443">
      <c r="A443" s="49">
        <v>45025.37355149306</v>
      </c>
      <c r="B443" s="50">
        <v>45025.4985194791</v>
      </c>
      <c r="C443" s="51">
        <v>1.08</v>
      </c>
      <c r="D443" s="51">
        <v>68.0</v>
      </c>
      <c r="E443" s="52" t="s">
        <v>25</v>
      </c>
      <c r="F443" s="52" t="s">
        <v>26</v>
      </c>
      <c r="G443" s="53"/>
    </row>
    <row r="444">
      <c r="A444" s="49">
        <v>45025.38398827546</v>
      </c>
      <c r="B444" s="50">
        <v>45025.5089523379</v>
      </c>
      <c r="C444" s="51">
        <v>1.08</v>
      </c>
      <c r="D444" s="51">
        <v>68.0</v>
      </c>
      <c r="E444" s="52" t="s">
        <v>25</v>
      </c>
      <c r="F444" s="52" t="s">
        <v>26</v>
      </c>
      <c r="G444" s="53"/>
    </row>
    <row r="445">
      <c r="A445" s="49">
        <v>45025.39440752315</v>
      </c>
      <c r="B445" s="50">
        <v>45025.5193873842</v>
      </c>
      <c r="C445" s="51">
        <v>1.079</v>
      </c>
      <c r="D445" s="51">
        <v>68.0</v>
      </c>
      <c r="E445" s="52" t="s">
        <v>25</v>
      </c>
      <c r="F445" s="52" t="s">
        <v>26</v>
      </c>
      <c r="G445" s="53"/>
    </row>
    <row r="446">
      <c r="A446" s="49">
        <v>45025.404847858794</v>
      </c>
      <c r="B446" s="50">
        <v>45025.5298209027</v>
      </c>
      <c r="C446" s="51">
        <v>1.08</v>
      </c>
      <c r="D446" s="51">
        <v>68.0</v>
      </c>
      <c r="E446" s="52" t="s">
        <v>25</v>
      </c>
      <c r="F446" s="52" t="s">
        <v>26</v>
      </c>
      <c r="G446" s="53"/>
    </row>
    <row r="447">
      <c r="A447" s="49">
        <v>45025.415274618055</v>
      </c>
      <c r="B447" s="50">
        <v>45025.5402415393</v>
      </c>
      <c r="C447" s="51">
        <v>1.08</v>
      </c>
      <c r="D447" s="51">
        <v>68.0</v>
      </c>
      <c r="E447" s="52" t="s">
        <v>25</v>
      </c>
      <c r="F447" s="52" t="s">
        <v>26</v>
      </c>
      <c r="G447" s="53"/>
    </row>
    <row r="448">
      <c r="A448" s="49">
        <v>45025.425696886574</v>
      </c>
      <c r="B448" s="50">
        <v>45025.5506627662</v>
      </c>
      <c r="C448" s="51">
        <v>1.08</v>
      </c>
      <c r="D448" s="51">
        <v>68.0</v>
      </c>
      <c r="E448" s="52" t="s">
        <v>25</v>
      </c>
      <c r="F448" s="52" t="s">
        <v>26</v>
      </c>
      <c r="G448" s="53"/>
    </row>
    <row r="449">
      <c r="A449" s="49">
        <v>45025.436109594906</v>
      </c>
      <c r="B449" s="50">
        <v>45025.5610844213</v>
      </c>
      <c r="C449" s="51">
        <v>1.08</v>
      </c>
      <c r="D449" s="51">
        <v>68.0</v>
      </c>
      <c r="E449" s="52" t="s">
        <v>25</v>
      </c>
      <c r="F449" s="52" t="s">
        <v>26</v>
      </c>
      <c r="G449" s="53"/>
    </row>
    <row r="450">
      <c r="A450" s="49">
        <v>45025.44652895833</v>
      </c>
      <c r="B450" s="50">
        <v>45025.5715058912</v>
      </c>
      <c r="C450" s="51">
        <v>1.08</v>
      </c>
      <c r="D450" s="51">
        <v>68.0</v>
      </c>
      <c r="E450" s="52" t="s">
        <v>25</v>
      </c>
      <c r="F450" s="52" t="s">
        <v>26</v>
      </c>
      <c r="G450" s="53"/>
    </row>
    <row r="451">
      <c r="A451" s="49">
        <v>45025.456963495366</v>
      </c>
      <c r="B451" s="50">
        <v>45025.5819278125</v>
      </c>
      <c r="C451" s="51">
        <v>1.08</v>
      </c>
      <c r="D451" s="51">
        <v>68.0</v>
      </c>
      <c r="E451" s="52" t="s">
        <v>25</v>
      </c>
      <c r="F451" s="52" t="s">
        <v>26</v>
      </c>
      <c r="G451" s="53"/>
    </row>
    <row r="452">
      <c r="A452" s="49">
        <v>45025.467393287036</v>
      </c>
      <c r="B452" s="50">
        <v>45025.5923605324</v>
      </c>
      <c r="C452" s="51">
        <v>1.079</v>
      </c>
      <c r="D452" s="51">
        <v>68.0</v>
      </c>
      <c r="E452" s="52" t="s">
        <v>25</v>
      </c>
      <c r="F452" s="52" t="s">
        <v>26</v>
      </c>
      <c r="G452" s="53"/>
    </row>
    <row r="453">
      <c r="A453" s="49">
        <v>45025.47787756944</v>
      </c>
      <c r="B453" s="50">
        <v>45025.602840787</v>
      </c>
      <c r="C453" s="51">
        <v>1.079</v>
      </c>
      <c r="D453" s="51">
        <v>68.0</v>
      </c>
      <c r="E453" s="52" t="s">
        <v>25</v>
      </c>
      <c r="F453" s="52" t="s">
        <v>26</v>
      </c>
      <c r="G453" s="53"/>
    </row>
    <row r="454">
      <c r="A454" s="49">
        <v>45025.488315752315</v>
      </c>
      <c r="B454" s="50">
        <v>45025.6132857175</v>
      </c>
      <c r="C454" s="51">
        <v>1.079</v>
      </c>
      <c r="D454" s="51">
        <v>68.0</v>
      </c>
      <c r="E454" s="52" t="s">
        <v>25</v>
      </c>
      <c r="F454" s="52" t="s">
        <v>26</v>
      </c>
      <c r="G454" s="53"/>
    </row>
    <row r="455">
      <c r="A455" s="49">
        <v>45025.49876461805</v>
      </c>
      <c r="B455" s="50">
        <v>45025.6237427083</v>
      </c>
      <c r="C455" s="51">
        <v>1.079</v>
      </c>
      <c r="D455" s="51">
        <v>68.0</v>
      </c>
      <c r="E455" s="52" t="s">
        <v>25</v>
      </c>
      <c r="F455" s="52" t="s">
        <v>26</v>
      </c>
      <c r="G455" s="53"/>
    </row>
    <row r="456">
      <c r="A456" s="49">
        <v>45025.509190682875</v>
      </c>
      <c r="B456" s="50">
        <v>45025.6341639814</v>
      </c>
      <c r="C456" s="51">
        <v>1.079</v>
      </c>
      <c r="D456" s="51">
        <v>68.0</v>
      </c>
      <c r="E456" s="52" t="s">
        <v>25</v>
      </c>
      <c r="F456" s="52" t="s">
        <v>26</v>
      </c>
      <c r="G456" s="53"/>
    </row>
    <row r="457">
      <c r="A457" s="49">
        <v>45025.519614097226</v>
      </c>
      <c r="B457" s="50">
        <v>45025.6445839351</v>
      </c>
      <c r="C457" s="51">
        <v>1.079</v>
      </c>
      <c r="D457" s="51">
        <v>68.0</v>
      </c>
      <c r="E457" s="52" t="s">
        <v>25</v>
      </c>
      <c r="F457" s="52" t="s">
        <v>26</v>
      </c>
      <c r="G457" s="53"/>
    </row>
    <row r="458">
      <c r="A458" s="49">
        <v>45025.53003480324</v>
      </c>
      <c r="B458" s="50">
        <v>45025.6550045023</v>
      </c>
      <c r="C458" s="51">
        <v>1.079</v>
      </c>
      <c r="D458" s="51">
        <v>68.0</v>
      </c>
      <c r="E458" s="52" t="s">
        <v>25</v>
      </c>
      <c r="F458" s="52" t="s">
        <v>26</v>
      </c>
      <c r="G458" s="53"/>
    </row>
    <row r="459">
      <c r="A459" s="49">
        <v>45025.54046059027</v>
      </c>
      <c r="B459" s="50">
        <v>45025.6654351967</v>
      </c>
      <c r="C459" s="51">
        <v>1.079</v>
      </c>
      <c r="D459" s="51">
        <v>68.0</v>
      </c>
      <c r="E459" s="52" t="s">
        <v>25</v>
      </c>
      <c r="F459" s="52" t="s">
        <v>26</v>
      </c>
      <c r="G459" s="53"/>
    </row>
    <row r="460">
      <c r="A460" s="49">
        <v>45025.550896875</v>
      </c>
      <c r="B460" s="50">
        <v>45025.6758667708</v>
      </c>
      <c r="C460" s="51">
        <v>1.079</v>
      </c>
      <c r="D460" s="51">
        <v>68.0</v>
      </c>
      <c r="E460" s="52" t="s">
        <v>25</v>
      </c>
      <c r="F460" s="52" t="s">
        <v>26</v>
      </c>
      <c r="G460" s="53"/>
    </row>
    <row r="461">
      <c r="A461" s="49">
        <v>45025.56131839121</v>
      </c>
      <c r="B461" s="50">
        <v>45025.6862887963</v>
      </c>
      <c r="C461" s="51">
        <v>1.079</v>
      </c>
      <c r="D461" s="51">
        <v>68.0</v>
      </c>
      <c r="E461" s="52" t="s">
        <v>25</v>
      </c>
      <c r="F461" s="52" t="s">
        <v>26</v>
      </c>
      <c r="G461" s="53"/>
    </row>
    <row r="462">
      <c r="A462" s="49">
        <v>45025.57175708334</v>
      </c>
      <c r="B462" s="50">
        <v>45025.6967328935</v>
      </c>
      <c r="C462" s="51">
        <v>1.079</v>
      </c>
      <c r="D462" s="51">
        <v>68.0</v>
      </c>
      <c r="E462" s="52" t="s">
        <v>25</v>
      </c>
      <c r="F462" s="52" t="s">
        <v>26</v>
      </c>
      <c r="G462" s="53"/>
    </row>
    <row r="463">
      <c r="A463" s="49">
        <v>45025.582183506944</v>
      </c>
      <c r="B463" s="50">
        <v>45025.7071525463</v>
      </c>
      <c r="C463" s="51">
        <v>1.079</v>
      </c>
      <c r="D463" s="51">
        <v>68.0</v>
      </c>
      <c r="E463" s="52" t="s">
        <v>25</v>
      </c>
      <c r="F463" s="52" t="s">
        <v>26</v>
      </c>
      <c r="G463" s="53"/>
    </row>
    <row r="464">
      <c r="A464" s="49">
        <v>45025.59263724537</v>
      </c>
      <c r="B464" s="50">
        <v>45025.7175740046</v>
      </c>
      <c r="C464" s="51">
        <v>1.079</v>
      </c>
      <c r="D464" s="51">
        <v>68.0</v>
      </c>
      <c r="E464" s="52" t="s">
        <v>25</v>
      </c>
      <c r="F464" s="52" t="s">
        <v>26</v>
      </c>
      <c r="G464" s="53"/>
    </row>
    <row r="465">
      <c r="A465" s="49">
        <v>45025.60303200231</v>
      </c>
      <c r="B465" s="50">
        <v>45025.7279930208</v>
      </c>
      <c r="C465" s="51">
        <v>1.079</v>
      </c>
      <c r="D465" s="51">
        <v>68.0</v>
      </c>
      <c r="E465" s="52" t="s">
        <v>25</v>
      </c>
      <c r="F465" s="52" t="s">
        <v>26</v>
      </c>
      <c r="G465" s="53"/>
    </row>
    <row r="466">
      <c r="A466" s="49">
        <v>45025.613452488426</v>
      </c>
      <c r="B466" s="50">
        <v>45025.7384146759</v>
      </c>
      <c r="C466" s="51">
        <v>1.078</v>
      </c>
      <c r="D466" s="51">
        <v>68.0</v>
      </c>
      <c r="E466" s="52" t="s">
        <v>25</v>
      </c>
      <c r="F466" s="52" t="s">
        <v>26</v>
      </c>
      <c r="G466" s="53"/>
    </row>
    <row r="467">
      <c r="A467" s="49">
        <v>45025.62396541667</v>
      </c>
      <c r="B467" s="50">
        <v>45025.748836331</v>
      </c>
      <c r="C467" s="51">
        <v>1.079</v>
      </c>
      <c r="D467" s="51">
        <v>68.0</v>
      </c>
      <c r="E467" s="52" t="s">
        <v>25</v>
      </c>
      <c r="F467" s="52" t="s">
        <v>26</v>
      </c>
      <c r="G467" s="53"/>
    </row>
    <row r="468">
      <c r="A468" s="49">
        <v>45025.6342905787</v>
      </c>
      <c r="B468" s="50">
        <v>45025.7592586921</v>
      </c>
      <c r="C468" s="51">
        <v>1.079</v>
      </c>
      <c r="D468" s="51">
        <v>68.0</v>
      </c>
      <c r="E468" s="52" t="s">
        <v>25</v>
      </c>
      <c r="F468" s="52" t="s">
        <v>26</v>
      </c>
      <c r="G468" s="53"/>
    </row>
    <row r="469">
      <c r="A469" s="49">
        <v>45025.64470979167</v>
      </c>
      <c r="B469" s="50">
        <v>45025.769680081</v>
      </c>
      <c r="C469" s="51">
        <v>1.078</v>
      </c>
      <c r="D469" s="51">
        <v>68.0</v>
      </c>
      <c r="E469" s="52" t="s">
        <v>25</v>
      </c>
      <c r="F469" s="52" t="s">
        <v>26</v>
      </c>
      <c r="G469" s="53"/>
    </row>
    <row r="470">
      <c r="A470" s="49">
        <v>45025.65514296296</v>
      </c>
      <c r="B470" s="50">
        <v>45025.7801143055</v>
      </c>
      <c r="C470" s="51">
        <v>1.079</v>
      </c>
      <c r="D470" s="51">
        <v>68.0</v>
      </c>
      <c r="E470" s="52" t="s">
        <v>25</v>
      </c>
      <c r="F470" s="52" t="s">
        <v>26</v>
      </c>
      <c r="G470" s="53"/>
    </row>
    <row r="471">
      <c r="A471" s="49">
        <v>45025.66556207176</v>
      </c>
      <c r="B471" s="50">
        <v>45025.7905351273</v>
      </c>
      <c r="C471" s="51">
        <v>1.079</v>
      </c>
      <c r="D471" s="51">
        <v>68.0</v>
      </c>
      <c r="E471" s="52" t="s">
        <v>25</v>
      </c>
      <c r="F471" s="52" t="s">
        <v>26</v>
      </c>
      <c r="G471" s="53"/>
    </row>
    <row r="472">
      <c r="A472" s="49">
        <v>45025.67598380787</v>
      </c>
      <c r="B472" s="50">
        <v>45025.8009567939</v>
      </c>
      <c r="C472" s="51">
        <v>1.079</v>
      </c>
      <c r="D472" s="51">
        <v>68.0</v>
      </c>
      <c r="E472" s="52" t="s">
        <v>25</v>
      </c>
      <c r="F472" s="52" t="s">
        <v>26</v>
      </c>
      <c r="G472" s="53"/>
    </row>
    <row r="473">
      <c r="A473" s="49">
        <v>45025.686434930554</v>
      </c>
      <c r="B473" s="50">
        <v>45025.8114136226</v>
      </c>
      <c r="C473" s="51">
        <v>1.078</v>
      </c>
      <c r="D473" s="51">
        <v>68.0</v>
      </c>
      <c r="E473" s="52" t="s">
        <v>25</v>
      </c>
      <c r="F473" s="52" t="s">
        <v>26</v>
      </c>
      <c r="G473" s="53"/>
    </row>
    <row r="474">
      <c r="A474" s="49">
        <v>45025.69687641204</v>
      </c>
      <c r="B474" s="50">
        <v>45025.8218463194</v>
      </c>
      <c r="C474" s="51">
        <v>1.078</v>
      </c>
      <c r="D474" s="51">
        <v>68.0</v>
      </c>
      <c r="E474" s="52" t="s">
        <v>25</v>
      </c>
      <c r="F474" s="52" t="s">
        <v>26</v>
      </c>
      <c r="G474" s="53"/>
    </row>
    <row r="475">
      <c r="A475" s="49">
        <v>45025.70729822917</v>
      </c>
      <c r="B475" s="50">
        <v>45025.8322665162</v>
      </c>
      <c r="C475" s="51">
        <v>1.078</v>
      </c>
      <c r="D475" s="51">
        <v>68.0</v>
      </c>
      <c r="E475" s="52" t="s">
        <v>25</v>
      </c>
      <c r="F475" s="52" t="s">
        <v>26</v>
      </c>
      <c r="G475" s="53"/>
    </row>
    <row r="476">
      <c r="A476" s="49">
        <v>45025.71771293982</v>
      </c>
      <c r="B476" s="50">
        <v>45025.8426885532</v>
      </c>
      <c r="C476" s="51">
        <v>1.079</v>
      </c>
      <c r="D476" s="51">
        <v>68.0</v>
      </c>
      <c r="E476" s="52" t="s">
        <v>25</v>
      </c>
      <c r="F476" s="52" t="s">
        <v>26</v>
      </c>
      <c r="G476" s="53"/>
    </row>
    <row r="477">
      <c r="A477" s="49">
        <v>45025.72817119213</v>
      </c>
      <c r="B477" s="50">
        <v>45025.8531444328</v>
      </c>
      <c r="C477" s="51">
        <v>1.078</v>
      </c>
      <c r="D477" s="51">
        <v>68.0</v>
      </c>
      <c r="E477" s="52" t="s">
        <v>25</v>
      </c>
      <c r="F477" s="52" t="s">
        <v>26</v>
      </c>
      <c r="G477" s="53"/>
    </row>
    <row r="478">
      <c r="A478" s="49">
        <v>45025.73862907407</v>
      </c>
      <c r="B478" s="50">
        <v>45025.8635780555</v>
      </c>
      <c r="C478" s="51">
        <v>1.078</v>
      </c>
      <c r="D478" s="51">
        <v>68.0</v>
      </c>
      <c r="E478" s="52" t="s">
        <v>25</v>
      </c>
      <c r="F478" s="52" t="s">
        <v>26</v>
      </c>
      <c r="G478" s="53"/>
    </row>
    <row r="479">
      <c r="A479" s="49">
        <v>45025.74905167824</v>
      </c>
      <c r="B479" s="50">
        <v>45025.8739986574</v>
      </c>
      <c r="C479" s="51">
        <v>1.078</v>
      </c>
      <c r="D479" s="51">
        <v>68.0</v>
      </c>
      <c r="E479" s="52" t="s">
        <v>25</v>
      </c>
      <c r="F479" s="52" t="s">
        <v>26</v>
      </c>
      <c r="G479" s="53"/>
    </row>
    <row r="480">
      <c r="A480" s="49">
        <v>45025.759447557866</v>
      </c>
      <c r="B480" s="50">
        <v>45025.884420405</v>
      </c>
      <c r="C480" s="51">
        <v>1.078</v>
      </c>
      <c r="D480" s="51">
        <v>68.0</v>
      </c>
      <c r="E480" s="52" t="s">
        <v>25</v>
      </c>
      <c r="F480" s="52" t="s">
        <v>26</v>
      </c>
      <c r="G480" s="53"/>
    </row>
    <row r="481">
      <c r="A481" s="49">
        <v>45025.76987567129</v>
      </c>
      <c r="B481" s="50">
        <v>45025.894852581</v>
      </c>
      <c r="C481" s="51">
        <v>1.078</v>
      </c>
      <c r="D481" s="51">
        <v>67.0</v>
      </c>
      <c r="E481" s="52" t="s">
        <v>25</v>
      </c>
      <c r="F481" s="52" t="s">
        <v>26</v>
      </c>
      <c r="G481" s="53"/>
    </row>
    <row r="482">
      <c r="A482" s="49">
        <v>45025.78032362269</v>
      </c>
      <c r="B482" s="50">
        <v>45025.905285787</v>
      </c>
      <c r="C482" s="51">
        <v>1.078</v>
      </c>
      <c r="D482" s="51">
        <v>67.0</v>
      </c>
      <c r="E482" s="52" t="s">
        <v>25</v>
      </c>
      <c r="F482" s="52" t="s">
        <v>26</v>
      </c>
      <c r="G482" s="53"/>
    </row>
    <row r="483">
      <c r="A483" s="49">
        <v>45025.7907509375</v>
      </c>
      <c r="B483" s="50">
        <v>45025.9157179976</v>
      </c>
      <c r="C483" s="51">
        <v>1.078</v>
      </c>
      <c r="D483" s="51">
        <v>68.0</v>
      </c>
      <c r="E483" s="52" t="s">
        <v>25</v>
      </c>
      <c r="F483" s="52" t="s">
        <v>26</v>
      </c>
      <c r="G483" s="53"/>
    </row>
    <row r="484">
      <c r="A484" s="49">
        <v>45025.801167384256</v>
      </c>
      <c r="B484" s="50">
        <v>45025.9261384953</v>
      </c>
      <c r="C484" s="51">
        <v>1.078</v>
      </c>
      <c r="D484" s="51">
        <v>68.0</v>
      </c>
      <c r="E484" s="52" t="s">
        <v>25</v>
      </c>
      <c r="F484" s="52" t="s">
        <v>26</v>
      </c>
      <c r="G484" s="53"/>
    </row>
    <row r="485">
      <c r="A485" s="49">
        <v>45025.81158101852</v>
      </c>
      <c r="B485" s="50">
        <v>45025.9365607175</v>
      </c>
      <c r="C485" s="51">
        <v>1.078</v>
      </c>
      <c r="D485" s="51">
        <v>67.0</v>
      </c>
      <c r="E485" s="52" t="s">
        <v>25</v>
      </c>
      <c r="F485" s="52" t="s">
        <v>26</v>
      </c>
      <c r="G485" s="53"/>
    </row>
    <row r="486">
      <c r="A486" s="49">
        <v>45025.82203652778</v>
      </c>
      <c r="B486" s="50">
        <v>45025.9470052546</v>
      </c>
      <c r="C486" s="51">
        <v>1.078</v>
      </c>
      <c r="D486" s="51">
        <v>67.0</v>
      </c>
      <c r="E486" s="52" t="s">
        <v>25</v>
      </c>
      <c r="F486" s="52" t="s">
        <v>26</v>
      </c>
      <c r="G486" s="53"/>
    </row>
    <row r="487">
      <c r="A487" s="49">
        <v>45025.832468645836</v>
      </c>
      <c r="B487" s="50">
        <v>45025.9574380208</v>
      </c>
      <c r="C487" s="51">
        <v>1.078</v>
      </c>
      <c r="D487" s="51">
        <v>67.0</v>
      </c>
      <c r="E487" s="52" t="s">
        <v>25</v>
      </c>
      <c r="F487" s="52" t="s">
        <v>26</v>
      </c>
      <c r="G487" s="53"/>
    </row>
    <row r="488">
      <c r="A488" s="49">
        <v>45025.84288931713</v>
      </c>
      <c r="B488" s="50">
        <v>45025.9678585416</v>
      </c>
      <c r="C488" s="51">
        <v>1.078</v>
      </c>
      <c r="D488" s="51">
        <v>67.0</v>
      </c>
      <c r="E488" s="52" t="s">
        <v>25</v>
      </c>
      <c r="F488" s="52" t="s">
        <v>26</v>
      </c>
      <c r="G488" s="53"/>
    </row>
    <row r="489">
      <c r="A489" s="49">
        <v>45025.85333866898</v>
      </c>
      <c r="B489" s="50">
        <v>45025.978303449</v>
      </c>
      <c r="C489" s="51">
        <v>1.078</v>
      </c>
      <c r="D489" s="51">
        <v>67.0</v>
      </c>
      <c r="E489" s="52" t="s">
        <v>25</v>
      </c>
      <c r="F489" s="52" t="s">
        <v>26</v>
      </c>
      <c r="G489" s="53"/>
    </row>
    <row r="490">
      <c r="A490" s="49">
        <v>45025.86375283565</v>
      </c>
      <c r="B490" s="50">
        <v>45025.9887263541</v>
      </c>
      <c r="C490" s="51">
        <v>1.078</v>
      </c>
      <c r="D490" s="51">
        <v>67.0</v>
      </c>
      <c r="E490" s="52" t="s">
        <v>25</v>
      </c>
      <c r="F490" s="52" t="s">
        <v>26</v>
      </c>
      <c r="G490" s="53"/>
    </row>
    <row r="491">
      <c r="A491" s="49">
        <v>45025.874186597226</v>
      </c>
      <c r="B491" s="50">
        <v>45025.9991590625</v>
      </c>
      <c r="C491" s="51">
        <v>1.077</v>
      </c>
      <c r="D491" s="51">
        <v>68.0</v>
      </c>
      <c r="E491" s="52" t="s">
        <v>25</v>
      </c>
      <c r="F491" s="52" t="s">
        <v>26</v>
      </c>
      <c r="G491" s="53"/>
    </row>
    <row r="492">
      <c r="A492" s="49">
        <v>45025.8846291088</v>
      </c>
      <c r="B492" s="50">
        <v>45026.0095923611</v>
      </c>
      <c r="C492" s="51">
        <v>1.078</v>
      </c>
      <c r="D492" s="51">
        <v>68.0</v>
      </c>
      <c r="E492" s="52" t="s">
        <v>25</v>
      </c>
      <c r="F492" s="52" t="s">
        <v>26</v>
      </c>
      <c r="G492" s="53"/>
    </row>
    <row r="493">
      <c r="A493" s="49">
        <v>45025.895043125</v>
      </c>
      <c r="B493" s="50">
        <v>45026.0200139699</v>
      </c>
      <c r="C493" s="51">
        <v>1.077</v>
      </c>
      <c r="D493" s="51">
        <v>67.0</v>
      </c>
      <c r="E493" s="52" t="s">
        <v>25</v>
      </c>
      <c r="F493" s="52" t="s">
        <v>26</v>
      </c>
      <c r="G493" s="53"/>
    </row>
    <row r="494">
      <c r="A494" s="49">
        <v>45025.90547054398</v>
      </c>
      <c r="B494" s="50">
        <v>45026.0304470601</v>
      </c>
      <c r="C494" s="51">
        <v>1.077</v>
      </c>
      <c r="D494" s="51">
        <v>67.0</v>
      </c>
      <c r="E494" s="52" t="s">
        <v>25</v>
      </c>
      <c r="F494" s="52" t="s">
        <v>26</v>
      </c>
      <c r="G494" s="53"/>
    </row>
    <row r="495">
      <c r="A495" s="49">
        <v>45025.91589986111</v>
      </c>
      <c r="B495" s="50">
        <v>45026.0408681712</v>
      </c>
      <c r="C495" s="51">
        <v>1.077</v>
      </c>
      <c r="D495" s="51">
        <v>67.0</v>
      </c>
      <c r="E495" s="52" t="s">
        <v>25</v>
      </c>
      <c r="F495" s="52" t="s">
        <v>26</v>
      </c>
      <c r="G495" s="53"/>
    </row>
    <row r="496">
      <c r="A496" s="49">
        <v>45025.92633383102</v>
      </c>
      <c r="B496" s="50">
        <v>45026.0513031365</v>
      </c>
      <c r="C496" s="51">
        <v>1.078</v>
      </c>
      <c r="D496" s="51">
        <v>67.0</v>
      </c>
      <c r="E496" s="52" t="s">
        <v>25</v>
      </c>
      <c r="F496" s="52" t="s">
        <v>26</v>
      </c>
      <c r="G496" s="53"/>
    </row>
    <row r="497">
      <c r="A497" s="49">
        <v>45025.936753194444</v>
      </c>
      <c r="B497" s="50">
        <v>45026.0617233333</v>
      </c>
      <c r="C497" s="51">
        <v>1.077</v>
      </c>
      <c r="D497" s="51">
        <v>67.0</v>
      </c>
      <c r="E497" s="52" t="s">
        <v>25</v>
      </c>
      <c r="F497" s="52" t="s">
        <v>26</v>
      </c>
      <c r="G497" s="53"/>
    </row>
    <row r="498">
      <c r="A498" s="49">
        <v>45025.94717649306</v>
      </c>
      <c r="B498" s="50">
        <v>45026.072143831</v>
      </c>
      <c r="C498" s="51">
        <v>1.077</v>
      </c>
      <c r="D498" s="51">
        <v>67.0</v>
      </c>
      <c r="E498" s="52" t="s">
        <v>25</v>
      </c>
      <c r="F498" s="52" t="s">
        <v>26</v>
      </c>
      <c r="G498" s="53"/>
    </row>
    <row r="499">
      <c r="A499" s="49">
        <v>45025.95759291667</v>
      </c>
      <c r="B499" s="50">
        <v>45026.0825651736</v>
      </c>
      <c r="C499" s="51">
        <v>1.077</v>
      </c>
      <c r="D499" s="51">
        <v>67.0</v>
      </c>
      <c r="E499" s="52" t="s">
        <v>25</v>
      </c>
      <c r="F499" s="52" t="s">
        <v>26</v>
      </c>
      <c r="G499" s="53"/>
    </row>
    <row r="500">
      <c r="A500" s="49">
        <v>45025.96802403935</v>
      </c>
      <c r="B500" s="50">
        <v>45026.0929862152</v>
      </c>
      <c r="C500" s="51">
        <v>1.077</v>
      </c>
      <c r="D500" s="51">
        <v>67.0</v>
      </c>
      <c r="E500" s="52" t="s">
        <v>25</v>
      </c>
      <c r="F500" s="52" t="s">
        <v>26</v>
      </c>
      <c r="G500" s="53"/>
    </row>
    <row r="501">
      <c r="A501" s="49">
        <v>45025.978455289354</v>
      </c>
      <c r="B501" s="50">
        <v>45026.1034186805</v>
      </c>
      <c r="C501" s="51">
        <v>1.077</v>
      </c>
      <c r="D501" s="51">
        <v>67.0</v>
      </c>
      <c r="E501" s="52" t="s">
        <v>25</v>
      </c>
      <c r="F501" s="52" t="s">
        <v>26</v>
      </c>
      <c r="G501" s="53"/>
    </row>
    <row r="502">
      <c r="A502" s="49">
        <v>45025.98886788194</v>
      </c>
      <c r="B502" s="50">
        <v>45026.1138375925</v>
      </c>
      <c r="C502" s="51">
        <v>1.077</v>
      </c>
      <c r="D502" s="51">
        <v>67.0</v>
      </c>
      <c r="E502" s="52" t="s">
        <v>25</v>
      </c>
      <c r="F502" s="52" t="s">
        <v>26</v>
      </c>
      <c r="G502" s="53"/>
    </row>
    <row r="503">
      <c r="A503" s="49">
        <v>45025.9992954051</v>
      </c>
      <c r="B503" s="50">
        <v>45026.1242603009</v>
      </c>
      <c r="C503" s="51">
        <v>1.076</v>
      </c>
      <c r="D503" s="51">
        <v>67.0</v>
      </c>
      <c r="E503" s="52" t="s">
        <v>25</v>
      </c>
      <c r="F503" s="52" t="s">
        <v>26</v>
      </c>
      <c r="G503" s="53"/>
    </row>
    <row r="504">
      <c r="A504" s="49">
        <v>45026.009731238424</v>
      </c>
      <c r="B504" s="50">
        <v>45026.1346924652</v>
      </c>
      <c r="C504" s="51">
        <v>1.077</v>
      </c>
      <c r="D504" s="51">
        <v>67.0</v>
      </c>
      <c r="E504" s="52" t="s">
        <v>25</v>
      </c>
      <c r="F504" s="52" t="s">
        <v>26</v>
      </c>
      <c r="G504" s="53"/>
    </row>
    <row r="505">
      <c r="A505" s="49">
        <v>45026.020137141204</v>
      </c>
      <c r="B505" s="50">
        <v>45026.1451134027</v>
      </c>
      <c r="C505" s="51">
        <v>1.077</v>
      </c>
      <c r="D505" s="51">
        <v>67.0</v>
      </c>
      <c r="E505" s="52" t="s">
        <v>25</v>
      </c>
      <c r="F505" s="52" t="s">
        <v>26</v>
      </c>
      <c r="G505" s="53"/>
    </row>
    <row r="506">
      <c r="A506" s="49">
        <v>45026.03068841435</v>
      </c>
      <c r="B506" s="50">
        <v>45026.1555481828</v>
      </c>
      <c r="C506" s="51">
        <v>1.077</v>
      </c>
      <c r="D506" s="51">
        <v>67.0</v>
      </c>
      <c r="E506" s="52" t="s">
        <v>25</v>
      </c>
      <c r="F506" s="52" t="s">
        <v>26</v>
      </c>
      <c r="G506" s="53"/>
    </row>
    <row r="507">
      <c r="A507" s="49">
        <v>45026.04101170139</v>
      </c>
      <c r="B507" s="50">
        <v>45026.1659809837</v>
      </c>
      <c r="C507" s="51">
        <v>1.077</v>
      </c>
      <c r="D507" s="51">
        <v>67.0</v>
      </c>
      <c r="E507" s="52" t="s">
        <v>25</v>
      </c>
      <c r="F507" s="52" t="s">
        <v>26</v>
      </c>
      <c r="G507" s="53"/>
    </row>
    <row r="508">
      <c r="A508" s="49">
        <v>45026.051429444444</v>
      </c>
      <c r="B508" s="50">
        <v>45026.176403287</v>
      </c>
      <c r="C508" s="51">
        <v>1.076</v>
      </c>
      <c r="D508" s="51">
        <v>67.0</v>
      </c>
      <c r="E508" s="52" t="s">
        <v>25</v>
      </c>
      <c r="F508" s="52" t="s">
        <v>26</v>
      </c>
      <c r="G508" s="53"/>
    </row>
    <row r="509">
      <c r="A509" s="49">
        <v>45026.06187498843</v>
      </c>
      <c r="B509" s="50">
        <v>45026.1868350231</v>
      </c>
      <c r="C509" s="51">
        <v>1.077</v>
      </c>
      <c r="D509" s="51">
        <v>67.0</v>
      </c>
      <c r="E509" s="52" t="s">
        <v>25</v>
      </c>
      <c r="F509" s="52" t="s">
        <v>26</v>
      </c>
      <c r="G509" s="53"/>
    </row>
    <row r="510">
      <c r="A510" s="49">
        <v>45026.07228273148</v>
      </c>
      <c r="B510" s="50">
        <v>45026.1972557754</v>
      </c>
      <c r="C510" s="51">
        <v>1.077</v>
      </c>
      <c r="D510" s="51">
        <v>67.0</v>
      </c>
      <c r="E510" s="52" t="s">
        <v>25</v>
      </c>
      <c r="F510" s="52" t="s">
        <v>26</v>
      </c>
      <c r="G510" s="53"/>
    </row>
    <row r="511">
      <c r="A511" s="49">
        <v>45026.08271271991</v>
      </c>
      <c r="B511" s="50">
        <v>45026.207687037</v>
      </c>
      <c r="C511" s="51">
        <v>1.076</v>
      </c>
      <c r="D511" s="51">
        <v>67.0</v>
      </c>
      <c r="E511" s="52" t="s">
        <v>25</v>
      </c>
      <c r="F511" s="52" t="s">
        <v>26</v>
      </c>
      <c r="G511" s="53"/>
    </row>
    <row r="512">
      <c r="A512" s="49">
        <v>45026.09314109954</v>
      </c>
      <c r="B512" s="50">
        <v>45026.2181081944</v>
      </c>
      <c r="C512" s="51">
        <v>1.076</v>
      </c>
      <c r="D512" s="51">
        <v>67.0</v>
      </c>
      <c r="E512" s="52" t="s">
        <v>25</v>
      </c>
      <c r="F512" s="52" t="s">
        <v>26</v>
      </c>
      <c r="G512" s="53"/>
    </row>
    <row r="513">
      <c r="A513" s="49">
        <v>45026.103576354166</v>
      </c>
      <c r="B513" s="50">
        <v>45026.2285416087</v>
      </c>
      <c r="C513" s="51">
        <v>1.076</v>
      </c>
      <c r="D513" s="51">
        <v>67.0</v>
      </c>
      <c r="E513" s="52" t="s">
        <v>25</v>
      </c>
      <c r="F513" s="52" t="s">
        <v>26</v>
      </c>
      <c r="G513" s="53"/>
    </row>
    <row r="514">
      <c r="A514" s="49">
        <v>45026.11398633102</v>
      </c>
      <c r="B514" s="50">
        <v>45026.2389636226</v>
      </c>
      <c r="C514" s="51">
        <v>1.076</v>
      </c>
      <c r="D514" s="51">
        <v>67.0</v>
      </c>
      <c r="E514" s="52" t="s">
        <v>25</v>
      </c>
      <c r="F514" s="52" t="s">
        <v>26</v>
      </c>
      <c r="G514" s="53"/>
    </row>
    <row r="515">
      <c r="A515" s="49">
        <v>45026.12442467593</v>
      </c>
      <c r="B515" s="50">
        <v>45026.2493975926</v>
      </c>
      <c r="C515" s="51">
        <v>1.076</v>
      </c>
      <c r="D515" s="51">
        <v>67.0</v>
      </c>
      <c r="E515" s="52" t="s">
        <v>25</v>
      </c>
      <c r="F515" s="52" t="s">
        <v>26</v>
      </c>
      <c r="G515" s="53"/>
    </row>
    <row r="516">
      <c r="A516" s="49">
        <v>45026.13485284722</v>
      </c>
      <c r="B516" s="50">
        <v>45026.259830787</v>
      </c>
      <c r="C516" s="51">
        <v>1.076</v>
      </c>
      <c r="D516" s="51">
        <v>67.0</v>
      </c>
      <c r="E516" s="52" t="s">
        <v>25</v>
      </c>
      <c r="F516" s="52" t="s">
        <v>26</v>
      </c>
      <c r="G516" s="53"/>
    </row>
    <row r="517">
      <c r="A517" s="49">
        <v>45026.145294166665</v>
      </c>
      <c r="B517" s="50">
        <v>45026.2702640046</v>
      </c>
      <c r="C517" s="51">
        <v>1.076</v>
      </c>
      <c r="D517" s="51">
        <v>67.0</v>
      </c>
      <c r="E517" s="52" t="s">
        <v>25</v>
      </c>
      <c r="F517" s="52" t="s">
        <v>26</v>
      </c>
      <c r="G517" s="53"/>
    </row>
    <row r="518">
      <c r="A518" s="49">
        <v>45026.15571253472</v>
      </c>
      <c r="B518" s="50">
        <v>45026.2806840972</v>
      </c>
      <c r="C518" s="51">
        <v>1.076</v>
      </c>
      <c r="D518" s="51">
        <v>67.0</v>
      </c>
      <c r="E518" s="52" t="s">
        <v>25</v>
      </c>
      <c r="F518" s="52" t="s">
        <v>26</v>
      </c>
      <c r="G518" s="53"/>
    </row>
    <row r="519">
      <c r="A519" s="49">
        <v>45026.166139884255</v>
      </c>
      <c r="B519" s="50">
        <v>45026.2911158564</v>
      </c>
      <c r="C519" s="51">
        <v>1.076</v>
      </c>
      <c r="D519" s="51">
        <v>67.0</v>
      </c>
      <c r="E519" s="52" t="s">
        <v>25</v>
      </c>
      <c r="F519" s="52" t="s">
        <v>26</v>
      </c>
      <c r="G519" s="53"/>
    </row>
    <row r="520">
      <c r="A520" s="49">
        <v>45026.17657454861</v>
      </c>
      <c r="B520" s="50">
        <v>45026.3015485879</v>
      </c>
      <c r="C520" s="51">
        <v>1.076</v>
      </c>
      <c r="D520" s="51">
        <v>67.0</v>
      </c>
      <c r="E520" s="52" t="s">
        <v>25</v>
      </c>
      <c r="F520" s="52" t="s">
        <v>26</v>
      </c>
      <c r="G520" s="53"/>
    </row>
    <row r="521">
      <c r="A521" s="49">
        <v>45026.18699111111</v>
      </c>
      <c r="B521" s="50">
        <v>45026.3119688541</v>
      </c>
      <c r="C521" s="51">
        <v>1.076</v>
      </c>
      <c r="D521" s="51">
        <v>67.0</v>
      </c>
      <c r="E521" s="52" t="s">
        <v>25</v>
      </c>
      <c r="F521" s="52" t="s">
        <v>26</v>
      </c>
      <c r="G521" s="53"/>
    </row>
    <row r="522">
      <c r="A522" s="49">
        <v>45026.19741083334</v>
      </c>
      <c r="B522" s="50">
        <v>45026.3223916319</v>
      </c>
      <c r="C522" s="51">
        <v>1.076</v>
      </c>
      <c r="D522" s="51">
        <v>67.0</v>
      </c>
      <c r="E522" s="52" t="s">
        <v>25</v>
      </c>
      <c r="F522" s="52" t="s">
        <v>26</v>
      </c>
      <c r="G522" s="53"/>
    </row>
    <row r="523">
      <c r="A523" s="49">
        <v>45026.20783971065</v>
      </c>
      <c r="B523" s="50">
        <v>45026.3328137731</v>
      </c>
      <c r="C523" s="51">
        <v>1.076</v>
      </c>
      <c r="D523" s="51">
        <v>67.0</v>
      </c>
      <c r="E523" s="52" t="s">
        <v>25</v>
      </c>
      <c r="F523" s="52" t="s">
        <v>26</v>
      </c>
      <c r="G523" s="53"/>
    </row>
    <row r="524">
      <c r="A524" s="49">
        <v>45026.21826017361</v>
      </c>
      <c r="B524" s="50">
        <v>45026.3432335416</v>
      </c>
      <c r="C524" s="51">
        <v>1.076</v>
      </c>
      <c r="D524" s="51">
        <v>67.0</v>
      </c>
      <c r="E524" s="52" t="s">
        <v>25</v>
      </c>
      <c r="F524" s="52" t="s">
        <v>26</v>
      </c>
      <c r="G524" s="53"/>
    </row>
    <row r="525">
      <c r="A525" s="49">
        <v>45026.22868555556</v>
      </c>
      <c r="B525" s="50">
        <v>45026.3536543981</v>
      </c>
      <c r="C525" s="51">
        <v>1.076</v>
      </c>
      <c r="D525" s="51">
        <v>67.0</v>
      </c>
      <c r="E525" s="52" t="s">
        <v>25</v>
      </c>
      <c r="F525" s="52" t="s">
        <v>26</v>
      </c>
      <c r="G525" s="53"/>
    </row>
    <row r="526">
      <c r="A526" s="49">
        <v>45026.23911420139</v>
      </c>
      <c r="B526" s="50">
        <v>45026.3640777199</v>
      </c>
      <c r="C526" s="51">
        <v>1.076</v>
      </c>
      <c r="D526" s="51">
        <v>67.0</v>
      </c>
      <c r="E526" s="52" t="s">
        <v>25</v>
      </c>
      <c r="F526" s="52" t="s">
        <v>26</v>
      </c>
      <c r="G526" s="53"/>
    </row>
    <row r="527">
      <c r="A527" s="49">
        <v>45026.24954300926</v>
      </c>
      <c r="B527" s="50">
        <v>45026.3745231597</v>
      </c>
      <c r="C527" s="51">
        <v>1.075</v>
      </c>
      <c r="D527" s="51">
        <v>67.0</v>
      </c>
      <c r="E527" s="52" t="s">
        <v>25</v>
      </c>
      <c r="F527" s="52" t="s">
        <v>26</v>
      </c>
      <c r="G527" s="53"/>
    </row>
    <row r="528">
      <c r="A528" s="49">
        <v>45026.25997791666</v>
      </c>
      <c r="B528" s="50">
        <v>45026.3849454513</v>
      </c>
      <c r="C528" s="51">
        <v>1.075</v>
      </c>
      <c r="D528" s="51">
        <v>67.0</v>
      </c>
      <c r="E528" s="52" t="s">
        <v>25</v>
      </c>
      <c r="F528" s="52" t="s">
        <v>26</v>
      </c>
      <c r="G528" s="53"/>
    </row>
    <row r="529">
      <c r="A529" s="49">
        <v>45026.27042324074</v>
      </c>
      <c r="B529" s="50">
        <v>45026.3953905671</v>
      </c>
      <c r="C529" s="51">
        <v>1.075</v>
      </c>
      <c r="D529" s="51">
        <v>67.0</v>
      </c>
      <c r="E529" s="52" t="s">
        <v>25</v>
      </c>
      <c r="F529" s="52" t="s">
        <v>26</v>
      </c>
      <c r="G529" s="53"/>
    </row>
    <row r="530">
      <c r="A530" s="49">
        <v>45026.28083054398</v>
      </c>
      <c r="B530" s="50">
        <v>45026.4058111689</v>
      </c>
      <c r="C530" s="51">
        <v>1.075</v>
      </c>
      <c r="D530" s="51">
        <v>67.0</v>
      </c>
      <c r="E530" s="52" t="s">
        <v>25</v>
      </c>
      <c r="F530" s="52" t="s">
        <v>26</v>
      </c>
      <c r="G530" s="53"/>
    </row>
    <row r="531">
      <c r="A531" s="49">
        <v>45026.29126304398</v>
      </c>
      <c r="B531" s="50">
        <v>45026.4162327893</v>
      </c>
      <c r="C531" s="51">
        <v>1.075</v>
      </c>
      <c r="D531" s="51">
        <v>67.0</v>
      </c>
      <c r="E531" s="52" t="s">
        <v>25</v>
      </c>
      <c r="F531" s="52" t="s">
        <v>26</v>
      </c>
      <c r="G531" s="53"/>
    </row>
    <row r="532">
      <c r="A532" s="49">
        <v>45026.3016855787</v>
      </c>
      <c r="B532" s="50">
        <v>45026.4266527546</v>
      </c>
      <c r="C532" s="51">
        <v>1.075</v>
      </c>
      <c r="D532" s="51">
        <v>67.0</v>
      </c>
      <c r="E532" s="52" t="s">
        <v>25</v>
      </c>
      <c r="F532" s="52" t="s">
        <v>26</v>
      </c>
      <c r="G532" s="53"/>
    </row>
    <row r="533">
      <c r="A533" s="49">
        <v>45026.31209556713</v>
      </c>
      <c r="B533" s="50">
        <v>45026.4370729629</v>
      </c>
      <c r="C533" s="51">
        <v>1.075</v>
      </c>
      <c r="D533" s="51">
        <v>67.0</v>
      </c>
      <c r="E533" s="52" t="s">
        <v>25</v>
      </c>
      <c r="F533" s="52" t="s">
        <v>26</v>
      </c>
      <c r="G533" s="53"/>
    </row>
    <row r="534">
      <c r="A534" s="49">
        <v>45026.32257476852</v>
      </c>
      <c r="B534" s="50">
        <v>45026.4474945949</v>
      </c>
      <c r="C534" s="51">
        <v>1.075</v>
      </c>
      <c r="D534" s="51">
        <v>67.0</v>
      </c>
      <c r="E534" s="52" t="s">
        <v>25</v>
      </c>
      <c r="F534" s="52" t="s">
        <v>26</v>
      </c>
      <c r="G534" s="53"/>
    </row>
    <row r="535">
      <c r="A535" s="49">
        <v>45026.33296309027</v>
      </c>
      <c r="B535" s="50">
        <v>45026.4579187037</v>
      </c>
      <c r="C535" s="51">
        <v>1.075</v>
      </c>
      <c r="D535" s="51">
        <v>67.0</v>
      </c>
      <c r="E535" s="52" t="s">
        <v>25</v>
      </c>
      <c r="F535" s="52" t="s">
        <v>26</v>
      </c>
      <c r="G535" s="53"/>
    </row>
    <row r="536">
      <c r="A536" s="49">
        <v>45026.34336949074</v>
      </c>
      <c r="B536" s="50">
        <v>45026.4683393865</v>
      </c>
      <c r="C536" s="51">
        <v>1.075</v>
      </c>
      <c r="D536" s="51">
        <v>67.0</v>
      </c>
      <c r="E536" s="52" t="s">
        <v>25</v>
      </c>
      <c r="F536" s="52" t="s">
        <v>26</v>
      </c>
      <c r="G536" s="53"/>
    </row>
    <row r="537">
      <c r="A537" s="49">
        <v>45026.35378851852</v>
      </c>
      <c r="B537" s="50">
        <v>45026.4787597801</v>
      </c>
      <c r="C537" s="51">
        <v>1.075</v>
      </c>
      <c r="D537" s="51">
        <v>67.0</v>
      </c>
      <c r="E537" s="52" t="s">
        <v>25</v>
      </c>
      <c r="F537" s="52" t="s">
        <v>26</v>
      </c>
      <c r="G537" s="53"/>
    </row>
    <row r="538">
      <c r="A538" s="49">
        <v>45026.364221145835</v>
      </c>
      <c r="B538" s="50">
        <v>45026.4891924421</v>
      </c>
      <c r="C538" s="51">
        <v>1.075</v>
      </c>
      <c r="D538" s="51">
        <v>67.0</v>
      </c>
      <c r="E538" s="52" t="s">
        <v>25</v>
      </c>
      <c r="F538" s="52" t="s">
        <v>26</v>
      </c>
      <c r="G538" s="53"/>
    </row>
    <row r="539">
      <c r="A539" s="49">
        <v>45026.37463917824</v>
      </c>
      <c r="B539" s="50">
        <v>45026.4996152546</v>
      </c>
      <c r="C539" s="51">
        <v>1.075</v>
      </c>
      <c r="D539" s="51">
        <v>67.0</v>
      </c>
      <c r="E539" s="52" t="s">
        <v>25</v>
      </c>
      <c r="F539" s="52" t="s">
        <v>26</v>
      </c>
      <c r="G539" s="53"/>
    </row>
    <row r="540">
      <c r="A540" s="49">
        <v>45026.385076203704</v>
      </c>
      <c r="B540" s="50">
        <v>45026.5100463657</v>
      </c>
      <c r="C540" s="51">
        <v>1.075</v>
      </c>
      <c r="D540" s="51">
        <v>67.0</v>
      </c>
      <c r="E540" s="52" t="s">
        <v>25</v>
      </c>
      <c r="F540" s="52" t="s">
        <v>26</v>
      </c>
      <c r="G540" s="53"/>
    </row>
    <row r="541">
      <c r="A541" s="49">
        <v>45026.39549123842</v>
      </c>
      <c r="B541" s="50">
        <v>45026.5204680208</v>
      </c>
      <c r="C541" s="51">
        <v>1.075</v>
      </c>
      <c r="D541" s="51">
        <v>67.0</v>
      </c>
      <c r="E541" s="52" t="s">
        <v>25</v>
      </c>
      <c r="F541" s="52" t="s">
        <v>26</v>
      </c>
      <c r="G541" s="53"/>
    </row>
    <row r="542">
      <c r="A542" s="49">
        <v>45026.40591916667</v>
      </c>
      <c r="B542" s="50">
        <v>45026.5308883217</v>
      </c>
      <c r="C542" s="51">
        <v>1.075</v>
      </c>
      <c r="D542" s="51">
        <v>67.0</v>
      </c>
      <c r="E542" s="52" t="s">
        <v>25</v>
      </c>
      <c r="F542" s="52" t="s">
        <v>26</v>
      </c>
      <c r="G542" s="53"/>
    </row>
    <row r="543">
      <c r="A543" s="49">
        <v>45026.41635940972</v>
      </c>
      <c r="B543" s="50">
        <v>45026.5413318402</v>
      </c>
      <c r="C543" s="51">
        <v>1.075</v>
      </c>
      <c r="D543" s="51">
        <v>67.0</v>
      </c>
      <c r="E543" s="52" t="s">
        <v>25</v>
      </c>
      <c r="F543" s="52" t="s">
        <v>26</v>
      </c>
      <c r="G543" s="53"/>
    </row>
    <row r="544">
      <c r="A544" s="49">
        <v>45026.426790474536</v>
      </c>
      <c r="B544" s="50">
        <v>45026.5517661689</v>
      </c>
      <c r="C544" s="51">
        <v>1.075</v>
      </c>
      <c r="D544" s="51">
        <v>67.0</v>
      </c>
      <c r="E544" s="52" t="s">
        <v>25</v>
      </c>
      <c r="F544" s="52" t="s">
        <v>26</v>
      </c>
      <c r="G544" s="53"/>
    </row>
    <row r="545">
      <c r="A545" s="49">
        <v>45026.43726039352</v>
      </c>
      <c r="B545" s="50">
        <v>45026.5621879861</v>
      </c>
      <c r="C545" s="51">
        <v>1.075</v>
      </c>
      <c r="D545" s="51">
        <v>67.0</v>
      </c>
      <c r="E545" s="52" t="s">
        <v>25</v>
      </c>
      <c r="F545" s="52" t="s">
        <v>26</v>
      </c>
      <c r="G545" s="53"/>
    </row>
    <row r="546">
      <c r="A546" s="49">
        <v>45026.447747453705</v>
      </c>
      <c r="B546" s="50">
        <v>45026.5726086458</v>
      </c>
      <c r="C546" s="51">
        <v>1.074</v>
      </c>
      <c r="D546" s="51">
        <v>67.0</v>
      </c>
      <c r="E546" s="52" t="s">
        <v>25</v>
      </c>
      <c r="F546" s="52" t="s">
        <v>26</v>
      </c>
      <c r="G546" s="53"/>
    </row>
    <row r="547">
      <c r="A547" s="49">
        <v>45026.45805141203</v>
      </c>
      <c r="B547" s="50">
        <v>45026.5830293402</v>
      </c>
      <c r="C547" s="51">
        <v>1.075</v>
      </c>
      <c r="D547" s="51">
        <v>67.0</v>
      </c>
      <c r="E547" s="52" t="s">
        <v>25</v>
      </c>
      <c r="F547" s="52" t="s">
        <v>26</v>
      </c>
      <c r="G547" s="53"/>
    </row>
    <row r="548">
      <c r="A548" s="49">
        <v>45026.46849600694</v>
      </c>
      <c r="B548" s="50">
        <v>45026.5934742361</v>
      </c>
      <c r="C548" s="51">
        <v>1.074</v>
      </c>
      <c r="D548" s="51">
        <v>67.0</v>
      </c>
      <c r="E548" s="52" t="s">
        <v>25</v>
      </c>
      <c r="F548" s="52" t="s">
        <v>26</v>
      </c>
      <c r="G548" s="53"/>
    </row>
    <row r="549">
      <c r="A549" s="49">
        <v>45026.47891712963</v>
      </c>
      <c r="B549" s="50">
        <v>45026.6038948379</v>
      </c>
      <c r="C549" s="51">
        <v>1.074</v>
      </c>
      <c r="D549" s="51">
        <v>67.0</v>
      </c>
      <c r="E549" s="52" t="s">
        <v>25</v>
      </c>
      <c r="F549" s="52" t="s">
        <v>26</v>
      </c>
      <c r="G549" s="53"/>
    </row>
    <row r="550">
      <c r="A550" s="49">
        <v>45026.48936824074</v>
      </c>
      <c r="B550" s="50">
        <v>45026.6143387731</v>
      </c>
      <c r="C550" s="51">
        <v>1.075</v>
      </c>
      <c r="D550" s="51">
        <v>67.0</v>
      </c>
      <c r="E550" s="52" t="s">
        <v>25</v>
      </c>
      <c r="F550" s="52" t="s">
        <v>26</v>
      </c>
      <c r="G550" s="53"/>
    </row>
    <row r="551">
      <c r="A551" s="49">
        <v>45026.49979128472</v>
      </c>
      <c r="B551" s="50">
        <v>45026.6247595949</v>
      </c>
      <c r="C551" s="51">
        <v>1.074</v>
      </c>
      <c r="D551" s="51">
        <v>67.0</v>
      </c>
      <c r="E551" s="52" t="s">
        <v>25</v>
      </c>
      <c r="F551" s="52" t="s">
        <v>26</v>
      </c>
      <c r="G551" s="53"/>
    </row>
    <row r="552">
      <c r="A552" s="49">
        <v>45026.51023984954</v>
      </c>
      <c r="B552" s="50">
        <v>45026.6351930324</v>
      </c>
      <c r="C552" s="51">
        <v>1.074</v>
      </c>
      <c r="D552" s="51">
        <v>67.0</v>
      </c>
      <c r="E552" s="52" t="s">
        <v>25</v>
      </c>
      <c r="F552" s="52" t="s">
        <v>26</v>
      </c>
      <c r="G552" s="53"/>
    </row>
    <row r="553">
      <c r="A553" s="49">
        <v>45026.52064596065</v>
      </c>
      <c r="B553" s="50">
        <v>45026.6456143171</v>
      </c>
      <c r="C553" s="51">
        <v>1.074</v>
      </c>
      <c r="D553" s="51">
        <v>67.0</v>
      </c>
      <c r="E553" s="52" t="s">
        <v>25</v>
      </c>
      <c r="F553" s="52" t="s">
        <v>26</v>
      </c>
      <c r="G553" s="53"/>
    </row>
    <row r="554">
      <c r="A554" s="49">
        <v>45026.531096817125</v>
      </c>
      <c r="B554" s="50">
        <v>45026.6560709259</v>
      </c>
      <c r="C554" s="51">
        <v>1.074</v>
      </c>
      <c r="D554" s="51">
        <v>67.0</v>
      </c>
      <c r="E554" s="52" t="s">
        <v>25</v>
      </c>
      <c r="F554" s="52" t="s">
        <v>26</v>
      </c>
      <c r="G554" s="53"/>
    </row>
    <row r="555">
      <c r="A555" s="49">
        <v>45026.541514756944</v>
      </c>
      <c r="B555" s="50">
        <v>45026.6664915509</v>
      </c>
      <c r="C555" s="51">
        <v>1.074</v>
      </c>
      <c r="D555" s="51">
        <v>67.0</v>
      </c>
      <c r="E555" s="52" t="s">
        <v>25</v>
      </c>
      <c r="F555" s="52" t="s">
        <v>26</v>
      </c>
      <c r="G555" s="53"/>
    </row>
    <row r="556">
      <c r="A556" s="49">
        <v>45026.55193400463</v>
      </c>
      <c r="B556" s="50">
        <v>45026.6769138425</v>
      </c>
      <c r="C556" s="51">
        <v>1.074</v>
      </c>
      <c r="D556" s="51">
        <v>67.0</v>
      </c>
      <c r="E556" s="52" t="s">
        <v>25</v>
      </c>
      <c r="F556" s="52" t="s">
        <v>26</v>
      </c>
      <c r="G556" s="53"/>
    </row>
    <row r="557">
      <c r="A557" s="49">
        <v>45026.562382511576</v>
      </c>
      <c r="B557" s="50">
        <v>45026.6873467939</v>
      </c>
      <c r="C557" s="51">
        <v>1.074</v>
      </c>
      <c r="D557" s="51">
        <v>67.0</v>
      </c>
      <c r="E557" s="52" t="s">
        <v>25</v>
      </c>
      <c r="F557" s="52" t="s">
        <v>26</v>
      </c>
      <c r="G557" s="53"/>
    </row>
    <row r="558">
      <c r="A558" s="49">
        <v>45026.572794548614</v>
      </c>
      <c r="B558" s="50">
        <v>45026.6977690162</v>
      </c>
      <c r="C558" s="51">
        <v>1.074</v>
      </c>
      <c r="D558" s="51">
        <v>67.0</v>
      </c>
      <c r="E558" s="52" t="s">
        <v>25</v>
      </c>
      <c r="F558" s="52" t="s">
        <v>26</v>
      </c>
      <c r="G558" s="53"/>
    </row>
    <row r="559">
      <c r="A559" s="49">
        <v>45026.58321633102</v>
      </c>
      <c r="B559" s="50">
        <v>45026.7081889236</v>
      </c>
      <c r="C559" s="51">
        <v>1.074</v>
      </c>
      <c r="D559" s="51">
        <v>67.0</v>
      </c>
      <c r="E559" s="52" t="s">
        <v>25</v>
      </c>
      <c r="F559" s="52" t="s">
        <v>26</v>
      </c>
      <c r="G559" s="53"/>
    </row>
    <row r="560">
      <c r="A560" s="49">
        <v>45026.593635509256</v>
      </c>
      <c r="B560" s="50">
        <v>45026.7186082176</v>
      </c>
      <c r="C560" s="51">
        <v>1.074</v>
      </c>
      <c r="D560" s="51">
        <v>67.0</v>
      </c>
      <c r="E560" s="52" t="s">
        <v>25</v>
      </c>
      <c r="F560" s="52" t="s">
        <v>26</v>
      </c>
      <c r="G560" s="53"/>
    </row>
    <row r="561">
      <c r="A561" s="49">
        <v>45026.60405631944</v>
      </c>
      <c r="B561" s="50">
        <v>45026.7290295949</v>
      </c>
      <c r="C561" s="51">
        <v>1.074</v>
      </c>
      <c r="D561" s="51">
        <v>67.0</v>
      </c>
      <c r="E561" s="52" t="s">
        <v>25</v>
      </c>
      <c r="F561" s="52" t="s">
        <v>26</v>
      </c>
      <c r="G561" s="53"/>
    </row>
    <row r="562">
      <c r="A562" s="49">
        <v>45026.61447880787</v>
      </c>
      <c r="B562" s="50">
        <v>45026.7394516898</v>
      </c>
      <c r="C562" s="51">
        <v>1.073</v>
      </c>
      <c r="D562" s="51">
        <v>67.0</v>
      </c>
      <c r="E562" s="52" t="s">
        <v>25</v>
      </c>
      <c r="F562" s="52" t="s">
        <v>26</v>
      </c>
      <c r="G562" s="53"/>
    </row>
    <row r="563">
      <c r="A563" s="49">
        <v>45026.62490767361</v>
      </c>
      <c r="B563" s="50">
        <v>45026.7498840856</v>
      </c>
      <c r="C563" s="51">
        <v>1.074</v>
      </c>
      <c r="D563" s="51">
        <v>67.0</v>
      </c>
      <c r="E563" s="52" t="s">
        <v>25</v>
      </c>
      <c r="F563" s="52" t="s">
        <v>26</v>
      </c>
      <c r="G563" s="53"/>
    </row>
    <row r="564">
      <c r="A564" s="49">
        <v>45026.63533633102</v>
      </c>
      <c r="B564" s="50">
        <v>45026.7603060995</v>
      </c>
      <c r="C564" s="51">
        <v>1.074</v>
      </c>
      <c r="D564" s="51">
        <v>67.0</v>
      </c>
      <c r="E564" s="52" t="s">
        <v>25</v>
      </c>
      <c r="F564" s="52" t="s">
        <v>26</v>
      </c>
      <c r="G564" s="53"/>
    </row>
    <row r="565">
      <c r="A565" s="49">
        <v>45026.64576457176</v>
      </c>
      <c r="B565" s="50">
        <v>45026.7707275</v>
      </c>
      <c r="C565" s="51">
        <v>1.074</v>
      </c>
      <c r="D565" s="51">
        <v>67.0</v>
      </c>
      <c r="E565" s="52" t="s">
        <v>25</v>
      </c>
      <c r="F565" s="52" t="s">
        <v>26</v>
      </c>
      <c r="G565" s="53"/>
    </row>
    <row r="566">
      <c r="A566" s="49">
        <v>45026.656186099535</v>
      </c>
      <c r="B566" s="50">
        <v>45026.781160625</v>
      </c>
      <c r="C566" s="51">
        <v>1.073</v>
      </c>
      <c r="D566" s="51">
        <v>67.0</v>
      </c>
      <c r="E566" s="52" t="s">
        <v>25</v>
      </c>
      <c r="F566" s="52" t="s">
        <v>26</v>
      </c>
      <c r="G566" s="53"/>
    </row>
    <row r="567">
      <c r="A567" s="49">
        <v>45026.66661318287</v>
      </c>
      <c r="B567" s="50">
        <v>45026.7915812384</v>
      </c>
      <c r="C567" s="51">
        <v>1.073</v>
      </c>
      <c r="D567" s="51">
        <v>67.0</v>
      </c>
      <c r="E567" s="52" t="s">
        <v>25</v>
      </c>
      <c r="F567" s="52" t="s">
        <v>26</v>
      </c>
      <c r="G567" s="53"/>
    </row>
    <row r="568">
      <c r="A568" s="49">
        <v>45026.677029756946</v>
      </c>
      <c r="B568" s="50">
        <v>45026.8020021759</v>
      </c>
      <c r="C568" s="51">
        <v>1.074</v>
      </c>
      <c r="D568" s="51">
        <v>67.0</v>
      </c>
      <c r="E568" s="52" t="s">
        <v>25</v>
      </c>
      <c r="F568" s="52" t="s">
        <v>26</v>
      </c>
      <c r="G568" s="53"/>
    </row>
    <row r="569">
      <c r="A569" s="49">
        <v>45026.687452557875</v>
      </c>
      <c r="B569" s="50">
        <v>45026.8124233333</v>
      </c>
      <c r="C569" s="51">
        <v>1.074</v>
      </c>
      <c r="D569" s="51">
        <v>67.0</v>
      </c>
      <c r="E569" s="52" t="s">
        <v>25</v>
      </c>
      <c r="F569" s="52" t="s">
        <v>26</v>
      </c>
      <c r="G569" s="53"/>
    </row>
    <row r="570">
      <c r="A570" s="49">
        <v>45026.69787978009</v>
      </c>
      <c r="B570" s="50">
        <v>45026.8228557291</v>
      </c>
      <c r="C570" s="51">
        <v>1.073</v>
      </c>
      <c r="D570" s="51">
        <v>67.0</v>
      </c>
      <c r="E570" s="52" t="s">
        <v>25</v>
      </c>
      <c r="F570" s="52" t="s">
        <v>26</v>
      </c>
      <c r="G570" s="53"/>
    </row>
    <row r="571">
      <c r="A571" s="49">
        <v>45026.70832167824</v>
      </c>
      <c r="B571" s="50">
        <v>45026.833288449</v>
      </c>
      <c r="C571" s="51">
        <v>1.073</v>
      </c>
      <c r="D571" s="51">
        <v>67.0</v>
      </c>
      <c r="E571" s="52" t="s">
        <v>25</v>
      </c>
      <c r="F571" s="52" t="s">
        <v>26</v>
      </c>
      <c r="G571" s="53"/>
    </row>
    <row r="572">
      <c r="A572" s="49">
        <v>45026.71873703704</v>
      </c>
      <c r="B572" s="50">
        <v>45026.8437098958</v>
      </c>
      <c r="C572" s="51">
        <v>1.073</v>
      </c>
      <c r="D572" s="51">
        <v>67.0</v>
      </c>
      <c r="E572" s="52" t="s">
        <v>25</v>
      </c>
      <c r="F572" s="52" t="s">
        <v>26</v>
      </c>
      <c r="G572" s="53"/>
    </row>
    <row r="573">
      <c r="A573" s="49">
        <v>45026.72915909722</v>
      </c>
      <c r="B573" s="50">
        <v>45026.8541307754</v>
      </c>
      <c r="C573" s="51">
        <v>1.073</v>
      </c>
      <c r="D573" s="51">
        <v>67.0</v>
      </c>
      <c r="E573" s="52" t="s">
        <v>25</v>
      </c>
      <c r="F573" s="52" t="s">
        <v>26</v>
      </c>
      <c r="G573" s="53"/>
    </row>
    <row r="574">
      <c r="A574" s="49">
        <v>45026.739594548606</v>
      </c>
      <c r="B574" s="50">
        <v>45026.8645621412</v>
      </c>
      <c r="C574" s="51">
        <v>1.073</v>
      </c>
      <c r="D574" s="51">
        <v>67.0</v>
      </c>
      <c r="E574" s="52" t="s">
        <v>25</v>
      </c>
      <c r="F574" s="52" t="s">
        <v>26</v>
      </c>
      <c r="G574" s="53"/>
    </row>
    <row r="575">
      <c r="A575" s="49">
        <v>45026.75003635416</v>
      </c>
      <c r="B575" s="50">
        <v>45026.8750078356</v>
      </c>
      <c r="C575" s="51">
        <v>1.073</v>
      </c>
      <c r="D575" s="51">
        <v>67.0</v>
      </c>
      <c r="E575" s="52" t="s">
        <v>25</v>
      </c>
      <c r="F575" s="52" t="s">
        <v>26</v>
      </c>
      <c r="G575" s="53"/>
    </row>
    <row r="576">
      <c r="A576" s="49">
        <v>45026.76046068287</v>
      </c>
      <c r="B576" s="50">
        <v>45026.8854402546</v>
      </c>
      <c r="C576" s="51">
        <v>1.073</v>
      </c>
      <c r="D576" s="51">
        <v>67.0</v>
      </c>
      <c r="E576" s="52" t="s">
        <v>25</v>
      </c>
      <c r="F576" s="52" t="s">
        <v>26</v>
      </c>
      <c r="G576" s="53"/>
    </row>
    <row r="577">
      <c r="A577" s="49">
        <v>45026.77089086805</v>
      </c>
      <c r="B577" s="50">
        <v>45026.8958728356</v>
      </c>
      <c r="C577" s="51">
        <v>1.073</v>
      </c>
      <c r="D577" s="51">
        <v>67.0</v>
      </c>
      <c r="E577" s="52" t="s">
        <v>25</v>
      </c>
      <c r="F577" s="52" t="s">
        <v>26</v>
      </c>
      <c r="G577" s="53"/>
    </row>
    <row r="578">
      <c r="A578" s="49">
        <v>45026.781324027776</v>
      </c>
      <c r="B578" s="50">
        <v>45026.9062924884</v>
      </c>
      <c r="C578" s="51">
        <v>1.073</v>
      </c>
      <c r="D578" s="51">
        <v>67.0</v>
      </c>
      <c r="E578" s="52" t="s">
        <v>25</v>
      </c>
      <c r="F578" s="52" t="s">
        <v>26</v>
      </c>
      <c r="G578" s="53"/>
    </row>
    <row r="579">
      <c r="A579" s="49">
        <v>45026.79175268518</v>
      </c>
      <c r="B579" s="50">
        <v>45026.9167257523</v>
      </c>
      <c r="C579" s="51">
        <v>1.073</v>
      </c>
      <c r="D579" s="51">
        <v>67.0</v>
      </c>
      <c r="E579" s="52" t="s">
        <v>25</v>
      </c>
      <c r="F579" s="52" t="s">
        <v>26</v>
      </c>
      <c r="G579" s="53"/>
    </row>
    <row r="580">
      <c r="A580" s="49">
        <v>45026.80218758102</v>
      </c>
      <c r="B580" s="50">
        <v>45026.9271575578</v>
      </c>
      <c r="C580" s="51">
        <v>1.073</v>
      </c>
      <c r="D580" s="51">
        <v>67.0</v>
      </c>
      <c r="E580" s="52" t="s">
        <v>25</v>
      </c>
      <c r="F580" s="52" t="s">
        <v>26</v>
      </c>
      <c r="G580" s="53"/>
    </row>
    <row r="581">
      <c r="A581" s="49">
        <v>45026.8126309375</v>
      </c>
      <c r="B581" s="50">
        <v>45026.9376010185</v>
      </c>
      <c r="C581" s="51">
        <v>1.073</v>
      </c>
      <c r="D581" s="51">
        <v>67.0</v>
      </c>
      <c r="E581" s="52" t="s">
        <v>25</v>
      </c>
      <c r="F581" s="52" t="s">
        <v>26</v>
      </c>
      <c r="G581" s="53"/>
    </row>
    <row r="582">
      <c r="A582" s="49">
        <v>45026.82305009259</v>
      </c>
      <c r="B582" s="50">
        <v>45026.9480227893</v>
      </c>
      <c r="C582" s="51">
        <v>1.073</v>
      </c>
      <c r="D582" s="51">
        <v>67.0</v>
      </c>
      <c r="E582" s="52" t="s">
        <v>25</v>
      </c>
      <c r="F582" s="52" t="s">
        <v>26</v>
      </c>
      <c r="G582" s="53"/>
    </row>
    <row r="583">
      <c r="A583" s="49">
        <v>45026.83346401621</v>
      </c>
      <c r="B583" s="50">
        <v>45026.958444375</v>
      </c>
      <c r="C583" s="51">
        <v>1.073</v>
      </c>
      <c r="D583" s="51">
        <v>67.0</v>
      </c>
      <c r="E583" s="52" t="s">
        <v>25</v>
      </c>
      <c r="F583" s="52" t="s">
        <v>26</v>
      </c>
      <c r="G583" s="53"/>
    </row>
    <row r="584">
      <c r="A584" s="49">
        <v>45026.843898946754</v>
      </c>
      <c r="B584" s="50">
        <v>45026.9688760648</v>
      </c>
      <c r="C584" s="51">
        <v>1.073</v>
      </c>
      <c r="D584" s="51">
        <v>67.0</v>
      </c>
      <c r="E584" s="52" t="s">
        <v>25</v>
      </c>
      <c r="F584" s="52" t="s">
        <v>26</v>
      </c>
      <c r="G584" s="53"/>
    </row>
    <row r="585">
      <c r="A585" s="49">
        <v>45026.85431546296</v>
      </c>
      <c r="B585" s="50">
        <v>45026.9792970254</v>
      </c>
      <c r="C585" s="51">
        <v>1.072</v>
      </c>
      <c r="D585" s="51">
        <v>67.0</v>
      </c>
      <c r="E585" s="52" t="s">
        <v>25</v>
      </c>
      <c r="F585" s="52" t="s">
        <v>26</v>
      </c>
      <c r="G585" s="53"/>
    </row>
    <row r="586">
      <c r="A586" s="49">
        <v>45026.86475171296</v>
      </c>
      <c r="B586" s="50">
        <v>45026.989730081</v>
      </c>
      <c r="C586" s="51">
        <v>1.072</v>
      </c>
      <c r="D586" s="51">
        <v>67.0</v>
      </c>
      <c r="E586" s="52" t="s">
        <v>25</v>
      </c>
      <c r="F586" s="52" t="s">
        <v>26</v>
      </c>
      <c r="G586" s="53"/>
    </row>
    <row r="587">
      <c r="A587" s="49">
        <v>45026.87517020833</v>
      </c>
      <c r="B587" s="50">
        <v>45027.000152743</v>
      </c>
      <c r="C587" s="51">
        <v>1.072</v>
      </c>
      <c r="D587" s="51">
        <v>67.0</v>
      </c>
      <c r="E587" s="52" t="s">
        <v>25</v>
      </c>
      <c r="F587" s="52" t="s">
        <v>26</v>
      </c>
      <c r="G587" s="53"/>
    </row>
    <row r="588">
      <c r="A588" s="49">
        <v>45026.88560472222</v>
      </c>
      <c r="B588" s="50">
        <v>45027.0105726967</v>
      </c>
      <c r="C588" s="51">
        <v>1.072</v>
      </c>
      <c r="D588" s="51">
        <v>67.0</v>
      </c>
      <c r="E588" s="52" t="s">
        <v>25</v>
      </c>
      <c r="F588" s="52" t="s">
        <v>26</v>
      </c>
      <c r="G588" s="53"/>
    </row>
    <row r="589">
      <c r="A589" s="49">
        <v>45026.89603408564</v>
      </c>
      <c r="B589" s="50">
        <v>45027.0210072222</v>
      </c>
      <c r="C589" s="51">
        <v>1.072</v>
      </c>
      <c r="D589" s="51">
        <v>67.0</v>
      </c>
      <c r="E589" s="52" t="s">
        <v>25</v>
      </c>
      <c r="F589" s="52" t="s">
        <v>26</v>
      </c>
      <c r="G589" s="53"/>
    </row>
    <row r="590">
      <c r="A590" s="49">
        <v>45026.90649969908</v>
      </c>
      <c r="B590" s="50">
        <v>45027.03147478</v>
      </c>
      <c r="C590" s="51">
        <v>1.072</v>
      </c>
      <c r="D590" s="51">
        <v>67.0</v>
      </c>
      <c r="E590" s="52" t="s">
        <v>25</v>
      </c>
      <c r="F590" s="52" t="s">
        <v>26</v>
      </c>
      <c r="G590" s="53"/>
    </row>
    <row r="591">
      <c r="A591" s="49">
        <v>45026.91692346065</v>
      </c>
      <c r="B591" s="50">
        <v>45027.0418955324</v>
      </c>
      <c r="C591" s="51">
        <v>1.072</v>
      </c>
      <c r="D591" s="51">
        <v>67.0</v>
      </c>
      <c r="E591" s="52" t="s">
        <v>25</v>
      </c>
      <c r="F591" s="52" t="s">
        <v>26</v>
      </c>
      <c r="G591" s="53"/>
    </row>
    <row r="592">
      <c r="A592" s="49">
        <v>45026.92737984954</v>
      </c>
      <c r="B592" s="50">
        <v>45027.052350949</v>
      </c>
      <c r="C592" s="51">
        <v>1.072</v>
      </c>
      <c r="D592" s="51">
        <v>67.0</v>
      </c>
      <c r="E592" s="52" t="s">
        <v>25</v>
      </c>
      <c r="F592" s="52" t="s">
        <v>26</v>
      </c>
      <c r="G592" s="53"/>
    </row>
    <row r="593">
      <c r="A593" s="49">
        <v>45026.94823790509</v>
      </c>
      <c r="B593" s="50">
        <v>45027.073217037</v>
      </c>
      <c r="C593" s="51">
        <v>1.072</v>
      </c>
      <c r="D593" s="51">
        <v>67.0</v>
      </c>
      <c r="E593" s="52" t="s">
        <v>25</v>
      </c>
      <c r="F593" s="52" t="s">
        <v>26</v>
      </c>
      <c r="G593" s="53"/>
    </row>
    <row r="594">
      <c r="A594" s="49">
        <v>45026.95866063658</v>
      </c>
      <c r="B594" s="50">
        <v>45027.0836381713</v>
      </c>
      <c r="C594" s="51">
        <v>1.072</v>
      </c>
      <c r="D594" s="51">
        <v>67.0</v>
      </c>
      <c r="E594" s="52" t="s">
        <v>25</v>
      </c>
      <c r="F594" s="52" t="s">
        <v>26</v>
      </c>
      <c r="G594" s="53"/>
    </row>
    <row r="595">
      <c r="A595" s="49">
        <v>45026.96908646991</v>
      </c>
      <c r="B595" s="50">
        <v>45027.094059375</v>
      </c>
      <c r="C595" s="51">
        <v>1.072</v>
      </c>
      <c r="D595" s="51">
        <v>67.0</v>
      </c>
      <c r="E595" s="52" t="s">
        <v>25</v>
      </c>
      <c r="F595" s="52" t="s">
        <v>26</v>
      </c>
      <c r="G595" s="53"/>
    </row>
    <row r="596">
      <c r="A596" s="49">
        <v>45026.97951005787</v>
      </c>
      <c r="B596" s="50">
        <v>45027.1044808101</v>
      </c>
      <c r="C596" s="51">
        <v>1.072</v>
      </c>
      <c r="D596" s="51">
        <v>67.0</v>
      </c>
      <c r="E596" s="52" t="s">
        <v>25</v>
      </c>
      <c r="F596" s="52" t="s">
        <v>26</v>
      </c>
      <c r="G596" s="53"/>
    </row>
    <row r="597">
      <c r="A597" s="49">
        <v>45026.9899306713</v>
      </c>
      <c r="B597" s="50">
        <v>45027.1149038541</v>
      </c>
      <c r="C597" s="51">
        <v>1.072</v>
      </c>
      <c r="D597" s="51">
        <v>67.0</v>
      </c>
      <c r="E597" s="52" t="s">
        <v>25</v>
      </c>
      <c r="F597" s="52" t="s">
        <v>26</v>
      </c>
      <c r="G597" s="53"/>
    </row>
    <row r="598">
      <c r="A598" s="49">
        <v>45027.00036571759</v>
      </c>
      <c r="B598" s="50">
        <v>45027.1253356365</v>
      </c>
      <c r="C598" s="51">
        <v>1.072</v>
      </c>
      <c r="D598" s="51">
        <v>67.0</v>
      </c>
      <c r="E598" s="52" t="s">
        <v>25</v>
      </c>
      <c r="F598" s="52" t="s">
        <v>26</v>
      </c>
      <c r="G598" s="53"/>
    </row>
    <row r="599">
      <c r="A599" s="49">
        <v>45027.01083850695</v>
      </c>
      <c r="B599" s="50">
        <v>45027.1358151851</v>
      </c>
      <c r="C599" s="51">
        <v>1.072</v>
      </c>
      <c r="D599" s="51">
        <v>67.0</v>
      </c>
      <c r="E599" s="52" t="s">
        <v>25</v>
      </c>
      <c r="F599" s="52" t="s">
        <v>26</v>
      </c>
      <c r="G599" s="53"/>
    </row>
    <row r="600">
      <c r="A600" s="49">
        <v>45027.021263483795</v>
      </c>
      <c r="B600" s="50">
        <v>45027.1462349305</v>
      </c>
      <c r="C600" s="51">
        <v>1.072</v>
      </c>
      <c r="D600" s="51">
        <v>67.0</v>
      </c>
      <c r="E600" s="52" t="s">
        <v>25</v>
      </c>
      <c r="F600" s="52" t="s">
        <v>26</v>
      </c>
      <c r="G600" s="53"/>
    </row>
    <row r="601">
      <c r="A601" s="49">
        <v>45027.03168097222</v>
      </c>
      <c r="B601" s="50">
        <v>45027.1566565162</v>
      </c>
      <c r="C601" s="51">
        <v>1.072</v>
      </c>
      <c r="D601" s="51">
        <v>67.0</v>
      </c>
      <c r="E601" s="52" t="s">
        <v>25</v>
      </c>
      <c r="F601" s="52" t="s">
        <v>26</v>
      </c>
      <c r="G601" s="53"/>
    </row>
    <row r="602">
      <c r="A602" s="49">
        <v>45027.042106759254</v>
      </c>
      <c r="B602" s="50">
        <v>45027.1670795254</v>
      </c>
      <c r="C602" s="51">
        <v>1.072</v>
      </c>
      <c r="D602" s="51">
        <v>67.0</v>
      </c>
      <c r="E602" s="52" t="s">
        <v>25</v>
      </c>
      <c r="F602" s="52" t="s">
        <v>26</v>
      </c>
      <c r="G602" s="53"/>
    </row>
    <row r="603">
      <c r="A603" s="49">
        <v>45027.05252578703</v>
      </c>
      <c r="B603" s="50">
        <v>45027.1774999652</v>
      </c>
      <c r="C603" s="51">
        <v>1.072</v>
      </c>
      <c r="D603" s="51">
        <v>67.0</v>
      </c>
      <c r="E603" s="52" t="s">
        <v>25</v>
      </c>
      <c r="F603" s="52" t="s">
        <v>26</v>
      </c>
      <c r="G603" s="53"/>
    </row>
    <row r="604">
      <c r="A604" s="49">
        <v>45027.06295229167</v>
      </c>
      <c r="B604" s="50">
        <v>45027.1879202777</v>
      </c>
      <c r="C604" s="51">
        <v>1.072</v>
      </c>
      <c r="D604" s="51">
        <v>67.0</v>
      </c>
      <c r="E604" s="52" t="s">
        <v>25</v>
      </c>
      <c r="F604" s="52" t="s">
        <v>26</v>
      </c>
      <c r="G604" s="53"/>
    </row>
    <row r="605">
      <c r="A605" s="49">
        <v>45027.073368067126</v>
      </c>
      <c r="B605" s="50">
        <v>45027.1983411574</v>
      </c>
      <c r="C605" s="51">
        <v>1.071</v>
      </c>
      <c r="D605" s="51">
        <v>67.0</v>
      </c>
      <c r="E605" s="52" t="s">
        <v>25</v>
      </c>
      <c r="F605" s="52" t="s">
        <v>26</v>
      </c>
      <c r="G605" s="53"/>
    </row>
    <row r="606">
      <c r="A606" s="49">
        <v>45027.083804270835</v>
      </c>
      <c r="B606" s="50">
        <v>45027.2087738657</v>
      </c>
      <c r="C606" s="51">
        <v>1.071</v>
      </c>
      <c r="D606" s="51">
        <v>67.0</v>
      </c>
      <c r="E606" s="52" t="s">
        <v>25</v>
      </c>
      <c r="F606" s="52" t="s">
        <v>26</v>
      </c>
      <c r="G606" s="53"/>
    </row>
    <row r="607">
      <c r="A607" s="49">
        <v>45027.09427332176</v>
      </c>
      <c r="B607" s="50">
        <v>45027.2192414236</v>
      </c>
      <c r="C607" s="51">
        <v>1.071</v>
      </c>
      <c r="D607" s="51">
        <v>67.0</v>
      </c>
      <c r="E607" s="52" t="s">
        <v>25</v>
      </c>
      <c r="F607" s="52" t="s">
        <v>26</v>
      </c>
      <c r="G607" s="53"/>
    </row>
    <row r="608">
      <c r="A608" s="49">
        <v>45027.104731087966</v>
      </c>
      <c r="B608" s="50">
        <v>45027.2296981481</v>
      </c>
      <c r="C608" s="51">
        <v>1.071</v>
      </c>
      <c r="D608" s="51">
        <v>67.0</v>
      </c>
      <c r="E608" s="52" t="s">
        <v>25</v>
      </c>
      <c r="F608" s="52" t="s">
        <v>26</v>
      </c>
      <c r="G608" s="53"/>
    </row>
    <row r="609">
      <c r="A609" s="49">
        <v>45027.11521081018</v>
      </c>
      <c r="B609" s="50">
        <v>45027.2401766203</v>
      </c>
      <c r="C609" s="51">
        <v>1.072</v>
      </c>
      <c r="D609" s="51">
        <v>67.0</v>
      </c>
      <c r="E609" s="52" t="s">
        <v>25</v>
      </c>
      <c r="F609" s="52" t="s">
        <v>26</v>
      </c>
      <c r="G609" s="53"/>
    </row>
    <row r="610">
      <c r="A610" s="49">
        <v>45027.1256296412</v>
      </c>
      <c r="B610" s="50">
        <v>45027.2505980902</v>
      </c>
      <c r="C610" s="51">
        <v>1.071</v>
      </c>
      <c r="D610" s="51">
        <v>67.0</v>
      </c>
      <c r="E610" s="52" t="s">
        <v>25</v>
      </c>
      <c r="F610" s="52" t="s">
        <v>26</v>
      </c>
      <c r="G610" s="53"/>
    </row>
    <row r="611">
      <c r="A611" s="49">
        <v>45027.136047569446</v>
      </c>
      <c r="B611" s="50">
        <v>45027.2610198263</v>
      </c>
      <c r="C611" s="51">
        <v>1.071</v>
      </c>
      <c r="D611" s="51">
        <v>67.0</v>
      </c>
      <c r="E611" s="52" t="s">
        <v>25</v>
      </c>
      <c r="F611" s="52" t="s">
        <v>26</v>
      </c>
      <c r="G611" s="53"/>
    </row>
    <row r="612">
      <c r="A612" s="49">
        <v>45027.14648296296</v>
      </c>
      <c r="B612" s="50">
        <v>45027.2714519675</v>
      </c>
      <c r="C612" s="51">
        <v>1.071</v>
      </c>
      <c r="D612" s="51">
        <v>67.0</v>
      </c>
      <c r="E612" s="52" t="s">
        <v>25</v>
      </c>
      <c r="F612" s="52" t="s">
        <v>26</v>
      </c>
      <c r="G612" s="53"/>
    </row>
    <row r="613">
      <c r="A613" s="49">
        <v>45027.15691010417</v>
      </c>
      <c r="B613" s="50">
        <v>45027.281873287</v>
      </c>
      <c r="C613" s="51">
        <v>1.071</v>
      </c>
      <c r="D613" s="51">
        <v>67.0</v>
      </c>
      <c r="E613" s="52" t="s">
        <v>25</v>
      </c>
      <c r="F613" s="52" t="s">
        <v>26</v>
      </c>
      <c r="G613" s="53"/>
    </row>
    <row r="614">
      <c r="A614" s="49">
        <v>45027.16732847222</v>
      </c>
      <c r="B614" s="50">
        <v>45027.2923066319</v>
      </c>
      <c r="C614" s="51">
        <v>1.071</v>
      </c>
      <c r="D614" s="51">
        <v>67.0</v>
      </c>
      <c r="E614" s="52" t="s">
        <v>25</v>
      </c>
      <c r="F614" s="52" t="s">
        <v>26</v>
      </c>
      <c r="G614" s="53"/>
    </row>
    <row r="615">
      <c r="A615" s="49">
        <v>45027.177753993055</v>
      </c>
      <c r="B615" s="50">
        <v>45027.3027271527</v>
      </c>
      <c r="C615" s="51">
        <v>1.071</v>
      </c>
      <c r="D615" s="51">
        <v>66.0</v>
      </c>
      <c r="E615" s="52" t="s">
        <v>25</v>
      </c>
      <c r="F615" s="52" t="s">
        <v>26</v>
      </c>
      <c r="G615" s="53"/>
    </row>
    <row r="616">
      <c r="A616" s="49">
        <v>45027.18816868056</v>
      </c>
      <c r="B616" s="50">
        <v>45027.3131489814</v>
      </c>
      <c r="C616" s="51">
        <v>1.071</v>
      </c>
      <c r="D616" s="51">
        <v>66.0</v>
      </c>
      <c r="E616" s="52" t="s">
        <v>25</v>
      </c>
      <c r="F616" s="52" t="s">
        <v>26</v>
      </c>
      <c r="G616" s="53"/>
    </row>
    <row r="617">
      <c r="A617" s="49">
        <v>45027.198608425926</v>
      </c>
      <c r="B617" s="50">
        <v>45027.3235714236</v>
      </c>
      <c r="C617" s="51">
        <v>1.071</v>
      </c>
      <c r="D617" s="51">
        <v>66.0</v>
      </c>
      <c r="E617" s="52" t="s">
        <v>25</v>
      </c>
      <c r="F617" s="52" t="s">
        <v>26</v>
      </c>
      <c r="G617" s="53"/>
    </row>
    <row r="618">
      <c r="A618" s="49">
        <v>45027.209020891205</v>
      </c>
      <c r="B618" s="50">
        <v>45027.3339931481</v>
      </c>
      <c r="C618" s="51">
        <v>1.071</v>
      </c>
      <c r="D618" s="51">
        <v>66.0</v>
      </c>
      <c r="E618" s="52" t="s">
        <v>25</v>
      </c>
      <c r="F618" s="52" t="s">
        <v>26</v>
      </c>
      <c r="G618" s="53"/>
    </row>
    <row r="619">
      <c r="A619" s="49">
        <v>45027.21944284722</v>
      </c>
      <c r="B619" s="50">
        <v>45027.3444145023</v>
      </c>
      <c r="C619" s="51">
        <v>1.071</v>
      </c>
      <c r="D619" s="51">
        <v>66.0</v>
      </c>
      <c r="E619" s="52" t="s">
        <v>25</v>
      </c>
      <c r="F619" s="52" t="s">
        <v>26</v>
      </c>
      <c r="G619" s="53"/>
    </row>
    <row r="620">
      <c r="A620" s="49">
        <v>45027.229866875</v>
      </c>
      <c r="B620" s="50">
        <v>45027.3548450115</v>
      </c>
      <c r="C620" s="51">
        <v>1.071</v>
      </c>
      <c r="D620" s="51">
        <v>66.0</v>
      </c>
      <c r="E620" s="52" t="s">
        <v>25</v>
      </c>
      <c r="F620" s="52" t="s">
        <v>26</v>
      </c>
      <c r="G620" s="53"/>
    </row>
    <row r="621">
      <c r="A621" s="49">
        <v>45027.24030260417</v>
      </c>
      <c r="B621" s="50">
        <v>45027.3652767361</v>
      </c>
      <c r="C621" s="51">
        <v>1.071</v>
      </c>
      <c r="D621" s="51">
        <v>66.0</v>
      </c>
      <c r="E621" s="52" t="s">
        <v>25</v>
      </c>
      <c r="F621" s="52" t="s">
        <v>26</v>
      </c>
      <c r="G621" s="53"/>
    </row>
    <row r="622">
      <c r="A622" s="49">
        <v>45027.25072118056</v>
      </c>
      <c r="B622" s="50">
        <v>45027.3756999421</v>
      </c>
      <c r="C622" s="51">
        <v>1.071</v>
      </c>
      <c r="D622" s="51">
        <v>66.0</v>
      </c>
      <c r="E622" s="52" t="s">
        <v>25</v>
      </c>
      <c r="F622" s="52" t="s">
        <v>26</v>
      </c>
      <c r="G622" s="53"/>
    </row>
    <row r="623">
      <c r="A623" s="49">
        <v>45027.26114918981</v>
      </c>
      <c r="B623" s="50">
        <v>45027.3861202314</v>
      </c>
      <c r="C623" s="51">
        <v>1.07</v>
      </c>
      <c r="D623" s="51">
        <v>66.0</v>
      </c>
      <c r="E623" s="52" t="s">
        <v>25</v>
      </c>
      <c r="F623" s="52" t="s">
        <v>26</v>
      </c>
      <c r="G623" s="53"/>
    </row>
    <row r="624">
      <c r="A624" s="49">
        <v>45027.27156966436</v>
      </c>
      <c r="B624" s="50">
        <v>45027.3965414351</v>
      </c>
      <c r="C624" s="51">
        <v>1.071</v>
      </c>
      <c r="D624" s="51">
        <v>66.0</v>
      </c>
      <c r="E624" s="52" t="s">
        <v>25</v>
      </c>
      <c r="F624" s="52" t="s">
        <v>26</v>
      </c>
      <c r="G624" s="53"/>
    </row>
    <row r="625">
      <c r="A625" s="49">
        <v>45027.28198688658</v>
      </c>
      <c r="B625" s="50">
        <v>45027.406961493</v>
      </c>
      <c r="C625" s="51">
        <v>1.071</v>
      </c>
      <c r="D625" s="51">
        <v>66.0</v>
      </c>
      <c r="E625" s="52" t="s">
        <v>25</v>
      </c>
      <c r="F625" s="52" t="s">
        <v>26</v>
      </c>
      <c r="G625" s="53"/>
    </row>
    <row r="626">
      <c r="A626" s="49">
        <v>45027.29240564815</v>
      </c>
      <c r="B626" s="50">
        <v>45027.4173811574</v>
      </c>
      <c r="C626" s="51">
        <v>1.07</v>
      </c>
      <c r="D626" s="51">
        <v>66.0</v>
      </c>
      <c r="E626" s="52" t="s">
        <v>25</v>
      </c>
      <c r="F626" s="52" t="s">
        <v>26</v>
      </c>
      <c r="G626" s="53"/>
    </row>
    <row r="627">
      <c r="A627" s="49">
        <v>45027.30283884259</v>
      </c>
      <c r="B627" s="50">
        <v>45027.4278030092</v>
      </c>
      <c r="C627" s="51">
        <v>1.071</v>
      </c>
      <c r="D627" s="51">
        <v>66.0</v>
      </c>
      <c r="E627" s="52" t="s">
        <v>25</v>
      </c>
      <c r="F627" s="52" t="s">
        <v>26</v>
      </c>
      <c r="G627" s="53"/>
    </row>
    <row r="628">
      <c r="A628" s="49">
        <v>45027.3132628125</v>
      </c>
      <c r="B628" s="50">
        <v>45027.4382250231</v>
      </c>
      <c r="C628" s="51">
        <v>1.07</v>
      </c>
      <c r="D628" s="51">
        <v>66.0</v>
      </c>
      <c r="E628" s="52" t="s">
        <v>25</v>
      </c>
      <c r="F628" s="52" t="s">
        <v>26</v>
      </c>
      <c r="G628" s="53"/>
    </row>
    <row r="629">
      <c r="A629" s="49">
        <v>45027.32369097222</v>
      </c>
      <c r="B629" s="50">
        <v>45027.4486574768</v>
      </c>
      <c r="C629" s="51">
        <v>1.07</v>
      </c>
      <c r="D629" s="51">
        <v>66.0</v>
      </c>
      <c r="E629" s="52" t="s">
        <v>25</v>
      </c>
      <c r="F629" s="52" t="s">
        <v>26</v>
      </c>
      <c r="G629" s="53"/>
    </row>
    <row r="630">
      <c r="A630" s="49">
        <v>45027.334129560186</v>
      </c>
      <c r="B630" s="50">
        <v>45027.4590907175</v>
      </c>
      <c r="C630" s="51">
        <v>1.07</v>
      </c>
      <c r="D630" s="51">
        <v>66.0</v>
      </c>
      <c r="E630" s="52" t="s">
        <v>25</v>
      </c>
      <c r="F630" s="52" t="s">
        <v>26</v>
      </c>
      <c r="G630" s="53"/>
    </row>
    <row r="631">
      <c r="A631" s="49">
        <v>45027.34456684028</v>
      </c>
      <c r="B631" s="50">
        <v>45027.4695365972</v>
      </c>
      <c r="C631" s="51">
        <v>1.07</v>
      </c>
      <c r="D631" s="51">
        <v>66.0</v>
      </c>
      <c r="E631" s="52" t="s">
        <v>25</v>
      </c>
      <c r="F631" s="52" t="s">
        <v>26</v>
      </c>
      <c r="G631" s="53"/>
    </row>
    <row r="632">
      <c r="A632" s="49">
        <v>45027.35499839121</v>
      </c>
      <c r="B632" s="50">
        <v>45027.4799710532</v>
      </c>
      <c r="C632" s="51">
        <v>1.07</v>
      </c>
      <c r="D632" s="51">
        <v>66.0</v>
      </c>
      <c r="E632" s="52" t="s">
        <v>25</v>
      </c>
      <c r="F632" s="52" t="s">
        <v>26</v>
      </c>
      <c r="G632" s="53"/>
    </row>
    <row r="633">
      <c r="A633" s="49">
        <v>45027.36541579861</v>
      </c>
      <c r="B633" s="50">
        <v>45027.4903918287</v>
      </c>
      <c r="C633" s="51">
        <v>1.07</v>
      </c>
      <c r="D633" s="51">
        <v>66.0</v>
      </c>
      <c r="E633" s="52" t="s">
        <v>25</v>
      </c>
      <c r="F633" s="52" t="s">
        <v>26</v>
      </c>
      <c r="G633" s="53"/>
    </row>
    <row r="634">
      <c r="A634" s="49">
        <v>45027.375850474535</v>
      </c>
      <c r="B634" s="50">
        <v>45027.5008121759</v>
      </c>
      <c r="C634" s="51">
        <v>1.07</v>
      </c>
      <c r="D634" s="51">
        <v>66.0</v>
      </c>
      <c r="E634" s="52" t="s">
        <v>25</v>
      </c>
      <c r="F634" s="52" t="s">
        <v>26</v>
      </c>
      <c r="G634" s="53"/>
    </row>
    <row r="635">
      <c r="A635" s="49">
        <v>45027.38627486111</v>
      </c>
      <c r="B635" s="50">
        <v>45027.5112447916</v>
      </c>
      <c r="C635" s="51">
        <v>1.07</v>
      </c>
      <c r="D635" s="51">
        <v>66.0</v>
      </c>
      <c r="E635" s="52" t="s">
        <v>25</v>
      </c>
      <c r="F635" s="52" t="s">
        <v>26</v>
      </c>
      <c r="G635" s="53"/>
    </row>
    <row r="636">
      <c r="A636" s="49">
        <v>45027.39669013889</v>
      </c>
      <c r="B636" s="50">
        <v>45027.5216644097</v>
      </c>
      <c r="C636" s="51">
        <v>1.07</v>
      </c>
      <c r="D636" s="51">
        <v>66.0</v>
      </c>
      <c r="E636" s="52" t="s">
        <v>25</v>
      </c>
      <c r="F636" s="52" t="s">
        <v>26</v>
      </c>
      <c r="G636" s="53"/>
    </row>
    <row r="637">
      <c r="A637" s="49">
        <v>45027.40710967593</v>
      </c>
      <c r="B637" s="50">
        <v>45027.532085706</v>
      </c>
      <c r="C637" s="51">
        <v>1.07</v>
      </c>
      <c r="D637" s="51">
        <v>66.0</v>
      </c>
      <c r="E637" s="52" t="s">
        <v>25</v>
      </c>
      <c r="F637" s="52" t="s">
        <v>26</v>
      </c>
      <c r="G637" s="53"/>
    </row>
    <row r="638">
      <c r="A638" s="49">
        <v>45027.417533217595</v>
      </c>
      <c r="B638" s="50">
        <v>45027.5425056597</v>
      </c>
      <c r="C638" s="51">
        <v>1.07</v>
      </c>
      <c r="D638" s="51">
        <v>66.0</v>
      </c>
      <c r="E638" s="52" t="s">
        <v>25</v>
      </c>
      <c r="F638" s="52" t="s">
        <v>26</v>
      </c>
      <c r="G638" s="53"/>
    </row>
    <row r="639">
      <c r="A639" s="49">
        <v>45027.42795803241</v>
      </c>
      <c r="B639" s="50">
        <v>45027.5529259953</v>
      </c>
      <c r="C639" s="51">
        <v>1.07</v>
      </c>
      <c r="D639" s="51">
        <v>66.0</v>
      </c>
      <c r="E639" s="52" t="s">
        <v>25</v>
      </c>
      <c r="F639" s="52" t="s">
        <v>26</v>
      </c>
      <c r="G639" s="53"/>
    </row>
    <row r="640">
      <c r="A640" s="49">
        <v>45027.4383680787</v>
      </c>
      <c r="B640" s="50">
        <v>45027.5633451736</v>
      </c>
      <c r="C640" s="51">
        <v>1.07</v>
      </c>
      <c r="D640" s="51">
        <v>66.0</v>
      </c>
      <c r="E640" s="52" t="s">
        <v>25</v>
      </c>
      <c r="F640" s="52" t="s">
        <v>26</v>
      </c>
      <c r="G640" s="53"/>
    </row>
    <row r="641">
      <c r="A641" s="49">
        <v>45027.44881346065</v>
      </c>
      <c r="B641" s="50">
        <v>45027.5737779398</v>
      </c>
      <c r="C641" s="51">
        <v>1.07</v>
      </c>
      <c r="D641" s="51">
        <v>66.0</v>
      </c>
      <c r="E641" s="52" t="s">
        <v>25</v>
      </c>
      <c r="F641" s="52" t="s">
        <v>26</v>
      </c>
      <c r="G641" s="53"/>
    </row>
    <row r="642">
      <c r="A642" s="49">
        <v>45027.45923143519</v>
      </c>
      <c r="B642" s="50">
        <v>45027.5841992129</v>
      </c>
      <c r="C642" s="51">
        <v>1.07</v>
      </c>
      <c r="D642" s="51">
        <v>66.0</v>
      </c>
      <c r="E642" s="52" t="s">
        <v>25</v>
      </c>
      <c r="F642" s="52" t="s">
        <v>26</v>
      </c>
      <c r="G642" s="53"/>
    </row>
    <row r="643">
      <c r="A643" s="49">
        <v>45027.4696488426</v>
      </c>
      <c r="B643" s="50">
        <v>45027.5946194907</v>
      </c>
      <c r="C643" s="51">
        <v>1.07</v>
      </c>
      <c r="D643" s="51">
        <v>66.0</v>
      </c>
      <c r="E643" s="52" t="s">
        <v>25</v>
      </c>
      <c r="F643" s="52" t="s">
        <v>26</v>
      </c>
      <c r="G643" s="53"/>
    </row>
    <row r="644">
      <c r="A644" s="49">
        <v>45027.48012820602</v>
      </c>
      <c r="B644" s="50">
        <v>45027.6050995138</v>
      </c>
      <c r="C644" s="51">
        <v>1.07</v>
      </c>
      <c r="D644" s="51">
        <v>66.0</v>
      </c>
      <c r="E644" s="52" t="s">
        <v>25</v>
      </c>
      <c r="F644" s="52" t="s">
        <v>26</v>
      </c>
      <c r="G644" s="53"/>
    </row>
    <row r="645">
      <c r="A645" s="49">
        <v>45027.49054854167</v>
      </c>
      <c r="B645" s="50">
        <v>45027.6155205439</v>
      </c>
      <c r="C645" s="51">
        <v>1.07</v>
      </c>
      <c r="D645" s="51">
        <v>66.0</v>
      </c>
      <c r="E645" s="52" t="s">
        <v>25</v>
      </c>
      <c r="F645" s="52" t="s">
        <v>26</v>
      </c>
      <c r="G645" s="53"/>
    </row>
    <row r="646">
      <c r="A646" s="49">
        <v>45027.50097328704</v>
      </c>
      <c r="B646" s="50">
        <v>45027.6259411689</v>
      </c>
      <c r="C646" s="51">
        <v>1.07</v>
      </c>
      <c r="D646" s="51">
        <v>66.0</v>
      </c>
      <c r="E646" s="52" t="s">
        <v>25</v>
      </c>
      <c r="F646" s="52" t="s">
        <v>26</v>
      </c>
      <c r="G646" s="53"/>
    </row>
    <row r="647">
      <c r="A647" s="49">
        <v>45027.51139269676</v>
      </c>
      <c r="B647" s="50">
        <v>45027.6363620486</v>
      </c>
      <c r="C647" s="51">
        <v>1.07</v>
      </c>
      <c r="D647" s="51">
        <v>66.0</v>
      </c>
      <c r="E647" s="52" t="s">
        <v>25</v>
      </c>
      <c r="F647" s="52" t="s">
        <v>26</v>
      </c>
      <c r="G647" s="53"/>
    </row>
    <row r="648">
      <c r="A648" s="49">
        <v>45027.521818333335</v>
      </c>
      <c r="B648" s="50">
        <v>45027.6467830208</v>
      </c>
      <c r="C648" s="51">
        <v>1.07</v>
      </c>
      <c r="D648" s="51">
        <v>66.0</v>
      </c>
      <c r="E648" s="52" t="s">
        <v>25</v>
      </c>
      <c r="F648" s="52" t="s">
        <v>26</v>
      </c>
      <c r="G648" s="53"/>
    </row>
    <row r="649">
      <c r="A649" s="49">
        <v>45027.532229687495</v>
      </c>
      <c r="B649" s="50">
        <v>45027.657203449</v>
      </c>
      <c r="C649" s="51">
        <v>1.069</v>
      </c>
      <c r="D649" s="51">
        <v>66.0</v>
      </c>
      <c r="E649" s="52" t="s">
        <v>25</v>
      </c>
      <c r="F649" s="52" t="s">
        <v>26</v>
      </c>
      <c r="G649" s="53"/>
    </row>
    <row r="650">
      <c r="A650" s="49">
        <v>45027.54267609953</v>
      </c>
      <c r="B650" s="50">
        <v>45027.6676371759</v>
      </c>
      <c r="C650" s="51">
        <v>1.069</v>
      </c>
      <c r="D650" s="51">
        <v>66.0</v>
      </c>
      <c r="E650" s="52" t="s">
        <v>25</v>
      </c>
      <c r="F650" s="52" t="s">
        <v>26</v>
      </c>
      <c r="G650" s="53"/>
    </row>
    <row r="651">
      <c r="A651" s="49">
        <v>45027.553088506946</v>
      </c>
      <c r="B651" s="50">
        <v>45027.678058368</v>
      </c>
      <c r="C651" s="51">
        <v>1.069</v>
      </c>
      <c r="D651" s="51">
        <v>66.0</v>
      </c>
      <c r="E651" s="52" t="s">
        <v>25</v>
      </c>
      <c r="F651" s="52" t="s">
        <v>26</v>
      </c>
      <c r="G651" s="53"/>
    </row>
    <row r="652">
      <c r="A652" s="49">
        <v>45027.5635025463</v>
      </c>
      <c r="B652" s="50">
        <v>45027.6884792013</v>
      </c>
      <c r="C652" s="51">
        <v>1.069</v>
      </c>
      <c r="D652" s="51">
        <v>66.0</v>
      </c>
      <c r="E652" s="52" t="s">
        <v>25</v>
      </c>
      <c r="F652" s="52" t="s">
        <v>26</v>
      </c>
      <c r="G652" s="53"/>
    </row>
    <row r="653">
      <c r="A653" s="49">
        <v>45027.57394141203</v>
      </c>
      <c r="B653" s="50">
        <v>45027.6989000347</v>
      </c>
      <c r="C653" s="51">
        <v>1.069</v>
      </c>
      <c r="D653" s="51">
        <v>66.0</v>
      </c>
      <c r="E653" s="52" t="s">
        <v>25</v>
      </c>
      <c r="F653" s="52" t="s">
        <v>26</v>
      </c>
      <c r="G653" s="53"/>
    </row>
    <row r="654">
      <c r="A654" s="49">
        <v>45027.58436266203</v>
      </c>
      <c r="B654" s="50">
        <v>45027.7093324421</v>
      </c>
      <c r="C654" s="51">
        <v>1.069</v>
      </c>
      <c r="D654" s="51">
        <v>66.0</v>
      </c>
      <c r="E654" s="52" t="s">
        <v>25</v>
      </c>
      <c r="F654" s="52" t="s">
        <v>26</v>
      </c>
      <c r="G654" s="53"/>
    </row>
    <row r="655">
      <c r="A655" s="49">
        <v>45027.594784456014</v>
      </c>
      <c r="B655" s="50">
        <v>45027.7197544444</v>
      </c>
      <c r="C655" s="51">
        <v>1.069</v>
      </c>
      <c r="D655" s="51">
        <v>66.0</v>
      </c>
      <c r="E655" s="52" t="s">
        <v>25</v>
      </c>
      <c r="F655" s="52" t="s">
        <v>26</v>
      </c>
      <c r="G655" s="53"/>
    </row>
    <row r="656">
      <c r="A656" s="49">
        <v>45027.60521834491</v>
      </c>
      <c r="B656" s="50">
        <v>45027.7301870486</v>
      </c>
      <c r="C656" s="51">
        <v>1.069</v>
      </c>
      <c r="D656" s="51">
        <v>66.0</v>
      </c>
      <c r="E656" s="52" t="s">
        <v>25</v>
      </c>
      <c r="F656" s="52" t="s">
        <v>26</v>
      </c>
      <c r="G656" s="53"/>
    </row>
    <row r="657">
      <c r="A657" s="49">
        <v>45027.61567702546</v>
      </c>
      <c r="B657" s="50">
        <v>45027.7406427777</v>
      </c>
      <c r="C657" s="51">
        <v>1.069</v>
      </c>
      <c r="D657" s="51">
        <v>66.0</v>
      </c>
      <c r="E657" s="52" t="s">
        <v>25</v>
      </c>
      <c r="F657" s="52" t="s">
        <v>26</v>
      </c>
      <c r="G657" s="53"/>
    </row>
    <row r="658">
      <c r="A658" s="49">
        <v>45027.626092129634</v>
      </c>
      <c r="B658" s="50">
        <v>45027.7510625694</v>
      </c>
      <c r="C658" s="51">
        <v>1.069</v>
      </c>
      <c r="D658" s="51">
        <v>66.0</v>
      </c>
      <c r="E658" s="52" t="s">
        <v>25</v>
      </c>
      <c r="F658" s="52" t="s">
        <v>26</v>
      </c>
      <c r="G658" s="53"/>
    </row>
    <row r="659">
      <c r="A659" s="49">
        <v>45027.63652467592</v>
      </c>
      <c r="B659" s="50">
        <v>45027.7614964004</v>
      </c>
      <c r="C659" s="51">
        <v>1.069</v>
      </c>
      <c r="D659" s="51">
        <v>66.0</v>
      </c>
      <c r="E659" s="52" t="s">
        <v>25</v>
      </c>
      <c r="F659" s="52" t="s">
        <v>26</v>
      </c>
      <c r="G659" s="53"/>
    </row>
    <row r="660">
      <c r="A660" s="49">
        <v>45027.646945625005</v>
      </c>
      <c r="B660" s="50">
        <v>45027.7719172222</v>
      </c>
      <c r="C660" s="51">
        <v>1.069</v>
      </c>
      <c r="D660" s="51">
        <v>66.0</v>
      </c>
      <c r="E660" s="52" t="s">
        <v>25</v>
      </c>
      <c r="F660" s="52" t="s">
        <v>26</v>
      </c>
      <c r="G660" s="53"/>
    </row>
    <row r="661">
      <c r="A661" s="49">
        <v>45027.65736577546</v>
      </c>
      <c r="B661" s="50">
        <v>45027.7823394676</v>
      </c>
      <c r="C661" s="51">
        <v>1.069</v>
      </c>
      <c r="D661" s="51">
        <v>66.0</v>
      </c>
      <c r="E661" s="52" t="s">
        <v>25</v>
      </c>
      <c r="F661" s="52" t="s">
        <v>26</v>
      </c>
      <c r="G661" s="53"/>
    </row>
    <row r="662">
      <c r="A662" s="49">
        <v>45027.667789872685</v>
      </c>
      <c r="B662" s="50">
        <v>45027.7927605208</v>
      </c>
      <c r="C662" s="51">
        <v>1.069</v>
      </c>
      <c r="D662" s="51">
        <v>66.0</v>
      </c>
      <c r="E662" s="52" t="s">
        <v>25</v>
      </c>
      <c r="F662" s="52" t="s">
        <v>26</v>
      </c>
      <c r="G662" s="53"/>
    </row>
    <row r="663">
      <c r="A663" s="49">
        <v>45027.67821118055</v>
      </c>
      <c r="B663" s="50">
        <v>45027.8031820717</v>
      </c>
      <c r="C663" s="51">
        <v>1.069</v>
      </c>
      <c r="D663" s="51">
        <v>66.0</v>
      </c>
      <c r="E663" s="52" t="s">
        <v>25</v>
      </c>
      <c r="F663" s="52" t="s">
        <v>26</v>
      </c>
      <c r="G663" s="53"/>
    </row>
    <row r="664">
      <c r="A664" s="49">
        <v>45027.68862306713</v>
      </c>
      <c r="B664" s="50">
        <v>45027.8136032176</v>
      </c>
      <c r="C664" s="51">
        <v>1.069</v>
      </c>
      <c r="D664" s="51">
        <v>66.0</v>
      </c>
      <c r="E664" s="52" t="s">
        <v>25</v>
      </c>
      <c r="F664" s="52" t="s">
        <v>26</v>
      </c>
      <c r="G664" s="53"/>
    </row>
    <row r="665">
      <c r="A665" s="49">
        <v>45027.69905476852</v>
      </c>
      <c r="B665" s="50">
        <v>45027.824023206</v>
      </c>
      <c r="C665" s="51">
        <v>1.069</v>
      </c>
      <c r="D665" s="51">
        <v>66.0</v>
      </c>
      <c r="E665" s="52" t="s">
        <v>25</v>
      </c>
      <c r="F665" s="52" t="s">
        <v>26</v>
      </c>
      <c r="G665" s="53"/>
    </row>
    <row r="666">
      <c r="A666" s="49">
        <v>45027.70946924768</v>
      </c>
      <c r="B666" s="50">
        <v>45027.8344430671</v>
      </c>
      <c r="C666" s="51">
        <v>1.069</v>
      </c>
      <c r="D666" s="51">
        <v>66.0</v>
      </c>
      <c r="E666" s="52" t="s">
        <v>25</v>
      </c>
      <c r="F666" s="52" t="s">
        <v>26</v>
      </c>
      <c r="G666" s="53"/>
    </row>
    <row r="667">
      <c r="A667" s="49">
        <v>45027.71988488426</v>
      </c>
      <c r="B667" s="50">
        <v>45027.8448637384</v>
      </c>
      <c r="C667" s="51">
        <v>1.069</v>
      </c>
      <c r="D667" s="51">
        <v>66.0</v>
      </c>
      <c r="E667" s="52" t="s">
        <v>25</v>
      </c>
      <c r="F667" s="52" t="s">
        <v>26</v>
      </c>
      <c r="G667" s="53"/>
    </row>
    <row r="668">
      <c r="A668" s="49">
        <v>45027.73032675926</v>
      </c>
      <c r="B668" s="50">
        <v>45027.8552957986</v>
      </c>
      <c r="C668" s="51">
        <v>1.069</v>
      </c>
      <c r="D668" s="51">
        <v>66.0</v>
      </c>
      <c r="E668" s="52" t="s">
        <v>25</v>
      </c>
      <c r="F668" s="52" t="s">
        <v>26</v>
      </c>
      <c r="G668" s="53"/>
    </row>
    <row r="669">
      <c r="A669" s="49">
        <v>45027.74075354167</v>
      </c>
      <c r="B669" s="50">
        <v>45027.8657271064</v>
      </c>
      <c r="C669" s="51">
        <v>1.069</v>
      </c>
      <c r="D669" s="51">
        <v>66.0</v>
      </c>
      <c r="E669" s="52" t="s">
        <v>25</v>
      </c>
      <c r="F669" s="52" t="s">
        <v>26</v>
      </c>
      <c r="G669" s="53"/>
    </row>
    <row r="670">
      <c r="A670" s="49">
        <v>45027.75118348379</v>
      </c>
      <c r="B670" s="50">
        <v>45027.8761485301</v>
      </c>
      <c r="C670" s="51">
        <v>1.069</v>
      </c>
      <c r="D670" s="51">
        <v>66.0</v>
      </c>
      <c r="E670" s="52" t="s">
        <v>25</v>
      </c>
      <c r="F670" s="52" t="s">
        <v>26</v>
      </c>
      <c r="G670" s="53"/>
    </row>
    <row r="671">
      <c r="A671" s="49">
        <v>45027.7616169213</v>
      </c>
      <c r="B671" s="50">
        <v>45027.8865922685</v>
      </c>
      <c r="C671" s="51">
        <v>1.069</v>
      </c>
      <c r="D671" s="51">
        <v>66.0</v>
      </c>
      <c r="E671" s="52" t="s">
        <v>25</v>
      </c>
      <c r="F671" s="52" t="s">
        <v>26</v>
      </c>
      <c r="G671" s="53"/>
    </row>
    <row r="672">
      <c r="A672" s="49">
        <v>45027.772036574075</v>
      </c>
      <c r="B672" s="50">
        <v>45027.8970138657</v>
      </c>
      <c r="C672" s="51">
        <v>1.068</v>
      </c>
      <c r="D672" s="51">
        <v>66.0</v>
      </c>
      <c r="E672" s="52" t="s">
        <v>25</v>
      </c>
      <c r="F672" s="52" t="s">
        <v>26</v>
      </c>
      <c r="G672" s="53"/>
    </row>
    <row r="673">
      <c r="A673" s="49">
        <v>45027.782455023145</v>
      </c>
      <c r="B673" s="50">
        <v>45027.9074337731</v>
      </c>
      <c r="C673" s="51">
        <v>1.068</v>
      </c>
      <c r="D673" s="51">
        <v>66.0</v>
      </c>
      <c r="E673" s="52" t="s">
        <v>25</v>
      </c>
      <c r="F673" s="52" t="s">
        <v>26</v>
      </c>
      <c r="G673" s="53"/>
    </row>
    <row r="674">
      <c r="A674" s="49">
        <v>45027.7928953125</v>
      </c>
      <c r="B674" s="50">
        <v>45027.9178671875</v>
      </c>
      <c r="C674" s="51">
        <v>1.068</v>
      </c>
      <c r="D674" s="51">
        <v>66.0</v>
      </c>
      <c r="E674" s="52" t="s">
        <v>25</v>
      </c>
      <c r="F674" s="52" t="s">
        <v>26</v>
      </c>
      <c r="G674" s="53"/>
    </row>
    <row r="675">
      <c r="A675" s="49">
        <v>45027.80331157407</v>
      </c>
      <c r="B675" s="50">
        <v>45027.9282869907</v>
      </c>
      <c r="C675" s="51">
        <v>1.068</v>
      </c>
      <c r="D675" s="51">
        <v>66.0</v>
      </c>
      <c r="E675" s="52" t="s">
        <v>25</v>
      </c>
      <c r="F675" s="52" t="s">
        <v>26</v>
      </c>
      <c r="G675" s="53"/>
    </row>
    <row r="676">
      <c r="A676" s="49">
        <v>45027.81374837963</v>
      </c>
      <c r="B676" s="50">
        <v>45027.9387219213</v>
      </c>
      <c r="C676" s="51">
        <v>1.069</v>
      </c>
      <c r="D676" s="51">
        <v>66.0</v>
      </c>
      <c r="E676" s="52" t="s">
        <v>25</v>
      </c>
      <c r="F676" s="52" t="s">
        <v>26</v>
      </c>
      <c r="G676" s="53"/>
    </row>
    <row r="677">
      <c r="A677" s="49">
        <v>45027.82416870371</v>
      </c>
      <c r="B677" s="50">
        <v>45027.9491433449</v>
      </c>
      <c r="C677" s="51">
        <v>1.068</v>
      </c>
      <c r="D677" s="51">
        <v>66.0</v>
      </c>
      <c r="E677" s="52" t="s">
        <v>25</v>
      </c>
      <c r="F677" s="52" t="s">
        <v>26</v>
      </c>
      <c r="G677" s="53"/>
    </row>
    <row r="678">
      <c r="A678" s="49">
        <v>45027.83458826389</v>
      </c>
      <c r="B678" s="50">
        <v>45027.9595639699</v>
      </c>
      <c r="C678" s="51">
        <v>1.068</v>
      </c>
      <c r="D678" s="51">
        <v>66.0</v>
      </c>
      <c r="E678" s="52" t="s">
        <v>25</v>
      </c>
      <c r="F678" s="52" t="s">
        <v>26</v>
      </c>
      <c r="G678" s="53"/>
    </row>
    <row r="679">
      <c r="A679" s="49">
        <v>45027.8450302662</v>
      </c>
      <c r="B679" s="50">
        <v>45027.9699969444</v>
      </c>
      <c r="C679" s="51">
        <v>1.068</v>
      </c>
      <c r="D679" s="51">
        <v>66.0</v>
      </c>
      <c r="E679" s="52" t="s">
        <v>25</v>
      </c>
      <c r="F679" s="52" t="s">
        <v>26</v>
      </c>
      <c r="G679" s="53"/>
    </row>
    <row r="680">
      <c r="A680" s="49">
        <v>45027.85544811343</v>
      </c>
      <c r="B680" s="50">
        <v>45027.9804170254</v>
      </c>
      <c r="C680" s="51">
        <v>1.068</v>
      </c>
      <c r="D680" s="51">
        <v>66.0</v>
      </c>
      <c r="E680" s="52" t="s">
        <v>25</v>
      </c>
      <c r="F680" s="52" t="s">
        <v>26</v>
      </c>
      <c r="G680" s="53"/>
    </row>
    <row r="681">
      <c r="A681" s="49">
        <v>45027.865863391205</v>
      </c>
      <c r="B681" s="50">
        <v>45027.990835787</v>
      </c>
      <c r="C681" s="51">
        <v>1.068</v>
      </c>
      <c r="D681" s="51">
        <v>66.0</v>
      </c>
      <c r="E681" s="52" t="s">
        <v>25</v>
      </c>
      <c r="F681" s="52" t="s">
        <v>26</v>
      </c>
      <c r="G681" s="53"/>
    </row>
    <row r="682">
      <c r="A682" s="49">
        <v>45027.8762885301</v>
      </c>
      <c r="B682" s="50">
        <v>45028.0012571412</v>
      </c>
      <c r="C682" s="51">
        <v>1.068</v>
      </c>
      <c r="D682" s="51">
        <v>66.0</v>
      </c>
      <c r="E682" s="52" t="s">
        <v>25</v>
      </c>
      <c r="F682" s="52" t="s">
        <v>26</v>
      </c>
      <c r="G682" s="53"/>
    </row>
    <row r="683">
      <c r="A683" s="49">
        <v>45027.88675159722</v>
      </c>
      <c r="B683" s="50">
        <v>45028.0117253356</v>
      </c>
      <c r="C683" s="51">
        <v>1.068</v>
      </c>
      <c r="D683" s="51">
        <v>66.0</v>
      </c>
      <c r="E683" s="52" t="s">
        <v>25</v>
      </c>
      <c r="F683" s="52" t="s">
        <v>26</v>
      </c>
      <c r="G683" s="53"/>
    </row>
    <row r="684">
      <c r="A684" s="49">
        <v>45027.89718530093</v>
      </c>
      <c r="B684" s="50">
        <v>45028.0221588657</v>
      </c>
      <c r="C684" s="51">
        <v>1.068</v>
      </c>
      <c r="D684" s="51">
        <v>66.0</v>
      </c>
      <c r="E684" s="52" t="s">
        <v>25</v>
      </c>
      <c r="F684" s="52" t="s">
        <v>26</v>
      </c>
      <c r="G684" s="53"/>
    </row>
    <row r="685">
      <c r="A685" s="49">
        <v>45027.90760546296</v>
      </c>
      <c r="B685" s="50">
        <v>45028.0325809143</v>
      </c>
      <c r="C685" s="51">
        <v>1.068</v>
      </c>
      <c r="D685" s="51">
        <v>66.0</v>
      </c>
      <c r="E685" s="52" t="s">
        <v>25</v>
      </c>
      <c r="F685" s="52" t="s">
        <v>26</v>
      </c>
      <c r="G685" s="53"/>
    </row>
    <row r="686">
      <c r="A686" s="49">
        <v>45027.918053877314</v>
      </c>
      <c r="B686" s="50">
        <v>45028.043025243</v>
      </c>
      <c r="C686" s="51">
        <v>1.068</v>
      </c>
      <c r="D686" s="51">
        <v>66.0</v>
      </c>
      <c r="E686" s="52" t="s">
        <v>25</v>
      </c>
      <c r="F686" s="52" t="s">
        <v>26</v>
      </c>
      <c r="G686" s="53"/>
    </row>
    <row r="687">
      <c r="A687" s="49">
        <v>45027.92848121528</v>
      </c>
      <c r="B687" s="50">
        <v>45028.0534587615</v>
      </c>
      <c r="C687" s="51">
        <v>1.068</v>
      </c>
      <c r="D687" s="51">
        <v>66.0</v>
      </c>
      <c r="E687" s="52" t="s">
        <v>25</v>
      </c>
      <c r="F687" s="52" t="s">
        <v>26</v>
      </c>
      <c r="G687" s="53"/>
    </row>
    <row r="688">
      <c r="A688" s="49">
        <v>45027.938905243056</v>
      </c>
      <c r="B688" s="50">
        <v>45028.0638805208</v>
      </c>
      <c r="C688" s="51">
        <v>1.068</v>
      </c>
      <c r="D688" s="51">
        <v>66.0</v>
      </c>
      <c r="E688" s="52" t="s">
        <v>25</v>
      </c>
      <c r="F688" s="52" t="s">
        <v>26</v>
      </c>
      <c r="G688" s="53"/>
    </row>
    <row r="689">
      <c r="A689" s="49">
        <v>45027.94933173611</v>
      </c>
      <c r="B689" s="50">
        <v>45028.0743010879</v>
      </c>
      <c r="C689" s="51">
        <v>1.067</v>
      </c>
      <c r="D689" s="51">
        <v>66.0</v>
      </c>
      <c r="E689" s="52" t="s">
        <v>25</v>
      </c>
      <c r="F689" s="52" t="s">
        <v>26</v>
      </c>
      <c r="G689" s="53"/>
    </row>
    <row r="690">
      <c r="A690" s="49">
        <v>45027.95974318287</v>
      </c>
      <c r="B690" s="50">
        <v>45028.0847233796</v>
      </c>
      <c r="C690" s="51">
        <v>1.067</v>
      </c>
      <c r="D690" s="51">
        <v>66.0</v>
      </c>
      <c r="E690" s="52" t="s">
        <v>25</v>
      </c>
      <c r="F690" s="52" t="s">
        <v>26</v>
      </c>
      <c r="G690" s="53"/>
    </row>
    <row r="691">
      <c r="A691" s="49">
        <v>45027.97017383102</v>
      </c>
      <c r="B691" s="50">
        <v>45028.0951453472</v>
      </c>
      <c r="C691" s="51">
        <v>1.067</v>
      </c>
      <c r="D691" s="51">
        <v>66.0</v>
      </c>
      <c r="E691" s="52" t="s">
        <v>25</v>
      </c>
      <c r="F691" s="52" t="s">
        <v>26</v>
      </c>
      <c r="G691" s="53"/>
    </row>
    <row r="692">
      <c r="A692" s="49">
        <v>45027.98060196759</v>
      </c>
      <c r="B692" s="50">
        <v>45028.1055783449</v>
      </c>
      <c r="C692" s="51">
        <v>1.067</v>
      </c>
      <c r="D692" s="51">
        <v>66.0</v>
      </c>
      <c r="E692" s="52" t="s">
        <v>25</v>
      </c>
      <c r="F692" s="52" t="s">
        <v>26</v>
      </c>
      <c r="G692" s="53"/>
    </row>
    <row r="693">
      <c r="A693" s="49">
        <v>45027.991030439814</v>
      </c>
      <c r="B693" s="50">
        <v>45028.1159994213</v>
      </c>
      <c r="C693" s="51">
        <v>1.067</v>
      </c>
      <c r="D693" s="51">
        <v>66.0</v>
      </c>
      <c r="E693" s="52" t="s">
        <v>25</v>
      </c>
      <c r="F693" s="52" t="s">
        <v>26</v>
      </c>
      <c r="G693" s="53"/>
    </row>
    <row r="694">
      <c r="A694" s="49">
        <v>45028.00145186343</v>
      </c>
      <c r="B694" s="50">
        <v>45028.1264205092</v>
      </c>
      <c r="C694" s="51">
        <v>1.067</v>
      </c>
      <c r="D694" s="51">
        <v>66.0</v>
      </c>
      <c r="E694" s="52" t="s">
        <v>25</v>
      </c>
      <c r="F694" s="52" t="s">
        <v>26</v>
      </c>
      <c r="G694" s="53"/>
    </row>
    <row r="695">
      <c r="A695" s="49">
        <v>45028.011868738424</v>
      </c>
      <c r="B695" s="50">
        <v>45028.1368407176</v>
      </c>
      <c r="C695" s="51">
        <v>1.067</v>
      </c>
      <c r="D695" s="51">
        <v>66.0</v>
      </c>
      <c r="E695" s="52" t="s">
        <v>25</v>
      </c>
      <c r="F695" s="52" t="s">
        <v>26</v>
      </c>
      <c r="G695" s="53"/>
    </row>
    <row r="696">
      <c r="A696" s="49">
        <v>45028.02229814815</v>
      </c>
      <c r="B696" s="50">
        <v>45028.1472746412</v>
      </c>
      <c r="C696" s="51">
        <v>1.067</v>
      </c>
      <c r="D696" s="51">
        <v>66.0</v>
      </c>
      <c r="E696" s="52" t="s">
        <v>25</v>
      </c>
      <c r="F696" s="52" t="s">
        <v>26</v>
      </c>
      <c r="G696" s="53"/>
    </row>
    <row r="697">
      <c r="A697" s="49">
        <v>45028.0327400463</v>
      </c>
      <c r="B697" s="50">
        <v>45028.1577082407</v>
      </c>
      <c r="C697" s="51">
        <v>1.067</v>
      </c>
      <c r="D697" s="51">
        <v>66.0</v>
      </c>
      <c r="E697" s="52" t="s">
        <v>25</v>
      </c>
      <c r="F697" s="52" t="s">
        <v>26</v>
      </c>
      <c r="G697" s="53"/>
    </row>
    <row r="698">
      <c r="A698" s="49">
        <v>45028.04315611111</v>
      </c>
      <c r="B698" s="50">
        <v>45028.1681292129</v>
      </c>
      <c r="C698" s="51">
        <v>1.067</v>
      </c>
      <c r="D698" s="51">
        <v>66.0</v>
      </c>
      <c r="E698" s="52" t="s">
        <v>25</v>
      </c>
      <c r="F698" s="52" t="s">
        <v>26</v>
      </c>
      <c r="G698" s="53"/>
    </row>
    <row r="699">
      <c r="A699" s="49">
        <v>45028.05359269676</v>
      </c>
      <c r="B699" s="50">
        <v>45028.1785629398</v>
      </c>
      <c r="C699" s="51">
        <v>1.067</v>
      </c>
      <c r="D699" s="51">
        <v>66.0</v>
      </c>
      <c r="E699" s="52" t="s">
        <v>25</v>
      </c>
      <c r="F699" s="52" t="s">
        <v>26</v>
      </c>
      <c r="G699" s="53"/>
    </row>
    <row r="700">
      <c r="A700" s="49">
        <v>45028.06402175926</v>
      </c>
      <c r="B700" s="50">
        <v>45028.1889836226</v>
      </c>
      <c r="C700" s="51">
        <v>1.067</v>
      </c>
      <c r="D700" s="51">
        <v>66.0</v>
      </c>
      <c r="E700" s="52" t="s">
        <v>25</v>
      </c>
      <c r="F700" s="52" t="s">
        <v>26</v>
      </c>
      <c r="G700" s="53"/>
    </row>
    <row r="701">
      <c r="A701" s="49">
        <v>45028.074432974536</v>
      </c>
      <c r="B701" s="50">
        <v>45028.1994038657</v>
      </c>
      <c r="C701" s="51">
        <v>1.067</v>
      </c>
      <c r="D701" s="51">
        <v>66.0</v>
      </c>
      <c r="E701" s="52" t="s">
        <v>25</v>
      </c>
      <c r="F701" s="52" t="s">
        <v>26</v>
      </c>
      <c r="G701" s="53"/>
    </row>
    <row r="702">
      <c r="A702" s="49">
        <v>45028.08484928241</v>
      </c>
      <c r="B702" s="50">
        <v>45028.2098266435</v>
      </c>
      <c r="C702" s="51">
        <v>1.067</v>
      </c>
      <c r="D702" s="51">
        <v>66.0</v>
      </c>
      <c r="E702" s="52" t="s">
        <v>25</v>
      </c>
      <c r="F702" s="52" t="s">
        <v>26</v>
      </c>
      <c r="G702" s="53"/>
    </row>
    <row r="703">
      <c r="A703" s="49">
        <v>45028.09527950232</v>
      </c>
      <c r="B703" s="50">
        <v>45028.220249375</v>
      </c>
      <c r="C703" s="51">
        <v>1.067</v>
      </c>
      <c r="D703" s="51">
        <v>66.0</v>
      </c>
      <c r="E703" s="52" t="s">
        <v>25</v>
      </c>
      <c r="F703" s="52" t="s">
        <v>26</v>
      </c>
      <c r="G703" s="53"/>
    </row>
    <row r="704">
      <c r="A704" s="49">
        <v>45028.105699907406</v>
      </c>
      <c r="B704" s="50">
        <v>45028.2306696412</v>
      </c>
      <c r="C704" s="51">
        <v>1.067</v>
      </c>
      <c r="D704" s="51">
        <v>66.0</v>
      </c>
      <c r="E704" s="52" t="s">
        <v>25</v>
      </c>
      <c r="F704" s="52" t="s">
        <v>26</v>
      </c>
      <c r="G704" s="53"/>
    </row>
    <row r="705">
      <c r="A705" s="49">
        <v>45028.11611768519</v>
      </c>
      <c r="B705" s="50">
        <v>45028.2410899537</v>
      </c>
      <c r="C705" s="51">
        <v>1.067</v>
      </c>
      <c r="D705" s="51">
        <v>66.0</v>
      </c>
      <c r="E705" s="52" t="s">
        <v>25</v>
      </c>
      <c r="F705" s="52" t="s">
        <v>26</v>
      </c>
      <c r="G705" s="53"/>
    </row>
    <row r="706">
      <c r="A706" s="49">
        <v>45028.126546377316</v>
      </c>
      <c r="B706" s="50">
        <v>45028.2515212847</v>
      </c>
      <c r="C706" s="51">
        <v>1.067</v>
      </c>
      <c r="D706" s="51">
        <v>66.0</v>
      </c>
      <c r="E706" s="52" t="s">
        <v>25</v>
      </c>
      <c r="F706" s="52" t="s">
        <v>26</v>
      </c>
      <c r="G706" s="53"/>
    </row>
    <row r="707">
      <c r="A707" s="49">
        <v>45028.13697342592</v>
      </c>
      <c r="B707" s="50">
        <v>45028.2619435185</v>
      </c>
      <c r="C707" s="51">
        <v>1.067</v>
      </c>
      <c r="D707" s="51">
        <v>66.0</v>
      </c>
      <c r="E707" s="52" t="s">
        <v>25</v>
      </c>
      <c r="F707" s="52" t="s">
        <v>26</v>
      </c>
      <c r="G707" s="53"/>
    </row>
    <row r="708">
      <c r="A708" s="49">
        <v>45028.14740244213</v>
      </c>
      <c r="B708" s="50">
        <v>45028.2723757291</v>
      </c>
      <c r="C708" s="51">
        <v>1.066</v>
      </c>
      <c r="D708" s="51">
        <v>66.0</v>
      </c>
      <c r="E708" s="52" t="s">
        <v>25</v>
      </c>
      <c r="F708" s="52" t="s">
        <v>26</v>
      </c>
      <c r="G708" s="53"/>
    </row>
    <row r="709">
      <c r="A709" s="49">
        <v>45028.15781710648</v>
      </c>
      <c r="B709" s="50">
        <v>45028.2827963194</v>
      </c>
      <c r="C709" s="51">
        <v>1.067</v>
      </c>
      <c r="D709" s="51">
        <v>66.0</v>
      </c>
      <c r="E709" s="52" t="s">
        <v>25</v>
      </c>
      <c r="F709" s="52" t="s">
        <v>26</v>
      </c>
      <c r="G709" s="53"/>
    </row>
    <row r="710">
      <c r="A710" s="49">
        <v>45028.168257083336</v>
      </c>
      <c r="B710" s="50">
        <v>45028.2932301273</v>
      </c>
      <c r="C710" s="51">
        <v>1.066</v>
      </c>
      <c r="D710" s="51">
        <v>66.0</v>
      </c>
      <c r="E710" s="52" t="s">
        <v>25</v>
      </c>
      <c r="F710" s="52" t="s">
        <v>26</v>
      </c>
      <c r="G710" s="53"/>
    </row>
    <row r="711">
      <c r="A711" s="49">
        <v>45028.17867576389</v>
      </c>
      <c r="B711" s="50">
        <v>45028.3036498379</v>
      </c>
      <c r="C711" s="51">
        <v>1.067</v>
      </c>
      <c r="D711" s="51">
        <v>66.0</v>
      </c>
      <c r="E711" s="52" t="s">
        <v>25</v>
      </c>
      <c r="F711" s="52" t="s">
        <v>26</v>
      </c>
      <c r="G711" s="53"/>
    </row>
    <row r="712">
      <c r="A712" s="49">
        <v>45028.1891152662</v>
      </c>
      <c r="B712" s="50">
        <v>45028.3140835069</v>
      </c>
      <c r="C712" s="51">
        <v>1.066</v>
      </c>
      <c r="D712" s="51">
        <v>66.0</v>
      </c>
      <c r="E712" s="52" t="s">
        <v>25</v>
      </c>
      <c r="F712" s="52" t="s">
        <v>26</v>
      </c>
      <c r="G712" s="53"/>
    </row>
    <row r="713">
      <c r="A713" s="49">
        <v>45028.199534444444</v>
      </c>
      <c r="B713" s="50">
        <v>45028.32450478</v>
      </c>
      <c r="C713" s="51">
        <v>1.066</v>
      </c>
      <c r="D713" s="51">
        <v>66.0</v>
      </c>
      <c r="E713" s="52" t="s">
        <v>25</v>
      </c>
      <c r="F713" s="52" t="s">
        <v>26</v>
      </c>
      <c r="G713" s="53"/>
    </row>
    <row r="714">
      <c r="A714" s="49">
        <v>45028.20996673611</v>
      </c>
      <c r="B714" s="50">
        <v>45028.3349373263</v>
      </c>
      <c r="C714" s="51">
        <v>1.066</v>
      </c>
      <c r="D714" s="51">
        <v>66.0</v>
      </c>
      <c r="E714" s="52" t="s">
        <v>25</v>
      </c>
      <c r="F714" s="52" t="s">
        <v>26</v>
      </c>
      <c r="G714" s="53"/>
    </row>
    <row r="715">
      <c r="A715" s="49">
        <v>45028.220414826385</v>
      </c>
      <c r="B715" s="50">
        <v>45028.3453822916</v>
      </c>
      <c r="C715" s="51">
        <v>1.066</v>
      </c>
      <c r="D715" s="51">
        <v>66.0</v>
      </c>
      <c r="E715" s="52" t="s">
        <v>25</v>
      </c>
      <c r="F715" s="52" t="s">
        <v>26</v>
      </c>
      <c r="G715" s="53"/>
    </row>
    <row r="716">
      <c r="A716" s="49">
        <v>45028.2308415625</v>
      </c>
      <c r="B716" s="50">
        <v>45028.3558163541</v>
      </c>
      <c r="C716" s="51">
        <v>1.066</v>
      </c>
      <c r="D716" s="51">
        <v>66.0</v>
      </c>
      <c r="E716" s="52" t="s">
        <v>25</v>
      </c>
      <c r="F716" s="52" t="s">
        <v>26</v>
      </c>
      <c r="G716" s="53"/>
    </row>
    <row r="717">
      <c r="A717" s="49">
        <v>45028.24127633101</v>
      </c>
      <c r="B717" s="50">
        <v>45028.3662476157</v>
      </c>
      <c r="C717" s="51">
        <v>1.066</v>
      </c>
      <c r="D717" s="51">
        <v>66.0</v>
      </c>
      <c r="E717" s="52" t="s">
        <v>25</v>
      </c>
      <c r="F717" s="52" t="s">
        <v>26</v>
      </c>
      <c r="G717" s="53"/>
    </row>
    <row r="718">
      <c r="A718" s="49">
        <v>45028.25170150463</v>
      </c>
      <c r="B718" s="50">
        <v>45028.3766703819</v>
      </c>
      <c r="C718" s="51">
        <v>1.066</v>
      </c>
      <c r="D718" s="51">
        <v>66.0</v>
      </c>
      <c r="E718" s="52" t="s">
        <v>25</v>
      </c>
      <c r="F718" s="52" t="s">
        <v>26</v>
      </c>
      <c r="G718" s="53"/>
    </row>
    <row r="719">
      <c r="A719" s="49">
        <v>45028.26212355324</v>
      </c>
      <c r="B719" s="50">
        <v>45028.3870897338</v>
      </c>
      <c r="C719" s="51">
        <v>1.066</v>
      </c>
      <c r="D719" s="51">
        <v>66.0</v>
      </c>
      <c r="E719" s="52" t="s">
        <v>25</v>
      </c>
      <c r="F719" s="52" t="s">
        <v>26</v>
      </c>
      <c r="G719" s="53"/>
    </row>
    <row r="720">
      <c r="A720" s="49">
        <v>45028.27253928241</v>
      </c>
      <c r="B720" s="50">
        <v>45028.3975104629</v>
      </c>
      <c r="C720" s="51">
        <v>1.066</v>
      </c>
      <c r="D720" s="51">
        <v>66.0</v>
      </c>
      <c r="E720" s="52" t="s">
        <v>25</v>
      </c>
      <c r="F720" s="52" t="s">
        <v>26</v>
      </c>
      <c r="G720" s="53"/>
    </row>
    <row r="721">
      <c r="A721" s="49">
        <v>45028.2829694213</v>
      </c>
      <c r="B721" s="50">
        <v>45028.4079429051</v>
      </c>
      <c r="C721" s="51">
        <v>1.066</v>
      </c>
      <c r="D721" s="51">
        <v>66.0</v>
      </c>
      <c r="E721" s="52" t="s">
        <v>25</v>
      </c>
      <c r="F721" s="52" t="s">
        <v>26</v>
      </c>
      <c r="G721" s="53"/>
    </row>
    <row r="722">
      <c r="A722" s="49">
        <v>45028.293402870375</v>
      </c>
      <c r="B722" s="50">
        <v>45028.4183645601</v>
      </c>
      <c r="C722" s="51">
        <v>1.066</v>
      </c>
      <c r="D722" s="51">
        <v>66.0</v>
      </c>
      <c r="E722" s="52" t="s">
        <v>25</v>
      </c>
      <c r="F722" s="52" t="s">
        <v>26</v>
      </c>
      <c r="G722" s="53"/>
    </row>
    <row r="723">
      <c r="A723" s="49">
        <v>45028.30381215278</v>
      </c>
      <c r="B723" s="50">
        <v>45028.4287845949</v>
      </c>
      <c r="C723" s="51">
        <v>1.066</v>
      </c>
      <c r="D723" s="51">
        <v>66.0</v>
      </c>
      <c r="E723" s="52" t="s">
        <v>25</v>
      </c>
      <c r="F723" s="52" t="s">
        <v>26</v>
      </c>
      <c r="G723" s="53"/>
    </row>
    <row r="724">
      <c r="A724" s="49">
        <v>45028.31423859954</v>
      </c>
      <c r="B724" s="50">
        <v>45028.4392069444</v>
      </c>
      <c r="C724" s="51">
        <v>1.066</v>
      </c>
      <c r="D724" s="51">
        <v>66.0</v>
      </c>
      <c r="E724" s="52" t="s">
        <v>25</v>
      </c>
      <c r="F724" s="52" t="s">
        <v>26</v>
      </c>
      <c r="G724" s="53"/>
    </row>
    <row r="725">
      <c r="A725" s="49">
        <v>45028.32467327546</v>
      </c>
      <c r="B725" s="50">
        <v>45028.4496416319</v>
      </c>
      <c r="C725" s="51">
        <v>1.066</v>
      </c>
      <c r="D725" s="51">
        <v>66.0</v>
      </c>
      <c r="E725" s="52" t="s">
        <v>25</v>
      </c>
      <c r="F725" s="52" t="s">
        <v>26</v>
      </c>
      <c r="G725" s="53"/>
    </row>
    <row r="726">
      <c r="A726" s="49">
        <v>45028.33509627315</v>
      </c>
      <c r="B726" s="50">
        <v>45028.4600611689</v>
      </c>
      <c r="C726" s="51">
        <v>1.066</v>
      </c>
      <c r="D726" s="51">
        <v>66.0</v>
      </c>
      <c r="E726" s="52" t="s">
        <v>25</v>
      </c>
      <c r="F726" s="52" t="s">
        <v>26</v>
      </c>
      <c r="G726" s="53"/>
    </row>
    <row r="727">
      <c r="A727" s="49">
        <v>45028.34551297454</v>
      </c>
      <c r="B727" s="50">
        <v>45028.4704829976</v>
      </c>
      <c r="C727" s="51">
        <v>1.066</v>
      </c>
      <c r="D727" s="51">
        <v>66.0</v>
      </c>
      <c r="E727" s="52" t="s">
        <v>25</v>
      </c>
      <c r="F727" s="52" t="s">
        <v>26</v>
      </c>
      <c r="G727" s="53"/>
    </row>
    <row r="728">
      <c r="A728" s="49">
        <v>45028.35593450231</v>
      </c>
      <c r="B728" s="50">
        <v>45028.4809045601</v>
      </c>
      <c r="C728" s="51">
        <v>1.066</v>
      </c>
      <c r="D728" s="51">
        <v>66.0</v>
      </c>
      <c r="E728" s="52" t="s">
        <v>25</v>
      </c>
      <c r="F728" s="52" t="s">
        <v>26</v>
      </c>
      <c r="G728" s="53"/>
    </row>
    <row r="729">
      <c r="A729" s="49">
        <v>45028.36635806713</v>
      </c>
      <c r="B729" s="50">
        <v>45028.4913370601</v>
      </c>
      <c r="C729" s="51">
        <v>1.066</v>
      </c>
      <c r="D729" s="51">
        <v>66.0</v>
      </c>
      <c r="E729" s="52" t="s">
        <v>25</v>
      </c>
      <c r="F729" s="52" t="s">
        <v>26</v>
      </c>
      <c r="G729" s="53"/>
    </row>
    <row r="730">
      <c r="A730" s="49">
        <v>45028.3768109838</v>
      </c>
      <c r="B730" s="50">
        <v>45028.5017793171</v>
      </c>
      <c r="C730" s="51">
        <v>1.066</v>
      </c>
      <c r="D730" s="51">
        <v>66.0</v>
      </c>
      <c r="E730" s="52" t="s">
        <v>25</v>
      </c>
      <c r="F730" s="52" t="s">
        <v>26</v>
      </c>
      <c r="G730" s="53"/>
    </row>
    <row r="731">
      <c r="A731" s="49">
        <v>45028.38723168982</v>
      </c>
      <c r="B731" s="50">
        <v>45028.5121983101</v>
      </c>
      <c r="C731" s="51">
        <v>1.066</v>
      </c>
      <c r="D731" s="51">
        <v>66.0</v>
      </c>
      <c r="E731" s="52" t="s">
        <v>25</v>
      </c>
      <c r="F731" s="52" t="s">
        <v>26</v>
      </c>
      <c r="G731" s="53"/>
    </row>
    <row r="732">
      <c r="A732" s="49">
        <v>45028.39766228009</v>
      </c>
      <c r="B732" s="50">
        <v>45028.522631412</v>
      </c>
      <c r="C732" s="51">
        <v>1.066</v>
      </c>
      <c r="D732" s="51">
        <v>66.0</v>
      </c>
      <c r="E732" s="52" t="s">
        <v>25</v>
      </c>
      <c r="F732" s="52" t="s">
        <v>26</v>
      </c>
      <c r="G732" s="53"/>
    </row>
    <row r="733">
      <c r="A733" s="49">
        <v>45028.40808152778</v>
      </c>
      <c r="B733" s="50">
        <v>45028.5330558101</v>
      </c>
      <c r="C733" s="51">
        <v>1.065</v>
      </c>
      <c r="D733" s="51">
        <v>66.0</v>
      </c>
      <c r="E733" s="52" t="s">
        <v>25</v>
      </c>
      <c r="F733" s="52" t="s">
        <v>26</v>
      </c>
      <c r="G733" s="53"/>
    </row>
    <row r="734">
      <c r="A734" s="49">
        <v>45028.41852232639</v>
      </c>
      <c r="B734" s="50">
        <v>45028.5434877199</v>
      </c>
      <c r="C734" s="51">
        <v>1.066</v>
      </c>
      <c r="D734" s="51">
        <v>66.0</v>
      </c>
      <c r="E734" s="52" t="s">
        <v>25</v>
      </c>
      <c r="F734" s="52" t="s">
        <v>26</v>
      </c>
      <c r="G734" s="53"/>
    </row>
    <row r="735">
      <c r="A735" s="49">
        <v>45028.428972905094</v>
      </c>
      <c r="B735" s="50">
        <v>45028.5539426157</v>
      </c>
      <c r="C735" s="51">
        <v>1.066</v>
      </c>
      <c r="D735" s="51">
        <v>66.0</v>
      </c>
      <c r="E735" s="52" t="s">
        <v>25</v>
      </c>
      <c r="F735" s="52" t="s">
        <v>26</v>
      </c>
      <c r="G735" s="53"/>
    </row>
    <row r="736">
      <c r="A736" s="49">
        <v>45028.439400347226</v>
      </c>
      <c r="B736" s="50">
        <v>45028.5643634027</v>
      </c>
      <c r="C736" s="51">
        <v>1.065</v>
      </c>
      <c r="D736" s="51">
        <v>66.0</v>
      </c>
      <c r="E736" s="52" t="s">
        <v>25</v>
      </c>
      <c r="F736" s="52" t="s">
        <v>26</v>
      </c>
      <c r="G736" s="53"/>
    </row>
    <row r="737">
      <c r="A737" s="49">
        <v>45028.44981950232</v>
      </c>
      <c r="B737" s="50">
        <v>45028.5747836226</v>
      </c>
      <c r="C737" s="51">
        <v>1.065</v>
      </c>
      <c r="D737" s="51">
        <v>66.0</v>
      </c>
      <c r="E737" s="52" t="s">
        <v>25</v>
      </c>
      <c r="F737" s="52" t="s">
        <v>26</v>
      </c>
      <c r="G737" s="53"/>
    </row>
    <row r="738">
      <c r="A738" s="49">
        <v>45028.46024537037</v>
      </c>
      <c r="B738" s="50">
        <v>45028.5852158912</v>
      </c>
      <c r="C738" s="51">
        <v>1.065</v>
      </c>
      <c r="D738" s="51">
        <v>66.0</v>
      </c>
      <c r="E738" s="52" t="s">
        <v>25</v>
      </c>
      <c r="F738" s="52" t="s">
        <v>26</v>
      </c>
      <c r="G738" s="53"/>
    </row>
    <row r="739">
      <c r="A739" s="49">
        <v>45028.47066106481</v>
      </c>
      <c r="B739" s="50">
        <v>45028.595636956</v>
      </c>
      <c r="C739" s="51">
        <v>1.065</v>
      </c>
      <c r="D739" s="51">
        <v>66.0</v>
      </c>
      <c r="E739" s="52" t="s">
        <v>25</v>
      </c>
      <c r="F739" s="52" t="s">
        <v>26</v>
      </c>
      <c r="G739" s="53"/>
    </row>
    <row r="740">
      <c r="A740" s="49">
        <v>45028.48109120371</v>
      </c>
      <c r="B740" s="50">
        <v>45028.6060596412</v>
      </c>
      <c r="C740" s="51">
        <v>1.065</v>
      </c>
      <c r="D740" s="51">
        <v>66.0</v>
      </c>
      <c r="E740" s="52" t="s">
        <v>25</v>
      </c>
      <c r="F740" s="52" t="s">
        <v>26</v>
      </c>
      <c r="G740" s="53"/>
    </row>
    <row r="741">
      <c r="A741" s="49">
        <v>45028.4915197338</v>
      </c>
      <c r="B741" s="50">
        <v>45028.6164903472</v>
      </c>
      <c r="C741" s="51">
        <v>1.065</v>
      </c>
      <c r="D741" s="51">
        <v>66.0</v>
      </c>
      <c r="E741" s="52" t="s">
        <v>25</v>
      </c>
      <c r="F741" s="52" t="s">
        <v>26</v>
      </c>
      <c r="G741" s="53"/>
    </row>
    <row r="742">
      <c r="A742" s="49">
        <v>45028.50194105324</v>
      </c>
      <c r="B742" s="50">
        <v>45028.6269116898</v>
      </c>
      <c r="C742" s="51">
        <v>1.065</v>
      </c>
      <c r="D742" s="51">
        <v>66.0</v>
      </c>
      <c r="E742" s="52" t="s">
        <v>25</v>
      </c>
      <c r="F742" s="52" t="s">
        <v>26</v>
      </c>
      <c r="G742" s="53"/>
    </row>
    <row r="743">
      <c r="A743" s="49">
        <v>45028.51235805555</v>
      </c>
      <c r="B743" s="50">
        <v>45028.6373325694</v>
      </c>
      <c r="C743" s="51">
        <v>1.065</v>
      </c>
      <c r="D743" s="51">
        <v>66.0</v>
      </c>
      <c r="E743" s="52" t="s">
        <v>25</v>
      </c>
      <c r="F743" s="52" t="s">
        <v>26</v>
      </c>
      <c r="G743" s="53"/>
    </row>
    <row r="744">
      <c r="A744" s="49">
        <v>45028.522787071764</v>
      </c>
      <c r="B744" s="50">
        <v>45028.6477661574</v>
      </c>
      <c r="C744" s="51">
        <v>1.065</v>
      </c>
      <c r="D744" s="51">
        <v>66.0</v>
      </c>
      <c r="E744" s="52" t="s">
        <v>25</v>
      </c>
      <c r="F744" s="52" t="s">
        <v>26</v>
      </c>
      <c r="G744" s="53"/>
    </row>
    <row r="745">
      <c r="A745" s="49">
        <v>45028.533219363424</v>
      </c>
      <c r="B745" s="50">
        <v>45028.6581879513</v>
      </c>
      <c r="C745" s="51">
        <v>1.065</v>
      </c>
      <c r="D745" s="51">
        <v>66.0</v>
      </c>
      <c r="E745" s="52" t="s">
        <v>25</v>
      </c>
      <c r="F745" s="52" t="s">
        <v>26</v>
      </c>
      <c r="G745" s="53"/>
    </row>
    <row r="746">
      <c r="A746" s="49">
        <v>45028.54363501158</v>
      </c>
      <c r="B746" s="50">
        <v>45028.6686075578</v>
      </c>
      <c r="C746" s="51">
        <v>1.065</v>
      </c>
      <c r="D746" s="51">
        <v>66.0</v>
      </c>
      <c r="E746" s="52" t="s">
        <v>25</v>
      </c>
      <c r="F746" s="52" t="s">
        <v>26</v>
      </c>
      <c r="G746" s="53"/>
    </row>
    <row r="747">
      <c r="A747" s="49">
        <v>45028.55405993055</v>
      </c>
      <c r="B747" s="50">
        <v>45028.6790311689</v>
      </c>
      <c r="C747" s="51">
        <v>1.065</v>
      </c>
      <c r="D747" s="51">
        <v>66.0</v>
      </c>
      <c r="E747" s="52" t="s">
        <v>25</v>
      </c>
      <c r="F747" s="52" t="s">
        <v>26</v>
      </c>
      <c r="G747" s="53"/>
    </row>
    <row r="748">
      <c r="A748" s="49">
        <v>45028.56448490741</v>
      </c>
      <c r="B748" s="50">
        <v>45028.6894514236</v>
      </c>
      <c r="C748" s="51">
        <v>1.065</v>
      </c>
      <c r="D748" s="51">
        <v>66.0</v>
      </c>
      <c r="E748" s="52" t="s">
        <v>25</v>
      </c>
      <c r="F748" s="52" t="s">
        <v>26</v>
      </c>
      <c r="G748" s="53"/>
    </row>
    <row r="749">
      <c r="A749" s="49">
        <v>45028.57492333333</v>
      </c>
      <c r="B749" s="50">
        <v>45028.6998964467</v>
      </c>
      <c r="C749" s="51">
        <v>1.065</v>
      </c>
      <c r="D749" s="51">
        <v>66.0</v>
      </c>
      <c r="E749" s="52" t="s">
        <v>25</v>
      </c>
      <c r="F749" s="52" t="s">
        <v>26</v>
      </c>
      <c r="G749" s="53"/>
    </row>
    <row r="750">
      <c r="A750" s="49">
        <v>45028.58534542824</v>
      </c>
      <c r="B750" s="50">
        <v>45028.7103169213</v>
      </c>
      <c r="C750" s="51">
        <v>1.065</v>
      </c>
      <c r="D750" s="51">
        <v>66.0</v>
      </c>
      <c r="E750" s="52" t="s">
        <v>25</v>
      </c>
      <c r="F750" s="52" t="s">
        <v>26</v>
      </c>
      <c r="G750" s="53"/>
    </row>
    <row r="751">
      <c r="A751" s="49">
        <v>45028.595767175924</v>
      </c>
      <c r="B751" s="50">
        <v>45028.7207377546</v>
      </c>
      <c r="C751" s="51">
        <v>1.065</v>
      </c>
      <c r="D751" s="51">
        <v>66.0</v>
      </c>
      <c r="E751" s="52" t="s">
        <v>25</v>
      </c>
      <c r="F751" s="52" t="s">
        <v>26</v>
      </c>
      <c r="G751" s="53"/>
    </row>
    <row r="752">
      <c r="A752" s="49">
        <v>45028.60618430555</v>
      </c>
      <c r="B752" s="50">
        <v>45028.7311583912</v>
      </c>
      <c r="C752" s="51">
        <v>1.065</v>
      </c>
      <c r="D752" s="51">
        <v>66.0</v>
      </c>
      <c r="E752" s="52" t="s">
        <v>25</v>
      </c>
      <c r="F752" s="52" t="s">
        <v>26</v>
      </c>
      <c r="G752" s="53"/>
    </row>
    <row r="753">
      <c r="A753" s="49">
        <v>45028.61660599537</v>
      </c>
      <c r="B753" s="50">
        <v>45028.7415792013</v>
      </c>
      <c r="C753" s="51">
        <v>1.064</v>
      </c>
      <c r="D753" s="51">
        <v>66.0</v>
      </c>
      <c r="E753" s="52" t="s">
        <v>25</v>
      </c>
      <c r="F753" s="52" t="s">
        <v>26</v>
      </c>
      <c r="G753" s="53"/>
    </row>
    <row r="754">
      <c r="A754" s="49">
        <v>45028.6270325463</v>
      </c>
      <c r="B754" s="50">
        <v>45028.7520003935</v>
      </c>
      <c r="C754" s="51">
        <v>1.065</v>
      </c>
      <c r="D754" s="51">
        <v>66.0</v>
      </c>
      <c r="E754" s="52" t="s">
        <v>25</v>
      </c>
      <c r="F754" s="52" t="s">
        <v>26</v>
      </c>
      <c r="G754" s="53"/>
    </row>
    <row r="755">
      <c r="A755" s="49">
        <v>45028.63745207176</v>
      </c>
      <c r="B755" s="50">
        <v>45028.7624226388</v>
      </c>
      <c r="C755" s="51">
        <v>1.065</v>
      </c>
      <c r="D755" s="51">
        <v>66.0</v>
      </c>
      <c r="E755" s="52" t="s">
        <v>25</v>
      </c>
      <c r="F755" s="52" t="s">
        <v>26</v>
      </c>
      <c r="G755" s="53"/>
    </row>
    <row r="756">
      <c r="A756" s="49">
        <v>45028.64791396991</v>
      </c>
      <c r="B756" s="50">
        <v>45028.7728795601</v>
      </c>
      <c r="C756" s="51">
        <v>1.064</v>
      </c>
      <c r="D756" s="51">
        <v>66.0</v>
      </c>
      <c r="E756" s="52" t="s">
        <v>25</v>
      </c>
      <c r="F756" s="52" t="s">
        <v>26</v>
      </c>
      <c r="G756" s="53"/>
    </row>
    <row r="757">
      <c r="A757" s="49">
        <v>45028.658352025464</v>
      </c>
      <c r="B757" s="50">
        <v>45028.783325243</v>
      </c>
      <c r="C757" s="51">
        <v>1.064</v>
      </c>
      <c r="D757" s="51">
        <v>66.0</v>
      </c>
      <c r="E757" s="52" t="s">
        <v>25</v>
      </c>
      <c r="F757" s="52" t="s">
        <v>26</v>
      </c>
      <c r="G757" s="53"/>
    </row>
    <row r="758">
      <c r="A758" s="49">
        <v>45028.66877578704</v>
      </c>
      <c r="B758" s="50">
        <v>45028.7937459953</v>
      </c>
      <c r="C758" s="51">
        <v>1.065</v>
      </c>
      <c r="D758" s="51">
        <v>66.0</v>
      </c>
      <c r="E758" s="52" t="s">
        <v>25</v>
      </c>
      <c r="F758" s="52" t="s">
        <v>26</v>
      </c>
      <c r="G758" s="53"/>
    </row>
    <row r="759">
      <c r="A759" s="49">
        <v>45028.67922329861</v>
      </c>
      <c r="B759" s="50">
        <v>45028.804201875</v>
      </c>
      <c r="C759" s="51">
        <v>1.064</v>
      </c>
      <c r="D759" s="51">
        <v>66.0</v>
      </c>
      <c r="E759" s="52" t="s">
        <v>25</v>
      </c>
      <c r="F759" s="52" t="s">
        <v>26</v>
      </c>
      <c r="G759" s="53"/>
    </row>
    <row r="760">
      <c r="A760" s="49">
        <v>45028.68965594907</v>
      </c>
      <c r="B760" s="50">
        <v>45028.8146247106</v>
      </c>
      <c r="C760" s="51">
        <v>1.064</v>
      </c>
      <c r="D760" s="51">
        <v>66.0</v>
      </c>
      <c r="E760" s="52" t="s">
        <v>25</v>
      </c>
      <c r="F760" s="52" t="s">
        <v>26</v>
      </c>
      <c r="G760" s="53"/>
    </row>
    <row r="761">
      <c r="A761" s="49">
        <v>45028.70006861111</v>
      </c>
      <c r="B761" s="50">
        <v>45028.8250455902</v>
      </c>
      <c r="C761" s="51">
        <v>1.064</v>
      </c>
      <c r="D761" s="51">
        <v>66.0</v>
      </c>
      <c r="E761" s="52" t="s">
        <v>25</v>
      </c>
      <c r="F761" s="52" t="s">
        <v>26</v>
      </c>
      <c r="G761" s="53"/>
    </row>
    <row r="762">
      <c r="A762" s="49">
        <v>45028.71052537037</v>
      </c>
      <c r="B762" s="50">
        <v>45028.8354788194</v>
      </c>
      <c r="C762" s="51">
        <v>1.064</v>
      </c>
      <c r="D762" s="51">
        <v>66.0</v>
      </c>
      <c r="E762" s="52" t="s">
        <v>25</v>
      </c>
      <c r="F762" s="52" t="s">
        <v>26</v>
      </c>
      <c r="G762" s="53"/>
    </row>
    <row r="763">
      <c r="A763" s="49">
        <v>45028.72093041667</v>
      </c>
      <c r="B763" s="50">
        <v>45028.8458985879</v>
      </c>
      <c r="C763" s="51">
        <v>1.064</v>
      </c>
      <c r="D763" s="51">
        <v>66.0</v>
      </c>
      <c r="E763" s="52" t="s">
        <v>25</v>
      </c>
      <c r="F763" s="52" t="s">
        <v>26</v>
      </c>
      <c r="G763" s="53"/>
    </row>
    <row r="764">
      <c r="A764" s="49">
        <v>45028.731354166666</v>
      </c>
      <c r="B764" s="50">
        <v>45028.8563309722</v>
      </c>
      <c r="C764" s="51">
        <v>1.064</v>
      </c>
      <c r="D764" s="51">
        <v>66.0</v>
      </c>
      <c r="E764" s="52" t="s">
        <v>25</v>
      </c>
      <c r="F764" s="52" t="s">
        <v>26</v>
      </c>
      <c r="G764" s="53"/>
    </row>
    <row r="765">
      <c r="A765" s="49">
        <v>45028.74178085648</v>
      </c>
      <c r="B765" s="50">
        <v>45028.8667530208</v>
      </c>
      <c r="C765" s="51">
        <v>1.064</v>
      </c>
      <c r="D765" s="51">
        <v>66.0</v>
      </c>
      <c r="E765" s="52" t="s">
        <v>25</v>
      </c>
      <c r="F765" s="52" t="s">
        <v>26</v>
      </c>
      <c r="G765" s="53"/>
    </row>
    <row r="766">
      <c r="A766" s="49">
        <v>45028.75221224537</v>
      </c>
      <c r="B766" s="50">
        <v>45028.8771741898</v>
      </c>
      <c r="C766" s="51">
        <v>1.064</v>
      </c>
      <c r="D766" s="51">
        <v>66.0</v>
      </c>
      <c r="E766" s="52" t="s">
        <v>25</v>
      </c>
      <c r="F766" s="52" t="s">
        <v>26</v>
      </c>
      <c r="G766" s="53"/>
    </row>
    <row r="767">
      <c r="A767" s="49">
        <v>45028.76263728009</v>
      </c>
      <c r="B767" s="50">
        <v>45028.8876063541</v>
      </c>
      <c r="C767" s="51">
        <v>1.064</v>
      </c>
      <c r="D767" s="51">
        <v>66.0</v>
      </c>
      <c r="E767" s="52" t="s">
        <v>25</v>
      </c>
      <c r="F767" s="52" t="s">
        <v>26</v>
      </c>
      <c r="G767" s="53"/>
    </row>
    <row r="768">
      <c r="A768" s="49">
        <v>45028.773068842595</v>
      </c>
      <c r="B768" s="50">
        <v>45028.898037581</v>
      </c>
      <c r="C768" s="51">
        <v>1.064</v>
      </c>
      <c r="D768" s="51">
        <v>66.0</v>
      </c>
      <c r="E768" s="52" t="s">
        <v>25</v>
      </c>
      <c r="F768" s="52" t="s">
        <v>26</v>
      </c>
      <c r="G768" s="53"/>
    </row>
    <row r="769">
      <c r="A769" s="49">
        <v>45028.783503784725</v>
      </c>
      <c r="B769" s="50">
        <v>45028.9084720254</v>
      </c>
      <c r="C769" s="51">
        <v>1.064</v>
      </c>
      <c r="D769" s="51">
        <v>66.0</v>
      </c>
      <c r="E769" s="52" t="s">
        <v>25</v>
      </c>
      <c r="F769" s="52" t="s">
        <v>26</v>
      </c>
      <c r="G769" s="53"/>
    </row>
    <row r="770">
      <c r="A770" s="49">
        <v>45028.79391944445</v>
      </c>
      <c r="B770" s="50">
        <v>45028.9188931597</v>
      </c>
      <c r="C770" s="51">
        <v>1.064</v>
      </c>
      <c r="D770" s="51">
        <v>66.0</v>
      </c>
      <c r="E770" s="52" t="s">
        <v>25</v>
      </c>
      <c r="F770" s="52" t="s">
        <v>26</v>
      </c>
      <c r="G770" s="53"/>
    </row>
    <row r="771">
      <c r="A771" s="49">
        <v>45028.804343993055</v>
      </c>
      <c r="B771" s="50">
        <v>45028.9293131944</v>
      </c>
      <c r="C771" s="51">
        <v>1.064</v>
      </c>
      <c r="D771" s="51">
        <v>66.0</v>
      </c>
      <c r="E771" s="52" t="s">
        <v>25</v>
      </c>
      <c r="F771" s="52" t="s">
        <v>26</v>
      </c>
      <c r="G771" s="53"/>
    </row>
    <row r="772">
      <c r="A772" s="49">
        <v>45028.81476674769</v>
      </c>
      <c r="B772" s="50">
        <v>45028.9397363888</v>
      </c>
      <c r="C772" s="51">
        <v>1.064</v>
      </c>
      <c r="D772" s="51">
        <v>66.0</v>
      </c>
      <c r="E772" s="52" t="s">
        <v>25</v>
      </c>
      <c r="F772" s="52" t="s">
        <v>26</v>
      </c>
      <c r="G772" s="53"/>
    </row>
    <row r="773">
      <c r="A773" s="49">
        <v>45028.825200590276</v>
      </c>
      <c r="B773" s="50">
        <v>45028.9501701504</v>
      </c>
      <c r="C773" s="51">
        <v>1.064</v>
      </c>
      <c r="D773" s="51">
        <v>66.0</v>
      </c>
      <c r="E773" s="52" t="s">
        <v>25</v>
      </c>
      <c r="F773" s="52" t="s">
        <v>26</v>
      </c>
      <c r="G773" s="53"/>
    </row>
    <row r="774">
      <c r="A774" s="49">
        <v>45028.83561494213</v>
      </c>
      <c r="B774" s="50">
        <v>45028.9605916088</v>
      </c>
      <c r="C774" s="51">
        <v>1.064</v>
      </c>
      <c r="D774" s="51">
        <v>66.0</v>
      </c>
      <c r="E774" s="52" t="s">
        <v>25</v>
      </c>
      <c r="F774" s="52" t="s">
        <v>26</v>
      </c>
      <c r="G774" s="53"/>
    </row>
    <row r="775">
      <c r="A775" s="49">
        <v>45028.84604297453</v>
      </c>
      <c r="B775" s="50">
        <v>45028.9710130092</v>
      </c>
      <c r="C775" s="51">
        <v>1.064</v>
      </c>
      <c r="D775" s="51">
        <v>66.0</v>
      </c>
      <c r="E775" s="52" t="s">
        <v>25</v>
      </c>
      <c r="F775" s="52" t="s">
        <v>26</v>
      </c>
      <c r="G775" s="53"/>
    </row>
    <row r="776">
      <c r="A776" s="49">
        <v>45028.85646420139</v>
      </c>
      <c r="B776" s="50">
        <v>45028.9814344328</v>
      </c>
      <c r="C776" s="51">
        <v>1.064</v>
      </c>
      <c r="D776" s="51">
        <v>66.0</v>
      </c>
      <c r="E776" s="52" t="s">
        <v>25</v>
      </c>
      <c r="F776" s="52" t="s">
        <v>26</v>
      </c>
      <c r="G776" s="53"/>
    </row>
    <row r="777">
      <c r="A777" s="49">
        <v>45028.86688564815</v>
      </c>
      <c r="B777" s="50">
        <v>45028.9918549768</v>
      </c>
      <c r="C777" s="51">
        <v>1.064</v>
      </c>
      <c r="D777" s="51">
        <v>66.0</v>
      </c>
      <c r="E777" s="52" t="s">
        <v>25</v>
      </c>
      <c r="F777" s="52" t="s">
        <v>26</v>
      </c>
      <c r="G777" s="53"/>
    </row>
    <row r="778">
      <c r="A778" s="49">
        <v>45028.87729603009</v>
      </c>
      <c r="B778" s="50">
        <v>45029.0022745717</v>
      </c>
      <c r="C778" s="51">
        <v>1.064</v>
      </c>
      <c r="D778" s="51">
        <v>66.0</v>
      </c>
      <c r="E778" s="52" t="s">
        <v>25</v>
      </c>
      <c r="F778" s="52" t="s">
        <v>26</v>
      </c>
      <c r="G778" s="53"/>
    </row>
    <row r="779">
      <c r="A779" s="49">
        <v>45028.88771759259</v>
      </c>
      <c r="B779" s="50">
        <v>45029.0126959143</v>
      </c>
      <c r="C779" s="51">
        <v>1.064</v>
      </c>
      <c r="D779" s="51">
        <v>66.0</v>
      </c>
      <c r="E779" s="52" t="s">
        <v>25</v>
      </c>
      <c r="F779" s="52" t="s">
        <v>26</v>
      </c>
      <c r="G779" s="53"/>
    </row>
    <row r="780">
      <c r="A780" s="49">
        <v>45028.898149988425</v>
      </c>
      <c r="B780" s="50">
        <v>45029.0231281828</v>
      </c>
      <c r="C780" s="51">
        <v>1.064</v>
      </c>
      <c r="D780" s="51">
        <v>66.0</v>
      </c>
      <c r="E780" s="52" t="s">
        <v>25</v>
      </c>
      <c r="F780" s="52" t="s">
        <v>26</v>
      </c>
      <c r="G780" s="53"/>
    </row>
    <row r="781">
      <c r="A781" s="49">
        <v>45028.90858054398</v>
      </c>
      <c r="B781" s="50">
        <v>45029.0335491319</v>
      </c>
      <c r="C781" s="51">
        <v>1.063</v>
      </c>
      <c r="D781" s="51">
        <v>66.0</v>
      </c>
      <c r="E781" s="52" t="s">
        <v>25</v>
      </c>
      <c r="F781" s="52" t="s">
        <v>26</v>
      </c>
      <c r="G781" s="53"/>
    </row>
    <row r="782">
      <c r="A782" s="49">
        <v>45028.919023263894</v>
      </c>
      <c r="B782" s="50">
        <v>45029.0439945254</v>
      </c>
      <c r="C782" s="51">
        <v>1.063</v>
      </c>
      <c r="D782" s="51">
        <v>66.0</v>
      </c>
      <c r="E782" s="52" t="s">
        <v>25</v>
      </c>
      <c r="F782" s="52" t="s">
        <v>26</v>
      </c>
      <c r="G782" s="53"/>
    </row>
    <row r="783">
      <c r="A783" s="49">
        <v>45028.92943898148</v>
      </c>
      <c r="B783" s="50">
        <v>45029.0544141666</v>
      </c>
      <c r="C783" s="51">
        <v>1.063</v>
      </c>
      <c r="D783" s="51">
        <v>66.0</v>
      </c>
      <c r="E783" s="52" t="s">
        <v>25</v>
      </c>
      <c r="F783" s="52" t="s">
        <v>26</v>
      </c>
      <c r="G783" s="53"/>
    </row>
    <row r="784">
      <c r="A784" s="49">
        <v>45028.939867187495</v>
      </c>
      <c r="B784" s="50">
        <v>45029.0648354398</v>
      </c>
      <c r="C784" s="51">
        <v>1.063</v>
      </c>
      <c r="D784" s="51">
        <v>66.0</v>
      </c>
      <c r="E784" s="52" t="s">
        <v>25</v>
      </c>
      <c r="F784" s="52" t="s">
        <v>26</v>
      </c>
      <c r="G784" s="53"/>
    </row>
    <row r="785">
      <c r="A785" s="49">
        <v>45028.95028457176</v>
      </c>
      <c r="B785" s="50">
        <v>45029.0752564351</v>
      </c>
      <c r="C785" s="51">
        <v>1.063</v>
      </c>
      <c r="D785" s="51">
        <v>66.0</v>
      </c>
      <c r="E785" s="52" t="s">
        <v>25</v>
      </c>
      <c r="F785" s="52" t="s">
        <v>26</v>
      </c>
      <c r="G785" s="53"/>
    </row>
    <row r="786">
      <c r="A786" s="49">
        <v>45028.96070112268</v>
      </c>
      <c r="B786" s="50">
        <v>45029.0856796296</v>
      </c>
      <c r="C786" s="51">
        <v>1.063</v>
      </c>
      <c r="D786" s="51">
        <v>66.0</v>
      </c>
      <c r="E786" s="52" t="s">
        <v>25</v>
      </c>
      <c r="F786" s="52" t="s">
        <v>26</v>
      </c>
      <c r="G786" s="53"/>
    </row>
    <row r="787">
      <c r="A787" s="49">
        <v>45028.971132743056</v>
      </c>
      <c r="B787" s="50">
        <v>45029.0961012037</v>
      </c>
      <c r="C787" s="51">
        <v>1.063</v>
      </c>
      <c r="D787" s="51">
        <v>66.0</v>
      </c>
      <c r="E787" s="52" t="s">
        <v>25</v>
      </c>
      <c r="F787" s="52" t="s">
        <v>26</v>
      </c>
      <c r="G787" s="53"/>
    </row>
    <row r="788">
      <c r="A788" s="49">
        <v>45028.98155188657</v>
      </c>
      <c r="B788" s="50">
        <v>45029.106521493</v>
      </c>
      <c r="C788" s="51">
        <v>1.063</v>
      </c>
      <c r="D788" s="51">
        <v>66.0</v>
      </c>
      <c r="E788" s="52" t="s">
        <v>25</v>
      </c>
      <c r="F788" s="52" t="s">
        <v>26</v>
      </c>
      <c r="G788" s="53"/>
    </row>
    <row r="789">
      <c r="A789" s="49">
        <v>45028.99200126158</v>
      </c>
      <c r="B789" s="50">
        <v>45029.1169783101</v>
      </c>
      <c r="C789" s="51">
        <v>1.063</v>
      </c>
      <c r="D789" s="51">
        <v>66.0</v>
      </c>
      <c r="E789" s="52" t="s">
        <v>25</v>
      </c>
      <c r="F789" s="52" t="s">
        <v>26</v>
      </c>
      <c r="G789" s="53"/>
    </row>
    <row r="790">
      <c r="A790" s="49">
        <v>45029.00253246528</v>
      </c>
      <c r="B790" s="50">
        <v>45029.1274231944</v>
      </c>
      <c r="C790" s="51">
        <v>1.063</v>
      </c>
      <c r="D790" s="51">
        <v>66.0</v>
      </c>
      <c r="E790" s="52" t="s">
        <v>25</v>
      </c>
      <c r="F790" s="52" t="s">
        <v>26</v>
      </c>
      <c r="G790" s="53"/>
    </row>
    <row r="791">
      <c r="A791" s="49">
        <v>45029.01288505787</v>
      </c>
      <c r="B791" s="50">
        <v>45029.1378437615</v>
      </c>
      <c r="C791" s="51">
        <v>1.063</v>
      </c>
      <c r="D791" s="51">
        <v>66.0</v>
      </c>
      <c r="E791" s="52" t="s">
        <v>25</v>
      </c>
      <c r="F791" s="52" t="s">
        <v>26</v>
      </c>
      <c r="G791" s="53"/>
    </row>
    <row r="792">
      <c r="A792" s="49">
        <v>45029.023307337964</v>
      </c>
      <c r="B792" s="50">
        <v>45029.148276331</v>
      </c>
      <c r="C792" s="51">
        <v>1.063</v>
      </c>
      <c r="D792" s="51">
        <v>66.0</v>
      </c>
      <c r="E792" s="52" t="s">
        <v>25</v>
      </c>
      <c r="F792" s="52" t="s">
        <v>26</v>
      </c>
      <c r="G792" s="53"/>
    </row>
    <row r="793">
      <c r="A793" s="49">
        <v>45029.03372561342</v>
      </c>
      <c r="B793" s="50">
        <v>45029.1586979861</v>
      </c>
      <c r="C793" s="51">
        <v>1.063</v>
      </c>
      <c r="D793" s="51">
        <v>66.0</v>
      </c>
      <c r="E793" s="52" t="s">
        <v>25</v>
      </c>
      <c r="F793" s="52" t="s">
        <v>26</v>
      </c>
      <c r="G793" s="53"/>
    </row>
    <row r="794">
      <c r="A794" s="49">
        <v>45029.044147175926</v>
      </c>
      <c r="B794" s="50">
        <v>45029.1691197685</v>
      </c>
      <c r="C794" s="51">
        <v>1.063</v>
      </c>
      <c r="D794" s="51">
        <v>66.0</v>
      </c>
      <c r="E794" s="52" t="s">
        <v>25</v>
      </c>
      <c r="F794" s="52" t="s">
        <v>26</v>
      </c>
      <c r="G794" s="53"/>
    </row>
    <row r="795">
      <c r="A795" s="49">
        <v>45029.05456366898</v>
      </c>
      <c r="B795" s="50">
        <v>45029.1795392592</v>
      </c>
      <c r="C795" s="51">
        <v>1.063</v>
      </c>
      <c r="D795" s="51">
        <v>66.0</v>
      </c>
      <c r="E795" s="52" t="s">
        <v>25</v>
      </c>
      <c r="F795" s="52" t="s">
        <v>26</v>
      </c>
      <c r="G795" s="53"/>
    </row>
    <row r="796">
      <c r="A796" s="49">
        <v>45029.06498138889</v>
      </c>
      <c r="B796" s="50">
        <v>45029.1899609606</v>
      </c>
      <c r="C796" s="51">
        <v>1.063</v>
      </c>
      <c r="D796" s="51">
        <v>66.0</v>
      </c>
      <c r="E796" s="52" t="s">
        <v>25</v>
      </c>
      <c r="F796" s="52" t="s">
        <v>26</v>
      </c>
      <c r="G796" s="53"/>
    </row>
    <row r="797">
      <c r="A797" s="49">
        <v>45029.075417037035</v>
      </c>
      <c r="B797" s="50">
        <v>45029.2003843865</v>
      </c>
      <c r="C797" s="51">
        <v>1.063</v>
      </c>
      <c r="D797" s="51">
        <v>66.0</v>
      </c>
      <c r="E797" s="52" t="s">
        <v>25</v>
      </c>
      <c r="F797" s="52" t="s">
        <v>26</v>
      </c>
      <c r="G797" s="53"/>
    </row>
    <row r="798">
      <c r="A798" s="49">
        <v>45029.08583575231</v>
      </c>
      <c r="B798" s="50">
        <v>45029.2108041203</v>
      </c>
      <c r="C798" s="51">
        <v>1.063</v>
      </c>
      <c r="D798" s="51">
        <v>66.0</v>
      </c>
      <c r="E798" s="52" t="s">
        <v>25</v>
      </c>
      <c r="F798" s="52" t="s">
        <v>26</v>
      </c>
      <c r="G798" s="53"/>
    </row>
    <row r="799">
      <c r="A799" s="49">
        <v>45029.096254375</v>
      </c>
      <c r="B799" s="50">
        <v>45029.2212244791</v>
      </c>
      <c r="C799" s="51">
        <v>1.063</v>
      </c>
      <c r="D799" s="51">
        <v>66.0</v>
      </c>
      <c r="E799" s="52" t="s">
        <v>25</v>
      </c>
      <c r="F799" s="52" t="s">
        <v>26</v>
      </c>
      <c r="G799" s="53"/>
    </row>
    <row r="800">
      <c r="A800" s="49">
        <v>45029.106672106485</v>
      </c>
      <c r="B800" s="50">
        <v>45029.2316468055</v>
      </c>
      <c r="C800" s="51">
        <v>1.063</v>
      </c>
      <c r="D800" s="51">
        <v>66.0</v>
      </c>
      <c r="E800" s="52" t="s">
        <v>25</v>
      </c>
      <c r="F800" s="52" t="s">
        <v>26</v>
      </c>
      <c r="G800" s="53"/>
    </row>
    <row r="801">
      <c r="A801" s="49">
        <v>45029.117088645835</v>
      </c>
      <c r="B801" s="50">
        <v>45029.2420686805</v>
      </c>
      <c r="C801" s="51">
        <v>1.062</v>
      </c>
      <c r="D801" s="51">
        <v>66.0</v>
      </c>
      <c r="E801" s="52" t="s">
        <v>25</v>
      </c>
      <c r="F801" s="52" t="s">
        <v>26</v>
      </c>
      <c r="G801" s="53"/>
    </row>
    <row r="802">
      <c r="A802" s="49">
        <v>45029.1275234375</v>
      </c>
      <c r="B802" s="50">
        <v>45029.2524903125</v>
      </c>
      <c r="C802" s="51">
        <v>1.063</v>
      </c>
      <c r="D802" s="51">
        <v>66.0</v>
      </c>
      <c r="E802" s="52" t="s">
        <v>25</v>
      </c>
      <c r="F802" s="52" t="s">
        <v>26</v>
      </c>
      <c r="G802" s="53"/>
    </row>
    <row r="803">
      <c r="A803" s="49">
        <v>45029.13794033565</v>
      </c>
      <c r="B803" s="50">
        <v>45029.2629113541</v>
      </c>
      <c r="C803" s="51">
        <v>1.062</v>
      </c>
      <c r="D803" s="51">
        <v>66.0</v>
      </c>
      <c r="E803" s="52" t="s">
        <v>25</v>
      </c>
      <c r="F803" s="52" t="s">
        <v>26</v>
      </c>
      <c r="G803" s="53"/>
    </row>
    <row r="804">
      <c r="A804" s="49">
        <v>45029.14837998843</v>
      </c>
      <c r="B804" s="50">
        <v>45029.2733553935</v>
      </c>
      <c r="C804" s="51">
        <v>1.063</v>
      </c>
      <c r="D804" s="51">
        <v>66.0</v>
      </c>
      <c r="E804" s="52" t="s">
        <v>25</v>
      </c>
      <c r="F804" s="52" t="s">
        <v>26</v>
      </c>
      <c r="G804" s="53"/>
    </row>
    <row r="805">
      <c r="A805" s="49">
        <v>45029.15880523148</v>
      </c>
      <c r="B805" s="50">
        <v>45029.2837759953</v>
      </c>
      <c r="C805" s="51">
        <v>1.062</v>
      </c>
      <c r="D805" s="51">
        <v>66.0</v>
      </c>
      <c r="E805" s="52" t="s">
        <v>25</v>
      </c>
      <c r="F805" s="52" t="s">
        <v>26</v>
      </c>
      <c r="G805" s="53"/>
    </row>
    <row r="806">
      <c r="A806" s="49">
        <v>45029.16923849537</v>
      </c>
      <c r="B806" s="50">
        <v>45029.2942073611</v>
      </c>
      <c r="C806" s="51">
        <v>1.062</v>
      </c>
      <c r="D806" s="51">
        <v>66.0</v>
      </c>
      <c r="E806" s="52" t="s">
        <v>25</v>
      </c>
      <c r="F806" s="52" t="s">
        <v>26</v>
      </c>
      <c r="G806" s="53"/>
    </row>
    <row r="807">
      <c r="A807" s="49">
        <v>45029.17966454861</v>
      </c>
      <c r="B807" s="50">
        <v>45029.3046404745</v>
      </c>
      <c r="C807" s="51">
        <v>1.062</v>
      </c>
      <c r="D807" s="51">
        <v>66.0</v>
      </c>
      <c r="E807" s="52" t="s">
        <v>25</v>
      </c>
      <c r="F807" s="52" t="s">
        <v>26</v>
      </c>
      <c r="G807" s="53"/>
    </row>
    <row r="808">
      <c r="A808" s="49">
        <v>45029.19008901621</v>
      </c>
      <c r="B808" s="50">
        <v>45029.3150628703</v>
      </c>
      <c r="C808" s="51">
        <v>1.062</v>
      </c>
      <c r="D808" s="51">
        <v>66.0</v>
      </c>
      <c r="E808" s="52" t="s">
        <v>25</v>
      </c>
      <c r="F808" s="52" t="s">
        <v>26</v>
      </c>
      <c r="G808" s="53"/>
    </row>
    <row r="809">
      <c r="A809" s="49">
        <v>45029.20051069444</v>
      </c>
      <c r="B809" s="50">
        <v>45029.3254834606</v>
      </c>
      <c r="C809" s="51">
        <v>1.062</v>
      </c>
      <c r="D809" s="51">
        <v>66.0</v>
      </c>
      <c r="E809" s="52" t="s">
        <v>25</v>
      </c>
      <c r="F809" s="52" t="s">
        <v>26</v>
      </c>
      <c r="G809" s="53"/>
    </row>
    <row r="810">
      <c r="A810" s="49">
        <v>45029.21094350694</v>
      </c>
      <c r="B810" s="50">
        <v>45029.3359167708</v>
      </c>
      <c r="C810" s="51">
        <v>1.062</v>
      </c>
      <c r="D810" s="51">
        <v>66.0</v>
      </c>
      <c r="E810" s="52" t="s">
        <v>25</v>
      </c>
      <c r="F810" s="52" t="s">
        <v>26</v>
      </c>
      <c r="G810" s="53"/>
    </row>
    <row r="811">
      <c r="A811" s="49">
        <v>45029.22138803241</v>
      </c>
      <c r="B811" s="50">
        <v>45029.3463617245</v>
      </c>
      <c r="C811" s="51">
        <v>1.062</v>
      </c>
      <c r="D811" s="51">
        <v>66.0</v>
      </c>
      <c r="E811" s="52" t="s">
        <v>25</v>
      </c>
      <c r="F811" s="52" t="s">
        <v>26</v>
      </c>
      <c r="G811" s="53"/>
    </row>
    <row r="812">
      <c r="A812" s="49">
        <v>45029.23181974537</v>
      </c>
      <c r="B812" s="50">
        <v>45029.3567953125</v>
      </c>
      <c r="C812" s="51">
        <v>1.062</v>
      </c>
      <c r="D812" s="51">
        <v>66.0</v>
      </c>
      <c r="E812" s="52" t="s">
        <v>25</v>
      </c>
      <c r="F812" s="52" t="s">
        <v>26</v>
      </c>
      <c r="G812" s="53"/>
    </row>
    <row r="813">
      <c r="A813" s="49">
        <v>45029.24225297454</v>
      </c>
      <c r="B813" s="50">
        <v>45029.3672267245</v>
      </c>
      <c r="C813" s="51">
        <v>1.062</v>
      </c>
      <c r="D813" s="51">
        <v>66.0</v>
      </c>
      <c r="E813" s="52" t="s">
        <v>25</v>
      </c>
      <c r="F813" s="52" t="s">
        <v>26</v>
      </c>
      <c r="G813" s="53"/>
    </row>
    <row r="814">
      <c r="A814" s="49">
        <v>45029.25269822917</v>
      </c>
      <c r="B814" s="50">
        <v>45029.3776710648</v>
      </c>
      <c r="C814" s="51">
        <v>1.062</v>
      </c>
      <c r="D814" s="51">
        <v>66.0</v>
      </c>
      <c r="E814" s="52" t="s">
        <v>25</v>
      </c>
      <c r="F814" s="52" t="s">
        <v>26</v>
      </c>
      <c r="G814" s="53"/>
    </row>
    <row r="815">
      <c r="A815" s="49">
        <v>45029.26314476852</v>
      </c>
      <c r="B815" s="50">
        <v>45029.3881169444</v>
      </c>
      <c r="C815" s="51">
        <v>1.062</v>
      </c>
      <c r="D815" s="51">
        <v>66.0</v>
      </c>
      <c r="E815" s="52" t="s">
        <v>25</v>
      </c>
      <c r="F815" s="52" t="s">
        <v>26</v>
      </c>
      <c r="G815" s="53"/>
    </row>
    <row r="816">
      <c r="A816" s="49">
        <v>45029.27359686342</v>
      </c>
      <c r="B816" s="50">
        <v>45029.398550949</v>
      </c>
      <c r="C816" s="51">
        <v>1.062</v>
      </c>
      <c r="D816" s="51">
        <v>66.0</v>
      </c>
      <c r="E816" s="52" t="s">
        <v>25</v>
      </c>
      <c r="F816" s="52" t="s">
        <v>26</v>
      </c>
      <c r="G816" s="53"/>
    </row>
    <row r="817">
      <c r="A817" s="49">
        <v>45029.283999085645</v>
      </c>
      <c r="B817" s="50">
        <v>45029.4089717476</v>
      </c>
      <c r="C817" s="51">
        <v>1.062</v>
      </c>
      <c r="D817" s="51">
        <v>66.0</v>
      </c>
      <c r="E817" s="52" t="s">
        <v>25</v>
      </c>
      <c r="F817" s="52" t="s">
        <v>26</v>
      </c>
      <c r="G817" s="53"/>
    </row>
    <row r="818">
      <c r="A818" s="49">
        <v>45029.2944205324</v>
      </c>
      <c r="B818" s="50">
        <v>45029.4193937384</v>
      </c>
      <c r="C818" s="51">
        <v>1.062</v>
      </c>
      <c r="D818" s="51">
        <v>66.0</v>
      </c>
      <c r="E818" s="52" t="s">
        <v>25</v>
      </c>
      <c r="F818" s="52" t="s">
        <v>26</v>
      </c>
      <c r="G818" s="53"/>
    </row>
    <row r="819">
      <c r="A819" s="49">
        <v>45029.304833912036</v>
      </c>
      <c r="B819" s="50">
        <v>45029.4298151273</v>
      </c>
      <c r="C819" s="51">
        <v>1.062</v>
      </c>
      <c r="D819" s="51">
        <v>66.0</v>
      </c>
      <c r="E819" s="52" t="s">
        <v>25</v>
      </c>
      <c r="F819" s="52" t="s">
        <v>26</v>
      </c>
      <c r="G819" s="53"/>
    </row>
    <row r="820">
      <c r="A820" s="49">
        <v>45029.3153646412</v>
      </c>
      <c r="B820" s="50">
        <v>45029.4403165046</v>
      </c>
      <c r="C820" s="51">
        <v>1.062</v>
      </c>
      <c r="D820" s="51">
        <v>66.0</v>
      </c>
      <c r="E820" s="52" t="s">
        <v>25</v>
      </c>
      <c r="F820" s="52" t="s">
        <v>26</v>
      </c>
      <c r="G820" s="53"/>
    </row>
    <row r="821">
      <c r="A821" s="49">
        <v>45029.325777743055</v>
      </c>
      <c r="B821" s="50">
        <v>45029.4507483796</v>
      </c>
      <c r="C821" s="51">
        <v>1.062</v>
      </c>
      <c r="D821" s="51">
        <v>66.0</v>
      </c>
      <c r="E821" s="52" t="s">
        <v>25</v>
      </c>
      <c r="F821" s="52" t="s">
        <v>26</v>
      </c>
      <c r="G821" s="53"/>
    </row>
    <row r="822">
      <c r="A822" s="49">
        <v>45029.33619854167</v>
      </c>
      <c r="B822" s="50">
        <v>45029.46116875</v>
      </c>
      <c r="C822" s="51">
        <v>1.061</v>
      </c>
      <c r="D822" s="51">
        <v>66.0</v>
      </c>
      <c r="E822" s="52" t="s">
        <v>25</v>
      </c>
      <c r="F822" s="52" t="s">
        <v>26</v>
      </c>
      <c r="G822" s="53"/>
    </row>
    <row r="823">
      <c r="A823" s="49">
        <v>45029.34662268519</v>
      </c>
      <c r="B823" s="50">
        <v>45029.4715901967</v>
      </c>
      <c r="C823" s="51">
        <v>1.062</v>
      </c>
      <c r="D823" s="51">
        <v>66.0</v>
      </c>
      <c r="E823" s="52" t="s">
        <v>25</v>
      </c>
      <c r="F823" s="52" t="s">
        <v>26</v>
      </c>
      <c r="G823" s="53"/>
    </row>
    <row r="824">
      <c r="A824" s="49">
        <v>45029.357056203706</v>
      </c>
      <c r="B824" s="50">
        <v>45029.4820234838</v>
      </c>
      <c r="C824" s="51">
        <v>1.062</v>
      </c>
      <c r="D824" s="51">
        <v>66.0</v>
      </c>
      <c r="E824" s="52" t="s">
        <v>25</v>
      </c>
      <c r="F824" s="52" t="s">
        <v>26</v>
      </c>
      <c r="G824" s="53"/>
    </row>
    <row r="825">
      <c r="A825" s="49">
        <v>45029.36747159722</v>
      </c>
      <c r="B825" s="50">
        <v>45029.4924459838</v>
      </c>
      <c r="C825" s="51">
        <v>1.062</v>
      </c>
      <c r="D825" s="51">
        <v>66.0</v>
      </c>
      <c r="E825" s="52" t="s">
        <v>25</v>
      </c>
      <c r="F825" s="52" t="s">
        <v>26</v>
      </c>
      <c r="G825" s="53"/>
    </row>
    <row r="826">
      <c r="A826" s="49">
        <v>45029.37790356482</v>
      </c>
      <c r="B826" s="50">
        <v>45029.5028788541</v>
      </c>
      <c r="C826" s="51">
        <v>1.062</v>
      </c>
      <c r="D826" s="51">
        <v>66.0</v>
      </c>
      <c r="E826" s="52" t="s">
        <v>25</v>
      </c>
      <c r="F826" s="52" t="s">
        <v>26</v>
      </c>
      <c r="G826" s="53"/>
    </row>
    <row r="827">
      <c r="A827" s="49">
        <v>45029.38834388889</v>
      </c>
      <c r="B827" s="50">
        <v>45029.5133120833</v>
      </c>
      <c r="C827" s="51">
        <v>1.061</v>
      </c>
      <c r="D827" s="51">
        <v>66.0</v>
      </c>
      <c r="E827" s="52" t="s">
        <v>25</v>
      </c>
      <c r="F827" s="52" t="s">
        <v>26</v>
      </c>
      <c r="G827" s="53"/>
    </row>
    <row r="828">
      <c r="A828" s="49">
        <v>45029.39875690972</v>
      </c>
      <c r="B828" s="50">
        <v>45029.5237342013</v>
      </c>
      <c r="C828" s="51">
        <v>1.061</v>
      </c>
      <c r="D828" s="51">
        <v>66.0</v>
      </c>
      <c r="E828" s="52" t="s">
        <v>25</v>
      </c>
      <c r="F828" s="52" t="s">
        <v>26</v>
      </c>
      <c r="G828" s="53"/>
    </row>
    <row r="829">
      <c r="A829" s="49">
        <v>45029.40919715278</v>
      </c>
      <c r="B829" s="50">
        <v>45029.5341673611</v>
      </c>
      <c r="C829" s="51">
        <v>1.061</v>
      </c>
      <c r="D829" s="51">
        <v>66.0</v>
      </c>
      <c r="E829" s="52" t="s">
        <v>25</v>
      </c>
      <c r="F829" s="52" t="s">
        <v>26</v>
      </c>
      <c r="G829" s="53"/>
    </row>
    <row r="830">
      <c r="A830" s="49">
        <v>45029.41962353009</v>
      </c>
      <c r="B830" s="50">
        <v>45029.5445998148</v>
      </c>
      <c r="C830" s="51">
        <v>1.061</v>
      </c>
      <c r="D830" s="51">
        <v>67.0</v>
      </c>
      <c r="E830" s="52" t="s">
        <v>25</v>
      </c>
      <c r="F830" s="52" t="s">
        <v>26</v>
      </c>
      <c r="G830" s="53"/>
    </row>
    <row r="831">
      <c r="A831" s="49">
        <v>45029.430072372685</v>
      </c>
      <c r="B831" s="50">
        <v>45029.5550437037</v>
      </c>
      <c r="C831" s="51">
        <v>1.061</v>
      </c>
      <c r="D831" s="51">
        <v>67.0</v>
      </c>
      <c r="E831" s="52" t="s">
        <v>25</v>
      </c>
      <c r="F831" s="52" t="s">
        <v>26</v>
      </c>
      <c r="G831" s="53"/>
    </row>
    <row r="832">
      <c r="A832" s="49">
        <v>45029.440512905094</v>
      </c>
      <c r="B832" s="50">
        <v>45029.5654890625</v>
      </c>
      <c r="C832" s="51">
        <v>1.061</v>
      </c>
      <c r="D832" s="51">
        <v>67.0</v>
      </c>
      <c r="E832" s="52" t="s">
        <v>25</v>
      </c>
      <c r="F832" s="52" t="s">
        <v>26</v>
      </c>
      <c r="G832" s="53"/>
    </row>
    <row r="833">
      <c r="A833" s="49">
        <v>45029.45094725695</v>
      </c>
      <c r="B833" s="50">
        <v>45029.575921956</v>
      </c>
      <c r="C833" s="51">
        <v>1.061</v>
      </c>
      <c r="D833" s="51">
        <v>67.0</v>
      </c>
      <c r="E833" s="52" t="s">
        <v>25</v>
      </c>
      <c r="F833" s="52" t="s">
        <v>26</v>
      </c>
      <c r="G833" s="53"/>
    </row>
    <row r="834">
      <c r="A834" s="49">
        <v>45029.461416412036</v>
      </c>
      <c r="B834" s="50">
        <v>45029.5863899884</v>
      </c>
      <c r="C834" s="51">
        <v>1.061</v>
      </c>
      <c r="D834" s="51">
        <v>67.0</v>
      </c>
      <c r="E834" s="52" t="s">
        <v>25</v>
      </c>
      <c r="F834" s="52" t="s">
        <v>26</v>
      </c>
      <c r="G834" s="53"/>
    </row>
    <row r="835">
      <c r="A835" s="49">
        <v>45029.47188162037</v>
      </c>
      <c r="B835" s="50">
        <v>45029.5968572453</v>
      </c>
      <c r="C835" s="51">
        <v>1.061</v>
      </c>
      <c r="D835" s="51">
        <v>67.0</v>
      </c>
      <c r="E835" s="52" t="s">
        <v>25</v>
      </c>
      <c r="F835" s="52" t="s">
        <v>26</v>
      </c>
      <c r="G835" s="53"/>
    </row>
    <row r="836">
      <c r="A836" s="49">
        <v>45029.48306201389</v>
      </c>
      <c r="B836" s="50">
        <v>45029.607279074</v>
      </c>
      <c r="C836" s="51">
        <v>1.061</v>
      </c>
      <c r="D836" s="51">
        <v>67.0</v>
      </c>
      <c r="E836" s="52" t="s">
        <v>25</v>
      </c>
      <c r="F836" s="52" t="s">
        <v>26</v>
      </c>
      <c r="G836" s="53"/>
    </row>
    <row r="837">
      <c r="A837" s="49">
        <v>45029.49273211806</v>
      </c>
      <c r="B837" s="50">
        <v>45029.6177111574</v>
      </c>
      <c r="C837" s="51">
        <v>1.061</v>
      </c>
      <c r="D837" s="51">
        <v>66.0</v>
      </c>
      <c r="E837" s="52" t="s">
        <v>25</v>
      </c>
      <c r="F837" s="52" t="s">
        <v>26</v>
      </c>
      <c r="G837" s="53"/>
    </row>
    <row r="838">
      <c r="A838" s="49">
        <v>45029.50316152778</v>
      </c>
      <c r="B838" s="50">
        <v>45029.6281321527</v>
      </c>
      <c r="C838" s="51">
        <v>1.061</v>
      </c>
      <c r="D838" s="51">
        <v>67.0</v>
      </c>
      <c r="E838" s="52" t="s">
        <v>25</v>
      </c>
      <c r="F838" s="52" t="s">
        <v>26</v>
      </c>
      <c r="G838" s="53"/>
    </row>
    <row r="839">
      <c r="A839" s="49">
        <v>45029.51359646991</v>
      </c>
      <c r="B839" s="50">
        <v>45029.6385651851</v>
      </c>
      <c r="C839" s="51">
        <v>1.061</v>
      </c>
      <c r="D839" s="51">
        <v>67.0</v>
      </c>
      <c r="E839" s="52" t="s">
        <v>25</v>
      </c>
      <c r="F839" s="52" t="s">
        <v>26</v>
      </c>
      <c r="G839" s="53"/>
    </row>
    <row r="840">
      <c r="A840" s="49">
        <v>45029.52401642362</v>
      </c>
      <c r="B840" s="50">
        <v>45029.6489872106</v>
      </c>
      <c r="C840" s="51">
        <v>1.061</v>
      </c>
      <c r="D840" s="51">
        <v>67.0</v>
      </c>
      <c r="E840" s="52" t="s">
        <v>25</v>
      </c>
      <c r="F840" s="52" t="s">
        <v>26</v>
      </c>
      <c r="G840" s="53"/>
    </row>
    <row r="841">
      <c r="A841" s="49">
        <v>45029.534451562504</v>
      </c>
      <c r="B841" s="50">
        <v>45029.6594214004</v>
      </c>
      <c r="C841" s="51">
        <v>1.061</v>
      </c>
      <c r="D841" s="51">
        <v>67.0</v>
      </c>
      <c r="E841" s="52" t="s">
        <v>25</v>
      </c>
      <c r="F841" s="52" t="s">
        <v>26</v>
      </c>
      <c r="G841" s="53"/>
    </row>
    <row r="842">
      <c r="A842" s="49">
        <v>45029.54487895833</v>
      </c>
      <c r="B842" s="50">
        <v>45029.6698565509</v>
      </c>
      <c r="C842" s="51">
        <v>1.061</v>
      </c>
      <c r="D842" s="51">
        <v>67.0</v>
      </c>
      <c r="E842" s="52" t="s">
        <v>25</v>
      </c>
      <c r="F842" s="52" t="s">
        <v>26</v>
      </c>
      <c r="G842" s="53"/>
    </row>
    <row r="843">
      <c r="A843" s="49">
        <v>45029.55529885417</v>
      </c>
      <c r="B843" s="50">
        <v>45029.6802778009</v>
      </c>
      <c r="C843" s="51">
        <v>1.061</v>
      </c>
      <c r="D843" s="51">
        <v>67.0</v>
      </c>
      <c r="E843" s="52" t="s">
        <v>25</v>
      </c>
      <c r="F843" s="52" t="s">
        <v>26</v>
      </c>
      <c r="G843" s="53"/>
    </row>
    <row r="844">
      <c r="A844" s="49">
        <v>45029.565734247684</v>
      </c>
      <c r="B844" s="50">
        <v>45029.6906998726</v>
      </c>
      <c r="C844" s="51">
        <v>1.061</v>
      </c>
      <c r="D844" s="51">
        <v>67.0</v>
      </c>
      <c r="E844" s="52" t="s">
        <v>25</v>
      </c>
      <c r="F844" s="52" t="s">
        <v>26</v>
      </c>
      <c r="G844" s="53"/>
    </row>
    <row r="845">
      <c r="A845" s="49">
        <v>45029.57614314815</v>
      </c>
      <c r="B845" s="50">
        <v>45029.7011205439</v>
      </c>
      <c r="C845" s="51">
        <v>1.061</v>
      </c>
      <c r="D845" s="51">
        <v>67.0</v>
      </c>
      <c r="E845" s="52" t="s">
        <v>25</v>
      </c>
      <c r="F845" s="52" t="s">
        <v>26</v>
      </c>
      <c r="G845" s="53"/>
    </row>
    <row r="846">
      <c r="A846" s="49">
        <v>45029.58656236111</v>
      </c>
      <c r="B846" s="50">
        <v>45029.7115419444</v>
      </c>
      <c r="C846" s="51">
        <v>1.061</v>
      </c>
      <c r="D846" s="51">
        <v>67.0</v>
      </c>
      <c r="E846" s="52" t="s">
        <v>25</v>
      </c>
      <c r="F846" s="52" t="s">
        <v>26</v>
      </c>
      <c r="G846" s="53"/>
    </row>
    <row r="847">
      <c r="A847" s="49">
        <v>45029.5969903125</v>
      </c>
      <c r="B847" s="50">
        <v>45029.7219642476</v>
      </c>
      <c r="C847" s="51">
        <v>1.061</v>
      </c>
      <c r="D847" s="51">
        <v>67.0</v>
      </c>
      <c r="E847" s="52" t="s">
        <v>25</v>
      </c>
      <c r="F847" s="52" t="s">
        <v>26</v>
      </c>
      <c r="G847" s="53"/>
    </row>
    <row r="848">
      <c r="A848" s="49">
        <v>45029.60742421296</v>
      </c>
      <c r="B848" s="50">
        <v>45029.7323847569</v>
      </c>
      <c r="C848" s="51">
        <v>1.061</v>
      </c>
      <c r="D848" s="51">
        <v>67.0</v>
      </c>
      <c r="E848" s="52" t="s">
        <v>25</v>
      </c>
      <c r="F848" s="52" t="s">
        <v>26</v>
      </c>
      <c r="G848" s="53"/>
    </row>
    <row r="849">
      <c r="A849" s="49">
        <v>45029.61789896991</v>
      </c>
      <c r="B849" s="50">
        <v>45029.7428739467</v>
      </c>
      <c r="C849" s="51">
        <v>1.061</v>
      </c>
      <c r="D849" s="51">
        <v>67.0</v>
      </c>
      <c r="E849" s="52" t="s">
        <v>25</v>
      </c>
      <c r="F849" s="52" t="s">
        <v>26</v>
      </c>
      <c r="G849" s="53"/>
    </row>
    <row r="850">
      <c r="A850" s="49">
        <v>45029.62834439815</v>
      </c>
      <c r="B850" s="50">
        <v>45029.7533086921</v>
      </c>
      <c r="C850" s="51">
        <v>1.06</v>
      </c>
      <c r="D850" s="51">
        <v>67.0</v>
      </c>
      <c r="E850" s="52" t="s">
        <v>25</v>
      </c>
      <c r="F850" s="52" t="s">
        <v>26</v>
      </c>
      <c r="G850" s="53"/>
    </row>
    <row r="851">
      <c r="A851" s="49">
        <v>45029.638769895835</v>
      </c>
      <c r="B851" s="50">
        <v>45029.7637406828</v>
      </c>
      <c r="C851" s="51">
        <v>1.06</v>
      </c>
      <c r="D851" s="51">
        <v>67.0</v>
      </c>
      <c r="E851" s="52" t="s">
        <v>25</v>
      </c>
      <c r="F851" s="52" t="s">
        <v>26</v>
      </c>
      <c r="G851" s="53"/>
    </row>
    <row r="852">
      <c r="A852" s="49">
        <v>45029.64918625</v>
      </c>
      <c r="B852" s="50">
        <v>45029.7741626388</v>
      </c>
      <c r="C852" s="51">
        <v>1.06</v>
      </c>
      <c r="D852" s="51">
        <v>67.0</v>
      </c>
      <c r="E852" s="52" t="s">
        <v>25</v>
      </c>
      <c r="F852" s="52" t="s">
        <v>26</v>
      </c>
      <c r="G852" s="53"/>
    </row>
    <row r="853">
      <c r="A853" s="49">
        <v>45029.6596116088</v>
      </c>
      <c r="B853" s="50">
        <v>45029.7845842824</v>
      </c>
      <c r="C853" s="51">
        <v>1.061</v>
      </c>
      <c r="D853" s="51">
        <v>67.0</v>
      </c>
      <c r="E853" s="52" t="s">
        <v>25</v>
      </c>
      <c r="F853" s="52" t="s">
        <v>26</v>
      </c>
      <c r="G853" s="53"/>
    </row>
    <row r="854">
      <c r="A854" s="49">
        <v>45029.67003758102</v>
      </c>
      <c r="B854" s="50">
        <v>45029.7950051157</v>
      </c>
      <c r="C854" s="51">
        <v>1.06</v>
      </c>
      <c r="D854" s="51">
        <v>67.0</v>
      </c>
      <c r="E854" s="52" t="s">
        <v>25</v>
      </c>
      <c r="F854" s="52" t="s">
        <v>26</v>
      </c>
      <c r="G854" s="53"/>
    </row>
    <row r="855">
      <c r="A855" s="49">
        <v>45029.6804483912</v>
      </c>
      <c r="B855" s="50">
        <v>45029.8054284027</v>
      </c>
      <c r="C855" s="51">
        <v>1.06</v>
      </c>
      <c r="D855" s="51">
        <v>67.0</v>
      </c>
      <c r="E855" s="52" t="s">
        <v>25</v>
      </c>
      <c r="F855" s="52" t="s">
        <v>26</v>
      </c>
      <c r="G855" s="53"/>
    </row>
    <row r="856">
      <c r="A856" s="49">
        <v>45029.690893287036</v>
      </c>
      <c r="B856" s="50">
        <v>45029.8158729976</v>
      </c>
      <c r="C856" s="51">
        <v>1.061</v>
      </c>
      <c r="D856" s="51">
        <v>67.0</v>
      </c>
      <c r="E856" s="52" t="s">
        <v>25</v>
      </c>
      <c r="F856" s="52" t="s">
        <v>26</v>
      </c>
      <c r="G856" s="53"/>
    </row>
    <row r="857">
      <c r="A857" s="49">
        <v>45029.70131653935</v>
      </c>
      <c r="B857" s="50">
        <v>45029.8262923726</v>
      </c>
      <c r="C857" s="51">
        <v>1.06</v>
      </c>
      <c r="D857" s="51">
        <v>67.0</v>
      </c>
      <c r="E857" s="52" t="s">
        <v>25</v>
      </c>
      <c r="F857" s="52" t="s">
        <v>26</v>
      </c>
      <c r="G857" s="53"/>
    </row>
    <row r="858">
      <c r="A858" s="49">
        <v>45029.71177084491</v>
      </c>
      <c r="B858" s="50">
        <v>45029.8367467245</v>
      </c>
      <c r="C858" s="51">
        <v>1.061</v>
      </c>
      <c r="D858" s="51">
        <v>67.0</v>
      </c>
      <c r="E858" s="52" t="s">
        <v>25</v>
      </c>
      <c r="F858" s="52" t="s">
        <v>26</v>
      </c>
      <c r="G858" s="53"/>
    </row>
    <row r="859">
      <c r="A859" s="49">
        <v>45029.72220113426</v>
      </c>
      <c r="B859" s="50">
        <v>45029.8471773611</v>
      </c>
      <c r="C859" s="51">
        <v>1.06</v>
      </c>
      <c r="D859" s="51">
        <v>67.0</v>
      </c>
      <c r="E859" s="52" t="s">
        <v>25</v>
      </c>
      <c r="F859" s="52" t="s">
        <v>26</v>
      </c>
      <c r="G859" s="53"/>
    </row>
    <row r="860">
      <c r="A860" s="49">
        <v>45029.73264298611</v>
      </c>
      <c r="B860" s="50">
        <v>45029.8576218865</v>
      </c>
      <c r="C860" s="51">
        <v>1.06</v>
      </c>
      <c r="D860" s="51">
        <v>67.0</v>
      </c>
      <c r="E860" s="52" t="s">
        <v>25</v>
      </c>
      <c r="F860" s="52" t="s">
        <v>26</v>
      </c>
      <c r="G860" s="53"/>
    </row>
    <row r="861">
      <c r="A861" s="49">
        <v>45029.743097847226</v>
      </c>
      <c r="B861" s="50">
        <v>45029.8680778356</v>
      </c>
      <c r="C861" s="51">
        <v>1.06</v>
      </c>
      <c r="D861" s="51">
        <v>67.0</v>
      </c>
      <c r="E861" s="52" t="s">
        <v>25</v>
      </c>
      <c r="F861" s="52" t="s">
        <v>26</v>
      </c>
      <c r="G861" s="53"/>
    </row>
    <row r="862">
      <c r="A862" s="49">
        <v>45029.7535184375</v>
      </c>
      <c r="B862" s="50">
        <v>45029.8784984838</v>
      </c>
      <c r="C862" s="51">
        <v>1.06</v>
      </c>
      <c r="D862" s="51">
        <v>67.0</v>
      </c>
      <c r="E862" s="52" t="s">
        <v>25</v>
      </c>
      <c r="F862" s="52" t="s">
        <v>26</v>
      </c>
      <c r="G862" s="53"/>
    </row>
    <row r="863">
      <c r="A863" s="49">
        <v>45029.763970625005</v>
      </c>
      <c r="B863" s="50">
        <v>45029.8889438194</v>
      </c>
      <c r="C863" s="51">
        <v>1.06</v>
      </c>
      <c r="D863" s="51">
        <v>67.0</v>
      </c>
      <c r="E863" s="52" t="s">
        <v>25</v>
      </c>
      <c r="F863" s="52" t="s">
        <v>26</v>
      </c>
      <c r="G863" s="53"/>
    </row>
    <row r="864">
      <c r="A864" s="49">
        <v>45029.77439177083</v>
      </c>
      <c r="B864" s="50">
        <v>45029.8993657407</v>
      </c>
      <c r="C864" s="51">
        <v>1.06</v>
      </c>
      <c r="D864" s="51">
        <v>67.0</v>
      </c>
      <c r="E864" s="52" t="s">
        <v>25</v>
      </c>
      <c r="F864" s="52" t="s">
        <v>26</v>
      </c>
      <c r="G864" s="53"/>
    </row>
    <row r="865">
      <c r="A865" s="49">
        <v>45029.78481990741</v>
      </c>
      <c r="B865" s="50">
        <v>45029.9097980787</v>
      </c>
      <c r="C865" s="51">
        <v>1.06</v>
      </c>
      <c r="D865" s="51">
        <v>67.0</v>
      </c>
      <c r="E865" s="52" t="s">
        <v>25</v>
      </c>
      <c r="F865" s="52" t="s">
        <v>26</v>
      </c>
      <c r="G865" s="53"/>
    </row>
    <row r="866">
      <c r="A866" s="49">
        <v>45029.7952481713</v>
      </c>
      <c r="B866" s="50">
        <v>45029.9202197337</v>
      </c>
      <c r="C866" s="51">
        <v>1.06</v>
      </c>
      <c r="D866" s="51">
        <v>67.0</v>
      </c>
      <c r="E866" s="52" t="s">
        <v>25</v>
      </c>
      <c r="F866" s="52" t="s">
        <v>26</v>
      </c>
      <c r="G866" s="53"/>
    </row>
    <row r="867">
      <c r="A867" s="49">
        <v>45029.80567127315</v>
      </c>
      <c r="B867" s="50">
        <v>45029.9306383449</v>
      </c>
      <c r="C867" s="51">
        <v>1.06</v>
      </c>
      <c r="D867" s="51">
        <v>67.0</v>
      </c>
      <c r="E867" s="52" t="s">
        <v>25</v>
      </c>
      <c r="F867" s="52" t="s">
        <v>26</v>
      </c>
      <c r="G867" s="53"/>
    </row>
    <row r="868">
      <c r="A868" s="49">
        <v>45029.816087569445</v>
      </c>
      <c r="B868" s="50">
        <v>45029.9410585995</v>
      </c>
      <c r="C868" s="51">
        <v>1.06</v>
      </c>
      <c r="D868" s="51">
        <v>67.0</v>
      </c>
      <c r="E868" s="52" t="s">
        <v>25</v>
      </c>
      <c r="F868" s="52" t="s">
        <v>26</v>
      </c>
      <c r="G868" s="53"/>
    </row>
    <row r="869">
      <c r="A869" s="49">
        <v>45029.82651979166</v>
      </c>
      <c r="B869" s="50">
        <v>45029.9514811574</v>
      </c>
      <c r="C869" s="51">
        <v>1.06</v>
      </c>
      <c r="D869" s="51">
        <v>67.0</v>
      </c>
      <c r="E869" s="52" t="s">
        <v>25</v>
      </c>
      <c r="F869" s="52" t="s">
        <v>26</v>
      </c>
      <c r="G869" s="53"/>
    </row>
    <row r="870">
      <c r="A870" s="49">
        <v>45029.83692663195</v>
      </c>
      <c r="B870" s="50">
        <v>45029.9619017592</v>
      </c>
      <c r="C870" s="51">
        <v>1.06</v>
      </c>
      <c r="D870" s="51">
        <v>67.0</v>
      </c>
      <c r="E870" s="52" t="s">
        <v>25</v>
      </c>
      <c r="F870" s="52" t="s">
        <v>26</v>
      </c>
      <c r="G870" s="53"/>
    </row>
    <row r="871">
      <c r="A871" s="49">
        <v>45029.84735993056</v>
      </c>
      <c r="B871" s="50">
        <v>45029.9723237037</v>
      </c>
      <c r="C871" s="51">
        <v>1.06</v>
      </c>
      <c r="D871" s="51">
        <v>67.0</v>
      </c>
      <c r="E871" s="52" t="s">
        <v>25</v>
      </c>
      <c r="F871" s="52" t="s">
        <v>26</v>
      </c>
      <c r="G871" s="53"/>
    </row>
    <row r="872">
      <c r="A872" s="49">
        <v>45029.85779241898</v>
      </c>
      <c r="B872" s="50">
        <v>45029.9827673842</v>
      </c>
      <c r="C872" s="51">
        <v>1.06</v>
      </c>
      <c r="D872" s="51">
        <v>67.0</v>
      </c>
      <c r="E872" s="52" t="s">
        <v>25</v>
      </c>
      <c r="F872" s="52" t="s">
        <v>26</v>
      </c>
      <c r="G872" s="53"/>
    </row>
    <row r="873">
      <c r="A873" s="49">
        <v>45029.86824405093</v>
      </c>
      <c r="B873" s="50">
        <v>45029.9932115277</v>
      </c>
      <c r="C873" s="51">
        <v>1.06</v>
      </c>
      <c r="D873" s="51">
        <v>67.0</v>
      </c>
      <c r="E873" s="52" t="s">
        <v>25</v>
      </c>
      <c r="F873" s="52" t="s">
        <v>26</v>
      </c>
      <c r="G873" s="53"/>
    </row>
    <row r="874">
      <c r="A874" s="49">
        <v>45029.87867604167</v>
      </c>
      <c r="B874" s="50">
        <v>45030.0036445717</v>
      </c>
      <c r="C874" s="51">
        <v>1.059</v>
      </c>
      <c r="D874" s="51">
        <v>67.0</v>
      </c>
      <c r="E874" s="52" t="s">
        <v>25</v>
      </c>
      <c r="F874" s="52" t="s">
        <v>26</v>
      </c>
      <c r="G874" s="53"/>
    </row>
    <row r="875">
      <c r="A875" s="49">
        <v>45029.8891046412</v>
      </c>
      <c r="B875" s="50">
        <v>45030.0140769212</v>
      </c>
      <c r="C875" s="51">
        <v>1.06</v>
      </c>
      <c r="D875" s="51">
        <v>67.0</v>
      </c>
      <c r="E875" s="52" t="s">
        <v>25</v>
      </c>
      <c r="F875" s="52" t="s">
        <v>26</v>
      </c>
      <c r="G875" s="53"/>
    </row>
    <row r="876">
      <c r="A876" s="49">
        <v>45029.8995274537</v>
      </c>
      <c r="B876" s="50">
        <v>45030.0244999652</v>
      </c>
      <c r="C876" s="51">
        <v>1.06</v>
      </c>
      <c r="D876" s="51">
        <v>67.0</v>
      </c>
      <c r="E876" s="52" t="s">
        <v>25</v>
      </c>
      <c r="F876" s="52" t="s">
        <v>26</v>
      </c>
      <c r="G876" s="53"/>
    </row>
    <row r="877">
      <c r="A877" s="49">
        <v>45029.90994511574</v>
      </c>
      <c r="B877" s="50">
        <v>45030.0349214814</v>
      </c>
      <c r="C877" s="51">
        <v>1.06</v>
      </c>
      <c r="D877" s="51">
        <v>67.0</v>
      </c>
      <c r="E877" s="52" t="s">
        <v>25</v>
      </c>
      <c r="F877" s="52" t="s">
        <v>26</v>
      </c>
      <c r="G877" s="53"/>
    </row>
    <row r="878">
      <c r="A878" s="49">
        <v>45029.9203735301</v>
      </c>
      <c r="B878" s="50">
        <v>45030.0453418055</v>
      </c>
      <c r="C878" s="51">
        <v>1.059</v>
      </c>
      <c r="D878" s="51">
        <v>67.0</v>
      </c>
      <c r="E878" s="52" t="s">
        <v>25</v>
      </c>
      <c r="F878" s="52" t="s">
        <v>26</v>
      </c>
      <c r="G878" s="53"/>
    </row>
    <row r="879">
      <c r="A879" s="49">
        <v>45029.93082991898</v>
      </c>
      <c r="B879" s="50">
        <v>45030.0557981365</v>
      </c>
      <c r="C879" s="51">
        <v>1.059</v>
      </c>
      <c r="D879" s="51">
        <v>67.0</v>
      </c>
      <c r="E879" s="52" t="s">
        <v>25</v>
      </c>
      <c r="F879" s="52" t="s">
        <v>26</v>
      </c>
      <c r="G879" s="53"/>
    </row>
    <row r="880">
      <c r="A880" s="49">
        <v>45029.94124883102</v>
      </c>
      <c r="B880" s="50">
        <v>45030.0662191203</v>
      </c>
      <c r="C880" s="51">
        <v>1.059</v>
      </c>
      <c r="D880" s="51">
        <v>67.0</v>
      </c>
      <c r="E880" s="52" t="s">
        <v>25</v>
      </c>
      <c r="F880" s="52" t="s">
        <v>26</v>
      </c>
      <c r="G880" s="53"/>
    </row>
    <row r="881">
      <c r="A881" s="49">
        <v>45029.95166623843</v>
      </c>
      <c r="B881" s="50">
        <v>45030.0766404513</v>
      </c>
      <c r="C881" s="51">
        <v>1.059</v>
      </c>
      <c r="D881" s="51">
        <v>67.0</v>
      </c>
      <c r="E881" s="52" t="s">
        <v>25</v>
      </c>
      <c r="F881" s="52" t="s">
        <v>26</v>
      </c>
      <c r="G881" s="53"/>
    </row>
    <row r="882">
      <c r="A882" s="49">
        <v>45029.96209796296</v>
      </c>
      <c r="B882" s="50">
        <v>45030.0870609375</v>
      </c>
      <c r="C882" s="51">
        <v>1.059</v>
      </c>
      <c r="D882" s="51">
        <v>67.0</v>
      </c>
      <c r="E882" s="52" t="s">
        <v>25</v>
      </c>
      <c r="F882" s="52" t="s">
        <v>26</v>
      </c>
      <c r="G882" s="53"/>
    </row>
    <row r="883">
      <c r="A883" s="49">
        <v>45029.97250665509</v>
      </c>
      <c r="B883" s="50">
        <v>45030.0974818518</v>
      </c>
      <c r="C883" s="51">
        <v>1.059</v>
      </c>
      <c r="D883" s="51">
        <v>67.0</v>
      </c>
      <c r="E883" s="52" t="s">
        <v>25</v>
      </c>
      <c r="F883" s="52" t="s">
        <v>26</v>
      </c>
      <c r="G883" s="53"/>
    </row>
    <row r="884">
      <c r="A884" s="49">
        <v>45029.98293474537</v>
      </c>
      <c r="B884" s="50">
        <v>45030.1079020601</v>
      </c>
      <c r="C884" s="51">
        <v>1.059</v>
      </c>
      <c r="D884" s="51">
        <v>67.0</v>
      </c>
      <c r="E884" s="52" t="s">
        <v>25</v>
      </c>
      <c r="F884" s="52" t="s">
        <v>26</v>
      </c>
      <c r="G884" s="53"/>
    </row>
    <row r="885">
      <c r="A885" s="49">
        <v>45029.993354074075</v>
      </c>
      <c r="B885" s="50">
        <v>45030.1183238888</v>
      </c>
      <c r="C885" s="51">
        <v>1.059</v>
      </c>
      <c r="D885" s="51">
        <v>67.0</v>
      </c>
      <c r="E885" s="52" t="s">
        <v>25</v>
      </c>
      <c r="F885" s="52" t="s">
        <v>26</v>
      </c>
      <c r="G885" s="53"/>
    </row>
    <row r="886">
      <c r="A886" s="49">
        <v>45030.00379383102</v>
      </c>
      <c r="B886" s="50">
        <v>45030.128768912</v>
      </c>
      <c r="C886" s="51">
        <v>1.059</v>
      </c>
      <c r="D886" s="51">
        <v>67.0</v>
      </c>
      <c r="E886" s="52" t="s">
        <v>25</v>
      </c>
      <c r="F886" s="52" t="s">
        <v>26</v>
      </c>
      <c r="G886" s="53"/>
    </row>
    <row r="887">
      <c r="A887" s="49">
        <v>45030.014222048616</v>
      </c>
      <c r="B887" s="50">
        <v>45030.1391922685</v>
      </c>
      <c r="C887" s="51">
        <v>1.059</v>
      </c>
      <c r="D887" s="51">
        <v>67.0</v>
      </c>
      <c r="E887" s="52" t="s">
        <v>25</v>
      </c>
      <c r="F887" s="52" t="s">
        <v>26</v>
      </c>
      <c r="G887" s="53"/>
    </row>
    <row r="888">
      <c r="A888" s="49">
        <v>45030.02464373843</v>
      </c>
      <c r="B888" s="50">
        <v>45030.1496144676</v>
      </c>
      <c r="C888" s="51">
        <v>1.059</v>
      </c>
      <c r="D888" s="51">
        <v>67.0</v>
      </c>
      <c r="E888" s="52" t="s">
        <v>25</v>
      </c>
      <c r="F888" s="52" t="s">
        <v>26</v>
      </c>
      <c r="G888" s="53"/>
    </row>
    <row r="889">
      <c r="A889" s="49">
        <v>45030.03507864583</v>
      </c>
      <c r="B889" s="50">
        <v>45030.1600466203</v>
      </c>
      <c r="C889" s="51">
        <v>1.059</v>
      </c>
      <c r="D889" s="51">
        <v>67.0</v>
      </c>
      <c r="E889" s="52" t="s">
        <v>25</v>
      </c>
      <c r="F889" s="52" t="s">
        <v>26</v>
      </c>
      <c r="G889" s="53"/>
    </row>
    <row r="890">
      <c r="A890" s="49">
        <v>45030.04549956019</v>
      </c>
      <c r="B890" s="50">
        <v>45030.1704685069</v>
      </c>
      <c r="C890" s="51">
        <v>1.058</v>
      </c>
      <c r="D890" s="51">
        <v>67.0</v>
      </c>
      <c r="E890" s="52" t="s">
        <v>25</v>
      </c>
      <c r="F890" s="52" t="s">
        <v>26</v>
      </c>
      <c r="G890" s="53"/>
    </row>
    <row r="891">
      <c r="A891" s="49">
        <v>45030.055937199075</v>
      </c>
      <c r="B891" s="50">
        <v>45030.1809004629</v>
      </c>
      <c r="C891" s="51">
        <v>1.059</v>
      </c>
      <c r="D891" s="51">
        <v>67.0</v>
      </c>
      <c r="E891" s="52" t="s">
        <v>25</v>
      </c>
      <c r="F891" s="52" t="s">
        <v>26</v>
      </c>
      <c r="G891" s="53"/>
    </row>
    <row r="892">
      <c r="A892" s="49">
        <v>45030.06636256944</v>
      </c>
      <c r="B892" s="50">
        <v>45030.1913339351</v>
      </c>
      <c r="C892" s="51">
        <v>1.059</v>
      </c>
      <c r="D892" s="51">
        <v>67.0</v>
      </c>
      <c r="E892" s="52" t="s">
        <v>25</v>
      </c>
      <c r="F892" s="52" t="s">
        <v>26</v>
      </c>
      <c r="G892" s="53"/>
    </row>
    <row r="893">
      <c r="A893" s="49">
        <v>45030.0767937037</v>
      </c>
      <c r="B893" s="50">
        <v>45030.2017651967</v>
      </c>
      <c r="C893" s="51">
        <v>1.059</v>
      </c>
      <c r="D893" s="51">
        <v>67.0</v>
      </c>
      <c r="E893" s="52" t="s">
        <v>25</v>
      </c>
      <c r="F893" s="52" t="s">
        <v>26</v>
      </c>
      <c r="G893" s="53"/>
    </row>
    <row r="894">
      <c r="A894" s="49">
        <v>45030.08721354167</v>
      </c>
      <c r="B894" s="50">
        <v>45030.2121862384</v>
      </c>
      <c r="C894" s="51">
        <v>1.058</v>
      </c>
      <c r="D894" s="51">
        <v>67.0</v>
      </c>
      <c r="E894" s="52" t="s">
        <v>25</v>
      </c>
      <c r="F894" s="52" t="s">
        <v>26</v>
      </c>
      <c r="G894" s="53"/>
    </row>
    <row r="895">
      <c r="A895" s="49">
        <v>45030.09763284722</v>
      </c>
      <c r="B895" s="50">
        <v>45030.2226078125</v>
      </c>
      <c r="C895" s="51">
        <v>1.058</v>
      </c>
      <c r="D895" s="51">
        <v>67.0</v>
      </c>
      <c r="E895" s="52" t="s">
        <v>25</v>
      </c>
      <c r="F895" s="52" t="s">
        <v>26</v>
      </c>
      <c r="G895" s="53"/>
    </row>
    <row r="896">
      <c r="A896" s="49">
        <v>45030.10806125</v>
      </c>
      <c r="B896" s="50">
        <v>45030.2330285648</v>
      </c>
      <c r="C896" s="51">
        <v>1.059</v>
      </c>
      <c r="D896" s="51">
        <v>67.0</v>
      </c>
      <c r="E896" s="52" t="s">
        <v>25</v>
      </c>
      <c r="F896" s="52" t="s">
        <v>26</v>
      </c>
      <c r="G896" s="53"/>
    </row>
    <row r="897">
      <c r="A897" s="49">
        <v>45030.11848775463</v>
      </c>
      <c r="B897" s="50">
        <v>45030.2434493981</v>
      </c>
      <c r="C897" s="51">
        <v>1.058</v>
      </c>
      <c r="D897" s="51">
        <v>67.0</v>
      </c>
      <c r="E897" s="52" t="s">
        <v>25</v>
      </c>
      <c r="F897" s="52" t="s">
        <v>26</v>
      </c>
      <c r="G897" s="53"/>
    </row>
    <row r="898">
      <c r="A898" s="49">
        <v>45030.128908425926</v>
      </c>
      <c r="B898" s="50">
        <v>45030.2538705787</v>
      </c>
      <c r="C898" s="51">
        <v>1.058</v>
      </c>
      <c r="D898" s="51">
        <v>67.0</v>
      </c>
      <c r="E898" s="52" t="s">
        <v>25</v>
      </c>
      <c r="F898" s="52" t="s">
        <v>26</v>
      </c>
      <c r="G898" s="53"/>
    </row>
    <row r="899">
      <c r="A899" s="49">
        <v>45030.13932349537</v>
      </c>
      <c r="B899" s="50">
        <v>45030.2642916088</v>
      </c>
      <c r="C899" s="51">
        <v>1.058</v>
      </c>
      <c r="D899" s="51">
        <v>67.0</v>
      </c>
      <c r="E899" s="52" t="s">
        <v>25</v>
      </c>
      <c r="F899" s="52" t="s">
        <v>26</v>
      </c>
      <c r="G899" s="53"/>
    </row>
    <row r="900">
      <c r="A900" s="49">
        <v>45030.14974877315</v>
      </c>
      <c r="B900" s="50">
        <v>45030.274724375</v>
      </c>
      <c r="C900" s="51">
        <v>1.058</v>
      </c>
      <c r="D900" s="51">
        <v>67.0</v>
      </c>
      <c r="E900" s="52" t="s">
        <v>25</v>
      </c>
      <c r="F900" s="52" t="s">
        <v>26</v>
      </c>
      <c r="G900" s="53"/>
    </row>
    <row r="901">
      <c r="A901" s="49">
        <v>45030.160177303245</v>
      </c>
      <c r="B901" s="50">
        <v>45030.2851439467</v>
      </c>
      <c r="C901" s="51">
        <v>1.058</v>
      </c>
      <c r="D901" s="51">
        <v>67.0</v>
      </c>
      <c r="E901" s="52" t="s">
        <v>25</v>
      </c>
      <c r="F901" s="52" t="s">
        <v>26</v>
      </c>
      <c r="G901" s="53"/>
    </row>
    <row r="902">
      <c r="A902" s="49">
        <v>45030.17061173611</v>
      </c>
      <c r="B902" s="50">
        <v>45030.2955767013</v>
      </c>
      <c r="C902" s="51">
        <v>1.058</v>
      </c>
      <c r="D902" s="51">
        <v>67.0</v>
      </c>
      <c r="E902" s="52" t="s">
        <v>25</v>
      </c>
      <c r="F902" s="52" t="s">
        <v>26</v>
      </c>
      <c r="G902" s="53"/>
    </row>
    <row r="903">
      <c r="A903" s="49">
        <v>45030.18102106481</v>
      </c>
      <c r="B903" s="50">
        <v>45030.3059976157</v>
      </c>
      <c r="C903" s="51">
        <v>1.058</v>
      </c>
      <c r="D903" s="51">
        <v>67.0</v>
      </c>
      <c r="E903" s="52" t="s">
        <v>25</v>
      </c>
      <c r="F903" s="52" t="s">
        <v>26</v>
      </c>
      <c r="G903" s="53"/>
    </row>
    <row r="904">
      <c r="A904" s="49">
        <v>45030.191487986114</v>
      </c>
      <c r="B904" s="50">
        <v>45030.3164540046</v>
      </c>
      <c r="C904" s="51">
        <v>1.058</v>
      </c>
      <c r="D904" s="51">
        <v>67.0</v>
      </c>
      <c r="E904" s="52" t="s">
        <v>25</v>
      </c>
      <c r="F904" s="52" t="s">
        <v>26</v>
      </c>
      <c r="G904" s="53"/>
    </row>
    <row r="905">
      <c r="A905" s="49">
        <v>45030.201907546296</v>
      </c>
      <c r="B905" s="50">
        <v>45030.3268760532</v>
      </c>
      <c r="C905" s="51">
        <v>1.058</v>
      </c>
      <c r="D905" s="51">
        <v>67.0</v>
      </c>
      <c r="E905" s="52" t="s">
        <v>25</v>
      </c>
      <c r="F905" s="52" t="s">
        <v>26</v>
      </c>
      <c r="G905" s="53"/>
    </row>
    <row r="906">
      <c r="A906" s="49">
        <v>45030.21232641204</v>
      </c>
      <c r="B906" s="50">
        <v>45030.3372961111</v>
      </c>
      <c r="C906" s="51">
        <v>1.058</v>
      </c>
      <c r="D906" s="51">
        <v>67.0</v>
      </c>
      <c r="E906" s="52" t="s">
        <v>25</v>
      </c>
      <c r="F906" s="52" t="s">
        <v>26</v>
      </c>
      <c r="G906" s="53"/>
    </row>
    <row r="907">
      <c r="A907" s="49">
        <v>45030.22274991898</v>
      </c>
      <c r="B907" s="50">
        <v>45030.3477173148</v>
      </c>
      <c r="C907" s="51">
        <v>1.058</v>
      </c>
      <c r="D907" s="51">
        <v>67.0</v>
      </c>
      <c r="E907" s="52" t="s">
        <v>25</v>
      </c>
      <c r="F907" s="52" t="s">
        <v>26</v>
      </c>
      <c r="G907" s="53"/>
    </row>
    <row r="908">
      <c r="A908" s="49">
        <v>45030.233164247686</v>
      </c>
      <c r="B908" s="50">
        <v>45030.3581365162</v>
      </c>
      <c r="C908" s="51">
        <v>1.058</v>
      </c>
      <c r="D908" s="51">
        <v>67.0</v>
      </c>
      <c r="E908" s="52" t="s">
        <v>25</v>
      </c>
      <c r="F908" s="52" t="s">
        <v>26</v>
      </c>
      <c r="G908" s="53"/>
    </row>
    <row r="909">
      <c r="A909" s="49">
        <v>45030.243586956014</v>
      </c>
      <c r="B909" s="50">
        <v>45030.3685572569</v>
      </c>
      <c r="C909" s="51">
        <v>1.057</v>
      </c>
      <c r="D909" s="51">
        <v>67.0</v>
      </c>
      <c r="E909" s="52" t="s">
        <v>25</v>
      </c>
      <c r="F909" s="52" t="s">
        <v>26</v>
      </c>
      <c r="G909" s="53"/>
    </row>
    <row r="910">
      <c r="A910" s="49">
        <v>45030.254030324075</v>
      </c>
      <c r="B910" s="50">
        <v>45030.379001412</v>
      </c>
      <c r="C910" s="51">
        <v>1.058</v>
      </c>
      <c r="D910" s="51">
        <v>67.0</v>
      </c>
      <c r="E910" s="52" t="s">
        <v>25</v>
      </c>
      <c r="F910" s="52" t="s">
        <v>26</v>
      </c>
      <c r="G910" s="53"/>
    </row>
    <row r="911">
      <c r="A911" s="49">
        <v>45030.264450069444</v>
      </c>
      <c r="B911" s="50">
        <v>45030.389421574</v>
      </c>
      <c r="C911" s="51">
        <v>1.058</v>
      </c>
      <c r="D911" s="51">
        <v>67.0</v>
      </c>
      <c r="E911" s="52" t="s">
        <v>25</v>
      </c>
      <c r="F911" s="52" t="s">
        <v>26</v>
      </c>
      <c r="G911" s="53"/>
    </row>
    <row r="912">
      <c r="A912" s="49">
        <v>45030.27487122685</v>
      </c>
      <c r="B912" s="50">
        <v>45030.3998444328</v>
      </c>
      <c r="C912" s="51">
        <v>1.057</v>
      </c>
      <c r="D912" s="51">
        <v>67.0</v>
      </c>
      <c r="E912" s="52" t="s">
        <v>25</v>
      </c>
      <c r="F912" s="52" t="s">
        <v>26</v>
      </c>
      <c r="G912" s="53"/>
    </row>
    <row r="913">
      <c r="A913" s="49">
        <v>45030.2853009838</v>
      </c>
      <c r="B913" s="50">
        <v>45030.4102776388</v>
      </c>
      <c r="C913" s="51">
        <v>1.057</v>
      </c>
      <c r="D913" s="51">
        <v>67.0</v>
      </c>
      <c r="E913" s="52" t="s">
        <v>25</v>
      </c>
      <c r="F913" s="52" t="s">
        <v>26</v>
      </c>
      <c r="G913" s="53"/>
    </row>
    <row r="914">
      <c r="A914" s="49">
        <v>45030.29576097222</v>
      </c>
      <c r="B914" s="50">
        <v>45030.420732905</v>
      </c>
      <c r="C914" s="51">
        <v>1.057</v>
      </c>
      <c r="D914" s="51">
        <v>67.0</v>
      </c>
      <c r="E914" s="52" t="s">
        <v>25</v>
      </c>
      <c r="F914" s="52" t="s">
        <v>26</v>
      </c>
      <c r="G914" s="53"/>
    </row>
    <row r="915">
      <c r="A915" s="49">
        <v>45030.306197997685</v>
      </c>
      <c r="B915" s="50">
        <v>45030.4311661805</v>
      </c>
      <c r="C915" s="51">
        <v>1.057</v>
      </c>
      <c r="D915" s="51">
        <v>67.0</v>
      </c>
      <c r="E915" s="52" t="s">
        <v>25</v>
      </c>
      <c r="F915" s="52" t="s">
        <v>26</v>
      </c>
      <c r="G915" s="53"/>
    </row>
    <row r="916">
      <c r="A916" s="49">
        <v>45030.31661304398</v>
      </c>
      <c r="B916" s="50">
        <v>45030.4415849074</v>
      </c>
      <c r="C916" s="51">
        <v>1.057</v>
      </c>
      <c r="D916" s="51">
        <v>67.0</v>
      </c>
      <c r="E916" s="52" t="s">
        <v>25</v>
      </c>
      <c r="F916" s="52" t="s">
        <v>26</v>
      </c>
      <c r="G916" s="53"/>
    </row>
    <row r="917">
      <c r="A917" s="49">
        <v>45030.32703572916</v>
      </c>
      <c r="B917" s="50">
        <v>45030.452004074</v>
      </c>
      <c r="C917" s="51">
        <v>1.057</v>
      </c>
      <c r="D917" s="51">
        <v>67.0</v>
      </c>
      <c r="E917" s="52" t="s">
        <v>25</v>
      </c>
      <c r="F917" s="52" t="s">
        <v>26</v>
      </c>
      <c r="G917" s="53"/>
    </row>
    <row r="918">
      <c r="A918" s="49">
        <v>45030.33745439815</v>
      </c>
      <c r="B918" s="50">
        <v>45030.4624255324</v>
      </c>
      <c r="C918" s="51">
        <v>1.057</v>
      </c>
      <c r="D918" s="51">
        <v>67.0</v>
      </c>
      <c r="E918" s="52" t="s">
        <v>25</v>
      </c>
      <c r="F918" s="52" t="s">
        <v>26</v>
      </c>
      <c r="G918" s="53"/>
    </row>
    <row r="919">
      <c r="A919" s="49">
        <v>45030.34790188658</v>
      </c>
      <c r="B919" s="50">
        <v>45030.4728711458</v>
      </c>
      <c r="C919" s="51">
        <v>1.057</v>
      </c>
      <c r="D919" s="51">
        <v>67.0</v>
      </c>
      <c r="E919" s="52" t="s">
        <v>25</v>
      </c>
      <c r="F919" s="52" t="s">
        <v>26</v>
      </c>
      <c r="G919" s="53"/>
    </row>
    <row r="920">
      <c r="A920" s="49">
        <v>45030.35832023148</v>
      </c>
      <c r="B920" s="50">
        <v>45030.4832898726</v>
      </c>
      <c r="C920" s="51">
        <v>1.057</v>
      </c>
      <c r="D920" s="51">
        <v>67.0</v>
      </c>
      <c r="E920" s="52" t="s">
        <v>25</v>
      </c>
      <c r="F920" s="52" t="s">
        <v>26</v>
      </c>
      <c r="G920" s="53"/>
    </row>
    <row r="921">
      <c r="A921" s="49">
        <v>45030.36873675926</v>
      </c>
      <c r="B921" s="50">
        <v>45030.4937098958</v>
      </c>
      <c r="C921" s="51">
        <v>1.057</v>
      </c>
      <c r="D921" s="51">
        <v>67.0</v>
      </c>
      <c r="E921" s="52" t="s">
        <v>25</v>
      </c>
      <c r="F921" s="52" t="s">
        <v>26</v>
      </c>
      <c r="G921" s="53"/>
    </row>
    <row r="922">
      <c r="A922" s="49">
        <v>45030.37917097222</v>
      </c>
      <c r="B922" s="50">
        <v>45030.5041422569</v>
      </c>
      <c r="C922" s="51">
        <v>1.057</v>
      </c>
      <c r="D922" s="51">
        <v>67.0</v>
      </c>
      <c r="E922" s="52" t="s">
        <v>25</v>
      </c>
      <c r="F922" s="52" t="s">
        <v>26</v>
      </c>
      <c r="G922" s="53"/>
    </row>
    <row r="923">
      <c r="A923" s="49">
        <v>45030.38959623843</v>
      </c>
      <c r="B923" s="50">
        <v>45030.5145627083</v>
      </c>
      <c r="C923" s="51">
        <v>1.057</v>
      </c>
      <c r="D923" s="51">
        <v>67.0</v>
      </c>
      <c r="E923" s="52" t="s">
        <v>25</v>
      </c>
      <c r="F923" s="52" t="s">
        <v>26</v>
      </c>
      <c r="G923" s="53"/>
    </row>
    <row r="924">
      <c r="A924" s="49">
        <v>45030.40002082176</v>
      </c>
      <c r="B924" s="50">
        <v>45030.5249944791</v>
      </c>
      <c r="C924" s="51">
        <v>1.057</v>
      </c>
      <c r="D924" s="51">
        <v>67.0</v>
      </c>
      <c r="E924" s="52" t="s">
        <v>25</v>
      </c>
      <c r="F924" s="52" t="s">
        <v>26</v>
      </c>
      <c r="G924" s="53"/>
    </row>
    <row r="925">
      <c r="A925" s="49">
        <v>45030.410443368055</v>
      </c>
      <c r="B925" s="50">
        <v>45030.5354162847</v>
      </c>
      <c r="C925" s="51">
        <v>1.057</v>
      </c>
      <c r="D925" s="51">
        <v>67.0</v>
      </c>
      <c r="E925" s="52" t="s">
        <v>25</v>
      </c>
      <c r="F925" s="52" t="s">
        <v>26</v>
      </c>
      <c r="G925" s="53"/>
    </row>
    <row r="926">
      <c r="A926" s="49">
        <v>45030.420870891205</v>
      </c>
      <c r="B926" s="50">
        <v>45030.5458386111</v>
      </c>
      <c r="C926" s="51">
        <v>1.057</v>
      </c>
      <c r="D926" s="51">
        <v>67.0</v>
      </c>
      <c r="E926" s="52" t="s">
        <v>25</v>
      </c>
      <c r="F926" s="52" t="s">
        <v>26</v>
      </c>
      <c r="G926" s="53"/>
    </row>
    <row r="927">
      <c r="A927" s="49">
        <v>45030.43128601852</v>
      </c>
      <c r="B927" s="50">
        <v>45030.5562596759</v>
      </c>
      <c r="C927" s="51">
        <v>1.057</v>
      </c>
      <c r="D927" s="51">
        <v>67.0</v>
      </c>
      <c r="E927" s="52" t="s">
        <v>25</v>
      </c>
      <c r="F927" s="52" t="s">
        <v>26</v>
      </c>
      <c r="G927" s="53"/>
    </row>
    <row r="928">
      <c r="A928" s="49">
        <v>45030.44171371528</v>
      </c>
      <c r="B928" s="50">
        <v>45030.5666811805</v>
      </c>
      <c r="C928" s="51">
        <v>1.057</v>
      </c>
      <c r="D928" s="51">
        <v>67.0</v>
      </c>
      <c r="E928" s="52" t="s">
        <v>25</v>
      </c>
      <c r="F928" s="52" t="s">
        <v>26</v>
      </c>
      <c r="G928" s="53"/>
    </row>
    <row r="929">
      <c r="A929" s="49">
        <v>45030.4521262037</v>
      </c>
      <c r="B929" s="50">
        <v>45030.5771020254</v>
      </c>
      <c r="C929" s="51">
        <v>1.057</v>
      </c>
      <c r="D929" s="51">
        <v>67.0</v>
      </c>
      <c r="E929" s="52" t="s">
        <v>25</v>
      </c>
      <c r="F929" s="52" t="s">
        <v>26</v>
      </c>
      <c r="G929" s="53"/>
    </row>
    <row r="930">
      <c r="A930" s="49">
        <v>45030.46256789352</v>
      </c>
      <c r="B930" s="50">
        <v>45030.5875348379</v>
      </c>
      <c r="C930" s="51">
        <v>1.057</v>
      </c>
      <c r="D930" s="51">
        <v>67.0</v>
      </c>
      <c r="E930" s="52" t="s">
        <v>25</v>
      </c>
      <c r="F930" s="52" t="s">
        <v>26</v>
      </c>
      <c r="G930" s="53"/>
    </row>
    <row r="931">
      <c r="A931" s="49">
        <v>45030.47299652778</v>
      </c>
      <c r="B931" s="50">
        <v>45030.5979693055</v>
      </c>
      <c r="C931" s="51">
        <v>1.057</v>
      </c>
      <c r="D931" s="51">
        <v>67.0</v>
      </c>
      <c r="E931" s="52" t="s">
        <v>25</v>
      </c>
      <c r="F931" s="52" t="s">
        <v>26</v>
      </c>
      <c r="G931" s="53"/>
    </row>
    <row r="932">
      <c r="A932" s="49">
        <v>45030.48341284722</v>
      </c>
      <c r="B932" s="50">
        <v>45030.6083907175</v>
      </c>
      <c r="C932" s="51">
        <v>1.057</v>
      </c>
      <c r="D932" s="51">
        <v>67.0</v>
      </c>
      <c r="E932" s="52" t="s">
        <v>25</v>
      </c>
      <c r="F932" s="52" t="s">
        <v>26</v>
      </c>
      <c r="G932" s="53"/>
    </row>
    <row r="933">
      <c r="A933" s="49">
        <v>45030.493850011575</v>
      </c>
      <c r="B933" s="50">
        <v>45030.6188127777</v>
      </c>
      <c r="C933" s="51">
        <v>1.057</v>
      </c>
      <c r="D933" s="51">
        <v>67.0</v>
      </c>
      <c r="E933" s="52" t="s">
        <v>25</v>
      </c>
      <c r="F933" s="52" t="s">
        <v>26</v>
      </c>
      <c r="G933" s="53"/>
    </row>
    <row r="934">
      <c r="A934" s="49">
        <v>45030.50426717593</v>
      </c>
      <c r="B934" s="50">
        <v>45030.6292353009</v>
      </c>
      <c r="C934" s="51">
        <v>1.056</v>
      </c>
      <c r="D934" s="51">
        <v>67.0</v>
      </c>
      <c r="E934" s="52" t="s">
        <v>25</v>
      </c>
      <c r="F934" s="52" t="s">
        <v>26</v>
      </c>
      <c r="G934" s="53"/>
    </row>
    <row r="935">
      <c r="A935" s="49">
        <v>45030.51468828703</v>
      </c>
      <c r="B935" s="50">
        <v>45030.639655162</v>
      </c>
      <c r="C935" s="51">
        <v>1.057</v>
      </c>
      <c r="D935" s="51">
        <v>67.0</v>
      </c>
      <c r="E935" s="52" t="s">
        <v>25</v>
      </c>
      <c r="F935" s="52" t="s">
        <v>26</v>
      </c>
      <c r="G935" s="53"/>
    </row>
    <row r="936">
      <c r="A936" s="49">
        <v>45030.52511162037</v>
      </c>
      <c r="B936" s="50">
        <v>45030.6500888541</v>
      </c>
      <c r="C936" s="51">
        <v>1.057</v>
      </c>
      <c r="D936" s="51">
        <v>67.0</v>
      </c>
      <c r="E936" s="52" t="s">
        <v>25</v>
      </c>
      <c r="F936" s="52" t="s">
        <v>26</v>
      </c>
      <c r="G936" s="53"/>
    </row>
    <row r="937">
      <c r="A937" s="49">
        <v>45030.53556011574</v>
      </c>
      <c r="B937" s="50">
        <v>45030.6605241435</v>
      </c>
      <c r="C937" s="51">
        <v>1.056</v>
      </c>
      <c r="D937" s="51">
        <v>67.0</v>
      </c>
      <c r="E937" s="52" t="s">
        <v>25</v>
      </c>
      <c r="F937" s="52" t="s">
        <v>26</v>
      </c>
      <c r="G937" s="53"/>
    </row>
    <row r="938">
      <c r="A938" s="49">
        <v>45030.545997430556</v>
      </c>
      <c r="B938" s="50">
        <v>45030.6709580324</v>
      </c>
      <c r="C938" s="51">
        <v>1.056</v>
      </c>
      <c r="D938" s="51">
        <v>67.0</v>
      </c>
      <c r="E938" s="52" t="s">
        <v>25</v>
      </c>
      <c r="F938" s="52" t="s">
        <v>26</v>
      </c>
      <c r="G938" s="53"/>
    </row>
    <row r="939">
      <c r="A939" s="49">
        <v>45030.556403888884</v>
      </c>
      <c r="B939" s="50">
        <v>45030.6813790625</v>
      </c>
      <c r="C939" s="51">
        <v>1.057</v>
      </c>
      <c r="D939" s="51">
        <v>67.0</v>
      </c>
      <c r="E939" s="52" t="s">
        <v>25</v>
      </c>
      <c r="F939" s="52" t="s">
        <v>26</v>
      </c>
      <c r="G939" s="53"/>
    </row>
    <row r="940">
      <c r="A940" s="49">
        <v>45030.566829131945</v>
      </c>
      <c r="B940" s="50">
        <v>45030.6918000694</v>
      </c>
      <c r="C940" s="51">
        <v>1.056</v>
      </c>
      <c r="D940" s="51">
        <v>67.0</v>
      </c>
      <c r="E940" s="52" t="s">
        <v>25</v>
      </c>
      <c r="F940" s="52" t="s">
        <v>26</v>
      </c>
      <c r="G940" s="53"/>
    </row>
    <row r="941">
      <c r="A941" s="49">
        <v>45030.57724274306</v>
      </c>
      <c r="B941" s="50">
        <v>45030.7022201851</v>
      </c>
      <c r="C941" s="51">
        <v>1.056</v>
      </c>
      <c r="D941" s="51">
        <v>67.0</v>
      </c>
      <c r="E941" s="52" t="s">
        <v>25</v>
      </c>
      <c r="F941" s="52" t="s">
        <v>26</v>
      </c>
      <c r="G941" s="53"/>
    </row>
    <row r="942">
      <c r="A942" s="49">
        <v>45030.58767328704</v>
      </c>
      <c r="B942" s="50">
        <v>45030.712642199</v>
      </c>
      <c r="C942" s="51">
        <v>1.057</v>
      </c>
      <c r="D942" s="51">
        <v>67.0</v>
      </c>
      <c r="E942" s="52" t="s">
        <v>25</v>
      </c>
      <c r="F942" s="52" t="s">
        <v>26</v>
      </c>
      <c r="G942" s="53"/>
    </row>
    <row r="943">
      <c r="A943" s="49">
        <v>45030.59809212963</v>
      </c>
      <c r="B943" s="50">
        <v>45030.7230612731</v>
      </c>
      <c r="C943" s="51">
        <v>1.056</v>
      </c>
      <c r="D943" s="51">
        <v>67.0</v>
      </c>
      <c r="E943" s="52" t="s">
        <v>25</v>
      </c>
      <c r="F943" s="52" t="s">
        <v>26</v>
      </c>
      <c r="G943" s="53"/>
    </row>
    <row r="944">
      <c r="A944" s="49">
        <v>45030.608517719906</v>
      </c>
      <c r="B944" s="50">
        <v>45030.7334933796</v>
      </c>
      <c r="C944" s="51">
        <v>1.056</v>
      </c>
      <c r="D944" s="51">
        <v>67.0</v>
      </c>
      <c r="E944" s="52" t="s">
        <v>25</v>
      </c>
      <c r="F944" s="52" t="s">
        <v>26</v>
      </c>
      <c r="G944" s="53"/>
    </row>
    <row r="945">
      <c r="A945" s="49">
        <v>45030.61898403935</v>
      </c>
      <c r="B945" s="50">
        <v>45030.7439261111</v>
      </c>
      <c r="C945" s="51">
        <v>1.056</v>
      </c>
      <c r="D945" s="51">
        <v>67.0</v>
      </c>
      <c r="E945" s="52" t="s">
        <v>25</v>
      </c>
      <c r="F945" s="52" t="s">
        <v>26</v>
      </c>
      <c r="G945" s="53"/>
    </row>
    <row r="946">
      <c r="A946" s="49">
        <v>45030.62938859954</v>
      </c>
      <c r="B946" s="50">
        <v>45030.7543589351</v>
      </c>
      <c r="C946" s="51">
        <v>1.056</v>
      </c>
      <c r="D946" s="51">
        <v>67.0</v>
      </c>
      <c r="E946" s="52" t="s">
        <v>25</v>
      </c>
      <c r="F946" s="52" t="s">
        <v>26</v>
      </c>
      <c r="G946" s="53"/>
    </row>
    <row r="947">
      <c r="A947" s="49">
        <v>45030.63980535879</v>
      </c>
      <c r="B947" s="50">
        <v>45030.7647808217</v>
      </c>
      <c r="C947" s="51">
        <v>1.056</v>
      </c>
      <c r="D947" s="51">
        <v>67.0</v>
      </c>
      <c r="E947" s="52" t="s">
        <v>25</v>
      </c>
      <c r="F947" s="52" t="s">
        <v>26</v>
      </c>
      <c r="G947" s="53"/>
    </row>
    <row r="948">
      <c r="A948" s="49">
        <v>45030.65024054398</v>
      </c>
      <c r="B948" s="50">
        <v>45030.7752137963</v>
      </c>
      <c r="C948" s="51">
        <v>1.056</v>
      </c>
      <c r="D948" s="51">
        <v>67.0</v>
      </c>
      <c r="E948" s="52" t="s">
        <v>25</v>
      </c>
      <c r="F948" s="52" t="s">
        <v>26</v>
      </c>
      <c r="G948" s="53"/>
    </row>
    <row r="949">
      <c r="A949" s="49">
        <v>45030.660660775466</v>
      </c>
      <c r="B949" s="50">
        <v>45030.7856325</v>
      </c>
      <c r="C949" s="51">
        <v>1.056</v>
      </c>
      <c r="D949" s="51">
        <v>67.0</v>
      </c>
      <c r="E949" s="52" t="s">
        <v>25</v>
      </c>
      <c r="F949" s="52" t="s">
        <v>26</v>
      </c>
      <c r="G949" s="53"/>
    </row>
    <row r="950">
      <c r="A950" s="49">
        <v>45030.67108940972</v>
      </c>
      <c r="B950" s="50">
        <v>45030.7960653588</v>
      </c>
      <c r="C950" s="51">
        <v>1.056</v>
      </c>
      <c r="D950" s="51">
        <v>67.0</v>
      </c>
      <c r="E950" s="52" t="s">
        <v>25</v>
      </c>
      <c r="F950" s="52" t="s">
        <v>26</v>
      </c>
      <c r="G950" s="53"/>
    </row>
    <row r="951">
      <c r="A951" s="49">
        <v>45030.681511331015</v>
      </c>
      <c r="B951" s="50">
        <v>45030.8064852314</v>
      </c>
      <c r="C951" s="51">
        <v>1.056</v>
      </c>
      <c r="D951" s="51">
        <v>67.0</v>
      </c>
      <c r="E951" s="52" t="s">
        <v>25</v>
      </c>
      <c r="F951" s="52" t="s">
        <v>26</v>
      </c>
      <c r="G951" s="53"/>
    </row>
    <row r="952">
      <c r="A952" s="49">
        <v>45030.691961226854</v>
      </c>
      <c r="B952" s="50">
        <v>45030.8169294444</v>
      </c>
      <c r="C952" s="51">
        <v>1.056</v>
      </c>
      <c r="D952" s="51">
        <v>67.0</v>
      </c>
      <c r="E952" s="52" t="s">
        <v>25</v>
      </c>
      <c r="F952" s="52" t="s">
        <v>26</v>
      </c>
      <c r="G952" s="53"/>
    </row>
    <row r="953">
      <c r="A953" s="49">
        <v>45030.70238072917</v>
      </c>
      <c r="B953" s="50">
        <v>45030.8273513657</v>
      </c>
      <c r="C953" s="51">
        <v>1.056</v>
      </c>
      <c r="D953" s="51">
        <v>67.0</v>
      </c>
      <c r="E953" s="52" t="s">
        <v>25</v>
      </c>
      <c r="F953" s="52" t="s">
        <v>26</v>
      </c>
      <c r="G953" s="53"/>
    </row>
    <row r="954">
      <c r="A954" s="49">
        <v>45030.71281040509</v>
      </c>
      <c r="B954" s="50">
        <v>45030.8377824652</v>
      </c>
      <c r="C954" s="51">
        <v>1.056</v>
      </c>
      <c r="D954" s="51">
        <v>67.0</v>
      </c>
      <c r="E954" s="52" t="s">
        <v>25</v>
      </c>
      <c r="F954" s="52" t="s">
        <v>26</v>
      </c>
      <c r="G954" s="53"/>
    </row>
    <row r="955">
      <c r="A955" s="49">
        <v>45030.72327483796</v>
      </c>
      <c r="B955" s="50">
        <v>45030.8482494907</v>
      </c>
      <c r="C955" s="51">
        <v>1.056</v>
      </c>
      <c r="D955" s="51">
        <v>67.0</v>
      </c>
      <c r="E955" s="52" t="s">
        <v>25</v>
      </c>
      <c r="F955" s="52" t="s">
        <v>26</v>
      </c>
      <c r="G955" s="53"/>
    </row>
    <row r="956">
      <c r="A956" s="49">
        <v>45030.73369332176</v>
      </c>
      <c r="B956" s="50">
        <v>45030.8586699884</v>
      </c>
      <c r="C956" s="51">
        <v>1.056</v>
      </c>
      <c r="D956" s="51">
        <v>67.0</v>
      </c>
      <c r="E956" s="52" t="s">
        <v>25</v>
      </c>
      <c r="F956" s="52" t="s">
        <v>26</v>
      </c>
      <c r="G956" s="53"/>
    </row>
    <row r="957">
      <c r="A957" s="49">
        <v>45030.74412125</v>
      </c>
      <c r="B957" s="50">
        <v>45030.8690898726</v>
      </c>
      <c r="C957" s="51">
        <v>1.056</v>
      </c>
      <c r="D957" s="51">
        <v>67.0</v>
      </c>
      <c r="E957" s="52" t="s">
        <v>25</v>
      </c>
      <c r="F957" s="52" t="s">
        <v>26</v>
      </c>
      <c r="G957" s="53"/>
    </row>
    <row r="958">
      <c r="A958" s="49">
        <v>45030.75453939815</v>
      </c>
      <c r="B958" s="50">
        <v>45030.8795119444</v>
      </c>
      <c r="C958" s="51">
        <v>1.056</v>
      </c>
      <c r="D958" s="51">
        <v>67.0</v>
      </c>
      <c r="E958" s="52" t="s">
        <v>25</v>
      </c>
      <c r="F958" s="52" t="s">
        <v>26</v>
      </c>
      <c r="G958" s="53"/>
    </row>
    <row r="959">
      <c r="A959" s="49">
        <v>45030.76496861111</v>
      </c>
      <c r="B959" s="50">
        <v>45030.8899434375</v>
      </c>
      <c r="C959" s="51">
        <v>1.056</v>
      </c>
      <c r="D959" s="51">
        <v>67.0</v>
      </c>
      <c r="E959" s="52" t="s">
        <v>25</v>
      </c>
      <c r="F959" s="52" t="s">
        <v>26</v>
      </c>
      <c r="G959" s="53"/>
    </row>
    <row r="960">
      <c r="A960" s="49">
        <v>45030.7753978588</v>
      </c>
      <c r="B960" s="50">
        <v>45030.9003640046</v>
      </c>
      <c r="C960" s="51">
        <v>1.056</v>
      </c>
      <c r="D960" s="51">
        <v>67.0</v>
      </c>
      <c r="E960" s="52" t="s">
        <v>25</v>
      </c>
      <c r="F960" s="52" t="s">
        <v>26</v>
      </c>
      <c r="G960" s="53"/>
    </row>
    <row r="961">
      <c r="A961" s="49">
        <v>45030.785812766204</v>
      </c>
      <c r="B961" s="50">
        <v>45030.9107859838</v>
      </c>
      <c r="C961" s="51">
        <v>1.056</v>
      </c>
      <c r="D961" s="51">
        <v>68.0</v>
      </c>
      <c r="E961" s="52" t="s">
        <v>25</v>
      </c>
      <c r="F961" s="52" t="s">
        <v>26</v>
      </c>
      <c r="G961" s="53"/>
    </row>
    <row r="962">
      <c r="A962" s="49">
        <v>45030.79623530092</v>
      </c>
      <c r="B962" s="50">
        <v>45030.9212073611</v>
      </c>
      <c r="C962" s="51">
        <v>1.056</v>
      </c>
      <c r="D962" s="51">
        <v>68.0</v>
      </c>
      <c r="E962" s="52" t="s">
        <v>25</v>
      </c>
      <c r="F962" s="52" t="s">
        <v>26</v>
      </c>
      <c r="G962" s="53"/>
    </row>
    <row r="963">
      <c r="A963" s="49">
        <v>45030.806662800926</v>
      </c>
      <c r="B963" s="50">
        <v>45030.9316291551</v>
      </c>
      <c r="C963" s="51">
        <v>1.056</v>
      </c>
      <c r="D963" s="51">
        <v>67.0</v>
      </c>
      <c r="E963" s="52" t="s">
        <v>25</v>
      </c>
      <c r="F963" s="52" t="s">
        <v>26</v>
      </c>
      <c r="G963" s="53"/>
    </row>
    <row r="964">
      <c r="A964" s="49">
        <v>45030.81708954861</v>
      </c>
      <c r="B964" s="50">
        <v>45030.9420615046</v>
      </c>
      <c r="C964" s="51">
        <v>1.056</v>
      </c>
      <c r="D964" s="51">
        <v>68.0</v>
      </c>
      <c r="E964" s="52" t="s">
        <v>25</v>
      </c>
      <c r="F964" s="52" t="s">
        <v>26</v>
      </c>
      <c r="G964" s="53"/>
    </row>
    <row r="965">
      <c r="A965" s="49">
        <v>45030.82754050926</v>
      </c>
      <c r="B965" s="50">
        <v>45030.9525188426</v>
      </c>
      <c r="C965" s="51">
        <v>1.055</v>
      </c>
      <c r="D965" s="51">
        <v>68.0</v>
      </c>
      <c r="E965" s="52" t="s">
        <v>25</v>
      </c>
      <c r="F965" s="52" t="s">
        <v>26</v>
      </c>
      <c r="G965" s="53"/>
    </row>
    <row r="966">
      <c r="A966" s="49">
        <v>45030.83797209491</v>
      </c>
      <c r="B966" s="50">
        <v>45030.9629403009</v>
      </c>
      <c r="C966" s="51">
        <v>1.056</v>
      </c>
      <c r="D966" s="51">
        <v>68.0</v>
      </c>
      <c r="E966" s="52" t="s">
        <v>25</v>
      </c>
      <c r="F966" s="52" t="s">
        <v>26</v>
      </c>
      <c r="G966" s="53"/>
    </row>
    <row r="967">
      <c r="A967" s="49">
        <v>45030.84838848379</v>
      </c>
      <c r="B967" s="50">
        <v>45030.9733612152</v>
      </c>
      <c r="C967" s="51">
        <v>1.055</v>
      </c>
      <c r="D967" s="51">
        <v>68.0</v>
      </c>
      <c r="E967" s="52" t="s">
        <v>25</v>
      </c>
      <c r="F967" s="52" t="s">
        <v>26</v>
      </c>
      <c r="G967" s="53"/>
    </row>
    <row r="968">
      <c r="A968" s="49">
        <v>45030.858813576386</v>
      </c>
      <c r="B968" s="50">
        <v>45030.9837832291</v>
      </c>
      <c r="C968" s="51">
        <v>1.055</v>
      </c>
      <c r="D968" s="51">
        <v>68.0</v>
      </c>
      <c r="E968" s="52" t="s">
        <v>25</v>
      </c>
      <c r="F968" s="52" t="s">
        <v>26</v>
      </c>
      <c r="G968" s="53"/>
    </row>
    <row r="969">
      <c r="A969" s="49">
        <v>45030.869236909726</v>
      </c>
      <c r="B969" s="50">
        <v>45030.9942034143</v>
      </c>
      <c r="C969" s="51">
        <v>1.055</v>
      </c>
      <c r="D969" s="51">
        <v>68.0</v>
      </c>
      <c r="E969" s="52" t="s">
        <v>25</v>
      </c>
      <c r="F969" s="52" t="s">
        <v>26</v>
      </c>
      <c r="G969" s="53"/>
    </row>
    <row r="970">
      <c r="A970" s="49">
        <v>45030.87967216435</v>
      </c>
      <c r="B970" s="50">
        <v>45031.0046474768</v>
      </c>
      <c r="C970" s="51">
        <v>1.056</v>
      </c>
      <c r="D970" s="51">
        <v>68.0</v>
      </c>
      <c r="E970" s="52" t="s">
        <v>25</v>
      </c>
      <c r="F970" s="52" t="s">
        <v>26</v>
      </c>
      <c r="G970" s="53"/>
    </row>
    <row r="971">
      <c r="A971" s="49">
        <v>45030.89010125</v>
      </c>
      <c r="B971" s="50">
        <v>45031.0150696527</v>
      </c>
      <c r="C971" s="51">
        <v>1.055</v>
      </c>
      <c r="D971" s="51">
        <v>68.0</v>
      </c>
      <c r="E971" s="52" t="s">
        <v>25</v>
      </c>
      <c r="F971" s="52" t="s">
        <v>26</v>
      </c>
      <c r="G971" s="53"/>
    </row>
    <row r="972">
      <c r="A972" s="49">
        <v>45030.90052144676</v>
      </c>
      <c r="B972" s="50">
        <v>45031.025490625</v>
      </c>
      <c r="C972" s="51">
        <v>1.055</v>
      </c>
      <c r="D972" s="51">
        <v>68.0</v>
      </c>
      <c r="E972" s="52" t="s">
        <v>25</v>
      </c>
      <c r="F972" s="52" t="s">
        <v>26</v>
      </c>
      <c r="G972" s="53"/>
    </row>
    <row r="973">
      <c r="A973" s="49">
        <v>45030.91093810185</v>
      </c>
      <c r="B973" s="50">
        <v>45031.0359125</v>
      </c>
      <c r="C973" s="51">
        <v>1.055</v>
      </c>
      <c r="D973" s="51">
        <v>68.0</v>
      </c>
      <c r="E973" s="52" t="s">
        <v>25</v>
      </c>
      <c r="F973" s="52" t="s">
        <v>26</v>
      </c>
      <c r="G973" s="53"/>
    </row>
    <row r="974">
      <c r="A974" s="49">
        <v>45030.92137087963</v>
      </c>
      <c r="B974" s="50">
        <v>45031.0463466088</v>
      </c>
      <c r="C974" s="51">
        <v>1.055</v>
      </c>
      <c r="D974" s="51">
        <v>68.0</v>
      </c>
      <c r="E974" s="52" t="s">
        <v>25</v>
      </c>
      <c r="F974" s="52" t="s">
        <v>26</v>
      </c>
      <c r="G974" s="53"/>
    </row>
    <row r="975">
      <c r="A975" s="49">
        <v>45030.93179125</v>
      </c>
      <c r="B975" s="50">
        <v>45031.0567681134</v>
      </c>
      <c r="C975" s="51">
        <v>1.055</v>
      </c>
      <c r="D975" s="51">
        <v>68.0</v>
      </c>
      <c r="E975" s="52" t="s">
        <v>25</v>
      </c>
      <c r="F975" s="52" t="s">
        <v>26</v>
      </c>
      <c r="G975" s="53"/>
    </row>
    <row r="976">
      <c r="A976" s="49">
        <v>45030.94221385417</v>
      </c>
      <c r="B976" s="50">
        <v>45031.0671881828</v>
      </c>
      <c r="C976" s="51">
        <v>1.055</v>
      </c>
      <c r="D976" s="51">
        <v>68.0</v>
      </c>
      <c r="E976" s="52" t="s">
        <v>25</v>
      </c>
      <c r="F976" s="52" t="s">
        <v>26</v>
      </c>
      <c r="G976" s="53"/>
    </row>
    <row r="977">
      <c r="A977" s="49">
        <v>45030.952652893524</v>
      </c>
      <c r="B977" s="50">
        <v>45031.0776229861</v>
      </c>
      <c r="C977" s="51">
        <v>1.055</v>
      </c>
      <c r="D977" s="51">
        <v>68.0</v>
      </c>
      <c r="E977" s="52" t="s">
        <v>25</v>
      </c>
      <c r="F977" s="52" t="s">
        <v>26</v>
      </c>
      <c r="G977" s="53"/>
    </row>
    <row r="978">
      <c r="A978" s="49">
        <v>45030.96307680555</v>
      </c>
      <c r="B978" s="50">
        <v>45031.0880445138</v>
      </c>
      <c r="C978" s="51">
        <v>1.055</v>
      </c>
      <c r="D978" s="51">
        <v>68.0</v>
      </c>
      <c r="E978" s="52" t="s">
        <v>25</v>
      </c>
      <c r="F978" s="52" t="s">
        <v>26</v>
      </c>
      <c r="G978" s="53"/>
    </row>
    <row r="979">
      <c r="A979" s="49">
        <v>45030.97350648148</v>
      </c>
      <c r="B979" s="50">
        <v>45031.0984767245</v>
      </c>
      <c r="C979" s="51">
        <v>1.055</v>
      </c>
      <c r="D979" s="51">
        <v>68.0</v>
      </c>
      <c r="E979" s="52" t="s">
        <v>25</v>
      </c>
      <c r="F979" s="52" t="s">
        <v>26</v>
      </c>
      <c r="G979" s="53"/>
    </row>
    <row r="980">
      <c r="A980" s="49">
        <v>45030.98392475695</v>
      </c>
      <c r="B980" s="50">
        <v>45031.1088973148</v>
      </c>
      <c r="C980" s="51">
        <v>1.055</v>
      </c>
      <c r="D980" s="51">
        <v>68.0</v>
      </c>
      <c r="E980" s="52" t="s">
        <v>25</v>
      </c>
      <c r="F980" s="52" t="s">
        <v>26</v>
      </c>
      <c r="G980" s="53"/>
    </row>
    <row r="981">
      <c r="A981" s="49">
        <v>45030.99434672453</v>
      </c>
      <c r="B981" s="50">
        <v>45031.1193200347</v>
      </c>
      <c r="C981" s="51">
        <v>1.055</v>
      </c>
      <c r="D981" s="51">
        <v>68.0</v>
      </c>
      <c r="E981" s="52" t="s">
        <v>25</v>
      </c>
      <c r="F981" s="52" t="s">
        <v>26</v>
      </c>
      <c r="G981" s="53"/>
    </row>
    <row r="982">
      <c r="A982" s="49">
        <v>45031.00479850694</v>
      </c>
      <c r="B982" s="50">
        <v>45031.1297654629</v>
      </c>
      <c r="C982" s="51">
        <v>1.055</v>
      </c>
      <c r="D982" s="51">
        <v>68.0</v>
      </c>
      <c r="E982" s="52" t="s">
        <v>25</v>
      </c>
      <c r="F982" s="52" t="s">
        <v>26</v>
      </c>
      <c r="G982" s="53"/>
    </row>
    <row r="983">
      <c r="A983" s="49">
        <v>45031.01520920139</v>
      </c>
      <c r="B983" s="50">
        <v>45031.1401875</v>
      </c>
      <c r="C983" s="51">
        <v>1.055</v>
      </c>
      <c r="D983" s="51">
        <v>68.0</v>
      </c>
      <c r="E983" s="52" t="s">
        <v>25</v>
      </c>
      <c r="F983" s="52" t="s">
        <v>26</v>
      </c>
      <c r="G983" s="53"/>
    </row>
    <row r="984">
      <c r="A984" s="49">
        <v>45031.02563319444</v>
      </c>
      <c r="B984" s="50">
        <v>45031.1506079166</v>
      </c>
      <c r="C984" s="51">
        <v>1.055</v>
      </c>
      <c r="D984" s="51">
        <v>68.0</v>
      </c>
      <c r="E984" s="52" t="s">
        <v>25</v>
      </c>
      <c r="F984" s="52" t="s">
        <v>26</v>
      </c>
      <c r="G984" s="53"/>
    </row>
    <row r="985">
      <c r="A985" s="49">
        <v>45031.03607425926</v>
      </c>
      <c r="B985" s="50">
        <v>45031.1610404398</v>
      </c>
      <c r="C985" s="51">
        <v>1.055</v>
      </c>
      <c r="D985" s="51">
        <v>68.0</v>
      </c>
      <c r="E985" s="52" t="s">
        <v>25</v>
      </c>
      <c r="F985" s="52" t="s">
        <v>26</v>
      </c>
      <c r="G985" s="53"/>
    </row>
    <row r="986">
      <c r="A986" s="49">
        <v>45031.04649158564</v>
      </c>
      <c r="B986" s="50">
        <v>45031.1714620254</v>
      </c>
      <c r="C986" s="51">
        <v>1.055</v>
      </c>
      <c r="D986" s="51">
        <v>68.0</v>
      </c>
      <c r="E986" s="52" t="s">
        <v>25</v>
      </c>
      <c r="F986" s="52" t="s">
        <v>26</v>
      </c>
      <c r="G986" s="53"/>
    </row>
    <row r="987">
      <c r="A987" s="49">
        <v>45031.05691047454</v>
      </c>
      <c r="B987" s="50">
        <v>45031.1818840393</v>
      </c>
      <c r="C987" s="51">
        <v>1.055</v>
      </c>
      <c r="D987" s="51">
        <v>68.0</v>
      </c>
      <c r="E987" s="52" t="s">
        <v>25</v>
      </c>
      <c r="F987" s="52" t="s">
        <v>26</v>
      </c>
      <c r="G987" s="53"/>
    </row>
    <row r="988">
      <c r="A988" s="49">
        <v>45031.067332997685</v>
      </c>
      <c r="B988" s="50">
        <v>45031.1923051157</v>
      </c>
      <c r="C988" s="51">
        <v>1.054</v>
      </c>
      <c r="D988" s="51">
        <v>68.0</v>
      </c>
      <c r="E988" s="52" t="s">
        <v>25</v>
      </c>
      <c r="F988" s="52" t="s">
        <v>26</v>
      </c>
      <c r="G988" s="53"/>
    </row>
    <row r="989">
      <c r="A989" s="49">
        <v>45031.07775902778</v>
      </c>
      <c r="B989" s="50">
        <v>45031.2027256713</v>
      </c>
      <c r="C989" s="51">
        <v>1.055</v>
      </c>
      <c r="D989" s="51">
        <v>68.0</v>
      </c>
      <c r="E989" s="52" t="s">
        <v>25</v>
      </c>
      <c r="F989" s="52" t="s">
        <v>26</v>
      </c>
      <c r="G989" s="53"/>
    </row>
    <row r="990">
      <c r="A990" s="49">
        <v>45031.0881705787</v>
      </c>
      <c r="B990" s="50">
        <v>45031.2131468287</v>
      </c>
      <c r="C990" s="51">
        <v>1.055</v>
      </c>
      <c r="D990" s="51">
        <v>68.0</v>
      </c>
      <c r="E990" s="52" t="s">
        <v>25</v>
      </c>
      <c r="F990" s="52" t="s">
        <v>26</v>
      </c>
      <c r="G990" s="53"/>
    </row>
    <row r="991">
      <c r="A991" s="49">
        <v>45031.09860488426</v>
      </c>
      <c r="B991" s="50">
        <v>45031.2235795254</v>
      </c>
      <c r="C991" s="51">
        <v>1.054</v>
      </c>
      <c r="D991" s="51">
        <v>68.0</v>
      </c>
      <c r="E991" s="52" t="s">
        <v>25</v>
      </c>
      <c r="F991" s="52" t="s">
        <v>26</v>
      </c>
      <c r="G991" s="53"/>
    </row>
    <row r="992">
      <c r="A992" s="49">
        <v>45031.10902875</v>
      </c>
      <c r="B992" s="50">
        <v>45031.2340009259</v>
      </c>
      <c r="C992" s="51">
        <v>1.054</v>
      </c>
      <c r="D992" s="51">
        <v>68.0</v>
      </c>
      <c r="E992" s="52" t="s">
        <v>25</v>
      </c>
      <c r="F992" s="52" t="s">
        <v>26</v>
      </c>
      <c r="G992" s="53"/>
    </row>
    <row r="993">
      <c r="A993" s="49">
        <v>45031.119457256944</v>
      </c>
      <c r="B993" s="50">
        <v>45031.2444313194</v>
      </c>
      <c r="C993" s="51">
        <v>1.055</v>
      </c>
      <c r="D993" s="51">
        <v>68.0</v>
      </c>
      <c r="E993" s="52" t="s">
        <v>25</v>
      </c>
      <c r="F993" s="52" t="s">
        <v>26</v>
      </c>
      <c r="G993" s="53"/>
    </row>
    <row r="994">
      <c r="A994" s="49">
        <v>45031.129885428236</v>
      </c>
      <c r="B994" s="50">
        <v>45031.2548524189</v>
      </c>
      <c r="C994" s="51">
        <v>1.054</v>
      </c>
      <c r="D994" s="51">
        <v>68.0</v>
      </c>
      <c r="E994" s="52" t="s">
        <v>25</v>
      </c>
      <c r="F994" s="52" t="s">
        <v>26</v>
      </c>
      <c r="G994" s="53"/>
    </row>
    <row r="995">
      <c r="A995" s="49">
        <v>45031.14029894676</v>
      </c>
      <c r="B995" s="50">
        <v>45031.2652731481</v>
      </c>
      <c r="C995" s="51">
        <v>1.054</v>
      </c>
      <c r="D995" s="51">
        <v>68.0</v>
      </c>
      <c r="E995" s="52" t="s">
        <v>25</v>
      </c>
      <c r="F995" s="52" t="s">
        <v>26</v>
      </c>
      <c r="G995" s="53"/>
    </row>
    <row r="996">
      <c r="A996" s="49">
        <v>45031.150726875</v>
      </c>
      <c r="B996" s="50">
        <v>45031.275704618</v>
      </c>
      <c r="C996" s="51">
        <v>1.054</v>
      </c>
      <c r="D996" s="51">
        <v>68.0</v>
      </c>
      <c r="E996" s="52" t="s">
        <v>25</v>
      </c>
      <c r="F996" s="52" t="s">
        <v>26</v>
      </c>
      <c r="G996" s="53"/>
    </row>
    <row r="997">
      <c r="A997" s="49">
        <v>45031.16115914352</v>
      </c>
      <c r="B997" s="50">
        <v>45031.2861280555</v>
      </c>
      <c r="C997" s="51">
        <v>1.054</v>
      </c>
      <c r="D997" s="51">
        <v>68.0</v>
      </c>
      <c r="E997" s="52" t="s">
        <v>25</v>
      </c>
      <c r="F997" s="52" t="s">
        <v>26</v>
      </c>
      <c r="G997" s="53"/>
    </row>
    <row r="998">
      <c r="A998" s="49">
        <v>45031.17157222222</v>
      </c>
      <c r="B998" s="50">
        <v>45031.2965488078</v>
      </c>
      <c r="C998" s="51">
        <v>1.054</v>
      </c>
      <c r="D998" s="51">
        <v>68.0</v>
      </c>
      <c r="E998" s="52" t="s">
        <v>25</v>
      </c>
      <c r="F998" s="52" t="s">
        <v>26</v>
      </c>
      <c r="G998" s="53"/>
    </row>
    <row r="999">
      <c r="A999" s="49">
        <v>45031.182022939814</v>
      </c>
      <c r="B999" s="50">
        <v>45031.3069937615</v>
      </c>
      <c r="C999" s="51">
        <v>1.054</v>
      </c>
      <c r="D999" s="51">
        <v>68.0</v>
      </c>
      <c r="E999" s="52" t="s">
        <v>25</v>
      </c>
      <c r="F999" s="52" t="s">
        <v>26</v>
      </c>
      <c r="G999" s="53"/>
    </row>
    <row r="1000">
      <c r="A1000" s="49">
        <v>45031.19244636574</v>
      </c>
      <c r="B1000" s="50">
        <v>45031.3174146875</v>
      </c>
      <c r="C1000" s="51">
        <v>1.054</v>
      </c>
      <c r="D1000" s="51">
        <v>68.0</v>
      </c>
      <c r="E1000" s="52" t="s">
        <v>25</v>
      </c>
      <c r="F1000" s="52" t="s">
        <v>26</v>
      </c>
      <c r="G1000" s="53"/>
    </row>
    <row r="1001">
      <c r="A1001" s="49">
        <v>45031.20286125</v>
      </c>
      <c r="B1001" s="50">
        <v>45031.3278345717</v>
      </c>
      <c r="C1001" s="51">
        <v>1.054</v>
      </c>
      <c r="D1001" s="51">
        <v>68.0</v>
      </c>
      <c r="E1001" s="52" t="s">
        <v>25</v>
      </c>
      <c r="F1001" s="52" t="s">
        <v>26</v>
      </c>
      <c r="G1001" s="53"/>
    </row>
    <row r="1002">
      <c r="A1002" s="49">
        <v>45031.2132871412</v>
      </c>
      <c r="B1002" s="50">
        <v>45031.3382554166</v>
      </c>
      <c r="C1002" s="51">
        <v>1.054</v>
      </c>
      <c r="D1002" s="51">
        <v>68.0</v>
      </c>
      <c r="E1002" s="52" t="s">
        <v>25</v>
      </c>
      <c r="F1002" s="52" t="s">
        <v>26</v>
      </c>
      <c r="G1002" s="53"/>
    </row>
    <row r="1003">
      <c r="A1003" s="49">
        <v>45031.22372175926</v>
      </c>
      <c r="B1003" s="50">
        <v>45031.3486891666</v>
      </c>
      <c r="C1003" s="51">
        <v>1.054</v>
      </c>
      <c r="D1003" s="51">
        <v>68.0</v>
      </c>
      <c r="E1003" s="52" t="s">
        <v>25</v>
      </c>
      <c r="F1003" s="52" t="s">
        <v>26</v>
      </c>
      <c r="G1003" s="53"/>
    </row>
    <row r="1004">
      <c r="A1004" s="49">
        <v>45031.23414114583</v>
      </c>
      <c r="B1004" s="50">
        <v>45031.3591092708</v>
      </c>
      <c r="C1004" s="51">
        <v>1.054</v>
      </c>
      <c r="D1004" s="51">
        <v>68.0</v>
      </c>
      <c r="E1004" s="52" t="s">
        <v>25</v>
      </c>
      <c r="F1004" s="52" t="s">
        <v>26</v>
      </c>
      <c r="G1004" s="53"/>
    </row>
    <row r="1005">
      <c r="A1005" s="49">
        <v>45031.24457296296</v>
      </c>
      <c r="B1005" s="50">
        <v>45031.3695428472</v>
      </c>
      <c r="C1005" s="51">
        <v>1.054</v>
      </c>
      <c r="D1005" s="51">
        <v>68.0</v>
      </c>
      <c r="E1005" s="52" t="s">
        <v>25</v>
      </c>
      <c r="F1005" s="52" t="s">
        <v>26</v>
      </c>
      <c r="G1005" s="53"/>
    </row>
    <row r="1006">
      <c r="A1006" s="49">
        <v>45031.25499591435</v>
      </c>
      <c r="B1006" s="50">
        <v>45031.3799655902</v>
      </c>
      <c r="C1006" s="51">
        <v>1.054</v>
      </c>
      <c r="D1006" s="51">
        <v>68.0</v>
      </c>
      <c r="E1006" s="52" t="s">
        <v>25</v>
      </c>
      <c r="F1006" s="52" t="s">
        <v>26</v>
      </c>
      <c r="G1006" s="53"/>
    </row>
    <row r="1007">
      <c r="A1007" s="49">
        <v>45031.26541769676</v>
      </c>
      <c r="B1007" s="50">
        <v>45031.3903866435</v>
      </c>
      <c r="C1007" s="51">
        <v>1.054</v>
      </c>
      <c r="D1007" s="51">
        <v>68.0</v>
      </c>
      <c r="E1007" s="52" t="s">
        <v>25</v>
      </c>
      <c r="F1007" s="52" t="s">
        <v>26</v>
      </c>
      <c r="G1007" s="53"/>
    </row>
    <row r="1008">
      <c r="A1008" s="49">
        <v>45031.27584460648</v>
      </c>
      <c r="B1008" s="50">
        <v>45031.4008178009</v>
      </c>
      <c r="C1008" s="51">
        <v>1.054</v>
      </c>
      <c r="D1008" s="51">
        <v>68.0</v>
      </c>
      <c r="E1008" s="52" t="s">
        <v>25</v>
      </c>
      <c r="F1008" s="52" t="s">
        <v>26</v>
      </c>
      <c r="G1008" s="53"/>
    </row>
    <row r="1009">
      <c r="A1009" s="49">
        <v>45031.28626729167</v>
      </c>
      <c r="B1009" s="50">
        <v>45031.4112405324</v>
      </c>
      <c r="C1009" s="51">
        <v>1.054</v>
      </c>
      <c r="D1009" s="51">
        <v>68.0</v>
      </c>
      <c r="E1009" s="52" t="s">
        <v>25</v>
      </c>
      <c r="F1009" s="52" t="s">
        <v>26</v>
      </c>
      <c r="G1009" s="53"/>
    </row>
    <row r="1010">
      <c r="A1010" s="49">
        <v>45031.2966862037</v>
      </c>
      <c r="B1010" s="50">
        <v>45031.4216608912</v>
      </c>
      <c r="C1010" s="51">
        <v>1.054</v>
      </c>
      <c r="D1010" s="51">
        <v>68.0</v>
      </c>
      <c r="E1010" s="52" t="s">
        <v>25</v>
      </c>
      <c r="F1010" s="52" t="s">
        <v>26</v>
      </c>
      <c r="G1010" s="53"/>
    </row>
    <row r="1011">
      <c r="A1011" s="49">
        <v>45031.30711108797</v>
      </c>
      <c r="B1011" s="50">
        <v>45031.4320821759</v>
      </c>
      <c r="C1011" s="51">
        <v>1.054</v>
      </c>
      <c r="D1011" s="51">
        <v>68.0</v>
      </c>
      <c r="E1011" s="52" t="s">
        <v>25</v>
      </c>
      <c r="F1011" s="52" t="s">
        <v>26</v>
      </c>
      <c r="G1011" s="53"/>
    </row>
    <row r="1012">
      <c r="A1012" s="49">
        <v>45031.317535532406</v>
      </c>
      <c r="B1012" s="50">
        <v>45031.4425036111</v>
      </c>
      <c r="C1012" s="51">
        <v>1.054</v>
      </c>
      <c r="D1012" s="51">
        <v>68.0</v>
      </c>
      <c r="E1012" s="52" t="s">
        <v>25</v>
      </c>
      <c r="F1012" s="52" t="s">
        <v>26</v>
      </c>
      <c r="G1012" s="53"/>
    </row>
    <row r="1013">
      <c r="A1013" s="49">
        <v>45031.32794994213</v>
      </c>
      <c r="B1013" s="50">
        <v>45031.452926331</v>
      </c>
      <c r="C1013" s="51">
        <v>1.054</v>
      </c>
      <c r="D1013" s="51">
        <v>68.0</v>
      </c>
      <c r="E1013" s="52" t="s">
        <v>25</v>
      </c>
      <c r="F1013" s="52" t="s">
        <v>26</v>
      </c>
      <c r="G1013" s="53"/>
    </row>
    <row r="1014">
      <c r="A1014" s="49">
        <v>45031.3383717824</v>
      </c>
      <c r="B1014" s="50">
        <v>45031.4633458564</v>
      </c>
      <c r="C1014" s="51">
        <v>1.054</v>
      </c>
      <c r="D1014" s="51">
        <v>68.0</v>
      </c>
      <c r="E1014" s="52" t="s">
        <v>25</v>
      </c>
      <c r="F1014" s="52" t="s">
        <v>26</v>
      </c>
      <c r="G1014" s="53"/>
    </row>
    <row r="1015">
      <c r="A1015" s="49">
        <v>45031.34879209491</v>
      </c>
      <c r="B1015" s="50">
        <v>45031.4737660532</v>
      </c>
      <c r="C1015" s="51">
        <v>1.054</v>
      </c>
      <c r="D1015" s="51">
        <v>68.0</v>
      </c>
      <c r="E1015" s="52" t="s">
        <v>25</v>
      </c>
      <c r="F1015" s="52" t="s">
        <v>26</v>
      </c>
      <c r="G1015" s="53"/>
    </row>
    <row r="1016">
      <c r="A1016" s="49">
        <v>45031.35920905093</v>
      </c>
      <c r="B1016" s="50">
        <v>45031.4841872453</v>
      </c>
      <c r="C1016" s="51">
        <v>1.053</v>
      </c>
      <c r="D1016" s="51">
        <v>68.0</v>
      </c>
      <c r="E1016" s="52" t="s">
        <v>25</v>
      </c>
      <c r="F1016" s="52" t="s">
        <v>26</v>
      </c>
      <c r="G1016" s="53"/>
    </row>
    <row r="1017">
      <c r="A1017" s="49">
        <v>45031.36963664352</v>
      </c>
      <c r="B1017" s="50">
        <v>45031.4946094907</v>
      </c>
      <c r="C1017" s="51">
        <v>1.053</v>
      </c>
      <c r="D1017" s="51">
        <v>68.0</v>
      </c>
      <c r="E1017" s="52" t="s">
        <v>25</v>
      </c>
      <c r="F1017" s="52" t="s">
        <v>26</v>
      </c>
      <c r="G1017" s="53"/>
    </row>
    <row r="1018">
      <c r="A1018" s="49">
        <v>45031.38005422454</v>
      </c>
      <c r="B1018" s="50">
        <v>45031.5050309606</v>
      </c>
      <c r="C1018" s="51">
        <v>1.054</v>
      </c>
      <c r="D1018" s="51">
        <v>68.0</v>
      </c>
      <c r="E1018" s="52" t="s">
        <v>25</v>
      </c>
      <c r="F1018" s="52" t="s">
        <v>26</v>
      </c>
      <c r="G1018" s="53"/>
    </row>
    <row r="1019">
      <c r="A1019" s="49">
        <v>45031.39051790509</v>
      </c>
      <c r="B1019" s="50">
        <v>45031.5154887615</v>
      </c>
      <c r="C1019" s="51">
        <v>1.054</v>
      </c>
      <c r="D1019" s="51">
        <v>68.0</v>
      </c>
      <c r="E1019" s="52" t="s">
        <v>25</v>
      </c>
      <c r="F1019" s="52" t="s">
        <v>26</v>
      </c>
      <c r="G1019" s="53"/>
    </row>
    <row r="1020">
      <c r="A1020" s="49">
        <v>45031.40098335648</v>
      </c>
      <c r="B1020" s="50">
        <v>45031.5259552199</v>
      </c>
      <c r="C1020" s="51">
        <v>1.053</v>
      </c>
      <c r="D1020" s="51">
        <v>68.0</v>
      </c>
      <c r="E1020" s="52" t="s">
        <v>25</v>
      </c>
      <c r="F1020" s="52" t="s">
        <v>26</v>
      </c>
      <c r="G1020" s="53"/>
    </row>
    <row r="1021">
      <c r="A1021" s="49">
        <v>45031.41139821759</v>
      </c>
      <c r="B1021" s="50">
        <v>45031.5363764004</v>
      </c>
      <c r="C1021" s="51">
        <v>1.054</v>
      </c>
      <c r="D1021" s="51">
        <v>68.0</v>
      </c>
      <c r="E1021" s="52" t="s">
        <v>25</v>
      </c>
      <c r="F1021" s="52" t="s">
        <v>26</v>
      </c>
      <c r="G1021" s="53"/>
    </row>
    <row r="1022">
      <c r="A1022" s="49">
        <v>45031.42182859954</v>
      </c>
      <c r="B1022" s="50">
        <v>45031.5467972685</v>
      </c>
      <c r="C1022" s="51">
        <v>1.053</v>
      </c>
      <c r="D1022" s="51">
        <v>68.0</v>
      </c>
      <c r="E1022" s="52" t="s">
        <v>25</v>
      </c>
      <c r="F1022" s="52" t="s">
        <v>26</v>
      </c>
      <c r="G1022" s="53"/>
    </row>
    <row r="1023">
      <c r="A1023" s="49">
        <v>45031.43225770834</v>
      </c>
      <c r="B1023" s="50">
        <v>45031.5572296527</v>
      </c>
      <c r="C1023" s="51">
        <v>1.053</v>
      </c>
      <c r="D1023" s="51">
        <v>68.0</v>
      </c>
      <c r="E1023" s="52" t="s">
        <v>25</v>
      </c>
      <c r="F1023" s="52" t="s">
        <v>26</v>
      </c>
      <c r="G1023" s="53"/>
    </row>
    <row r="1024">
      <c r="A1024" s="49">
        <v>45031.44267857639</v>
      </c>
      <c r="B1024" s="50">
        <v>45031.5676497338</v>
      </c>
      <c r="C1024" s="51">
        <v>1.053</v>
      </c>
      <c r="D1024" s="51">
        <v>68.0</v>
      </c>
      <c r="E1024" s="52" t="s">
        <v>25</v>
      </c>
      <c r="F1024" s="52" t="s">
        <v>26</v>
      </c>
      <c r="G1024" s="53"/>
    </row>
    <row r="1025">
      <c r="A1025" s="49">
        <v>45031.453097488426</v>
      </c>
      <c r="B1025" s="50">
        <v>45031.5780701851</v>
      </c>
      <c r="C1025" s="51">
        <v>1.053</v>
      </c>
      <c r="D1025" s="51">
        <v>68.0</v>
      </c>
      <c r="E1025" s="52" t="s">
        <v>25</v>
      </c>
      <c r="F1025" s="52" t="s">
        <v>26</v>
      </c>
      <c r="G1025" s="53"/>
    </row>
    <row r="1026">
      <c r="A1026" s="49">
        <v>45031.46355579861</v>
      </c>
      <c r="B1026" s="50">
        <v>45031.5885247106</v>
      </c>
      <c r="C1026" s="51">
        <v>1.053</v>
      </c>
      <c r="D1026" s="51">
        <v>68.0</v>
      </c>
      <c r="E1026" s="52" t="s">
        <v>25</v>
      </c>
      <c r="F1026" s="52" t="s">
        <v>26</v>
      </c>
      <c r="G1026" s="53"/>
    </row>
    <row r="1027">
      <c r="A1027" s="49">
        <v>45031.47397348379</v>
      </c>
      <c r="B1027" s="50">
        <v>45031.5989458564</v>
      </c>
      <c r="C1027" s="51">
        <v>1.053</v>
      </c>
      <c r="D1027" s="51">
        <v>68.0</v>
      </c>
      <c r="E1027" s="52" t="s">
        <v>25</v>
      </c>
      <c r="F1027" s="52" t="s">
        <v>26</v>
      </c>
      <c r="G1027" s="53"/>
    </row>
    <row r="1028">
      <c r="A1028" s="49">
        <v>45031.48440194444</v>
      </c>
      <c r="B1028" s="50">
        <v>45031.6093674421</v>
      </c>
      <c r="C1028" s="51">
        <v>1.053</v>
      </c>
      <c r="D1028" s="51">
        <v>68.0</v>
      </c>
      <c r="E1028" s="52" t="s">
        <v>25</v>
      </c>
      <c r="F1028" s="52" t="s">
        <v>26</v>
      </c>
      <c r="G1028" s="53"/>
    </row>
    <row r="1029">
      <c r="A1029" s="49">
        <v>45031.49483207176</v>
      </c>
      <c r="B1029" s="50">
        <v>45031.6197994676</v>
      </c>
      <c r="C1029" s="51">
        <v>1.053</v>
      </c>
      <c r="D1029" s="51">
        <v>68.0</v>
      </c>
      <c r="E1029" s="52" t="s">
        <v>25</v>
      </c>
      <c r="F1029" s="52" t="s">
        <v>26</v>
      </c>
      <c r="G1029" s="53"/>
    </row>
    <row r="1030">
      <c r="A1030" s="49">
        <v>45031.50524951389</v>
      </c>
      <c r="B1030" s="50">
        <v>45031.630220162</v>
      </c>
      <c r="C1030" s="51">
        <v>1.053</v>
      </c>
      <c r="D1030" s="51">
        <v>68.0</v>
      </c>
      <c r="E1030" s="52" t="s">
        <v>25</v>
      </c>
      <c r="F1030" s="52" t="s">
        <v>26</v>
      </c>
      <c r="G1030" s="53"/>
    </row>
    <row r="1031">
      <c r="A1031" s="49">
        <v>45031.51566833333</v>
      </c>
      <c r="B1031" s="50">
        <v>45031.6406409143</v>
      </c>
      <c r="C1031" s="51">
        <v>1.053</v>
      </c>
      <c r="D1031" s="51">
        <v>68.0</v>
      </c>
      <c r="E1031" s="52" t="s">
        <v>25</v>
      </c>
      <c r="F1031" s="52" t="s">
        <v>26</v>
      </c>
      <c r="G1031" s="53"/>
    </row>
    <row r="1032">
      <c r="A1032" s="49">
        <v>45031.526092500004</v>
      </c>
      <c r="B1032" s="50">
        <v>45031.6510624768</v>
      </c>
      <c r="C1032" s="51">
        <v>1.053</v>
      </c>
      <c r="D1032" s="51">
        <v>68.0</v>
      </c>
      <c r="E1032" s="52" t="s">
        <v>25</v>
      </c>
      <c r="F1032" s="52" t="s">
        <v>26</v>
      </c>
      <c r="G1032" s="53"/>
    </row>
    <row r="1033">
      <c r="A1033" s="49">
        <v>45031.53651935185</v>
      </c>
      <c r="B1033" s="50">
        <v>45031.6614841203</v>
      </c>
      <c r="C1033" s="51">
        <v>1.053</v>
      </c>
      <c r="D1033" s="51">
        <v>68.0</v>
      </c>
      <c r="E1033" s="52" t="s">
        <v>25</v>
      </c>
      <c r="F1033" s="52" t="s">
        <v>26</v>
      </c>
      <c r="G1033" s="53"/>
    </row>
    <row r="1034">
      <c r="A1034" s="49">
        <v>45031.546925601855</v>
      </c>
      <c r="B1034" s="50">
        <v>45031.6719062037</v>
      </c>
      <c r="C1034" s="51">
        <v>1.053</v>
      </c>
      <c r="D1034" s="51">
        <v>68.0</v>
      </c>
      <c r="E1034" s="52" t="s">
        <v>25</v>
      </c>
      <c r="F1034" s="52" t="s">
        <v>26</v>
      </c>
      <c r="G1034" s="53"/>
    </row>
    <row r="1035">
      <c r="A1035" s="49">
        <v>45031.557354652774</v>
      </c>
      <c r="B1035" s="50">
        <v>45031.6823279166</v>
      </c>
      <c r="C1035" s="51">
        <v>1.053</v>
      </c>
      <c r="D1035" s="51">
        <v>68.0</v>
      </c>
      <c r="E1035" s="52" t="s">
        <v>25</v>
      </c>
      <c r="F1035" s="52" t="s">
        <v>26</v>
      </c>
      <c r="G1035" s="53"/>
    </row>
    <row r="1036">
      <c r="A1036" s="49">
        <v>45031.56778380787</v>
      </c>
      <c r="B1036" s="50">
        <v>45031.6927488194</v>
      </c>
      <c r="C1036" s="51">
        <v>1.053</v>
      </c>
      <c r="D1036" s="51">
        <v>68.0</v>
      </c>
      <c r="E1036" s="52" t="s">
        <v>25</v>
      </c>
      <c r="F1036" s="52" t="s">
        <v>26</v>
      </c>
      <c r="G1036" s="53"/>
    </row>
    <row r="1037">
      <c r="A1037" s="49">
        <v>45031.578206527774</v>
      </c>
      <c r="B1037" s="50">
        <v>45031.7031714699</v>
      </c>
      <c r="C1037" s="51">
        <v>1.053</v>
      </c>
      <c r="D1037" s="51">
        <v>68.0</v>
      </c>
      <c r="E1037" s="52" t="s">
        <v>25</v>
      </c>
      <c r="F1037" s="52" t="s">
        <v>26</v>
      </c>
      <c r="G1037" s="53"/>
    </row>
    <row r="1038">
      <c r="A1038" s="49">
        <v>45031.58861943287</v>
      </c>
      <c r="B1038" s="50">
        <v>45031.7135939351</v>
      </c>
      <c r="C1038" s="51">
        <v>1.053</v>
      </c>
      <c r="D1038" s="51">
        <v>68.0</v>
      </c>
      <c r="E1038" s="52" t="s">
        <v>25</v>
      </c>
      <c r="F1038" s="52" t="s">
        <v>26</v>
      </c>
      <c r="G1038" s="53"/>
    </row>
    <row r="1039">
      <c r="A1039" s="49">
        <v>45031.59904666667</v>
      </c>
      <c r="B1039" s="50">
        <v>45031.7240246296</v>
      </c>
      <c r="C1039" s="51">
        <v>1.053</v>
      </c>
      <c r="D1039" s="51">
        <v>68.0</v>
      </c>
      <c r="E1039" s="52" t="s">
        <v>25</v>
      </c>
      <c r="F1039" s="52" t="s">
        <v>26</v>
      </c>
      <c r="G1039" s="53"/>
    </row>
    <row r="1040">
      <c r="A1040" s="49">
        <v>45031.609486643516</v>
      </c>
      <c r="B1040" s="50">
        <v>45031.7344567129</v>
      </c>
      <c r="C1040" s="51">
        <v>1.053</v>
      </c>
      <c r="D1040" s="51">
        <v>68.0</v>
      </c>
      <c r="E1040" s="52" t="s">
        <v>25</v>
      </c>
      <c r="F1040" s="52" t="s">
        <v>26</v>
      </c>
      <c r="G1040" s="53"/>
    </row>
    <row r="1041">
      <c r="A1041" s="49">
        <v>45031.61990983796</v>
      </c>
      <c r="B1041" s="50">
        <v>45031.7448778472</v>
      </c>
      <c r="C1041" s="51">
        <v>1.053</v>
      </c>
      <c r="D1041" s="51">
        <v>68.0</v>
      </c>
      <c r="E1041" s="52" t="s">
        <v>25</v>
      </c>
      <c r="F1041" s="52" t="s">
        <v>26</v>
      </c>
      <c r="G1041" s="53"/>
    </row>
    <row r="1042">
      <c r="A1042" s="49">
        <v>45031.63033005787</v>
      </c>
      <c r="B1042" s="50">
        <v>45031.7553001273</v>
      </c>
      <c r="C1042" s="51">
        <v>1.053</v>
      </c>
      <c r="D1042" s="51">
        <v>68.0</v>
      </c>
      <c r="E1042" s="52" t="s">
        <v>25</v>
      </c>
      <c r="F1042" s="52" t="s">
        <v>26</v>
      </c>
      <c r="G1042" s="53"/>
    </row>
    <row r="1043">
      <c r="A1043" s="49">
        <v>45031.640745069446</v>
      </c>
      <c r="B1043" s="50">
        <v>45031.7657215509</v>
      </c>
      <c r="C1043" s="51">
        <v>1.053</v>
      </c>
      <c r="D1043" s="51">
        <v>68.0</v>
      </c>
      <c r="E1043" s="52" t="s">
        <v>25</v>
      </c>
      <c r="F1043" s="52" t="s">
        <v>26</v>
      </c>
      <c r="G1043" s="53"/>
    </row>
    <row r="1044">
      <c r="A1044" s="49">
        <v>45031.651167268516</v>
      </c>
      <c r="B1044" s="50">
        <v>45031.7761423148</v>
      </c>
      <c r="C1044" s="51">
        <v>1.053</v>
      </c>
      <c r="D1044" s="51">
        <v>68.0</v>
      </c>
      <c r="E1044" s="52" t="s">
        <v>25</v>
      </c>
      <c r="F1044" s="52" t="s">
        <v>26</v>
      </c>
      <c r="G1044" s="53"/>
    </row>
    <row r="1045">
      <c r="A1045" s="49">
        <v>45031.66159819445</v>
      </c>
      <c r="B1045" s="50">
        <v>45031.7865741203</v>
      </c>
      <c r="C1045" s="51">
        <v>1.053</v>
      </c>
      <c r="D1045" s="51">
        <v>68.0</v>
      </c>
      <c r="E1045" s="52" t="s">
        <v>25</v>
      </c>
      <c r="F1045" s="52" t="s">
        <v>26</v>
      </c>
      <c r="G1045" s="53"/>
    </row>
    <row r="1046">
      <c r="A1046" s="49">
        <v>45031.672016550925</v>
      </c>
      <c r="B1046" s="50">
        <v>45031.7969954166</v>
      </c>
      <c r="C1046" s="51">
        <v>1.053</v>
      </c>
      <c r="D1046" s="51">
        <v>68.0</v>
      </c>
      <c r="E1046" s="52" t="s">
        <v>25</v>
      </c>
      <c r="F1046" s="52" t="s">
        <v>26</v>
      </c>
      <c r="G1046" s="53"/>
    </row>
    <row r="1047">
      <c r="A1047" s="49">
        <v>45031.682439490745</v>
      </c>
      <c r="B1047" s="50">
        <v>45031.8074147801</v>
      </c>
      <c r="C1047" s="51">
        <v>1.053</v>
      </c>
      <c r="D1047" s="51">
        <v>68.0</v>
      </c>
      <c r="E1047" s="52" t="s">
        <v>25</v>
      </c>
      <c r="F1047" s="52" t="s">
        <v>26</v>
      </c>
      <c r="G1047" s="53"/>
    </row>
    <row r="1048">
      <c r="A1048" s="49">
        <v>45031.69286649306</v>
      </c>
      <c r="B1048" s="50">
        <v>45031.8178353587</v>
      </c>
      <c r="C1048" s="51">
        <v>1.053</v>
      </c>
      <c r="D1048" s="51">
        <v>68.0</v>
      </c>
      <c r="E1048" s="52" t="s">
        <v>25</v>
      </c>
      <c r="F1048" s="52" t="s">
        <v>26</v>
      </c>
      <c r="G1048" s="53"/>
    </row>
    <row r="1049">
      <c r="A1049" s="49">
        <v>45031.70330945602</v>
      </c>
      <c r="B1049" s="50">
        <v>45031.8282817129</v>
      </c>
      <c r="C1049" s="51">
        <v>1.053</v>
      </c>
      <c r="D1049" s="51">
        <v>68.0</v>
      </c>
      <c r="E1049" s="52" t="s">
        <v>25</v>
      </c>
      <c r="F1049" s="52" t="s">
        <v>26</v>
      </c>
      <c r="G1049" s="53"/>
    </row>
    <row r="1050">
      <c r="A1050" s="49">
        <v>45031.71372541667</v>
      </c>
      <c r="B1050" s="50">
        <v>45031.8387027199</v>
      </c>
      <c r="C1050" s="51">
        <v>1.052</v>
      </c>
      <c r="D1050" s="51">
        <v>68.0</v>
      </c>
      <c r="E1050" s="52" t="s">
        <v>25</v>
      </c>
      <c r="F1050" s="52" t="s">
        <v>26</v>
      </c>
      <c r="G1050" s="53"/>
    </row>
    <row r="1051">
      <c r="A1051" s="49">
        <v>45031.72415246528</v>
      </c>
      <c r="B1051" s="50">
        <v>45031.8491228935</v>
      </c>
      <c r="C1051" s="51">
        <v>1.052</v>
      </c>
      <c r="D1051" s="51">
        <v>68.0</v>
      </c>
      <c r="E1051" s="52" t="s">
        <v>25</v>
      </c>
      <c r="F1051" s="52" t="s">
        <v>26</v>
      </c>
      <c r="G1051" s="53"/>
    </row>
    <row r="1052">
      <c r="A1052" s="49">
        <v>45031.7345812037</v>
      </c>
      <c r="B1052" s="50">
        <v>45031.8595438425</v>
      </c>
      <c r="C1052" s="51">
        <v>1.052</v>
      </c>
      <c r="D1052" s="51">
        <v>68.0</v>
      </c>
      <c r="E1052" s="52" t="s">
        <v>25</v>
      </c>
      <c r="F1052" s="52" t="s">
        <v>26</v>
      </c>
      <c r="G1052" s="53"/>
    </row>
    <row r="1053">
      <c r="A1053" s="49">
        <v>45031.7449962963</v>
      </c>
      <c r="B1053" s="50">
        <v>45031.8699661458</v>
      </c>
      <c r="C1053" s="51">
        <v>1.052</v>
      </c>
      <c r="D1053" s="51">
        <v>68.0</v>
      </c>
      <c r="E1053" s="52" t="s">
        <v>25</v>
      </c>
      <c r="F1053" s="52" t="s">
        <v>26</v>
      </c>
      <c r="G1053" s="53"/>
    </row>
    <row r="1054">
      <c r="A1054" s="49">
        <v>45031.75541269676</v>
      </c>
      <c r="B1054" s="50">
        <v>45031.880388912</v>
      </c>
      <c r="C1054" s="51">
        <v>1.052</v>
      </c>
      <c r="D1054" s="51">
        <v>68.0</v>
      </c>
      <c r="E1054" s="52" t="s">
        <v>25</v>
      </c>
      <c r="F1054" s="52" t="s">
        <v>26</v>
      </c>
      <c r="G1054" s="53"/>
    </row>
    <row r="1055">
      <c r="A1055" s="49">
        <v>45031.765836192135</v>
      </c>
      <c r="B1055" s="50">
        <v>45031.8908085763</v>
      </c>
      <c r="C1055" s="51">
        <v>1.052</v>
      </c>
      <c r="D1055" s="51">
        <v>68.0</v>
      </c>
      <c r="E1055" s="52" t="s">
        <v>25</v>
      </c>
      <c r="F1055" s="52" t="s">
        <v>26</v>
      </c>
      <c r="G1055" s="53"/>
    </row>
    <row r="1056">
      <c r="A1056" s="49">
        <v>45031.776256157405</v>
      </c>
      <c r="B1056" s="50">
        <v>45031.9012284606</v>
      </c>
      <c r="C1056" s="51">
        <v>1.052</v>
      </c>
      <c r="D1056" s="51">
        <v>68.0</v>
      </c>
      <c r="E1056" s="52" t="s">
        <v>25</v>
      </c>
      <c r="F1056" s="52" t="s">
        <v>26</v>
      </c>
      <c r="G1056" s="53"/>
    </row>
    <row r="1057">
      <c r="A1057" s="49">
        <v>45031.78667606482</v>
      </c>
      <c r="B1057" s="50">
        <v>45031.911650706</v>
      </c>
      <c r="C1057" s="51">
        <v>1.052</v>
      </c>
      <c r="D1057" s="51">
        <v>68.0</v>
      </c>
      <c r="E1057" s="52" t="s">
        <v>25</v>
      </c>
      <c r="F1057" s="52" t="s">
        <v>26</v>
      </c>
      <c r="G1057" s="53"/>
    </row>
    <row r="1058">
      <c r="A1058" s="49">
        <v>45031.79709975694</v>
      </c>
      <c r="B1058" s="50">
        <v>45031.922071412</v>
      </c>
      <c r="C1058" s="51">
        <v>1.052</v>
      </c>
      <c r="D1058" s="51">
        <v>68.0</v>
      </c>
      <c r="E1058" s="52" t="s">
        <v>25</v>
      </c>
      <c r="F1058" s="52" t="s">
        <v>26</v>
      </c>
      <c r="G1058" s="53"/>
    </row>
    <row r="1059">
      <c r="A1059" s="49">
        <v>45031.80752592593</v>
      </c>
      <c r="B1059" s="50">
        <v>45031.9324923263</v>
      </c>
      <c r="C1059" s="51">
        <v>1.052</v>
      </c>
      <c r="D1059" s="51">
        <v>68.0</v>
      </c>
      <c r="E1059" s="52" t="s">
        <v>25</v>
      </c>
      <c r="F1059" s="52" t="s">
        <v>26</v>
      </c>
      <c r="G1059" s="53"/>
    </row>
    <row r="1060">
      <c r="A1060" s="49">
        <v>45031.81793846065</v>
      </c>
      <c r="B1060" s="50">
        <v>45031.9429143402</v>
      </c>
      <c r="C1060" s="51">
        <v>1.052</v>
      </c>
      <c r="D1060" s="51">
        <v>68.0</v>
      </c>
      <c r="E1060" s="52" t="s">
        <v>25</v>
      </c>
      <c r="F1060" s="52" t="s">
        <v>26</v>
      </c>
      <c r="G1060" s="53"/>
    </row>
    <row r="1061">
      <c r="A1061" s="49">
        <v>45031.82837422454</v>
      </c>
      <c r="B1061" s="50">
        <v>45031.9533472569</v>
      </c>
      <c r="C1061" s="51">
        <v>1.052</v>
      </c>
      <c r="D1061" s="51">
        <v>68.0</v>
      </c>
      <c r="E1061" s="52" t="s">
        <v>25</v>
      </c>
      <c r="F1061" s="52" t="s">
        <v>26</v>
      </c>
      <c r="G1061" s="53"/>
    </row>
    <row r="1062">
      <c r="A1062" s="49">
        <v>45031.83879001158</v>
      </c>
      <c r="B1062" s="50">
        <v>45031.96376853</v>
      </c>
      <c r="C1062" s="51">
        <v>1.052</v>
      </c>
      <c r="D1062" s="51">
        <v>68.0</v>
      </c>
      <c r="E1062" s="52" t="s">
        <v>25</v>
      </c>
      <c r="F1062" s="52" t="s">
        <v>26</v>
      </c>
      <c r="G1062" s="53"/>
    </row>
    <row r="1063">
      <c r="A1063" s="49">
        <v>45031.84921493055</v>
      </c>
      <c r="B1063" s="50">
        <v>45031.9741901967</v>
      </c>
      <c r="C1063" s="51">
        <v>1.052</v>
      </c>
      <c r="D1063" s="51">
        <v>68.0</v>
      </c>
      <c r="E1063" s="52" t="s">
        <v>25</v>
      </c>
      <c r="F1063" s="52" t="s">
        <v>26</v>
      </c>
      <c r="G1063" s="53"/>
    </row>
    <row r="1064">
      <c r="A1064" s="49">
        <v>45031.85967546296</v>
      </c>
      <c r="B1064" s="50">
        <v>45031.984645081</v>
      </c>
      <c r="C1064" s="51">
        <v>1.052</v>
      </c>
      <c r="D1064" s="51">
        <v>68.0</v>
      </c>
      <c r="E1064" s="52" t="s">
        <v>25</v>
      </c>
      <c r="F1064" s="52" t="s">
        <v>26</v>
      </c>
      <c r="G1064" s="53"/>
    </row>
    <row r="1065">
      <c r="A1065" s="49">
        <v>45031.8701009375</v>
      </c>
      <c r="B1065" s="50">
        <v>45031.9950669444</v>
      </c>
      <c r="C1065" s="51">
        <v>1.052</v>
      </c>
      <c r="D1065" s="51">
        <v>68.0</v>
      </c>
      <c r="E1065" s="52" t="s">
        <v>25</v>
      </c>
      <c r="F1065" s="52" t="s">
        <v>26</v>
      </c>
      <c r="G1065" s="53"/>
    </row>
    <row r="1066">
      <c r="A1066" s="49">
        <v>45031.88051643518</v>
      </c>
      <c r="B1066" s="50">
        <v>45032.0054896759</v>
      </c>
      <c r="C1066" s="51">
        <v>1.052</v>
      </c>
      <c r="D1066" s="51">
        <v>68.0</v>
      </c>
      <c r="E1066" s="52" t="s">
        <v>25</v>
      </c>
      <c r="F1066" s="52" t="s">
        <v>26</v>
      </c>
      <c r="G1066" s="53"/>
    </row>
    <row r="1067">
      <c r="A1067" s="49">
        <v>45031.89094615741</v>
      </c>
      <c r="B1067" s="50">
        <v>45032.0159135416</v>
      </c>
      <c r="C1067" s="51">
        <v>1.052</v>
      </c>
      <c r="D1067" s="51">
        <v>68.0</v>
      </c>
      <c r="E1067" s="52" t="s">
        <v>25</v>
      </c>
      <c r="F1067" s="52" t="s">
        <v>26</v>
      </c>
      <c r="G1067" s="53"/>
    </row>
    <row r="1068">
      <c r="A1068" s="49">
        <v>45031.90136173611</v>
      </c>
      <c r="B1068" s="50">
        <v>45032.0263347106</v>
      </c>
      <c r="C1068" s="51">
        <v>1.052</v>
      </c>
      <c r="D1068" s="51">
        <v>68.0</v>
      </c>
      <c r="E1068" s="52" t="s">
        <v>25</v>
      </c>
      <c r="F1068" s="52" t="s">
        <v>26</v>
      </c>
      <c r="G1068" s="53"/>
    </row>
    <row r="1069">
      <c r="A1069" s="49">
        <v>45031.911783240736</v>
      </c>
      <c r="B1069" s="50">
        <v>45032.0367558449</v>
      </c>
      <c r="C1069" s="51">
        <v>1.052</v>
      </c>
      <c r="D1069" s="51">
        <v>68.0</v>
      </c>
      <c r="E1069" s="52" t="s">
        <v>25</v>
      </c>
      <c r="F1069" s="52" t="s">
        <v>26</v>
      </c>
      <c r="G1069" s="53"/>
    </row>
    <row r="1070">
      <c r="A1070" s="49">
        <v>45031.92221238426</v>
      </c>
      <c r="B1070" s="50">
        <v>45032.0471898611</v>
      </c>
      <c r="C1070" s="51">
        <v>1.052</v>
      </c>
      <c r="D1070" s="51">
        <v>68.0</v>
      </c>
      <c r="E1070" s="52" t="s">
        <v>25</v>
      </c>
      <c r="F1070" s="52" t="s">
        <v>26</v>
      </c>
      <c r="G1070" s="53"/>
    </row>
    <row r="1071">
      <c r="A1071" s="49">
        <v>45031.93264585648</v>
      </c>
      <c r="B1071" s="50">
        <v>45032.0576116551</v>
      </c>
      <c r="C1071" s="51">
        <v>1.052</v>
      </c>
      <c r="D1071" s="51">
        <v>68.0</v>
      </c>
      <c r="E1071" s="52" t="s">
        <v>25</v>
      </c>
      <c r="F1071" s="52" t="s">
        <v>26</v>
      </c>
      <c r="G1071" s="53"/>
    </row>
    <row r="1072">
      <c r="A1072" s="49">
        <v>45031.94472670139</v>
      </c>
      <c r="B1072" s="50">
        <v>45032.0680324305</v>
      </c>
      <c r="C1072" s="51">
        <v>1.051</v>
      </c>
      <c r="D1072" s="51">
        <v>68.0</v>
      </c>
      <c r="E1072" s="52" t="s">
        <v>25</v>
      </c>
      <c r="F1072" s="52" t="s">
        <v>26</v>
      </c>
      <c r="G1072" s="53"/>
    </row>
    <row r="1073">
      <c r="A1073" s="49">
        <v>45031.95348762731</v>
      </c>
      <c r="B1073" s="50">
        <v>45032.0784645254</v>
      </c>
      <c r="C1073" s="51">
        <v>1.051</v>
      </c>
      <c r="D1073" s="51">
        <v>68.0</v>
      </c>
      <c r="E1073" s="52" t="s">
        <v>25</v>
      </c>
      <c r="F1073" s="52" t="s">
        <v>26</v>
      </c>
      <c r="G1073" s="53"/>
    </row>
    <row r="1074">
      <c r="A1074" s="49">
        <v>45031.96391409722</v>
      </c>
      <c r="B1074" s="50">
        <v>45032.0888867361</v>
      </c>
      <c r="C1074" s="51">
        <v>1.052</v>
      </c>
      <c r="D1074" s="51">
        <v>68.0</v>
      </c>
      <c r="E1074" s="52" t="s">
        <v>25</v>
      </c>
      <c r="F1074" s="52" t="s">
        <v>26</v>
      </c>
      <c r="G1074" s="53"/>
    </row>
    <row r="1075">
      <c r="A1075" s="49">
        <v>45031.97433114583</v>
      </c>
      <c r="B1075" s="50">
        <v>45032.0993068981</v>
      </c>
      <c r="C1075" s="51">
        <v>1.052</v>
      </c>
      <c r="D1075" s="51">
        <v>68.0</v>
      </c>
      <c r="E1075" s="52" t="s">
        <v>25</v>
      </c>
      <c r="F1075" s="52" t="s">
        <v>26</v>
      </c>
      <c r="G1075" s="53"/>
    </row>
    <row r="1076">
      <c r="A1076" s="49">
        <v>45031.98474679398</v>
      </c>
      <c r="B1076" s="50">
        <v>45032.109727743</v>
      </c>
      <c r="C1076" s="51">
        <v>1.052</v>
      </c>
      <c r="D1076" s="51">
        <v>68.0</v>
      </c>
      <c r="E1076" s="52" t="s">
        <v>25</v>
      </c>
      <c r="F1076" s="52" t="s">
        <v>26</v>
      </c>
      <c r="G1076" s="53"/>
    </row>
    <row r="1077">
      <c r="A1077" s="49">
        <v>45031.99517703704</v>
      </c>
      <c r="B1077" s="50">
        <v>45032.1201473842</v>
      </c>
      <c r="C1077" s="51">
        <v>1.052</v>
      </c>
      <c r="D1077" s="51">
        <v>68.0</v>
      </c>
      <c r="E1077" s="52" t="s">
        <v>25</v>
      </c>
      <c r="F1077" s="52" t="s">
        <v>26</v>
      </c>
      <c r="G1077" s="53"/>
    </row>
    <row r="1078">
      <c r="A1078" s="49">
        <v>45032.00559246528</v>
      </c>
      <c r="B1078" s="50">
        <v>45032.1305673379</v>
      </c>
      <c r="C1078" s="51">
        <v>1.051</v>
      </c>
      <c r="D1078" s="51">
        <v>68.0</v>
      </c>
      <c r="E1078" s="52" t="s">
        <v>25</v>
      </c>
      <c r="F1078" s="52" t="s">
        <v>26</v>
      </c>
      <c r="G1078" s="53"/>
    </row>
    <row r="1079">
      <c r="A1079" s="49">
        <v>45032.01600866899</v>
      </c>
      <c r="B1079" s="50">
        <v>45032.1409878009</v>
      </c>
      <c r="C1079" s="51">
        <v>1.051</v>
      </c>
      <c r="D1079" s="51">
        <v>68.0</v>
      </c>
      <c r="E1079" s="52" t="s">
        <v>25</v>
      </c>
      <c r="F1079" s="52" t="s">
        <v>26</v>
      </c>
      <c r="G1079" s="53"/>
    </row>
    <row r="1080">
      <c r="A1080" s="49">
        <v>45032.02643736111</v>
      </c>
      <c r="B1080" s="50">
        <v>45032.1514087847</v>
      </c>
      <c r="C1080" s="51">
        <v>1.051</v>
      </c>
      <c r="D1080" s="51">
        <v>68.0</v>
      </c>
      <c r="E1080" s="52" t="s">
        <v>25</v>
      </c>
      <c r="F1080" s="52" t="s">
        <v>26</v>
      </c>
      <c r="G1080" s="53"/>
    </row>
    <row r="1081">
      <c r="A1081" s="49">
        <v>45032.03685446759</v>
      </c>
      <c r="B1081" s="50">
        <v>45032.1618282523</v>
      </c>
      <c r="C1081" s="51">
        <v>1.051</v>
      </c>
      <c r="D1081" s="51">
        <v>68.0</v>
      </c>
      <c r="E1081" s="52" t="s">
        <v>25</v>
      </c>
      <c r="F1081" s="52" t="s">
        <v>26</v>
      </c>
      <c r="G1081" s="53"/>
    </row>
    <row r="1082">
      <c r="A1082" s="49">
        <v>45032.04727782407</v>
      </c>
      <c r="B1082" s="50">
        <v>45032.1722500694</v>
      </c>
      <c r="C1082" s="51">
        <v>1.051</v>
      </c>
      <c r="D1082" s="51">
        <v>68.0</v>
      </c>
      <c r="E1082" s="52" t="s">
        <v>25</v>
      </c>
      <c r="F1082" s="52" t="s">
        <v>26</v>
      </c>
      <c r="G1082" s="53"/>
    </row>
    <row r="1083">
      <c r="A1083" s="49">
        <v>45032.05770181713</v>
      </c>
      <c r="B1083" s="50">
        <v>45032.1826810185</v>
      </c>
      <c r="C1083" s="51">
        <v>1.051</v>
      </c>
      <c r="D1083" s="51">
        <v>68.0</v>
      </c>
      <c r="E1083" s="52" t="s">
        <v>25</v>
      </c>
      <c r="F1083" s="52" t="s">
        <v>26</v>
      </c>
      <c r="G1083" s="53"/>
    </row>
    <row r="1084">
      <c r="A1084" s="49">
        <v>45032.068150543986</v>
      </c>
      <c r="B1084" s="50">
        <v>45032.1931252893</v>
      </c>
      <c r="C1084" s="51">
        <v>1.051</v>
      </c>
      <c r="D1084" s="51">
        <v>68.0</v>
      </c>
      <c r="E1084" s="52" t="s">
        <v>25</v>
      </c>
      <c r="F1084" s="52" t="s">
        <v>26</v>
      </c>
      <c r="G1084" s="53"/>
    </row>
    <row r="1085">
      <c r="A1085" s="49">
        <v>45032.07857715277</v>
      </c>
      <c r="B1085" s="50">
        <v>45032.2035451041</v>
      </c>
      <c r="C1085" s="51">
        <v>1.051</v>
      </c>
      <c r="D1085" s="51">
        <v>68.0</v>
      </c>
      <c r="E1085" s="52" t="s">
        <v>25</v>
      </c>
      <c r="F1085" s="52" t="s">
        <v>26</v>
      </c>
      <c r="G1085" s="53"/>
    </row>
    <row r="1086">
      <c r="A1086" s="49">
        <v>45032.088997071754</v>
      </c>
      <c r="B1086" s="50">
        <v>45032.2139781828</v>
      </c>
      <c r="C1086" s="51">
        <v>1.051</v>
      </c>
      <c r="D1086" s="51">
        <v>68.0</v>
      </c>
      <c r="E1086" s="52" t="s">
        <v>25</v>
      </c>
      <c r="F1086" s="52" t="s">
        <v>26</v>
      </c>
      <c r="G1086" s="53"/>
    </row>
    <row r="1087">
      <c r="A1087" s="49">
        <v>45032.09942194444</v>
      </c>
      <c r="B1087" s="50">
        <v>45032.2244003472</v>
      </c>
      <c r="C1087" s="51">
        <v>1.051</v>
      </c>
      <c r="D1087" s="51">
        <v>68.0</v>
      </c>
      <c r="E1087" s="52" t="s">
        <v>25</v>
      </c>
      <c r="F1087" s="52" t="s">
        <v>26</v>
      </c>
      <c r="G1087" s="53"/>
    </row>
    <row r="1088">
      <c r="A1088" s="49">
        <v>45032.10985</v>
      </c>
      <c r="B1088" s="50">
        <v>45032.2348211805</v>
      </c>
      <c r="C1088" s="51">
        <v>1.051</v>
      </c>
      <c r="D1088" s="51">
        <v>68.0</v>
      </c>
      <c r="E1088" s="52" t="s">
        <v>25</v>
      </c>
      <c r="F1088" s="52" t="s">
        <v>26</v>
      </c>
      <c r="G1088" s="53"/>
    </row>
    <row r="1089">
      <c r="A1089" s="49">
        <v>45032.12029011574</v>
      </c>
      <c r="B1089" s="50">
        <v>45032.2452424305</v>
      </c>
      <c r="C1089" s="51">
        <v>1.051</v>
      </c>
      <c r="D1089" s="51">
        <v>68.0</v>
      </c>
      <c r="E1089" s="52" t="s">
        <v>25</v>
      </c>
      <c r="F1089" s="52" t="s">
        <v>26</v>
      </c>
      <c r="G1089" s="53"/>
    </row>
    <row r="1090">
      <c r="A1090" s="49">
        <v>45032.13069398148</v>
      </c>
      <c r="B1090" s="50">
        <v>45032.2556639814</v>
      </c>
      <c r="C1090" s="51">
        <v>1.051</v>
      </c>
      <c r="D1090" s="51">
        <v>68.0</v>
      </c>
      <c r="E1090" s="52" t="s">
        <v>25</v>
      </c>
      <c r="F1090" s="52" t="s">
        <v>26</v>
      </c>
      <c r="G1090" s="53"/>
    </row>
    <row r="1091">
      <c r="A1091" s="49">
        <v>45032.14110759259</v>
      </c>
      <c r="B1091" s="50">
        <v>45032.2660841203</v>
      </c>
      <c r="C1091" s="51">
        <v>1.051</v>
      </c>
      <c r="D1091" s="51">
        <v>68.0</v>
      </c>
      <c r="E1091" s="52" t="s">
        <v>25</v>
      </c>
      <c r="F1091" s="52" t="s">
        <v>26</v>
      </c>
      <c r="G1091" s="53"/>
    </row>
    <row r="1092">
      <c r="A1092" s="49">
        <v>45032.15154450231</v>
      </c>
      <c r="B1092" s="50">
        <v>45032.2765164699</v>
      </c>
      <c r="C1092" s="51">
        <v>1.051</v>
      </c>
      <c r="D1092" s="51">
        <v>68.0</v>
      </c>
      <c r="E1092" s="52" t="s">
        <v>25</v>
      </c>
      <c r="F1092" s="52" t="s">
        <v>26</v>
      </c>
      <c r="G1092" s="53"/>
    </row>
    <row r="1093">
      <c r="A1093" s="49">
        <v>45032.161969293986</v>
      </c>
      <c r="B1093" s="50">
        <v>45032.2869387847</v>
      </c>
      <c r="C1093" s="51">
        <v>1.051</v>
      </c>
      <c r="D1093" s="51">
        <v>68.0</v>
      </c>
      <c r="E1093" s="52" t="s">
        <v>25</v>
      </c>
      <c r="F1093" s="52" t="s">
        <v>26</v>
      </c>
      <c r="G1093" s="53"/>
    </row>
    <row r="1094">
      <c r="A1094" s="49">
        <v>45032.1723834838</v>
      </c>
      <c r="B1094" s="50">
        <v>45032.2973589583</v>
      </c>
      <c r="C1094" s="51">
        <v>1.051</v>
      </c>
      <c r="D1094" s="51">
        <v>68.0</v>
      </c>
      <c r="E1094" s="52" t="s">
        <v>25</v>
      </c>
      <c r="F1094" s="52" t="s">
        <v>26</v>
      </c>
      <c r="G1094" s="53"/>
    </row>
    <row r="1095">
      <c r="A1095" s="49">
        <v>45032.182806805555</v>
      </c>
      <c r="B1095" s="50">
        <v>45032.3077807291</v>
      </c>
      <c r="C1095" s="51">
        <v>1.051</v>
      </c>
      <c r="D1095" s="51">
        <v>68.0</v>
      </c>
      <c r="E1095" s="52" t="s">
        <v>25</v>
      </c>
      <c r="F1095" s="52" t="s">
        <v>26</v>
      </c>
      <c r="G1095" s="53"/>
    </row>
    <row r="1096">
      <c r="A1096" s="49">
        <v>45032.193231261575</v>
      </c>
      <c r="B1096" s="50">
        <v>45032.3182013888</v>
      </c>
      <c r="C1096" s="51">
        <v>1.051</v>
      </c>
      <c r="D1096" s="51">
        <v>68.0</v>
      </c>
      <c r="E1096" s="52" t="s">
        <v>25</v>
      </c>
      <c r="F1096" s="52" t="s">
        <v>26</v>
      </c>
      <c r="G1096" s="53"/>
    </row>
    <row r="1097">
      <c r="A1097" s="49">
        <v>45032.20365258102</v>
      </c>
      <c r="B1097" s="50">
        <v>45032.3286229514</v>
      </c>
      <c r="C1097" s="51">
        <v>1.051</v>
      </c>
      <c r="D1097" s="51">
        <v>68.0</v>
      </c>
      <c r="E1097" s="52" t="s">
        <v>25</v>
      </c>
      <c r="F1097" s="52" t="s">
        <v>26</v>
      </c>
      <c r="G1097" s="53"/>
    </row>
    <row r="1098">
      <c r="A1098" s="49">
        <v>45032.21406982639</v>
      </c>
      <c r="B1098" s="50">
        <v>45032.339042581</v>
      </c>
      <c r="C1098" s="51">
        <v>1.051</v>
      </c>
      <c r="D1098" s="51">
        <v>68.0</v>
      </c>
      <c r="E1098" s="52" t="s">
        <v>25</v>
      </c>
      <c r="F1098" s="52" t="s">
        <v>26</v>
      </c>
      <c r="G1098" s="53"/>
    </row>
    <row r="1099">
      <c r="A1099" s="49">
        <v>45032.22449226852</v>
      </c>
      <c r="B1099" s="50">
        <v>45032.3494651736</v>
      </c>
      <c r="C1099" s="51">
        <v>1.05</v>
      </c>
      <c r="D1099" s="51">
        <v>68.0</v>
      </c>
      <c r="E1099" s="52" t="s">
        <v>25</v>
      </c>
      <c r="F1099" s="52" t="s">
        <v>26</v>
      </c>
      <c r="G1099" s="53"/>
    </row>
    <row r="1100">
      <c r="A1100" s="49">
        <v>45032.23491481481</v>
      </c>
      <c r="B1100" s="50">
        <v>45032.3598852314</v>
      </c>
      <c r="C1100" s="51">
        <v>1.051</v>
      </c>
      <c r="D1100" s="51">
        <v>68.0</v>
      </c>
      <c r="E1100" s="52" t="s">
        <v>25</v>
      </c>
      <c r="F1100" s="52" t="s">
        <v>26</v>
      </c>
      <c r="G1100" s="53"/>
    </row>
    <row r="1101">
      <c r="A1101" s="49">
        <v>45032.24533608796</v>
      </c>
      <c r="B1101" s="50">
        <v>45032.3703066088</v>
      </c>
      <c r="C1101" s="51">
        <v>1.051</v>
      </c>
      <c r="D1101" s="51">
        <v>68.0</v>
      </c>
      <c r="E1101" s="52" t="s">
        <v>25</v>
      </c>
      <c r="F1101" s="52" t="s">
        <v>26</v>
      </c>
      <c r="G1101" s="53"/>
    </row>
    <row r="1102">
      <c r="A1102" s="49">
        <v>45032.25575496528</v>
      </c>
      <c r="B1102" s="50">
        <v>45032.3807292939</v>
      </c>
      <c r="C1102" s="51">
        <v>1.051</v>
      </c>
      <c r="D1102" s="51">
        <v>68.0</v>
      </c>
      <c r="E1102" s="52" t="s">
        <v>25</v>
      </c>
      <c r="F1102" s="52" t="s">
        <v>26</v>
      </c>
      <c r="G1102" s="53"/>
    </row>
    <row r="1103">
      <c r="A1103" s="49">
        <v>45032.26617873843</v>
      </c>
      <c r="B1103" s="50">
        <v>45032.391148912</v>
      </c>
      <c r="C1103" s="51">
        <v>1.051</v>
      </c>
      <c r="D1103" s="51">
        <v>68.0</v>
      </c>
      <c r="E1103" s="52" t="s">
        <v>25</v>
      </c>
      <c r="F1103" s="52" t="s">
        <v>26</v>
      </c>
      <c r="G1103" s="53"/>
    </row>
    <row r="1104">
      <c r="A1104" s="49">
        <v>45032.27661645833</v>
      </c>
      <c r="B1104" s="50">
        <v>45032.4015830555</v>
      </c>
      <c r="C1104" s="51">
        <v>1.051</v>
      </c>
      <c r="D1104" s="51">
        <v>68.0</v>
      </c>
      <c r="E1104" s="52" t="s">
        <v>25</v>
      </c>
      <c r="F1104" s="52" t="s">
        <v>26</v>
      </c>
      <c r="G1104" s="53"/>
    </row>
    <row r="1105">
      <c r="A1105" s="49">
        <v>45032.28702729166</v>
      </c>
      <c r="B1105" s="50">
        <v>45032.4120028588</v>
      </c>
      <c r="C1105" s="51">
        <v>1.051</v>
      </c>
      <c r="D1105" s="51">
        <v>68.0</v>
      </c>
      <c r="E1105" s="52" t="s">
        <v>25</v>
      </c>
      <c r="F1105" s="52" t="s">
        <v>26</v>
      </c>
      <c r="G1105" s="53"/>
    </row>
    <row r="1106">
      <c r="A1106" s="49">
        <v>45032.29745356481</v>
      </c>
      <c r="B1106" s="50">
        <v>45032.4224242476</v>
      </c>
      <c r="C1106" s="51">
        <v>1.05</v>
      </c>
      <c r="D1106" s="51">
        <v>68.0</v>
      </c>
      <c r="E1106" s="52" t="s">
        <v>25</v>
      </c>
      <c r="F1106" s="52" t="s">
        <v>26</v>
      </c>
      <c r="G1106" s="53"/>
    </row>
    <row r="1107">
      <c r="A1107" s="49">
        <v>45032.307871620374</v>
      </c>
      <c r="B1107" s="50">
        <v>45032.4328456713</v>
      </c>
      <c r="C1107" s="51">
        <v>1.05</v>
      </c>
      <c r="D1107" s="51">
        <v>68.0</v>
      </c>
      <c r="E1107" s="52" t="s">
        <v>25</v>
      </c>
      <c r="F1107" s="52" t="s">
        <v>26</v>
      </c>
      <c r="G1107" s="53"/>
    </row>
    <row r="1108">
      <c r="A1108" s="49">
        <v>45032.31829087963</v>
      </c>
      <c r="B1108" s="50">
        <v>45032.4432669444</v>
      </c>
      <c r="C1108" s="51">
        <v>1.05</v>
      </c>
      <c r="D1108" s="51">
        <v>68.0</v>
      </c>
      <c r="E1108" s="52" t="s">
        <v>25</v>
      </c>
      <c r="F1108" s="52" t="s">
        <v>26</v>
      </c>
      <c r="G1108" s="53"/>
    </row>
    <row r="1109">
      <c r="A1109" s="49">
        <v>45032.32871803241</v>
      </c>
      <c r="B1109" s="50">
        <v>45032.4536887731</v>
      </c>
      <c r="C1109" s="51">
        <v>1.05</v>
      </c>
      <c r="D1109" s="51">
        <v>68.0</v>
      </c>
      <c r="E1109" s="52" t="s">
        <v>25</v>
      </c>
      <c r="F1109" s="52" t="s">
        <v>26</v>
      </c>
      <c r="G1109" s="53"/>
    </row>
    <row r="1110">
      <c r="A1110" s="49">
        <v>45032.33914597222</v>
      </c>
      <c r="B1110" s="50">
        <v>45032.4641196875</v>
      </c>
      <c r="C1110" s="51">
        <v>1.05</v>
      </c>
      <c r="D1110" s="51">
        <v>68.0</v>
      </c>
      <c r="E1110" s="52" t="s">
        <v>25</v>
      </c>
      <c r="F1110" s="52" t="s">
        <v>26</v>
      </c>
      <c r="G1110" s="53"/>
    </row>
    <row r="1111">
      <c r="A1111" s="49">
        <v>45032.34956825231</v>
      </c>
      <c r="B1111" s="50">
        <v>45032.4745402314</v>
      </c>
      <c r="C1111" s="51">
        <v>1.05</v>
      </c>
      <c r="D1111" s="51">
        <v>68.0</v>
      </c>
      <c r="E1111" s="52" t="s">
        <v>25</v>
      </c>
      <c r="F1111" s="52" t="s">
        <v>26</v>
      </c>
      <c r="G1111" s="53"/>
    </row>
    <row r="1112">
      <c r="A1112" s="49">
        <v>45032.35999001157</v>
      </c>
      <c r="B1112" s="50">
        <v>45032.4849613078</v>
      </c>
      <c r="C1112" s="51">
        <v>1.05</v>
      </c>
      <c r="D1112" s="51">
        <v>68.0</v>
      </c>
      <c r="E1112" s="52" t="s">
        <v>25</v>
      </c>
      <c r="F1112" s="52" t="s">
        <v>26</v>
      </c>
      <c r="G1112" s="53"/>
    </row>
    <row r="1113">
      <c r="A1113" s="49">
        <v>45032.370399340274</v>
      </c>
      <c r="B1113" s="50">
        <v>45032.4953809027</v>
      </c>
      <c r="C1113" s="51">
        <v>1.05</v>
      </c>
      <c r="D1113" s="51">
        <v>68.0</v>
      </c>
      <c r="E1113" s="52" t="s">
        <v>25</v>
      </c>
      <c r="F1113" s="52" t="s">
        <v>26</v>
      </c>
      <c r="G1113" s="53"/>
    </row>
    <row r="1114">
      <c r="A1114" s="49">
        <v>45032.38082648148</v>
      </c>
      <c r="B1114" s="50">
        <v>45032.5058025694</v>
      </c>
      <c r="C1114" s="51">
        <v>1.05</v>
      </c>
      <c r="D1114" s="51">
        <v>68.0</v>
      </c>
      <c r="E1114" s="52" t="s">
        <v>25</v>
      </c>
      <c r="F1114" s="52" t="s">
        <v>26</v>
      </c>
      <c r="G1114" s="53"/>
    </row>
    <row r="1115">
      <c r="A1115" s="49">
        <v>45032.391253587964</v>
      </c>
      <c r="B1115" s="50">
        <v>45032.5162239583</v>
      </c>
      <c r="C1115" s="51">
        <v>1.05</v>
      </c>
      <c r="D1115" s="51">
        <v>68.0</v>
      </c>
      <c r="E1115" s="52" t="s">
        <v>25</v>
      </c>
      <c r="F1115" s="52" t="s">
        <v>26</v>
      </c>
      <c r="G1115" s="53"/>
    </row>
    <row r="1116">
      <c r="A1116" s="49">
        <v>45032.40168351852</v>
      </c>
      <c r="B1116" s="50">
        <v>45032.5266569907</v>
      </c>
      <c r="C1116" s="51">
        <v>1.05</v>
      </c>
      <c r="D1116" s="51">
        <v>68.0</v>
      </c>
      <c r="E1116" s="52" t="s">
        <v>25</v>
      </c>
      <c r="F1116" s="52" t="s">
        <v>26</v>
      </c>
      <c r="G1116" s="53"/>
    </row>
    <row r="1117">
      <c r="A1117" s="49">
        <v>45032.41210649305</v>
      </c>
      <c r="B1117" s="50">
        <v>45032.5370786689</v>
      </c>
      <c r="C1117" s="51">
        <v>1.05</v>
      </c>
      <c r="D1117" s="51">
        <v>68.0</v>
      </c>
      <c r="E1117" s="52" t="s">
        <v>25</v>
      </c>
      <c r="F1117" s="52" t="s">
        <v>26</v>
      </c>
      <c r="G1117" s="53"/>
    </row>
    <row r="1118">
      <c r="A1118" s="49">
        <v>45032.42252476852</v>
      </c>
      <c r="B1118" s="50">
        <v>45032.547500324</v>
      </c>
      <c r="C1118" s="51">
        <v>1.05</v>
      </c>
      <c r="D1118" s="51">
        <v>68.0</v>
      </c>
      <c r="E1118" s="52" t="s">
        <v>25</v>
      </c>
      <c r="F1118" s="52" t="s">
        <v>26</v>
      </c>
      <c r="G1118" s="53"/>
    </row>
    <row r="1119">
      <c r="A1119" s="49">
        <v>45032.432974236115</v>
      </c>
      <c r="B1119" s="50">
        <v>45032.5579441088</v>
      </c>
      <c r="C1119" s="51">
        <v>1.05</v>
      </c>
      <c r="D1119" s="51">
        <v>68.0</v>
      </c>
      <c r="E1119" s="52" t="s">
        <v>25</v>
      </c>
      <c r="F1119" s="52" t="s">
        <v>26</v>
      </c>
      <c r="G1119" s="53"/>
    </row>
    <row r="1120">
      <c r="A1120" s="49">
        <v>45032.443390706016</v>
      </c>
      <c r="B1120" s="50">
        <v>45032.5683646759</v>
      </c>
      <c r="C1120" s="51">
        <v>1.05</v>
      </c>
      <c r="D1120" s="51">
        <v>68.0</v>
      </c>
      <c r="E1120" s="52" t="s">
        <v>25</v>
      </c>
      <c r="F1120" s="52" t="s">
        <v>26</v>
      </c>
      <c r="G1120" s="53"/>
    </row>
    <row r="1121">
      <c r="A1121" s="49">
        <v>45032.45381290509</v>
      </c>
      <c r="B1121" s="50">
        <v>45032.5787853009</v>
      </c>
      <c r="C1121" s="51">
        <v>1.05</v>
      </c>
      <c r="D1121" s="51">
        <v>68.0</v>
      </c>
      <c r="E1121" s="52" t="s">
        <v>25</v>
      </c>
      <c r="F1121" s="52" t="s">
        <v>26</v>
      </c>
      <c r="G1121" s="53"/>
    </row>
    <row r="1122">
      <c r="A1122" s="49">
        <v>45032.464228055556</v>
      </c>
      <c r="B1122" s="50">
        <v>45032.5892061921</v>
      </c>
      <c r="C1122" s="51">
        <v>1.05</v>
      </c>
      <c r="D1122" s="51">
        <v>68.0</v>
      </c>
      <c r="E1122" s="52" t="s">
        <v>25</v>
      </c>
      <c r="F1122" s="52" t="s">
        <v>26</v>
      </c>
      <c r="G1122" s="53"/>
    </row>
    <row r="1123">
      <c r="A1123" s="49">
        <v>45032.47465979167</v>
      </c>
      <c r="B1123" s="50">
        <v>45032.5996275231</v>
      </c>
      <c r="C1123" s="51">
        <v>1.05</v>
      </c>
      <c r="D1123" s="51">
        <v>68.0</v>
      </c>
      <c r="E1123" s="52" t="s">
        <v>25</v>
      </c>
      <c r="F1123" s="52" t="s">
        <v>26</v>
      </c>
      <c r="G1123" s="53"/>
    </row>
    <row r="1124">
      <c r="A1124" s="49">
        <v>45032.485072511576</v>
      </c>
      <c r="B1124" s="50">
        <v>45032.6100460879</v>
      </c>
      <c r="C1124" s="51">
        <v>1.05</v>
      </c>
      <c r="D1124" s="51">
        <v>68.0</v>
      </c>
      <c r="E1124" s="52" t="s">
        <v>25</v>
      </c>
      <c r="F1124" s="52" t="s">
        <v>26</v>
      </c>
      <c r="G1124" s="53"/>
    </row>
    <row r="1125">
      <c r="A1125" s="49">
        <v>45032.49549151621</v>
      </c>
      <c r="B1125" s="50">
        <v>45032.6204675926</v>
      </c>
      <c r="C1125" s="51">
        <v>1.05</v>
      </c>
      <c r="D1125" s="51">
        <v>68.0</v>
      </c>
      <c r="E1125" s="52" t="s">
        <v>25</v>
      </c>
      <c r="F1125" s="52" t="s">
        <v>26</v>
      </c>
      <c r="G1125" s="53"/>
    </row>
    <row r="1126">
      <c r="A1126" s="49">
        <v>45032.50593238426</v>
      </c>
      <c r="B1126" s="50">
        <v>45032.6309008796</v>
      </c>
      <c r="C1126" s="51">
        <v>1.05</v>
      </c>
      <c r="D1126" s="51">
        <v>68.0</v>
      </c>
      <c r="E1126" s="52" t="s">
        <v>25</v>
      </c>
      <c r="F1126" s="52" t="s">
        <v>26</v>
      </c>
      <c r="G1126" s="53"/>
    </row>
    <row r="1127">
      <c r="A1127" s="49">
        <v>45032.516348425925</v>
      </c>
      <c r="B1127" s="50">
        <v>45032.6413214351</v>
      </c>
      <c r="C1127" s="51">
        <v>1.05</v>
      </c>
      <c r="D1127" s="51">
        <v>68.0</v>
      </c>
      <c r="E1127" s="52" t="s">
        <v>25</v>
      </c>
      <c r="F1127" s="52" t="s">
        <v>26</v>
      </c>
      <c r="G1127" s="53"/>
    </row>
    <row r="1128">
      <c r="A1128" s="49">
        <v>45032.526762256944</v>
      </c>
      <c r="B1128" s="50">
        <v>45032.6517419213</v>
      </c>
      <c r="C1128" s="51">
        <v>1.05</v>
      </c>
      <c r="D1128" s="51">
        <v>68.0</v>
      </c>
      <c r="E1128" s="52" t="s">
        <v>25</v>
      </c>
      <c r="F1128" s="52" t="s">
        <v>26</v>
      </c>
      <c r="G1128" s="53"/>
    </row>
    <row r="1129">
      <c r="A1129" s="49">
        <v>45032.537191145835</v>
      </c>
      <c r="B1129" s="50">
        <v>45032.6621614467</v>
      </c>
      <c r="C1129" s="51">
        <v>1.05</v>
      </c>
      <c r="D1129" s="51">
        <v>68.0</v>
      </c>
      <c r="E1129" s="52" t="s">
        <v>25</v>
      </c>
      <c r="F1129" s="52" t="s">
        <v>26</v>
      </c>
      <c r="G1129" s="53"/>
    </row>
    <row r="1130">
      <c r="A1130" s="49">
        <v>45032.54761097222</v>
      </c>
      <c r="B1130" s="50">
        <v>45032.672582662</v>
      </c>
      <c r="C1130" s="51">
        <v>1.05</v>
      </c>
      <c r="D1130" s="51">
        <v>68.0</v>
      </c>
      <c r="E1130" s="52" t="s">
        <v>25</v>
      </c>
      <c r="F1130" s="52" t="s">
        <v>26</v>
      </c>
      <c r="G1130" s="53"/>
    </row>
    <row r="1131">
      <c r="A1131" s="49">
        <v>45032.558034988426</v>
      </c>
      <c r="B1131" s="50">
        <v>45032.6830023032</v>
      </c>
      <c r="C1131" s="51">
        <v>1.049</v>
      </c>
      <c r="D1131" s="51">
        <v>68.0</v>
      </c>
      <c r="E1131" s="52" t="s">
        <v>25</v>
      </c>
      <c r="F1131" s="52" t="s">
        <v>26</v>
      </c>
      <c r="G1131" s="53"/>
    </row>
    <row r="1132">
      <c r="A1132" s="49">
        <v>45032.56844708334</v>
      </c>
      <c r="B1132" s="50">
        <v>45032.6934222801</v>
      </c>
      <c r="C1132" s="51">
        <v>1.05</v>
      </c>
      <c r="D1132" s="51">
        <v>68.0</v>
      </c>
      <c r="E1132" s="52" t="s">
        <v>25</v>
      </c>
      <c r="F1132" s="52" t="s">
        <v>26</v>
      </c>
      <c r="G1132" s="53"/>
    </row>
    <row r="1133">
      <c r="A1133" s="49">
        <v>45032.57886799768</v>
      </c>
      <c r="B1133" s="50">
        <v>45032.7038435069</v>
      </c>
      <c r="C1133" s="51">
        <v>1.05</v>
      </c>
      <c r="D1133" s="51">
        <v>68.0</v>
      </c>
      <c r="E1133" s="52" t="s">
        <v>25</v>
      </c>
      <c r="F1133" s="52" t="s">
        <v>26</v>
      </c>
      <c r="G1133" s="53"/>
    </row>
    <row r="1134">
      <c r="A1134" s="49">
        <v>45032.58929686343</v>
      </c>
      <c r="B1134" s="50">
        <v>45032.7142635185</v>
      </c>
      <c r="C1134" s="51">
        <v>1.049</v>
      </c>
      <c r="D1134" s="51">
        <v>68.0</v>
      </c>
      <c r="E1134" s="52" t="s">
        <v>25</v>
      </c>
      <c r="F1134" s="52" t="s">
        <v>26</v>
      </c>
      <c r="G1134" s="53"/>
    </row>
    <row r="1135">
      <c r="A1135" s="49">
        <v>45032.599727719906</v>
      </c>
      <c r="B1135" s="50">
        <v>45032.7246852199</v>
      </c>
      <c r="C1135" s="51">
        <v>1.049</v>
      </c>
      <c r="D1135" s="51">
        <v>68.0</v>
      </c>
      <c r="E1135" s="52" t="s">
        <v>25</v>
      </c>
      <c r="F1135" s="52" t="s">
        <v>26</v>
      </c>
      <c r="G1135" s="53"/>
    </row>
    <row r="1136">
      <c r="A1136" s="49">
        <v>45032.610136979165</v>
      </c>
      <c r="B1136" s="50">
        <v>45032.7351056944</v>
      </c>
      <c r="C1136" s="51">
        <v>1.049</v>
      </c>
      <c r="D1136" s="51">
        <v>68.0</v>
      </c>
      <c r="E1136" s="52" t="s">
        <v>25</v>
      </c>
      <c r="F1136" s="52" t="s">
        <v>26</v>
      </c>
      <c r="G1136" s="53"/>
    </row>
    <row r="1137">
      <c r="A1137" s="49">
        <v>45032.620566909725</v>
      </c>
      <c r="B1137" s="50">
        <v>45032.7455379629</v>
      </c>
      <c r="C1137" s="51">
        <v>1.049</v>
      </c>
      <c r="D1137" s="51">
        <v>68.0</v>
      </c>
      <c r="E1137" s="52" t="s">
        <v>25</v>
      </c>
      <c r="F1137" s="52" t="s">
        <v>26</v>
      </c>
      <c r="G1137" s="53"/>
    </row>
    <row r="1138">
      <c r="A1138" s="49">
        <v>45032.630993287035</v>
      </c>
      <c r="B1138" s="50">
        <v>45032.755971412</v>
      </c>
      <c r="C1138" s="51">
        <v>1.049</v>
      </c>
      <c r="D1138" s="51">
        <v>68.0</v>
      </c>
      <c r="E1138" s="52" t="s">
        <v>25</v>
      </c>
      <c r="F1138" s="52" t="s">
        <v>26</v>
      </c>
      <c r="G1138" s="53"/>
    </row>
    <row r="1139">
      <c r="A1139" s="49">
        <v>45032.64143722222</v>
      </c>
      <c r="B1139" s="50">
        <v>45032.7664061574</v>
      </c>
      <c r="C1139" s="51">
        <v>1.049</v>
      </c>
      <c r="D1139" s="51">
        <v>68.0</v>
      </c>
      <c r="E1139" s="52" t="s">
        <v>25</v>
      </c>
      <c r="F1139" s="52" t="s">
        <v>26</v>
      </c>
      <c r="G1139" s="53"/>
    </row>
    <row r="1140">
      <c r="A1140" s="49">
        <v>45032.651847939815</v>
      </c>
      <c r="B1140" s="50">
        <v>45032.7768270486</v>
      </c>
      <c r="C1140" s="51">
        <v>1.049</v>
      </c>
      <c r="D1140" s="51">
        <v>68.0</v>
      </c>
      <c r="E1140" s="52" t="s">
        <v>25</v>
      </c>
      <c r="F1140" s="52" t="s">
        <v>26</v>
      </c>
      <c r="G1140" s="53"/>
    </row>
    <row r="1141">
      <c r="A1141" s="49">
        <v>45032.66226922454</v>
      </c>
      <c r="B1141" s="50">
        <v>45032.7872494328</v>
      </c>
      <c r="C1141" s="51">
        <v>1.049</v>
      </c>
      <c r="D1141" s="51">
        <v>68.0</v>
      </c>
      <c r="E1141" s="52" t="s">
        <v>25</v>
      </c>
      <c r="F1141" s="52" t="s">
        <v>26</v>
      </c>
      <c r="G1141" s="53"/>
    </row>
    <row r="1142">
      <c r="A1142" s="49">
        <v>45032.67272300926</v>
      </c>
      <c r="B1142" s="50">
        <v>45032.7976930439</v>
      </c>
      <c r="C1142" s="51">
        <v>1.049</v>
      </c>
      <c r="D1142" s="51">
        <v>68.0</v>
      </c>
      <c r="E1142" s="52" t="s">
        <v>25</v>
      </c>
      <c r="F1142" s="52" t="s">
        <v>26</v>
      </c>
      <c r="G1142" s="53"/>
    </row>
    <row r="1143">
      <c r="A1143" s="49">
        <v>45032.683148321754</v>
      </c>
      <c r="B1143" s="50">
        <v>45032.8081141088</v>
      </c>
      <c r="C1143" s="51">
        <v>1.049</v>
      </c>
      <c r="D1143" s="51">
        <v>68.0</v>
      </c>
      <c r="E1143" s="52" t="s">
        <v>25</v>
      </c>
      <c r="F1143" s="52" t="s">
        <v>26</v>
      </c>
      <c r="G1143" s="53"/>
    </row>
    <row r="1144">
      <c r="A1144" s="49">
        <v>45032.69357246528</v>
      </c>
      <c r="B1144" s="50">
        <v>45032.8185464699</v>
      </c>
      <c r="C1144" s="51">
        <v>1.049</v>
      </c>
      <c r="D1144" s="51">
        <v>68.0</v>
      </c>
      <c r="E1144" s="52" t="s">
        <v>25</v>
      </c>
      <c r="F1144" s="52" t="s">
        <v>26</v>
      </c>
      <c r="G1144" s="53"/>
    </row>
    <row r="1145">
      <c r="A1145" s="49">
        <v>45032.70401888889</v>
      </c>
      <c r="B1145" s="50">
        <v>45032.8289892939</v>
      </c>
      <c r="C1145" s="51">
        <v>1.049</v>
      </c>
      <c r="D1145" s="51">
        <v>68.0</v>
      </c>
      <c r="E1145" s="52" t="s">
        <v>25</v>
      </c>
      <c r="F1145" s="52" t="s">
        <v>26</v>
      </c>
      <c r="G1145" s="53"/>
    </row>
    <row r="1146">
      <c r="A1146" s="49">
        <v>45032.7144299537</v>
      </c>
      <c r="B1146" s="50">
        <v>45032.839408206</v>
      </c>
      <c r="C1146" s="51">
        <v>1.049</v>
      </c>
      <c r="D1146" s="51">
        <v>68.0</v>
      </c>
      <c r="E1146" s="52" t="s">
        <v>25</v>
      </c>
      <c r="F1146" s="52" t="s">
        <v>26</v>
      </c>
      <c r="G1146" s="53"/>
    </row>
    <row r="1147">
      <c r="A1147" s="49">
        <v>45032.72484810185</v>
      </c>
      <c r="B1147" s="50">
        <v>45032.8498288541</v>
      </c>
      <c r="C1147" s="51">
        <v>1.049</v>
      </c>
      <c r="D1147" s="51">
        <v>68.0</v>
      </c>
      <c r="E1147" s="52" t="s">
        <v>25</v>
      </c>
      <c r="F1147" s="52" t="s">
        <v>26</v>
      </c>
      <c r="G1147" s="53"/>
    </row>
    <row r="1148">
      <c r="A1148" s="49">
        <v>45032.73528259259</v>
      </c>
      <c r="B1148" s="50">
        <v>45032.8602511689</v>
      </c>
      <c r="C1148" s="51">
        <v>1.049</v>
      </c>
      <c r="D1148" s="51">
        <v>68.0</v>
      </c>
      <c r="E1148" s="52" t="s">
        <v>25</v>
      </c>
      <c r="F1148" s="52" t="s">
        <v>26</v>
      </c>
      <c r="G1148" s="53"/>
    </row>
    <row r="1149">
      <c r="A1149" s="49">
        <v>45032.746019178245</v>
      </c>
      <c r="B1149" s="50">
        <v>45032.8706833333</v>
      </c>
      <c r="C1149" s="51">
        <v>1.049</v>
      </c>
      <c r="D1149" s="51">
        <v>68.0</v>
      </c>
      <c r="E1149" s="52" t="s">
        <v>25</v>
      </c>
      <c r="F1149" s="52" t="s">
        <v>26</v>
      </c>
      <c r="G1149" s="53"/>
    </row>
    <row r="1150">
      <c r="A1150" s="49">
        <v>45032.75613513889</v>
      </c>
      <c r="B1150" s="50">
        <v>45032.8811054976</v>
      </c>
      <c r="C1150" s="51">
        <v>1.049</v>
      </c>
      <c r="D1150" s="51">
        <v>68.0</v>
      </c>
      <c r="E1150" s="52" t="s">
        <v>25</v>
      </c>
      <c r="F1150" s="52" t="s">
        <v>26</v>
      </c>
      <c r="G1150" s="53"/>
    </row>
    <row r="1151">
      <c r="A1151" s="49">
        <v>45032.76656503472</v>
      </c>
      <c r="B1151" s="50">
        <v>45032.8915282407</v>
      </c>
      <c r="C1151" s="51">
        <v>1.049</v>
      </c>
      <c r="D1151" s="51">
        <v>68.0</v>
      </c>
      <c r="E1151" s="52" t="s">
        <v>25</v>
      </c>
      <c r="F1151" s="52" t="s">
        <v>26</v>
      </c>
      <c r="G1151" s="53"/>
    </row>
    <row r="1152">
      <c r="A1152" s="49">
        <v>45032.776969259256</v>
      </c>
      <c r="B1152" s="50">
        <v>45032.9019491666</v>
      </c>
      <c r="C1152" s="51">
        <v>1.049</v>
      </c>
      <c r="D1152" s="51">
        <v>68.0</v>
      </c>
      <c r="E1152" s="52" t="s">
        <v>25</v>
      </c>
      <c r="F1152" s="52" t="s">
        <v>26</v>
      </c>
      <c r="G1152" s="53"/>
    </row>
    <row r="1153">
      <c r="A1153" s="49">
        <v>45032.787394652776</v>
      </c>
      <c r="B1153" s="50">
        <v>45032.9123702314</v>
      </c>
      <c r="C1153" s="51">
        <v>1.049</v>
      </c>
      <c r="D1153" s="51">
        <v>68.0</v>
      </c>
      <c r="E1153" s="52" t="s">
        <v>25</v>
      </c>
      <c r="F1153" s="52" t="s">
        <v>26</v>
      </c>
      <c r="G1153" s="53"/>
    </row>
    <row r="1154">
      <c r="A1154" s="49">
        <v>45032.79782133102</v>
      </c>
      <c r="B1154" s="50">
        <v>45032.9227931481</v>
      </c>
      <c r="C1154" s="51">
        <v>1.049</v>
      </c>
      <c r="D1154" s="51">
        <v>68.0</v>
      </c>
      <c r="E1154" s="52" t="s">
        <v>25</v>
      </c>
      <c r="F1154" s="52" t="s">
        <v>26</v>
      </c>
      <c r="G1154" s="53"/>
    </row>
    <row r="1155">
      <c r="A1155" s="49">
        <v>45032.80824209491</v>
      </c>
      <c r="B1155" s="50">
        <v>45032.9332154513</v>
      </c>
      <c r="C1155" s="51">
        <v>1.049</v>
      </c>
      <c r="D1155" s="51">
        <v>68.0</v>
      </c>
      <c r="E1155" s="52" t="s">
        <v>25</v>
      </c>
      <c r="F1155" s="52" t="s">
        <v>26</v>
      </c>
      <c r="G1155" s="53"/>
    </row>
    <row r="1156">
      <c r="A1156" s="49">
        <v>45032.81873571759</v>
      </c>
      <c r="B1156" s="50">
        <v>45032.943706574</v>
      </c>
      <c r="C1156" s="51">
        <v>1.049</v>
      </c>
      <c r="D1156" s="51">
        <v>68.0</v>
      </c>
      <c r="E1156" s="52" t="s">
        <v>25</v>
      </c>
      <c r="F1156" s="52" t="s">
        <v>26</v>
      </c>
      <c r="G1156" s="53"/>
    </row>
    <row r="1157">
      <c r="A1157" s="49">
        <v>45032.82917480324</v>
      </c>
      <c r="B1157" s="50">
        <v>45032.9541502662</v>
      </c>
      <c r="C1157" s="51">
        <v>1.049</v>
      </c>
      <c r="D1157" s="51">
        <v>68.0</v>
      </c>
      <c r="E1157" s="52" t="s">
        <v>25</v>
      </c>
      <c r="F1157" s="52" t="s">
        <v>26</v>
      </c>
      <c r="G1157" s="53"/>
    </row>
    <row r="1158">
      <c r="A1158" s="49">
        <v>45032.83959733797</v>
      </c>
      <c r="B1158" s="50">
        <v>45032.9645705787</v>
      </c>
      <c r="C1158" s="51">
        <v>1.049</v>
      </c>
      <c r="D1158" s="51">
        <v>68.0</v>
      </c>
      <c r="E1158" s="52" t="s">
        <v>25</v>
      </c>
      <c r="F1158" s="52" t="s">
        <v>26</v>
      </c>
      <c r="G1158" s="53"/>
    </row>
    <row r="1159">
      <c r="A1159" s="49">
        <v>45032.85002993056</v>
      </c>
      <c r="B1159" s="50">
        <v>45032.9749908449</v>
      </c>
      <c r="C1159" s="51">
        <v>1.049</v>
      </c>
      <c r="D1159" s="51">
        <v>68.0</v>
      </c>
      <c r="E1159" s="52" t="s">
        <v>25</v>
      </c>
      <c r="F1159" s="52" t="s">
        <v>26</v>
      </c>
      <c r="G1159" s="53"/>
    </row>
    <row r="1160">
      <c r="A1160" s="49">
        <v>45032.86042964121</v>
      </c>
      <c r="B1160" s="50">
        <v>45032.9854120601</v>
      </c>
      <c r="C1160" s="51">
        <v>1.049</v>
      </c>
      <c r="D1160" s="51">
        <v>68.0</v>
      </c>
      <c r="E1160" s="52" t="s">
        <v>25</v>
      </c>
      <c r="F1160" s="52" t="s">
        <v>26</v>
      </c>
      <c r="G1160" s="53"/>
    </row>
    <row r="1161">
      <c r="A1161" s="49">
        <v>45032.87085511574</v>
      </c>
      <c r="B1161" s="50">
        <v>45032.9958338541</v>
      </c>
      <c r="C1161" s="51">
        <v>1.049</v>
      </c>
      <c r="D1161" s="51">
        <v>68.0</v>
      </c>
      <c r="E1161" s="52" t="s">
        <v>25</v>
      </c>
      <c r="F1161" s="52" t="s">
        <v>26</v>
      </c>
      <c r="G1161" s="53"/>
    </row>
    <row r="1162">
      <c r="A1162" s="49">
        <v>45032.88128327546</v>
      </c>
      <c r="B1162" s="50">
        <v>45033.0062573148</v>
      </c>
      <c r="C1162" s="51">
        <v>1.049</v>
      </c>
      <c r="D1162" s="51">
        <v>68.0</v>
      </c>
      <c r="E1162" s="52" t="s">
        <v>25</v>
      </c>
      <c r="F1162" s="52" t="s">
        <v>26</v>
      </c>
      <c r="G1162" s="53"/>
    </row>
    <row r="1163">
      <c r="A1163" s="49">
        <v>45032.89170327546</v>
      </c>
      <c r="B1163" s="50">
        <v>45033.0166790625</v>
      </c>
      <c r="C1163" s="51">
        <v>1.049</v>
      </c>
      <c r="D1163" s="51">
        <v>68.0</v>
      </c>
      <c r="E1163" s="52" t="s">
        <v>25</v>
      </c>
      <c r="F1163" s="52" t="s">
        <v>26</v>
      </c>
      <c r="G1163" s="53"/>
    </row>
    <row r="1164">
      <c r="A1164" s="49">
        <v>45032.90212613426</v>
      </c>
      <c r="B1164" s="50">
        <v>45033.0271016203</v>
      </c>
      <c r="C1164" s="51">
        <v>1.048</v>
      </c>
      <c r="D1164" s="51">
        <v>68.0</v>
      </c>
      <c r="E1164" s="52" t="s">
        <v>25</v>
      </c>
      <c r="F1164" s="52" t="s">
        <v>26</v>
      </c>
      <c r="G1164" s="53"/>
    </row>
    <row r="1165">
      <c r="A1165" s="49">
        <v>45032.91256040509</v>
      </c>
      <c r="B1165" s="50">
        <v>45033.037534537</v>
      </c>
      <c r="C1165" s="51">
        <v>1.049</v>
      </c>
      <c r="D1165" s="51">
        <v>68.0</v>
      </c>
      <c r="E1165" s="52" t="s">
        <v>25</v>
      </c>
      <c r="F1165" s="52" t="s">
        <v>26</v>
      </c>
      <c r="G1165" s="53"/>
    </row>
    <row r="1166">
      <c r="A1166" s="49">
        <v>45032.92297856481</v>
      </c>
      <c r="B1166" s="50">
        <v>45033.0479549652</v>
      </c>
      <c r="C1166" s="51">
        <v>1.049</v>
      </c>
      <c r="D1166" s="51">
        <v>68.0</v>
      </c>
      <c r="E1166" s="52" t="s">
        <v>25</v>
      </c>
      <c r="F1166" s="52" t="s">
        <v>26</v>
      </c>
      <c r="G1166" s="53"/>
    </row>
    <row r="1167">
      <c r="A1167" s="49">
        <v>45032.93340340278</v>
      </c>
      <c r="B1167" s="50">
        <v>45033.0583751736</v>
      </c>
      <c r="C1167" s="51">
        <v>1.049</v>
      </c>
      <c r="D1167" s="51">
        <v>68.0</v>
      </c>
      <c r="E1167" s="52" t="s">
        <v>25</v>
      </c>
      <c r="F1167" s="52" t="s">
        <v>26</v>
      </c>
      <c r="G1167" s="53"/>
    </row>
    <row r="1168">
      <c r="A1168" s="49">
        <v>45032.943828125004</v>
      </c>
      <c r="B1168" s="50">
        <v>45033.0687978472</v>
      </c>
      <c r="C1168" s="51">
        <v>1.049</v>
      </c>
      <c r="D1168" s="51">
        <v>68.0</v>
      </c>
      <c r="E1168" s="52" t="s">
        <v>25</v>
      </c>
      <c r="F1168" s="52" t="s">
        <v>26</v>
      </c>
      <c r="G1168" s="53"/>
    </row>
    <row r="1169">
      <c r="A1169" s="49">
        <v>45032.95423819445</v>
      </c>
      <c r="B1169" s="50">
        <v>45033.0792192708</v>
      </c>
      <c r="C1169" s="51">
        <v>1.049</v>
      </c>
      <c r="D1169" s="51">
        <v>68.0</v>
      </c>
      <c r="E1169" s="52" t="s">
        <v>25</v>
      </c>
      <c r="F1169" s="52" t="s">
        <v>26</v>
      </c>
      <c r="G1169" s="53"/>
    </row>
    <row r="1170">
      <c r="A1170" s="49">
        <v>45032.96468506944</v>
      </c>
      <c r="B1170" s="50">
        <v>45033.0896507407</v>
      </c>
      <c r="C1170" s="51">
        <v>1.049</v>
      </c>
      <c r="D1170" s="51">
        <v>68.0</v>
      </c>
      <c r="E1170" s="52" t="s">
        <v>25</v>
      </c>
      <c r="F1170" s="52" t="s">
        <v>26</v>
      </c>
      <c r="G1170" s="53"/>
    </row>
    <row r="1171">
      <c r="A1171" s="49">
        <v>45032.975106122685</v>
      </c>
      <c r="B1171" s="50">
        <v>45033.1000830439</v>
      </c>
      <c r="C1171" s="51">
        <v>1.049</v>
      </c>
      <c r="D1171" s="51">
        <v>68.0</v>
      </c>
      <c r="E1171" s="52" t="s">
        <v>25</v>
      </c>
      <c r="F1171" s="52" t="s">
        <v>26</v>
      </c>
      <c r="G1171" s="53"/>
    </row>
    <row r="1172">
      <c r="A1172" s="49">
        <v>45032.98555893519</v>
      </c>
      <c r="B1172" s="50">
        <v>45033.1105264467</v>
      </c>
      <c r="C1172" s="51">
        <v>1.049</v>
      </c>
      <c r="D1172" s="51">
        <v>68.0</v>
      </c>
      <c r="E1172" s="52" t="s">
        <v>25</v>
      </c>
      <c r="F1172" s="52" t="s">
        <v>26</v>
      </c>
      <c r="G1172" s="53"/>
    </row>
    <row r="1173">
      <c r="A1173" s="49">
        <v>45032.99597797454</v>
      </c>
      <c r="B1173" s="50">
        <v>45033.1209481944</v>
      </c>
      <c r="C1173" s="51">
        <v>1.048</v>
      </c>
      <c r="D1173" s="51">
        <v>68.0</v>
      </c>
      <c r="E1173" s="52" t="s">
        <v>25</v>
      </c>
      <c r="F1173" s="52" t="s">
        <v>26</v>
      </c>
      <c r="G1173" s="53"/>
    </row>
    <row r="1174">
      <c r="A1174" s="49">
        <v>45033.00639940972</v>
      </c>
      <c r="B1174" s="50">
        <v>45033.1313713541</v>
      </c>
      <c r="C1174" s="51">
        <v>1.048</v>
      </c>
      <c r="D1174" s="51">
        <v>68.0</v>
      </c>
      <c r="E1174" s="52" t="s">
        <v>25</v>
      </c>
      <c r="F1174" s="52" t="s">
        <v>26</v>
      </c>
      <c r="G1174" s="53"/>
    </row>
    <row r="1175">
      <c r="A1175" s="49">
        <v>45033.01682762732</v>
      </c>
      <c r="B1175" s="50">
        <v>45033.1418050578</v>
      </c>
      <c r="C1175" s="51">
        <v>1.048</v>
      </c>
      <c r="D1175" s="51">
        <v>68.0</v>
      </c>
      <c r="E1175" s="52" t="s">
        <v>25</v>
      </c>
      <c r="F1175" s="52" t="s">
        <v>26</v>
      </c>
      <c r="G1175" s="53"/>
    </row>
    <row r="1176">
      <c r="A1176" s="49">
        <v>45033.02725121527</v>
      </c>
      <c r="B1176" s="50">
        <v>45033.1522252083</v>
      </c>
      <c r="C1176" s="51">
        <v>1.048</v>
      </c>
      <c r="D1176" s="51">
        <v>68.0</v>
      </c>
      <c r="E1176" s="52" t="s">
        <v>25</v>
      </c>
      <c r="F1176" s="52" t="s">
        <v>26</v>
      </c>
      <c r="G1176" s="53"/>
    </row>
    <row r="1177">
      <c r="A1177" s="49">
        <v>45033.037683055554</v>
      </c>
      <c r="B1177" s="50">
        <v>45033.16265625</v>
      </c>
      <c r="C1177" s="51">
        <v>1.049</v>
      </c>
      <c r="D1177" s="51">
        <v>68.0</v>
      </c>
      <c r="E1177" s="52" t="s">
        <v>25</v>
      </c>
      <c r="F1177" s="52" t="s">
        <v>26</v>
      </c>
      <c r="G1177" s="53"/>
    </row>
    <row r="1178">
      <c r="A1178" s="49">
        <v>45033.048122569446</v>
      </c>
      <c r="B1178" s="50">
        <v>45033.1730995486</v>
      </c>
      <c r="C1178" s="51">
        <v>1.048</v>
      </c>
      <c r="D1178" s="51">
        <v>68.0</v>
      </c>
      <c r="E1178" s="52" t="s">
        <v>25</v>
      </c>
      <c r="F1178" s="52" t="s">
        <v>26</v>
      </c>
      <c r="G1178" s="53"/>
    </row>
    <row r="1179">
      <c r="A1179" s="49">
        <v>45033.058547106484</v>
      </c>
      <c r="B1179" s="50">
        <v>45033.1835210416</v>
      </c>
      <c r="C1179" s="51">
        <v>1.048</v>
      </c>
      <c r="D1179" s="51">
        <v>68.0</v>
      </c>
      <c r="E1179" s="52" t="s">
        <v>25</v>
      </c>
      <c r="F1179" s="52" t="s">
        <v>26</v>
      </c>
      <c r="G1179" s="53"/>
    </row>
    <row r="1180">
      <c r="A1180" s="49">
        <v>45033.06896959491</v>
      </c>
      <c r="B1180" s="50">
        <v>45033.1939413078</v>
      </c>
      <c r="C1180" s="51">
        <v>1.048</v>
      </c>
      <c r="D1180" s="51">
        <v>68.0</v>
      </c>
      <c r="E1180" s="52" t="s">
        <v>25</v>
      </c>
      <c r="F1180" s="52" t="s">
        <v>26</v>
      </c>
      <c r="G1180" s="53"/>
    </row>
    <row r="1181">
      <c r="A1181" s="49">
        <v>45033.07939559028</v>
      </c>
      <c r="B1181" s="50">
        <v>45033.2043633333</v>
      </c>
      <c r="C1181" s="51">
        <v>1.048</v>
      </c>
      <c r="D1181" s="51">
        <v>68.0</v>
      </c>
      <c r="E1181" s="52" t="s">
        <v>25</v>
      </c>
      <c r="F1181" s="52" t="s">
        <v>26</v>
      </c>
      <c r="G1181" s="53"/>
    </row>
    <row r="1182">
      <c r="A1182" s="49">
        <v>45033.08980545139</v>
      </c>
      <c r="B1182" s="50">
        <v>45033.2147837268</v>
      </c>
      <c r="C1182" s="51">
        <v>1.048</v>
      </c>
      <c r="D1182" s="51">
        <v>68.0</v>
      </c>
      <c r="E1182" s="52" t="s">
        <v>25</v>
      </c>
      <c r="F1182" s="52" t="s">
        <v>26</v>
      </c>
      <c r="G1182" s="53"/>
    </row>
    <row r="1183">
      <c r="A1183" s="49">
        <v>45033.10024324074</v>
      </c>
      <c r="B1183" s="50">
        <v>45033.2252178472</v>
      </c>
      <c r="C1183" s="51">
        <v>1.048</v>
      </c>
      <c r="D1183" s="51">
        <v>68.0</v>
      </c>
      <c r="E1183" s="52" t="s">
        <v>25</v>
      </c>
      <c r="F1183" s="52" t="s">
        <v>26</v>
      </c>
      <c r="G1183" s="53"/>
    </row>
    <row r="1184">
      <c r="A1184" s="49">
        <v>45033.110667500005</v>
      </c>
      <c r="B1184" s="50">
        <v>45033.2356376388</v>
      </c>
      <c r="C1184" s="51">
        <v>1.048</v>
      </c>
      <c r="D1184" s="51">
        <v>68.0</v>
      </c>
      <c r="E1184" s="52" t="s">
        <v>25</v>
      </c>
      <c r="F1184" s="52" t="s">
        <v>26</v>
      </c>
      <c r="G1184" s="53"/>
    </row>
    <row r="1185">
      <c r="A1185" s="49">
        <v>45033.12111136574</v>
      </c>
      <c r="B1185" s="50">
        <v>45033.2460831828</v>
      </c>
      <c r="C1185" s="51">
        <v>1.048</v>
      </c>
      <c r="D1185" s="51">
        <v>68.0</v>
      </c>
      <c r="E1185" s="52" t="s">
        <v>25</v>
      </c>
      <c r="F1185" s="52" t="s">
        <v>26</v>
      </c>
      <c r="G1185" s="53"/>
    </row>
    <row r="1186">
      <c r="A1186" s="49">
        <v>45033.13153039352</v>
      </c>
      <c r="B1186" s="50">
        <v>45033.256505625</v>
      </c>
      <c r="C1186" s="51">
        <v>1.048</v>
      </c>
      <c r="D1186" s="51">
        <v>68.0</v>
      </c>
      <c r="E1186" s="52" t="s">
        <v>25</v>
      </c>
      <c r="F1186" s="52" t="s">
        <v>26</v>
      </c>
      <c r="G1186" s="53"/>
    </row>
    <row r="1187">
      <c r="A1187" s="49">
        <v>45033.1419555787</v>
      </c>
      <c r="B1187" s="50">
        <v>45033.2669279398</v>
      </c>
      <c r="C1187" s="51">
        <v>1.048</v>
      </c>
      <c r="D1187" s="51">
        <v>68.0</v>
      </c>
      <c r="E1187" s="52" t="s">
        <v>25</v>
      </c>
      <c r="F1187" s="52" t="s">
        <v>26</v>
      </c>
      <c r="G1187" s="53"/>
    </row>
    <row r="1188">
      <c r="A1188" s="49">
        <v>45033.1524159838</v>
      </c>
      <c r="B1188" s="50">
        <v>45033.2773843865</v>
      </c>
      <c r="C1188" s="51">
        <v>1.048</v>
      </c>
      <c r="D1188" s="51">
        <v>68.0</v>
      </c>
      <c r="E1188" s="52" t="s">
        <v>25</v>
      </c>
      <c r="F1188" s="52" t="s">
        <v>26</v>
      </c>
      <c r="G1188" s="53"/>
    </row>
    <row r="1189">
      <c r="A1189" s="49">
        <v>45033.16282758102</v>
      </c>
      <c r="B1189" s="50">
        <v>45033.2878048842</v>
      </c>
      <c r="C1189" s="51">
        <v>1.048</v>
      </c>
      <c r="D1189" s="51">
        <v>68.0</v>
      </c>
      <c r="E1189" s="52" t="s">
        <v>25</v>
      </c>
      <c r="F1189" s="52" t="s">
        <v>26</v>
      </c>
      <c r="G1189" s="53"/>
    </row>
    <row r="1190">
      <c r="A1190" s="49">
        <v>45033.17325050926</v>
      </c>
      <c r="B1190" s="50">
        <v>45033.2982242129</v>
      </c>
      <c r="C1190" s="51">
        <v>1.048</v>
      </c>
      <c r="D1190" s="51">
        <v>68.0</v>
      </c>
      <c r="E1190" s="52" t="s">
        <v>25</v>
      </c>
      <c r="F1190" s="52" t="s">
        <v>26</v>
      </c>
      <c r="G1190" s="53"/>
    </row>
    <row r="1191">
      <c r="A1191" s="49">
        <v>45033.18369651621</v>
      </c>
      <c r="B1191" s="50">
        <v>45033.3086571875</v>
      </c>
      <c r="C1191" s="51">
        <v>1.048</v>
      </c>
      <c r="D1191" s="51">
        <v>68.0</v>
      </c>
      <c r="E1191" s="52" t="s">
        <v>25</v>
      </c>
      <c r="F1191" s="52" t="s">
        <v>26</v>
      </c>
      <c r="G1191" s="53"/>
    </row>
    <row r="1192">
      <c r="A1192" s="49">
        <v>45033.194102905094</v>
      </c>
      <c r="B1192" s="50">
        <v>45033.3190785185</v>
      </c>
      <c r="C1192" s="51">
        <v>1.048</v>
      </c>
      <c r="D1192" s="51">
        <v>68.0</v>
      </c>
      <c r="E1192" s="52" t="s">
        <v>25</v>
      </c>
      <c r="F1192" s="52" t="s">
        <v>26</v>
      </c>
      <c r="G1192" s="53"/>
    </row>
    <row r="1193">
      <c r="A1193" s="49">
        <v>45033.20452436343</v>
      </c>
      <c r="B1193" s="50">
        <v>45033.329499618</v>
      </c>
      <c r="C1193" s="51">
        <v>1.048</v>
      </c>
      <c r="D1193" s="51">
        <v>68.0</v>
      </c>
      <c r="E1193" s="52" t="s">
        <v>25</v>
      </c>
      <c r="F1193" s="52" t="s">
        <v>26</v>
      </c>
      <c r="G1193" s="53"/>
    </row>
    <row r="1194">
      <c r="A1194" s="49">
        <v>45033.21496128472</v>
      </c>
      <c r="B1194" s="50">
        <v>45033.3399213078</v>
      </c>
      <c r="C1194" s="51">
        <v>1.048</v>
      </c>
      <c r="D1194" s="51">
        <v>68.0</v>
      </c>
      <c r="E1194" s="52" t="s">
        <v>25</v>
      </c>
      <c r="F1194" s="52" t="s">
        <v>26</v>
      </c>
      <c r="G1194" s="53"/>
    </row>
    <row r="1195">
      <c r="A1195" s="49">
        <v>45033.22536949074</v>
      </c>
      <c r="B1195" s="50">
        <v>45033.3503436805</v>
      </c>
      <c r="C1195" s="51">
        <v>1.048</v>
      </c>
      <c r="D1195" s="51">
        <v>68.0</v>
      </c>
      <c r="E1195" s="52" t="s">
        <v>25</v>
      </c>
      <c r="F1195" s="52" t="s">
        <v>26</v>
      </c>
      <c r="G1195" s="53"/>
    </row>
    <row r="1196">
      <c r="A1196" s="49">
        <v>45033.2357950463</v>
      </c>
      <c r="B1196" s="50">
        <v>45033.3607639351</v>
      </c>
      <c r="C1196" s="51">
        <v>1.048</v>
      </c>
      <c r="D1196" s="51">
        <v>68.0</v>
      </c>
      <c r="E1196" s="52" t="s">
        <v>25</v>
      </c>
      <c r="F1196" s="52" t="s">
        <v>26</v>
      </c>
      <c r="G1196" s="53"/>
    </row>
    <row r="1197">
      <c r="A1197" s="49">
        <v>45033.24620944445</v>
      </c>
      <c r="B1197" s="50">
        <v>45033.371184375</v>
      </c>
      <c r="C1197" s="51">
        <v>1.048</v>
      </c>
      <c r="D1197" s="51">
        <v>68.0</v>
      </c>
      <c r="E1197" s="52" t="s">
        <v>25</v>
      </c>
      <c r="F1197" s="52" t="s">
        <v>26</v>
      </c>
      <c r="G1197" s="53"/>
    </row>
    <row r="1198">
      <c r="A1198" s="49">
        <v>45033.25663216435</v>
      </c>
      <c r="B1198" s="50">
        <v>45033.3816061458</v>
      </c>
      <c r="C1198" s="51">
        <v>1.048</v>
      </c>
      <c r="D1198" s="51">
        <v>68.0</v>
      </c>
      <c r="E1198" s="52" t="s">
        <v>25</v>
      </c>
      <c r="F1198" s="52" t="s">
        <v>26</v>
      </c>
      <c r="G1198" s="53"/>
    </row>
    <row r="1199">
      <c r="A1199" s="49">
        <v>45033.26706445602</v>
      </c>
      <c r="B1199" s="50">
        <v>45033.3920387152</v>
      </c>
      <c r="C1199" s="51">
        <v>1.048</v>
      </c>
      <c r="D1199" s="51">
        <v>68.0</v>
      </c>
      <c r="E1199" s="52" t="s">
        <v>25</v>
      </c>
      <c r="F1199" s="52" t="s">
        <v>26</v>
      </c>
      <c r="G1199" s="53"/>
    </row>
    <row r="1200">
      <c r="A1200" s="49">
        <v>45033.27747833333</v>
      </c>
      <c r="B1200" s="50">
        <v>45033.4024600462</v>
      </c>
      <c r="C1200" s="51">
        <v>1.048</v>
      </c>
      <c r="D1200" s="51">
        <v>68.0</v>
      </c>
      <c r="E1200" s="52" t="s">
        <v>25</v>
      </c>
      <c r="F1200" s="52" t="s">
        <v>26</v>
      </c>
      <c r="G1200" s="53"/>
    </row>
    <row r="1201">
      <c r="A1201" s="49">
        <v>45033.2879015625</v>
      </c>
      <c r="B1201" s="50">
        <v>45033.4128803125</v>
      </c>
      <c r="C1201" s="51">
        <v>1.048</v>
      </c>
      <c r="D1201" s="51">
        <v>68.0</v>
      </c>
      <c r="E1201" s="52" t="s">
        <v>25</v>
      </c>
      <c r="F1201" s="52" t="s">
        <v>26</v>
      </c>
      <c r="G1201" s="53"/>
    </row>
    <row r="1202">
      <c r="A1202" s="49">
        <v>45033.298339560184</v>
      </c>
      <c r="B1202" s="50">
        <v>45033.4233128588</v>
      </c>
      <c r="C1202" s="51">
        <v>1.048</v>
      </c>
      <c r="D1202" s="51">
        <v>68.0</v>
      </c>
      <c r="E1202" s="52" t="s">
        <v>25</v>
      </c>
      <c r="F1202" s="52" t="s">
        <v>26</v>
      </c>
      <c r="G1202" s="53"/>
    </row>
    <row r="1203">
      <c r="A1203" s="49">
        <v>45033.30876861111</v>
      </c>
      <c r="B1203" s="50">
        <v>45033.4337344213</v>
      </c>
      <c r="C1203" s="51">
        <v>1.048</v>
      </c>
      <c r="D1203" s="51">
        <v>68.0</v>
      </c>
      <c r="E1203" s="52" t="s">
        <v>25</v>
      </c>
      <c r="F1203" s="52" t="s">
        <v>26</v>
      </c>
      <c r="G1203" s="53"/>
    </row>
    <row r="1204">
      <c r="A1204" s="49">
        <v>45033.3191805324</v>
      </c>
      <c r="B1204" s="50">
        <v>45033.4441562268</v>
      </c>
      <c r="C1204" s="51">
        <v>1.048</v>
      </c>
      <c r="D1204" s="51">
        <v>68.0</v>
      </c>
      <c r="E1204" s="52" t="s">
        <v>25</v>
      </c>
      <c r="F1204" s="52" t="s">
        <v>26</v>
      </c>
      <c r="G1204" s="53"/>
    </row>
    <row r="1205">
      <c r="A1205" s="49">
        <v>45033.32959638889</v>
      </c>
      <c r="B1205" s="50">
        <v>45033.4545776504</v>
      </c>
      <c r="C1205" s="51">
        <v>1.047</v>
      </c>
      <c r="D1205" s="51">
        <v>68.0</v>
      </c>
      <c r="E1205" s="52" t="s">
        <v>25</v>
      </c>
      <c r="F1205" s="52" t="s">
        <v>26</v>
      </c>
      <c r="G1205" s="53"/>
    </row>
    <row r="1206">
      <c r="A1206" s="49">
        <v>45033.34002928241</v>
      </c>
      <c r="B1206" s="50">
        <v>45033.4649977893</v>
      </c>
      <c r="C1206" s="51">
        <v>1.047</v>
      </c>
      <c r="D1206" s="51">
        <v>68.0</v>
      </c>
      <c r="E1206" s="52" t="s">
        <v>25</v>
      </c>
      <c r="F1206" s="52" t="s">
        <v>26</v>
      </c>
      <c r="G1206" s="53"/>
    </row>
    <row r="1207">
      <c r="A1207" s="49">
        <v>45033.35046165509</v>
      </c>
      <c r="B1207" s="50">
        <v>45033.4754310532</v>
      </c>
      <c r="C1207" s="51">
        <v>1.048</v>
      </c>
      <c r="D1207" s="51">
        <v>68.0</v>
      </c>
      <c r="E1207" s="52" t="s">
        <v>25</v>
      </c>
      <c r="F1207" s="52" t="s">
        <v>26</v>
      </c>
      <c r="G1207" s="53"/>
    </row>
    <row r="1208">
      <c r="A1208" s="49">
        <v>45033.3608700926</v>
      </c>
      <c r="B1208" s="50">
        <v>45033.4858510648</v>
      </c>
      <c r="C1208" s="51">
        <v>1.047</v>
      </c>
      <c r="D1208" s="51">
        <v>68.0</v>
      </c>
      <c r="E1208" s="52" t="s">
        <v>25</v>
      </c>
      <c r="F1208" s="52" t="s">
        <v>26</v>
      </c>
      <c r="G1208" s="53"/>
    </row>
    <row r="1209">
      <c r="A1209" s="49">
        <v>45033.37130112269</v>
      </c>
      <c r="B1209" s="50">
        <v>45033.4962712731</v>
      </c>
      <c r="C1209" s="51">
        <v>1.047</v>
      </c>
      <c r="D1209" s="51">
        <v>68.0</v>
      </c>
      <c r="E1209" s="52" t="s">
        <v>25</v>
      </c>
      <c r="F1209" s="52" t="s">
        <v>26</v>
      </c>
      <c r="G1209" s="53"/>
    </row>
    <row r="1210">
      <c r="A1210" s="49">
        <v>45033.38173715278</v>
      </c>
      <c r="B1210" s="50">
        <v>45033.5066926504</v>
      </c>
      <c r="C1210" s="51">
        <v>1.047</v>
      </c>
      <c r="D1210" s="51">
        <v>68.0</v>
      </c>
      <c r="E1210" s="52" t="s">
        <v>25</v>
      </c>
      <c r="F1210" s="52" t="s">
        <v>26</v>
      </c>
      <c r="G1210" s="53"/>
    </row>
    <row r="1211">
      <c r="A1211" s="49">
        <v>45033.392141689816</v>
      </c>
      <c r="B1211" s="50">
        <v>45033.5171151851</v>
      </c>
      <c r="C1211" s="51">
        <v>1.047</v>
      </c>
      <c r="D1211" s="51">
        <v>68.0</v>
      </c>
      <c r="E1211" s="52" t="s">
        <v>25</v>
      </c>
      <c r="F1211" s="52" t="s">
        <v>26</v>
      </c>
      <c r="G1211" s="53"/>
    </row>
    <row r="1212">
      <c r="A1212" s="49">
        <v>45033.40262515046</v>
      </c>
      <c r="B1212" s="50">
        <v>45033.5275368287</v>
      </c>
      <c r="C1212" s="51">
        <v>1.047</v>
      </c>
      <c r="D1212" s="51">
        <v>68.0</v>
      </c>
      <c r="E1212" s="52" t="s">
        <v>25</v>
      </c>
      <c r="F1212" s="52" t="s">
        <v>26</v>
      </c>
      <c r="G1212" s="53"/>
    </row>
    <row r="1213">
      <c r="A1213" s="49">
        <v>45033.41300537037</v>
      </c>
      <c r="B1213" s="50">
        <v>45033.5379682986</v>
      </c>
      <c r="C1213" s="51">
        <v>1.047</v>
      </c>
      <c r="D1213" s="51">
        <v>68.0</v>
      </c>
      <c r="E1213" s="52" t="s">
        <v>25</v>
      </c>
      <c r="F1213" s="52" t="s">
        <v>26</v>
      </c>
      <c r="G1213" s="53"/>
    </row>
    <row r="1214">
      <c r="A1214" s="49">
        <v>45033.42342572917</v>
      </c>
      <c r="B1214" s="50">
        <v>45033.5484008912</v>
      </c>
      <c r="C1214" s="51">
        <v>1.047</v>
      </c>
      <c r="D1214" s="51">
        <v>68.0</v>
      </c>
      <c r="E1214" s="52" t="s">
        <v>25</v>
      </c>
      <c r="F1214" s="52" t="s">
        <v>26</v>
      </c>
      <c r="G1214" s="53"/>
    </row>
    <row r="1215">
      <c r="A1215" s="49">
        <v>45033.433866238425</v>
      </c>
      <c r="B1215" s="50">
        <v>45033.5588326851</v>
      </c>
      <c r="C1215" s="51">
        <v>1.048</v>
      </c>
      <c r="D1215" s="51">
        <v>68.0</v>
      </c>
      <c r="E1215" s="52" t="s">
        <v>25</v>
      </c>
      <c r="F1215" s="52" t="s">
        <v>26</v>
      </c>
      <c r="G1215" s="53"/>
    </row>
    <row r="1216">
      <c r="A1216" s="49">
        <v>45033.44428099537</v>
      </c>
      <c r="B1216" s="50">
        <v>45033.5692539004</v>
      </c>
      <c r="C1216" s="51">
        <v>1.047</v>
      </c>
      <c r="D1216" s="51">
        <v>68.0</v>
      </c>
      <c r="E1216" s="52" t="s">
        <v>25</v>
      </c>
      <c r="F1216" s="52" t="s">
        <v>26</v>
      </c>
      <c r="G1216" s="53"/>
    </row>
    <row r="1217">
      <c r="A1217" s="49">
        <v>45033.454695775465</v>
      </c>
      <c r="B1217" s="50">
        <v>45033.5796741898</v>
      </c>
      <c r="C1217" s="51">
        <v>1.047</v>
      </c>
      <c r="D1217" s="51">
        <v>68.0</v>
      </c>
      <c r="E1217" s="52" t="s">
        <v>25</v>
      </c>
      <c r="F1217" s="52" t="s">
        <v>26</v>
      </c>
      <c r="G1217" s="53"/>
    </row>
    <row r="1218">
      <c r="A1218" s="49">
        <v>45033.46513358796</v>
      </c>
      <c r="B1218" s="50">
        <v>45033.5901078588</v>
      </c>
      <c r="C1218" s="51">
        <v>1.047</v>
      </c>
      <c r="D1218" s="51">
        <v>68.0</v>
      </c>
      <c r="E1218" s="52" t="s">
        <v>25</v>
      </c>
      <c r="F1218" s="52" t="s">
        <v>26</v>
      </c>
      <c r="G1218" s="53"/>
    </row>
    <row r="1219">
      <c r="A1219" s="49">
        <v>45033.47557012731</v>
      </c>
      <c r="B1219" s="50">
        <v>45033.6005413888</v>
      </c>
      <c r="C1219" s="51">
        <v>1.047</v>
      </c>
      <c r="D1219" s="51">
        <v>68.0</v>
      </c>
      <c r="E1219" s="52" t="s">
        <v>25</v>
      </c>
      <c r="F1219" s="52" t="s">
        <v>26</v>
      </c>
      <c r="G1219" s="53"/>
    </row>
    <row r="1220">
      <c r="A1220" s="49">
        <v>45033.48599958333</v>
      </c>
      <c r="B1220" s="50">
        <v>45033.6109745254</v>
      </c>
      <c r="C1220" s="51">
        <v>1.047</v>
      </c>
      <c r="D1220" s="51">
        <v>68.0</v>
      </c>
      <c r="E1220" s="52" t="s">
        <v>25</v>
      </c>
      <c r="F1220" s="52" t="s">
        <v>26</v>
      </c>
      <c r="G1220" s="53"/>
    </row>
    <row r="1221">
      <c r="A1221" s="49">
        <v>45033.49641344907</v>
      </c>
      <c r="B1221" s="50">
        <v>45033.6213948032</v>
      </c>
      <c r="C1221" s="51">
        <v>1.047</v>
      </c>
      <c r="D1221" s="51">
        <v>68.0</v>
      </c>
      <c r="E1221" s="52" t="s">
        <v>25</v>
      </c>
      <c r="F1221" s="52" t="s">
        <v>26</v>
      </c>
      <c r="G1221" s="53"/>
    </row>
    <row r="1222">
      <c r="A1222" s="49">
        <v>45033.506839548616</v>
      </c>
      <c r="B1222" s="50">
        <v>45033.6318149421</v>
      </c>
      <c r="C1222" s="51">
        <v>1.047</v>
      </c>
      <c r="D1222" s="51">
        <v>68.0</v>
      </c>
      <c r="E1222" s="52" t="s">
        <v>25</v>
      </c>
      <c r="F1222" s="52" t="s">
        <v>26</v>
      </c>
      <c r="G1222" s="53"/>
    </row>
    <row r="1223">
      <c r="A1223" s="49">
        <v>45033.5172646875</v>
      </c>
      <c r="B1223" s="50">
        <v>45033.6422383796</v>
      </c>
      <c r="C1223" s="51">
        <v>1.047</v>
      </c>
      <c r="D1223" s="51">
        <v>68.0</v>
      </c>
      <c r="E1223" s="52" t="s">
        <v>25</v>
      </c>
      <c r="F1223" s="52" t="s">
        <v>26</v>
      </c>
      <c r="G1223" s="53"/>
    </row>
    <row r="1224">
      <c r="A1224" s="49">
        <v>45033.52768890046</v>
      </c>
      <c r="B1224" s="50">
        <v>45033.6526603935</v>
      </c>
      <c r="C1224" s="51">
        <v>1.047</v>
      </c>
      <c r="D1224" s="51">
        <v>68.0</v>
      </c>
      <c r="E1224" s="52" t="s">
        <v>25</v>
      </c>
      <c r="F1224" s="52" t="s">
        <v>26</v>
      </c>
      <c r="G1224" s="53"/>
    </row>
    <row r="1225">
      <c r="A1225" s="49">
        <v>45033.538103252315</v>
      </c>
      <c r="B1225" s="50">
        <v>45033.663081574</v>
      </c>
      <c r="C1225" s="51">
        <v>1.047</v>
      </c>
      <c r="D1225" s="51">
        <v>68.0</v>
      </c>
      <c r="E1225" s="52" t="s">
        <v>25</v>
      </c>
      <c r="F1225" s="52" t="s">
        <v>26</v>
      </c>
      <c r="G1225" s="53"/>
    </row>
    <row r="1226">
      <c r="A1226" s="49">
        <v>45033.548543784724</v>
      </c>
      <c r="B1226" s="50">
        <v>45033.6735147916</v>
      </c>
      <c r="C1226" s="51">
        <v>1.047</v>
      </c>
      <c r="D1226" s="51">
        <v>68.0</v>
      </c>
      <c r="E1226" s="52" t="s">
        <v>25</v>
      </c>
      <c r="F1226" s="52" t="s">
        <v>26</v>
      </c>
      <c r="G1226" s="53"/>
    </row>
    <row r="1227">
      <c r="A1227" s="49">
        <v>45033.55896925926</v>
      </c>
      <c r="B1227" s="50">
        <v>45033.6839369097</v>
      </c>
      <c r="C1227" s="51">
        <v>1.047</v>
      </c>
      <c r="D1227" s="51">
        <v>68.0</v>
      </c>
      <c r="E1227" s="52" t="s">
        <v>25</v>
      </c>
      <c r="F1227" s="52" t="s">
        <v>26</v>
      </c>
      <c r="G1227" s="53"/>
    </row>
    <row r="1228">
      <c r="A1228" s="49">
        <v>45033.56938822917</v>
      </c>
      <c r="B1228" s="50">
        <v>45033.6943693171</v>
      </c>
      <c r="C1228" s="51">
        <v>1.047</v>
      </c>
      <c r="D1228" s="51">
        <v>68.0</v>
      </c>
      <c r="E1228" s="52" t="s">
        <v>25</v>
      </c>
      <c r="F1228" s="52" t="s">
        <v>26</v>
      </c>
      <c r="G1228" s="53"/>
    </row>
    <row r="1229">
      <c r="A1229" s="49">
        <v>45033.579813530094</v>
      </c>
      <c r="B1229" s="50">
        <v>45033.7047898958</v>
      </c>
      <c r="C1229" s="51">
        <v>1.047</v>
      </c>
      <c r="D1229" s="51">
        <v>68.0</v>
      </c>
      <c r="E1229" s="52" t="s">
        <v>25</v>
      </c>
      <c r="F1229" s="52" t="s">
        <v>26</v>
      </c>
      <c r="G1229" s="53"/>
    </row>
    <row r="1230">
      <c r="A1230" s="49">
        <v>45033.590237916666</v>
      </c>
      <c r="B1230" s="50">
        <v>45033.7152214351</v>
      </c>
      <c r="C1230" s="51">
        <v>1.047</v>
      </c>
      <c r="D1230" s="51">
        <v>68.0</v>
      </c>
      <c r="E1230" s="52" t="s">
        <v>25</v>
      </c>
      <c r="F1230" s="52" t="s">
        <v>26</v>
      </c>
      <c r="G1230" s="53"/>
    </row>
    <row r="1231">
      <c r="A1231" s="49">
        <v>45033.60066876157</v>
      </c>
      <c r="B1231" s="50">
        <v>45033.7256423032</v>
      </c>
      <c r="C1231" s="51">
        <v>1.047</v>
      </c>
      <c r="D1231" s="51">
        <v>68.0</v>
      </c>
      <c r="E1231" s="52" t="s">
        <v>25</v>
      </c>
      <c r="F1231" s="52" t="s">
        <v>26</v>
      </c>
      <c r="G1231" s="53"/>
    </row>
    <row r="1232">
      <c r="A1232" s="49">
        <v>45033.61110090278</v>
      </c>
      <c r="B1232" s="50">
        <v>45033.736074537</v>
      </c>
      <c r="C1232" s="51">
        <v>1.047</v>
      </c>
      <c r="D1232" s="51">
        <v>68.0</v>
      </c>
      <c r="E1232" s="52" t="s">
        <v>25</v>
      </c>
      <c r="F1232" s="52" t="s">
        <v>26</v>
      </c>
      <c r="G1232" s="53"/>
    </row>
    <row r="1233">
      <c r="A1233" s="49">
        <v>45033.62152163194</v>
      </c>
      <c r="B1233" s="50">
        <v>45033.7464978009</v>
      </c>
      <c r="C1233" s="51">
        <v>1.047</v>
      </c>
      <c r="D1233" s="51">
        <v>68.0</v>
      </c>
      <c r="E1233" s="52" t="s">
        <v>25</v>
      </c>
      <c r="F1233" s="52" t="s">
        <v>26</v>
      </c>
      <c r="G1233" s="53"/>
    </row>
    <row r="1234">
      <c r="A1234" s="49">
        <v>45033.63194927083</v>
      </c>
      <c r="B1234" s="50">
        <v>45033.756918912</v>
      </c>
      <c r="C1234" s="51">
        <v>1.047</v>
      </c>
      <c r="D1234" s="51">
        <v>68.0</v>
      </c>
      <c r="E1234" s="52" t="s">
        <v>25</v>
      </c>
      <c r="F1234" s="52" t="s">
        <v>26</v>
      </c>
      <c r="G1234" s="53"/>
    </row>
    <row r="1235">
      <c r="A1235" s="49">
        <v>45033.64238517361</v>
      </c>
      <c r="B1235" s="50">
        <v>45033.7673633217</v>
      </c>
      <c r="C1235" s="51">
        <v>1.047</v>
      </c>
      <c r="D1235" s="51">
        <v>68.0</v>
      </c>
      <c r="E1235" s="52" t="s">
        <v>25</v>
      </c>
      <c r="F1235" s="52" t="s">
        <v>26</v>
      </c>
      <c r="G1235" s="53"/>
    </row>
    <row r="1236">
      <c r="A1236" s="49">
        <v>45033.65280626157</v>
      </c>
      <c r="B1236" s="50">
        <v>45033.7777853472</v>
      </c>
      <c r="C1236" s="51">
        <v>1.047</v>
      </c>
      <c r="D1236" s="51">
        <v>68.0</v>
      </c>
      <c r="E1236" s="52" t="s">
        <v>25</v>
      </c>
      <c r="F1236" s="52" t="s">
        <v>26</v>
      </c>
      <c r="G1236" s="53"/>
    </row>
    <row r="1237">
      <c r="A1237" s="49">
        <v>45033.66323262731</v>
      </c>
      <c r="B1237" s="50">
        <v>45033.7882061111</v>
      </c>
      <c r="C1237" s="51">
        <v>1.047</v>
      </c>
      <c r="D1237" s="51">
        <v>68.0</v>
      </c>
      <c r="E1237" s="52" t="s">
        <v>25</v>
      </c>
      <c r="F1237" s="52" t="s">
        <v>26</v>
      </c>
      <c r="G1237" s="53"/>
    </row>
    <row r="1238">
      <c r="A1238" s="49">
        <v>45033.6736819213</v>
      </c>
      <c r="B1238" s="50">
        <v>45033.7986501157</v>
      </c>
      <c r="C1238" s="51">
        <v>1.047</v>
      </c>
      <c r="D1238" s="51">
        <v>68.0</v>
      </c>
      <c r="E1238" s="52" t="s">
        <v>25</v>
      </c>
      <c r="F1238" s="52" t="s">
        <v>26</v>
      </c>
      <c r="G1238" s="53"/>
    </row>
    <row r="1239">
      <c r="A1239" s="49">
        <v>45033.68410778935</v>
      </c>
      <c r="B1239" s="50">
        <v>45033.8090823958</v>
      </c>
      <c r="C1239" s="51">
        <v>1.047</v>
      </c>
      <c r="D1239" s="51">
        <v>68.0</v>
      </c>
      <c r="E1239" s="52" t="s">
        <v>25</v>
      </c>
      <c r="F1239" s="52" t="s">
        <v>26</v>
      </c>
      <c r="G1239" s="53"/>
    </row>
    <row r="1240">
      <c r="A1240" s="49">
        <v>45033.69452134259</v>
      </c>
      <c r="B1240" s="50">
        <v>45033.8195028819</v>
      </c>
      <c r="C1240" s="51">
        <v>1.047</v>
      </c>
      <c r="D1240" s="51">
        <v>68.0</v>
      </c>
      <c r="E1240" s="52" t="s">
        <v>25</v>
      </c>
      <c r="F1240" s="52" t="s">
        <v>26</v>
      </c>
      <c r="G1240" s="53"/>
    </row>
    <row r="1241">
      <c r="A1241" s="49">
        <v>45033.70494836806</v>
      </c>
      <c r="B1241" s="50">
        <v>45033.8299245949</v>
      </c>
      <c r="C1241" s="51">
        <v>1.047</v>
      </c>
      <c r="D1241" s="51">
        <v>68.0</v>
      </c>
      <c r="E1241" s="52" t="s">
        <v>25</v>
      </c>
      <c r="F1241" s="52" t="s">
        <v>26</v>
      </c>
      <c r="G1241" s="53"/>
    </row>
    <row r="1242">
      <c r="A1242" s="49">
        <v>45033.71537799768</v>
      </c>
      <c r="B1242" s="50">
        <v>45033.8403578935</v>
      </c>
      <c r="C1242" s="51">
        <v>1.047</v>
      </c>
      <c r="D1242" s="51">
        <v>68.0</v>
      </c>
      <c r="E1242" s="52" t="s">
        <v>25</v>
      </c>
      <c r="F1242" s="52" t="s">
        <v>26</v>
      </c>
      <c r="G1242" s="53"/>
    </row>
    <row r="1243">
      <c r="A1243" s="49">
        <v>45033.725806689814</v>
      </c>
      <c r="B1243" s="50">
        <v>45033.8507795949</v>
      </c>
      <c r="C1243" s="51">
        <v>1.047</v>
      </c>
      <c r="D1243" s="51">
        <v>68.0</v>
      </c>
      <c r="E1243" s="52" t="s">
        <v>25</v>
      </c>
      <c r="F1243" s="52" t="s">
        <v>26</v>
      </c>
      <c r="G1243" s="53"/>
    </row>
    <row r="1244">
      <c r="A1244" s="49">
        <v>45033.7362547338</v>
      </c>
      <c r="B1244" s="50">
        <v>45033.8612133449</v>
      </c>
      <c r="C1244" s="51">
        <v>1.046</v>
      </c>
      <c r="D1244" s="51">
        <v>68.0</v>
      </c>
      <c r="E1244" s="52" t="s">
        <v>25</v>
      </c>
      <c r="F1244" s="52" t="s">
        <v>26</v>
      </c>
      <c r="G1244" s="53"/>
    </row>
    <row r="1245">
      <c r="A1245" s="49">
        <v>45033.746670381945</v>
      </c>
      <c r="B1245" s="50">
        <v>45033.8716470833</v>
      </c>
      <c r="C1245" s="51">
        <v>1.047</v>
      </c>
      <c r="D1245" s="51">
        <v>68.0</v>
      </c>
      <c r="E1245" s="52" t="s">
        <v>25</v>
      </c>
      <c r="F1245" s="52" t="s">
        <v>26</v>
      </c>
      <c r="G1245" s="53"/>
    </row>
    <row r="1246">
      <c r="A1246" s="49">
        <v>45033.7570972338</v>
      </c>
      <c r="B1246" s="50">
        <v>45033.8820680208</v>
      </c>
      <c r="C1246" s="51">
        <v>1.046</v>
      </c>
      <c r="D1246" s="51">
        <v>68.0</v>
      </c>
      <c r="E1246" s="52" t="s">
        <v>25</v>
      </c>
      <c r="F1246" s="52" t="s">
        <v>26</v>
      </c>
      <c r="G1246" s="53"/>
    </row>
    <row r="1247">
      <c r="A1247" s="49">
        <v>45033.76753479167</v>
      </c>
      <c r="B1247" s="50">
        <v>45033.8925140393</v>
      </c>
      <c r="C1247" s="51">
        <v>1.046</v>
      </c>
      <c r="D1247" s="51">
        <v>68.0</v>
      </c>
      <c r="E1247" s="52" t="s">
        <v>25</v>
      </c>
      <c r="F1247" s="52" t="s">
        <v>26</v>
      </c>
      <c r="G1247" s="53"/>
    </row>
    <row r="1248">
      <c r="A1248" s="49">
        <v>45033.77800494213</v>
      </c>
      <c r="B1248" s="50">
        <v>45033.9029591898</v>
      </c>
      <c r="C1248" s="51">
        <v>1.046</v>
      </c>
      <c r="D1248" s="51">
        <v>68.0</v>
      </c>
      <c r="E1248" s="52" t="s">
        <v>25</v>
      </c>
      <c r="F1248" s="52" t="s">
        <v>26</v>
      </c>
      <c r="G1248" s="53"/>
    </row>
    <row r="1249">
      <c r="A1249" s="49">
        <v>45033.78841765046</v>
      </c>
      <c r="B1249" s="50">
        <v>45033.9133921064</v>
      </c>
      <c r="C1249" s="51">
        <v>1.047</v>
      </c>
      <c r="D1249" s="51">
        <v>68.0</v>
      </c>
      <c r="E1249" s="52" t="s">
        <v>25</v>
      </c>
      <c r="F1249" s="52" t="s">
        <v>26</v>
      </c>
      <c r="G1249" s="53"/>
    </row>
    <row r="1250">
      <c r="A1250" s="49">
        <v>45033.79884240741</v>
      </c>
      <c r="B1250" s="50">
        <v>45033.9238140856</v>
      </c>
      <c r="C1250" s="51">
        <v>1.046</v>
      </c>
      <c r="D1250" s="51">
        <v>68.0</v>
      </c>
      <c r="E1250" s="52" t="s">
        <v>25</v>
      </c>
      <c r="F1250" s="52" t="s">
        <v>26</v>
      </c>
      <c r="G1250" s="53"/>
    </row>
    <row r="1251">
      <c r="A1251" s="49">
        <v>45033.809264780095</v>
      </c>
      <c r="B1251" s="50">
        <v>45033.9342364236</v>
      </c>
      <c r="C1251" s="51">
        <v>1.047</v>
      </c>
      <c r="D1251" s="51">
        <v>68.0</v>
      </c>
      <c r="E1251" s="52" t="s">
        <v>25</v>
      </c>
      <c r="F1251" s="52" t="s">
        <v>26</v>
      </c>
      <c r="G1251" s="53"/>
    </row>
    <row r="1252">
      <c r="A1252" s="49">
        <v>45033.819686469906</v>
      </c>
      <c r="B1252" s="50">
        <v>45033.9446570023</v>
      </c>
      <c r="C1252" s="51">
        <v>1.046</v>
      </c>
      <c r="D1252" s="51">
        <v>68.0</v>
      </c>
      <c r="E1252" s="52" t="s">
        <v>25</v>
      </c>
      <c r="F1252" s="52" t="s">
        <v>26</v>
      </c>
      <c r="G1252" s="53"/>
    </row>
    <row r="1253">
      <c r="A1253" s="49">
        <v>45033.83010155092</v>
      </c>
      <c r="B1253" s="50">
        <v>45033.9550772916</v>
      </c>
      <c r="C1253" s="51">
        <v>1.046</v>
      </c>
      <c r="D1253" s="51">
        <v>68.0</v>
      </c>
      <c r="E1253" s="52" t="s">
        <v>25</v>
      </c>
      <c r="F1253" s="52" t="s">
        <v>26</v>
      </c>
      <c r="G1253" s="53"/>
    </row>
    <row r="1254">
      <c r="A1254" s="49">
        <v>45033.84053015047</v>
      </c>
      <c r="B1254" s="50">
        <v>45033.965498831</v>
      </c>
      <c r="C1254" s="51">
        <v>1.046</v>
      </c>
      <c r="D1254" s="51">
        <v>68.0</v>
      </c>
      <c r="E1254" s="52" t="s">
        <v>25</v>
      </c>
      <c r="F1254" s="52" t="s">
        <v>26</v>
      </c>
      <c r="G1254" s="53"/>
    </row>
    <row r="1255">
      <c r="A1255" s="49">
        <v>45033.85095854166</v>
      </c>
      <c r="B1255" s="50">
        <v>45033.9759307754</v>
      </c>
      <c r="C1255" s="51">
        <v>1.046</v>
      </c>
      <c r="D1255" s="51">
        <v>68.0</v>
      </c>
      <c r="E1255" s="52" t="s">
        <v>25</v>
      </c>
      <c r="F1255" s="52" t="s">
        <v>26</v>
      </c>
      <c r="G1255" s="53"/>
    </row>
    <row r="1256">
      <c r="A1256" s="49">
        <v>45033.86138018519</v>
      </c>
      <c r="B1256" s="50">
        <v>45033.986352199</v>
      </c>
      <c r="C1256" s="51">
        <v>1.046</v>
      </c>
      <c r="D1256" s="51">
        <v>68.0</v>
      </c>
      <c r="E1256" s="52" t="s">
        <v>25</v>
      </c>
      <c r="F1256" s="52" t="s">
        <v>26</v>
      </c>
      <c r="G1256" s="53"/>
    </row>
    <row r="1257">
      <c r="A1257" s="49">
        <v>45033.871832986115</v>
      </c>
      <c r="B1257" s="50">
        <v>45033.9968066898</v>
      </c>
      <c r="C1257" s="51">
        <v>1.046</v>
      </c>
      <c r="D1257" s="51">
        <v>68.0</v>
      </c>
      <c r="E1257" s="52" t="s">
        <v>25</v>
      </c>
      <c r="F1257" s="52" t="s">
        <v>26</v>
      </c>
      <c r="G1257" s="53"/>
    </row>
    <row r="1258">
      <c r="A1258" s="49">
        <v>45033.88225570602</v>
      </c>
      <c r="B1258" s="50">
        <v>45034.0072280092</v>
      </c>
      <c r="C1258" s="51">
        <v>1.046</v>
      </c>
      <c r="D1258" s="51">
        <v>68.0</v>
      </c>
      <c r="E1258" s="52" t="s">
        <v>25</v>
      </c>
      <c r="F1258" s="52" t="s">
        <v>26</v>
      </c>
      <c r="G1258" s="53"/>
    </row>
    <row r="1259">
      <c r="A1259" s="49">
        <v>45033.892680115736</v>
      </c>
      <c r="B1259" s="50">
        <v>45034.0176511342</v>
      </c>
      <c r="C1259" s="51">
        <v>1.046</v>
      </c>
      <c r="D1259" s="51">
        <v>68.0</v>
      </c>
      <c r="E1259" s="52" t="s">
        <v>25</v>
      </c>
      <c r="F1259" s="52" t="s">
        <v>26</v>
      </c>
      <c r="G1259" s="53"/>
    </row>
    <row r="1260">
      <c r="A1260" s="49">
        <v>45033.90310701389</v>
      </c>
      <c r="B1260" s="50">
        <v>45034.0280739004</v>
      </c>
      <c r="C1260" s="51">
        <v>1.046</v>
      </c>
      <c r="D1260" s="51">
        <v>68.0</v>
      </c>
      <c r="E1260" s="52" t="s">
        <v>25</v>
      </c>
      <c r="F1260" s="52" t="s">
        <v>26</v>
      </c>
      <c r="G1260" s="53"/>
    </row>
    <row r="1261">
      <c r="A1261" s="49">
        <v>45033.91355971065</v>
      </c>
      <c r="B1261" s="50">
        <v>45034.0385180787</v>
      </c>
      <c r="C1261" s="51">
        <v>1.046</v>
      </c>
      <c r="D1261" s="51">
        <v>68.0</v>
      </c>
      <c r="E1261" s="52" t="s">
        <v>25</v>
      </c>
      <c r="F1261" s="52" t="s">
        <v>26</v>
      </c>
      <c r="G1261" s="53"/>
    </row>
    <row r="1262">
      <c r="A1262" s="49">
        <v>45033.923985636575</v>
      </c>
      <c r="B1262" s="50">
        <v>45034.0489505902</v>
      </c>
      <c r="C1262" s="51">
        <v>1.046</v>
      </c>
      <c r="D1262" s="51">
        <v>68.0</v>
      </c>
      <c r="E1262" s="52" t="s">
        <v>25</v>
      </c>
      <c r="F1262" s="52" t="s">
        <v>26</v>
      </c>
      <c r="G1262" s="53"/>
    </row>
    <row r="1263">
      <c r="A1263" s="49">
        <v>45033.93440121527</v>
      </c>
      <c r="B1263" s="50">
        <v>45034.0593716898</v>
      </c>
      <c r="C1263" s="51">
        <v>1.046</v>
      </c>
      <c r="D1263" s="51">
        <v>68.0</v>
      </c>
      <c r="E1263" s="52" t="s">
        <v>25</v>
      </c>
      <c r="F1263" s="52" t="s">
        <v>26</v>
      </c>
      <c r="G1263" s="53"/>
    </row>
    <row r="1264">
      <c r="A1264" s="49">
        <v>45033.9448240162</v>
      </c>
      <c r="B1264" s="50">
        <v>45034.0697932407</v>
      </c>
      <c r="C1264" s="51">
        <v>1.046</v>
      </c>
      <c r="D1264" s="51">
        <v>68.0</v>
      </c>
      <c r="E1264" s="52" t="s">
        <v>25</v>
      </c>
      <c r="F1264" s="52" t="s">
        <v>26</v>
      </c>
      <c r="G1264" s="53"/>
    </row>
    <row r="1265">
      <c r="A1265" s="49">
        <v>45033.95525153935</v>
      </c>
      <c r="B1265" s="50">
        <v>45034.0802138078</v>
      </c>
      <c r="C1265" s="51">
        <v>1.046</v>
      </c>
      <c r="D1265" s="51">
        <v>68.0</v>
      </c>
      <c r="E1265" s="52" t="s">
        <v>25</v>
      </c>
      <c r="F1265" s="52" t="s">
        <v>26</v>
      </c>
      <c r="G1265" s="53"/>
    </row>
    <row r="1266">
      <c r="A1266" s="49">
        <v>45033.9657106713</v>
      </c>
      <c r="B1266" s="50">
        <v>45034.0906701041</v>
      </c>
      <c r="C1266" s="51">
        <v>1.046</v>
      </c>
      <c r="D1266" s="51">
        <v>68.0</v>
      </c>
      <c r="E1266" s="52" t="s">
        <v>25</v>
      </c>
      <c r="F1266" s="52" t="s">
        <v>26</v>
      </c>
      <c r="G1266" s="53"/>
    </row>
    <row r="1267">
      <c r="A1267" s="49">
        <v>45033.97612327547</v>
      </c>
      <c r="B1267" s="50">
        <v>45034.1010913425</v>
      </c>
      <c r="C1267" s="51">
        <v>1.046</v>
      </c>
      <c r="D1267" s="51">
        <v>68.0</v>
      </c>
      <c r="E1267" s="52" t="s">
        <v>25</v>
      </c>
      <c r="F1267" s="52" t="s">
        <v>26</v>
      </c>
      <c r="G1267" s="53"/>
    </row>
    <row r="1268">
      <c r="A1268" s="49">
        <v>45033.98653872685</v>
      </c>
      <c r="B1268" s="50">
        <v>45034.1115123495</v>
      </c>
      <c r="C1268" s="51">
        <v>1.046</v>
      </c>
      <c r="D1268" s="51">
        <v>68.0</v>
      </c>
      <c r="E1268" s="52" t="s">
        <v>25</v>
      </c>
      <c r="F1268" s="52" t="s">
        <v>26</v>
      </c>
      <c r="G1268" s="53"/>
    </row>
    <row r="1269">
      <c r="A1269" s="49">
        <v>45033.996984502315</v>
      </c>
      <c r="B1269" s="50">
        <v>45034.1219460532</v>
      </c>
      <c r="C1269" s="51">
        <v>1.046</v>
      </c>
      <c r="D1269" s="51">
        <v>68.0</v>
      </c>
      <c r="E1269" s="52" t="s">
        <v>25</v>
      </c>
      <c r="F1269" s="52" t="s">
        <v>26</v>
      </c>
      <c r="G1269" s="53"/>
    </row>
    <row r="1270">
      <c r="A1270" s="49">
        <v>45034.007393912034</v>
      </c>
      <c r="B1270" s="50">
        <v>45034.132368287</v>
      </c>
      <c r="C1270" s="51">
        <v>1.046</v>
      </c>
      <c r="D1270" s="51">
        <v>68.0</v>
      </c>
      <c r="E1270" s="52" t="s">
        <v>25</v>
      </c>
      <c r="F1270" s="52" t="s">
        <v>26</v>
      </c>
      <c r="G1270" s="53"/>
    </row>
    <row r="1271">
      <c r="A1271" s="49">
        <v>45034.01781269676</v>
      </c>
      <c r="B1271" s="50">
        <v>45034.1427886226</v>
      </c>
      <c r="C1271" s="51">
        <v>1.046</v>
      </c>
      <c r="D1271" s="51">
        <v>68.0</v>
      </c>
      <c r="E1271" s="52" t="s">
        <v>25</v>
      </c>
      <c r="F1271" s="52" t="s">
        <v>26</v>
      </c>
      <c r="G1271" s="53"/>
    </row>
    <row r="1272">
      <c r="A1272" s="49">
        <v>45034.02823652778</v>
      </c>
      <c r="B1272" s="50">
        <v>45034.1532085416</v>
      </c>
      <c r="C1272" s="51">
        <v>1.046</v>
      </c>
      <c r="D1272" s="51">
        <v>68.0</v>
      </c>
      <c r="E1272" s="52" t="s">
        <v>25</v>
      </c>
      <c r="F1272" s="52" t="s">
        <v>26</v>
      </c>
      <c r="G1272" s="53"/>
    </row>
    <row r="1273">
      <c r="A1273" s="49">
        <v>45034.038670740745</v>
      </c>
      <c r="B1273" s="50">
        <v>45034.1636416435</v>
      </c>
      <c r="C1273" s="51">
        <v>1.046</v>
      </c>
      <c r="D1273" s="51">
        <v>68.0</v>
      </c>
      <c r="E1273" s="52" t="s">
        <v>25</v>
      </c>
      <c r="F1273" s="52" t="s">
        <v>26</v>
      </c>
      <c r="G1273" s="53"/>
    </row>
    <row r="1274">
      <c r="A1274" s="49">
        <v>45034.04909023148</v>
      </c>
      <c r="B1274" s="50">
        <v>45034.1740628009</v>
      </c>
      <c r="C1274" s="51">
        <v>1.046</v>
      </c>
      <c r="D1274" s="51">
        <v>68.0</v>
      </c>
      <c r="E1274" s="52" t="s">
        <v>25</v>
      </c>
      <c r="F1274" s="52" t="s">
        <v>26</v>
      </c>
      <c r="G1274" s="53"/>
    </row>
    <row r="1275">
      <c r="A1275" s="49">
        <v>45034.059516747686</v>
      </c>
      <c r="B1275" s="50">
        <v>45034.1844963541</v>
      </c>
      <c r="C1275" s="51">
        <v>1.046</v>
      </c>
      <c r="D1275" s="51">
        <v>68.0</v>
      </c>
      <c r="E1275" s="52" t="s">
        <v>25</v>
      </c>
      <c r="F1275" s="52" t="s">
        <v>26</v>
      </c>
      <c r="G1275" s="53"/>
    </row>
    <row r="1276">
      <c r="A1276" s="49">
        <v>45034.069948379634</v>
      </c>
      <c r="B1276" s="50">
        <v>45034.1949192476</v>
      </c>
      <c r="C1276" s="51">
        <v>1.046</v>
      </c>
      <c r="D1276" s="51">
        <v>68.0</v>
      </c>
      <c r="E1276" s="52" t="s">
        <v>25</v>
      </c>
      <c r="F1276" s="52" t="s">
        <v>26</v>
      </c>
      <c r="G1276" s="53"/>
    </row>
    <row r="1277">
      <c r="A1277" s="49">
        <v>45034.080362465276</v>
      </c>
      <c r="B1277" s="50">
        <v>45034.2053408449</v>
      </c>
      <c r="C1277" s="51">
        <v>1.046</v>
      </c>
      <c r="D1277" s="51">
        <v>68.0</v>
      </c>
      <c r="E1277" s="52" t="s">
        <v>25</v>
      </c>
      <c r="F1277" s="52" t="s">
        <v>26</v>
      </c>
      <c r="G1277" s="53"/>
    </row>
    <row r="1278">
      <c r="A1278" s="49">
        <v>45034.090792557865</v>
      </c>
      <c r="B1278" s="50">
        <v>45034.2157609953</v>
      </c>
      <c r="C1278" s="51">
        <v>1.046</v>
      </c>
      <c r="D1278" s="51">
        <v>68.0</v>
      </c>
      <c r="E1278" s="52" t="s">
        <v>25</v>
      </c>
      <c r="F1278" s="52" t="s">
        <v>26</v>
      </c>
      <c r="G1278" s="53"/>
    </row>
    <row r="1279">
      <c r="A1279" s="49">
        <v>45034.101210810186</v>
      </c>
      <c r="B1279" s="50">
        <v>45034.2261824768</v>
      </c>
      <c r="C1279" s="51">
        <v>1.046</v>
      </c>
      <c r="D1279" s="51">
        <v>68.0</v>
      </c>
      <c r="E1279" s="52" t="s">
        <v>25</v>
      </c>
      <c r="F1279" s="52" t="s">
        <v>26</v>
      </c>
      <c r="G1279" s="53"/>
    </row>
    <row r="1280">
      <c r="A1280" s="49">
        <v>45034.11163626157</v>
      </c>
      <c r="B1280" s="50">
        <v>45034.2366137268</v>
      </c>
      <c r="C1280" s="51">
        <v>1.046</v>
      </c>
      <c r="D1280" s="51">
        <v>68.0</v>
      </c>
      <c r="E1280" s="52" t="s">
        <v>25</v>
      </c>
      <c r="F1280" s="52" t="s">
        <v>26</v>
      </c>
      <c r="G1280" s="53"/>
    </row>
    <row r="1281">
      <c r="A1281" s="49">
        <v>45034.12205952546</v>
      </c>
      <c r="B1281" s="50">
        <v>45034.2470360185</v>
      </c>
      <c r="C1281" s="51">
        <v>1.046</v>
      </c>
      <c r="D1281" s="51">
        <v>68.0</v>
      </c>
      <c r="E1281" s="52" t="s">
        <v>25</v>
      </c>
      <c r="F1281" s="52" t="s">
        <v>26</v>
      </c>
      <c r="G1281" s="53"/>
    </row>
    <row r="1282">
      <c r="A1282" s="49">
        <v>45034.13248991898</v>
      </c>
      <c r="B1282" s="50">
        <v>45034.257458449</v>
      </c>
      <c r="C1282" s="51">
        <v>1.045</v>
      </c>
      <c r="D1282" s="51">
        <v>68.0</v>
      </c>
      <c r="E1282" s="52" t="s">
        <v>25</v>
      </c>
      <c r="F1282" s="52" t="s">
        <v>26</v>
      </c>
      <c r="G1282" s="53"/>
    </row>
    <row r="1283">
      <c r="A1283" s="49">
        <v>45034.14294149306</v>
      </c>
      <c r="B1283" s="50">
        <v>45034.2679128935</v>
      </c>
      <c r="C1283" s="51">
        <v>1.045</v>
      </c>
      <c r="D1283" s="51">
        <v>68.0</v>
      </c>
      <c r="E1283" s="52" t="s">
        <v>25</v>
      </c>
      <c r="F1283" s="52" t="s">
        <v>26</v>
      </c>
      <c r="G1283" s="53"/>
    </row>
    <row r="1284">
      <c r="A1284" s="49">
        <v>45034.15336193287</v>
      </c>
      <c r="B1284" s="50">
        <v>45034.2783330092</v>
      </c>
      <c r="C1284" s="51">
        <v>1.045</v>
      </c>
      <c r="D1284" s="51">
        <v>68.0</v>
      </c>
      <c r="E1284" s="52" t="s">
        <v>25</v>
      </c>
      <c r="F1284" s="52" t="s">
        <v>26</v>
      </c>
      <c r="G1284" s="53"/>
    </row>
    <row r="1285">
      <c r="A1285" s="49">
        <v>45034.16379664352</v>
      </c>
      <c r="B1285" s="50">
        <v>45034.2887635995</v>
      </c>
      <c r="C1285" s="51">
        <v>1.046</v>
      </c>
      <c r="D1285" s="51">
        <v>68.0</v>
      </c>
      <c r="E1285" s="52" t="s">
        <v>25</v>
      </c>
      <c r="F1285" s="52" t="s">
        <v>26</v>
      </c>
      <c r="G1285" s="53"/>
    </row>
    <row r="1286">
      <c r="A1286" s="49">
        <v>45034.17420581018</v>
      </c>
      <c r="B1286" s="50">
        <v>45034.2991831712</v>
      </c>
      <c r="C1286" s="51">
        <v>1.045</v>
      </c>
      <c r="D1286" s="51">
        <v>68.0</v>
      </c>
      <c r="E1286" s="52" t="s">
        <v>25</v>
      </c>
      <c r="F1286" s="52" t="s">
        <v>26</v>
      </c>
      <c r="G1286" s="53"/>
    </row>
    <row r="1287">
      <c r="A1287" s="49">
        <v>45034.184623657406</v>
      </c>
      <c r="B1287" s="50">
        <v>45034.3096036574</v>
      </c>
      <c r="C1287" s="51">
        <v>1.045</v>
      </c>
      <c r="D1287" s="51">
        <v>68.0</v>
      </c>
      <c r="E1287" s="52" t="s">
        <v>25</v>
      </c>
      <c r="F1287" s="52" t="s">
        <v>26</v>
      </c>
      <c r="G1287" s="53"/>
    </row>
    <row r="1288">
      <c r="A1288" s="49">
        <v>45034.19506859954</v>
      </c>
      <c r="B1288" s="50">
        <v>45034.320036875</v>
      </c>
      <c r="C1288" s="51">
        <v>1.045</v>
      </c>
      <c r="D1288" s="51">
        <v>68.0</v>
      </c>
      <c r="E1288" s="52" t="s">
        <v>25</v>
      </c>
      <c r="F1288" s="52" t="s">
        <v>26</v>
      </c>
      <c r="G1288" s="53"/>
    </row>
    <row r="1289">
      <c r="A1289" s="49">
        <v>45034.20548472222</v>
      </c>
      <c r="B1289" s="50">
        <v>45034.3304557175</v>
      </c>
      <c r="C1289" s="51">
        <v>1.045</v>
      </c>
      <c r="D1289" s="51">
        <v>68.0</v>
      </c>
      <c r="E1289" s="52" t="s">
        <v>25</v>
      </c>
      <c r="F1289" s="52" t="s">
        <v>26</v>
      </c>
      <c r="G1289" s="53"/>
    </row>
    <row r="1290">
      <c r="A1290" s="49">
        <v>45034.21590362268</v>
      </c>
      <c r="B1290" s="50">
        <v>45034.340875243</v>
      </c>
      <c r="C1290" s="51">
        <v>1.045</v>
      </c>
      <c r="D1290" s="51">
        <v>68.0</v>
      </c>
      <c r="E1290" s="52" t="s">
        <v>25</v>
      </c>
      <c r="F1290" s="52" t="s">
        <v>26</v>
      </c>
      <c r="G1290" s="53"/>
    </row>
    <row r="1291">
      <c r="A1291" s="49">
        <v>45034.22633304398</v>
      </c>
      <c r="B1291" s="50">
        <v>45034.3513104282</v>
      </c>
      <c r="C1291" s="51">
        <v>1.045</v>
      </c>
      <c r="D1291" s="51">
        <v>68.0</v>
      </c>
      <c r="E1291" s="52" t="s">
        <v>25</v>
      </c>
      <c r="F1291" s="52" t="s">
        <v>26</v>
      </c>
      <c r="G1291" s="53"/>
    </row>
    <row r="1292">
      <c r="A1292" s="49">
        <v>45034.23678342593</v>
      </c>
      <c r="B1292" s="50">
        <v>45034.3617536921</v>
      </c>
      <c r="C1292" s="51">
        <v>1.046</v>
      </c>
      <c r="D1292" s="51">
        <v>68.0</v>
      </c>
      <c r="E1292" s="52" t="s">
        <v>25</v>
      </c>
      <c r="F1292" s="52" t="s">
        <v>26</v>
      </c>
      <c r="G1292" s="53"/>
    </row>
    <row r="1293">
      <c r="A1293" s="49">
        <v>45034.247200972226</v>
      </c>
      <c r="B1293" s="50">
        <v>45034.3721754629</v>
      </c>
      <c r="C1293" s="51">
        <v>1.045</v>
      </c>
      <c r="D1293" s="51">
        <v>68.0</v>
      </c>
      <c r="E1293" s="52" t="s">
        <v>25</v>
      </c>
      <c r="F1293" s="52" t="s">
        <v>26</v>
      </c>
      <c r="G1293" s="53"/>
    </row>
    <row r="1294">
      <c r="A1294" s="49">
        <v>45034.25762822917</v>
      </c>
      <c r="B1294" s="50">
        <v>45034.3825969213</v>
      </c>
      <c r="C1294" s="51">
        <v>1.045</v>
      </c>
      <c r="D1294" s="51">
        <v>68.0</v>
      </c>
      <c r="E1294" s="52" t="s">
        <v>25</v>
      </c>
      <c r="F1294" s="52" t="s">
        <v>26</v>
      </c>
      <c r="G1294" s="53"/>
    </row>
    <row r="1295">
      <c r="A1295" s="49">
        <v>45034.268048032405</v>
      </c>
      <c r="B1295" s="50">
        <v>45034.3930174768</v>
      </c>
      <c r="C1295" s="51">
        <v>1.045</v>
      </c>
      <c r="D1295" s="51">
        <v>68.0</v>
      </c>
      <c r="E1295" s="52" t="s">
        <v>25</v>
      </c>
      <c r="F1295" s="52" t="s">
        <v>26</v>
      </c>
      <c r="G1295" s="53"/>
    </row>
    <row r="1296">
      <c r="A1296" s="49">
        <v>45034.27848248843</v>
      </c>
      <c r="B1296" s="50">
        <v>45034.4034501273</v>
      </c>
      <c r="C1296" s="51">
        <v>1.045</v>
      </c>
      <c r="D1296" s="51">
        <v>68.0</v>
      </c>
      <c r="E1296" s="52" t="s">
        <v>25</v>
      </c>
      <c r="F1296" s="52" t="s">
        <v>26</v>
      </c>
      <c r="G1296" s="53"/>
    </row>
    <row r="1297">
      <c r="A1297" s="49">
        <v>45034.28890085648</v>
      </c>
      <c r="B1297" s="50">
        <v>45034.4138708449</v>
      </c>
      <c r="C1297" s="51">
        <v>1.045</v>
      </c>
      <c r="D1297" s="51">
        <v>68.0</v>
      </c>
      <c r="E1297" s="52" t="s">
        <v>25</v>
      </c>
      <c r="F1297" s="52" t="s">
        <v>26</v>
      </c>
      <c r="G1297" s="53"/>
    </row>
    <row r="1298">
      <c r="A1298" s="49">
        <v>45034.29933097222</v>
      </c>
      <c r="B1298" s="50">
        <v>45034.424303993</v>
      </c>
      <c r="C1298" s="51">
        <v>1.045</v>
      </c>
      <c r="D1298" s="51">
        <v>68.0</v>
      </c>
      <c r="E1298" s="52" t="s">
        <v>25</v>
      </c>
      <c r="F1298" s="52" t="s">
        <v>26</v>
      </c>
      <c r="G1298" s="53"/>
    </row>
    <row r="1299">
      <c r="A1299" s="49">
        <v>45034.30977248843</v>
      </c>
      <c r="B1299" s="50">
        <v>45034.4347368287</v>
      </c>
      <c r="C1299" s="51">
        <v>1.045</v>
      </c>
      <c r="D1299" s="51">
        <v>68.0</v>
      </c>
      <c r="E1299" s="52" t="s">
        <v>25</v>
      </c>
      <c r="F1299" s="52" t="s">
        <v>26</v>
      </c>
      <c r="G1299" s="53"/>
    </row>
    <row r="1300">
      <c r="A1300" s="49">
        <v>45034.32018225694</v>
      </c>
      <c r="B1300" s="50">
        <v>45034.4451575231</v>
      </c>
      <c r="C1300" s="51">
        <v>1.045</v>
      </c>
      <c r="D1300" s="51">
        <v>68.0</v>
      </c>
      <c r="E1300" s="52" t="s">
        <v>25</v>
      </c>
      <c r="F1300" s="52" t="s">
        <v>26</v>
      </c>
      <c r="G1300" s="53"/>
    </row>
    <row r="1301">
      <c r="A1301" s="49">
        <v>45034.330611770834</v>
      </c>
      <c r="B1301" s="50">
        <v>45034.4555798379</v>
      </c>
      <c r="C1301" s="51">
        <v>1.045</v>
      </c>
      <c r="D1301" s="51">
        <v>68.0</v>
      </c>
      <c r="E1301" s="52" t="s">
        <v>25</v>
      </c>
      <c r="F1301" s="52" t="s">
        <v>26</v>
      </c>
      <c r="G1301" s="53"/>
    </row>
    <row r="1302">
      <c r="A1302" s="49">
        <v>45034.341031759264</v>
      </c>
      <c r="B1302" s="50">
        <v>45034.4660005208</v>
      </c>
      <c r="C1302" s="51">
        <v>1.045</v>
      </c>
      <c r="D1302" s="51">
        <v>68.0</v>
      </c>
      <c r="E1302" s="52" t="s">
        <v>25</v>
      </c>
      <c r="F1302" s="52" t="s">
        <v>26</v>
      </c>
      <c r="G1302" s="53"/>
    </row>
    <row r="1303">
      <c r="A1303" s="49">
        <v>45034.351453854164</v>
      </c>
      <c r="B1303" s="50">
        <v>45034.4764217824</v>
      </c>
      <c r="C1303" s="51">
        <v>1.045</v>
      </c>
      <c r="D1303" s="51">
        <v>68.0</v>
      </c>
      <c r="E1303" s="52" t="s">
        <v>25</v>
      </c>
      <c r="F1303" s="52" t="s">
        <v>26</v>
      </c>
      <c r="G1303" s="53"/>
    </row>
    <row r="1304">
      <c r="A1304" s="49">
        <v>45034.36188081019</v>
      </c>
      <c r="B1304" s="50">
        <v>45034.4868556481</v>
      </c>
      <c r="C1304" s="51">
        <v>1.045</v>
      </c>
      <c r="D1304" s="51">
        <v>68.0</v>
      </c>
      <c r="E1304" s="52" t="s">
        <v>25</v>
      </c>
      <c r="F1304" s="52" t="s">
        <v>26</v>
      </c>
      <c r="G1304" s="53"/>
    </row>
    <row r="1305">
      <c r="A1305" s="49">
        <v>45034.37231076389</v>
      </c>
      <c r="B1305" s="50">
        <v>45034.4972769444</v>
      </c>
      <c r="C1305" s="51">
        <v>1.045</v>
      </c>
      <c r="D1305" s="51">
        <v>68.0</v>
      </c>
      <c r="E1305" s="52" t="s">
        <v>25</v>
      </c>
      <c r="F1305" s="52" t="s">
        <v>26</v>
      </c>
      <c r="G1305" s="53"/>
    </row>
    <row r="1306">
      <c r="A1306" s="49">
        <v>45034.3827349537</v>
      </c>
      <c r="B1306" s="50">
        <v>45034.5077095601</v>
      </c>
      <c r="C1306" s="51">
        <v>1.045</v>
      </c>
      <c r="D1306" s="51">
        <v>68.0</v>
      </c>
      <c r="E1306" s="52" t="s">
        <v>25</v>
      </c>
      <c r="F1306" s="52" t="s">
        <v>26</v>
      </c>
      <c r="G1306" s="53"/>
    </row>
    <row r="1307">
      <c r="A1307" s="49">
        <v>45034.39317791667</v>
      </c>
      <c r="B1307" s="50">
        <v>45034.5181432638</v>
      </c>
      <c r="C1307" s="51">
        <v>1.045</v>
      </c>
      <c r="D1307" s="51">
        <v>68.0</v>
      </c>
      <c r="E1307" s="52" t="s">
        <v>25</v>
      </c>
      <c r="F1307" s="52" t="s">
        <v>26</v>
      </c>
      <c r="G1307" s="53"/>
    </row>
    <row r="1308">
      <c r="A1308" s="49">
        <v>45034.403613449074</v>
      </c>
      <c r="B1308" s="50">
        <v>45034.5285869213</v>
      </c>
      <c r="C1308" s="51">
        <v>1.045</v>
      </c>
      <c r="D1308" s="51">
        <v>68.0</v>
      </c>
      <c r="E1308" s="52" t="s">
        <v>25</v>
      </c>
      <c r="F1308" s="52" t="s">
        <v>26</v>
      </c>
      <c r="G1308" s="53"/>
    </row>
    <row r="1309">
      <c r="A1309" s="49">
        <v>45034.41405340278</v>
      </c>
      <c r="B1309" s="50">
        <v>45034.5390181828</v>
      </c>
      <c r="C1309" s="51">
        <v>1.045</v>
      </c>
      <c r="D1309" s="51">
        <v>68.0</v>
      </c>
      <c r="E1309" s="52" t="s">
        <v>25</v>
      </c>
      <c r="F1309" s="52" t="s">
        <v>26</v>
      </c>
      <c r="G1309" s="53"/>
    </row>
    <row r="1310">
      <c r="A1310" s="49">
        <v>45034.424479837966</v>
      </c>
      <c r="B1310" s="50">
        <v>45034.5494497453</v>
      </c>
      <c r="C1310" s="51">
        <v>1.045</v>
      </c>
      <c r="D1310" s="51">
        <v>68.0</v>
      </c>
      <c r="E1310" s="52" t="s">
        <v>25</v>
      </c>
      <c r="F1310" s="52" t="s">
        <v>26</v>
      </c>
      <c r="G1310" s="53"/>
    </row>
    <row r="1311">
      <c r="A1311" s="49">
        <v>45034.43489664352</v>
      </c>
      <c r="B1311" s="50">
        <v>45034.559870081</v>
      </c>
      <c r="C1311" s="51">
        <v>1.045</v>
      </c>
      <c r="D1311" s="51">
        <v>68.0</v>
      </c>
      <c r="E1311" s="52" t="s">
        <v>25</v>
      </c>
      <c r="F1311" s="52" t="s">
        <v>26</v>
      </c>
      <c r="G1311" s="53"/>
    </row>
    <row r="1312">
      <c r="A1312" s="49">
        <v>45034.44532254629</v>
      </c>
      <c r="B1312" s="50">
        <v>45034.5702921412</v>
      </c>
      <c r="C1312" s="51">
        <v>1.045</v>
      </c>
      <c r="D1312" s="51">
        <v>68.0</v>
      </c>
      <c r="E1312" s="52" t="s">
        <v>25</v>
      </c>
      <c r="F1312" s="52" t="s">
        <v>26</v>
      </c>
      <c r="G1312" s="53"/>
    </row>
    <row r="1313">
      <c r="A1313" s="49">
        <v>45034.4557446875</v>
      </c>
      <c r="B1313" s="50">
        <v>45034.5807127893</v>
      </c>
      <c r="C1313" s="51">
        <v>1.045</v>
      </c>
      <c r="D1313" s="51">
        <v>68.0</v>
      </c>
      <c r="E1313" s="52" t="s">
        <v>25</v>
      </c>
      <c r="F1313" s="52" t="s">
        <v>26</v>
      </c>
      <c r="G1313" s="53"/>
    </row>
    <row r="1314">
      <c r="A1314" s="49">
        <v>45034.466162384255</v>
      </c>
      <c r="B1314" s="50">
        <v>45034.5911337615</v>
      </c>
      <c r="C1314" s="51">
        <v>1.045</v>
      </c>
      <c r="D1314" s="51">
        <v>68.0</v>
      </c>
      <c r="E1314" s="52" t="s">
        <v>25</v>
      </c>
      <c r="F1314" s="52" t="s">
        <v>26</v>
      </c>
      <c r="G1314" s="53"/>
    </row>
    <row r="1315">
      <c r="A1315" s="49">
        <v>45034.476594328706</v>
      </c>
      <c r="B1315" s="50">
        <v>45034.6015661111</v>
      </c>
      <c r="C1315" s="51">
        <v>1.045</v>
      </c>
      <c r="D1315" s="51">
        <v>68.0</v>
      </c>
      <c r="E1315" s="52" t="s">
        <v>25</v>
      </c>
      <c r="F1315" s="52" t="s">
        <v>26</v>
      </c>
      <c r="G1315" s="53"/>
    </row>
    <row r="1316">
      <c r="A1316" s="49">
        <v>45034.48703815972</v>
      </c>
      <c r="B1316" s="50">
        <v>45034.6120107754</v>
      </c>
      <c r="C1316" s="51">
        <v>1.045</v>
      </c>
      <c r="D1316" s="51">
        <v>68.0</v>
      </c>
      <c r="E1316" s="52" t="s">
        <v>25</v>
      </c>
      <c r="F1316" s="52" t="s">
        <v>26</v>
      </c>
      <c r="G1316" s="53"/>
    </row>
    <row r="1317">
      <c r="A1317" s="49">
        <v>45034.49747474537</v>
      </c>
      <c r="B1317" s="50">
        <v>45034.6224436921</v>
      </c>
      <c r="C1317" s="51">
        <v>1.045</v>
      </c>
      <c r="D1317" s="51">
        <v>68.0</v>
      </c>
      <c r="E1317" s="52" t="s">
        <v>25</v>
      </c>
      <c r="F1317" s="52" t="s">
        <v>26</v>
      </c>
      <c r="G1317" s="53"/>
    </row>
    <row r="1318">
      <c r="A1318" s="49">
        <v>45034.507915787035</v>
      </c>
      <c r="B1318" s="50">
        <v>45034.6328886689</v>
      </c>
      <c r="C1318" s="51">
        <v>1.045</v>
      </c>
      <c r="D1318" s="51">
        <v>68.0</v>
      </c>
      <c r="E1318" s="52" t="s">
        <v>25</v>
      </c>
      <c r="F1318" s="52" t="s">
        <v>26</v>
      </c>
      <c r="G1318" s="53"/>
    </row>
    <row r="1319">
      <c r="A1319" s="49">
        <v>45034.51832956019</v>
      </c>
      <c r="B1319" s="50">
        <v>45034.6433105092</v>
      </c>
      <c r="C1319" s="51">
        <v>1.045</v>
      </c>
      <c r="D1319" s="51">
        <v>68.0</v>
      </c>
      <c r="E1319" s="52" t="s">
        <v>25</v>
      </c>
      <c r="F1319" s="52" t="s">
        <v>26</v>
      </c>
      <c r="G1319" s="53"/>
    </row>
    <row r="1320">
      <c r="A1320" s="49">
        <v>45034.52875560185</v>
      </c>
      <c r="B1320" s="50">
        <v>45034.6537333796</v>
      </c>
      <c r="C1320" s="51">
        <v>1.045</v>
      </c>
      <c r="D1320" s="51">
        <v>68.0</v>
      </c>
      <c r="E1320" s="52" t="s">
        <v>25</v>
      </c>
      <c r="F1320" s="52" t="s">
        <v>26</v>
      </c>
      <c r="G1320" s="53"/>
    </row>
    <row r="1321">
      <c r="A1321" s="49">
        <v>45034.53921155093</v>
      </c>
      <c r="B1321" s="50">
        <v>45034.6641896296</v>
      </c>
      <c r="C1321" s="51">
        <v>1.045</v>
      </c>
      <c r="D1321" s="51">
        <v>68.0</v>
      </c>
      <c r="E1321" s="52" t="s">
        <v>25</v>
      </c>
      <c r="F1321" s="52" t="s">
        <v>26</v>
      </c>
      <c r="G1321" s="53"/>
    </row>
    <row r="1322">
      <c r="A1322" s="49">
        <v>45034.54963224537</v>
      </c>
      <c r="B1322" s="50">
        <v>45034.6746098263</v>
      </c>
      <c r="C1322" s="51">
        <v>1.045</v>
      </c>
      <c r="D1322" s="51">
        <v>68.0</v>
      </c>
      <c r="E1322" s="52" t="s">
        <v>25</v>
      </c>
      <c r="F1322" s="52" t="s">
        <v>26</v>
      </c>
      <c r="G1322" s="53"/>
    </row>
    <row r="1323">
      <c r="A1323" s="49">
        <v>45034.56006380787</v>
      </c>
      <c r="B1323" s="50">
        <v>45034.6850317708</v>
      </c>
      <c r="C1323" s="51">
        <v>1.044</v>
      </c>
      <c r="D1323" s="51">
        <v>68.0</v>
      </c>
      <c r="E1323" s="52" t="s">
        <v>25</v>
      </c>
      <c r="F1323" s="52" t="s">
        <v>26</v>
      </c>
      <c r="G1323" s="53"/>
    </row>
    <row r="1324">
      <c r="A1324" s="49">
        <v>45034.57047903935</v>
      </c>
      <c r="B1324" s="50">
        <v>45034.6954532175</v>
      </c>
      <c r="C1324" s="51">
        <v>1.045</v>
      </c>
      <c r="D1324" s="51">
        <v>68.0</v>
      </c>
      <c r="E1324" s="52" t="s">
        <v>25</v>
      </c>
      <c r="F1324" s="52" t="s">
        <v>26</v>
      </c>
      <c r="G1324" s="53"/>
    </row>
    <row r="1325">
      <c r="A1325" s="49">
        <v>45034.58089932871</v>
      </c>
      <c r="B1325" s="50">
        <v>45034.7058736805</v>
      </c>
      <c r="C1325" s="51">
        <v>1.044</v>
      </c>
      <c r="D1325" s="51">
        <v>68.0</v>
      </c>
      <c r="E1325" s="52" t="s">
        <v>25</v>
      </c>
      <c r="F1325" s="52" t="s">
        <v>26</v>
      </c>
      <c r="G1325" s="53"/>
    </row>
    <row r="1326">
      <c r="A1326" s="49">
        <v>45034.591322175926</v>
      </c>
      <c r="B1326" s="50">
        <v>45034.716304537</v>
      </c>
      <c r="C1326" s="51">
        <v>1.044</v>
      </c>
      <c r="D1326" s="51">
        <v>68.0</v>
      </c>
      <c r="E1326" s="52" t="s">
        <v>25</v>
      </c>
      <c r="F1326" s="52" t="s">
        <v>26</v>
      </c>
      <c r="G1326" s="53"/>
    </row>
    <row r="1327">
      <c r="A1327" s="49">
        <v>45034.601744432875</v>
      </c>
      <c r="B1327" s="50">
        <v>45034.7267255902</v>
      </c>
      <c r="C1327" s="51">
        <v>1.044</v>
      </c>
      <c r="D1327" s="51">
        <v>68.0</v>
      </c>
      <c r="E1327" s="52" t="s">
        <v>25</v>
      </c>
      <c r="F1327" s="52" t="s">
        <v>26</v>
      </c>
      <c r="G1327" s="53"/>
    </row>
    <row r="1328">
      <c r="A1328" s="49">
        <v>45034.612169722226</v>
      </c>
      <c r="B1328" s="50">
        <v>45034.7371445833</v>
      </c>
      <c r="C1328" s="51">
        <v>1.044</v>
      </c>
      <c r="D1328" s="51">
        <v>68.0</v>
      </c>
      <c r="E1328" s="52" t="s">
        <v>25</v>
      </c>
      <c r="F1328" s="52" t="s">
        <v>26</v>
      </c>
      <c r="G1328" s="53"/>
    </row>
    <row r="1329">
      <c r="A1329" s="49">
        <v>45034.622587488426</v>
      </c>
      <c r="B1329" s="50">
        <v>45034.7475673379</v>
      </c>
      <c r="C1329" s="51">
        <v>1.044</v>
      </c>
      <c r="D1329" s="51">
        <v>68.0</v>
      </c>
      <c r="E1329" s="52" t="s">
        <v>25</v>
      </c>
      <c r="F1329" s="52" t="s">
        <v>26</v>
      </c>
      <c r="G1329" s="53"/>
    </row>
    <row r="1330">
      <c r="A1330" s="49">
        <v>45034.63301914352</v>
      </c>
      <c r="B1330" s="50">
        <v>45034.7579884259</v>
      </c>
      <c r="C1330" s="51">
        <v>1.044</v>
      </c>
      <c r="D1330" s="51">
        <v>68.0</v>
      </c>
      <c r="E1330" s="52" t="s">
        <v>25</v>
      </c>
      <c r="F1330" s="52" t="s">
        <v>26</v>
      </c>
      <c r="G1330" s="53"/>
    </row>
    <row r="1331">
      <c r="A1331" s="49">
        <v>45034.64345184028</v>
      </c>
      <c r="B1331" s="50">
        <v>45034.7684325347</v>
      </c>
      <c r="C1331" s="51">
        <v>1.044</v>
      </c>
      <c r="D1331" s="51">
        <v>68.0</v>
      </c>
      <c r="E1331" s="52" t="s">
        <v>25</v>
      </c>
      <c r="F1331" s="52" t="s">
        <v>26</v>
      </c>
      <c r="G1331" s="53"/>
    </row>
    <row r="1332">
      <c r="A1332" s="49">
        <v>45034.65388142361</v>
      </c>
      <c r="B1332" s="50">
        <v>45034.778853912</v>
      </c>
      <c r="C1332" s="51">
        <v>1.044</v>
      </c>
      <c r="D1332" s="51">
        <v>68.0</v>
      </c>
      <c r="E1332" s="52" t="s">
        <v>25</v>
      </c>
      <c r="F1332" s="52" t="s">
        <v>26</v>
      </c>
      <c r="G1332" s="53"/>
    </row>
    <row r="1333">
      <c r="A1333" s="49">
        <v>45034.664322488425</v>
      </c>
      <c r="B1333" s="50">
        <v>45034.7892984606</v>
      </c>
      <c r="C1333" s="51">
        <v>1.044</v>
      </c>
      <c r="D1333" s="51">
        <v>68.0</v>
      </c>
      <c r="E1333" s="52" t="s">
        <v>25</v>
      </c>
      <c r="F1333" s="52" t="s">
        <v>26</v>
      </c>
      <c r="G1333" s="53"/>
    </row>
    <row r="1334">
      <c r="A1334" s="49">
        <v>45034.674735162036</v>
      </c>
      <c r="B1334" s="50">
        <v>45034.7997183564</v>
      </c>
      <c r="C1334" s="51">
        <v>1.044</v>
      </c>
      <c r="D1334" s="51">
        <v>68.0</v>
      </c>
      <c r="E1334" s="52" t="s">
        <v>25</v>
      </c>
      <c r="F1334" s="52" t="s">
        <v>26</v>
      </c>
      <c r="G1334" s="53"/>
    </row>
    <row r="1335">
      <c r="A1335" s="49">
        <v>45034.68515996527</v>
      </c>
      <c r="B1335" s="50">
        <v>45034.8101395949</v>
      </c>
      <c r="C1335" s="51">
        <v>1.044</v>
      </c>
      <c r="D1335" s="51">
        <v>68.0</v>
      </c>
      <c r="E1335" s="52" t="s">
        <v>25</v>
      </c>
      <c r="F1335" s="52" t="s">
        <v>26</v>
      </c>
      <c r="G1335" s="53"/>
    </row>
    <row r="1336">
      <c r="A1336" s="49">
        <v>45034.69557755787</v>
      </c>
      <c r="B1336" s="50">
        <v>45034.8205608912</v>
      </c>
      <c r="C1336" s="51">
        <v>1.044</v>
      </c>
      <c r="D1336" s="51">
        <v>68.0</v>
      </c>
      <c r="E1336" s="52" t="s">
        <v>25</v>
      </c>
      <c r="F1336" s="52" t="s">
        <v>26</v>
      </c>
      <c r="G1336" s="53"/>
    </row>
    <row r="1337">
      <c r="A1337" s="49">
        <v>45034.70601512732</v>
      </c>
      <c r="B1337" s="50">
        <v>45034.8309841898</v>
      </c>
      <c r="C1337" s="51">
        <v>1.044</v>
      </c>
      <c r="D1337" s="51">
        <v>68.0</v>
      </c>
      <c r="E1337" s="52" t="s">
        <v>25</v>
      </c>
      <c r="F1337" s="52" t="s">
        <v>26</v>
      </c>
      <c r="G1337" s="53"/>
    </row>
    <row r="1338">
      <c r="A1338" s="49">
        <v>45034.716446886574</v>
      </c>
      <c r="B1338" s="50">
        <v>45034.8414173148</v>
      </c>
      <c r="C1338" s="51">
        <v>1.044</v>
      </c>
      <c r="D1338" s="51">
        <v>68.0</v>
      </c>
      <c r="E1338" s="52" t="s">
        <v>25</v>
      </c>
      <c r="F1338" s="52" t="s">
        <v>26</v>
      </c>
      <c r="G1338" s="53"/>
    </row>
    <row r="1339">
      <c r="A1339" s="49">
        <v>45034.72687039352</v>
      </c>
      <c r="B1339" s="50">
        <v>45034.8518394444</v>
      </c>
      <c r="C1339" s="51">
        <v>1.044</v>
      </c>
      <c r="D1339" s="51">
        <v>68.0</v>
      </c>
      <c r="E1339" s="52" t="s">
        <v>25</v>
      </c>
      <c r="F1339" s="52" t="s">
        <v>26</v>
      </c>
      <c r="G1339" s="53"/>
    </row>
    <row r="1340">
      <c r="A1340" s="49">
        <v>45034.737278622684</v>
      </c>
      <c r="B1340" s="50">
        <v>45034.8622601967</v>
      </c>
      <c r="C1340" s="51">
        <v>1.044</v>
      </c>
      <c r="D1340" s="51">
        <v>68.0</v>
      </c>
      <c r="E1340" s="52" t="s">
        <v>25</v>
      </c>
      <c r="F1340" s="52" t="s">
        <v>26</v>
      </c>
      <c r="G1340" s="53"/>
    </row>
    <row r="1341">
      <c r="A1341" s="49">
        <v>45034.74769752315</v>
      </c>
      <c r="B1341" s="50">
        <v>45034.8726810763</v>
      </c>
      <c r="C1341" s="51">
        <v>1.044</v>
      </c>
      <c r="D1341" s="51">
        <v>68.0</v>
      </c>
      <c r="E1341" s="52" t="s">
        <v>25</v>
      </c>
      <c r="F1341" s="52" t="s">
        <v>26</v>
      </c>
      <c r="G1341" s="53"/>
    </row>
    <row r="1342">
      <c r="A1342" s="49">
        <v>45034.75813290509</v>
      </c>
      <c r="B1342" s="50">
        <v>45034.8831024421</v>
      </c>
      <c r="C1342" s="51">
        <v>1.044</v>
      </c>
      <c r="D1342" s="51">
        <v>68.0</v>
      </c>
      <c r="E1342" s="52" t="s">
        <v>25</v>
      </c>
      <c r="F1342" s="52" t="s">
        <v>26</v>
      </c>
      <c r="G1342" s="53"/>
    </row>
    <row r="1343">
      <c r="A1343" s="49">
        <v>45034.76854243055</v>
      </c>
      <c r="B1343" s="50">
        <v>45034.8935223263</v>
      </c>
      <c r="C1343" s="51">
        <v>1.044</v>
      </c>
      <c r="D1343" s="51">
        <v>68.0</v>
      </c>
      <c r="E1343" s="52" t="s">
        <v>25</v>
      </c>
      <c r="F1343" s="52" t="s">
        <v>26</v>
      </c>
      <c r="G1343" s="53"/>
    </row>
    <row r="1344">
      <c r="A1344" s="49">
        <v>45034.77898186343</v>
      </c>
      <c r="B1344" s="50">
        <v>45034.9039550578</v>
      </c>
      <c r="C1344" s="51">
        <v>1.044</v>
      </c>
      <c r="D1344" s="51">
        <v>68.0</v>
      </c>
      <c r="E1344" s="52" t="s">
        <v>25</v>
      </c>
      <c r="F1344" s="52" t="s">
        <v>26</v>
      </c>
      <c r="G1344" s="53"/>
    </row>
    <row r="1345">
      <c r="A1345" s="49">
        <v>45034.789412025464</v>
      </c>
      <c r="B1345" s="50">
        <v>45034.9143871759</v>
      </c>
      <c r="C1345" s="51">
        <v>1.044</v>
      </c>
      <c r="D1345" s="51">
        <v>68.0</v>
      </c>
      <c r="E1345" s="52" t="s">
        <v>25</v>
      </c>
      <c r="F1345" s="52" t="s">
        <v>26</v>
      </c>
      <c r="G1345" s="53"/>
    </row>
    <row r="1346">
      <c r="A1346" s="49">
        <v>45034.79983605324</v>
      </c>
      <c r="B1346" s="50">
        <v>45034.9248067939</v>
      </c>
      <c r="C1346" s="51">
        <v>1.044</v>
      </c>
      <c r="D1346" s="51">
        <v>68.0</v>
      </c>
      <c r="E1346" s="52" t="s">
        <v>25</v>
      </c>
      <c r="F1346" s="52" t="s">
        <v>26</v>
      </c>
      <c r="G1346" s="53"/>
    </row>
    <row r="1347">
      <c r="A1347" s="49">
        <v>45034.81029608796</v>
      </c>
      <c r="B1347" s="50">
        <v>45034.9352750462</v>
      </c>
      <c r="C1347" s="51">
        <v>1.044</v>
      </c>
      <c r="D1347" s="51">
        <v>68.0</v>
      </c>
      <c r="E1347" s="52" t="s">
        <v>25</v>
      </c>
      <c r="F1347" s="52" t="s">
        <v>26</v>
      </c>
      <c r="G1347" s="53"/>
    </row>
    <row r="1348">
      <c r="A1348" s="49">
        <v>45034.82074271991</v>
      </c>
      <c r="B1348" s="50">
        <v>45034.9457198263</v>
      </c>
      <c r="C1348" s="51">
        <v>1.044</v>
      </c>
      <c r="D1348" s="51">
        <v>68.0</v>
      </c>
      <c r="E1348" s="52" t="s">
        <v>25</v>
      </c>
      <c r="F1348" s="52" t="s">
        <v>26</v>
      </c>
      <c r="G1348" s="53"/>
    </row>
    <row r="1349">
      <c r="A1349" s="49">
        <v>45034.831162118055</v>
      </c>
      <c r="B1349" s="50">
        <v>45034.9561409838</v>
      </c>
      <c r="C1349" s="51">
        <v>1.044</v>
      </c>
      <c r="D1349" s="51">
        <v>68.0</v>
      </c>
      <c r="E1349" s="52" t="s">
        <v>25</v>
      </c>
      <c r="F1349" s="52" t="s">
        <v>26</v>
      </c>
      <c r="G1349" s="53"/>
    </row>
    <row r="1350">
      <c r="A1350" s="49">
        <v>45034.84160181713</v>
      </c>
      <c r="B1350" s="50">
        <v>45034.966575324</v>
      </c>
      <c r="C1350" s="51">
        <v>1.044</v>
      </c>
      <c r="D1350" s="51">
        <v>68.0</v>
      </c>
      <c r="E1350" s="52" t="s">
        <v>25</v>
      </c>
      <c r="F1350" s="52" t="s">
        <v>26</v>
      </c>
      <c r="G1350" s="53"/>
    </row>
    <row r="1351">
      <c r="A1351" s="49">
        <v>45034.85201663194</v>
      </c>
      <c r="B1351" s="50">
        <v>45034.9769957638</v>
      </c>
      <c r="C1351" s="51">
        <v>1.044</v>
      </c>
      <c r="D1351" s="51">
        <v>68.0</v>
      </c>
      <c r="E1351" s="52" t="s">
        <v>25</v>
      </c>
      <c r="F1351" s="52" t="s">
        <v>26</v>
      </c>
      <c r="G1351" s="53"/>
    </row>
    <row r="1352">
      <c r="A1352" s="49">
        <v>45034.86243689815</v>
      </c>
      <c r="B1352" s="50">
        <v>45034.9874177777</v>
      </c>
      <c r="C1352" s="51">
        <v>1.044</v>
      </c>
      <c r="D1352" s="51">
        <v>68.0</v>
      </c>
      <c r="E1352" s="52" t="s">
        <v>25</v>
      </c>
      <c r="F1352" s="52" t="s">
        <v>26</v>
      </c>
      <c r="G1352" s="53"/>
    </row>
    <row r="1353">
      <c r="A1353" s="49">
        <v>45034.87285664352</v>
      </c>
      <c r="B1353" s="50">
        <v>45034.9978381944</v>
      </c>
      <c r="C1353" s="51">
        <v>1.044</v>
      </c>
      <c r="D1353" s="51">
        <v>67.0</v>
      </c>
      <c r="E1353" s="52" t="s">
        <v>25</v>
      </c>
      <c r="F1353" s="52" t="s">
        <v>26</v>
      </c>
      <c r="G1353" s="53"/>
    </row>
    <row r="1354">
      <c r="A1354" s="49">
        <v>45034.88329452546</v>
      </c>
      <c r="B1354" s="50">
        <v>45035.0082715509</v>
      </c>
      <c r="C1354" s="51">
        <v>1.044</v>
      </c>
      <c r="D1354" s="51">
        <v>68.0</v>
      </c>
      <c r="E1354" s="52" t="s">
        <v>25</v>
      </c>
      <c r="F1354" s="52" t="s">
        <v>26</v>
      </c>
      <c r="G1354" s="53"/>
    </row>
    <row r="1355">
      <c r="A1355" s="49">
        <v>45034.893711550925</v>
      </c>
      <c r="B1355" s="50">
        <v>45035.0186926504</v>
      </c>
      <c r="C1355" s="51">
        <v>1.044</v>
      </c>
      <c r="D1355" s="51">
        <v>68.0</v>
      </c>
      <c r="E1355" s="52" t="s">
        <v>25</v>
      </c>
      <c r="F1355" s="52" t="s">
        <v>26</v>
      </c>
      <c r="G1355" s="53"/>
    </row>
    <row r="1356">
      <c r="A1356" s="49">
        <v>45034.90413885417</v>
      </c>
      <c r="B1356" s="50">
        <v>45035.0291143518</v>
      </c>
      <c r="C1356" s="51">
        <v>1.044</v>
      </c>
      <c r="D1356" s="51">
        <v>68.0</v>
      </c>
      <c r="E1356" s="52" t="s">
        <v>25</v>
      </c>
      <c r="F1356" s="52" t="s">
        <v>26</v>
      </c>
      <c r="G1356" s="53"/>
    </row>
    <row r="1357">
      <c r="A1357" s="49">
        <v>45034.91455422454</v>
      </c>
      <c r="B1357" s="50">
        <v>45035.0395359722</v>
      </c>
      <c r="C1357" s="51">
        <v>1.044</v>
      </c>
      <c r="D1357" s="51">
        <v>68.0</v>
      </c>
      <c r="E1357" s="52" t="s">
        <v>25</v>
      </c>
      <c r="F1357" s="52" t="s">
        <v>26</v>
      </c>
      <c r="G1357" s="53"/>
    </row>
    <row r="1358">
      <c r="A1358" s="49">
        <v>45034.92498074074</v>
      </c>
      <c r="B1358" s="50">
        <v>45035.0499578935</v>
      </c>
      <c r="C1358" s="51">
        <v>1.044</v>
      </c>
      <c r="D1358" s="51">
        <v>68.0</v>
      </c>
      <c r="E1358" s="52" t="s">
        <v>25</v>
      </c>
      <c r="F1358" s="52" t="s">
        <v>26</v>
      </c>
      <c r="G1358" s="53"/>
    </row>
    <row r="1359">
      <c r="A1359" s="49">
        <v>45034.93541953704</v>
      </c>
      <c r="B1359" s="50">
        <v>45035.0604031597</v>
      </c>
      <c r="C1359" s="51">
        <v>1.044</v>
      </c>
      <c r="D1359" s="51">
        <v>68.0</v>
      </c>
      <c r="E1359" s="52" t="s">
        <v>25</v>
      </c>
      <c r="F1359" s="52" t="s">
        <v>26</v>
      </c>
      <c r="G1359" s="53"/>
    </row>
    <row r="1360">
      <c r="A1360" s="49">
        <v>45034.94584884259</v>
      </c>
      <c r="B1360" s="50">
        <v>45035.0708224421</v>
      </c>
      <c r="C1360" s="51">
        <v>1.044</v>
      </c>
      <c r="D1360" s="51">
        <v>68.0</v>
      </c>
      <c r="E1360" s="52" t="s">
        <v>25</v>
      </c>
      <c r="F1360" s="52" t="s">
        <v>26</v>
      </c>
      <c r="G1360" s="53"/>
    </row>
    <row r="1361">
      <c r="A1361" s="49">
        <v>45034.95628886574</v>
      </c>
      <c r="B1361" s="50">
        <v>45035.0812679861</v>
      </c>
      <c r="C1361" s="51">
        <v>1.044</v>
      </c>
      <c r="D1361" s="51">
        <v>67.0</v>
      </c>
      <c r="E1361" s="52" t="s">
        <v>25</v>
      </c>
      <c r="F1361" s="52" t="s">
        <v>26</v>
      </c>
      <c r="G1361" s="53"/>
    </row>
    <row r="1362">
      <c r="A1362" s="49">
        <v>45034.96671143519</v>
      </c>
      <c r="B1362" s="50">
        <v>45035.0916900115</v>
      </c>
      <c r="C1362" s="51">
        <v>1.044</v>
      </c>
      <c r="D1362" s="51">
        <v>67.0</v>
      </c>
      <c r="E1362" s="52" t="s">
        <v>25</v>
      </c>
      <c r="F1362" s="52" t="s">
        <v>26</v>
      </c>
      <c r="G1362" s="53"/>
    </row>
    <row r="1363">
      <c r="A1363" s="49">
        <v>45034.97712728009</v>
      </c>
      <c r="B1363" s="50">
        <v>45035.1021101851</v>
      </c>
      <c r="C1363" s="51">
        <v>1.044</v>
      </c>
      <c r="D1363" s="51">
        <v>68.0</v>
      </c>
      <c r="E1363" s="52" t="s">
        <v>25</v>
      </c>
      <c r="F1363" s="52" t="s">
        <v>26</v>
      </c>
      <c r="G1363" s="53"/>
    </row>
    <row r="1364">
      <c r="A1364" s="49">
        <v>45034.98755413195</v>
      </c>
      <c r="B1364" s="50">
        <v>45035.112529375</v>
      </c>
      <c r="C1364" s="51">
        <v>1.044</v>
      </c>
      <c r="D1364" s="51">
        <v>67.0</v>
      </c>
      <c r="E1364" s="52" t="s">
        <v>25</v>
      </c>
      <c r="F1364" s="52" t="s">
        <v>26</v>
      </c>
      <c r="G1364" s="53"/>
    </row>
    <row r="1365">
      <c r="A1365" s="49">
        <v>45034.99796796296</v>
      </c>
      <c r="B1365" s="50">
        <v>45035.1229490162</v>
      </c>
      <c r="C1365" s="51">
        <v>1.044</v>
      </c>
      <c r="D1365" s="51">
        <v>67.0</v>
      </c>
      <c r="E1365" s="52" t="s">
        <v>25</v>
      </c>
      <c r="F1365" s="52" t="s">
        <v>26</v>
      </c>
      <c r="G1365" s="53"/>
    </row>
    <row r="1366">
      <c r="A1366" s="49">
        <v>45035.00839822917</v>
      </c>
      <c r="B1366" s="50">
        <v>45035.1333834606</v>
      </c>
      <c r="C1366" s="51">
        <v>1.043</v>
      </c>
      <c r="D1366" s="51">
        <v>67.0</v>
      </c>
      <c r="E1366" s="52" t="s">
        <v>25</v>
      </c>
      <c r="F1366" s="52" t="s">
        <v>26</v>
      </c>
      <c r="G1366" s="53"/>
    </row>
    <row r="1367">
      <c r="A1367" s="49">
        <v>45035.018825949075</v>
      </c>
      <c r="B1367" s="50">
        <v>45035.1438065046</v>
      </c>
      <c r="C1367" s="51">
        <v>1.043</v>
      </c>
      <c r="D1367" s="51">
        <v>67.0</v>
      </c>
      <c r="E1367" s="52" t="s">
        <v>25</v>
      </c>
      <c r="F1367" s="52" t="s">
        <v>26</v>
      </c>
      <c r="G1367" s="53"/>
    </row>
    <row r="1368">
      <c r="A1368" s="49">
        <v>45035.029252465276</v>
      </c>
      <c r="B1368" s="50">
        <v>45035.1542282638</v>
      </c>
      <c r="C1368" s="51">
        <v>1.043</v>
      </c>
      <c r="D1368" s="51">
        <v>67.0</v>
      </c>
      <c r="E1368" s="52" t="s">
        <v>25</v>
      </c>
      <c r="F1368" s="52" t="s">
        <v>26</v>
      </c>
      <c r="G1368" s="53"/>
    </row>
    <row r="1369">
      <c r="A1369" s="49">
        <v>45035.039697025466</v>
      </c>
      <c r="B1369" s="50">
        <v>45035.1646736805</v>
      </c>
      <c r="C1369" s="51">
        <v>1.043</v>
      </c>
      <c r="D1369" s="51">
        <v>67.0</v>
      </c>
      <c r="E1369" s="52" t="s">
        <v>25</v>
      </c>
      <c r="F1369" s="52" t="s">
        <v>26</v>
      </c>
      <c r="G1369" s="53"/>
    </row>
    <row r="1370">
      <c r="A1370" s="49">
        <v>45035.05013204861</v>
      </c>
      <c r="B1370" s="50">
        <v>45035.1751072569</v>
      </c>
      <c r="C1370" s="51">
        <v>1.043</v>
      </c>
      <c r="D1370" s="51">
        <v>67.0</v>
      </c>
      <c r="E1370" s="52" t="s">
        <v>25</v>
      </c>
      <c r="F1370" s="52" t="s">
        <v>26</v>
      </c>
      <c r="G1370" s="53"/>
    </row>
    <row r="1371">
      <c r="A1371" s="49">
        <v>45035.06054569445</v>
      </c>
      <c r="B1371" s="50">
        <v>45035.1855260995</v>
      </c>
      <c r="C1371" s="51">
        <v>1.043</v>
      </c>
      <c r="D1371" s="51">
        <v>67.0</v>
      </c>
      <c r="E1371" s="52" t="s">
        <v>25</v>
      </c>
      <c r="F1371" s="52" t="s">
        <v>26</v>
      </c>
      <c r="G1371" s="53"/>
    </row>
    <row r="1372">
      <c r="A1372" s="49">
        <v>45035.07096710648</v>
      </c>
      <c r="B1372" s="50">
        <v>45035.1959466203</v>
      </c>
      <c r="C1372" s="51">
        <v>1.043</v>
      </c>
      <c r="D1372" s="51">
        <v>67.0</v>
      </c>
      <c r="E1372" s="52" t="s">
        <v>25</v>
      </c>
      <c r="F1372" s="52" t="s">
        <v>26</v>
      </c>
      <c r="G1372" s="53"/>
    </row>
    <row r="1373">
      <c r="A1373" s="49">
        <v>45035.08139703704</v>
      </c>
      <c r="B1373" s="50">
        <v>45035.2063792824</v>
      </c>
      <c r="C1373" s="51">
        <v>1.043</v>
      </c>
      <c r="D1373" s="51">
        <v>67.0</v>
      </c>
      <c r="E1373" s="52" t="s">
        <v>25</v>
      </c>
      <c r="F1373" s="52" t="s">
        <v>26</v>
      </c>
      <c r="G1373" s="53"/>
    </row>
    <row r="1374">
      <c r="A1374" s="49">
        <v>45035.091828310186</v>
      </c>
      <c r="B1374" s="50">
        <v>45035.2168004861</v>
      </c>
      <c r="C1374" s="51">
        <v>1.043</v>
      </c>
      <c r="D1374" s="51">
        <v>67.0</v>
      </c>
      <c r="E1374" s="52" t="s">
        <v>25</v>
      </c>
      <c r="F1374" s="52" t="s">
        <v>26</v>
      </c>
      <c r="G1374" s="53"/>
    </row>
    <row r="1375">
      <c r="A1375" s="49">
        <v>45035.10226368056</v>
      </c>
      <c r="B1375" s="50">
        <v>45035.2272454976</v>
      </c>
      <c r="C1375" s="51">
        <v>1.043</v>
      </c>
      <c r="D1375" s="51">
        <v>67.0</v>
      </c>
      <c r="E1375" s="52" t="s">
        <v>25</v>
      </c>
      <c r="F1375" s="52" t="s">
        <v>26</v>
      </c>
      <c r="G1375" s="53"/>
    </row>
    <row r="1376">
      <c r="A1376" s="49">
        <v>45035.112690497685</v>
      </c>
      <c r="B1376" s="50">
        <v>45035.2376667824</v>
      </c>
      <c r="C1376" s="51">
        <v>1.043</v>
      </c>
      <c r="D1376" s="51">
        <v>67.0</v>
      </c>
      <c r="E1376" s="52" t="s">
        <v>25</v>
      </c>
      <c r="F1376" s="52" t="s">
        <v>26</v>
      </c>
      <c r="G1376" s="53"/>
    </row>
    <row r="1377">
      <c r="A1377" s="49">
        <v>45035.12310377315</v>
      </c>
      <c r="B1377" s="50">
        <v>45035.2480894791</v>
      </c>
      <c r="C1377" s="51">
        <v>1.043</v>
      </c>
      <c r="D1377" s="51">
        <v>67.0</v>
      </c>
      <c r="E1377" s="52" t="s">
        <v>25</v>
      </c>
      <c r="F1377" s="52" t="s">
        <v>26</v>
      </c>
      <c r="G1377" s="53"/>
    </row>
    <row r="1378">
      <c r="A1378" s="49">
        <v>45035.13353211805</v>
      </c>
      <c r="B1378" s="50">
        <v>45035.2585098611</v>
      </c>
      <c r="C1378" s="51">
        <v>1.043</v>
      </c>
      <c r="D1378" s="51">
        <v>67.0</v>
      </c>
      <c r="E1378" s="52" t="s">
        <v>25</v>
      </c>
      <c r="F1378" s="52" t="s">
        <v>26</v>
      </c>
      <c r="G1378" s="53"/>
    </row>
    <row r="1379">
      <c r="A1379" s="49">
        <v>45035.14397546297</v>
      </c>
      <c r="B1379" s="50">
        <v>45035.2689544907</v>
      </c>
      <c r="C1379" s="51">
        <v>1.043</v>
      </c>
      <c r="D1379" s="51">
        <v>67.0</v>
      </c>
      <c r="E1379" s="52" t="s">
        <v>25</v>
      </c>
      <c r="F1379" s="52" t="s">
        <v>26</v>
      </c>
      <c r="G1379" s="53"/>
    </row>
    <row r="1380">
      <c r="A1380" s="49">
        <v>45035.15439856482</v>
      </c>
      <c r="B1380" s="50">
        <v>45035.2793752314</v>
      </c>
      <c r="C1380" s="51">
        <v>1.043</v>
      </c>
      <c r="D1380" s="51">
        <v>67.0</v>
      </c>
      <c r="E1380" s="52" t="s">
        <v>25</v>
      </c>
      <c r="F1380" s="52" t="s">
        <v>26</v>
      </c>
      <c r="G1380" s="53"/>
    </row>
    <row r="1381">
      <c r="A1381" s="49">
        <v>45035.16482140047</v>
      </c>
      <c r="B1381" s="50">
        <v>45035.2897970138</v>
      </c>
      <c r="C1381" s="51">
        <v>1.043</v>
      </c>
      <c r="D1381" s="51">
        <v>67.0</v>
      </c>
      <c r="E1381" s="52" t="s">
        <v>25</v>
      </c>
      <c r="F1381" s="52" t="s">
        <v>26</v>
      </c>
      <c r="G1381" s="53"/>
    </row>
    <row r="1382">
      <c r="A1382" s="49">
        <v>45035.175246099534</v>
      </c>
      <c r="B1382" s="50">
        <v>45035.3002188425</v>
      </c>
      <c r="C1382" s="51">
        <v>1.043</v>
      </c>
      <c r="D1382" s="51">
        <v>67.0</v>
      </c>
      <c r="E1382" s="52" t="s">
        <v>25</v>
      </c>
      <c r="F1382" s="52" t="s">
        <v>26</v>
      </c>
      <c r="G1382" s="53"/>
    </row>
    <row r="1383">
      <c r="A1383" s="49">
        <v>45035.1856922338</v>
      </c>
      <c r="B1383" s="50">
        <v>45035.3106732638</v>
      </c>
      <c r="C1383" s="51">
        <v>1.043</v>
      </c>
      <c r="D1383" s="51">
        <v>67.0</v>
      </c>
      <c r="E1383" s="52" t="s">
        <v>25</v>
      </c>
      <c r="F1383" s="52" t="s">
        <v>26</v>
      </c>
      <c r="G1383" s="53"/>
    </row>
    <row r="1384">
      <c r="A1384" s="49">
        <v>45035.196120671295</v>
      </c>
      <c r="B1384" s="50">
        <v>45035.3210947569</v>
      </c>
      <c r="C1384" s="51">
        <v>1.043</v>
      </c>
      <c r="D1384" s="51">
        <v>67.0</v>
      </c>
      <c r="E1384" s="52" t="s">
        <v>25</v>
      </c>
      <c r="F1384" s="52" t="s">
        <v>26</v>
      </c>
      <c r="G1384" s="53"/>
    </row>
    <row r="1385">
      <c r="A1385" s="49">
        <v>45035.206549814815</v>
      </c>
      <c r="B1385" s="50">
        <v>45035.3315281597</v>
      </c>
      <c r="C1385" s="51">
        <v>1.043</v>
      </c>
      <c r="D1385" s="51">
        <v>67.0</v>
      </c>
      <c r="E1385" s="52" t="s">
        <v>25</v>
      </c>
      <c r="F1385" s="52" t="s">
        <v>26</v>
      </c>
      <c r="G1385" s="53"/>
    </row>
    <row r="1386">
      <c r="A1386" s="49">
        <v>45035.21698262732</v>
      </c>
      <c r="B1386" s="50">
        <v>45035.3419490162</v>
      </c>
      <c r="C1386" s="51">
        <v>1.043</v>
      </c>
      <c r="D1386" s="51">
        <v>67.0</v>
      </c>
      <c r="E1386" s="52" t="s">
        <v>25</v>
      </c>
      <c r="F1386" s="52" t="s">
        <v>26</v>
      </c>
      <c r="G1386" s="53"/>
    </row>
    <row r="1387">
      <c r="A1387" s="49">
        <v>45035.227405185185</v>
      </c>
      <c r="B1387" s="50">
        <v>45035.3523840972</v>
      </c>
      <c r="C1387" s="51">
        <v>1.043</v>
      </c>
      <c r="D1387" s="51">
        <v>67.0</v>
      </c>
      <c r="E1387" s="52" t="s">
        <v>25</v>
      </c>
      <c r="F1387" s="52" t="s">
        <v>26</v>
      </c>
      <c r="G1387" s="53"/>
    </row>
    <row r="1388">
      <c r="A1388" s="49">
        <v>45035.237828067126</v>
      </c>
      <c r="B1388" s="50">
        <v>45035.3628053935</v>
      </c>
      <c r="C1388" s="51">
        <v>1.043</v>
      </c>
      <c r="D1388" s="51">
        <v>67.0</v>
      </c>
      <c r="E1388" s="52" t="s">
        <v>25</v>
      </c>
      <c r="F1388" s="52" t="s">
        <v>26</v>
      </c>
      <c r="G1388" s="53"/>
    </row>
    <row r="1389">
      <c r="A1389" s="49">
        <v>45035.24824887731</v>
      </c>
      <c r="B1389" s="50">
        <v>45035.3732276157</v>
      </c>
      <c r="C1389" s="51">
        <v>1.043</v>
      </c>
      <c r="D1389" s="51">
        <v>67.0</v>
      </c>
      <c r="E1389" s="52" t="s">
        <v>25</v>
      </c>
      <c r="F1389" s="52" t="s">
        <v>26</v>
      </c>
      <c r="G1389" s="53"/>
    </row>
    <row r="1390">
      <c r="A1390" s="49">
        <v>45035.25870104167</v>
      </c>
      <c r="B1390" s="50">
        <v>45035.383671574</v>
      </c>
      <c r="C1390" s="51">
        <v>1.043</v>
      </c>
      <c r="D1390" s="51">
        <v>67.0</v>
      </c>
      <c r="E1390" s="52" t="s">
        <v>25</v>
      </c>
      <c r="F1390" s="52" t="s">
        <v>26</v>
      </c>
      <c r="G1390" s="53"/>
    </row>
    <row r="1391">
      <c r="A1391" s="49">
        <v>45035.26912153936</v>
      </c>
      <c r="B1391" s="50">
        <v>45035.3940930902</v>
      </c>
      <c r="C1391" s="51">
        <v>1.043</v>
      </c>
      <c r="D1391" s="51">
        <v>67.0</v>
      </c>
      <c r="E1391" s="52" t="s">
        <v>25</v>
      </c>
      <c r="F1391" s="52" t="s">
        <v>26</v>
      </c>
      <c r="G1391" s="53"/>
    </row>
    <row r="1392">
      <c r="A1392" s="49">
        <v>45035.27955707176</v>
      </c>
      <c r="B1392" s="50">
        <v>45035.404538287</v>
      </c>
      <c r="C1392" s="51">
        <v>1.043</v>
      </c>
      <c r="D1392" s="51">
        <v>67.0</v>
      </c>
      <c r="E1392" s="52" t="s">
        <v>25</v>
      </c>
      <c r="F1392" s="52" t="s">
        <v>26</v>
      </c>
      <c r="G1392" s="53"/>
    </row>
    <row r="1393">
      <c r="A1393" s="49">
        <v>45035.29002168981</v>
      </c>
      <c r="B1393" s="50">
        <v>45035.4149939467</v>
      </c>
      <c r="C1393" s="51">
        <v>1.043</v>
      </c>
      <c r="D1393" s="51">
        <v>67.0</v>
      </c>
      <c r="E1393" s="52" t="s">
        <v>25</v>
      </c>
      <c r="F1393" s="52" t="s">
        <v>26</v>
      </c>
      <c r="G1393" s="53"/>
    </row>
    <row r="1394">
      <c r="A1394" s="49">
        <v>45035.30044416667</v>
      </c>
      <c r="B1394" s="50">
        <v>45035.4254153125</v>
      </c>
      <c r="C1394" s="51">
        <v>1.043</v>
      </c>
      <c r="D1394" s="51">
        <v>67.0</v>
      </c>
      <c r="E1394" s="52" t="s">
        <v>25</v>
      </c>
      <c r="F1394" s="52" t="s">
        <v>26</v>
      </c>
      <c r="G1394" s="53"/>
    </row>
    <row r="1395">
      <c r="A1395" s="49">
        <v>45035.31087555556</v>
      </c>
      <c r="B1395" s="50">
        <v>45035.4358469213</v>
      </c>
      <c r="C1395" s="51">
        <v>1.043</v>
      </c>
      <c r="D1395" s="51">
        <v>67.0</v>
      </c>
      <c r="E1395" s="52" t="s">
        <v>25</v>
      </c>
      <c r="F1395" s="52" t="s">
        <v>26</v>
      </c>
      <c r="G1395" s="53"/>
    </row>
    <row r="1396">
      <c r="A1396" s="49">
        <v>45035.321298888884</v>
      </c>
      <c r="B1396" s="50">
        <v>45035.4462694328</v>
      </c>
      <c r="C1396" s="51">
        <v>1.043</v>
      </c>
      <c r="D1396" s="51">
        <v>67.0</v>
      </c>
      <c r="E1396" s="52" t="s">
        <v>25</v>
      </c>
      <c r="F1396" s="52" t="s">
        <v>26</v>
      </c>
      <c r="G1396" s="53"/>
    </row>
    <row r="1397">
      <c r="A1397" s="49">
        <v>45035.33171837963</v>
      </c>
      <c r="B1397" s="50">
        <v>45035.4566914814</v>
      </c>
      <c r="C1397" s="51">
        <v>1.043</v>
      </c>
      <c r="D1397" s="51">
        <v>67.0</v>
      </c>
      <c r="E1397" s="52" t="s">
        <v>25</v>
      </c>
      <c r="F1397" s="52" t="s">
        <v>26</v>
      </c>
      <c r="G1397" s="53"/>
    </row>
    <row r="1398">
      <c r="A1398" s="49">
        <v>45035.34213372685</v>
      </c>
      <c r="B1398" s="50">
        <v>45035.4671113425</v>
      </c>
      <c r="C1398" s="51">
        <v>1.043</v>
      </c>
      <c r="D1398" s="51">
        <v>67.0</v>
      </c>
      <c r="E1398" s="52" t="s">
        <v>25</v>
      </c>
      <c r="F1398" s="52" t="s">
        <v>26</v>
      </c>
      <c r="G1398" s="53"/>
    </row>
    <row r="1399">
      <c r="A1399" s="49">
        <v>45035.35256005787</v>
      </c>
      <c r="B1399" s="50">
        <v>45035.4775330902</v>
      </c>
      <c r="C1399" s="51">
        <v>1.043</v>
      </c>
      <c r="D1399" s="51">
        <v>67.0</v>
      </c>
      <c r="E1399" s="52" t="s">
        <v>25</v>
      </c>
      <c r="F1399" s="52" t="s">
        <v>26</v>
      </c>
      <c r="G1399" s="53"/>
    </row>
    <row r="1400">
      <c r="A1400" s="49">
        <v>45035.36297844908</v>
      </c>
      <c r="B1400" s="50">
        <v>45035.4879551736</v>
      </c>
      <c r="C1400" s="51">
        <v>1.043</v>
      </c>
      <c r="D1400" s="51">
        <v>67.0</v>
      </c>
      <c r="E1400" s="52" t="s">
        <v>25</v>
      </c>
      <c r="F1400" s="52" t="s">
        <v>26</v>
      </c>
      <c r="G1400" s="53"/>
    </row>
    <row r="1401">
      <c r="A1401" s="49">
        <v>45035.37339775463</v>
      </c>
      <c r="B1401" s="50">
        <v>45035.4983766088</v>
      </c>
      <c r="C1401" s="51">
        <v>1.043</v>
      </c>
      <c r="D1401" s="51">
        <v>67.0</v>
      </c>
      <c r="E1401" s="52" t="s">
        <v>25</v>
      </c>
      <c r="F1401" s="52" t="s">
        <v>26</v>
      </c>
      <c r="G1401" s="53"/>
    </row>
    <row r="1402">
      <c r="A1402" s="49">
        <v>45035.38382974537</v>
      </c>
      <c r="B1402" s="50">
        <v>45035.5087989583</v>
      </c>
      <c r="C1402" s="51">
        <v>1.043</v>
      </c>
      <c r="D1402" s="51">
        <v>67.0</v>
      </c>
      <c r="E1402" s="52" t="s">
        <v>25</v>
      </c>
      <c r="F1402" s="52" t="s">
        <v>26</v>
      </c>
      <c r="G1402" s="53"/>
    </row>
    <row r="1403">
      <c r="A1403" s="49">
        <v>45035.394241898146</v>
      </c>
      <c r="B1403" s="50">
        <v>45035.519221574</v>
      </c>
      <c r="C1403" s="51">
        <v>1.043</v>
      </c>
      <c r="D1403" s="51">
        <v>67.0</v>
      </c>
      <c r="E1403" s="52" t="s">
        <v>25</v>
      </c>
      <c r="F1403" s="52" t="s">
        <v>26</v>
      </c>
      <c r="G1403" s="53"/>
    </row>
    <row r="1404">
      <c r="A1404" s="49">
        <v>45035.40470438657</v>
      </c>
      <c r="B1404" s="50">
        <v>45035.5296766551</v>
      </c>
      <c r="C1404" s="51">
        <v>1.043</v>
      </c>
      <c r="D1404" s="51">
        <v>67.0</v>
      </c>
      <c r="E1404" s="52" t="s">
        <v>25</v>
      </c>
      <c r="F1404" s="52" t="s">
        <v>26</v>
      </c>
      <c r="G1404" s="53"/>
    </row>
    <row r="1405">
      <c r="A1405" s="49">
        <v>45035.41511572916</v>
      </c>
      <c r="B1405" s="50">
        <v>45035.5400946759</v>
      </c>
      <c r="C1405" s="51">
        <v>1.043</v>
      </c>
      <c r="D1405" s="51">
        <v>67.0</v>
      </c>
      <c r="E1405" s="52" t="s">
        <v>25</v>
      </c>
      <c r="F1405" s="52" t="s">
        <v>26</v>
      </c>
      <c r="G1405" s="53"/>
    </row>
    <row r="1406">
      <c r="A1406" s="49">
        <v>45035.42554469907</v>
      </c>
      <c r="B1406" s="50">
        <v>45035.5505153819</v>
      </c>
      <c r="C1406" s="51">
        <v>1.043</v>
      </c>
      <c r="D1406" s="51">
        <v>67.0</v>
      </c>
      <c r="E1406" s="52" t="s">
        <v>25</v>
      </c>
      <c r="F1406" s="52" t="s">
        <v>26</v>
      </c>
      <c r="G1406" s="53"/>
    </row>
    <row r="1407">
      <c r="A1407" s="49">
        <v>45035.43597623843</v>
      </c>
      <c r="B1407" s="50">
        <v>45035.5609478009</v>
      </c>
      <c r="C1407" s="51">
        <v>1.043</v>
      </c>
      <c r="D1407" s="51">
        <v>67.0</v>
      </c>
      <c r="E1407" s="52" t="s">
        <v>25</v>
      </c>
      <c r="F1407" s="52" t="s">
        <v>26</v>
      </c>
      <c r="G1407" s="53"/>
    </row>
    <row r="1408">
      <c r="A1408" s="49">
        <v>45035.44639336805</v>
      </c>
      <c r="B1408" s="50">
        <v>45035.5713676967</v>
      </c>
      <c r="C1408" s="51">
        <v>1.043</v>
      </c>
      <c r="D1408" s="51">
        <v>67.0</v>
      </c>
      <c r="E1408" s="52" t="s">
        <v>25</v>
      </c>
      <c r="F1408" s="52" t="s">
        <v>26</v>
      </c>
      <c r="G1408" s="53"/>
    </row>
    <row r="1409">
      <c r="A1409" s="49">
        <v>45035.4568084375</v>
      </c>
      <c r="B1409" s="50">
        <v>45035.5817883449</v>
      </c>
      <c r="C1409" s="51">
        <v>1.042</v>
      </c>
      <c r="D1409" s="51">
        <v>67.0</v>
      </c>
      <c r="E1409" s="52" t="s">
        <v>25</v>
      </c>
      <c r="F1409" s="52" t="s">
        <v>26</v>
      </c>
      <c r="G1409" s="53"/>
    </row>
    <row r="1410">
      <c r="A1410" s="49">
        <v>45035.46727175926</v>
      </c>
      <c r="B1410" s="50">
        <v>45035.5922435416</v>
      </c>
      <c r="C1410" s="51">
        <v>1.043</v>
      </c>
      <c r="D1410" s="51">
        <v>67.0</v>
      </c>
      <c r="E1410" s="52" t="s">
        <v>25</v>
      </c>
      <c r="F1410" s="52" t="s">
        <v>26</v>
      </c>
      <c r="G1410" s="53"/>
    </row>
    <row r="1411">
      <c r="A1411" s="49">
        <v>45035.477685300924</v>
      </c>
      <c r="B1411" s="50">
        <v>45035.602665324</v>
      </c>
      <c r="C1411" s="51">
        <v>1.043</v>
      </c>
      <c r="D1411" s="51">
        <v>67.0</v>
      </c>
      <c r="E1411" s="52" t="s">
        <v>25</v>
      </c>
      <c r="F1411" s="52" t="s">
        <v>26</v>
      </c>
      <c r="G1411" s="53"/>
    </row>
    <row r="1412">
      <c r="A1412" s="49">
        <v>45035.48812944445</v>
      </c>
      <c r="B1412" s="50">
        <v>45035.6130985648</v>
      </c>
      <c r="C1412" s="51">
        <v>1.043</v>
      </c>
      <c r="D1412" s="51">
        <v>67.0</v>
      </c>
      <c r="E1412" s="52" t="s">
        <v>25</v>
      </c>
      <c r="F1412" s="52" t="s">
        <v>26</v>
      </c>
      <c r="G1412" s="53"/>
    </row>
    <row r="1413">
      <c r="A1413" s="49">
        <v>45035.49856206018</v>
      </c>
      <c r="B1413" s="50">
        <v>45035.6235308912</v>
      </c>
      <c r="C1413" s="51">
        <v>1.043</v>
      </c>
      <c r="D1413" s="51">
        <v>67.0</v>
      </c>
      <c r="E1413" s="52" t="s">
        <v>25</v>
      </c>
      <c r="F1413" s="52" t="s">
        <v>26</v>
      </c>
      <c r="G1413" s="53"/>
    </row>
    <row r="1414">
      <c r="A1414" s="49">
        <v>45035.50898111111</v>
      </c>
      <c r="B1414" s="50">
        <v>45035.6339531944</v>
      </c>
      <c r="C1414" s="51">
        <v>1.043</v>
      </c>
      <c r="D1414" s="51">
        <v>67.0</v>
      </c>
      <c r="E1414" s="52" t="s">
        <v>25</v>
      </c>
      <c r="F1414" s="52" t="s">
        <v>26</v>
      </c>
      <c r="G1414" s="53"/>
    </row>
    <row r="1415">
      <c r="A1415" s="49">
        <v>45035.519402708334</v>
      </c>
      <c r="B1415" s="50">
        <v>45035.6443745833</v>
      </c>
      <c r="C1415" s="51">
        <v>1.043</v>
      </c>
      <c r="D1415" s="51">
        <v>67.0</v>
      </c>
      <c r="E1415" s="52" t="s">
        <v>25</v>
      </c>
      <c r="F1415" s="52" t="s">
        <v>26</v>
      </c>
      <c r="G1415" s="53"/>
    </row>
    <row r="1416">
      <c r="A1416" s="49">
        <v>45035.52981987268</v>
      </c>
      <c r="B1416" s="50">
        <v>45035.6547953703</v>
      </c>
      <c r="C1416" s="51">
        <v>1.042</v>
      </c>
      <c r="D1416" s="51">
        <v>67.0</v>
      </c>
      <c r="E1416" s="52" t="s">
        <v>25</v>
      </c>
      <c r="F1416" s="52" t="s">
        <v>26</v>
      </c>
      <c r="G1416" s="53"/>
    </row>
    <row r="1417">
      <c r="A1417" s="49">
        <v>45035.54023945602</v>
      </c>
      <c r="B1417" s="50">
        <v>45035.6652176967</v>
      </c>
      <c r="C1417" s="51">
        <v>1.042</v>
      </c>
      <c r="D1417" s="51">
        <v>67.0</v>
      </c>
      <c r="E1417" s="52" t="s">
        <v>25</v>
      </c>
      <c r="F1417" s="52" t="s">
        <v>26</v>
      </c>
      <c r="G1417" s="53"/>
    </row>
    <row r="1418">
      <c r="A1418" s="49">
        <v>45035.55066666666</v>
      </c>
      <c r="B1418" s="50">
        <v>45035.675637824</v>
      </c>
      <c r="C1418" s="51">
        <v>1.043</v>
      </c>
      <c r="D1418" s="51">
        <v>67.0</v>
      </c>
      <c r="E1418" s="52" t="s">
        <v>25</v>
      </c>
      <c r="F1418" s="52" t="s">
        <v>26</v>
      </c>
      <c r="G1418" s="53"/>
    </row>
    <row r="1419">
      <c r="A1419" s="49">
        <v>45035.56108396991</v>
      </c>
      <c r="B1419" s="50">
        <v>45035.6860594791</v>
      </c>
      <c r="C1419" s="51">
        <v>1.042</v>
      </c>
      <c r="D1419" s="51">
        <v>67.0</v>
      </c>
      <c r="E1419" s="52" t="s">
        <v>25</v>
      </c>
      <c r="F1419" s="52" t="s">
        <v>26</v>
      </c>
      <c r="G1419" s="53"/>
    </row>
    <row r="1420">
      <c r="A1420" s="49">
        <v>45035.57150465278</v>
      </c>
      <c r="B1420" s="50">
        <v>45035.6964805092</v>
      </c>
      <c r="C1420" s="51">
        <v>1.042</v>
      </c>
      <c r="D1420" s="51">
        <v>67.0</v>
      </c>
      <c r="E1420" s="52" t="s">
        <v>25</v>
      </c>
      <c r="F1420" s="52" t="s">
        <v>26</v>
      </c>
      <c r="G1420" s="53"/>
    </row>
    <row r="1421">
      <c r="A1421" s="49">
        <v>45035.58192521991</v>
      </c>
      <c r="B1421" s="50">
        <v>45035.7069019444</v>
      </c>
      <c r="C1421" s="51">
        <v>1.043</v>
      </c>
      <c r="D1421" s="51">
        <v>67.0</v>
      </c>
      <c r="E1421" s="52" t="s">
        <v>25</v>
      </c>
      <c r="F1421" s="52" t="s">
        <v>26</v>
      </c>
      <c r="G1421" s="53"/>
    </row>
    <row r="1422">
      <c r="A1422" s="49">
        <v>45035.5923452662</v>
      </c>
      <c r="B1422" s="50">
        <v>45035.7173242708</v>
      </c>
      <c r="C1422" s="51">
        <v>1.042</v>
      </c>
      <c r="D1422" s="51">
        <v>67.0</v>
      </c>
      <c r="E1422" s="52" t="s">
        <v>25</v>
      </c>
      <c r="F1422" s="52" t="s">
        <v>26</v>
      </c>
      <c r="G1422" s="53"/>
    </row>
    <row r="1423">
      <c r="A1423" s="49">
        <v>45035.60278084491</v>
      </c>
      <c r="B1423" s="50">
        <v>45035.7277559143</v>
      </c>
      <c r="C1423" s="51">
        <v>1.042</v>
      </c>
      <c r="D1423" s="51">
        <v>67.0</v>
      </c>
      <c r="E1423" s="52" t="s">
        <v>25</v>
      </c>
      <c r="F1423" s="52" t="s">
        <v>26</v>
      </c>
      <c r="G1423" s="53"/>
    </row>
    <row r="1424">
      <c r="A1424" s="49">
        <v>45035.61319876157</v>
      </c>
      <c r="B1424" s="50">
        <v>45035.7381776736</v>
      </c>
      <c r="C1424" s="51">
        <v>1.042</v>
      </c>
      <c r="D1424" s="51">
        <v>67.0</v>
      </c>
      <c r="E1424" s="52" t="s">
        <v>25</v>
      </c>
      <c r="F1424" s="52" t="s">
        <v>26</v>
      </c>
      <c r="G1424" s="53"/>
    </row>
    <row r="1425">
      <c r="A1425" s="49">
        <v>45035.6236190625</v>
      </c>
      <c r="B1425" s="50">
        <v>45035.7485970717</v>
      </c>
      <c r="C1425" s="51">
        <v>1.042</v>
      </c>
      <c r="D1425" s="51">
        <v>67.0</v>
      </c>
      <c r="E1425" s="52" t="s">
        <v>25</v>
      </c>
      <c r="F1425" s="52" t="s">
        <v>26</v>
      </c>
      <c r="G1425" s="53"/>
    </row>
    <row r="1426">
      <c r="A1426" s="49">
        <v>45035.63403461805</v>
      </c>
      <c r="B1426" s="50">
        <v>45035.7590186226</v>
      </c>
      <c r="C1426" s="51">
        <v>1.042</v>
      </c>
      <c r="D1426" s="51">
        <v>67.0</v>
      </c>
      <c r="E1426" s="52" t="s">
        <v>25</v>
      </c>
      <c r="F1426" s="52" t="s">
        <v>26</v>
      </c>
      <c r="G1426" s="53"/>
    </row>
    <row r="1427">
      <c r="A1427" s="49">
        <v>45035.64446284722</v>
      </c>
      <c r="B1427" s="50">
        <v>45035.7694381481</v>
      </c>
      <c r="C1427" s="51">
        <v>1.042</v>
      </c>
      <c r="D1427" s="51">
        <v>67.0</v>
      </c>
      <c r="E1427" s="52" t="s">
        <v>25</v>
      </c>
      <c r="F1427" s="52" t="s">
        <v>26</v>
      </c>
      <c r="G1427" s="53"/>
    </row>
    <row r="1428">
      <c r="A1428" s="49">
        <v>45035.654880138885</v>
      </c>
      <c r="B1428" s="50">
        <v>45035.7798574305</v>
      </c>
      <c r="C1428" s="51">
        <v>1.042</v>
      </c>
      <c r="D1428" s="51">
        <v>67.0</v>
      </c>
      <c r="E1428" s="52" t="s">
        <v>25</v>
      </c>
      <c r="F1428" s="52" t="s">
        <v>26</v>
      </c>
      <c r="G1428" s="53"/>
    </row>
    <row r="1429">
      <c r="A1429" s="49">
        <v>45035.66530847222</v>
      </c>
      <c r="B1429" s="50">
        <v>45035.7902782986</v>
      </c>
      <c r="C1429" s="51">
        <v>1.042</v>
      </c>
      <c r="D1429" s="51">
        <v>67.0</v>
      </c>
      <c r="E1429" s="52" t="s">
        <v>25</v>
      </c>
      <c r="F1429" s="52" t="s">
        <v>26</v>
      </c>
      <c r="G1429" s="53"/>
    </row>
    <row r="1430">
      <c r="A1430" s="49">
        <v>45035.67572601852</v>
      </c>
      <c r="B1430" s="50">
        <v>45035.8006999768</v>
      </c>
      <c r="C1430" s="51">
        <v>1.042</v>
      </c>
      <c r="D1430" s="51">
        <v>67.0</v>
      </c>
      <c r="E1430" s="52" t="s">
        <v>25</v>
      </c>
      <c r="F1430" s="52" t="s">
        <v>26</v>
      </c>
      <c r="G1430" s="53"/>
    </row>
    <row r="1431">
      <c r="A1431" s="49">
        <v>45035.68615412037</v>
      </c>
      <c r="B1431" s="50">
        <v>45035.8111316203</v>
      </c>
      <c r="C1431" s="51">
        <v>1.042</v>
      </c>
      <c r="D1431" s="51">
        <v>67.0</v>
      </c>
      <c r="E1431" s="52" t="s">
        <v>25</v>
      </c>
      <c r="F1431" s="52" t="s">
        <v>26</v>
      </c>
      <c r="G1431" s="53"/>
    </row>
    <row r="1432">
      <c r="A1432" s="49">
        <v>45035.69657024306</v>
      </c>
      <c r="B1432" s="50">
        <v>45035.8215515046</v>
      </c>
      <c r="C1432" s="51">
        <v>1.042</v>
      </c>
      <c r="D1432" s="51">
        <v>67.0</v>
      </c>
      <c r="E1432" s="52" t="s">
        <v>25</v>
      </c>
      <c r="F1432" s="52" t="s">
        <v>26</v>
      </c>
      <c r="G1432" s="53"/>
    </row>
    <row r="1433">
      <c r="A1433" s="49">
        <v>45035.70699842593</v>
      </c>
      <c r="B1433" s="50">
        <v>45035.8319735185</v>
      </c>
      <c r="C1433" s="51">
        <v>1.042</v>
      </c>
      <c r="D1433" s="51">
        <v>67.0</v>
      </c>
      <c r="E1433" s="52" t="s">
        <v>25</v>
      </c>
      <c r="F1433" s="52" t="s">
        <v>26</v>
      </c>
      <c r="G1433" s="53"/>
    </row>
    <row r="1434">
      <c r="A1434" s="49">
        <v>45035.71741405093</v>
      </c>
      <c r="B1434" s="50">
        <v>45035.8423960879</v>
      </c>
      <c r="C1434" s="51">
        <v>1.042</v>
      </c>
      <c r="D1434" s="51">
        <v>67.0</v>
      </c>
      <c r="E1434" s="52" t="s">
        <v>25</v>
      </c>
      <c r="F1434" s="52" t="s">
        <v>26</v>
      </c>
      <c r="G1434" s="53"/>
    </row>
    <row r="1435">
      <c r="A1435" s="49">
        <v>45035.72783945602</v>
      </c>
      <c r="B1435" s="50">
        <v>45035.8528148263</v>
      </c>
      <c r="C1435" s="51">
        <v>1.042</v>
      </c>
      <c r="D1435" s="51">
        <v>67.0</v>
      </c>
      <c r="E1435" s="52" t="s">
        <v>25</v>
      </c>
      <c r="F1435" s="52" t="s">
        <v>26</v>
      </c>
      <c r="G1435" s="53"/>
    </row>
    <row r="1436">
      <c r="A1436" s="49">
        <v>45035.73826885417</v>
      </c>
      <c r="B1436" s="50">
        <v>45035.8632485763</v>
      </c>
      <c r="C1436" s="51">
        <v>1.042</v>
      </c>
      <c r="D1436" s="51">
        <v>67.0</v>
      </c>
      <c r="E1436" s="52" t="s">
        <v>25</v>
      </c>
      <c r="F1436" s="52" t="s">
        <v>26</v>
      </c>
      <c r="G1436" s="53"/>
    </row>
    <row r="1437">
      <c r="A1437" s="49">
        <v>45035.748708865736</v>
      </c>
      <c r="B1437" s="50">
        <v>45035.873680081</v>
      </c>
      <c r="C1437" s="51">
        <v>1.042</v>
      </c>
      <c r="D1437" s="51">
        <v>67.0</v>
      </c>
      <c r="E1437" s="52" t="s">
        <v>25</v>
      </c>
      <c r="F1437" s="52" t="s">
        <v>26</v>
      </c>
      <c r="G1437" s="53"/>
    </row>
    <row r="1438">
      <c r="A1438" s="49">
        <v>45035.75912263889</v>
      </c>
      <c r="B1438" s="50">
        <v>45035.8841019328</v>
      </c>
      <c r="C1438" s="51">
        <v>1.042</v>
      </c>
      <c r="D1438" s="51">
        <v>67.0</v>
      </c>
      <c r="E1438" s="52" t="s">
        <v>25</v>
      </c>
      <c r="F1438" s="52" t="s">
        <v>26</v>
      </c>
      <c r="G1438" s="53"/>
    </row>
    <row r="1439">
      <c r="A1439" s="49">
        <v>45035.769555127314</v>
      </c>
      <c r="B1439" s="50">
        <v>45035.8945230671</v>
      </c>
      <c r="C1439" s="51">
        <v>1.042</v>
      </c>
      <c r="D1439" s="51">
        <v>67.0</v>
      </c>
      <c r="E1439" s="52" t="s">
        <v>25</v>
      </c>
      <c r="F1439" s="52" t="s">
        <v>26</v>
      </c>
      <c r="G1439" s="53"/>
    </row>
    <row r="1440">
      <c r="A1440" s="49">
        <v>45035.77997498843</v>
      </c>
      <c r="B1440" s="50">
        <v>45035.9049444676</v>
      </c>
      <c r="C1440" s="51">
        <v>1.042</v>
      </c>
      <c r="D1440" s="51">
        <v>67.0</v>
      </c>
      <c r="E1440" s="52" t="s">
        <v>25</v>
      </c>
      <c r="F1440" s="52" t="s">
        <v>26</v>
      </c>
      <c r="G1440" s="53"/>
    </row>
    <row r="1441">
      <c r="A1441" s="49">
        <v>45035.790385138884</v>
      </c>
      <c r="B1441" s="50">
        <v>45035.9153651736</v>
      </c>
      <c r="C1441" s="51">
        <v>1.042</v>
      </c>
      <c r="D1441" s="51">
        <v>67.0</v>
      </c>
      <c r="E1441" s="52" t="s">
        <v>25</v>
      </c>
      <c r="F1441" s="52" t="s">
        <v>26</v>
      </c>
      <c r="G1441" s="53"/>
    </row>
    <row r="1442">
      <c r="A1442" s="49">
        <v>45035.80082769676</v>
      </c>
      <c r="B1442" s="50">
        <v>45035.9257995949</v>
      </c>
      <c r="C1442" s="51">
        <v>1.042</v>
      </c>
      <c r="D1442" s="51">
        <v>67.0</v>
      </c>
      <c r="E1442" s="52" t="s">
        <v>25</v>
      </c>
      <c r="F1442" s="52" t="s">
        <v>26</v>
      </c>
      <c r="G1442" s="53"/>
    </row>
    <row r="1443">
      <c r="A1443" s="49">
        <v>45035.8112596875</v>
      </c>
      <c r="B1443" s="50">
        <v>45035.9362315972</v>
      </c>
      <c r="C1443" s="51">
        <v>1.042</v>
      </c>
      <c r="D1443" s="51">
        <v>67.0</v>
      </c>
      <c r="E1443" s="52" t="s">
        <v>25</v>
      </c>
      <c r="F1443" s="52" t="s">
        <v>26</v>
      </c>
      <c r="G1443" s="53"/>
    </row>
    <row r="1444">
      <c r="A1444" s="49">
        <v>45035.8216778125</v>
      </c>
      <c r="B1444" s="50">
        <v>45035.9466528356</v>
      </c>
      <c r="C1444" s="51">
        <v>1.042</v>
      </c>
      <c r="D1444" s="51">
        <v>67.0</v>
      </c>
      <c r="E1444" s="52" t="s">
        <v>25</v>
      </c>
      <c r="F1444" s="52" t="s">
        <v>26</v>
      </c>
      <c r="G1444" s="53"/>
    </row>
    <row r="1445">
      <c r="A1445" s="49">
        <v>45035.83210034722</v>
      </c>
      <c r="B1445" s="50">
        <v>45035.9570740046</v>
      </c>
      <c r="C1445" s="51">
        <v>1.042</v>
      </c>
      <c r="D1445" s="51">
        <v>67.0</v>
      </c>
      <c r="E1445" s="52" t="s">
        <v>25</v>
      </c>
      <c r="F1445" s="52" t="s">
        <v>26</v>
      </c>
      <c r="G1445" s="53"/>
    </row>
    <row r="1446">
      <c r="A1446" s="49">
        <v>45035.84251953704</v>
      </c>
      <c r="B1446" s="50">
        <v>45035.9674945949</v>
      </c>
      <c r="C1446" s="51">
        <v>1.042</v>
      </c>
      <c r="D1446" s="51">
        <v>67.0</v>
      </c>
      <c r="E1446" s="52" t="s">
        <v>25</v>
      </c>
      <c r="F1446" s="52" t="s">
        <v>26</v>
      </c>
      <c r="G1446" s="53"/>
    </row>
    <row r="1447">
      <c r="A1447" s="49">
        <v>45035.85294991898</v>
      </c>
      <c r="B1447" s="50">
        <v>45035.9779286458</v>
      </c>
      <c r="C1447" s="51">
        <v>1.042</v>
      </c>
      <c r="D1447" s="51">
        <v>67.0</v>
      </c>
      <c r="E1447" s="52" t="s">
        <v>25</v>
      </c>
      <c r="F1447" s="52" t="s">
        <v>26</v>
      </c>
      <c r="G1447" s="53"/>
    </row>
    <row r="1448">
      <c r="A1448" s="49">
        <v>45035.863382361116</v>
      </c>
      <c r="B1448" s="50">
        <v>45035.9883618171</v>
      </c>
      <c r="C1448" s="51">
        <v>1.042</v>
      </c>
      <c r="D1448" s="51">
        <v>67.0</v>
      </c>
      <c r="E1448" s="52" t="s">
        <v>25</v>
      </c>
      <c r="F1448" s="52" t="s">
        <v>26</v>
      </c>
      <c r="G1448" s="53"/>
    </row>
    <row r="1449">
      <c r="A1449" s="49">
        <v>45035.873807870375</v>
      </c>
      <c r="B1449" s="50">
        <v>45035.9987822569</v>
      </c>
      <c r="C1449" s="51">
        <v>1.042</v>
      </c>
      <c r="D1449" s="51">
        <v>67.0</v>
      </c>
      <c r="E1449" s="52" t="s">
        <v>25</v>
      </c>
      <c r="F1449" s="52" t="s">
        <v>26</v>
      </c>
      <c r="G1449" s="53"/>
    </row>
    <row r="1450">
      <c r="A1450" s="49">
        <v>45035.88423048611</v>
      </c>
      <c r="B1450" s="50">
        <v>45036.009201875</v>
      </c>
      <c r="C1450" s="51">
        <v>1.042</v>
      </c>
      <c r="D1450" s="51">
        <v>67.0</v>
      </c>
      <c r="E1450" s="52" t="s">
        <v>25</v>
      </c>
      <c r="F1450" s="52" t="s">
        <v>26</v>
      </c>
      <c r="G1450" s="53"/>
    </row>
    <row r="1451">
      <c r="A1451" s="49">
        <v>45035.894650925926</v>
      </c>
      <c r="B1451" s="50">
        <v>45036.0196222569</v>
      </c>
      <c r="C1451" s="51">
        <v>1.042</v>
      </c>
      <c r="D1451" s="51">
        <v>67.0</v>
      </c>
      <c r="E1451" s="52" t="s">
        <v>25</v>
      </c>
      <c r="F1451" s="52" t="s">
        <v>26</v>
      </c>
      <c r="G1451" s="53"/>
    </row>
    <row r="1452">
      <c r="A1452" s="49">
        <v>45035.90507486111</v>
      </c>
      <c r="B1452" s="50">
        <v>45036.0300446527</v>
      </c>
      <c r="C1452" s="51">
        <v>1.042</v>
      </c>
      <c r="D1452" s="51">
        <v>67.0</v>
      </c>
      <c r="E1452" s="52" t="s">
        <v>25</v>
      </c>
      <c r="F1452" s="52" t="s">
        <v>26</v>
      </c>
      <c r="G1452" s="53"/>
    </row>
    <row r="1453">
      <c r="A1453" s="49">
        <v>45035.915495775465</v>
      </c>
      <c r="B1453" s="50">
        <v>45036.0404687037</v>
      </c>
      <c r="C1453" s="51">
        <v>1.042</v>
      </c>
      <c r="D1453" s="51">
        <v>67.0</v>
      </c>
      <c r="E1453" s="52" t="s">
        <v>25</v>
      </c>
      <c r="F1453" s="52" t="s">
        <v>26</v>
      </c>
      <c r="G1453" s="53"/>
    </row>
    <row r="1454">
      <c r="A1454" s="49">
        <v>45035.925924525465</v>
      </c>
      <c r="B1454" s="50">
        <v>45036.0509001388</v>
      </c>
      <c r="C1454" s="51">
        <v>1.042</v>
      </c>
      <c r="D1454" s="51">
        <v>67.0</v>
      </c>
      <c r="E1454" s="52" t="s">
        <v>25</v>
      </c>
      <c r="F1454" s="52" t="s">
        <v>26</v>
      </c>
      <c r="G1454" s="53"/>
    </row>
    <row r="1455">
      <c r="A1455" s="49">
        <v>45035.93634619213</v>
      </c>
      <c r="B1455" s="50">
        <v>45036.0613214004</v>
      </c>
      <c r="C1455" s="51">
        <v>1.042</v>
      </c>
      <c r="D1455" s="51">
        <v>67.0</v>
      </c>
      <c r="E1455" s="52" t="s">
        <v>25</v>
      </c>
      <c r="F1455" s="52" t="s">
        <v>26</v>
      </c>
      <c r="G1455" s="53"/>
    </row>
    <row r="1456">
      <c r="A1456" s="49">
        <v>45035.946770752314</v>
      </c>
      <c r="B1456" s="50">
        <v>45036.0717436226</v>
      </c>
      <c r="C1456" s="51">
        <v>1.041</v>
      </c>
      <c r="D1456" s="51">
        <v>67.0</v>
      </c>
      <c r="E1456" s="52" t="s">
        <v>25</v>
      </c>
      <c r="F1456" s="52" t="s">
        <v>26</v>
      </c>
      <c r="G1456" s="53"/>
    </row>
    <row r="1457">
      <c r="A1457" s="49">
        <v>45035.95720737269</v>
      </c>
      <c r="B1457" s="50">
        <v>45036.0821756018</v>
      </c>
      <c r="C1457" s="51">
        <v>1.042</v>
      </c>
      <c r="D1457" s="51">
        <v>67.0</v>
      </c>
      <c r="E1457" s="52" t="s">
        <v>25</v>
      </c>
      <c r="F1457" s="52" t="s">
        <v>26</v>
      </c>
      <c r="G1457" s="53"/>
    </row>
    <row r="1458">
      <c r="A1458" s="49">
        <v>45035.967617256945</v>
      </c>
      <c r="B1458" s="50">
        <v>45036.0925966319</v>
      </c>
      <c r="C1458" s="51">
        <v>1.041</v>
      </c>
      <c r="D1458" s="51">
        <v>67.0</v>
      </c>
      <c r="E1458" s="52" t="s">
        <v>25</v>
      </c>
      <c r="F1458" s="52" t="s">
        <v>26</v>
      </c>
      <c r="G1458" s="53"/>
    </row>
    <row r="1459">
      <c r="A1459" s="49">
        <v>45035.97805664352</v>
      </c>
      <c r="B1459" s="50">
        <v>45036.1030307291</v>
      </c>
      <c r="C1459" s="51">
        <v>1.042</v>
      </c>
      <c r="D1459" s="51">
        <v>67.0</v>
      </c>
      <c r="E1459" s="52" t="s">
        <v>25</v>
      </c>
      <c r="F1459" s="52" t="s">
        <v>26</v>
      </c>
      <c r="G1459" s="53"/>
    </row>
    <row r="1460">
      <c r="A1460" s="49">
        <v>45035.98850181713</v>
      </c>
      <c r="B1460" s="50">
        <v>45036.113475405</v>
      </c>
      <c r="C1460" s="51">
        <v>1.041</v>
      </c>
      <c r="D1460" s="51">
        <v>67.0</v>
      </c>
      <c r="E1460" s="52" t="s">
        <v>25</v>
      </c>
      <c r="F1460" s="52" t="s">
        <v>26</v>
      </c>
      <c r="G1460" s="53"/>
    </row>
    <row r="1461">
      <c r="A1461" s="49">
        <v>45035.99892773148</v>
      </c>
      <c r="B1461" s="50">
        <v>45036.1238970949</v>
      </c>
      <c r="C1461" s="51">
        <v>1.041</v>
      </c>
      <c r="D1461" s="51">
        <v>67.0</v>
      </c>
      <c r="E1461" s="52" t="s">
        <v>25</v>
      </c>
      <c r="F1461" s="52" t="s">
        <v>26</v>
      </c>
      <c r="G1461" s="53"/>
    </row>
    <row r="1462">
      <c r="A1462" s="49">
        <v>45036.00934921297</v>
      </c>
      <c r="B1462" s="50">
        <v>45036.1343302777</v>
      </c>
      <c r="C1462" s="51">
        <v>1.041</v>
      </c>
      <c r="D1462" s="51">
        <v>67.0</v>
      </c>
      <c r="E1462" s="52" t="s">
        <v>25</v>
      </c>
      <c r="F1462" s="52" t="s">
        <v>26</v>
      </c>
      <c r="G1462" s="53"/>
    </row>
    <row r="1463">
      <c r="A1463" s="49">
        <v>45036.0197903588</v>
      </c>
      <c r="B1463" s="50">
        <v>45036.1447636805</v>
      </c>
      <c r="C1463" s="51">
        <v>1.041</v>
      </c>
      <c r="D1463" s="51">
        <v>67.0</v>
      </c>
      <c r="E1463" s="52" t="s">
        <v>25</v>
      </c>
      <c r="F1463" s="52" t="s">
        <v>26</v>
      </c>
      <c r="G1463" s="53"/>
    </row>
    <row r="1464">
      <c r="A1464" s="49">
        <v>45036.03025324074</v>
      </c>
      <c r="B1464" s="50">
        <v>45036.1552194328</v>
      </c>
      <c r="C1464" s="51">
        <v>1.041</v>
      </c>
      <c r="D1464" s="51">
        <v>67.0</v>
      </c>
      <c r="E1464" s="52" t="s">
        <v>25</v>
      </c>
      <c r="F1464" s="52" t="s">
        <v>26</v>
      </c>
      <c r="G1464" s="53"/>
    </row>
    <row r="1465">
      <c r="A1465" s="49">
        <v>45036.04066857639</v>
      </c>
      <c r="B1465" s="50">
        <v>45036.1656409027</v>
      </c>
      <c r="C1465" s="51">
        <v>1.042</v>
      </c>
      <c r="D1465" s="51">
        <v>67.0</v>
      </c>
      <c r="E1465" s="52" t="s">
        <v>25</v>
      </c>
      <c r="F1465" s="52" t="s">
        <v>26</v>
      </c>
      <c r="G1465" s="53"/>
    </row>
    <row r="1466">
      <c r="A1466" s="49">
        <v>45036.05109228009</v>
      </c>
      <c r="B1466" s="50">
        <v>45036.1760620254</v>
      </c>
      <c r="C1466" s="51">
        <v>1.041</v>
      </c>
      <c r="D1466" s="51">
        <v>67.0</v>
      </c>
      <c r="E1466" s="52" t="s">
        <v>25</v>
      </c>
      <c r="F1466" s="52" t="s">
        <v>26</v>
      </c>
      <c r="G1466" s="53"/>
    </row>
    <row r="1467">
      <c r="A1467" s="49">
        <v>45036.06154293982</v>
      </c>
      <c r="B1467" s="50">
        <v>45036.1865079282</v>
      </c>
      <c r="C1467" s="51">
        <v>1.041</v>
      </c>
      <c r="D1467" s="51">
        <v>67.0</v>
      </c>
      <c r="E1467" s="52" t="s">
        <v>25</v>
      </c>
      <c r="F1467" s="52" t="s">
        <v>26</v>
      </c>
      <c r="G1467" s="53"/>
    </row>
    <row r="1468">
      <c r="A1468" s="49">
        <v>45036.07196724537</v>
      </c>
      <c r="B1468" s="50">
        <v>45036.1969391898</v>
      </c>
      <c r="C1468" s="51">
        <v>1.041</v>
      </c>
      <c r="D1468" s="51">
        <v>67.0</v>
      </c>
      <c r="E1468" s="52" t="s">
        <v>25</v>
      </c>
      <c r="F1468" s="52" t="s">
        <v>26</v>
      </c>
      <c r="G1468" s="53"/>
    </row>
    <row r="1469">
      <c r="A1469" s="49">
        <v>45036.082386979164</v>
      </c>
      <c r="B1469" s="50">
        <v>45036.2073604282</v>
      </c>
      <c r="C1469" s="51">
        <v>1.041</v>
      </c>
      <c r="D1469" s="51">
        <v>67.0</v>
      </c>
      <c r="E1469" s="52" t="s">
        <v>25</v>
      </c>
      <c r="F1469" s="52" t="s">
        <v>26</v>
      </c>
      <c r="G1469" s="53"/>
    </row>
    <row r="1470">
      <c r="A1470" s="49">
        <v>45036.0928264699</v>
      </c>
      <c r="B1470" s="50">
        <v>45036.2178056365</v>
      </c>
      <c r="C1470" s="51">
        <v>1.041</v>
      </c>
      <c r="D1470" s="51">
        <v>67.0</v>
      </c>
      <c r="E1470" s="52" t="s">
        <v>25</v>
      </c>
      <c r="F1470" s="52" t="s">
        <v>26</v>
      </c>
      <c r="G1470" s="53"/>
    </row>
    <row r="1471">
      <c r="A1471" s="49">
        <v>45036.10325788194</v>
      </c>
      <c r="B1471" s="50">
        <v>45036.2282251041</v>
      </c>
      <c r="C1471" s="51">
        <v>1.041</v>
      </c>
      <c r="D1471" s="51">
        <v>67.0</v>
      </c>
      <c r="E1471" s="52" t="s">
        <v>25</v>
      </c>
      <c r="F1471" s="52" t="s">
        <v>26</v>
      </c>
      <c r="G1471" s="53"/>
    </row>
    <row r="1472">
      <c r="A1472" s="49">
        <v>45036.11369412037</v>
      </c>
      <c r="B1472" s="50">
        <v>45036.2386700694</v>
      </c>
      <c r="C1472" s="51">
        <v>1.041</v>
      </c>
      <c r="D1472" s="51">
        <v>67.0</v>
      </c>
      <c r="E1472" s="52" t="s">
        <v>25</v>
      </c>
      <c r="F1472" s="52" t="s">
        <v>26</v>
      </c>
      <c r="G1472" s="53"/>
    </row>
    <row r="1473">
      <c r="A1473" s="49">
        <v>45036.12412763889</v>
      </c>
      <c r="B1473" s="50">
        <v>45036.2491035301</v>
      </c>
      <c r="C1473" s="51">
        <v>1.041</v>
      </c>
      <c r="D1473" s="51">
        <v>67.0</v>
      </c>
      <c r="E1473" s="52" t="s">
        <v>25</v>
      </c>
      <c r="F1473" s="52" t="s">
        <v>26</v>
      </c>
      <c r="G1473" s="53"/>
    </row>
    <row r="1474">
      <c r="A1474" s="49">
        <v>45036.134559791666</v>
      </c>
      <c r="B1474" s="50">
        <v>45036.2595346875</v>
      </c>
      <c r="C1474" s="51">
        <v>1.041</v>
      </c>
      <c r="D1474" s="51">
        <v>67.0</v>
      </c>
      <c r="E1474" s="52" t="s">
        <v>25</v>
      </c>
      <c r="F1474" s="52" t="s">
        <v>26</v>
      </c>
      <c r="G1474" s="53"/>
    </row>
    <row r="1475">
      <c r="A1475" s="49">
        <v>45036.14498302083</v>
      </c>
      <c r="B1475" s="50">
        <v>45036.2699555439</v>
      </c>
      <c r="C1475" s="51">
        <v>1.041</v>
      </c>
      <c r="D1475" s="51">
        <v>67.0</v>
      </c>
      <c r="E1475" s="52" t="s">
        <v>25</v>
      </c>
      <c r="F1475" s="52" t="s">
        <v>26</v>
      </c>
      <c r="G1475" s="53"/>
    </row>
    <row r="1476">
      <c r="A1476" s="49">
        <v>45036.15539998843</v>
      </c>
      <c r="B1476" s="50">
        <v>45036.2803747222</v>
      </c>
      <c r="C1476" s="51">
        <v>1.041</v>
      </c>
      <c r="D1476" s="51">
        <v>67.0</v>
      </c>
      <c r="E1476" s="52" t="s">
        <v>25</v>
      </c>
      <c r="F1476" s="52" t="s">
        <v>26</v>
      </c>
      <c r="G1476" s="53"/>
    </row>
    <row r="1477">
      <c r="A1477" s="49">
        <v>45036.16583957176</v>
      </c>
      <c r="B1477" s="50">
        <v>45036.290806493</v>
      </c>
      <c r="C1477" s="51">
        <v>1.041</v>
      </c>
      <c r="D1477" s="51">
        <v>67.0</v>
      </c>
      <c r="E1477" s="52" t="s">
        <v>25</v>
      </c>
      <c r="F1477" s="52" t="s">
        <v>26</v>
      </c>
      <c r="G1477" s="53"/>
    </row>
    <row r="1478">
      <c r="A1478" s="49">
        <v>45036.17625564815</v>
      </c>
      <c r="B1478" s="50">
        <v>45036.3012283912</v>
      </c>
      <c r="C1478" s="51">
        <v>1.041</v>
      </c>
      <c r="D1478" s="51">
        <v>67.0</v>
      </c>
      <c r="E1478" s="52" t="s">
        <v>25</v>
      </c>
      <c r="F1478" s="52" t="s">
        <v>26</v>
      </c>
      <c r="G1478" s="53"/>
    </row>
    <row r="1479">
      <c r="A1479" s="49">
        <v>45036.18667314815</v>
      </c>
      <c r="B1479" s="50">
        <v>45036.3116492476</v>
      </c>
      <c r="C1479" s="51">
        <v>1.041</v>
      </c>
      <c r="D1479" s="51">
        <v>67.0</v>
      </c>
      <c r="E1479" s="52" t="s">
        <v>25</v>
      </c>
      <c r="F1479" s="52" t="s">
        <v>26</v>
      </c>
      <c r="G1479" s="53"/>
    </row>
    <row r="1480">
      <c r="A1480" s="49">
        <v>45036.197089803245</v>
      </c>
      <c r="B1480" s="50">
        <v>45036.3220708796</v>
      </c>
      <c r="C1480" s="51">
        <v>1.041</v>
      </c>
      <c r="D1480" s="51">
        <v>67.0</v>
      </c>
      <c r="E1480" s="52" t="s">
        <v>25</v>
      </c>
      <c r="F1480" s="52" t="s">
        <v>26</v>
      </c>
      <c r="G1480" s="53"/>
    </row>
    <row r="1481">
      <c r="A1481" s="49">
        <v>45036.207530960644</v>
      </c>
      <c r="B1481" s="50">
        <v>45036.3325043287</v>
      </c>
      <c r="C1481" s="51">
        <v>1.041</v>
      </c>
      <c r="D1481" s="51">
        <v>67.0</v>
      </c>
      <c r="E1481" s="52" t="s">
        <v>25</v>
      </c>
      <c r="F1481" s="52" t="s">
        <v>26</v>
      </c>
      <c r="G1481" s="53"/>
    </row>
    <row r="1482">
      <c r="A1482" s="49">
        <v>45036.217950081016</v>
      </c>
      <c r="B1482" s="50">
        <v>45036.3429253472</v>
      </c>
      <c r="C1482" s="51">
        <v>1.041</v>
      </c>
      <c r="D1482" s="51">
        <v>67.0</v>
      </c>
      <c r="E1482" s="52" t="s">
        <v>25</v>
      </c>
      <c r="F1482" s="52" t="s">
        <v>26</v>
      </c>
      <c r="G1482" s="53"/>
    </row>
    <row r="1483">
      <c r="A1483" s="49">
        <v>45036.22837025463</v>
      </c>
      <c r="B1483" s="50">
        <v>45036.3533467939</v>
      </c>
      <c r="C1483" s="51">
        <v>1.041</v>
      </c>
      <c r="D1483" s="51">
        <v>67.0</v>
      </c>
      <c r="E1483" s="52" t="s">
        <v>25</v>
      </c>
      <c r="F1483" s="52" t="s">
        <v>26</v>
      </c>
      <c r="G1483" s="53"/>
    </row>
    <row r="1484">
      <c r="A1484" s="49">
        <v>45036.238792777775</v>
      </c>
      <c r="B1484" s="50">
        <v>45036.3637685069</v>
      </c>
      <c r="C1484" s="51">
        <v>1.041</v>
      </c>
      <c r="D1484" s="51">
        <v>67.0</v>
      </c>
      <c r="E1484" s="52" t="s">
        <v>25</v>
      </c>
      <c r="F1484" s="52" t="s">
        <v>26</v>
      </c>
      <c r="G1484" s="53"/>
    </row>
    <row r="1485">
      <c r="A1485" s="49">
        <v>45036.24921271991</v>
      </c>
      <c r="B1485" s="50">
        <v>45036.3741889583</v>
      </c>
      <c r="C1485" s="51">
        <v>1.041</v>
      </c>
      <c r="D1485" s="51">
        <v>67.0</v>
      </c>
      <c r="E1485" s="52" t="s">
        <v>25</v>
      </c>
      <c r="F1485" s="52" t="s">
        <v>26</v>
      </c>
      <c r="G1485" s="53"/>
    </row>
    <row r="1486">
      <c r="A1486" s="49">
        <v>45036.259653263885</v>
      </c>
      <c r="B1486" s="50">
        <v>45036.3846220717</v>
      </c>
      <c r="C1486" s="51">
        <v>1.041</v>
      </c>
      <c r="D1486" s="51">
        <v>67.0</v>
      </c>
      <c r="E1486" s="52" t="s">
        <v>25</v>
      </c>
      <c r="F1486" s="52" t="s">
        <v>26</v>
      </c>
      <c r="G1486" s="53"/>
    </row>
    <row r="1487">
      <c r="A1487" s="49">
        <v>45036.270071377316</v>
      </c>
      <c r="B1487" s="50">
        <v>45036.3950439351</v>
      </c>
      <c r="C1487" s="51">
        <v>1.041</v>
      </c>
      <c r="D1487" s="51">
        <v>67.0</v>
      </c>
      <c r="E1487" s="52" t="s">
        <v>25</v>
      </c>
      <c r="F1487" s="52" t="s">
        <v>26</v>
      </c>
      <c r="G1487" s="53"/>
    </row>
    <row r="1488">
      <c r="A1488" s="49">
        <v>45036.2804940162</v>
      </c>
      <c r="B1488" s="50">
        <v>45036.4054653125</v>
      </c>
      <c r="C1488" s="51">
        <v>1.041</v>
      </c>
      <c r="D1488" s="51">
        <v>66.0</v>
      </c>
      <c r="E1488" s="52" t="s">
        <v>25</v>
      </c>
      <c r="F1488" s="52" t="s">
        <v>26</v>
      </c>
      <c r="G1488" s="53"/>
    </row>
    <row r="1489">
      <c r="A1489" s="49">
        <v>45036.29091060185</v>
      </c>
      <c r="B1489" s="50">
        <v>45036.4158867129</v>
      </c>
      <c r="C1489" s="51">
        <v>1.041</v>
      </c>
      <c r="D1489" s="51">
        <v>67.0</v>
      </c>
      <c r="E1489" s="52" t="s">
        <v>25</v>
      </c>
      <c r="F1489" s="52" t="s">
        <v>26</v>
      </c>
      <c r="G1489" s="53"/>
    </row>
    <row r="1490">
      <c r="A1490" s="49">
        <v>45036.3013384838</v>
      </c>
      <c r="B1490" s="50">
        <v>45036.4263080092</v>
      </c>
      <c r="C1490" s="51">
        <v>1.041</v>
      </c>
      <c r="D1490" s="51">
        <v>67.0</v>
      </c>
      <c r="E1490" s="52" t="s">
        <v>25</v>
      </c>
      <c r="F1490" s="52" t="s">
        <v>26</v>
      </c>
      <c r="G1490" s="53"/>
    </row>
    <row r="1491">
      <c r="A1491" s="49">
        <v>45036.311752696754</v>
      </c>
      <c r="B1491" s="50">
        <v>45036.436731331</v>
      </c>
      <c r="C1491" s="51">
        <v>1.041</v>
      </c>
      <c r="D1491" s="51">
        <v>67.0</v>
      </c>
      <c r="E1491" s="52" t="s">
        <v>25</v>
      </c>
      <c r="F1491" s="52" t="s">
        <v>26</v>
      </c>
      <c r="G1491" s="53"/>
    </row>
    <row r="1492">
      <c r="A1492" s="49">
        <v>45036.322193518514</v>
      </c>
      <c r="B1492" s="50">
        <v>45036.4471652777</v>
      </c>
      <c r="C1492" s="51">
        <v>1.041</v>
      </c>
      <c r="D1492" s="51">
        <v>67.0</v>
      </c>
      <c r="E1492" s="52" t="s">
        <v>25</v>
      </c>
      <c r="F1492" s="52" t="s">
        <v>26</v>
      </c>
      <c r="G1492" s="53"/>
    </row>
    <row r="1493">
      <c r="A1493" s="49">
        <v>45036.33261012731</v>
      </c>
      <c r="B1493" s="50">
        <v>45036.4575858796</v>
      </c>
      <c r="C1493" s="51">
        <v>1.041</v>
      </c>
      <c r="D1493" s="51">
        <v>67.0</v>
      </c>
      <c r="E1493" s="52" t="s">
        <v>25</v>
      </c>
      <c r="F1493" s="52" t="s">
        <v>26</v>
      </c>
      <c r="G1493" s="53"/>
    </row>
    <row r="1494">
      <c r="A1494" s="49">
        <v>45036.34304753473</v>
      </c>
      <c r="B1494" s="50">
        <v>45036.4680172338</v>
      </c>
      <c r="C1494" s="51">
        <v>1.041</v>
      </c>
      <c r="D1494" s="51">
        <v>67.0</v>
      </c>
      <c r="E1494" s="52" t="s">
        <v>25</v>
      </c>
      <c r="F1494" s="52" t="s">
        <v>26</v>
      </c>
      <c r="G1494" s="53"/>
    </row>
    <row r="1495">
      <c r="A1495" s="49">
        <v>45036.353465231485</v>
      </c>
      <c r="B1495" s="50">
        <v>45036.4784375578</v>
      </c>
      <c r="C1495" s="51">
        <v>1.041</v>
      </c>
      <c r="D1495" s="51">
        <v>67.0</v>
      </c>
      <c r="E1495" s="52" t="s">
        <v>25</v>
      </c>
      <c r="F1495" s="52" t="s">
        <v>26</v>
      </c>
      <c r="G1495" s="53"/>
    </row>
    <row r="1496">
      <c r="A1496" s="49">
        <v>45036.36389017361</v>
      </c>
      <c r="B1496" s="50">
        <v>45036.488868206</v>
      </c>
      <c r="C1496" s="51">
        <v>1.041</v>
      </c>
      <c r="D1496" s="51">
        <v>66.0</v>
      </c>
      <c r="E1496" s="52" t="s">
        <v>25</v>
      </c>
      <c r="F1496" s="52" t="s">
        <v>26</v>
      </c>
      <c r="G1496" s="53"/>
    </row>
    <row r="1497">
      <c r="A1497" s="49">
        <v>45036.37431309027</v>
      </c>
      <c r="B1497" s="50">
        <v>45036.4992890972</v>
      </c>
      <c r="C1497" s="51">
        <v>1.041</v>
      </c>
      <c r="D1497" s="51">
        <v>67.0</v>
      </c>
      <c r="E1497" s="52" t="s">
        <v>25</v>
      </c>
      <c r="F1497" s="52" t="s">
        <v>26</v>
      </c>
      <c r="G1497" s="53"/>
    </row>
    <row r="1498">
      <c r="A1498" s="49">
        <v>45036.384733576386</v>
      </c>
      <c r="B1498" s="50">
        <v>45036.5097112731</v>
      </c>
      <c r="C1498" s="51">
        <v>1.041</v>
      </c>
      <c r="D1498" s="51">
        <v>66.0</v>
      </c>
      <c r="E1498" s="52" t="s">
        <v>25</v>
      </c>
      <c r="F1498" s="52" t="s">
        <v>26</v>
      </c>
      <c r="G1498" s="53"/>
    </row>
    <row r="1499">
      <c r="A1499" s="49">
        <v>45036.39517130787</v>
      </c>
      <c r="B1499" s="50">
        <v>45036.5201448032</v>
      </c>
      <c r="C1499" s="51">
        <v>1.041</v>
      </c>
      <c r="D1499" s="51">
        <v>66.0</v>
      </c>
      <c r="E1499" s="52" t="s">
        <v>25</v>
      </c>
      <c r="F1499" s="52" t="s">
        <v>26</v>
      </c>
      <c r="G1499" s="53"/>
    </row>
    <row r="1500">
      <c r="A1500" s="49">
        <v>45036.40560893518</v>
      </c>
      <c r="B1500" s="50">
        <v>45036.5305769791</v>
      </c>
      <c r="C1500" s="51">
        <v>1.041</v>
      </c>
      <c r="D1500" s="51">
        <v>67.0</v>
      </c>
      <c r="E1500" s="52" t="s">
        <v>25</v>
      </c>
      <c r="F1500" s="52" t="s">
        <v>26</v>
      </c>
      <c r="G1500" s="53"/>
    </row>
    <row r="1501">
      <c r="A1501" s="49">
        <v>45036.41602340278</v>
      </c>
      <c r="B1501" s="50">
        <v>45036.5409998263</v>
      </c>
      <c r="C1501" s="51">
        <v>1.04</v>
      </c>
      <c r="D1501" s="51">
        <v>66.0</v>
      </c>
      <c r="E1501" s="52" t="s">
        <v>25</v>
      </c>
      <c r="F1501" s="52" t="s">
        <v>26</v>
      </c>
      <c r="G1501" s="53"/>
    </row>
    <row r="1502">
      <c r="A1502" s="49">
        <v>45036.426443668985</v>
      </c>
      <c r="B1502" s="50">
        <v>45036.551419537</v>
      </c>
      <c r="C1502" s="51">
        <v>1.041</v>
      </c>
      <c r="D1502" s="51">
        <v>66.0</v>
      </c>
      <c r="E1502" s="52" t="s">
        <v>25</v>
      </c>
      <c r="F1502" s="52" t="s">
        <v>26</v>
      </c>
      <c r="G1502" s="53"/>
    </row>
    <row r="1503">
      <c r="A1503" s="49">
        <v>45036.43686844908</v>
      </c>
      <c r="B1503" s="50">
        <v>45036.5618404976</v>
      </c>
      <c r="C1503" s="51">
        <v>1.041</v>
      </c>
      <c r="D1503" s="51">
        <v>66.0</v>
      </c>
      <c r="E1503" s="52" t="s">
        <v>25</v>
      </c>
      <c r="F1503" s="52" t="s">
        <v>26</v>
      </c>
      <c r="G1503" s="53"/>
    </row>
    <row r="1504">
      <c r="A1504" s="49">
        <v>45036.44729221065</v>
      </c>
      <c r="B1504" s="50">
        <v>45036.5722606134</v>
      </c>
      <c r="C1504" s="51">
        <v>1.041</v>
      </c>
      <c r="D1504" s="51">
        <v>66.0</v>
      </c>
      <c r="E1504" s="52" t="s">
        <v>25</v>
      </c>
      <c r="F1504" s="52" t="s">
        <v>26</v>
      </c>
      <c r="G1504" s="53"/>
    </row>
    <row r="1505">
      <c r="A1505" s="49">
        <v>45036.45770900463</v>
      </c>
      <c r="B1505" s="50">
        <v>45036.5826803587</v>
      </c>
      <c r="C1505" s="51">
        <v>1.041</v>
      </c>
      <c r="D1505" s="51">
        <v>66.0</v>
      </c>
      <c r="E1505" s="52" t="s">
        <v>25</v>
      </c>
      <c r="F1505" s="52" t="s">
        <v>26</v>
      </c>
      <c r="G1505" s="53"/>
    </row>
    <row r="1506">
      <c r="A1506" s="49">
        <v>45036.46812496528</v>
      </c>
      <c r="B1506" s="50">
        <v>45036.5931012963</v>
      </c>
      <c r="C1506" s="51">
        <v>1.041</v>
      </c>
      <c r="D1506" s="51">
        <v>66.0</v>
      </c>
      <c r="E1506" s="52" t="s">
        <v>25</v>
      </c>
      <c r="F1506" s="52" t="s">
        <v>26</v>
      </c>
      <c r="G1506" s="53"/>
    </row>
    <row r="1507">
      <c r="A1507" s="49">
        <v>45036.478552858796</v>
      </c>
      <c r="B1507" s="50">
        <v>45036.6035227314</v>
      </c>
      <c r="C1507" s="51">
        <v>1.041</v>
      </c>
      <c r="D1507" s="51">
        <v>66.0</v>
      </c>
      <c r="E1507" s="52" t="s">
        <v>25</v>
      </c>
      <c r="F1507" s="52" t="s">
        <v>26</v>
      </c>
      <c r="G1507" s="53"/>
    </row>
    <row r="1508">
      <c r="A1508" s="49">
        <v>45036.48898340278</v>
      </c>
      <c r="B1508" s="50">
        <v>45036.6139564699</v>
      </c>
      <c r="C1508" s="51">
        <v>1.041</v>
      </c>
      <c r="D1508" s="51">
        <v>66.0</v>
      </c>
      <c r="E1508" s="52" t="s">
        <v>25</v>
      </c>
      <c r="F1508" s="52" t="s">
        <v>26</v>
      </c>
      <c r="G1508" s="53"/>
    </row>
    <row r="1509">
      <c r="A1509" s="49">
        <v>45036.499414872684</v>
      </c>
      <c r="B1509" s="50">
        <v>45036.624390787</v>
      </c>
      <c r="C1509" s="51">
        <v>1.041</v>
      </c>
      <c r="D1509" s="51">
        <v>66.0</v>
      </c>
      <c r="E1509" s="52" t="s">
        <v>25</v>
      </c>
      <c r="F1509" s="52" t="s">
        <v>26</v>
      </c>
      <c r="G1509" s="53"/>
    </row>
    <row r="1510">
      <c r="A1510" s="49">
        <v>45036.50985574074</v>
      </c>
      <c r="B1510" s="50">
        <v>45036.6348255671</v>
      </c>
      <c r="C1510" s="51">
        <v>1.041</v>
      </c>
      <c r="D1510" s="51">
        <v>66.0</v>
      </c>
      <c r="E1510" s="52" t="s">
        <v>25</v>
      </c>
      <c r="F1510" s="52" t="s">
        <v>26</v>
      </c>
      <c r="G1510" s="53"/>
    </row>
    <row r="1511">
      <c r="A1511" s="49">
        <v>45036.52027663194</v>
      </c>
      <c r="B1511" s="50">
        <v>45036.6452468055</v>
      </c>
      <c r="C1511" s="51">
        <v>1.041</v>
      </c>
      <c r="D1511" s="51">
        <v>66.0</v>
      </c>
      <c r="E1511" s="52" t="s">
        <v>25</v>
      </c>
      <c r="F1511" s="52" t="s">
        <v>26</v>
      </c>
      <c r="G1511" s="53"/>
    </row>
    <row r="1512">
      <c r="A1512" s="49">
        <v>45036.53069760417</v>
      </c>
      <c r="B1512" s="50">
        <v>45036.6556685648</v>
      </c>
      <c r="C1512" s="51">
        <v>1.04</v>
      </c>
      <c r="D1512" s="51">
        <v>66.0</v>
      </c>
      <c r="E1512" s="52" t="s">
        <v>25</v>
      </c>
      <c r="F1512" s="52" t="s">
        <v>26</v>
      </c>
      <c r="G1512" s="53"/>
    </row>
    <row r="1513">
      <c r="A1513" s="49">
        <v>45036.54111497685</v>
      </c>
      <c r="B1513" s="50">
        <v>45036.6660895717</v>
      </c>
      <c r="C1513" s="51">
        <v>1.04</v>
      </c>
      <c r="D1513" s="51">
        <v>66.0</v>
      </c>
      <c r="E1513" s="52" t="s">
        <v>25</v>
      </c>
      <c r="F1513" s="52" t="s">
        <v>26</v>
      </c>
      <c r="G1513" s="53"/>
    </row>
    <row r="1514">
      <c r="A1514" s="49">
        <v>45036.551541990746</v>
      </c>
      <c r="B1514" s="50">
        <v>45036.6765119791</v>
      </c>
      <c r="C1514" s="51">
        <v>1.04</v>
      </c>
      <c r="D1514" s="51">
        <v>66.0</v>
      </c>
      <c r="E1514" s="52" t="s">
        <v>25</v>
      </c>
      <c r="F1514" s="52" t="s">
        <v>26</v>
      </c>
      <c r="G1514" s="53"/>
    </row>
    <row r="1515">
      <c r="A1515" s="49">
        <v>45036.561981631945</v>
      </c>
      <c r="B1515" s="50">
        <v>45036.6869566898</v>
      </c>
      <c r="C1515" s="51">
        <v>1.04</v>
      </c>
      <c r="D1515" s="51">
        <v>66.0</v>
      </c>
      <c r="E1515" s="52" t="s">
        <v>25</v>
      </c>
      <c r="F1515" s="52" t="s">
        <v>26</v>
      </c>
      <c r="G1515" s="53"/>
    </row>
    <row r="1516">
      <c r="A1516" s="49">
        <v>45036.57242872685</v>
      </c>
      <c r="B1516" s="50">
        <v>45036.6974010763</v>
      </c>
      <c r="C1516" s="51">
        <v>1.04</v>
      </c>
      <c r="D1516" s="51">
        <v>66.0</v>
      </c>
      <c r="E1516" s="52" t="s">
        <v>25</v>
      </c>
      <c r="F1516" s="52" t="s">
        <v>26</v>
      </c>
      <c r="G1516" s="53"/>
    </row>
    <row r="1517">
      <c r="A1517" s="49">
        <v>45036.58285078703</v>
      </c>
      <c r="B1517" s="50">
        <v>45036.7078245023</v>
      </c>
      <c r="C1517" s="51">
        <v>1.041</v>
      </c>
      <c r="D1517" s="51">
        <v>66.0</v>
      </c>
      <c r="E1517" s="52" t="s">
        <v>25</v>
      </c>
      <c r="F1517" s="52" t="s">
        <v>26</v>
      </c>
      <c r="G1517" s="53"/>
    </row>
    <row r="1518">
      <c r="A1518" s="49">
        <v>45036.59329122685</v>
      </c>
      <c r="B1518" s="50">
        <v>45036.7182676736</v>
      </c>
      <c r="C1518" s="51">
        <v>1.04</v>
      </c>
      <c r="D1518" s="51">
        <v>66.0</v>
      </c>
      <c r="E1518" s="52" t="s">
        <v>25</v>
      </c>
      <c r="F1518" s="52" t="s">
        <v>26</v>
      </c>
      <c r="G1518" s="53"/>
    </row>
    <row r="1519">
      <c r="A1519" s="49">
        <v>45036.603706435184</v>
      </c>
      <c r="B1519" s="50">
        <v>45036.7286888194</v>
      </c>
      <c r="C1519" s="51">
        <v>1.04</v>
      </c>
      <c r="D1519" s="51">
        <v>66.0</v>
      </c>
      <c r="E1519" s="52" t="s">
        <v>25</v>
      </c>
      <c r="F1519" s="52" t="s">
        <v>26</v>
      </c>
      <c r="G1519" s="53"/>
    </row>
    <row r="1520">
      <c r="A1520" s="49">
        <v>45036.61417916667</v>
      </c>
      <c r="B1520" s="50">
        <v>45036.7391455324</v>
      </c>
      <c r="C1520" s="51">
        <v>1.04</v>
      </c>
      <c r="D1520" s="51">
        <v>66.0</v>
      </c>
      <c r="E1520" s="52" t="s">
        <v>25</v>
      </c>
      <c r="F1520" s="52" t="s">
        <v>26</v>
      </c>
      <c r="G1520" s="53"/>
    </row>
    <row r="1521">
      <c r="A1521" s="49">
        <v>45036.62461694445</v>
      </c>
      <c r="B1521" s="50">
        <v>45036.7495882639</v>
      </c>
      <c r="C1521" s="51">
        <v>1.04</v>
      </c>
      <c r="D1521" s="51">
        <v>66.0</v>
      </c>
      <c r="E1521" s="52" t="s">
        <v>25</v>
      </c>
      <c r="F1521" s="52" t="s">
        <v>26</v>
      </c>
      <c r="G1521" s="53"/>
    </row>
    <row r="1522">
      <c r="A1522" s="49">
        <v>45036.635088877316</v>
      </c>
      <c r="B1522" s="50">
        <v>45036.7600691782</v>
      </c>
      <c r="C1522" s="51">
        <v>1.04</v>
      </c>
      <c r="D1522" s="51">
        <v>66.0</v>
      </c>
      <c r="E1522" s="52" t="s">
        <v>25</v>
      </c>
      <c r="F1522" s="52" t="s">
        <v>26</v>
      </c>
      <c r="G1522" s="53"/>
    </row>
    <row r="1523">
      <c r="A1523" s="49">
        <v>45036.64553829861</v>
      </c>
      <c r="B1523" s="50">
        <v>45036.7705029861</v>
      </c>
      <c r="C1523" s="51">
        <v>1.04</v>
      </c>
      <c r="D1523" s="51">
        <v>66.0</v>
      </c>
      <c r="E1523" s="52" t="s">
        <v>25</v>
      </c>
      <c r="F1523" s="52" t="s">
        <v>26</v>
      </c>
      <c r="G1523" s="53"/>
    </row>
    <row r="1524">
      <c r="A1524" s="49">
        <v>45036.655959421296</v>
      </c>
      <c r="B1524" s="50">
        <v>45036.7809357291</v>
      </c>
      <c r="C1524" s="51">
        <v>1.04</v>
      </c>
      <c r="D1524" s="51">
        <v>66.0</v>
      </c>
      <c r="E1524" s="52" t="s">
        <v>25</v>
      </c>
      <c r="F1524" s="52" t="s">
        <v>26</v>
      </c>
      <c r="G1524" s="53"/>
    </row>
    <row r="1525">
      <c r="A1525" s="49">
        <v>45036.66638386574</v>
      </c>
      <c r="B1525" s="50">
        <v>45036.7913576736</v>
      </c>
      <c r="C1525" s="51">
        <v>1.04</v>
      </c>
      <c r="D1525" s="51">
        <v>66.0</v>
      </c>
      <c r="E1525" s="52" t="s">
        <v>25</v>
      </c>
      <c r="F1525" s="52" t="s">
        <v>26</v>
      </c>
      <c r="G1525" s="53"/>
    </row>
    <row r="1526">
      <c r="A1526" s="49">
        <v>45036.67681372685</v>
      </c>
      <c r="B1526" s="50">
        <v>45036.8017893055</v>
      </c>
      <c r="C1526" s="51">
        <v>1.04</v>
      </c>
      <c r="D1526" s="51">
        <v>66.0</v>
      </c>
      <c r="E1526" s="52" t="s">
        <v>25</v>
      </c>
      <c r="F1526" s="52" t="s">
        <v>26</v>
      </c>
      <c r="G1526" s="53"/>
    </row>
    <row r="1527">
      <c r="A1527" s="49">
        <v>45036.687228599534</v>
      </c>
      <c r="B1527" s="50">
        <v>45036.8122093518</v>
      </c>
      <c r="C1527" s="51">
        <v>1.04</v>
      </c>
      <c r="D1527" s="51">
        <v>66.0</v>
      </c>
      <c r="E1527" s="52" t="s">
        <v>25</v>
      </c>
      <c r="F1527" s="52" t="s">
        <v>26</v>
      </c>
      <c r="G1527" s="53"/>
    </row>
    <row r="1528">
      <c r="A1528" s="49">
        <v>45036.69766996527</v>
      </c>
      <c r="B1528" s="50">
        <v>45036.8226423032</v>
      </c>
      <c r="C1528" s="51">
        <v>1.04</v>
      </c>
      <c r="D1528" s="51">
        <v>66.0</v>
      </c>
      <c r="E1528" s="52" t="s">
        <v>25</v>
      </c>
      <c r="F1528" s="52" t="s">
        <v>26</v>
      </c>
      <c r="G1528" s="53"/>
    </row>
    <row r="1529">
      <c r="A1529" s="49">
        <v>45036.70808803241</v>
      </c>
      <c r="B1529" s="50">
        <v>45036.833063125</v>
      </c>
      <c r="C1529" s="51">
        <v>1.04</v>
      </c>
      <c r="D1529" s="51">
        <v>66.0</v>
      </c>
      <c r="E1529" s="52" t="s">
        <v>25</v>
      </c>
      <c r="F1529" s="52" t="s">
        <v>26</v>
      </c>
      <c r="G1529" s="53"/>
    </row>
    <row r="1530">
      <c r="A1530" s="49">
        <v>45036.718508125</v>
      </c>
      <c r="B1530" s="50">
        <v>45036.8434838194</v>
      </c>
      <c r="C1530" s="51">
        <v>1.04</v>
      </c>
      <c r="D1530" s="51">
        <v>66.0</v>
      </c>
      <c r="E1530" s="52" t="s">
        <v>25</v>
      </c>
      <c r="F1530" s="52" t="s">
        <v>26</v>
      </c>
      <c r="G1530" s="53"/>
    </row>
    <row r="1531">
      <c r="A1531" s="49">
        <v>45036.728940416666</v>
      </c>
      <c r="B1531" s="50">
        <v>45036.8539169676</v>
      </c>
      <c r="C1531" s="51">
        <v>1.04</v>
      </c>
      <c r="D1531" s="51">
        <v>66.0</v>
      </c>
      <c r="E1531" s="52" t="s">
        <v>25</v>
      </c>
      <c r="F1531" s="52" t="s">
        <v>26</v>
      </c>
      <c r="G1531" s="53"/>
    </row>
    <row r="1532">
      <c r="A1532" s="49">
        <v>45036.73936708333</v>
      </c>
      <c r="B1532" s="50">
        <v>45036.8643379166</v>
      </c>
      <c r="C1532" s="51">
        <v>1.04</v>
      </c>
      <c r="D1532" s="51">
        <v>66.0</v>
      </c>
      <c r="E1532" s="52" t="s">
        <v>25</v>
      </c>
      <c r="F1532" s="52" t="s">
        <v>26</v>
      </c>
      <c r="G1532" s="53"/>
    </row>
    <row r="1533">
      <c r="A1533" s="49">
        <v>45036.74980935185</v>
      </c>
      <c r="B1533" s="50">
        <v>45036.8747817361</v>
      </c>
      <c r="C1533" s="51">
        <v>1.04</v>
      </c>
      <c r="D1533" s="51">
        <v>66.0</v>
      </c>
      <c r="E1533" s="52" t="s">
        <v>25</v>
      </c>
      <c r="F1533" s="52" t="s">
        <v>26</v>
      </c>
      <c r="G1533" s="53"/>
    </row>
    <row r="1534">
      <c r="A1534" s="49">
        <v>45036.760251064814</v>
      </c>
      <c r="B1534" s="50">
        <v>45036.8852265046</v>
      </c>
      <c r="C1534" s="51">
        <v>1.04</v>
      </c>
      <c r="D1534" s="51">
        <v>66.0</v>
      </c>
      <c r="E1534" s="52" t="s">
        <v>25</v>
      </c>
      <c r="F1534" s="52" t="s">
        <v>26</v>
      </c>
      <c r="G1534" s="53"/>
    </row>
    <row r="1535">
      <c r="A1535" s="49">
        <v>45036.77067616898</v>
      </c>
      <c r="B1535" s="50">
        <v>45036.8956481713</v>
      </c>
      <c r="C1535" s="51">
        <v>1.04</v>
      </c>
      <c r="D1535" s="51">
        <v>66.0</v>
      </c>
      <c r="E1535" s="52" t="s">
        <v>25</v>
      </c>
      <c r="F1535" s="52" t="s">
        <v>26</v>
      </c>
      <c r="G1535" s="53"/>
    </row>
    <row r="1536">
      <c r="A1536" s="49">
        <v>45036.78110129629</v>
      </c>
      <c r="B1536" s="50">
        <v>45036.9060686805</v>
      </c>
      <c r="C1536" s="51">
        <v>1.04</v>
      </c>
      <c r="D1536" s="51">
        <v>66.0</v>
      </c>
      <c r="E1536" s="52" t="s">
        <v>25</v>
      </c>
      <c r="F1536" s="52" t="s">
        <v>26</v>
      </c>
      <c r="G1536" s="53"/>
    </row>
    <row r="1537">
      <c r="A1537" s="49">
        <v>45036.791511284726</v>
      </c>
      <c r="B1537" s="50">
        <v>45036.9164901967</v>
      </c>
      <c r="C1537" s="51">
        <v>1.04</v>
      </c>
      <c r="D1537" s="51">
        <v>66.0</v>
      </c>
      <c r="E1537" s="52" t="s">
        <v>25</v>
      </c>
      <c r="F1537" s="52" t="s">
        <v>26</v>
      </c>
      <c r="G1537" s="53"/>
    </row>
    <row r="1538">
      <c r="A1538" s="49">
        <v>45036.801934560186</v>
      </c>
      <c r="B1538" s="50">
        <v>45036.9269111342</v>
      </c>
      <c r="C1538" s="51">
        <v>1.04</v>
      </c>
      <c r="D1538" s="51">
        <v>66.0</v>
      </c>
      <c r="E1538" s="52" t="s">
        <v>25</v>
      </c>
      <c r="F1538" s="52" t="s">
        <v>26</v>
      </c>
      <c r="G1538" s="53"/>
    </row>
    <row r="1539">
      <c r="A1539" s="49">
        <v>45036.812361805554</v>
      </c>
      <c r="B1539" s="50">
        <v>45036.9373308217</v>
      </c>
      <c r="C1539" s="51">
        <v>1.04</v>
      </c>
      <c r="D1539" s="51">
        <v>66.0</v>
      </c>
      <c r="E1539" s="52" t="s">
        <v>25</v>
      </c>
      <c r="F1539" s="52" t="s">
        <v>26</v>
      </c>
      <c r="G1539" s="53"/>
    </row>
    <row r="1540">
      <c r="A1540" s="49">
        <v>45036.82278158565</v>
      </c>
      <c r="B1540" s="50">
        <v>45036.947751875</v>
      </c>
      <c r="C1540" s="51">
        <v>1.04</v>
      </c>
      <c r="D1540" s="51">
        <v>66.0</v>
      </c>
      <c r="E1540" s="52" t="s">
        <v>25</v>
      </c>
      <c r="F1540" s="52" t="s">
        <v>26</v>
      </c>
      <c r="G1540" s="53"/>
    </row>
    <row r="1541">
      <c r="A1541" s="49">
        <v>45036.833208703705</v>
      </c>
      <c r="B1541" s="50">
        <v>45036.9581835879</v>
      </c>
      <c r="C1541" s="51">
        <v>1.04</v>
      </c>
      <c r="D1541" s="51">
        <v>66.0</v>
      </c>
      <c r="E1541" s="52" t="s">
        <v>25</v>
      </c>
      <c r="F1541" s="52" t="s">
        <v>26</v>
      </c>
      <c r="G1541" s="53"/>
    </row>
    <row r="1542">
      <c r="A1542" s="49">
        <v>45036.84363386574</v>
      </c>
      <c r="B1542" s="50">
        <v>45036.9686052083</v>
      </c>
      <c r="C1542" s="51">
        <v>1.04</v>
      </c>
      <c r="D1542" s="51">
        <v>66.0</v>
      </c>
      <c r="E1542" s="52" t="s">
        <v>25</v>
      </c>
      <c r="F1542" s="52" t="s">
        <v>26</v>
      </c>
      <c r="G1542" s="53"/>
    </row>
    <row r="1543">
      <c r="A1543" s="49">
        <v>45036.85406600694</v>
      </c>
      <c r="B1543" s="50">
        <v>45036.9790380555</v>
      </c>
      <c r="C1543" s="51">
        <v>1.04</v>
      </c>
      <c r="D1543" s="51">
        <v>66.0</v>
      </c>
      <c r="E1543" s="52" t="s">
        <v>25</v>
      </c>
      <c r="F1543" s="52" t="s">
        <v>26</v>
      </c>
      <c r="G1543" s="53"/>
    </row>
    <row r="1544">
      <c r="A1544" s="49">
        <v>45036.86451665509</v>
      </c>
      <c r="B1544" s="50">
        <v>45036.9894824884</v>
      </c>
      <c r="C1544" s="51">
        <v>1.04</v>
      </c>
      <c r="D1544" s="51">
        <v>66.0</v>
      </c>
      <c r="E1544" s="52" t="s">
        <v>25</v>
      </c>
      <c r="F1544" s="52" t="s">
        <v>26</v>
      </c>
      <c r="G1544" s="53"/>
    </row>
    <row r="1545">
      <c r="A1545" s="49">
        <v>45036.874928819445</v>
      </c>
      <c r="B1545" s="50">
        <v>45036.9999047338</v>
      </c>
      <c r="C1545" s="51">
        <v>1.04</v>
      </c>
      <c r="D1545" s="51">
        <v>66.0</v>
      </c>
      <c r="E1545" s="52" t="s">
        <v>25</v>
      </c>
      <c r="F1545" s="52" t="s">
        <v>26</v>
      </c>
      <c r="G1545" s="53"/>
    </row>
    <row r="1546">
      <c r="A1546" s="49">
        <v>45036.8853534375</v>
      </c>
      <c r="B1546" s="50">
        <v>45037.0103262615</v>
      </c>
      <c r="C1546" s="51">
        <v>1.04</v>
      </c>
      <c r="D1546" s="51">
        <v>66.0</v>
      </c>
      <c r="E1546" s="52" t="s">
        <v>25</v>
      </c>
      <c r="F1546" s="52" t="s">
        <v>26</v>
      </c>
      <c r="G1546" s="53"/>
    </row>
    <row r="1547">
      <c r="A1547" s="49">
        <v>45036.89577175926</v>
      </c>
      <c r="B1547" s="50">
        <v>45037.0207467708</v>
      </c>
      <c r="C1547" s="51">
        <v>1.04</v>
      </c>
      <c r="D1547" s="51">
        <v>66.0</v>
      </c>
      <c r="E1547" s="52" t="s">
        <v>25</v>
      </c>
      <c r="F1547" s="52" t="s">
        <v>26</v>
      </c>
      <c r="G1547" s="53"/>
    </row>
    <row r="1548">
      <c r="A1548" s="49">
        <v>45036.906194537034</v>
      </c>
      <c r="B1548" s="50">
        <v>45037.0311666435</v>
      </c>
      <c r="C1548" s="51">
        <v>1.04</v>
      </c>
      <c r="D1548" s="51">
        <v>66.0</v>
      </c>
      <c r="E1548" s="52" t="s">
        <v>25</v>
      </c>
      <c r="F1548" s="52" t="s">
        <v>26</v>
      </c>
      <c r="G1548" s="53"/>
    </row>
    <row r="1549">
      <c r="A1549" s="49">
        <v>45036.916621041666</v>
      </c>
      <c r="B1549" s="50">
        <v>45037.0415880324</v>
      </c>
      <c r="C1549" s="51">
        <v>1.04</v>
      </c>
      <c r="D1549" s="51">
        <v>66.0</v>
      </c>
      <c r="E1549" s="52" t="s">
        <v>25</v>
      </c>
      <c r="F1549" s="52" t="s">
        <v>26</v>
      </c>
      <c r="G1549" s="53"/>
    </row>
    <row r="1550">
      <c r="A1550" s="49">
        <v>45036.92702762732</v>
      </c>
      <c r="B1550" s="50">
        <v>45037.0520090162</v>
      </c>
      <c r="C1550" s="51">
        <v>1.04</v>
      </c>
      <c r="D1550" s="51">
        <v>66.0</v>
      </c>
      <c r="E1550" s="52" t="s">
        <v>25</v>
      </c>
      <c r="F1550" s="52" t="s">
        <v>26</v>
      </c>
      <c r="G1550" s="53"/>
    </row>
    <row r="1551">
      <c r="A1551" s="49">
        <v>45036.93746086805</v>
      </c>
      <c r="B1551" s="50">
        <v>45037.0624299652</v>
      </c>
      <c r="C1551" s="51">
        <v>1.04</v>
      </c>
      <c r="D1551" s="51">
        <v>66.0</v>
      </c>
      <c r="E1551" s="52" t="s">
        <v>25</v>
      </c>
      <c r="F1551" s="52" t="s">
        <v>26</v>
      </c>
      <c r="G1551" s="53"/>
    </row>
    <row r="1552">
      <c r="A1552" s="49">
        <v>45036.94787686343</v>
      </c>
      <c r="B1552" s="50">
        <v>45037.0728521759</v>
      </c>
      <c r="C1552" s="51">
        <v>1.04</v>
      </c>
      <c r="D1552" s="51">
        <v>66.0</v>
      </c>
      <c r="E1552" s="52" t="s">
        <v>25</v>
      </c>
      <c r="F1552" s="52" t="s">
        <v>26</v>
      </c>
      <c r="G1552" s="53"/>
    </row>
    <row r="1553">
      <c r="A1553" s="49">
        <v>45036.958309803245</v>
      </c>
      <c r="B1553" s="50">
        <v>45037.0832737152</v>
      </c>
      <c r="C1553" s="51">
        <v>1.04</v>
      </c>
      <c r="D1553" s="51">
        <v>66.0</v>
      </c>
      <c r="E1553" s="52" t="s">
        <v>25</v>
      </c>
      <c r="F1553" s="52" t="s">
        <v>26</v>
      </c>
      <c r="G1553" s="53"/>
    </row>
    <row r="1554">
      <c r="A1554" s="49">
        <v>45036.96874399306</v>
      </c>
      <c r="B1554" s="50">
        <v>45037.0937172337</v>
      </c>
      <c r="C1554" s="51">
        <v>1.04</v>
      </c>
      <c r="D1554" s="51">
        <v>66.0</v>
      </c>
      <c r="E1554" s="52" t="s">
        <v>25</v>
      </c>
      <c r="F1554" s="52" t="s">
        <v>26</v>
      </c>
      <c r="G1554" s="53"/>
    </row>
    <row r="1555">
      <c r="A1555" s="49">
        <v>45036.97917229167</v>
      </c>
      <c r="B1555" s="50">
        <v>45037.1041399074</v>
      </c>
      <c r="C1555" s="51">
        <v>1.04</v>
      </c>
      <c r="D1555" s="51">
        <v>66.0</v>
      </c>
      <c r="E1555" s="52" t="s">
        <v>25</v>
      </c>
      <c r="F1555" s="52" t="s">
        <v>26</v>
      </c>
      <c r="G1555" s="53"/>
    </row>
    <row r="1556">
      <c r="A1556" s="49">
        <v>45036.98960775463</v>
      </c>
      <c r="B1556" s="50">
        <v>45037.1145840277</v>
      </c>
      <c r="C1556" s="51">
        <v>1.04</v>
      </c>
      <c r="D1556" s="51">
        <v>66.0</v>
      </c>
      <c r="E1556" s="52" t="s">
        <v>25</v>
      </c>
      <c r="F1556" s="52" t="s">
        <v>26</v>
      </c>
      <c r="G1556" s="53"/>
    </row>
    <row r="1557">
      <c r="A1557" s="49">
        <v>45037.0000309375</v>
      </c>
      <c r="B1557" s="50">
        <v>45037.1250040856</v>
      </c>
      <c r="C1557" s="51">
        <v>1.04</v>
      </c>
      <c r="D1557" s="51">
        <v>66.0</v>
      </c>
      <c r="E1557" s="52" t="s">
        <v>25</v>
      </c>
      <c r="F1557" s="52" t="s">
        <v>26</v>
      </c>
      <c r="G1557" s="53"/>
    </row>
    <row r="1558">
      <c r="A1558" s="49">
        <v>45037.01045616898</v>
      </c>
      <c r="B1558" s="50">
        <v>45037.1354248379</v>
      </c>
      <c r="C1558" s="51">
        <v>1.04</v>
      </c>
      <c r="D1558" s="51">
        <v>66.0</v>
      </c>
      <c r="E1558" s="52" t="s">
        <v>25</v>
      </c>
      <c r="F1558" s="52" t="s">
        <v>26</v>
      </c>
      <c r="G1558" s="53"/>
    </row>
    <row r="1559">
      <c r="A1559" s="49">
        <v>45037.02088125</v>
      </c>
      <c r="B1559" s="50">
        <v>45037.1458461689</v>
      </c>
      <c r="C1559" s="51">
        <v>1.04</v>
      </c>
      <c r="D1559" s="51">
        <v>66.0</v>
      </c>
      <c r="E1559" s="52" t="s">
        <v>25</v>
      </c>
      <c r="F1559" s="52" t="s">
        <v>26</v>
      </c>
      <c r="G1559" s="53"/>
    </row>
    <row r="1560">
      <c r="A1560" s="49">
        <v>45037.03129118055</v>
      </c>
      <c r="B1560" s="50">
        <v>45037.1562666666</v>
      </c>
      <c r="C1560" s="51">
        <v>1.04</v>
      </c>
      <c r="D1560" s="51">
        <v>66.0</v>
      </c>
      <c r="E1560" s="52" t="s">
        <v>25</v>
      </c>
      <c r="F1560" s="52" t="s">
        <v>26</v>
      </c>
      <c r="G1560" s="53"/>
    </row>
    <row r="1561">
      <c r="A1561" s="49">
        <v>45037.04174076389</v>
      </c>
      <c r="B1561" s="50">
        <v>45037.1667107291</v>
      </c>
      <c r="C1561" s="51">
        <v>1.04</v>
      </c>
      <c r="D1561" s="51">
        <v>66.0</v>
      </c>
      <c r="E1561" s="52" t="s">
        <v>25</v>
      </c>
      <c r="F1561" s="52" t="s">
        <v>26</v>
      </c>
      <c r="G1561" s="53"/>
    </row>
    <row r="1562">
      <c r="A1562" s="49">
        <v>45037.052171840274</v>
      </c>
      <c r="B1562" s="50">
        <v>45037.1771434027</v>
      </c>
      <c r="C1562" s="51">
        <v>1.04</v>
      </c>
      <c r="D1562" s="51">
        <v>66.0</v>
      </c>
      <c r="E1562" s="52" t="s">
        <v>25</v>
      </c>
      <c r="F1562" s="52" t="s">
        <v>26</v>
      </c>
      <c r="G1562" s="53"/>
    </row>
    <row r="1563">
      <c r="A1563" s="49">
        <v>45037.062612002315</v>
      </c>
      <c r="B1563" s="50">
        <v>45037.1875767245</v>
      </c>
      <c r="C1563" s="51">
        <v>1.04</v>
      </c>
      <c r="D1563" s="51">
        <v>66.0</v>
      </c>
      <c r="E1563" s="52" t="s">
        <v>25</v>
      </c>
      <c r="F1563" s="52" t="s">
        <v>26</v>
      </c>
      <c r="G1563" s="53"/>
    </row>
    <row r="1564">
      <c r="A1564" s="49">
        <v>45037.0730391088</v>
      </c>
      <c r="B1564" s="50">
        <v>45037.1980102777</v>
      </c>
      <c r="C1564" s="51">
        <v>1.04</v>
      </c>
      <c r="D1564" s="51">
        <v>66.0</v>
      </c>
      <c r="E1564" s="52" t="s">
        <v>25</v>
      </c>
      <c r="F1564" s="52" t="s">
        <v>26</v>
      </c>
      <c r="G1564" s="53"/>
    </row>
    <row r="1565">
      <c r="A1565" s="49">
        <v>45037.08347030093</v>
      </c>
      <c r="B1565" s="50">
        <v>45037.20844375</v>
      </c>
      <c r="C1565" s="51">
        <v>1.04</v>
      </c>
      <c r="D1565" s="51">
        <v>66.0</v>
      </c>
      <c r="E1565" s="52" t="s">
        <v>25</v>
      </c>
      <c r="F1565" s="52" t="s">
        <v>26</v>
      </c>
      <c r="G1565" s="53"/>
    </row>
    <row r="1566">
      <c r="A1566" s="49">
        <v>45037.09390166667</v>
      </c>
      <c r="B1566" s="50">
        <v>45037.2188635995</v>
      </c>
      <c r="C1566" s="51">
        <v>1.04</v>
      </c>
      <c r="D1566" s="51">
        <v>66.0</v>
      </c>
      <c r="E1566" s="52" t="s">
        <v>25</v>
      </c>
      <c r="F1566" s="52" t="s">
        <v>26</v>
      </c>
      <c r="G1566" s="53"/>
    </row>
    <row r="1567">
      <c r="A1567" s="49">
        <v>45037.10431546296</v>
      </c>
      <c r="B1567" s="50">
        <v>45037.2292852777</v>
      </c>
      <c r="C1567" s="51">
        <v>1.039</v>
      </c>
      <c r="D1567" s="51">
        <v>66.0</v>
      </c>
      <c r="E1567" s="52" t="s">
        <v>25</v>
      </c>
      <c r="F1567" s="52" t="s">
        <v>26</v>
      </c>
      <c r="G1567" s="53"/>
    </row>
    <row r="1568">
      <c r="A1568" s="49">
        <v>45037.11473130787</v>
      </c>
      <c r="B1568" s="50">
        <v>45037.2397075694</v>
      </c>
      <c r="C1568" s="51">
        <v>1.04</v>
      </c>
      <c r="D1568" s="51">
        <v>66.0</v>
      </c>
      <c r="E1568" s="52" t="s">
        <v>25</v>
      </c>
      <c r="F1568" s="52" t="s">
        <v>26</v>
      </c>
      <c r="G1568" s="53"/>
    </row>
    <row r="1569">
      <c r="A1569" s="49">
        <v>45037.12517585648</v>
      </c>
      <c r="B1569" s="50">
        <v>45037.2501404282</v>
      </c>
      <c r="C1569" s="51">
        <v>1.04</v>
      </c>
      <c r="D1569" s="51">
        <v>66.0</v>
      </c>
      <c r="E1569" s="52" t="s">
        <v>25</v>
      </c>
      <c r="F1569" s="52" t="s">
        <v>26</v>
      </c>
      <c r="G1569" s="53"/>
    </row>
    <row r="1570">
      <c r="A1570" s="49">
        <v>45037.135605601856</v>
      </c>
      <c r="B1570" s="50">
        <v>45037.2605733101</v>
      </c>
      <c r="C1570" s="51">
        <v>1.039</v>
      </c>
      <c r="D1570" s="51">
        <v>66.0</v>
      </c>
      <c r="E1570" s="52" t="s">
        <v>25</v>
      </c>
      <c r="F1570" s="52" t="s">
        <v>26</v>
      </c>
      <c r="G1570" s="53"/>
    </row>
    <row r="1571">
      <c r="A1571" s="49">
        <v>45037.14602165509</v>
      </c>
      <c r="B1571" s="50">
        <v>45037.2709947685</v>
      </c>
      <c r="C1571" s="51">
        <v>1.04</v>
      </c>
      <c r="D1571" s="51">
        <v>66.0</v>
      </c>
      <c r="E1571" s="52" t="s">
        <v>25</v>
      </c>
      <c r="F1571" s="52" t="s">
        <v>26</v>
      </c>
      <c r="G1571" s="53"/>
    </row>
    <row r="1572">
      <c r="A1572" s="49">
        <v>45037.156442499996</v>
      </c>
      <c r="B1572" s="50">
        <v>45037.2814151388</v>
      </c>
      <c r="C1572" s="51">
        <v>1.04</v>
      </c>
      <c r="D1572" s="51">
        <v>66.0</v>
      </c>
      <c r="E1572" s="52" t="s">
        <v>25</v>
      </c>
      <c r="F1572" s="52" t="s">
        <v>26</v>
      </c>
      <c r="G1572" s="53"/>
    </row>
    <row r="1573">
      <c r="A1573" s="49">
        <v>45037.16688662037</v>
      </c>
      <c r="B1573" s="50">
        <v>45037.29185728</v>
      </c>
      <c r="C1573" s="51">
        <v>1.039</v>
      </c>
      <c r="D1573" s="51">
        <v>66.0</v>
      </c>
      <c r="E1573" s="52" t="s">
        <v>25</v>
      </c>
      <c r="F1573" s="52" t="s">
        <v>26</v>
      </c>
      <c r="G1573" s="53"/>
    </row>
    <row r="1574">
      <c r="A1574" s="49">
        <v>45037.17731304398</v>
      </c>
      <c r="B1574" s="50">
        <v>45037.3022795717</v>
      </c>
      <c r="C1574" s="51">
        <v>1.039</v>
      </c>
      <c r="D1574" s="51">
        <v>66.0</v>
      </c>
      <c r="E1574" s="52" t="s">
        <v>25</v>
      </c>
      <c r="F1574" s="52" t="s">
        <v>26</v>
      </c>
      <c r="G1574" s="53"/>
    </row>
    <row r="1575">
      <c r="A1575" s="49">
        <v>45037.1877393287</v>
      </c>
      <c r="B1575" s="50">
        <v>45037.3127141088</v>
      </c>
      <c r="C1575" s="51">
        <v>1.039</v>
      </c>
      <c r="D1575" s="51">
        <v>66.0</v>
      </c>
      <c r="E1575" s="52" t="s">
        <v>25</v>
      </c>
      <c r="F1575" s="52" t="s">
        <v>26</v>
      </c>
      <c r="G1575" s="53"/>
    </row>
    <row r="1576">
      <c r="A1576" s="49">
        <v>45037.198152060184</v>
      </c>
      <c r="B1576" s="50">
        <v>45037.323133125</v>
      </c>
      <c r="C1576" s="51">
        <v>1.039</v>
      </c>
      <c r="D1576" s="51">
        <v>66.0</v>
      </c>
      <c r="E1576" s="52" t="s">
        <v>25</v>
      </c>
      <c r="F1576" s="52" t="s">
        <v>26</v>
      </c>
      <c r="G1576" s="53"/>
    </row>
    <row r="1577">
      <c r="A1577" s="49">
        <v>45037.20859650463</v>
      </c>
      <c r="B1577" s="50">
        <v>45037.3335672453</v>
      </c>
      <c r="C1577" s="51">
        <v>1.039</v>
      </c>
      <c r="D1577" s="51">
        <v>66.0</v>
      </c>
      <c r="E1577" s="52" t="s">
        <v>25</v>
      </c>
      <c r="F1577" s="52" t="s">
        <v>26</v>
      </c>
      <c r="G1577" s="53"/>
    </row>
    <row r="1578">
      <c r="A1578" s="49">
        <v>45037.21903266203</v>
      </c>
      <c r="B1578" s="50">
        <v>45037.3439997337</v>
      </c>
      <c r="C1578" s="51">
        <v>1.039</v>
      </c>
      <c r="D1578" s="51">
        <v>66.0</v>
      </c>
      <c r="E1578" s="52" t="s">
        <v>25</v>
      </c>
      <c r="F1578" s="52" t="s">
        <v>26</v>
      </c>
      <c r="G1578" s="53"/>
    </row>
    <row r="1579">
      <c r="A1579" s="49">
        <v>45037.22944575231</v>
      </c>
      <c r="B1579" s="50">
        <v>45037.3544217476</v>
      </c>
      <c r="C1579" s="51">
        <v>1.039</v>
      </c>
      <c r="D1579" s="51">
        <v>66.0</v>
      </c>
      <c r="E1579" s="52" t="s">
        <v>25</v>
      </c>
      <c r="F1579" s="52" t="s">
        <v>26</v>
      </c>
      <c r="G1579" s="53"/>
    </row>
    <row r="1580">
      <c r="A1580" s="49">
        <v>45037.239902002315</v>
      </c>
      <c r="B1580" s="50">
        <v>45037.3648772569</v>
      </c>
      <c r="C1580" s="51">
        <v>1.039</v>
      </c>
      <c r="D1580" s="51">
        <v>66.0</v>
      </c>
      <c r="E1580" s="52" t="s">
        <v>25</v>
      </c>
      <c r="F1580" s="52" t="s">
        <v>26</v>
      </c>
      <c r="G1580" s="53"/>
    </row>
    <row r="1581">
      <c r="A1581" s="49">
        <v>45037.25033475694</v>
      </c>
      <c r="B1581" s="50">
        <v>45037.3753098379</v>
      </c>
      <c r="C1581" s="51">
        <v>1.039</v>
      </c>
      <c r="D1581" s="51">
        <v>66.0</v>
      </c>
      <c r="E1581" s="52" t="s">
        <v>25</v>
      </c>
      <c r="F1581" s="52" t="s">
        <v>26</v>
      </c>
      <c r="G1581" s="53"/>
    </row>
    <row r="1582">
      <c r="A1582" s="49">
        <v>45037.26076859953</v>
      </c>
      <c r="B1582" s="50">
        <v>45037.3857426851</v>
      </c>
      <c r="C1582" s="51">
        <v>1.039</v>
      </c>
      <c r="D1582" s="51">
        <v>66.0</v>
      </c>
      <c r="E1582" s="52" t="s">
        <v>25</v>
      </c>
      <c r="F1582" s="52" t="s">
        <v>26</v>
      </c>
      <c r="G1582" s="53"/>
    </row>
    <row r="1583">
      <c r="A1583" s="49">
        <v>45037.27121694444</v>
      </c>
      <c r="B1583" s="50">
        <v>45037.3961972453</v>
      </c>
      <c r="C1583" s="51">
        <v>1.039</v>
      </c>
      <c r="D1583" s="51">
        <v>66.0</v>
      </c>
      <c r="E1583" s="52" t="s">
        <v>25</v>
      </c>
      <c r="F1583" s="52" t="s">
        <v>26</v>
      </c>
      <c r="G1583" s="53"/>
    </row>
    <row r="1584">
      <c r="A1584" s="49">
        <v>45037.281651770834</v>
      </c>
      <c r="B1584" s="50">
        <v>45037.4066193518</v>
      </c>
      <c r="C1584" s="51">
        <v>1.039</v>
      </c>
      <c r="D1584" s="51">
        <v>66.0</v>
      </c>
      <c r="E1584" s="52" t="s">
        <v>25</v>
      </c>
      <c r="F1584" s="52" t="s">
        <v>26</v>
      </c>
      <c r="G1584" s="53"/>
    </row>
    <row r="1585">
      <c r="A1585" s="49">
        <v>45037.29213234954</v>
      </c>
      <c r="B1585" s="50">
        <v>45037.4171001736</v>
      </c>
      <c r="C1585" s="51">
        <v>1.039</v>
      </c>
      <c r="D1585" s="51">
        <v>66.0</v>
      </c>
      <c r="E1585" s="52" t="s">
        <v>25</v>
      </c>
      <c r="F1585" s="52" t="s">
        <v>26</v>
      </c>
      <c r="G1585" s="53"/>
    </row>
    <row r="1586">
      <c r="A1586" s="49">
        <v>45037.30254849537</v>
      </c>
      <c r="B1586" s="50">
        <v>45037.4275201504</v>
      </c>
      <c r="C1586" s="51">
        <v>1.039</v>
      </c>
      <c r="D1586" s="51">
        <v>66.0</v>
      </c>
      <c r="E1586" s="52" t="s">
        <v>25</v>
      </c>
      <c r="F1586" s="52" t="s">
        <v>26</v>
      </c>
      <c r="G1586" s="53"/>
    </row>
    <row r="1587">
      <c r="A1587" s="49">
        <v>45037.313006412034</v>
      </c>
      <c r="B1587" s="50">
        <v>45037.4379763078</v>
      </c>
      <c r="C1587" s="51">
        <v>1.039</v>
      </c>
      <c r="D1587" s="51">
        <v>66.0</v>
      </c>
      <c r="E1587" s="52" t="s">
        <v>25</v>
      </c>
      <c r="F1587" s="52" t="s">
        <v>26</v>
      </c>
      <c r="G1587" s="53"/>
    </row>
    <row r="1588">
      <c r="A1588" s="49">
        <v>45037.3234371875</v>
      </c>
      <c r="B1588" s="50">
        <v>45037.4484099189</v>
      </c>
      <c r="C1588" s="51">
        <v>1.039</v>
      </c>
      <c r="D1588" s="51">
        <v>66.0</v>
      </c>
      <c r="E1588" s="52" t="s">
        <v>25</v>
      </c>
      <c r="F1588" s="52" t="s">
        <v>26</v>
      </c>
      <c r="G1588" s="53"/>
    </row>
    <row r="1589">
      <c r="A1589" s="49">
        <v>45037.33386517361</v>
      </c>
      <c r="B1589" s="50">
        <v>45037.4588322338</v>
      </c>
      <c r="C1589" s="51">
        <v>1.039</v>
      </c>
      <c r="D1589" s="51">
        <v>66.0</v>
      </c>
      <c r="E1589" s="52" t="s">
        <v>25</v>
      </c>
      <c r="F1589" s="52" t="s">
        <v>26</v>
      </c>
      <c r="G1589" s="53"/>
    </row>
    <row r="1590">
      <c r="A1590" s="49">
        <v>45037.34428693287</v>
      </c>
      <c r="B1590" s="50">
        <v>45037.4692528009</v>
      </c>
      <c r="C1590" s="51">
        <v>1.039</v>
      </c>
      <c r="D1590" s="51">
        <v>66.0</v>
      </c>
      <c r="E1590" s="52" t="s">
        <v>25</v>
      </c>
      <c r="F1590" s="52" t="s">
        <v>26</v>
      </c>
      <c r="G1590" s="53"/>
    </row>
    <row r="1591">
      <c r="A1591" s="49">
        <v>45037.35471530093</v>
      </c>
      <c r="B1591" s="50">
        <v>45037.4796855787</v>
      </c>
      <c r="C1591" s="51">
        <v>1.039</v>
      </c>
      <c r="D1591" s="51">
        <v>66.0</v>
      </c>
      <c r="E1591" s="52" t="s">
        <v>25</v>
      </c>
      <c r="F1591" s="52" t="s">
        <v>26</v>
      </c>
      <c r="G1591" s="53"/>
    </row>
    <row r="1592">
      <c r="A1592" s="49">
        <v>45037.36515121528</v>
      </c>
      <c r="B1592" s="50">
        <v>45037.4901187384</v>
      </c>
      <c r="C1592" s="51">
        <v>1.039</v>
      </c>
      <c r="D1592" s="51">
        <v>66.0</v>
      </c>
      <c r="E1592" s="52" t="s">
        <v>25</v>
      </c>
      <c r="F1592" s="52" t="s">
        <v>26</v>
      </c>
      <c r="G1592" s="53"/>
    </row>
    <row r="1593">
      <c r="A1593" s="49">
        <v>45037.37556703704</v>
      </c>
      <c r="B1593" s="50">
        <v>45037.5005409027</v>
      </c>
      <c r="C1593" s="51">
        <v>1.039</v>
      </c>
      <c r="D1593" s="51">
        <v>66.0</v>
      </c>
      <c r="E1593" s="52" t="s">
        <v>25</v>
      </c>
      <c r="F1593" s="52" t="s">
        <v>26</v>
      </c>
      <c r="G1593" s="53"/>
    </row>
    <row r="1594">
      <c r="A1594" s="49">
        <v>45037.385996956014</v>
      </c>
      <c r="B1594" s="50">
        <v>45037.510961875</v>
      </c>
      <c r="C1594" s="51">
        <v>1.039</v>
      </c>
      <c r="D1594" s="51">
        <v>66.0</v>
      </c>
      <c r="E1594" s="52" t="s">
        <v>25</v>
      </c>
      <c r="F1594" s="52" t="s">
        <v>26</v>
      </c>
      <c r="G1594" s="53"/>
    </row>
    <row r="1595">
      <c r="A1595" s="49">
        <v>45037.396419675926</v>
      </c>
      <c r="B1595" s="50">
        <v>45037.521392662</v>
      </c>
      <c r="C1595" s="51">
        <v>1.039</v>
      </c>
      <c r="D1595" s="51">
        <v>66.0</v>
      </c>
      <c r="E1595" s="52" t="s">
        <v>25</v>
      </c>
      <c r="F1595" s="52" t="s">
        <v>26</v>
      </c>
      <c r="G1595" s="53"/>
    </row>
    <row r="1596">
      <c r="A1596" s="49">
        <v>45037.40686726852</v>
      </c>
      <c r="B1596" s="50">
        <v>45037.5318370138</v>
      </c>
      <c r="C1596" s="51">
        <v>1.039</v>
      </c>
      <c r="D1596" s="51">
        <v>66.0</v>
      </c>
      <c r="E1596" s="52" t="s">
        <v>25</v>
      </c>
      <c r="F1596" s="52" t="s">
        <v>26</v>
      </c>
      <c r="G1596" s="53"/>
    </row>
    <row r="1597">
      <c r="A1597" s="49">
        <v>45037.417293067134</v>
      </c>
      <c r="B1597" s="50">
        <v>45037.5422582638</v>
      </c>
      <c r="C1597" s="51">
        <v>1.039</v>
      </c>
      <c r="D1597" s="51">
        <v>66.0</v>
      </c>
      <c r="E1597" s="52" t="s">
        <v>25</v>
      </c>
      <c r="F1597" s="52" t="s">
        <v>26</v>
      </c>
      <c r="G1597" s="53"/>
    </row>
    <row r="1598">
      <c r="A1598" s="49">
        <v>45037.42773221065</v>
      </c>
      <c r="B1598" s="50">
        <v>45037.5527029166</v>
      </c>
      <c r="C1598" s="51">
        <v>1.039</v>
      </c>
      <c r="D1598" s="51">
        <v>66.0</v>
      </c>
      <c r="E1598" s="52" t="s">
        <v>25</v>
      </c>
      <c r="F1598" s="52" t="s">
        <v>26</v>
      </c>
      <c r="G1598" s="53"/>
    </row>
    <row r="1599">
      <c r="A1599" s="49">
        <v>45037.438190092595</v>
      </c>
      <c r="B1599" s="50">
        <v>45037.5631576967</v>
      </c>
      <c r="C1599" s="51">
        <v>1.039</v>
      </c>
      <c r="D1599" s="51">
        <v>66.0</v>
      </c>
      <c r="E1599" s="52" t="s">
        <v>25</v>
      </c>
      <c r="F1599" s="52" t="s">
        <v>26</v>
      </c>
      <c r="G1599" s="53"/>
    </row>
    <row r="1600">
      <c r="A1600" s="49">
        <v>45037.44860528935</v>
      </c>
      <c r="B1600" s="50">
        <v>45037.5735779629</v>
      </c>
      <c r="C1600" s="51">
        <v>1.039</v>
      </c>
      <c r="D1600" s="51">
        <v>66.0</v>
      </c>
      <c r="E1600" s="52" t="s">
        <v>25</v>
      </c>
      <c r="F1600" s="52" t="s">
        <v>26</v>
      </c>
      <c r="G1600" s="53"/>
    </row>
    <row r="1601">
      <c r="A1601" s="49">
        <v>45037.45903298611</v>
      </c>
      <c r="B1601" s="50">
        <v>45037.5839985879</v>
      </c>
      <c r="C1601" s="51">
        <v>1.039</v>
      </c>
      <c r="D1601" s="51">
        <v>66.0</v>
      </c>
      <c r="E1601" s="52" t="s">
        <v>25</v>
      </c>
      <c r="F1601" s="52" t="s">
        <v>26</v>
      </c>
      <c r="G1601" s="53"/>
    </row>
    <row r="1602">
      <c r="A1602" s="49">
        <v>45037.469454942126</v>
      </c>
      <c r="B1602" s="50">
        <v>45037.5944218287</v>
      </c>
      <c r="C1602" s="51">
        <v>1.039</v>
      </c>
      <c r="D1602" s="51">
        <v>66.0</v>
      </c>
      <c r="E1602" s="52" t="s">
        <v>25</v>
      </c>
      <c r="F1602" s="52" t="s">
        <v>26</v>
      </c>
      <c r="G1602" s="53"/>
    </row>
    <row r="1603">
      <c r="A1603" s="49">
        <v>45037.47988413194</v>
      </c>
      <c r="B1603" s="50">
        <v>45037.6048565393</v>
      </c>
      <c r="C1603" s="51">
        <v>1.039</v>
      </c>
      <c r="D1603" s="51">
        <v>66.0</v>
      </c>
      <c r="E1603" s="52" t="s">
        <v>25</v>
      </c>
      <c r="F1603" s="52" t="s">
        <v>26</v>
      </c>
      <c r="G1603" s="53"/>
    </row>
    <row r="1604">
      <c r="A1604" s="49">
        <v>45037.49030243055</v>
      </c>
      <c r="B1604" s="50">
        <v>45037.6152777777</v>
      </c>
      <c r="C1604" s="51">
        <v>1.039</v>
      </c>
      <c r="D1604" s="51">
        <v>66.0</v>
      </c>
      <c r="E1604" s="52" t="s">
        <v>25</v>
      </c>
      <c r="F1604" s="52" t="s">
        <v>26</v>
      </c>
      <c r="G1604" s="53"/>
    </row>
    <row r="1605">
      <c r="A1605" s="49">
        <v>45037.50073900463</v>
      </c>
      <c r="B1605" s="50">
        <v>45037.6257004629</v>
      </c>
      <c r="C1605" s="51">
        <v>1.039</v>
      </c>
      <c r="D1605" s="51">
        <v>66.0</v>
      </c>
      <c r="E1605" s="52" t="s">
        <v>25</v>
      </c>
      <c r="F1605" s="52" t="s">
        <v>26</v>
      </c>
      <c r="G1605" s="53"/>
    </row>
    <row r="1606">
      <c r="A1606" s="49">
        <v>45037.51114737269</v>
      </c>
      <c r="B1606" s="50">
        <v>45037.6361209953</v>
      </c>
      <c r="C1606" s="51">
        <v>1.039</v>
      </c>
      <c r="D1606" s="51">
        <v>66.0</v>
      </c>
      <c r="E1606" s="52" t="s">
        <v>25</v>
      </c>
      <c r="F1606" s="52" t="s">
        <v>26</v>
      </c>
      <c r="G1606" s="53"/>
    </row>
    <row r="1607">
      <c r="A1607" s="49">
        <v>45037.52158143518</v>
      </c>
      <c r="B1607" s="50">
        <v>45037.646544074</v>
      </c>
      <c r="C1607" s="51">
        <v>1.039</v>
      </c>
      <c r="D1607" s="51">
        <v>66.0</v>
      </c>
      <c r="E1607" s="52" t="s">
        <v>25</v>
      </c>
      <c r="F1607" s="52" t="s">
        <v>26</v>
      </c>
      <c r="G1607" s="53"/>
    </row>
    <row r="1608">
      <c r="A1608" s="49">
        <v>45037.53199565972</v>
      </c>
      <c r="B1608" s="50">
        <v>45037.6569645138</v>
      </c>
      <c r="C1608" s="51">
        <v>1.039</v>
      </c>
      <c r="D1608" s="51">
        <v>66.0</v>
      </c>
      <c r="E1608" s="52" t="s">
        <v>25</v>
      </c>
      <c r="F1608" s="52" t="s">
        <v>26</v>
      </c>
      <c r="G1608" s="53"/>
    </row>
    <row r="1609">
      <c r="A1609" s="49">
        <v>45037.54249085648</v>
      </c>
      <c r="B1609" s="50">
        <v>45037.6674215625</v>
      </c>
      <c r="C1609" s="51">
        <v>1.039</v>
      </c>
      <c r="D1609" s="51">
        <v>66.0</v>
      </c>
      <c r="E1609" s="52" t="s">
        <v>25</v>
      </c>
      <c r="F1609" s="52" t="s">
        <v>26</v>
      </c>
      <c r="G1609" s="53"/>
    </row>
    <row r="1610">
      <c r="A1610" s="49">
        <v>45037.55287813657</v>
      </c>
      <c r="B1610" s="50">
        <v>45037.6778444097</v>
      </c>
      <c r="C1610" s="51">
        <v>1.039</v>
      </c>
      <c r="D1610" s="51">
        <v>66.0</v>
      </c>
      <c r="E1610" s="52" t="s">
        <v>25</v>
      </c>
      <c r="F1610" s="52" t="s">
        <v>26</v>
      </c>
      <c r="G1610" s="53"/>
    </row>
    <row r="1611">
      <c r="A1611" s="49">
        <v>45037.56329186342</v>
      </c>
      <c r="B1611" s="50">
        <v>45037.6882655902</v>
      </c>
      <c r="C1611" s="51">
        <v>1.039</v>
      </c>
      <c r="D1611" s="51">
        <v>66.0</v>
      </c>
      <c r="E1611" s="52" t="s">
        <v>25</v>
      </c>
      <c r="F1611" s="52" t="s">
        <v>26</v>
      </c>
      <c r="G1611" s="53"/>
    </row>
    <row r="1612">
      <c r="A1612" s="49">
        <v>45037.57372770833</v>
      </c>
      <c r="B1612" s="50">
        <v>45037.6986979629</v>
      </c>
      <c r="C1612" s="51">
        <v>1.039</v>
      </c>
      <c r="D1612" s="51">
        <v>66.0</v>
      </c>
      <c r="E1612" s="52" t="s">
        <v>25</v>
      </c>
      <c r="F1612" s="52" t="s">
        <v>26</v>
      </c>
      <c r="G1612" s="53"/>
    </row>
    <row r="1613">
      <c r="A1613" s="49">
        <v>45037.58415565972</v>
      </c>
      <c r="B1613" s="50">
        <v>45037.7091181018</v>
      </c>
      <c r="C1613" s="51">
        <v>1.039</v>
      </c>
      <c r="D1613" s="51">
        <v>66.0</v>
      </c>
      <c r="E1613" s="52" t="s">
        <v>25</v>
      </c>
      <c r="F1613" s="52" t="s">
        <v>26</v>
      </c>
      <c r="G1613" s="53"/>
    </row>
    <row r="1614">
      <c r="A1614" s="49">
        <v>45037.594578749995</v>
      </c>
      <c r="B1614" s="50">
        <v>45037.7195524768</v>
      </c>
      <c r="C1614" s="51">
        <v>1.039</v>
      </c>
      <c r="D1614" s="51">
        <v>66.0</v>
      </c>
      <c r="E1614" s="52" t="s">
        <v>25</v>
      </c>
      <c r="F1614" s="52" t="s">
        <v>26</v>
      </c>
      <c r="G1614" s="53"/>
    </row>
    <row r="1615">
      <c r="A1615" s="49">
        <v>45037.60531912037</v>
      </c>
      <c r="B1615" s="50">
        <v>45037.7299726967</v>
      </c>
      <c r="C1615" s="51">
        <v>1.039</v>
      </c>
      <c r="D1615" s="51">
        <v>66.0</v>
      </c>
      <c r="E1615" s="52" t="s">
        <v>25</v>
      </c>
      <c r="F1615" s="52" t="s">
        <v>26</v>
      </c>
      <c r="G1615" s="53"/>
    </row>
    <row r="1616">
      <c r="A1616" s="49">
        <v>45037.61542318287</v>
      </c>
      <c r="B1616" s="50">
        <v>45037.740393206</v>
      </c>
      <c r="C1616" s="51">
        <v>1.039</v>
      </c>
      <c r="D1616" s="51">
        <v>66.0</v>
      </c>
      <c r="E1616" s="52" t="s">
        <v>25</v>
      </c>
      <c r="F1616" s="52" t="s">
        <v>26</v>
      </c>
      <c r="G1616" s="53"/>
    </row>
    <row r="1617">
      <c r="A1617" s="49">
        <v>45037.62583888889</v>
      </c>
      <c r="B1617" s="50">
        <v>45037.7508163541</v>
      </c>
      <c r="C1617" s="51">
        <v>1.039</v>
      </c>
      <c r="D1617" s="51">
        <v>66.0</v>
      </c>
      <c r="E1617" s="52" t="s">
        <v>25</v>
      </c>
      <c r="F1617" s="52" t="s">
        <v>26</v>
      </c>
      <c r="G1617" s="53"/>
    </row>
    <row r="1618">
      <c r="A1618" s="49">
        <v>45037.636259861116</v>
      </c>
      <c r="B1618" s="50">
        <v>45037.76123875</v>
      </c>
      <c r="C1618" s="51">
        <v>1.039</v>
      </c>
      <c r="D1618" s="51">
        <v>66.0</v>
      </c>
      <c r="E1618" s="52" t="s">
        <v>25</v>
      </c>
      <c r="F1618" s="52" t="s">
        <v>26</v>
      </c>
      <c r="G1618" s="53"/>
    </row>
    <row r="1619">
      <c r="A1619" s="49">
        <v>45037.646708368055</v>
      </c>
      <c r="B1619" s="50">
        <v>45037.7716833564</v>
      </c>
      <c r="C1619" s="51">
        <v>1.039</v>
      </c>
      <c r="D1619" s="51">
        <v>66.0</v>
      </c>
      <c r="E1619" s="52" t="s">
        <v>25</v>
      </c>
      <c r="F1619" s="52" t="s">
        <v>26</v>
      </c>
      <c r="G1619" s="53"/>
    </row>
    <row r="1620">
      <c r="A1620" s="49">
        <v>45037.65712366898</v>
      </c>
      <c r="B1620" s="50">
        <v>45037.7821041666</v>
      </c>
      <c r="C1620" s="51">
        <v>1.039</v>
      </c>
      <c r="D1620" s="51">
        <v>66.0</v>
      </c>
      <c r="E1620" s="52" t="s">
        <v>25</v>
      </c>
      <c r="F1620" s="52" t="s">
        <v>26</v>
      </c>
      <c r="G1620" s="53"/>
    </row>
    <row r="1621">
      <c r="A1621" s="49">
        <v>45037.66759444444</v>
      </c>
      <c r="B1621" s="50">
        <v>45037.7925725115</v>
      </c>
      <c r="C1621" s="51">
        <v>1.039</v>
      </c>
      <c r="D1621" s="51">
        <v>66.0</v>
      </c>
      <c r="E1621" s="52" t="s">
        <v>25</v>
      </c>
      <c r="F1621" s="52" t="s">
        <v>26</v>
      </c>
      <c r="G1621" s="53"/>
    </row>
    <row r="1622">
      <c r="A1622" s="49">
        <v>45037.678041377316</v>
      </c>
      <c r="B1622" s="50">
        <v>45037.8030167245</v>
      </c>
      <c r="C1622" s="51">
        <v>1.039</v>
      </c>
      <c r="D1622" s="51">
        <v>66.0</v>
      </c>
      <c r="E1622" s="52" t="s">
        <v>25</v>
      </c>
      <c r="F1622" s="52" t="s">
        <v>26</v>
      </c>
      <c r="G1622" s="53"/>
    </row>
    <row r="1623">
      <c r="A1623" s="49">
        <v>45037.68846049768</v>
      </c>
      <c r="B1623" s="50">
        <v>45037.8134404745</v>
      </c>
      <c r="C1623" s="51">
        <v>1.039</v>
      </c>
      <c r="D1623" s="51">
        <v>66.0</v>
      </c>
      <c r="E1623" s="52" t="s">
        <v>25</v>
      </c>
      <c r="F1623" s="52" t="s">
        <v>26</v>
      </c>
      <c r="G1623" s="53"/>
    </row>
    <row r="1624">
      <c r="A1624" s="49">
        <v>45037.69889127315</v>
      </c>
      <c r="B1624" s="50">
        <v>45037.8238621064</v>
      </c>
      <c r="C1624" s="51">
        <v>1.039</v>
      </c>
      <c r="D1624" s="51">
        <v>66.0</v>
      </c>
      <c r="E1624" s="52" t="s">
        <v>25</v>
      </c>
      <c r="F1624" s="52" t="s">
        <v>26</v>
      </c>
      <c r="G1624" s="53"/>
    </row>
    <row r="1625">
      <c r="A1625" s="49">
        <v>45037.70930283565</v>
      </c>
      <c r="B1625" s="50">
        <v>45037.8342840277</v>
      </c>
      <c r="C1625" s="51">
        <v>1.039</v>
      </c>
      <c r="D1625" s="51">
        <v>66.0</v>
      </c>
      <c r="E1625" s="52" t="s">
        <v>25</v>
      </c>
      <c r="F1625" s="52" t="s">
        <v>26</v>
      </c>
      <c r="G1625" s="53"/>
    </row>
    <row r="1626">
      <c r="A1626" s="49">
        <v>45037.71973131945</v>
      </c>
      <c r="B1626" s="50">
        <v>45037.8447055324</v>
      </c>
      <c r="C1626" s="51">
        <v>1.039</v>
      </c>
      <c r="D1626" s="51">
        <v>66.0</v>
      </c>
      <c r="E1626" s="52" t="s">
        <v>25</v>
      </c>
      <c r="F1626" s="52" t="s">
        <v>26</v>
      </c>
      <c r="G1626" s="53"/>
    </row>
    <row r="1627">
      <c r="A1627" s="49">
        <v>45037.730146828704</v>
      </c>
      <c r="B1627" s="50">
        <v>45037.8551250578</v>
      </c>
      <c r="C1627" s="51">
        <v>1.039</v>
      </c>
      <c r="D1627" s="51">
        <v>66.0</v>
      </c>
      <c r="E1627" s="52" t="s">
        <v>25</v>
      </c>
      <c r="F1627" s="52" t="s">
        <v>26</v>
      </c>
      <c r="G1627" s="53"/>
    </row>
    <row r="1628">
      <c r="A1628" s="49">
        <v>45037.740565451386</v>
      </c>
      <c r="B1628" s="50">
        <v>45037.8655466435</v>
      </c>
      <c r="C1628" s="51">
        <v>1.039</v>
      </c>
      <c r="D1628" s="51">
        <v>66.0</v>
      </c>
      <c r="E1628" s="52" t="s">
        <v>25</v>
      </c>
      <c r="F1628" s="52" t="s">
        <v>26</v>
      </c>
      <c r="G1628" s="53"/>
    </row>
    <row r="1629">
      <c r="A1629" s="49">
        <v>45037.751032395834</v>
      </c>
      <c r="B1629" s="50">
        <v>45037.8760035532</v>
      </c>
      <c r="C1629" s="51">
        <v>1.039</v>
      </c>
      <c r="D1629" s="51">
        <v>66.0</v>
      </c>
      <c r="E1629" s="52" t="s">
        <v>25</v>
      </c>
      <c r="F1629" s="52" t="s">
        <v>26</v>
      </c>
      <c r="G1629" s="53"/>
    </row>
    <row r="1630">
      <c r="A1630" s="49">
        <v>45037.761449328704</v>
      </c>
      <c r="B1630" s="50">
        <v>45037.8864256713</v>
      </c>
      <c r="C1630" s="51">
        <v>1.039</v>
      </c>
      <c r="D1630" s="51">
        <v>66.0</v>
      </c>
      <c r="E1630" s="52" t="s">
        <v>25</v>
      </c>
      <c r="F1630" s="52" t="s">
        <v>26</v>
      </c>
      <c r="G1630" s="53"/>
    </row>
    <row r="1631">
      <c r="A1631" s="49">
        <v>45037.77187568287</v>
      </c>
      <c r="B1631" s="50">
        <v>45037.8968472569</v>
      </c>
      <c r="C1631" s="51">
        <v>1.039</v>
      </c>
      <c r="D1631" s="51">
        <v>66.0</v>
      </c>
      <c r="E1631" s="52" t="s">
        <v>25</v>
      </c>
      <c r="F1631" s="52" t="s">
        <v>26</v>
      </c>
      <c r="G1631" s="53"/>
    </row>
    <row r="1632">
      <c r="A1632" s="49">
        <v>45037.78229326389</v>
      </c>
      <c r="B1632" s="50">
        <v>45037.9072672338</v>
      </c>
      <c r="C1632" s="51">
        <v>1.039</v>
      </c>
      <c r="D1632" s="51">
        <v>66.0</v>
      </c>
      <c r="E1632" s="52" t="s">
        <v>25</v>
      </c>
      <c r="F1632" s="52" t="s">
        <v>26</v>
      </c>
      <c r="G1632" s="53"/>
    </row>
    <row r="1633">
      <c r="A1633" s="49">
        <v>45037.79270791667</v>
      </c>
      <c r="B1633" s="50">
        <v>45037.9176881134</v>
      </c>
      <c r="C1633" s="51">
        <v>1.039</v>
      </c>
      <c r="D1633" s="51">
        <v>66.0</v>
      </c>
      <c r="E1633" s="52" t="s">
        <v>25</v>
      </c>
      <c r="F1633" s="52" t="s">
        <v>26</v>
      </c>
      <c r="G1633" s="53"/>
    </row>
    <row r="1634">
      <c r="A1634" s="49">
        <v>45037.803145949074</v>
      </c>
      <c r="B1634" s="50">
        <v>45037.9281221064</v>
      </c>
      <c r="C1634" s="51">
        <v>1.039</v>
      </c>
      <c r="D1634" s="51">
        <v>66.0</v>
      </c>
      <c r="E1634" s="52" t="s">
        <v>25</v>
      </c>
      <c r="F1634" s="52" t="s">
        <v>26</v>
      </c>
      <c r="G1634" s="53"/>
    </row>
    <row r="1635">
      <c r="A1635" s="49">
        <v>45037.813568425925</v>
      </c>
      <c r="B1635" s="50">
        <v>45037.9385446527</v>
      </c>
      <c r="C1635" s="51">
        <v>1.039</v>
      </c>
      <c r="D1635" s="51">
        <v>66.0</v>
      </c>
      <c r="E1635" s="52" t="s">
        <v>25</v>
      </c>
      <c r="F1635" s="52" t="s">
        <v>26</v>
      </c>
      <c r="G1635" s="53"/>
    </row>
    <row r="1636">
      <c r="A1636" s="49">
        <v>45037.82400559028</v>
      </c>
      <c r="B1636" s="50">
        <v>45037.9489756481</v>
      </c>
      <c r="C1636" s="51">
        <v>1.039</v>
      </c>
      <c r="D1636" s="51">
        <v>66.0</v>
      </c>
      <c r="E1636" s="52" t="s">
        <v>25</v>
      </c>
      <c r="F1636" s="52" t="s">
        <v>26</v>
      </c>
      <c r="G1636" s="53"/>
    </row>
    <row r="1637">
      <c r="A1637" s="49">
        <v>45037.834420115745</v>
      </c>
      <c r="B1637" s="50">
        <v>45037.9593958217</v>
      </c>
      <c r="C1637" s="51">
        <v>1.039</v>
      </c>
      <c r="D1637" s="51">
        <v>67.0</v>
      </c>
      <c r="E1637" s="52" t="s">
        <v>25</v>
      </c>
      <c r="F1637" s="52" t="s">
        <v>26</v>
      </c>
      <c r="G1637" s="53"/>
    </row>
    <row r="1638">
      <c r="A1638" s="49">
        <v>45037.84485388889</v>
      </c>
      <c r="B1638" s="50">
        <v>45037.9698286226</v>
      </c>
      <c r="C1638" s="51">
        <v>1.039</v>
      </c>
      <c r="D1638" s="51">
        <v>66.0</v>
      </c>
      <c r="E1638" s="52" t="s">
        <v>25</v>
      </c>
      <c r="F1638" s="52" t="s">
        <v>26</v>
      </c>
      <c r="G1638" s="53"/>
    </row>
    <row r="1639">
      <c r="A1639" s="49">
        <v>45037.85527136574</v>
      </c>
      <c r="B1639" s="50">
        <v>45037.9802499652</v>
      </c>
      <c r="C1639" s="51">
        <v>1.039</v>
      </c>
      <c r="D1639" s="51">
        <v>66.0</v>
      </c>
      <c r="E1639" s="52" t="s">
        <v>25</v>
      </c>
      <c r="F1639" s="52" t="s">
        <v>26</v>
      </c>
      <c r="G1639" s="53"/>
    </row>
    <row r="1640">
      <c r="A1640" s="49">
        <v>45037.86569337963</v>
      </c>
      <c r="B1640" s="50">
        <v>45037.9906699768</v>
      </c>
      <c r="C1640" s="51">
        <v>1.039</v>
      </c>
      <c r="D1640" s="51">
        <v>67.0</v>
      </c>
      <c r="E1640" s="52" t="s">
        <v>25</v>
      </c>
      <c r="F1640" s="52" t="s">
        <v>26</v>
      </c>
      <c r="G1640" s="53"/>
    </row>
    <row r="1641">
      <c r="A1641" s="49">
        <v>45037.87611599537</v>
      </c>
      <c r="B1641" s="50">
        <v>45038.0010901388</v>
      </c>
      <c r="C1641" s="51">
        <v>1.038</v>
      </c>
      <c r="D1641" s="51">
        <v>67.0</v>
      </c>
      <c r="E1641" s="52" t="s">
        <v>25</v>
      </c>
      <c r="F1641" s="52" t="s">
        <v>26</v>
      </c>
      <c r="G1641" s="53"/>
    </row>
    <row r="1642">
      <c r="A1642" s="49">
        <v>45037.886540127314</v>
      </c>
      <c r="B1642" s="50">
        <v>45038.0115117361</v>
      </c>
      <c r="C1642" s="51">
        <v>1.039</v>
      </c>
      <c r="D1642" s="51">
        <v>66.0</v>
      </c>
      <c r="E1642" s="52" t="s">
        <v>25</v>
      </c>
      <c r="F1642" s="52" t="s">
        <v>26</v>
      </c>
      <c r="G1642" s="53"/>
    </row>
    <row r="1643">
      <c r="A1643" s="49">
        <v>45037.89696096064</v>
      </c>
      <c r="B1643" s="50">
        <v>45038.0219337037</v>
      </c>
      <c r="C1643" s="51">
        <v>1.038</v>
      </c>
      <c r="D1643" s="51">
        <v>67.0</v>
      </c>
      <c r="E1643" s="52" t="s">
        <v>25</v>
      </c>
      <c r="F1643" s="52" t="s">
        <v>26</v>
      </c>
      <c r="G1643" s="53"/>
    </row>
    <row r="1644">
      <c r="A1644" s="49">
        <v>45037.90737752315</v>
      </c>
      <c r="B1644" s="50">
        <v>45038.0323555902</v>
      </c>
      <c r="C1644" s="51">
        <v>1.038</v>
      </c>
      <c r="D1644" s="51">
        <v>67.0</v>
      </c>
      <c r="E1644" s="52" t="s">
        <v>25</v>
      </c>
      <c r="F1644" s="52" t="s">
        <v>26</v>
      </c>
      <c r="G1644" s="53"/>
    </row>
    <row r="1645">
      <c r="A1645" s="49">
        <v>45037.91781490741</v>
      </c>
      <c r="B1645" s="50">
        <v>45038.0427889351</v>
      </c>
      <c r="C1645" s="51">
        <v>1.038</v>
      </c>
      <c r="D1645" s="51">
        <v>66.0</v>
      </c>
      <c r="E1645" s="52" t="s">
        <v>25</v>
      </c>
      <c r="F1645" s="52" t="s">
        <v>26</v>
      </c>
      <c r="G1645" s="53"/>
    </row>
    <row r="1646">
      <c r="A1646" s="49">
        <v>45037.92827657408</v>
      </c>
      <c r="B1646" s="50">
        <v>45038.0532573379</v>
      </c>
      <c r="C1646" s="51">
        <v>1.038</v>
      </c>
      <c r="D1646" s="51">
        <v>67.0</v>
      </c>
      <c r="E1646" s="52" t="s">
        <v>25</v>
      </c>
      <c r="F1646" s="52" t="s">
        <v>26</v>
      </c>
      <c r="G1646" s="53"/>
    </row>
    <row r="1647">
      <c r="A1647" s="49">
        <v>45037.938694895834</v>
      </c>
      <c r="B1647" s="50">
        <v>45038.0636786111</v>
      </c>
      <c r="C1647" s="51">
        <v>1.038</v>
      </c>
      <c r="D1647" s="51">
        <v>67.0</v>
      </c>
      <c r="E1647" s="52" t="s">
        <v>25</v>
      </c>
      <c r="F1647" s="52" t="s">
        <v>26</v>
      </c>
      <c r="G1647" s="53"/>
    </row>
    <row r="1648">
      <c r="A1648" s="49">
        <v>45037.949147604166</v>
      </c>
      <c r="B1648" s="50">
        <v>45038.0741112268</v>
      </c>
      <c r="C1648" s="51">
        <v>1.038</v>
      </c>
      <c r="D1648" s="51">
        <v>67.0</v>
      </c>
      <c r="E1648" s="52" t="s">
        <v>25</v>
      </c>
      <c r="F1648" s="52" t="s">
        <v>26</v>
      </c>
      <c r="G1648" s="53"/>
    </row>
    <row r="1649">
      <c r="A1649" s="49">
        <v>45037.95956851852</v>
      </c>
      <c r="B1649" s="50">
        <v>45038.0845439814</v>
      </c>
      <c r="C1649" s="51">
        <v>1.038</v>
      </c>
      <c r="D1649" s="51">
        <v>67.0</v>
      </c>
      <c r="E1649" s="52" t="s">
        <v>25</v>
      </c>
      <c r="F1649" s="52" t="s">
        <v>26</v>
      </c>
      <c r="G1649" s="53"/>
    </row>
    <row r="1650">
      <c r="A1650" s="49">
        <v>45037.969990196754</v>
      </c>
      <c r="B1650" s="50">
        <v>45038.094965706</v>
      </c>
      <c r="C1650" s="51">
        <v>1.038</v>
      </c>
      <c r="D1650" s="51">
        <v>66.0</v>
      </c>
      <c r="E1650" s="52" t="s">
        <v>25</v>
      </c>
      <c r="F1650" s="52" t="s">
        <v>26</v>
      </c>
      <c r="G1650" s="53"/>
    </row>
    <row r="1651">
      <c r="A1651" s="49">
        <v>45037.980418113424</v>
      </c>
      <c r="B1651" s="50">
        <v>45038.1053981018</v>
      </c>
      <c r="C1651" s="51">
        <v>1.038</v>
      </c>
      <c r="D1651" s="51">
        <v>67.0</v>
      </c>
      <c r="E1651" s="52" t="s">
        <v>25</v>
      </c>
      <c r="F1651" s="52" t="s">
        <v>26</v>
      </c>
      <c r="G1651" s="53"/>
    </row>
    <row r="1652">
      <c r="A1652" s="49">
        <v>45037.9908337963</v>
      </c>
      <c r="B1652" s="50">
        <v>45038.1158173726</v>
      </c>
      <c r="C1652" s="51">
        <v>1.038</v>
      </c>
      <c r="D1652" s="51">
        <v>66.0</v>
      </c>
      <c r="E1652" s="52" t="s">
        <v>25</v>
      </c>
      <c r="F1652" s="52" t="s">
        <v>26</v>
      </c>
      <c r="G1652" s="53"/>
    </row>
    <row r="1653">
      <c r="A1653" s="49">
        <v>45038.0012761574</v>
      </c>
      <c r="B1653" s="50">
        <v>45038.1262512731</v>
      </c>
      <c r="C1653" s="51">
        <v>1.038</v>
      </c>
      <c r="D1653" s="51">
        <v>66.0</v>
      </c>
      <c r="E1653" s="52" t="s">
        <v>25</v>
      </c>
      <c r="F1653" s="52" t="s">
        <v>26</v>
      </c>
      <c r="G1653" s="53"/>
    </row>
    <row r="1654">
      <c r="A1654" s="49">
        <v>45038.01172061343</v>
      </c>
      <c r="B1654" s="50">
        <v>45038.136694618</v>
      </c>
      <c r="C1654" s="51">
        <v>1.038</v>
      </c>
      <c r="D1654" s="51">
        <v>67.0</v>
      </c>
      <c r="E1654" s="52" t="s">
        <v>25</v>
      </c>
      <c r="F1654" s="52" t="s">
        <v>26</v>
      </c>
      <c r="G1654" s="53"/>
    </row>
    <row r="1655">
      <c r="A1655" s="49">
        <v>45038.022136423606</v>
      </c>
      <c r="B1655" s="50">
        <v>45038.1471155208</v>
      </c>
      <c r="C1655" s="51">
        <v>1.038</v>
      </c>
      <c r="D1655" s="51">
        <v>67.0</v>
      </c>
      <c r="E1655" s="52" t="s">
        <v>25</v>
      </c>
      <c r="F1655" s="52" t="s">
        <v>26</v>
      </c>
      <c r="G1655" s="53"/>
    </row>
    <row r="1656">
      <c r="A1656" s="49">
        <v>45038.03256361111</v>
      </c>
      <c r="B1656" s="50">
        <v>45038.1575358564</v>
      </c>
      <c r="C1656" s="51">
        <v>1.038</v>
      </c>
      <c r="D1656" s="51">
        <v>67.0</v>
      </c>
      <c r="E1656" s="52" t="s">
        <v>25</v>
      </c>
      <c r="F1656" s="52" t="s">
        <v>26</v>
      </c>
      <c r="G1656" s="53"/>
    </row>
    <row r="1657">
      <c r="A1657" s="49">
        <v>45038.04299074074</v>
      </c>
      <c r="B1657" s="50">
        <v>45038.1679567476</v>
      </c>
      <c r="C1657" s="51">
        <v>1.038</v>
      </c>
      <c r="D1657" s="51">
        <v>67.0</v>
      </c>
      <c r="E1657" s="52" t="s">
        <v>25</v>
      </c>
      <c r="F1657" s="52" t="s">
        <v>26</v>
      </c>
      <c r="G1657" s="53"/>
    </row>
    <row r="1658">
      <c r="A1658" s="49">
        <v>45038.05342077547</v>
      </c>
      <c r="B1658" s="50">
        <v>45038.1783898958</v>
      </c>
      <c r="C1658" s="51">
        <v>1.038</v>
      </c>
      <c r="D1658" s="51">
        <v>67.0</v>
      </c>
      <c r="E1658" s="52" t="s">
        <v>25</v>
      </c>
      <c r="F1658" s="52" t="s">
        <v>26</v>
      </c>
      <c r="G1658" s="53"/>
    </row>
    <row r="1659">
      <c r="A1659" s="49">
        <v>45038.063849363425</v>
      </c>
      <c r="B1659" s="50">
        <v>45038.188825162</v>
      </c>
      <c r="C1659" s="51">
        <v>1.038</v>
      </c>
      <c r="D1659" s="51">
        <v>67.0</v>
      </c>
      <c r="E1659" s="52" t="s">
        <v>25</v>
      </c>
      <c r="F1659" s="52" t="s">
        <v>26</v>
      </c>
      <c r="G1659" s="53"/>
    </row>
    <row r="1660">
      <c r="A1660" s="49">
        <v>45038.07429474537</v>
      </c>
      <c r="B1660" s="50">
        <v>45038.1992599884</v>
      </c>
      <c r="C1660" s="51">
        <v>1.038</v>
      </c>
      <c r="D1660" s="51">
        <v>67.0</v>
      </c>
      <c r="E1660" s="52" t="s">
        <v>25</v>
      </c>
      <c r="F1660" s="52" t="s">
        <v>26</v>
      </c>
      <c r="G1660" s="53"/>
    </row>
    <row r="1661">
      <c r="A1661" s="49">
        <v>45038.084716446756</v>
      </c>
      <c r="B1661" s="50">
        <v>45038.2096918981</v>
      </c>
      <c r="C1661" s="51">
        <v>1.038</v>
      </c>
      <c r="D1661" s="51">
        <v>67.0</v>
      </c>
      <c r="E1661" s="52" t="s">
        <v>25</v>
      </c>
      <c r="F1661" s="52" t="s">
        <v>26</v>
      </c>
      <c r="G1661" s="53"/>
    </row>
    <row r="1662">
      <c r="A1662" s="49">
        <v>45038.095143495375</v>
      </c>
      <c r="B1662" s="50">
        <v>45038.2201148611</v>
      </c>
      <c r="C1662" s="51">
        <v>1.038</v>
      </c>
      <c r="D1662" s="51">
        <v>67.0</v>
      </c>
      <c r="E1662" s="52" t="s">
        <v>25</v>
      </c>
      <c r="F1662" s="52" t="s">
        <v>26</v>
      </c>
      <c r="G1662" s="53"/>
    </row>
    <row r="1663">
      <c r="A1663" s="49">
        <v>45038.10556167824</v>
      </c>
      <c r="B1663" s="50">
        <v>45038.2305359606</v>
      </c>
      <c r="C1663" s="51">
        <v>1.038</v>
      </c>
      <c r="D1663" s="51">
        <v>67.0</v>
      </c>
      <c r="E1663" s="52" t="s">
        <v>25</v>
      </c>
      <c r="F1663" s="52" t="s">
        <v>26</v>
      </c>
      <c r="G1663" s="53"/>
    </row>
    <row r="1664">
      <c r="A1664" s="49">
        <v>45038.115978877315</v>
      </c>
      <c r="B1664" s="50">
        <v>45038.2409584143</v>
      </c>
      <c r="C1664" s="51">
        <v>1.038</v>
      </c>
      <c r="D1664" s="51">
        <v>67.0</v>
      </c>
      <c r="E1664" s="52" t="s">
        <v>25</v>
      </c>
      <c r="F1664" s="52" t="s">
        <v>26</v>
      </c>
      <c r="G1664" s="53"/>
    </row>
    <row r="1665">
      <c r="A1665" s="49">
        <v>45038.126400312496</v>
      </c>
      <c r="B1665" s="50">
        <v>45038.2513800347</v>
      </c>
      <c r="C1665" s="51">
        <v>1.038</v>
      </c>
      <c r="D1665" s="51">
        <v>67.0</v>
      </c>
      <c r="E1665" s="52" t="s">
        <v>25</v>
      </c>
      <c r="F1665" s="52" t="s">
        <v>26</v>
      </c>
      <c r="G1665" s="53"/>
    </row>
    <row r="1666">
      <c r="A1666" s="49">
        <v>45038.13682251157</v>
      </c>
      <c r="B1666" s="50">
        <v>45038.2618011574</v>
      </c>
      <c r="C1666" s="51">
        <v>1.038</v>
      </c>
      <c r="D1666" s="51">
        <v>67.0</v>
      </c>
      <c r="E1666" s="52" t="s">
        <v>25</v>
      </c>
      <c r="F1666" s="52" t="s">
        <v>26</v>
      </c>
      <c r="G1666" s="53"/>
    </row>
    <row r="1667">
      <c r="A1667" s="49">
        <v>45038.147244224536</v>
      </c>
      <c r="B1667" s="50">
        <v>45038.2722236921</v>
      </c>
      <c r="C1667" s="51">
        <v>1.038</v>
      </c>
      <c r="D1667" s="51">
        <v>67.0</v>
      </c>
      <c r="E1667" s="52" t="s">
        <v>25</v>
      </c>
      <c r="F1667" s="52" t="s">
        <v>26</v>
      </c>
      <c r="G1667" s="53"/>
    </row>
    <row r="1668">
      <c r="A1668" s="49">
        <v>45038.15766728009</v>
      </c>
      <c r="B1668" s="50">
        <v>45038.2826455208</v>
      </c>
      <c r="C1668" s="51">
        <v>1.038</v>
      </c>
      <c r="D1668" s="51">
        <v>67.0</v>
      </c>
      <c r="E1668" s="52" t="s">
        <v>25</v>
      </c>
      <c r="F1668" s="52" t="s">
        <v>26</v>
      </c>
      <c r="G1668" s="53"/>
    </row>
    <row r="1669">
      <c r="A1669" s="49">
        <v>45038.16809464121</v>
      </c>
      <c r="B1669" s="50">
        <v>45038.2930679513</v>
      </c>
      <c r="C1669" s="51">
        <v>1.038</v>
      </c>
      <c r="D1669" s="51">
        <v>67.0</v>
      </c>
      <c r="E1669" s="52" t="s">
        <v>25</v>
      </c>
      <c r="F1669" s="52" t="s">
        <v>26</v>
      </c>
      <c r="G1669" s="53"/>
    </row>
    <row r="1670">
      <c r="A1670" s="49">
        <v>45038.17853040509</v>
      </c>
      <c r="B1670" s="50">
        <v>45038.3035012037</v>
      </c>
      <c r="C1670" s="51">
        <v>1.038</v>
      </c>
      <c r="D1670" s="51">
        <v>67.0</v>
      </c>
      <c r="E1670" s="52" t="s">
        <v>25</v>
      </c>
      <c r="F1670" s="52" t="s">
        <v>26</v>
      </c>
      <c r="G1670" s="53"/>
    </row>
    <row r="1671">
      <c r="A1671" s="49">
        <v>45038.188948888885</v>
      </c>
      <c r="B1671" s="50">
        <v>45038.3139234953</v>
      </c>
      <c r="C1671" s="51">
        <v>1.038</v>
      </c>
      <c r="D1671" s="51">
        <v>67.0</v>
      </c>
      <c r="E1671" s="52" t="s">
        <v>25</v>
      </c>
      <c r="F1671" s="52" t="s">
        <v>26</v>
      </c>
      <c r="G1671" s="53"/>
    </row>
    <row r="1672">
      <c r="A1672" s="49">
        <v>45038.199363067135</v>
      </c>
      <c r="B1672" s="50">
        <v>45038.3243453588</v>
      </c>
      <c r="C1672" s="51">
        <v>1.038</v>
      </c>
      <c r="D1672" s="51">
        <v>67.0</v>
      </c>
      <c r="E1672" s="52" t="s">
        <v>25</v>
      </c>
      <c r="F1672" s="52" t="s">
        <v>26</v>
      </c>
      <c r="G1672" s="53"/>
    </row>
    <row r="1673">
      <c r="A1673" s="49">
        <v>45038.20979684028</v>
      </c>
      <c r="B1673" s="50">
        <v>45038.3347658449</v>
      </c>
      <c r="C1673" s="51">
        <v>1.038</v>
      </c>
      <c r="D1673" s="51">
        <v>67.0</v>
      </c>
      <c r="E1673" s="52" t="s">
        <v>25</v>
      </c>
      <c r="F1673" s="52" t="s">
        <v>26</v>
      </c>
      <c r="G1673" s="53"/>
    </row>
    <row r="1674">
      <c r="A1674" s="49">
        <v>45038.22022960648</v>
      </c>
      <c r="B1674" s="50">
        <v>45038.3451981365</v>
      </c>
      <c r="C1674" s="51">
        <v>1.038</v>
      </c>
      <c r="D1674" s="51">
        <v>67.0</v>
      </c>
      <c r="E1674" s="52" t="s">
        <v>25</v>
      </c>
      <c r="F1674" s="52" t="s">
        <v>26</v>
      </c>
      <c r="G1674" s="53"/>
    </row>
    <row r="1675">
      <c r="A1675" s="49">
        <v>45038.23065010417</v>
      </c>
      <c r="B1675" s="50">
        <v>45038.355618287</v>
      </c>
      <c r="C1675" s="51">
        <v>1.038</v>
      </c>
      <c r="D1675" s="51">
        <v>67.0</v>
      </c>
      <c r="E1675" s="52" t="s">
        <v>25</v>
      </c>
      <c r="F1675" s="52" t="s">
        <v>26</v>
      </c>
      <c r="G1675" s="53"/>
    </row>
    <row r="1676">
      <c r="A1676" s="49">
        <v>45038.24106747685</v>
      </c>
      <c r="B1676" s="50">
        <v>45038.3660393518</v>
      </c>
      <c r="C1676" s="51">
        <v>1.038</v>
      </c>
      <c r="D1676" s="51">
        <v>67.0</v>
      </c>
      <c r="E1676" s="52" t="s">
        <v>25</v>
      </c>
      <c r="F1676" s="52" t="s">
        <v>26</v>
      </c>
      <c r="G1676" s="53"/>
    </row>
    <row r="1677">
      <c r="A1677" s="49">
        <v>45038.251482754626</v>
      </c>
      <c r="B1677" s="50">
        <v>45038.3764594328</v>
      </c>
      <c r="C1677" s="51">
        <v>1.038</v>
      </c>
      <c r="D1677" s="51">
        <v>67.0</v>
      </c>
      <c r="E1677" s="52" t="s">
        <v>25</v>
      </c>
      <c r="F1677" s="52" t="s">
        <v>26</v>
      </c>
      <c r="G1677" s="53"/>
    </row>
    <row r="1678">
      <c r="A1678" s="49">
        <v>45038.26191265046</v>
      </c>
      <c r="B1678" s="50">
        <v>45038.3868800115</v>
      </c>
      <c r="C1678" s="51">
        <v>1.038</v>
      </c>
      <c r="D1678" s="51">
        <v>67.0</v>
      </c>
      <c r="E1678" s="52" t="s">
        <v>25</v>
      </c>
      <c r="F1678" s="52" t="s">
        <v>26</v>
      </c>
      <c r="G1678" s="53"/>
    </row>
    <row r="1679">
      <c r="A1679" s="49">
        <v>45038.27233046296</v>
      </c>
      <c r="B1679" s="50">
        <v>45038.397300706</v>
      </c>
      <c r="C1679" s="51">
        <v>1.038</v>
      </c>
      <c r="D1679" s="51">
        <v>67.0</v>
      </c>
      <c r="E1679" s="52" t="s">
        <v>25</v>
      </c>
      <c r="F1679" s="52" t="s">
        <v>26</v>
      </c>
      <c r="G1679" s="53"/>
    </row>
    <row r="1680">
      <c r="A1680" s="49">
        <v>45038.28277457176</v>
      </c>
      <c r="B1680" s="50">
        <v>45038.4077460995</v>
      </c>
      <c r="C1680" s="51">
        <v>1.038</v>
      </c>
      <c r="D1680" s="51">
        <v>67.0</v>
      </c>
      <c r="E1680" s="52" t="s">
        <v>25</v>
      </c>
      <c r="F1680" s="52" t="s">
        <v>26</v>
      </c>
      <c r="G1680" s="53"/>
    </row>
    <row r="1681">
      <c r="A1681" s="49">
        <v>45038.29319697917</v>
      </c>
      <c r="B1681" s="50">
        <v>45038.4181681018</v>
      </c>
      <c r="C1681" s="51">
        <v>1.038</v>
      </c>
      <c r="D1681" s="51">
        <v>67.0</v>
      </c>
      <c r="E1681" s="52" t="s">
        <v>25</v>
      </c>
      <c r="F1681" s="52" t="s">
        <v>26</v>
      </c>
      <c r="G1681" s="53"/>
    </row>
    <row r="1682">
      <c r="A1682" s="49">
        <v>45038.30362013889</v>
      </c>
      <c r="B1682" s="50">
        <v>45038.4285892708</v>
      </c>
      <c r="C1682" s="51">
        <v>1.038</v>
      </c>
      <c r="D1682" s="51">
        <v>67.0</v>
      </c>
      <c r="E1682" s="52" t="s">
        <v>25</v>
      </c>
      <c r="F1682" s="52" t="s">
        <v>26</v>
      </c>
      <c r="G1682" s="53"/>
    </row>
    <row r="1683">
      <c r="A1683" s="49">
        <v>45038.31404271991</v>
      </c>
      <c r="B1683" s="50">
        <v>45038.4390093981</v>
      </c>
      <c r="C1683" s="51">
        <v>1.038</v>
      </c>
      <c r="D1683" s="51">
        <v>67.0</v>
      </c>
      <c r="E1683" s="52" t="s">
        <v>25</v>
      </c>
      <c r="F1683" s="52" t="s">
        <v>26</v>
      </c>
      <c r="G1683" s="53"/>
    </row>
    <row r="1684">
      <c r="A1684" s="49">
        <v>45038.32449805556</v>
      </c>
      <c r="B1684" s="50">
        <v>45038.4494650694</v>
      </c>
      <c r="C1684" s="51">
        <v>1.038</v>
      </c>
      <c r="D1684" s="51">
        <v>67.0</v>
      </c>
      <c r="E1684" s="52" t="s">
        <v>25</v>
      </c>
      <c r="F1684" s="52" t="s">
        <v>26</v>
      </c>
      <c r="G1684" s="53"/>
    </row>
    <row r="1685">
      <c r="A1685" s="49">
        <v>45038.33493914352</v>
      </c>
      <c r="B1685" s="50">
        <v>45038.4599084722</v>
      </c>
      <c r="C1685" s="51">
        <v>1.038</v>
      </c>
      <c r="D1685" s="51">
        <v>67.0</v>
      </c>
      <c r="E1685" s="52" t="s">
        <v>25</v>
      </c>
      <c r="F1685" s="52" t="s">
        <v>26</v>
      </c>
      <c r="G1685" s="53"/>
    </row>
    <row r="1686">
      <c r="A1686" s="49">
        <v>45038.345358935185</v>
      </c>
      <c r="B1686" s="50">
        <v>45038.470330162</v>
      </c>
      <c r="C1686" s="51">
        <v>1.038</v>
      </c>
      <c r="D1686" s="51">
        <v>67.0</v>
      </c>
      <c r="E1686" s="52" t="s">
        <v>25</v>
      </c>
      <c r="F1686" s="52" t="s">
        <v>26</v>
      </c>
      <c r="G1686" s="53"/>
    </row>
    <row r="1687">
      <c r="A1687" s="49">
        <v>45038.35576961805</v>
      </c>
      <c r="B1687" s="50">
        <v>45038.4807511458</v>
      </c>
      <c r="C1687" s="51">
        <v>1.038</v>
      </c>
      <c r="D1687" s="51">
        <v>67.0</v>
      </c>
      <c r="E1687" s="52" t="s">
        <v>25</v>
      </c>
      <c r="F1687" s="52" t="s">
        <v>26</v>
      </c>
      <c r="G1687" s="53"/>
    </row>
    <row r="1688">
      <c r="A1688" s="49">
        <v>45038.36619813657</v>
      </c>
      <c r="B1688" s="50">
        <v>45038.4911724305</v>
      </c>
      <c r="C1688" s="51">
        <v>1.038</v>
      </c>
      <c r="D1688" s="51">
        <v>67.0</v>
      </c>
      <c r="E1688" s="52" t="s">
        <v>25</v>
      </c>
      <c r="F1688" s="52" t="s">
        <v>26</v>
      </c>
      <c r="G1688" s="53"/>
    </row>
    <row r="1689">
      <c r="A1689" s="49">
        <v>45038.37662542824</v>
      </c>
      <c r="B1689" s="50">
        <v>45038.5015939236</v>
      </c>
      <c r="C1689" s="51">
        <v>1.038</v>
      </c>
      <c r="D1689" s="51">
        <v>67.0</v>
      </c>
      <c r="E1689" s="52" t="s">
        <v>25</v>
      </c>
      <c r="F1689" s="52" t="s">
        <v>26</v>
      </c>
      <c r="G1689" s="53"/>
    </row>
    <row r="1690">
      <c r="A1690" s="49">
        <v>45038.38703550926</v>
      </c>
      <c r="B1690" s="50">
        <v>45038.5120153703</v>
      </c>
      <c r="C1690" s="51">
        <v>1.038</v>
      </c>
      <c r="D1690" s="51">
        <v>67.0</v>
      </c>
      <c r="E1690" s="52" t="s">
        <v>25</v>
      </c>
      <c r="F1690" s="52" t="s">
        <v>26</v>
      </c>
      <c r="G1690" s="53"/>
    </row>
    <row r="1691">
      <c r="A1691" s="49">
        <v>45038.39746523148</v>
      </c>
      <c r="B1691" s="50">
        <v>45038.5224370486</v>
      </c>
      <c r="C1691" s="51">
        <v>1.038</v>
      </c>
      <c r="D1691" s="51">
        <v>67.0</v>
      </c>
      <c r="E1691" s="52" t="s">
        <v>25</v>
      </c>
      <c r="F1691" s="52" t="s">
        <v>26</v>
      </c>
      <c r="G1691" s="53"/>
    </row>
    <row r="1692">
      <c r="A1692" s="49">
        <v>45038.407896944445</v>
      </c>
      <c r="B1692" s="50">
        <v>45038.5328713078</v>
      </c>
      <c r="C1692" s="51">
        <v>1.038</v>
      </c>
      <c r="D1692" s="51">
        <v>67.0</v>
      </c>
      <c r="E1692" s="52" t="s">
        <v>25</v>
      </c>
      <c r="F1692" s="52" t="s">
        <v>26</v>
      </c>
      <c r="G1692" s="53"/>
    </row>
    <row r="1693">
      <c r="A1693" s="49">
        <v>45038.41831966436</v>
      </c>
      <c r="B1693" s="50">
        <v>45038.5432912847</v>
      </c>
      <c r="C1693" s="51">
        <v>1.038</v>
      </c>
      <c r="D1693" s="51">
        <v>67.0</v>
      </c>
      <c r="E1693" s="52" t="s">
        <v>25</v>
      </c>
      <c r="F1693" s="52" t="s">
        <v>26</v>
      </c>
      <c r="G1693" s="53"/>
    </row>
    <row r="1694">
      <c r="A1694" s="49">
        <v>45038.42874541666</v>
      </c>
      <c r="B1694" s="50">
        <v>45038.5537123263</v>
      </c>
      <c r="C1694" s="51">
        <v>1.038</v>
      </c>
      <c r="D1694" s="51">
        <v>67.0</v>
      </c>
      <c r="E1694" s="52" t="s">
        <v>25</v>
      </c>
      <c r="F1694" s="52" t="s">
        <v>26</v>
      </c>
      <c r="G1694" s="53"/>
    </row>
    <row r="1695">
      <c r="A1695" s="49">
        <v>45038.439178472225</v>
      </c>
      <c r="B1695" s="50">
        <v>45038.5641551388</v>
      </c>
      <c r="C1695" s="51">
        <v>1.038</v>
      </c>
      <c r="D1695" s="51">
        <v>67.0</v>
      </c>
      <c r="E1695" s="52" t="s">
        <v>25</v>
      </c>
      <c r="F1695" s="52" t="s">
        <v>26</v>
      </c>
      <c r="G1695" s="53"/>
    </row>
    <row r="1696">
      <c r="A1696" s="49">
        <v>45038.449615729165</v>
      </c>
      <c r="B1696" s="50">
        <v>45038.5745882754</v>
      </c>
      <c r="C1696" s="51">
        <v>1.038</v>
      </c>
      <c r="D1696" s="51">
        <v>67.0</v>
      </c>
      <c r="E1696" s="52" t="s">
        <v>25</v>
      </c>
      <c r="F1696" s="52" t="s">
        <v>26</v>
      </c>
      <c r="G1696" s="53"/>
    </row>
    <row r="1697">
      <c r="A1697" s="49">
        <v>45038.46004027777</v>
      </c>
      <c r="B1697" s="50">
        <v>45038.58500978</v>
      </c>
      <c r="C1697" s="51">
        <v>1.037</v>
      </c>
      <c r="D1697" s="51">
        <v>67.0</v>
      </c>
      <c r="E1697" s="52" t="s">
        <v>25</v>
      </c>
      <c r="F1697" s="52" t="s">
        <v>26</v>
      </c>
      <c r="G1697" s="53"/>
    </row>
    <row r="1698">
      <c r="A1698" s="49">
        <v>45038.4704616088</v>
      </c>
      <c r="B1698" s="50">
        <v>45038.5954312152</v>
      </c>
      <c r="C1698" s="51">
        <v>1.037</v>
      </c>
      <c r="D1698" s="51">
        <v>67.0</v>
      </c>
      <c r="E1698" s="52" t="s">
        <v>25</v>
      </c>
      <c r="F1698" s="52" t="s">
        <v>26</v>
      </c>
      <c r="G1698" s="53"/>
    </row>
    <row r="1699">
      <c r="A1699" s="49">
        <v>45038.48088469908</v>
      </c>
      <c r="B1699" s="50">
        <v>45038.6058514467</v>
      </c>
      <c r="C1699" s="51">
        <v>1.037</v>
      </c>
      <c r="D1699" s="51">
        <v>67.0</v>
      </c>
      <c r="E1699" s="52" t="s">
        <v>25</v>
      </c>
      <c r="F1699" s="52" t="s">
        <v>26</v>
      </c>
      <c r="G1699" s="53"/>
    </row>
    <row r="1700">
      <c r="A1700" s="49">
        <v>45038.491303449075</v>
      </c>
      <c r="B1700" s="50">
        <v>45038.6162717708</v>
      </c>
      <c r="C1700" s="51">
        <v>1.038</v>
      </c>
      <c r="D1700" s="51">
        <v>67.0</v>
      </c>
      <c r="E1700" s="52" t="s">
        <v>25</v>
      </c>
      <c r="F1700" s="52" t="s">
        <v>26</v>
      </c>
      <c r="G1700" s="53"/>
    </row>
    <row r="1701">
      <c r="A1701" s="49">
        <v>45038.50171496528</v>
      </c>
      <c r="B1701" s="50">
        <v>45038.6266940856</v>
      </c>
      <c r="C1701" s="51">
        <v>1.038</v>
      </c>
      <c r="D1701" s="51">
        <v>67.0</v>
      </c>
      <c r="E1701" s="52" t="s">
        <v>25</v>
      </c>
      <c r="F1701" s="52" t="s">
        <v>26</v>
      </c>
      <c r="G1701" s="53"/>
    </row>
    <row r="1702">
      <c r="A1702" s="49">
        <v>45038.51218236111</v>
      </c>
      <c r="B1702" s="50">
        <v>45038.6371492824</v>
      </c>
      <c r="C1702" s="51">
        <v>1.038</v>
      </c>
      <c r="D1702" s="51">
        <v>67.0</v>
      </c>
      <c r="E1702" s="52" t="s">
        <v>25</v>
      </c>
      <c r="F1702" s="52" t="s">
        <v>26</v>
      </c>
      <c r="G1702" s="53"/>
    </row>
    <row r="1703">
      <c r="A1703" s="49">
        <v>45038.52259525463</v>
      </c>
      <c r="B1703" s="50">
        <v>45038.6475700694</v>
      </c>
      <c r="C1703" s="51">
        <v>1.037</v>
      </c>
      <c r="D1703" s="51">
        <v>67.0</v>
      </c>
      <c r="E1703" s="52" t="s">
        <v>25</v>
      </c>
      <c r="F1703" s="52" t="s">
        <v>26</v>
      </c>
      <c r="G1703" s="53"/>
    </row>
    <row r="1704">
      <c r="A1704" s="49">
        <v>45038.53301782407</v>
      </c>
      <c r="B1704" s="50">
        <v>45038.6579904513</v>
      </c>
      <c r="C1704" s="51">
        <v>1.037</v>
      </c>
      <c r="D1704" s="51">
        <v>67.0</v>
      </c>
      <c r="E1704" s="52" t="s">
        <v>25</v>
      </c>
      <c r="F1704" s="52" t="s">
        <v>26</v>
      </c>
      <c r="G1704" s="53"/>
    </row>
    <row r="1705">
      <c r="A1705" s="49">
        <v>45038.5434456713</v>
      </c>
      <c r="B1705" s="50">
        <v>45038.6684225694</v>
      </c>
      <c r="C1705" s="51">
        <v>1.037</v>
      </c>
      <c r="D1705" s="51">
        <v>67.0</v>
      </c>
      <c r="E1705" s="52" t="s">
        <v>25</v>
      </c>
      <c r="F1705" s="52" t="s">
        <v>26</v>
      </c>
      <c r="G1705" s="53"/>
    </row>
    <row r="1706">
      <c r="A1706" s="49">
        <v>45038.553874317135</v>
      </c>
      <c r="B1706" s="50">
        <v>45038.6788437384</v>
      </c>
      <c r="C1706" s="51">
        <v>1.038</v>
      </c>
      <c r="D1706" s="51">
        <v>67.0</v>
      </c>
      <c r="E1706" s="52" t="s">
        <v>25</v>
      </c>
      <c r="F1706" s="52" t="s">
        <v>26</v>
      </c>
      <c r="G1706" s="53"/>
    </row>
    <row r="1707">
      <c r="A1707" s="49">
        <v>45038.56429166667</v>
      </c>
      <c r="B1707" s="50">
        <v>45038.6892644907</v>
      </c>
      <c r="C1707" s="51">
        <v>1.038</v>
      </c>
      <c r="D1707" s="51">
        <v>67.0</v>
      </c>
      <c r="E1707" s="52" t="s">
        <v>25</v>
      </c>
      <c r="F1707" s="52" t="s">
        <v>26</v>
      </c>
      <c r="G1707" s="53"/>
    </row>
    <row r="1708">
      <c r="A1708" s="49">
        <v>45038.57470708333</v>
      </c>
      <c r="B1708" s="50">
        <v>45038.6996857175</v>
      </c>
      <c r="C1708" s="51">
        <v>1.037</v>
      </c>
      <c r="D1708" s="51">
        <v>67.0</v>
      </c>
      <c r="E1708" s="52" t="s">
        <v>25</v>
      </c>
      <c r="F1708" s="52" t="s">
        <v>26</v>
      </c>
      <c r="G1708" s="53"/>
    </row>
    <row r="1709">
      <c r="A1709" s="49">
        <v>45038.585137789356</v>
      </c>
      <c r="B1709" s="50">
        <v>45038.7101065972</v>
      </c>
      <c r="C1709" s="51">
        <v>1.037</v>
      </c>
      <c r="D1709" s="51">
        <v>67.0</v>
      </c>
      <c r="E1709" s="52" t="s">
        <v>25</v>
      </c>
      <c r="F1709" s="52" t="s">
        <v>26</v>
      </c>
      <c r="G1709" s="53"/>
    </row>
    <row r="1710">
      <c r="A1710" s="49">
        <v>45038.59556646991</v>
      </c>
      <c r="B1710" s="50">
        <v>45038.7205382523</v>
      </c>
      <c r="C1710" s="51">
        <v>1.037</v>
      </c>
      <c r="D1710" s="51">
        <v>67.0</v>
      </c>
      <c r="E1710" s="52" t="s">
        <v>25</v>
      </c>
      <c r="F1710" s="52" t="s">
        <v>26</v>
      </c>
      <c r="G1710" s="53"/>
    </row>
    <row r="1711">
      <c r="A1711" s="49">
        <v>45038.606018067134</v>
      </c>
      <c r="B1711" s="50">
        <v>45038.7309828009</v>
      </c>
      <c r="C1711" s="51">
        <v>1.037</v>
      </c>
      <c r="D1711" s="51">
        <v>67.0</v>
      </c>
      <c r="E1711" s="52" t="s">
        <v>25</v>
      </c>
      <c r="F1711" s="52" t="s">
        <v>26</v>
      </c>
      <c r="G1711" s="53"/>
    </row>
    <row r="1712">
      <c r="A1712" s="49">
        <v>45038.61642734954</v>
      </c>
      <c r="B1712" s="50">
        <v>45038.7414036921</v>
      </c>
      <c r="C1712" s="51">
        <v>1.037</v>
      </c>
      <c r="D1712" s="51">
        <v>67.0</v>
      </c>
      <c r="E1712" s="52" t="s">
        <v>25</v>
      </c>
      <c r="F1712" s="52" t="s">
        <v>26</v>
      </c>
      <c r="G1712" s="53"/>
    </row>
    <row r="1713">
      <c r="A1713" s="49">
        <v>45038.62686708334</v>
      </c>
      <c r="B1713" s="50">
        <v>45038.7518362037</v>
      </c>
      <c r="C1713" s="51">
        <v>1.037</v>
      </c>
      <c r="D1713" s="51">
        <v>67.0</v>
      </c>
      <c r="E1713" s="52" t="s">
        <v>25</v>
      </c>
      <c r="F1713" s="52" t="s">
        <v>26</v>
      </c>
      <c r="G1713" s="53"/>
    </row>
    <row r="1714">
      <c r="A1714" s="49">
        <v>45038.637292858795</v>
      </c>
      <c r="B1714" s="50">
        <v>45038.7622685416</v>
      </c>
      <c r="C1714" s="51">
        <v>1.037</v>
      </c>
      <c r="D1714" s="51">
        <v>67.0</v>
      </c>
      <c r="E1714" s="52" t="s">
        <v>25</v>
      </c>
      <c r="F1714" s="52" t="s">
        <v>26</v>
      </c>
      <c r="G1714" s="53"/>
    </row>
    <row r="1715">
      <c r="A1715" s="49">
        <v>45038.647724525465</v>
      </c>
      <c r="B1715" s="50">
        <v>45038.7727007639</v>
      </c>
      <c r="C1715" s="51">
        <v>1.037</v>
      </c>
      <c r="D1715" s="51">
        <v>67.0</v>
      </c>
      <c r="E1715" s="52" t="s">
        <v>25</v>
      </c>
      <c r="F1715" s="52" t="s">
        <v>26</v>
      </c>
      <c r="G1715" s="53"/>
    </row>
    <row r="1716">
      <c r="A1716" s="49">
        <v>45038.658193854164</v>
      </c>
      <c r="B1716" s="50">
        <v>45038.7831561574</v>
      </c>
      <c r="C1716" s="51">
        <v>1.037</v>
      </c>
      <c r="D1716" s="51">
        <v>67.0</v>
      </c>
      <c r="E1716" s="52" t="s">
        <v>25</v>
      </c>
      <c r="F1716" s="52" t="s">
        <v>26</v>
      </c>
      <c r="G1716" s="53"/>
    </row>
    <row r="1717">
      <c r="A1717" s="49">
        <v>45038.6686437037</v>
      </c>
      <c r="B1717" s="50">
        <v>45038.7936126736</v>
      </c>
      <c r="C1717" s="51">
        <v>1.037</v>
      </c>
      <c r="D1717" s="51">
        <v>67.0</v>
      </c>
      <c r="E1717" s="52" t="s">
        <v>25</v>
      </c>
      <c r="F1717" s="52" t="s">
        <v>26</v>
      </c>
      <c r="G1717" s="53"/>
    </row>
    <row r="1718">
      <c r="A1718" s="49">
        <v>45038.679062905096</v>
      </c>
      <c r="B1718" s="50">
        <v>45038.8040323263</v>
      </c>
      <c r="C1718" s="51">
        <v>1.037</v>
      </c>
      <c r="D1718" s="51">
        <v>67.0</v>
      </c>
      <c r="E1718" s="52" t="s">
        <v>25</v>
      </c>
      <c r="F1718" s="52" t="s">
        <v>26</v>
      </c>
      <c r="G1718" s="53"/>
    </row>
    <row r="1719">
      <c r="A1719" s="49">
        <v>45038.68948528935</v>
      </c>
      <c r="B1719" s="50">
        <v>45038.8144543634</v>
      </c>
      <c r="C1719" s="51">
        <v>1.037</v>
      </c>
      <c r="D1719" s="51">
        <v>67.0</v>
      </c>
      <c r="E1719" s="52" t="s">
        <v>25</v>
      </c>
      <c r="F1719" s="52" t="s">
        <v>26</v>
      </c>
      <c r="G1719" s="53"/>
    </row>
    <row r="1720">
      <c r="A1720" s="49">
        <v>45038.69994984954</v>
      </c>
      <c r="B1720" s="50">
        <v>45038.8249224189</v>
      </c>
      <c r="C1720" s="51">
        <v>1.037</v>
      </c>
      <c r="D1720" s="51">
        <v>67.0</v>
      </c>
      <c r="E1720" s="52" t="s">
        <v>25</v>
      </c>
      <c r="F1720" s="52" t="s">
        <v>26</v>
      </c>
      <c r="G1720" s="53"/>
    </row>
    <row r="1721">
      <c r="A1721" s="49">
        <v>45038.710368761575</v>
      </c>
      <c r="B1721" s="50">
        <v>45038.8353432754</v>
      </c>
      <c r="C1721" s="51">
        <v>1.037</v>
      </c>
      <c r="D1721" s="51">
        <v>67.0</v>
      </c>
      <c r="E1721" s="52" t="s">
        <v>25</v>
      </c>
      <c r="F1721" s="52" t="s">
        <v>26</v>
      </c>
      <c r="G1721" s="53"/>
    </row>
    <row r="1722">
      <c r="A1722" s="49">
        <v>45038.72082429398</v>
      </c>
      <c r="B1722" s="50">
        <v>45038.8457986111</v>
      </c>
      <c r="C1722" s="51">
        <v>1.037</v>
      </c>
      <c r="D1722" s="51">
        <v>67.0</v>
      </c>
      <c r="E1722" s="52" t="s">
        <v>25</v>
      </c>
      <c r="F1722" s="52" t="s">
        <v>26</v>
      </c>
      <c r="G1722" s="53"/>
    </row>
    <row r="1723">
      <c r="A1723" s="49">
        <v>45038.7312478588</v>
      </c>
      <c r="B1723" s="50">
        <v>45038.8562193171</v>
      </c>
      <c r="C1723" s="51">
        <v>1.037</v>
      </c>
      <c r="D1723" s="51">
        <v>67.0</v>
      </c>
      <c r="E1723" s="52" t="s">
        <v>25</v>
      </c>
      <c r="F1723" s="52" t="s">
        <v>26</v>
      </c>
      <c r="G1723" s="53"/>
    </row>
    <row r="1724">
      <c r="A1724" s="49">
        <v>45038.74166946759</v>
      </c>
      <c r="B1724" s="50">
        <v>45038.866641875</v>
      </c>
      <c r="C1724" s="51">
        <v>1.037</v>
      </c>
      <c r="D1724" s="51">
        <v>67.0</v>
      </c>
      <c r="E1724" s="52" t="s">
        <v>25</v>
      </c>
      <c r="F1724" s="52" t="s">
        <v>26</v>
      </c>
      <c r="G1724" s="53"/>
    </row>
    <row r="1725">
      <c r="A1725" s="49">
        <v>45038.75209863426</v>
      </c>
      <c r="B1725" s="50">
        <v>45038.8770741088</v>
      </c>
      <c r="C1725" s="51">
        <v>1.037</v>
      </c>
      <c r="D1725" s="51">
        <v>67.0</v>
      </c>
      <c r="E1725" s="52" t="s">
        <v>25</v>
      </c>
      <c r="F1725" s="52" t="s">
        <v>26</v>
      </c>
      <c r="G1725" s="53"/>
    </row>
    <row r="1726">
      <c r="A1726" s="49">
        <v>45038.76255678241</v>
      </c>
      <c r="B1726" s="50">
        <v>45038.8875303472</v>
      </c>
      <c r="C1726" s="51">
        <v>1.037</v>
      </c>
      <c r="D1726" s="51">
        <v>67.0</v>
      </c>
      <c r="E1726" s="52" t="s">
        <v>25</v>
      </c>
      <c r="F1726" s="52" t="s">
        <v>26</v>
      </c>
      <c r="G1726" s="53"/>
    </row>
    <row r="1727">
      <c r="A1727" s="49">
        <v>45038.77299758102</v>
      </c>
      <c r="B1727" s="50">
        <v>45038.8979631597</v>
      </c>
      <c r="C1727" s="51">
        <v>1.037</v>
      </c>
      <c r="D1727" s="51">
        <v>67.0</v>
      </c>
      <c r="E1727" s="52" t="s">
        <v>25</v>
      </c>
      <c r="F1727" s="52" t="s">
        <v>26</v>
      </c>
      <c r="G1727" s="53"/>
    </row>
    <row r="1728">
      <c r="A1728" s="49">
        <v>45038.783410289354</v>
      </c>
      <c r="B1728" s="50">
        <v>45038.9083856713</v>
      </c>
      <c r="C1728" s="51">
        <v>1.037</v>
      </c>
      <c r="D1728" s="51">
        <v>67.0</v>
      </c>
      <c r="E1728" s="52" t="s">
        <v>25</v>
      </c>
      <c r="F1728" s="52" t="s">
        <v>26</v>
      </c>
      <c r="G1728" s="53"/>
    </row>
    <row r="1729">
      <c r="A1729" s="49">
        <v>45038.79383234953</v>
      </c>
      <c r="B1729" s="50">
        <v>45038.9188068055</v>
      </c>
      <c r="C1729" s="51">
        <v>1.037</v>
      </c>
      <c r="D1729" s="51">
        <v>67.0</v>
      </c>
      <c r="E1729" s="52" t="s">
        <v>25</v>
      </c>
      <c r="F1729" s="52" t="s">
        <v>26</v>
      </c>
      <c r="G1729" s="53"/>
    </row>
    <row r="1730">
      <c r="A1730" s="49">
        <v>45038.804256504634</v>
      </c>
      <c r="B1730" s="50">
        <v>45038.9292272569</v>
      </c>
      <c r="C1730" s="51">
        <v>1.037</v>
      </c>
      <c r="D1730" s="51">
        <v>67.0</v>
      </c>
      <c r="E1730" s="52" t="s">
        <v>25</v>
      </c>
      <c r="F1730" s="52" t="s">
        <v>26</v>
      </c>
      <c r="G1730" s="53"/>
    </row>
    <row r="1731">
      <c r="A1731" s="49">
        <v>45038.81467445602</v>
      </c>
      <c r="B1731" s="50">
        <v>45038.9396478472</v>
      </c>
      <c r="C1731" s="51">
        <v>1.037</v>
      </c>
      <c r="D1731" s="51">
        <v>67.0</v>
      </c>
      <c r="E1731" s="52" t="s">
        <v>25</v>
      </c>
      <c r="F1731" s="52" t="s">
        <v>26</v>
      </c>
      <c r="G1731" s="53"/>
    </row>
    <row r="1732">
      <c r="A1732" s="49">
        <v>45038.82509525463</v>
      </c>
      <c r="B1732" s="50">
        <v>45038.9500673842</v>
      </c>
      <c r="C1732" s="51">
        <v>1.037</v>
      </c>
      <c r="D1732" s="51">
        <v>67.0</v>
      </c>
      <c r="E1732" s="52" t="s">
        <v>25</v>
      </c>
      <c r="F1732" s="52" t="s">
        <v>26</v>
      </c>
      <c r="G1732" s="53"/>
    </row>
    <row r="1733">
      <c r="A1733" s="49">
        <v>45038.83551726852</v>
      </c>
      <c r="B1733" s="50">
        <v>45038.9604893402</v>
      </c>
      <c r="C1733" s="51">
        <v>1.037</v>
      </c>
      <c r="D1733" s="51">
        <v>67.0</v>
      </c>
      <c r="E1733" s="52" t="s">
        <v>25</v>
      </c>
      <c r="F1733" s="52" t="s">
        <v>26</v>
      </c>
      <c r="G1733" s="53"/>
    </row>
    <row r="1734">
      <c r="A1734" s="49">
        <v>45038.845936412035</v>
      </c>
      <c r="B1734" s="50">
        <v>45038.9709105092</v>
      </c>
      <c r="C1734" s="51">
        <v>1.037</v>
      </c>
      <c r="D1734" s="51">
        <v>67.0</v>
      </c>
      <c r="E1734" s="52" t="s">
        <v>25</v>
      </c>
      <c r="F1734" s="52" t="s">
        <v>26</v>
      </c>
      <c r="G1734" s="53"/>
    </row>
    <row r="1735">
      <c r="A1735" s="49">
        <v>45038.85635728009</v>
      </c>
      <c r="B1735" s="50">
        <v>45038.9813332523</v>
      </c>
      <c r="C1735" s="51">
        <v>1.037</v>
      </c>
      <c r="D1735" s="51">
        <v>67.0</v>
      </c>
      <c r="E1735" s="52" t="s">
        <v>25</v>
      </c>
      <c r="F1735" s="52" t="s">
        <v>26</v>
      </c>
      <c r="G1735" s="53"/>
    </row>
    <row r="1736">
      <c r="A1736" s="49">
        <v>45038.866783680554</v>
      </c>
      <c r="B1736" s="50">
        <v>45038.9917537731</v>
      </c>
      <c r="C1736" s="51">
        <v>1.037</v>
      </c>
      <c r="D1736" s="51">
        <v>67.0</v>
      </c>
      <c r="E1736" s="52" t="s">
        <v>25</v>
      </c>
      <c r="F1736" s="52" t="s">
        <v>26</v>
      </c>
      <c r="G1736" s="53"/>
    </row>
    <row r="1737">
      <c r="A1737" s="49">
        <v>45038.87721009259</v>
      </c>
      <c r="B1737" s="50">
        <v>45039.0021740509</v>
      </c>
      <c r="C1737" s="51">
        <v>1.037</v>
      </c>
      <c r="D1737" s="51">
        <v>67.0</v>
      </c>
      <c r="E1737" s="52" t="s">
        <v>25</v>
      </c>
      <c r="F1737" s="52" t="s">
        <v>26</v>
      </c>
      <c r="G1737" s="53"/>
    </row>
    <row r="1738">
      <c r="A1738" s="49">
        <v>45038.88762739583</v>
      </c>
      <c r="B1738" s="50">
        <v>45039.0125952083</v>
      </c>
      <c r="C1738" s="51">
        <v>1.037</v>
      </c>
      <c r="D1738" s="51">
        <v>67.0</v>
      </c>
      <c r="E1738" s="52" t="s">
        <v>25</v>
      </c>
      <c r="F1738" s="52" t="s">
        <v>26</v>
      </c>
      <c r="G1738" s="53"/>
    </row>
    <row r="1739">
      <c r="A1739" s="49">
        <v>45038.89804799769</v>
      </c>
      <c r="B1739" s="50">
        <v>45039.0230173379</v>
      </c>
      <c r="C1739" s="51">
        <v>1.037</v>
      </c>
      <c r="D1739" s="51">
        <v>67.0</v>
      </c>
      <c r="E1739" s="52" t="s">
        <v>25</v>
      </c>
      <c r="F1739" s="52" t="s">
        <v>26</v>
      </c>
      <c r="G1739" s="53"/>
    </row>
    <row r="1740">
      <c r="A1740" s="49">
        <v>45038.908486886576</v>
      </c>
      <c r="B1740" s="50">
        <v>45039.0334617824</v>
      </c>
      <c r="C1740" s="51">
        <v>1.037</v>
      </c>
      <c r="D1740" s="51">
        <v>67.0</v>
      </c>
      <c r="E1740" s="52" t="s">
        <v>25</v>
      </c>
      <c r="F1740" s="52" t="s">
        <v>26</v>
      </c>
      <c r="G1740" s="53"/>
    </row>
    <row r="1741">
      <c r="A1741" s="49">
        <v>45038.91889988426</v>
      </c>
      <c r="B1741" s="50">
        <v>45039.043882743</v>
      </c>
      <c r="C1741" s="51">
        <v>1.037</v>
      </c>
      <c r="D1741" s="51">
        <v>67.0</v>
      </c>
      <c r="E1741" s="52" t="s">
        <v>25</v>
      </c>
      <c r="F1741" s="52" t="s">
        <v>26</v>
      </c>
      <c r="G1741" s="53"/>
    </row>
    <row r="1742">
      <c r="A1742" s="49">
        <v>45038.92933018519</v>
      </c>
      <c r="B1742" s="50">
        <v>45039.0543039004</v>
      </c>
      <c r="C1742" s="51">
        <v>1.037</v>
      </c>
      <c r="D1742" s="51">
        <v>67.0</v>
      </c>
      <c r="E1742" s="52" t="s">
        <v>25</v>
      </c>
      <c r="F1742" s="52" t="s">
        <v>26</v>
      </c>
      <c r="G1742" s="53"/>
    </row>
    <row r="1743">
      <c r="A1743" s="49">
        <v>45038.93976320601</v>
      </c>
      <c r="B1743" s="50">
        <v>45039.064725405</v>
      </c>
      <c r="C1743" s="51">
        <v>1.037</v>
      </c>
      <c r="D1743" s="51">
        <v>67.0</v>
      </c>
      <c r="E1743" s="52" t="s">
        <v>25</v>
      </c>
      <c r="F1743" s="52" t="s">
        <v>26</v>
      </c>
      <c r="G1743" s="53"/>
    </row>
    <row r="1744">
      <c r="A1744" s="49">
        <v>45038.95019682871</v>
      </c>
      <c r="B1744" s="50">
        <v>45039.0751715509</v>
      </c>
      <c r="C1744" s="51">
        <v>1.037</v>
      </c>
      <c r="D1744" s="51">
        <v>67.0</v>
      </c>
      <c r="E1744" s="52" t="s">
        <v>25</v>
      </c>
      <c r="F1744" s="52" t="s">
        <v>26</v>
      </c>
      <c r="G1744" s="53"/>
    </row>
    <row r="1745">
      <c r="A1745" s="49">
        <v>45038.960612152776</v>
      </c>
      <c r="B1745" s="50">
        <v>45039.0855922569</v>
      </c>
      <c r="C1745" s="51">
        <v>1.037</v>
      </c>
      <c r="D1745" s="51">
        <v>67.0</v>
      </c>
      <c r="E1745" s="52" t="s">
        <v>25</v>
      </c>
      <c r="F1745" s="52" t="s">
        <v>26</v>
      </c>
      <c r="G1745" s="53"/>
    </row>
    <row r="1746">
      <c r="A1746" s="49">
        <v>45038.97104070602</v>
      </c>
      <c r="B1746" s="50">
        <v>45039.0960146759</v>
      </c>
      <c r="C1746" s="51">
        <v>1.037</v>
      </c>
      <c r="D1746" s="51">
        <v>67.0</v>
      </c>
      <c r="E1746" s="52" t="s">
        <v>25</v>
      </c>
      <c r="F1746" s="52" t="s">
        <v>26</v>
      </c>
      <c r="G1746" s="53"/>
    </row>
    <row r="1747">
      <c r="A1747" s="49">
        <v>45038.98146186343</v>
      </c>
      <c r="B1747" s="50">
        <v>45039.1064352662</v>
      </c>
      <c r="C1747" s="51">
        <v>1.037</v>
      </c>
      <c r="D1747" s="51">
        <v>67.0</v>
      </c>
      <c r="E1747" s="52" t="s">
        <v>25</v>
      </c>
      <c r="F1747" s="52" t="s">
        <v>26</v>
      </c>
      <c r="G1747" s="53"/>
    </row>
    <row r="1748">
      <c r="A1748" s="49">
        <v>45038.991880347225</v>
      </c>
      <c r="B1748" s="50">
        <v>45039.1168566782</v>
      </c>
      <c r="C1748" s="51">
        <v>1.037</v>
      </c>
      <c r="D1748" s="51">
        <v>67.0</v>
      </c>
      <c r="E1748" s="52" t="s">
        <v>25</v>
      </c>
      <c r="F1748" s="52" t="s">
        <v>26</v>
      </c>
      <c r="G1748" s="53"/>
    </row>
    <row r="1749">
      <c r="A1749" s="49">
        <v>45039.002305104164</v>
      </c>
      <c r="B1749" s="50">
        <v>45039.1272795601</v>
      </c>
      <c r="C1749" s="51">
        <v>1.037</v>
      </c>
      <c r="D1749" s="51">
        <v>67.0</v>
      </c>
      <c r="E1749" s="52" t="s">
        <v>25</v>
      </c>
      <c r="F1749" s="52" t="s">
        <v>26</v>
      </c>
      <c r="G1749" s="53"/>
    </row>
    <row r="1750">
      <c r="A1750" s="49">
        <v>45039.01275833334</v>
      </c>
      <c r="B1750" s="50">
        <v>45039.1377262268</v>
      </c>
      <c r="C1750" s="51">
        <v>1.037</v>
      </c>
      <c r="D1750" s="51">
        <v>67.0</v>
      </c>
      <c r="E1750" s="52" t="s">
        <v>25</v>
      </c>
      <c r="F1750" s="52" t="s">
        <v>26</v>
      </c>
      <c r="G1750" s="53"/>
    </row>
    <row r="1751">
      <c r="A1751" s="49">
        <v>45039.023182233796</v>
      </c>
      <c r="B1751" s="50">
        <v>45039.148147199</v>
      </c>
      <c r="C1751" s="51">
        <v>1.037</v>
      </c>
      <c r="D1751" s="51">
        <v>67.0</v>
      </c>
      <c r="E1751" s="52" t="s">
        <v>25</v>
      </c>
      <c r="F1751" s="52" t="s">
        <v>26</v>
      </c>
      <c r="G1751" s="53"/>
    </row>
    <row r="1752">
      <c r="A1752" s="49">
        <v>45039.03359865741</v>
      </c>
      <c r="B1752" s="50">
        <v>45039.1585689351</v>
      </c>
      <c r="C1752" s="51">
        <v>1.037</v>
      </c>
      <c r="D1752" s="51">
        <v>67.0</v>
      </c>
      <c r="E1752" s="52" t="s">
        <v>25</v>
      </c>
      <c r="F1752" s="52" t="s">
        <v>26</v>
      </c>
      <c r="G1752" s="53"/>
    </row>
    <row r="1753">
      <c r="A1753" s="49">
        <v>45039.04401254629</v>
      </c>
      <c r="B1753" s="50">
        <v>45039.168990787</v>
      </c>
      <c r="C1753" s="51">
        <v>1.037</v>
      </c>
      <c r="D1753" s="51">
        <v>67.0</v>
      </c>
      <c r="E1753" s="52" t="s">
        <v>25</v>
      </c>
      <c r="F1753" s="52" t="s">
        <v>26</v>
      </c>
      <c r="G1753" s="53"/>
    </row>
    <row r="1754">
      <c r="A1754" s="49">
        <v>45039.054440381944</v>
      </c>
      <c r="B1754" s="50">
        <v>45039.1794120138</v>
      </c>
      <c r="C1754" s="51">
        <v>1.037</v>
      </c>
      <c r="D1754" s="51">
        <v>67.0</v>
      </c>
      <c r="E1754" s="52" t="s">
        <v>25</v>
      </c>
      <c r="F1754" s="52" t="s">
        <v>26</v>
      </c>
      <c r="G1754" s="53"/>
    </row>
    <row r="1755">
      <c r="A1755" s="49">
        <v>45039.06485704861</v>
      </c>
      <c r="B1755" s="50">
        <v>45039.1898329976</v>
      </c>
      <c r="C1755" s="51">
        <v>1.037</v>
      </c>
      <c r="D1755" s="51">
        <v>67.0</v>
      </c>
      <c r="E1755" s="52" t="s">
        <v>25</v>
      </c>
      <c r="F1755" s="52" t="s">
        <v>26</v>
      </c>
      <c r="G1755" s="53"/>
    </row>
    <row r="1756">
      <c r="A1756" s="49">
        <v>45039.07528628472</v>
      </c>
      <c r="B1756" s="50">
        <v>45039.2002557291</v>
      </c>
      <c r="C1756" s="51">
        <v>1.037</v>
      </c>
      <c r="D1756" s="51">
        <v>67.0</v>
      </c>
      <c r="E1756" s="52" t="s">
        <v>25</v>
      </c>
      <c r="F1756" s="52" t="s">
        <v>26</v>
      </c>
      <c r="G1756" s="53"/>
    </row>
    <row r="1757">
      <c r="A1757" s="49">
        <v>45039.08571410879</v>
      </c>
      <c r="B1757" s="50">
        <v>45039.2106880208</v>
      </c>
      <c r="C1757" s="51">
        <v>1.037</v>
      </c>
      <c r="D1757" s="51">
        <v>67.0</v>
      </c>
      <c r="E1757" s="52" t="s">
        <v>25</v>
      </c>
      <c r="F1757" s="52" t="s">
        <v>26</v>
      </c>
      <c r="G1757" s="53"/>
    </row>
    <row r="1758">
      <c r="A1758" s="49">
        <v>45039.096146157404</v>
      </c>
      <c r="B1758" s="50">
        <v>45039.2211212962</v>
      </c>
      <c r="C1758" s="51">
        <v>1.037</v>
      </c>
      <c r="D1758" s="51">
        <v>67.0</v>
      </c>
      <c r="E1758" s="52" t="s">
        <v>25</v>
      </c>
      <c r="F1758" s="52" t="s">
        <v>26</v>
      </c>
      <c r="G1758" s="53"/>
    </row>
    <row r="1759">
      <c r="A1759" s="49">
        <v>45039.106583263885</v>
      </c>
      <c r="B1759" s="50">
        <v>45039.2315553472</v>
      </c>
      <c r="C1759" s="51">
        <v>1.037</v>
      </c>
      <c r="D1759" s="51">
        <v>67.0</v>
      </c>
      <c r="E1759" s="52" t="s">
        <v>25</v>
      </c>
      <c r="F1759" s="52" t="s">
        <v>26</v>
      </c>
      <c r="G1759" s="53"/>
    </row>
    <row r="1760">
      <c r="A1760" s="49">
        <v>45039.11700267361</v>
      </c>
      <c r="B1760" s="50">
        <v>45039.2419750347</v>
      </c>
      <c r="C1760" s="51">
        <v>1.037</v>
      </c>
      <c r="D1760" s="51">
        <v>67.0</v>
      </c>
      <c r="E1760" s="52" t="s">
        <v>25</v>
      </c>
      <c r="F1760" s="52" t="s">
        <v>26</v>
      </c>
      <c r="G1760" s="53"/>
    </row>
    <row r="1761">
      <c r="A1761" s="49">
        <v>45039.12742748843</v>
      </c>
      <c r="B1761" s="50">
        <v>45039.2523952777</v>
      </c>
      <c r="C1761" s="51">
        <v>1.036</v>
      </c>
      <c r="D1761" s="51">
        <v>67.0</v>
      </c>
      <c r="E1761" s="52" t="s">
        <v>25</v>
      </c>
      <c r="F1761" s="52" t="s">
        <v>26</v>
      </c>
      <c r="G1761" s="53"/>
    </row>
    <row r="1762">
      <c r="A1762" s="49">
        <v>45039.13784225694</v>
      </c>
      <c r="B1762" s="50">
        <v>45039.2628162731</v>
      </c>
      <c r="C1762" s="51">
        <v>1.037</v>
      </c>
      <c r="D1762" s="51">
        <v>67.0</v>
      </c>
      <c r="E1762" s="52" t="s">
        <v>25</v>
      </c>
      <c r="F1762" s="52" t="s">
        <v>26</v>
      </c>
      <c r="G1762" s="53"/>
    </row>
    <row r="1763">
      <c r="A1763" s="49">
        <v>45039.14827532407</v>
      </c>
      <c r="B1763" s="50">
        <v>45039.2732490509</v>
      </c>
      <c r="C1763" s="51">
        <v>1.037</v>
      </c>
      <c r="D1763" s="51">
        <v>67.0</v>
      </c>
      <c r="E1763" s="52" t="s">
        <v>25</v>
      </c>
      <c r="F1763" s="52" t="s">
        <v>26</v>
      </c>
      <c r="G1763" s="53"/>
    </row>
    <row r="1764">
      <c r="A1764" s="49">
        <v>45039.158695011574</v>
      </c>
      <c r="B1764" s="50">
        <v>45039.2836692824</v>
      </c>
      <c r="C1764" s="51">
        <v>1.037</v>
      </c>
      <c r="D1764" s="51">
        <v>67.0</v>
      </c>
      <c r="E1764" s="52" t="s">
        <v>25</v>
      </c>
      <c r="F1764" s="52" t="s">
        <v>26</v>
      </c>
      <c r="G1764" s="53"/>
    </row>
    <row r="1765">
      <c r="A1765" s="49">
        <v>45039.169111111114</v>
      </c>
      <c r="B1765" s="50">
        <v>45039.294089375</v>
      </c>
      <c r="C1765" s="51">
        <v>1.036</v>
      </c>
      <c r="D1765" s="51">
        <v>67.0</v>
      </c>
      <c r="E1765" s="52" t="s">
        <v>25</v>
      </c>
      <c r="F1765" s="52" t="s">
        <v>26</v>
      </c>
      <c r="G1765" s="53"/>
    </row>
    <row r="1766">
      <c r="A1766" s="49">
        <v>45039.17953407408</v>
      </c>
      <c r="B1766" s="50">
        <v>45039.3045112384</v>
      </c>
      <c r="C1766" s="51">
        <v>1.036</v>
      </c>
      <c r="D1766" s="51">
        <v>67.0</v>
      </c>
      <c r="E1766" s="52" t="s">
        <v>25</v>
      </c>
      <c r="F1766" s="52" t="s">
        <v>26</v>
      </c>
      <c r="G1766" s="53"/>
    </row>
    <row r="1767">
      <c r="A1767" s="49">
        <v>45039.18998913195</v>
      </c>
      <c r="B1767" s="50">
        <v>45039.3149548495</v>
      </c>
      <c r="C1767" s="51">
        <v>1.036</v>
      </c>
      <c r="D1767" s="51">
        <v>67.0</v>
      </c>
      <c r="E1767" s="52" t="s">
        <v>25</v>
      </c>
      <c r="F1767" s="52" t="s">
        <v>26</v>
      </c>
      <c r="G1767" s="53"/>
    </row>
    <row r="1768">
      <c r="A1768" s="49">
        <v>45039.20039745371</v>
      </c>
      <c r="B1768" s="50">
        <v>45039.3253744791</v>
      </c>
      <c r="C1768" s="51">
        <v>1.036</v>
      </c>
      <c r="D1768" s="51">
        <v>67.0</v>
      </c>
      <c r="E1768" s="52" t="s">
        <v>25</v>
      </c>
      <c r="F1768" s="52" t="s">
        <v>26</v>
      </c>
      <c r="G1768" s="53"/>
    </row>
    <row r="1769">
      <c r="A1769" s="49">
        <v>45039.21084858796</v>
      </c>
      <c r="B1769" s="50">
        <v>45039.3358174652</v>
      </c>
      <c r="C1769" s="51">
        <v>1.036</v>
      </c>
      <c r="D1769" s="51">
        <v>67.0</v>
      </c>
      <c r="E1769" s="52" t="s">
        <v>25</v>
      </c>
      <c r="F1769" s="52" t="s">
        <v>26</v>
      </c>
      <c r="G1769" s="53"/>
    </row>
    <row r="1770">
      <c r="A1770" s="49">
        <v>45039.221274386575</v>
      </c>
      <c r="B1770" s="50">
        <v>45039.3462403588</v>
      </c>
      <c r="C1770" s="51">
        <v>1.037</v>
      </c>
      <c r="D1770" s="51">
        <v>67.0</v>
      </c>
      <c r="E1770" s="52" t="s">
        <v>25</v>
      </c>
      <c r="F1770" s="52" t="s">
        <v>26</v>
      </c>
      <c r="G1770" s="53"/>
    </row>
    <row r="1771">
      <c r="A1771" s="49">
        <v>45039.23169104167</v>
      </c>
      <c r="B1771" s="50">
        <v>45039.3566602662</v>
      </c>
      <c r="C1771" s="51">
        <v>1.036</v>
      </c>
      <c r="D1771" s="51">
        <v>67.0</v>
      </c>
      <c r="E1771" s="52" t="s">
        <v>25</v>
      </c>
      <c r="F1771" s="52" t="s">
        <v>26</v>
      </c>
      <c r="G1771" s="53"/>
    </row>
    <row r="1772">
      <c r="A1772" s="49">
        <v>45039.24210746528</v>
      </c>
      <c r="B1772" s="50">
        <v>45039.3670798148</v>
      </c>
      <c r="C1772" s="51">
        <v>1.037</v>
      </c>
      <c r="D1772" s="51">
        <v>67.0</v>
      </c>
      <c r="E1772" s="52" t="s">
        <v>25</v>
      </c>
      <c r="F1772" s="52" t="s">
        <v>26</v>
      </c>
      <c r="G1772" s="53"/>
    </row>
    <row r="1773">
      <c r="A1773" s="49">
        <v>45039.25252335648</v>
      </c>
      <c r="B1773" s="50">
        <v>45039.3775008217</v>
      </c>
      <c r="C1773" s="51">
        <v>1.037</v>
      </c>
      <c r="D1773" s="51">
        <v>67.0</v>
      </c>
      <c r="E1773" s="52" t="s">
        <v>25</v>
      </c>
      <c r="F1773" s="52" t="s">
        <v>26</v>
      </c>
      <c r="G1773" s="53"/>
    </row>
    <row r="1774">
      <c r="A1774" s="49">
        <v>45039.26294649305</v>
      </c>
      <c r="B1774" s="50">
        <v>45039.3879221643</v>
      </c>
      <c r="C1774" s="51">
        <v>1.036</v>
      </c>
      <c r="D1774" s="51">
        <v>67.0</v>
      </c>
      <c r="E1774" s="52" t="s">
        <v>25</v>
      </c>
      <c r="F1774" s="52" t="s">
        <v>26</v>
      </c>
      <c r="G1774" s="53"/>
    </row>
    <row r="1775">
      <c r="A1775" s="49">
        <v>45039.27336594908</v>
      </c>
      <c r="B1775" s="50">
        <v>45039.3983435763</v>
      </c>
      <c r="C1775" s="51">
        <v>1.036</v>
      </c>
      <c r="D1775" s="51">
        <v>67.0</v>
      </c>
      <c r="E1775" s="52" t="s">
        <v>25</v>
      </c>
      <c r="F1775" s="52" t="s">
        <v>26</v>
      </c>
      <c r="G1775" s="53"/>
    </row>
    <row r="1776">
      <c r="A1776" s="49">
        <v>45039.283781770835</v>
      </c>
      <c r="B1776" s="50">
        <v>45039.408764618</v>
      </c>
      <c r="C1776" s="51">
        <v>1.036</v>
      </c>
      <c r="D1776" s="51">
        <v>67.0</v>
      </c>
      <c r="E1776" s="52" t="s">
        <v>25</v>
      </c>
      <c r="F1776" s="52" t="s">
        <v>26</v>
      </c>
      <c r="G1776" s="53"/>
    </row>
    <row r="1777">
      <c r="A1777" s="49">
        <v>45039.29423225694</v>
      </c>
      <c r="B1777" s="50">
        <v>45039.4192079861</v>
      </c>
      <c r="C1777" s="51">
        <v>1.036</v>
      </c>
      <c r="D1777" s="51">
        <v>67.0</v>
      </c>
      <c r="E1777" s="52" t="s">
        <v>25</v>
      </c>
      <c r="F1777" s="52" t="s">
        <v>26</v>
      </c>
      <c r="G1777" s="53"/>
    </row>
    <row r="1778">
      <c r="A1778" s="49">
        <v>45039.30467886574</v>
      </c>
      <c r="B1778" s="50">
        <v>45039.429652037</v>
      </c>
      <c r="C1778" s="51">
        <v>1.036</v>
      </c>
      <c r="D1778" s="51">
        <v>67.0</v>
      </c>
      <c r="E1778" s="52" t="s">
        <v>25</v>
      </c>
      <c r="F1778" s="52" t="s">
        <v>26</v>
      </c>
      <c r="G1778" s="53"/>
    </row>
    <row r="1779">
      <c r="A1779" s="49">
        <v>45039.31509034723</v>
      </c>
      <c r="B1779" s="50">
        <v>45039.4400729398</v>
      </c>
      <c r="C1779" s="51">
        <v>1.036</v>
      </c>
      <c r="D1779" s="51">
        <v>67.0</v>
      </c>
      <c r="E1779" s="52" t="s">
        <v>25</v>
      </c>
      <c r="F1779" s="52" t="s">
        <v>26</v>
      </c>
      <c r="G1779" s="53"/>
    </row>
    <row r="1780">
      <c r="A1780" s="49">
        <v>45039.32554818287</v>
      </c>
      <c r="B1780" s="50">
        <v>45039.4505197222</v>
      </c>
      <c r="C1780" s="51">
        <v>1.036</v>
      </c>
      <c r="D1780" s="51">
        <v>67.0</v>
      </c>
      <c r="E1780" s="52" t="s">
        <v>25</v>
      </c>
      <c r="F1780" s="52" t="s">
        <v>26</v>
      </c>
      <c r="G1780" s="53"/>
    </row>
    <row r="1781">
      <c r="A1781" s="49">
        <v>45039.33598083333</v>
      </c>
      <c r="B1781" s="50">
        <v>45039.4609518287</v>
      </c>
      <c r="C1781" s="51">
        <v>1.036</v>
      </c>
      <c r="D1781" s="51">
        <v>67.0</v>
      </c>
      <c r="E1781" s="52" t="s">
        <v>25</v>
      </c>
      <c r="F1781" s="52" t="s">
        <v>26</v>
      </c>
      <c r="G1781" s="53"/>
    </row>
    <row r="1782">
      <c r="A1782" s="49">
        <v>45039.34640458333</v>
      </c>
      <c r="B1782" s="50">
        <v>45039.4713739236</v>
      </c>
      <c r="C1782" s="51">
        <v>1.036</v>
      </c>
      <c r="D1782" s="51">
        <v>67.0</v>
      </c>
      <c r="E1782" s="52" t="s">
        <v>25</v>
      </c>
      <c r="F1782" s="52" t="s">
        <v>26</v>
      </c>
      <c r="G1782" s="53"/>
    </row>
    <row r="1783">
      <c r="A1783" s="49">
        <v>45039.356812199076</v>
      </c>
      <c r="B1783" s="50">
        <v>45039.4817942129</v>
      </c>
      <c r="C1783" s="51">
        <v>1.036</v>
      </c>
      <c r="D1783" s="51">
        <v>67.0</v>
      </c>
      <c r="E1783" s="52" t="s">
        <v>25</v>
      </c>
      <c r="F1783" s="52" t="s">
        <v>26</v>
      </c>
      <c r="G1783" s="53"/>
    </row>
    <row r="1784">
      <c r="A1784" s="49">
        <v>45039.36725122685</v>
      </c>
      <c r="B1784" s="50">
        <v>45039.4922259143</v>
      </c>
      <c r="C1784" s="51">
        <v>1.036</v>
      </c>
      <c r="D1784" s="51">
        <v>67.0</v>
      </c>
      <c r="E1784" s="52" t="s">
        <v>25</v>
      </c>
      <c r="F1784" s="52" t="s">
        <v>26</v>
      </c>
      <c r="G1784" s="53"/>
    </row>
    <row r="1785">
      <c r="A1785" s="49">
        <v>45039.37767756944</v>
      </c>
      <c r="B1785" s="50">
        <v>45039.5026466203</v>
      </c>
      <c r="C1785" s="51">
        <v>1.036</v>
      </c>
      <c r="D1785" s="51">
        <v>67.0</v>
      </c>
      <c r="E1785" s="52" t="s">
        <v>25</v>
      </c>
      <c r="F1785" s="52" t="s">
        <v>26</v>
      </c>
      <c r="G1785" s="53"/>
    </row>
    <row r="1786">
      <c r="A1786" s="49">
        <v>45039.38810087963</v>
      </c>
      <c r="B1786" s="50">
        <v>45039.5130797569</v>
      </c>
      <c r="C1786" s="51">
        <v>1.036</v>
      </c>
      <c r="D1786" s="51">
        <v>67.0</v>
      </c>
      <c r="E1786" s="52" t="s">
        <v>25</v>
      </c>
      <c r="F1786" s="52" t="s">
        <v>26</v>
      </c>
      <c r="G1786" s="53"/>
    </row>
    <row r="1787">
      <c r="A1787" s="49">
        <v>45039.398521180556</v>
      </c>
      <c r="B1787" s="50">
        <v>45039.5235004976</v>
      </c>
      <c r="C1787" s="51">
        <v>1.036</v>
      </c>
      <c r="D1787" s="51">
        <v>67.0</v>
      </c>
      <c r="E1787" s="52" t="s">
        <v>25</v>
      </c>
      <c r="F1787" s="52" t="s">
        <v>26</v>
      </c>
      <c r="G1787" s="53"/>
    </row>
    <row r="1788">
      <c r="A1788" s="49">
        <v>45039.4089530787</v>
      </c>
      <c r="B1788" s="50">
        <v>45039.5339327083</v>
      </c>
      <c r="C1788" s="51">
        <v>1.036</v>
      </c>
      <c r="D1788" s="51">
        <v>67.0</v>
      </c>
      <c r="E1788" s="52" t="s">
        <v>25</v>
      </c>
      <c r="F1788" s="52" t="s">
        <v>26</v>
      </c>
      <c r="G1788" s="53"/>
    </row>
    <row r="1789">
      <c r="A1789" s="49">
        <v>45039.419394930555</v>
      </c>
      <c r="B1789" s="50">
        <v>45039.5443653588</v>
      </c>
      <c r="C1789" s="51">
        <v>1.036</v>
      </c>
      <c r="D1789" s="51">
        <v>67.0</v>
      </c>
      <c r="E1789" s="52" t="s">
        <v>25</v>
      </c>
      <c r="F1789" s="52" t="s">
        <v>26</v>
      </c>
      <c r="G1789" s="53"/>
    </row>
    <row r="1790">
      <c r="A1790" s="49">
        <v>45039.440231053246</v>
      </c>
      <c r="B1790" s="50">
        <v>45039.5652067129</v>
      </c>
      <c r="C1790" s="51">
        <v>1.036</v>
      </c>
      <c r="D1790" s="51">
        <v>67.0</v>
      </c>
      <c r="E1790" s="52" t="s">
        <v>25</v>
      </c>
      <c r="F1790" s="52" t="s">
        <v>26</v>
      </c>
      <c r="G1790" s="53"/>
    </row>
    <row r="1791">
      <c r="A1791" s="49">
        <v>45039.45064862269</v>
      </c>
      <c r="B1791" s="50">
        <v>45039.575628368</v>
      </c>
      <c r="C1791" s="51">
        <v>1.036</v>
      </c>
      <c r="D1791" s="51">
        <v>67.0</v>
      </c>
      <c r="E1791" s="52" t="s">
        <v>25</v>
      </c>
      <c r="F1791" s="52" t="s">
        <v>26</v>
      </c>
      <c r="G1791" s="53"/>
    </row>
    <row r="1792">
      <c r="A1792" s="49">
        <v>45039.46107796296</v>
      </c>
      <c r="B1792" s="50">
        <v>45039.5860495833</v>
      </c>
      <c r="C1792" s="51">
        <v>1.036</v>
      </c>
      <c r="D1792" s="51">
        <v>67.0</v>
      </c>
      <c r="E1792" s="52" t="s">
        <v>25</v>
      </c>
      <c r="F1792" s="52" t="s">
        <v>26</v>
      </c>
      <c r="G1792" s="53"/>
    </row>
    <row r="1793">
      <c r="A1793" s="49">
        <v>45039.47149871528</v>
      </c>
      <c r="B1793" s="50">
        <v>45039.5964724768</v>
      </c>
      <c r="C1793" s="51">
        <v>1.036</v>
      </c>
      <c r="D1793" s="51">
        <v>67.0</v>
      </c>
      <c r="E1793" s="52" t="s">
        <v>25</v>
      </c>
      <c r="F1793" s="52" t="s">
        <v>26</v>
      </c>
      <c r="G1793" s="53"/>
    </row>
    <row r="1794">
      <c r="A1794" s="49">
        <v>45039.48190950231</v>
      </c>
      <c r="B1794" s="50">
        <v>45039.6068935763</v>
      </c>
      <c r="C1794" s="51">
        <v>1.036</v>
      </c>
      <c r="D1794" s="51">
        <v>67.0</v>
      </c>
      <c r="E1794" s="52" t="s">
        <v>25</v>
      </c>
      <c r="F1794" s="52" t="s">
        <v>26</v>
      </c>
      <c r="G1794" s="53"/>
    </row>
    <row r="1795">
      <c r="A1795" s="49">
        <v>45039.49233219908</v>
      </c>
      <c r="B1795" s="50">
        <v>45039.6173131828</v>
      </c>
      <c r="C1795" s="51">
        <v>1.036</v>
      </c>
      <c r="D1795" s="51">
        <v>67.0</v>
      </c>
      <c r="E1795" s="52" t="s">
        <v>25</v>
      </c>
      <c r="F1795" s="52" t="s">
        <v>26</v>
      </c>
      <c r="G1795" s="53"/>
    </row>
    <row r="1796">
      <c r="A1796" s="49">
        <v>45039.50277457176</v>
      </c>
      <c r="B1796" s="50">
        <v>45039.6277472338</v>
      </c>
      <c r="C1796" s="51">
        <v>1.036</v>
      </c>
      <c r="D1796" s="51">
        <v>67.0</v>
      </c>
      <c r="E1796" s="52" t="s">
        <v>25</v>
      </c>
      <c r="F1796" s="52" t="s">
        <v>26</v>
      </c>
      <c r="G1796" s="53"/>
    </row>
    <row r="1797">
      <c r="A1797" s="49">
        <v>45039.513190763886</v>
      </c>
      <c r="B1797" s="50">
        <v>45039.638168287</v>
      </c>
      <c r="C1797" s="51">
        <v>1.036</v>
      </c>
      <c r="D1797" s="51">
        <v>67.0</v>
      </c>
      <c r="E1797" s="52" t="s">
        <v>25</v>
      </c>
      <c r="F1797" s="52" t="s">
        <v>26</v>
      </c>
      <c r="G1797" s="53"/>
    </row>
    <row r="1798">
      <c r="A1798" s="49">
        <v>45039.52365241898</v>
      </c>
      <c r="B1798" s="50">
        <v>45039.6486229629</v>
      </c>
      <c r="C1798" s="51">
        <v>1.036</v>
      </c>
      <c r="D1798" s="51">
        <v>67.0</v>
      </c>
      <c r="E1798" s="52" t="s">
        <v>25</v>
      </c>
      <c r="F1798" s="52" t="s">
        <v>26</v>
      </c>
      <c r="G1798" s="53"/>
    </row>
    <row r="1799">
      <c r="A1799" s="49">
        <v>45039.534094375005</v>
      </c>
      <c r="B1799" s="50">
        <v>45039.659065949</v>
      </c>
      <c r="C1799" s="51">
        <v>1.036</v>
      </c>
      <c r="D1799" s="51">
        <v>67.0</v>
      </c>
      <c r="E1799" s="52" t="s">
        <v>25</v>
      </c>
      <c r="F1799" s="52" t="s">
        <v>26</v>
      </c>
      <c r="G1799" s="53"/>
    </row>
    <row r="1800">
      <c r="A1800" s="49">
        <v>45039.54451241899</v>
      </c>
      <c r="B1800" s="50">
        <v>45039.6694882986</v>
      </c>
      <c r="C1800" s="51">
        <v>1.036</v>
      </c>
      <c r="D1800" s="51">
        <v>67.0</v>
      </c>
      <c r="E1800" s="52" t="s">
        <v>25</v>
      </c>
      <c r="F1800" s="52" t="s">
        <v>26</v>
      </c>
      <c r="G1800" s="53"/>
    </row>
    <row r="1801">
      <c r="A1801" s="49">
        <v>45039.55493262732</v>
      </c>
      <c r="B1801" s="50">
        <v>45039.6799085763</v>
      </c>
      <c r="C1801" s="51">
        <v>1.036</v>
      </c>
      <c r="D1801" s="51">
        <v>67.0</v>
      </c>
      <c r="E1801" s="52" t="s">
        <v>25</v>
      </c>
      <c r="F1801" s="52" t="s">
        <v>26</v>
      </c>
      <c r="G1801" s="53"/>
    </row>
    <row r="1802">
      <c r="A1802" s="49">
        <v>45039.56540305556</v>
      </c>
      <c r="B1802" s="50">
        <v>45039.6903752314</v>
      </c>
      <c r="C1802" s="51">
        <v>1.036</v>
      </c>
      <c r="D1802" s="51">
        <v>67.0</v>
      </c>
      <c r="E1802" s="52" t="s">
        <v>25</v>
      </c>
      <c r="F1802" s="52" t="s">
        <v>26</v>
      </c>
      <c r="G1802" s="53"/>
    </row>
    <row r="1803">
      <c r="A1803" s="49">
        <v>45039.57582384259</v>
      </c>
      <c r="B1803" s="50">
        <v>45039.7007955208</v>
      </c>
      <c r="C1803" s="51">
        <v>1.036</v>
      </c>
      <c r="D1803" s="51">
        <v>67.0</v>
      </c>
      <c r="E1803" s="52" t="s">
        <v>25</v>
      </c>
      <c r="F1803" s="52" t="s">
        <v>26</v>
      </c>
      <c r="G1803" s="53"/>
    </row>
    <row r="1804">
      <c r="A1804" s="49">
        <v>45039.58625976852</v>
      </c>
      <c r="B1804" s="50">
        <v>45039.7112379513</v>
      </c>
      <c r="C1804" s="51">
        <v>1.036</v>
      </c>
      <c r="D1804" s="51">
        <v>67.0</v>
      </c>
      <c r="E1804" s="52" t="s">
        <v>25</v>
      </c>
      <c r="F1804" s="52" t="s">
        <v>26</v>
      </c>
      <c r="G1804" s="53"/>
    </row>
    <row r="1805">
      <c r="A1805" s="49">
        <v>45039.59668861111</v>
      </c>
      <c r="B1805" s="50">
        <v>45039.7216596759</v>
      </c>
      <c r="C1805" s="51">
        <v>1.036</v>
      </c>
      <c r="D1805" s="51">
        <v>67.0</v>
      </c>
      <c r="E1805" s="52" t="s">
        <v>25</v>
      </c>
      <c r="F1805" s="52" t="s">
        <v>26</v>
      </c>
      <c r="G1805" s="53"/>
    </row>
    <row r="1806">
      <c r="A1806" s="49">
        <v>45039.60711349537</v>
      </c>
      <c r="B1806" s="50">
        <v>45039.7320812268</v>
      </c>
      <c r="C1806" s="51">
        <v>1.036</v>
      </c>
      <c r="D1806" s="51">
        <v>67.0</v>
      </c>
      <c r="E1806" s="52" t="s">
        <v>25</v>
      </c>
      <c r="F1806" s="52" t="s">
        <v>26</v>
      </c>
      <c r="G1806" s="53"/>
    </row>
    <row r="1807">
      <c r="A1807" s="49">
        <v>45039.61752508102</v>
      </c>
      <c r="B1807" s="50">
        <v>45039.7425035879</v>
      </c>
      <c r="C1807" s="51">
        <v>1.036</v>
      </c>
      <c r="D1807" s="51">
        <v>67.0</v>
      </c>
      <c r="E1807" s="52" t="s">
        <v>25</v>
      </c>
      <c r="F1807" s="52" t="s">
        <v>26</v>
      </c>
      <c r="G1807" s="53"/>
    </row>
    <row r="1808">
      <c r="A1808" s="49">
        <v>45039.62795430556</v>
      </c>
      <c r="B1808" s="50">
        <v>45039.7529356713</v>
      </c>
      <c r="C1808" s="51">
        <v>1.036</v>
      </c>
      <c r="D1808" s="51">
        <v>67.0</v>
      </c>
      <c r="E1808" s="52" t="s">
        <v>25</v>
      </c>
      <c r="F1808" s="52" t="s">
        <v>26</v>
      </c>
      <c r="G1808" s="53"/>
    </row>
    <row r="1809">
      <c r="A1809" s="49">
        <v>45039.63838179398</v>
      </c>
      <c r="B1809" s="50">
        <v>45039.7633576851</v>
      </c>
      <c r="C1809" s="51">
        <v>1.036</v>
      </c>
      <c r="D1809" s="51">
        <v>67.0</v>
      </c>
      <c r="E1809" s="52" t="s">
        <v>25</v>
      </c>
      <c r="F1809" s="52" t="s">
        <v>26</v>
      </c>
      <c r="G1809" s="53"/>
    </row>
    <row r="1810">
      <c r="A1810" s="49">
        <v>45039.648802881944</v>
      </c>
      <c r="B1810" s="50">
        <v>45039.7737778819</v>
      </c>
      <c r="C1810" s="51">
        <v>1.036</v>
      </c>
      <c r="D1810" s="51">
        <v>67.0</v>
      </c>
      <c r="E1810" s="52" t="s">
        <v>25</v>
      </c>
      <c r="F1810" s="52" t="s">
        <v>26</v>
      </c>
      <c r="G1810" s="53"/>
    </row>
    <row r="1811">
      <c r="A1811" s="49">
        <v>45039.65924770833</v>
      </c>
      <c r="B1811" s="50">
        <v>45039.7842209953</v>
      </c>
      <c r="C1811" s="51">
        <v>1.036</v>
      </c>
      <c r="D1811" s="51">
        <v>67.0</v>
      </c>
      <c r="E1811" s="52" t="s">
        <v>25</v>
      </c>
      <c r="F1811" s="52" t="s">
        <v>26</v>
      </c>
      <c r="G1811" s="53"/>
    </row>
    <row r="1812">
      <c r="A1812" s="49">
        <v>45039.6696594213</v>
      </c>
      <c r="B1812" s="50">
        <v>45039.7946421296</v>
      </c>
      <c r="C1812" s="51">
        <v>1.036</v>
      </c>
      <c r="D1812" s="51">
        <v>67.0</v>
      </c>
      <c r="E1812" s="52" t="s">
        <v>25</v>
      </c>
      <c r="F1812" s="52" t="s">
        <v>26</v>
      </c>
      <c r="G1812" s="53"/>
    </row>
    <row r="1813">
      <c r="A1813" s="49">
        <v>45039.68008635417</v>
      </c>
      <c r="B1813" s="50">
        <v>45039.8050628703</v>
      </c>
      <c r="C1813" s="51">
        <v>1.035</v>
      </c>
      <c r="D1813" s="51">
        <v>67.0</v>
      </c>
      <c r="E1813" s="52" t="s">
        <v>25</v>
      </c>
      <c r="F1813" s="52" t="s">
        <v>26</v>
      </c>
      <c r="G1813" s="53"/>
    </row>
    <row r="1814">
      <c r="A1814" s="49">
        <v>45039.69050420139</v>
      </c>
      <c r="B1814" s="50">
        <v>45039.8154842708</v>
      </c>
      <c r="C1814" s="51">
        <v>1.035</v>
      </c>
      <c r="D1814" s="51">
        <v>67.0</v>
      </c>
      <c r="E1814" s="52" t="s">
        <v>25</v>
      </c>
      <c r="F1814" s="52" t="s">
        <v>26</v>
      </c>
      <c r="G1814" s="53"/>
    </row>
    <row r="1815">
      <c r="A1815" s="49">
        <v>45039.70095618056</v>
      </c>
      <c r="B1815" s="50">
        <v>45039.8259285763</v>
      </c>
      <c r="C1815" s="51">
        <v>1.035</v>
      </c>
      <c r="D1815" s="51">
        <v>67.0</v>
      </c>
      <c r="E1815" s="52" t="s">
        <v>25</v>
      </c>
      <c r="F1815" s="52" t="s">
        <v>26</v>
      </c>
      <c r="G1815" s="53"/>
    </row>
    <row r="1816">
      <c r="A1816" s="49">
        <v>45039.71137542824</v>
      </c>
      <c r="B1816" s="50">
        <v>45039.8363497569</v>
      </c>
      <c r="C1816" s="51">
        <v>1.035</v>
      </c>
      <c r="D1816" s="51">
        <v>67.0</v>
      </c>
      <c r="E1816" s="52" t="s">
        <v>25</v>
      </c>
      <c r="F1816" s="52" t="s">
        <v>26</v>
      </c>
      <c r="G1816" s="53"/>
    </row>
    <row r="1817">
      <c r="A1817" s="49">
        <v>45039.72182839121</v>
      </c>
      <c r="B1817" s="50">
        <v>45039.8468057407</v>
      </c>
      <c r="C1817" s="51">
        <v>1.035</v>
      </c>
      <c r="D1817" s="51">
        <v>67.0</v>
      </c>
      <c r="E1817" s="52" t="s">
        <v>25</v>
      </c>
      <c r="F1817" s="52" t="s">
        <v>26</v>
      </c>
      <c r="G1817" s="53"/>
    </row>
    <row r="1818">
      <c r="A1818" s="49">
        <v>45039.732255208335</v>
      </c>
      <c r="B1818" s="50">
        <v>45039.8572270023</v>
      </c>
      <c r="C1818" s="51">
        <v>1.036</v>
      </c>
      <c r="D1818" s="51">
        <v>67.0</v>
      </c>
      <c r="E1818" s="52" t="s">
        <v>25</v>
      </c>
      <c r="F1818" s="52" t="s">
        <v>26</v>
      </c>
      <c r="G1818" s="53"/>
    </row>
    <row r="1819">
      <c r="A1819" s="49">
        <v>45039.74269467592</v>
      </c>
      <c r="B1819" s="50">
        <v>45039.8676712963</v>
      </c>
      <c r="C1819" s="51">
        <v>1.035</v>
      </c>
      <c r="D1819" s="51">
        <v>67.0</v>
      </c>
      <c r="E1819" s="52" t="s">
        <v>25</v>
      </c>
      <c r="F1819" s="52" t="s">
        <v>26</v>
      </c>
      <c r="G1819" s="53"/>
    </row>
    <row r="1820">
      <c r="A1820" s="49">
        <v>45039.75312837963</v>
      </c>
      <c r="B1820" s="50">
        <v>45039.8781026389</v>
      </c>
      <c r="C1820" s="51">
        <v>1.035</v>
      </c>
      <c r="D1820" s="51">
        <v>67.0</v>
      </c>
      <c r="E1820" s="52" t="s">
        <v>25</v>
      </c>
      <c r="F1820" s="52" t="s">
        <v>26</v>
      </c>
      <c r="G1820" s="53"/>
    </row>
    <row r="1821">
      <c r="A1821" s="49">
        <v>45039.76355310185</v>
      </c>
      <c r="B1821" s="50">
        <v>45039.888536331</v>
      </c>
      <c r="C1821" s="51">
        <v>1.035</v>
      </c>
      <c r="D1821" s="51">
        <v>67.0</v>
      </c>
      <c r="E1821" s="52" t="s">
        <v>25</v>
      </c>
      <c r="F1821" s="52" t="s">
        <v>26</v>
      </c>
      <c r="G1821" s="53"/>
    </row>
    <row r="1822">
      <c r="A1822" s="49">
        <v>45039.77401298611</v>
      </c>
      <c r="B1822" s="50">
        <v>45039.8989812731</v>
      </c>
      <c r="C1822" s="51">
        <v>1.035</v>
      </c>
      <c r="D1822" s="51">
        <v>67.0</v>
      </c>
      <c r="E1822" s="52" t="s">
        <v>25</v>
      </c>
      <c r="F1822" s="52" t="s">
        <v>26</v>
      </c>
      <c r="G1822" s="53"/>
    </row>
    <row r="1823">
      <c r="A1823" s="49">
        <v>45039.78443366898</v>
      </c>
      <c r="B1823" s="50">
        <v>45039.9094025347</v>
      </c>
      <c r="C1823" s="51">
        <v>1.035</v>
      </c>
      <c r="D1823" s="51">
        <v>67.0</v>
      </c>
      <c r="E1823" s="52" t="s">
        <v>25</v>
      </c>
      <c r="F1823" s="52" t="s">
        <v>26</v>
      </c>
      <c r="G1823" s="53"/>
    </row>
    <row r="1824">
      <c r="A1824" s="49">
        <v>45039.79484265046</v>
      </c>
      <c r="B1824" s="50">
        <v>45039.9198245949</v>
      </c>
      <c r="C1824" s="51">
        <v>1.035</v>
      </c>
      <c r="D1824" s="51">
        <v>67.0</v>
      </c>
      <c r="E1824" s="52" t="s">
        <v>25</v>
      </c>
      <c r="F1824" s="52" t="s">
        <v>26</v>
      </c>
      <c r="G1824" s="53"/>
    </row>
    <row r="1825">
      <c r="A1825" s="49">
        <v>45039.80527030093</v>
      </c>
      <c r="B1825" s="50">
        <v>45039.9302460069</v>
      </c>
      <c r="C1825" s="51">
        <v>1.035</v>
      </c>
      <c r="D1825" s="51">
        <v>67.0</v>
      </c>
      <c r="E1825" s="52" t="s">
        <v>25</v>
      </c>
      <c r="F1825" s="52" t="s">
        <v>26</v>
      </c>
      <c r="G1825" s="53"/>
    </row>
    <row r="1826">
      <c r="A1826" s="49">
        <v>45039.815692442135</v>
      </c>
      <c r="B1826" s="50">
        <v>45039.940667199</v>
      </c>
      <c r="C1826" s="51">
        <v>1.035</v>
      </c>
      <c r="D1826" s="51">
        <v>67.0</v>
      </c>
      <c r="E1826" s="52" t="s">
        <v>25</v>
      </c>
      <c r="F1826" s="52" t="s">
        <v>26</v>
      </c>
      <c r="G1826" s="53"/>
    </row>
    <row r="1827">
      <c r="A1827" s="49">
        <v>45039.82614806713</v>
      </c>
      <c r="B1827" s="50">
        <v>45039.9511214583</v>
      </c>
      <c r="C1827" s="51">
        <v>1.035</v>
      </c>
      <c r="D1827" s="51">
        <v>67.0</v>
      </c>
      <c r="E1827" s="52" t="s">
        <v>25</v>
      </c>
      <c r="F1827" s="52" t="s">
        <v>26</v>
      </c>
      <c r="G1827" s="53"/>
    </row>
    <row r="1828">
      <c r="A1828" s="49">
        <v>45039.836561331016</v>
      </c>
      <c r="B1828" s="50">
        <v>45039.9615428819</v>
      </c>
      <c r="C1828" s="51">
        <v>1.035</v>
      </c>
      <c r="D1828" s="51">
        <v>67.0</v>
      </c>
      <c r="E1828" s="52" t="s">
        <v>25</v>
      </c>
      <c r="F1828" s="52" t="s">
        <v>26</v>
      </c>
      <c r="G1828" s="53"/>
    </row>
    <row r="1829">
      <c r="A1829" s="49">
        <v>45039.846981875</v>
      </c>
      <c r="B1829" s="50">
        <v>45039.9719641203</v>
      </c>
      <c r="C1829" s="51">
        <v>1.035</v>
      </c>
      <c r="D1829" s="51">
        <v>67.0</v>
      </c>
      <c r="E1829" s="52" t="s">
        <v>25</v>
      </c>
      <c r="F1829" s="52" t="s">
        <v>26</v>
      </c>
      <c r="G1829" s="53"/>
    </row>
    <row r="1830">
      <c r="A1830" s="49">
        <v>45039.85740866898</v>
      </c>
      <c r="B1830" s="50">
        <v>45039.9823845486</v>
      </c>
      <c r="C1830" s="51">
        <v>1.035</v>
      </c>
      <c r="D1830" s="51">
        <v>67.0</v>
      </c>
      <c r="E1830" s="52" t="s">
        <v>25</v>
      </c>
      <c r="F1830" s="52" t="s">
        <v>26</v>
      </c>
      <c r="G1830" s="53"/>
    </row>
    <row r="1831">
      <c r="A1831" s="49">
        <v>45039.867828877315</v>
      </c>
      <c r="B1831" s="50">
        <v>45039.9928057523</v>
      </c>
      <c r="C1831" s="51">
        <v>1.035</v>
      </c>
      <c r="D1831" s="51">
        <v>67.0</v>
      </c>
      <c r="E1831" s="52" t="s">
        <v>25</v>
      </c>
      <c r="F1831" s="52" t="s">
        <v>26</v>
      </c>
      <c r="G1831" s="53"/>
    </row>
    <row r="1832">
      <c r="A1832" s="49">
        <v>45039.878248796296</v>
      </c>
      <c r="B1832" s="50">
        <v>45040.0032275115</v>
      </c>
      <c r="C1832" s="51">
        <v>1.035</v>
      </c>
      <c r="D1832" s="51">
        <v>67.0</v>
      </c>
      <c r="E1832" s="52" t="s">
        <v>25</v>
      </c>
      <c r="F1832" s="52" t="s">
        <v>26</v>
      </c>
      <c r="G1832" s="53"/>
    </row>
    <row r="1833">
      <c r="A1833" s="49">
        <v>45039.88866861111</v>
      </c>
      <c r="B1833" s="50">
        <v>45040.0136480787</v>
      </c>
      <c r="C1833" s="51">
        <v>1.035</v>
      </c>
      <c r="D1833" s="51">
        <v>67.0</v>
      </c>
      <c r="E1833" s="52" t="s">
        <v>25</v>
      </c>
      <c r="F1833" s="52" t="s">
        <v>26</v>
      </c>
      <c r="G1833" s="53"/>
    </row>
    <row r="1834">
      <c r="A1834" s="49">
        <v>45039.89908869213</v>
      </c>
      <c r="B1834" s="50">
        <v>45040.0240701273</v>
      </c>
      <c r="C1834" s="51">
        <v>1.035</v>
      </c>
      <c r="D1834" s="51">
        <v>67.0</v>
      </c>
      <c r="E1834" s="52" t="s">
        <v>25</v>
      </c>
      <c r="F1834" s="52" t="s">
        <v>26</v>
      </c>
      <c r="G1834" s="53"/>
    </row>
    <row r="1835">
      <c r="A1835" s="49">
        <v>45039.90952048611</v>
      </c>
      <c r="B1835" s="50">
        <v>45040.0344923495</v>
      </c>
      <c r="C1835" s="51">
        <v>1.035</v>
      </c>
      <c r="D1835" s="51">
        <v>67.0</v>
      </c>
      <c r="E1835" s="52" t="s">
        <v>25</v>
      </c>
      <c r="F1835" s="52" t="s">
        <v>26</v>
      </c>
      <c r="G1835" s="53"/>
    </row>
    <row r="1836">
      <c r="A1836" s="49">
        <v>45039.91993109953</v>
      </c>
      <c r="B1836" s="50">
        <v>45040.0449147453</v>
      </c>
      <c r="C1836" s="51">
        <v>1.035</v>
      </c>
      <c r="D1836" s="51">
        <v>67.0</v>
      </c>
      <c r="E1836" s="52" t="s">
        <v>25</v>
      </c>
      <c r="F1836" s="52" t="s">
        <v>26</v>
      </c>
      <c r="G1836" s="53"/>
    </row>
    <row r="1837">
      <c r="A1837" s="49">
        <v>45039.93036208334</v>
      </c>
      <c r="B1837" s="50">
        <v>45040.0553340972</v>
      </c>
      <c r="C1837" s="51">
        <v>1.035</v>
      </c>
      <c r="D1837" s="51">
        <v>67.0</v>
      </c>
      <c r="E1837" s="52" t="s">
        <v>25</v>
      </c>
      <c r="F1837" s="52" t="s">
        <v>26</v>
      </c>
      <c r="G1837" s="53"/>
    </row>
    <row r="1838">
      <c r="A1838" s="49">
        <v>45039.94077716435</v>
      </c>
      <c r="B1838" s="50">
        <v>45040.0657561574</v>
      </c>
      <c r="C1838" s="51">
        <v>1.035</v>
      </c>
      <c r="D1838" s="51">
        <v>67.0</v>
      </c>
      <c r="E1838" s="52" t="s">
        <v>25</v>
      </c>
      <c r="F1838" s="52" t="s">
        <v>26</v>
      </c>
      <c r="G1838" s="53"/>
    </row>
    <row r="1839">
      <c r="A1839" s="49">
        <v>45039.951223703705</v>
      </c>
      <c r="B1839" s="50">
        <v>45040.076198449</v>
      </c>
      <c r="C1839" s="51">
        <v>1.035</v>
      </c>
      <c r="D1839" s="51">
        <v>67.0</v>
      </c>
      <c r="E1839" s="52" t="s">
        <v>25</v>
      </c>
      <c r="F1839" s="52" t="s">
        <v>26</v>
      </c>
      <c r="G1839" s="53"/>
    </row>
    <row r="1840">
      <c r="A1840" s="49">
        <v>45039.96163841435</v>
      </c>
      <c r="B1840" s="50">
        <v>45040.0866190393</v>
      </c>
      <c r="C1840" s="51">
        <v>1.035</v>
      </c>
      <c r="D1840" s="51">
        <v>67.0</v>
      </c>
      <c r="E1840" s="52" t="s">
        <v>25</v>
      </c>
      <c r="F1840" s="52" t="s">
        <v>26</v>
      </c>
      <c r="G1840" s="53"/>
    </row>
    <row r="1841">
      <c r="A1841" s="49">
        <v>45039.97206450232</v>
      </c>
      <c r="B1841" s="50">
        <v>45040.0970399189</v>
      </c>
      <c r="C1841" s="51">
        <v>1.035</v>
      </c>
      <c r="D1841" s="51">
        <v>67.0</v>
      </c>
      <c r="E1841" s="52" t="s">
        <v>25</v>
      </c>
      <c r="F1841" s="52" t="s">
        <v>26</v>
      </c>
      <c r="G1841" s="53"/>
    </row>
    <row r="1842">
      <c r="A1842" s="49">
        <v>45039.982485555556</v>
      </c>
      <c r="B1842" s="50">
        <v>45040.1074609027</v>
      </c>
      <c r="C1842" s="51">
        <v>1.035</v>
      </c>
      <c r="D1842" s="51">
        <v>67.0</v>
      </c>
      <c r="E1842" s="52" t="s">
        <v>25</v>
      </c>
      <c r="F1842" s="52" t="s">
        <v>26</v>
      </c>
      <c r="G1842" s="53"/>
    </row>
    <row r="1843">
      <c r="A1843" s="49">
        <v>45039.99289800926</v>
      </c>
      <c r="B1843" s="50">
        <v>45040.1178810069</v>
      </c>
      <c r="C1843" s="51">
        <v>1.035</v>
      </c>
      <c r="D1843" s="51">
        <v>67.0</v>
      </c>
      <c r="E1843" s="52" t="s">
        <v>25</v>
      </c>
      <c r="F1843" s="52" t="s">
        <v>26</v>
      </c>
      <c r="G1843" s="53"/>
    </row>
    <row r="1844">
      <c r="A1844" s="49">
        <v>45040.00333461806</v>
      </c>
      <c r="B1844" s="50">
        <v>45040.12831478</v>
      </c>
      <c r="C1844" s="51">
        <v>1.035</v>
      </c>
      <c r="D1844" s="51">
        <v>67.0</v>
      </c>
      <c r="E1844" s="52" t="s">
        <v>25</v>
      </c>
      <c r="F1844" s="52" t="s">
        <v>26</v>
      </c>
      <c r="G1844" s="53"/>
    </row>
    <row r="1845">
      <c r="A1845" s="49">
        <v>45040.01376002315</v>
      </c>
      <c r="B1845" s="50">
        <v>45040.1387341088</v>
      </c>
      <c r="C1845" s="51">
        <v>1.035</v>
      </c>
      <c r="D1845" s="51">
        <v>67.0</v>
      </c>
      <c r="E1845" s="52" t="s">
        <v>25</v>
      </c>
      <c r="F1845" s="52" t="s">
        <v>26</v>
      </c>
      <c r="G1845" s="53"/>
    </row>
    <row r="1846">
      <c r="A1846" s="49">
        <v>45040.024183113426</v>
      </c>
      <c r="B1846" s="50">
        <v>45040.1491543287</v>
      </c>
      <c r="C1846" s="51">
        <v>1.035</v>
      </c>
      <c r="D1846" s="51">
        <v>67.0</v>
      </c>
      <c r="E1846" s="52" t="s">
        <v>25</v>
      </c>
      <c r="F1846" s="52" t="s">
        <v>26</v>
      </c>
      <c r="G1846" s="53"/>
    </row>
    <row r="1847">
      <c r="A1847" s="49">
        <v>45040.034598784725</v>
      </c>
      <c r="B1847" s="50">
        <v>45040.15957625</v>
      </c>
      <c r="C1847" s="51">
        <v>1.035</v>
      </c>
      <c r="D1847" s="51">
        <v>67.0</v>
      </c>
      <c r="E1847" s="52" t="s">
        <v>25</v>
      </c>
      <c r="F1847" s="52" t="s">
        <v>26</v>
      </c>
      <c r="G1847" s="53"/>
    </row>
    <row r="1848">
      <c r="A1848" s="49">
        <v>45040.04501783565</v>
      </c>
      <c r="B1848" s="50">
        <v>45040.1699967708</v>
      </c>
      <c r="C1848" s="51">
        <v>1.035</v>
      </c>
      <c r="D1848" s="51">
        <v>67.0</v>
      </c>
      <c r="E1848" s="52" t="s">
        <v>25</v>
      </c>
      <c r="F1848" s="52" t="s">
        <v>26</v>
      </c>
      <c r="G1848" s="53"/>
    </row>
    <row r="1849">
      <c r="A1849" s="49">
        <v>45040.05545260417</v>
      </c>
      <c r="B1849" s="50">
        <v>45040.1804291898</v>
      </c>
      <c r="C1849" s="51">
        <v>1.035</v>
      </c>
      <c r="D1849" s="51">
        <v>66.0</v>
      </c>
      <c r="E1849" s="52" t="s">
        <v>25</v>
      </c>
      <c r="F1849" s="52" t="s">
        <v>26</v>
      </c>
      <c r="G1849" s="53"/>
    </row>
    <row r="1850">
      <c r="A1850" s="49">
        <v>45040.06588068287</v>
      </c>
      <c r="B1850" s="50">
        <v>45040.1908611689</v>
      </c>
      <c r="C1850" s="51">
        <v>1.035</v>
      </c>
      <c r="D1850" s="51">
        <v>67.0</v>
      </c>
      <c r="E1850" s="52" t="s">
        <v>25</v>
      </c>
      <c r="F1850" s="52" t="s">
        <v>26</v>
      </c>
      <c r="G1850" s="53"/>
    </row>
    <row r="1851">
      <c r="A1851" s="49">
        <v>45040.07630959491</v>
      </c>
      <c r="B1851" s="50">
        <v>45040.201281574</v>
      </c>
      <c r="C1851" s="51">
        <v>1.035</v>
      </c>
      <c r="D1851" s="51">
        <v>67.0</v>
      </c>
      <c r="E1851" s="52" t="s">
        <v>25</v>
      </c>
      <c r="F1851" s="52" t="s">
        <v>26</v>
      </c>
      <c r="G1851" s="53"/>
    </row>
    <row r="1852">
      <c r="A1852" s="49">
        <v>45040.08672224537</v>
      </c>
      <c r="B1852" s="50">
        <v>45040.2117025463</v>
      </c>
      <c r="C1852" s="51">
        <v>1.035</v>
      </c>
      <c r="D1852" s="51">
        <v>67.0</v>
      </c>
      <c r="E1852" s="52" t="s">
        <v>25</v>
      </c>
      <c r="F1852" s="52" t="s">
        <v>26</v>
      </c>
      <c r="G1852" s="53"/>
    </row>
    <row r="1853">
      <c r="A1853" s="49">
        <v>45040.0971394213</v>
      </c>
      <c r="B1853" s="50">
        <v>45040.2221220949</v>
      </c>
      <c r="C1853" s="51">
        <v>1.035</v>
      </c>
      <c r="D1853" s="51">
        <v>67.0</v>
      </c>
      <c r="E1853" s="52" t="s">
        <v>25</v>
      </c>
      <c r="F1853" s="52" t="s">
        <v>26</v>
      </c>
      <c r="G1853" s="53"/>
    </row>
    <row r="1854">
      <c r="A1854" s="49">
        <v>45040.10757986111</v>
      </c>
      <c r="B1854" s="50">
        <v>45040.2325542013</v>
      </c>
      <c r="C1854" s="51">
        <v>1.035</v>
      </c>
      <c r="D1854" s="51">
        <v>67.0</v>
      </c>
      <c r="E1854" s="52" t="s">
        <v>25</v>
      </c>
      <c r="F1854" s="52" t="s">
        <v>26</v>
      </c>
      <c r="G1854" s="53"/>
    </row>
    <row r="1855">
      <c r="A1855" s="49">
        <v>45040.11799324074</v>
      </c>
      <c r="B1855" s="50">
        <v>45040.2429754166</v>
      </c>
      <c r="C1855" s="51">
        <v>1.035</v>
      </c>
      <c r="D1855" s="51">
        <v>67.0</v>
      </c>
      <c r="E1855" s="52" t="s">
        <v>25</v>
      </c>
      <c r="F1855" s="52" t="s">
        <v>26</v>
      </c>
      <c r="G1855" s="53"/>
    </row>
    <row r="1856">
      <c r="A1856" s="49">
        <v>45040.12841457176</v>
      </c>
      <c r="B1856" s="50">
        <v>45040.2533952083</v>
      </c>
      <c r="C1856" s="51">
        <v>1.035</v>
      </c>
      <c r="D1856" s="51">
        <v>67.0</v>
      </c>
      <c r="E1856" s="52" t="s">
        <v>25</v>
      </c>
      <c r="F1856" s="52" t="s">
        <v>26</v>
      </c>
      <c r="G1856" s="53"/>
    </row>
    <row r="1857">
      <c r="A1857" s="49">
        <v>45040.13890017361</v>
      </c>
      <c r="B1857" s="50">
        <v>45040.2638751851</v>
      </c>
      <c r="C1857" s="51">
        <v>1.035</v>
      </c>
      <c r="D1857" s="51">
        <v>66.0</v>
      </c>
      <c r="E1857" s="52" t="s">
        <v>25</v>
      </c>
      <c r="F1857" s="52" t="s">
        <v>26</v>
      </c>
      <c r="G1857" s="53"/>
    </row>
    <row r="1858">
      <c r="A1858" s="49">
        <v>45040.14932146991</v>
      </c>
      <c r="B1858" s="50">
        <v>45040.2742965625</v>
      </c>
      <c r="C1858" s="51">
        <v>1.035</v>
      </c>
      <c r="D1858" s="51">
        <v>66.0</v>
      </c>
      <c r="E1858" s="52" t="s">
        <v>25</v>
      </c>
      <c r="F1858" s="52" t="s">
        <v>26</v>
      </c>
      <c r="G1858" s="53"/>
    </row>
    <row r="1859">
      <c r="A1859" s="49">
        <v>45040.15976993056</v>
      </c>
      <c r="B1859" s="50">
        <v>45040.2847412962</v>
      </c>
      <c r="C1859" s="51">
        <v>1.035</v>
      </c>
      <c r="D1859" s="51">
        <v>66.0</v>
      </c>
      <c r="E1859" s="52" t="s">
        <v>25</v>
      </c>
      <c r="F1859" s="52" t="s">
        <v>26</v>
      </c>
      <c r="G1859" s="53"/>
    </row>
    <row r="1860">
      <c r="A1860" s="49">
        <v>45040.170181724534</v>
      </c>
      <c r="B1860" s="50">
        <v>45040.2951627314</v>
      </c>
      <c r="C1860" s="51">
        <v>1.035</v>
      </c>
      <c r="D1860" s="51">
        <v>66.0</v>
      </c>
      <c r="E1860" s="52" t="s">
        <v>25</v>
      </c>
      <c r="F1860" s="52" t="s">
        <v>26</v>
      </c>
      <c r="G1860" s="53"/>
    </row>
    <row r="1861">
      <c r="A1861" s="49">
        <v>45040.18060028936</v>
      </c>
      <c r="B1861" s="50">
        <v>45040.3055840162</v>
      </c>
      <c r="C1861" s="51">
        <v>1.035</v>
      </c>
      <c r="D1861" s="51">
        <v>66.0</v>
      </c>
      <c r="E1861" s="52" t="s">
        <v>25</v>
      </c>
      <c r="F1861" s="52" t="s">
        <v>26</v>
      </c>
      <c r="G1861" s="53"/>
    </row>
    <row r="1862">
      <c r="A1862" s="49">
        <v>45040.19102790509</v>
      </c>
      <c r="B1862" s="50">
        <v>45040.3160059375</v>
      </c>
      <c r="C1862" s="51">
        <v>1.035</v>
      </c>
      <c r="D1862" s="51">
        <v>66.0</v>
      </c>
      <c r="E1862" s="52" t="s">
        <v>25</v>
      </c>
      <c r="F1862" s="52" t="s">
        <v>26</v>
      </c>
      <c r="G1862" s="53"/>
    </row>
    <row r="1863">
      <c r="A1863" s="49">
        <v>45040.20146150463</v>
      </c>
      <c r="B1863" s="50">
        <v>45040.3264397338</v>
      </c>
      <c r="C1863" s="51">
        <v>1.035</v>
      </c>
      <c r="D1863" s="51">
        <v>66.0</v>
      </c>
      <c r="E1863" s="52" t="s">
        <v>25</v>
      </c>
      <c r="F1863" s="52" t="s">
        <v>26</v>
      </c>
      <c r="G1863" s="53"/>
    </row>
    <row r="1864">
      <c r="A1864" s="49">
        <v>45040.211889178245</v>
      </c>
      <c r="B1864" s="50">
        <v>45040.336857905</v>
      </c>
      <c r="C1864" s="51">
        <v>1.035</v>
      </c>
      <c r="D1864" s="51">
        <v>66.0</v>
      </c>
      <c r="E1864" s="52" t="s">
        <v>25</v>
      </c>
      <c r="F1864" s="52" t="s">
        <v>26</v>
      </c>
      <c r="G1864" s="53"/>
    </row>
    <row r="1865">
      <c r="A1865" s="49">
        <v>45040.22230364583</v>
      </c>
      <c r="B1865" s="50">
        <v>45040.3472784838</v>
      </c>
      <c r="C1865" s="51">
        <v>1.035</v>
      </c>
      <c r="D1865" s="51">
        <v>66.0</v>
      </c>
      <c r="E1865" s="52" t="s">
        <v>25</v>
      </c>
      <c r="F1865" s="52" t="s">
        <v>26</v>
      </c>
      <c r="G1865" s="53"/>
    </row>
    <row r="1866">
      <c r="A1866" s="49">
        <v>45040.23273232639</v>
      </c>
      <c r="B1866" s="50">
        <v>45040.3577015509</v>
      </c>
      <c r="C1866" s="51">
        <v>1.035</v>
      </c>
      <c r="D1866" s="51">
        <v>66.0</v>
      </c>
      <c r="E1866" s="52" t="s">
        <v>25</v>
      </c>
      <c r="F1866" s="52" t="s">
        <v>26</v>
      </c>
      <c r="G1866" s="53"/>
    </row>
    <row r="1867">
      <c r="A1867" s="49">
        <v>45040.24314888889</v>
      </c>
      <c r="B1867" s="50">
        <v>45040.3681223148</v>
      </c>
      <c r="C1867" s="51">
        <v>1.035</v>
      </c>
      <c r="D1867" s="51">
        <v>66.0</v>
      </c>
      <c r="E1867" s="52" t="s">
        <v>25</v>
      </c>
      <c r="F1867" s="52" t="s">
        <v>26</v>
      </c>
      <c r="G1867" s="53"/>
    </row>
    <row r="1868">
      <c r="A1868" s="49">
        <v>45040.25356387731</v>
      </c>
      <c r="B1868" s="50">
        <v>45040.378542199</v>
      </c>
      <c r="C1868" s="51">
        <v>1.034</v>
      </c>
      <c r="D1868" s="51">
        <v>66.0</v>
      </c>
      <c r="E1868" s="52" t="s">
        <v>25</v>
      </c>
      <c r="F1868" s="52" t="s">
        <v>26</v>
      </c>
      <c r="G1868" s="53"/>
    </row>
    <row r="1869">
      <c r="A1869" s="49">
        <v>45040.26400015046</v>
      </c>
      <c r="B1869" s="50">
        <v>45040.3889750925</v>
      </c>
      <c r="C1869" s="51">
        <v>1.035</v>
      </c>
      <c r="D1869" s="51">
        <v>66.0</v>
      </c>
      <c r="E1869" s="52" t="s">
        <v>25</v>
      </c>
      <c r="F1869" s="52" t="s">
        <v>26</v>
      </c>
      <c r="G1869" s="53"/>
    </row>
    <row r="1870">
      <c r="A1870" s="49">
        <v>45040.27442271991</v>
      </c>
      <c r="B1870" s="50">
        <v>45040.3993970138</v>
      </c>
      <c r="C1870" s="51">
        <v>1.034</v>
      </c>
      <c r="D1870" s="51">
        <v>66.0</v>
      </c>
      <c r="E1870" s="52" t="s">
        <v>25</v>
      </c>
      <c r="F1870" s="52" t="s">
        <v>26</v>
      </c>
      <c r="G1870" s="53"/>
    </row>
    <row r="1871">
      <c r="A1871" s="49">
        <v>45040.28484386574</v>
      </c>
      <c r="B1871" s="50">
        <v>45040.4098168518</v>
      </c>
      <c r="C1871" s="51">
        <v>1.034</v>
      </c>
      <c r="D1871" s="51">
        <v>66.0</v>
      </c>
      <c r="E1871" s="52" t="s">
        <v>25</v>
      </c>
      <c r="F1871" s="52" t="s">
        <v>26</v>
      </c>
      <c r="G1871" s="53"/>
    </row>
    <row r="1872">
      <c r="A1872" s="49">
        <v>45040.29526304398</v>
      </c>
      <c r="B1872" s="50">
        <v>45040.4202399884</v>
      </c>
      <c r="C1872" s="51">
        <v>1.035</v>
      </c>
      <c r="D1872" s="51">
        <v>66.0</v>
      </c>
      <c r="E1872" s="52" t="s">
        <v>25</v>
      </c>
      <c r="F1872" s="52" t="s">
        <v>26</v>
      </c>
      <c r="G1872" s="53"/>
    </row>
    <row r="1873">
      <c r="A1873" s="49">
        <v>45040.30569340278</v>
      </c>
      <c r="B1873" s="50">
        <v>45040.4306714004</v>
      </c>
      <c r="C1873" s="51">
        <v>1.034</v>
      </c>
      <c r="D1873" s="51">
        <v>66.0</v>
      </c>
      <c r="E1873" s="52" t="s">
        <v>25</v>
      </c>
      <c r="F1873" s="52" t="s">
        <v>26</v>
      </c>
      <c r="G1873" s="53"/>
    </row>
    <row r="1874">
      <c r="A1874" s="49">
        <v>45040.316113657405</v>
      </c>
      <c r="B1874" s="50">
        <v>45040.4410919097</v>
      </c>
      <c r="C1874" s="51">
        <v>1.034</v>
      </c>
      <c r="D1874" s="51">
        <v>66.0</v>
      </c>
      <c r="E1874" s="52" t="s">
        <v>25</v>
      </c>
      <c r="F1874" s="52" t="s">
        <v>26</v>
      </c>
      <c r="G1874" s="53"/>
    </row>
    <row r="1875">
      <c r="A1875" s="49">
        <v>45040.32654667824</v>
      </c>
      <c r="B1875" s="50">
        <v>45040.4515240509</v>
      </c>
      <c r="C1875" s="51">
        <v>1.034</v>
      </c>
      <c r="D1875" s="51">
        <v>66.0</v>
      </c>
      <c r="E1875" s="52" t="s">
        <v>25</v>
      </c>
      <c r="F1875" s="52" t="s">
        <v>26</v>
      </c>
      <c r="G1875" s="53"/>
    </row>
    <row r="1876">
      <c r="A1876" s="49">
        <v>45040.336972523146</v>
      </c>
      <c r="B1876" s="50">
        <v>45040.4619439814</v>
      </c>
      <c r="C1876" s="51">
        <v>1.034</v>
      </c>
      <c r="D1876" s="51">
        <v>66.0</v>
      </c>
      <c r="E1876" s="52" t="s">
        <v>25</v>
      </c>
      <c r="F1876" s="52" t="s">
        <v>26</v>
      </c>
      <c r="G1876" s="53"/>
    </row>
    <row r="1877">
      <c r="A1877" s="49">
        <v>45040.3473937963</v>
      </c>
      <c r="B1877" s="50">
        <v>45040.4723654976</v>
      </c>
      <c r="C1877" s="51">
        <v>1.034</v>
      </c>
      <c r="D1877" s="51">
        <v>66.0</v>
      </c>
      <c r="E1877" s="52" t="s">
        <v>25</v>
      </c>
      <c r="F1877" s="52" t="s">
        <v>26</v>
      </c>
      <c r="G1877" s="53"/>
    </row>
    <row r="1878">
      <c r="A1878" s="49">
        <v>45040.35781751157</v>
      </c>
      <c r="B1878" s="50">
        <v>45040.4827875463</v>
      </c>
      <c r="C1878" s="51">
        <v>1.034</v>
      </c>
      <c r="D1878" s="51">
        <v>66.0</v>
      </c>
      <c r="E1878" s="52" t="s">
        <v>25</v>
      </c>
      <c r="F1878" s="52" t="s">
        <v>26</v>
      </c>
      <c r="G1878" s="53"/>
    </row>
    <row r="1879">
      <c r="A1879" s="49">
        <v>45040.36824988426</v>
      </c>
      <c r="B1879" s="50">
        <v>45040.4932095833</v>
      </c>
      <c r="C1879" s="51">
        <v>1.034</v>
      </c>
      <c r="D1879" s="51">
        <v>66.0</v>
      </c>
      <c r="E1879" s="52" t="s">
        <v>25</v>
      </c>
      <c r="F1879" s="52" t="s">
        <v>26</v>
      </c>
      <c r="G1879" s="53"/>
    </row>
    <row r="1880">
      <c r="A1880" s="49">
        <v>45040.378681250004</v>
      </c>
      <c r="B1880" s="50">
        <v>45040.5036527777</v>
      </c>
      <c r="C1880" s="51">
        <v>1.034</v>
      </c>
      <c r="D1880" s="51">
        <v>66.0</v>
      </c>
      <c r="E1880" s="52" t="s">
        <v>25</v>
      </c>
      <c r="F1880" s="52" t="s">
        <v>26</v>
      </c>
      <c r="G1880" s="53"/>
    </row>
    <row r="1881">
      <c r="A1881" s="49">
        <v>45040.38910179398</v>
      </c>
      <c r="B1881" s="50">
        <v>45040.5140733796</v>
      </c>
      <c r="C1881" s="51">
        <v>1.034</v>
      </c>
      <c r="D1881" s="51">
        <v>66.0</v>
      </c>
      <c r="E1881" s="52" t="s">
        <v>25</v>
      </c>
      <c r="F1881" s="52" t="s">
        <v>26</v>
      </c>
      <c r="G1881" s="53"/>
    </row>
    <row r="1882">
      <c r="A1882" s="49">
        <v>45040.39954866898</v>
      </c>
      <c r="B1882" s="50">
        <v>45040.5245176388</v>
      </c>
      <c r="C1882" s="51">
        <v>1.034</v>
      </c>
      <c r="D1882" s="51">
        <v>66.0</v>
      </c>
      <c r="E1882" s="52" t="s">
        <v>25</v>
      </c>
      <c r="F1882" s="52" t="s">
        <v>26</v>
      </c>
      <c r="G1882" s="53"/>
    </row>
    <row r="1883">
      <c r="A1883" s="49">
        <v>45040.40997119213</v>
      </c>
      <c r="B1883" s="50">
        <v>45040.5349376273</v>
      </c>
      <c r="C1883" s="51">
        <v>1.034</v>
      </c>
      <c r="D1883" s="51">
        <v>66.0</v>
      </c>
      <c r="E1883" s="52" t="s">
        <v>25</v>
      </c>
      <c r="F1883" s="52" t="s">
        <v>26</v>
      </c>
      <c r="G1883" s="53"/>
    </row>
    <row r="1884">
      <c r="A1884" s="49">
        <v>45040.42040466436</v>
      </c>
      <c r="B1884" s="50">
        <v>45040.5453697222</v>
      </c>
      <c r="C1884" s="51">
        <v>1.034</v>
      </c>
      <c r="D1884" s="51">
        <v>66.0</v>
      </c>
      <c r="E1884" s="52" t="s">
        <v>25</v>
      </c>
      <c r="F1884" s="52" t="s">
        <v>26</v>
      </c>
      <c r="G1884" s="53"/>
    </row>
    <row r="1885">
      <c r="A1885" s="49">
        <v>45040.43081872685</v>
      </c>
      <c r="B1885" s="50">
        <v>45040.5557920949</v>
      </c>
      <c r="C1885" s="51">
        <v>1.034</v>
      </c>
      <c r="D1885" s="51">
        <v>66.0</v>
      </c>
      <c r="E1885" s="52" t="s">
        <v>25</v>
      </c>
      <c r="F1885" s="52" t="s">
        <v>26</v>
      </c>
      <c r="G1885" s="53"/>
    </row>
    <row r="1886">
      <c r="A1886" s="49">
        <v>45040.44123981481</v>
      </c>
      <c r="B1886" s="50">
        <v>45040.5662134259</v>
      </c>
      <c r="C1886" s="51">
        <v>1.034</v>
      </c>
      <c r="D1886" s="51">
        <v>66.0</v>
      </c>
      <c r="E1886" s="52" t="s">
        <v>25</v>
      </c>
      <c r="F1886" s="52" t="s">
        <v>26</v>
      </c>
      <c r="G1886" s="53"/>
    </row>
    <row r="1887">
      <c r="A1887" s="49">
        <v>45040.45168899305</v>
      </c>
      <c r="B1887" s="50">
        <v>45040.5766584027</v>
      </c>
      <c r="C1887" s="51">
        <v>1.034</v>
      </c>
      <c r="D1887" s="51">
        <v>66.0</v>
      </c>
      <c r="E1887" s="52" t="s">
        <v>25</v>
      </c>
      <c r="F1887" s="52" t="s">
        <v>26</v>
      </c>
      <c r="G1887" s="53"/>
    </row>
    <row r="1888">
      <c r="A1888" s="49">
        <v>45040.462105555554</v>
      </c>
      <c r="B1888" s="50">
        <v>45040.587080405</v>
      </c>
      <c r="C1888" s="51">
        <v>1.034</v>
      </c>
      <c r="D1888" s="51">
        <v>66.0</v>
      </c>
      <c r="E1888" s="52" t="s">
        <v>25</v>
      </c>
      <c r="F1888" s="52" t="s">
        <v>26</v>
      </c>
      <c r="G1888" s="53"/>
    </row>
    <row r="1889">
      <c r="A1889" s="49">
        <v>45040.47252769676</v>
      </c>
      <c r="B1889" s="50">
        <v>45040.5975021296</v>
      </c>
      <c r="C1889" s="51">
        <v>1.034</v>
      </c>
      <c r="D1889" s="51">
        <v>66.0</v>
      </c>
      <c r="E1889" s="52" t="s">
        <v>25</v>
      </c>
      <c r="F1889" s="52" t="s">
        <v>26</v>
      </c>
      <c r="G1889" s="53"/>
    </row>
    <row r="1890">
      <c r="A1890" s="49">
        <v>45040.4829437963</v>
      </c>
      <c r="B1890" s="50">
        <v>45040.6079230092</v>
      </c>
      <c r="C1890" s="51">
        <v>1.034</v>
      </c>
      <c r="D1890" s="51">
        <v>66.0</v>
      </c>
      <c r="E1890" s="52" t="s">
        <v>25</v>
      </c>
      <c r="F1890" s="52" t="s">
        <v>26</v>
      </c>
      <c r="G1890" s="53"/>
    </row>
    <row r="1891">
      <c r="A1891" s="49">
        <v>45040.49336578704</v>
      </c>
      <c r="B1891" s="50">
        <v>45040.6183463194</v>
      </c>
      <c r="C1891" s="51">
        <v>1.034</v>
      </c>
      <c r="D1891" s="51">
        <v>66.0</v>
      </c>
      <c r="E1891" s="52" t="s">
        <v>25</v>
      </c>
      <c r="F1891" s="52" t="s">
        <v>26</v>
      </c>
      <c r="G1891" s="53"/>
    </row>
    <row r="1892">
      <c r="A1892" s="49">
        <v>45040.50379425926</v>
      </c>
      <c r="B1892" s="50">
        <v>45040.6287672338</v>
      </c>
      <c r="C1892" s="51">
        <v>1.034</v>
      </c>
      <c r="D1892" s="51">
        <v>66.0</v>
      </c>
      <c r="E1892" s="52" t="s">
        <v>25</v>
      </c>
      <c r="F1892" s="52" t="s">
        <v>26</v>
      </c>
      <c r="G1892" s="53"/>
    </row>
    <row r="1893">
      <c r="A1893" s="49">
        <v>45040.51421337963</v>
      </c>
      <c r="B1893" s="50">
        <v>45040.639186655</v>
      </c>
      <c r="C1893" s="51">
        <v>1.034</v>
      </c>
      <c r="D1893" s="51">
        <v>66.0</v>
      </c>
      <c r="E1893" s="52" t="s">
        <v>25</v>
      </c>
      <c r="F1893" s="52" t="s">
        <v>26</v>
      </c>
      <c r="G1893" s="53"/>
    </row>
    <row r="1894">
      <c r="A1894" s="49">
        <v>45040.52469399305</v>
      </c>
      <c r="B1894" s="50">
        <v>45040.6496190393</v>
      </c>
      <c r="C1894" s="51">
        <v>1.034</v>
      </c>
      <c r="D1894" s="51">
        <v>66.0</v>
      </c>
      <c r="E1894" s="52" t="s">
        <v>25</v>
      </c>
      <c r="F1894" s="52" t="s">
        <v>26</v>
      </c>
      <c r="G1894" s="53"/>
    </row>
    <row r="1895">
      <c r="A1895" s="49">
        <v>45040.53507304398</v>
      </c>
      <c r="B1895" s="50">
        <v>45040.6600517592</v>
      </c>
      <c r="C1895" s="51">
        <v>1.034</v>
      </c>
      <c r="D1895" s="51">
        <v>66.0</v>
      </c>
      <c r="E1895" s="52" t="s">
        <v>25</v>
      </c>
      <c r="F1895" s="52" t="s">
        <v>26</v>
      </c>
      <c r="G1895" s="53"/>
    </row>
    <row r="1896">
      <c r="A1896" s="49">
        <v>45040.545499479165</v>
      </c>
      <c r="B1896" s="50">
        <v>45040.6704738426</v>
      </c>
      <c r="C1896" s="51">
        <v>1.034</v>
      </c>
      <c r="D1896" s="51">
        <v>66.0</v>
      </c>
      <c r="E1896" s="52" t="s">
        <v>25</v>
      </c>
      <c r="F1896" s="52" t="s">
        <v>26</v>
      </c>
      <c r="G1896" s="53"/>
    </row>
    <row r="1897">
      <c r="A1897" s="49">
        <v>45040.55593423611</v>
      </c>
      <c r="B1897" s="50">
        <v>45040.6809081018</v>
      </c>
      <c r="C1897" s="51">
        <v>1.034</v>
      </c>
      <c r="D1897" s="51">
        <v>66.0</v>
      </c>
      <c r="E1897" s="52" t="s">
        <v>25</v>
      </c>
      <c r="F1897" s="52" t="s">
        <v>26</v>
      </c>
      <c r="G1897" s="53"/>
    </row>
    <row r="1898">
      <c r="A1898" s="49">
        <v>45040.56634842593</v>
      </c>
      <c r="B1898" s="50">
        <v>45040.6913298263</v>
      </c>
      <c r="C1898" s="51">
        <v>1.034</v>
      </c>
      <c r="D1898" s="51">
        <v>66.0</v>
      </c>
      <c r="E1898" s="52" t="s">
        <v>25</v>
      </c>
      <c r="F1898" s="52" t="s">
        <v>26</v>
      </c>
      <c r="G1898" s="53"/>
    </row>
    <row r="1899">
      <c r="A1899" s="49">
        <v>45040.57678447917</v>
      </c>
      <c r="B1899" s="50">
        <v>45040.7017510301</v>
      </c>
      <c r="C1899" s="51">
        <v>1.034</v>
      </c>
      <c r="D1899" s="51">
        <v>66.0</v>
      </c>
      <c r="E1899" s="52" t="s">
        <v>25</v>
      </c>
      <c r="F1899" s="52" t="s">
        <v>26</v>
      </c>
      <c r="G1899" s="53"/>
    </row>
    <row r="1900">
      <c r="A1900" s="49">
        <v>45040.58719550926</v>
      </c>
      <c r="B1900" s="50">
        <v>45040.7121732638</v>
      </c>
      <c r="C1900" s="51">
        <v>1.034</v>
      </c>
      <c r="D1900" s="51">
        <v>66.0</v>
      </c>
      <c r="E1900" s="52" t="s">
        <v>25</v>
      </c>
      <c r="F1900" s="52" t="s">
        <v>26</v>
      </c>
      <c r="G1900" s="53"/>
    </row>
    <row r="1901">
      <c r="A1901" s="49">
        <v>45040.59761445602</v>
      </c>
      <c r="B1901" s="50">
        <v>45040.7225940162</v>
      </c>
      <c r="C1901" s="51">
        <v>1.034</v>
      </c>
      <c r="D1901" s="51">
        <v>66.0</v>
      </c>
      <c r="E1901" s="52" t="s">
        <v>25</v>
      </c>
      <c r="F1901" s="52" t="s">
        <v>26</v>
      </c>
      <c r="G1901" s="53"/>
    </row>
    <row r="1902">
      <c r="A1902" s="49">
        <v>45040.6080425</v>
      </c>
      <c r="B1902" s="50">
        <v>45040.7330154976</v>
      </c>
      <c r="C1902" s="51">
        <v>1.034</v>
      </c>
      <c r="D1902" s="51">
        <v>66.0</v>
      </c>
      <c r="E1902" s="52" t="s">
        <v>25</v>
      </c>
      <c r="F1902" s="52" t="s">
        <v>26</v>
      </c>
      <c r="G1902" s="53"/>
    </row>
    <row r="1903">
      <c r="A1903" s="49">
        <v>45040.6184674074</v>
      </c>
      <c r="B1903" s="50">
        <v>45040.7434370601</v>
      </c>
      <c r="C1903" s="51">
        <v>1.034</v>
      </c>
      <c r="D1903" s="51">
        <v>66.0</v>
      </c>
      <c r="E1903" s="52" t="s">
        <v>25</v>
      </c>
      <c r="F1903" s="52" t="s">
        <v>26</v>
      </c>
      <c r="G1903" s="53"/>
    </row>
    <row r="1904">
      <c r="A1904" s="49">
        <v>45040.62888379629</v>
      </c>
      <c r="B1904" s="50">
        <v>45040.7538590393</v>
      </c>
      <c r="C1904" s="51">
        <v>1.034</v>
      </c>
      <c r="D1904" s="51">
        <v>66.0</v>
      </c>
      <c r="E1904" s="52" t="s">
        <v>25</v>
      </c>
      <c r="F1904" s="52" t="s">
        <v>26</v>
      </c>
      <c r="G1904" s="53"/>
    </row>
    <row r="1905">
      <c r="A1905" s="49">
        <v>45040.639332175924</v>
      </c>
      <c r="B1905" s="50">
        <v>45040.7643029976</v>
      </c>
      <c r="C1905" s="51">
        <v>1.034</v>
      </c>
      <c r="D1905" s="51">
        <v>66.0</v>
      </c>
      <c r="E1905" s="52" t="s">
        <v>25</v>
      </c>
      <c r="F1905" s="52" t="s">
        <v>26</v>
      </c>
      <c r="G1905" s="53"/>
    </row>
    <row r="1906">
      <c r="A1906" s="49">
        <v>45040.64976537037</v>
      </c>
      <c r="B1906" s="50">
        <v>45040.7747455439</v>
      </c>
      <c r="C1906" s="51">
        <v>1.034</v>
      </c>
      <c r="D1906" s="51">
        <v>66.0</v>
      </c>
      <c r="E1906" s="52" t="s">
        <v>25</v>
      </c>
      <c r="F1906" s="52" t="s">
        <v>26</v>
      </c>
      <c r="G1906" s="53"/>
    </row>
    <row r="1907">
      <c r="A1907" s="49">
        <v>45040.66020263889</v>
      </c>
      <c r="B1907" s="50">
        <v>45040.7851778125</v>
      </c>
      <c r="C1907" s="51">
        <v>1.034</v>
      </c>
      <c r="D1907" s="51">
        <v>66.0</v>
      </c>
      <c r="E1907" s="52" t="s">
        <v>25</v>
      </c>
      <c r="F1907" s="52" t="s">
        <v>26</v>
      </c>
      <c r="G1907" s="53"/>
    </row>
    <row r="1908">
      <c r="A1908" s="49">
        <v>45040.67062621527</v>
      </c>
      <c r="B1908" s="50">
        <v>45040.7955995023</v>
      </c>
      <c r="C1908" s="51">
        <v>1.034</v>
      </c>
      <c r="D1908" s="51">
        <v>66.0</v>
      </c>
      <c r="E1908" s="52" t="s">
        <v>25</v>
      </c>
      <c r="F1908" s="52" t="s">
        <v>26</v>
      </c>
      <c r="G1908" s="53"/>
    </row>
    <row r="1909">
      <c r="A1909" s="49">
        <v>45040.68110184028</v>
      </c>
      <c r="B1909" s="50">
        <v>45040.8060800231</v>
      </c>
      <c r="C1909" s="51">
        <v>1.034</v>
      </c>
      <c r="D1909" s="51">
        <v>66.0</v>
      </c>
      <c r="E1909" s="52" t="s">
        <v>25</v>
      </c>
      <c r="F1909" s="52" t="s">
        <v>26</v>
      </c>
      <c r="G1909" s="53"/>
    </row>
    <row r="1910">
      <c r="A1910" s="49">
        <v>45040.69151859954</v>
      </c>
      <c r="B1910" s="50">
        <v>45040.8165004745</v>
      </c>
      <c r="C1910" s="51">
        <v>1.034</v>
      </c>
      <c r="D1910" s="51">
        <v>66.0</v>
      </c>
      <c r="E1910" s="52" t="s">
        <v>25</v>
      </c>
      <c r="F1910" s="52" t="s">
        <v>26</v>
      </c>
      <c r="G1910" s="53"/>
    </row>
    <row r="1911">
      <c r="A1911" s="49">
        <v>45040.70194721065</v>
      </c>
      <c r="B1911" s="50">
        <v>45040.8269228356</v>
      </c>
      <c r="C1911" s="51">
        <v>1.034</v>
      </c>
      <c r="D1911" s="51">
        <v>66.0</v>
      </c>
      <c r="E1911" s="52" t="s">
        <v>25</v>
      </c>
      <c r="F1911" s="52" t="s">
        <v>26</v>
      </c>
      <c r="G1911" s="53"/>
    </row>
    <row r="1912">
      <c r="A1912" s="49">
        <v>45040.71236204861</v>
      </c>
      <c r="B1912" s="50">
        <v>45040.83734478</v>
      </c>
      <c r="C1912" s="51">
        <v>1.034</v>
      </c>
      <c r="D1912" s="51">
        <v>66.0</v>
      </c>
      <c r="E1912" s="52" t="s">
        <v>25</v>
      </c>
      <c r="F1912" s="52" t="s">
        <v>26</v>
      </c>
      <c r="G1912" s="53"/>
    </row>
    <row r="1913">
      <c r="A1913" s="49">
        <v>45040.72280974537</v>
      </c>
      <c r="B1913" s="50">
        <v>45040.8477786689</v>
      </c>
      <c r="C1913" s="51">
        <v>1.034</v>
      </c>
      <c r="D1913" s="51">
        <v>66.0</v>
      </c>
      <c r="E1913" s="52" t="s">
        <v>25</v>
      </c>
      <c r="F1913" s="52" t="s">
        <v>26</v>
      </c>
      <c r="G1913" s="53"/>
    </row>
    <row r="1914">
      <c r="A1914" s="49">
        <v>45040.73324037037</v>
      </c>
      <c r="B1914" s="50">
        <v>45040.8582226157</v>
      </c>
      <c r="C1914" s="51">
        <v>1.034</v>
      </c>
      <c r="D1914" s="51">
        <v>66.0</v>
      </c>
      <c r="E1914" s="52" t="s">
        <v>25</v>
      </c>
      <c r="F1914" s="52" t="s">
        <v>26</v>
      </c>
      <c r="G1914" s="53"/>
    </row>
    <row r="1915">
      <c r="A1915" s="49">
        <v>45040.74370412037</v>
      </c>
      <c r="B1915" s="50">
        <v>45040.8686779513</v>
      </c>
      <c r="C1915" s="51">
        <v>1.034</v>
      </c>
      <c r="D1915" s="51">
        <v>66.0</v>
      </c>
      <c r="E1915" s="52" t="s">
        <v>25</v>
      </c>
      <c r="F1915" s="52" t="s">
        <v>26</v>
      </c>
      <c r="G1915" s="53"/>
    </row>
    <row r="1916">
      <c r="A1916" s="49">
        <v>45040.75413260417</v>
      </c>
      <c r="B1916" s="50">
        <v>45040.879109618</v>
      </c>
      <c r="C1916" s="51">
        <v>1.034</v>
      </c>
      <c r="D1916" s="51">
        <v>66.0</v>
      </c>
      <c r="E1916" s="52" t="s">
        <v>25</v>
      </c>
      <c r="F1916" s="52" t="s">
        <v>26</v>
      </c>
      <c r="G1916" s="53"/>
    </row>
    <row r="1917">
      <c r="A1917" s="49">
        <v>45040.76455320602</v>
      </c>
      <c r="B1917" s="50">
        <v>45040.8895285416</v>
      </c>
      <c r="C1917" s="51">
        <v>1.034</v>
      </c>
      <c r="D1917" s="51">
        <v>66.0</v>
      </c>
      <c r="E1917" s="52" t="s">
        <v>25</v>
      </c>
      <c r="F1917" s="52" t="s">
        <v>26</v>
      </c>
      <c r="G1917" s="53"/>
    </row>
    <row r="1918">
      <c r="A1918" s="49">
        <v>45040.77496826389</v>
      </c>
      <c r="B1918" s="50">
        <v>45040.8999496412</v>
      </c>
      <c r="C1918" s="51">
        <v>1.034</v>
      </c>
      <c r="D1918" s="51">
        <v>66.0</v>
      </c>
      <c r="E1918" s="52" t="s">
        <v>25</v>
      </c>
      <c r="F1918" s="52" t="s">
        <v>26</v>
      </c>
      <c r="G1918" s="53"/>
    </row>
    <row r="1919">
      <c r="A1919" s="49">
        <v>45040.78540329861</v>
      </c>
      <c r="B1919" s="50">
        <v>45040.9103715277</v>
      </c>
      <c r="C1919" s="51">
        <v>1.034</v>
      </c>
      <c r="D1919" s="51">
        <v>66.0</v>
      </c>
      <c r="E1919" s="52" t="s">
        <v>25</v>
      </c>
      <c r="F1919" s="52" t="s">
        <v>26</v>
      </c>
      <c r="G1919" s="53"/>
    </row>
    <row r="1920">
      <c r="A1920" s="49">
        <v>45040.795822280095</v>
      </c>
      <c r="B1920" s="50">
        <v>45040.9207941088</v>
      </c>
      <c r="C1920" s="51">
        <v>1.034</v>
      </c>
      <c r="D1920" s="51">
        <v>66.0</v>
      </c>
      <c r="E1920" s="52" t="s">
        <v>25</v>
      </c>
      <c r="F1920" s="52" t="s">
        <v>26</v>
      </c>
      <c r="G1920" s="53"/>
    </row>
    <row r="1921">
      <c r="A1921" s="49">
        <v>45040.80626113426</v>
      </c>
      <c r="B1921" s="50">
        <v>45040.9312145023</v>
      </c>
      <c r="C1921" s="51">
        <v>1.034</v>
      </c>
      <c r="D1921" s="51">
        <v>66.0</v>
      </c>
      <c r="E1921" s="52" t="s">
        <v>25</v>
      </c>
      <c r="F1921" s="52" t="s">
        <v>26</v>
      </c>
      <c r="G1921" s="53"/>
    </row>
    <row r="1922">
      <c r="A1922" s="49">
        <v>45040.81666326389</v>
      </c>
      <c r="B1922" s="50">
        <v>45040.9416373032</v>
      </c>
      <c r="C1922" s="51">
        <v>1.034</v>
      </c>
      <c r="D1922" s="51">
        <v>66.0</v>
      </c>
      <c r="E1922" s="52" t="s">
        <v>25</v>
      </c>
      <c r="F1922" s="52" t="s">
        <v>26</v>
      </c>
      <c r="G1922" s="53"/>
    </row>
    <row r="1923">
      <c r="A1923" s="49">
        <v>45040.827076851856</v>
      </c>
      <c r="B1923" s="50">
        <v>45040.952057037</v>
      </c>
      <c r="C1923" s="51">
        <v>1.034</v>
      </c>
      <c r="D1923" s="51">
        <v>66.0</v>
      </c>
      <c r="E1923" s="52" t="s">
        <v>25</v>
      </c>
      <c r="F1923" s="52" t="s">
        <v>26</v>
      </c>
      <c r="G1923" s="53"/>
    </row>
    <row r="1924">
      <c r="A1924" s="49">
        <v>45040.83750770833</v>
      </c>
      <c r="B1924" s="50">
        <v>45040.9624793171</v>
      </c>
      <c r="C1924" s="51">
        <v>1.034</v>
      </c>
      <c r="D1924" s="51">
        <v>66.0</v>
      </c>
      <c r="E1924" s="52" t="s">
        <v>25</v>
      </c>
      <c r="F1924" s="52" t="s">
        <v>26</v>
      </c>
      <c r="G1924" s="53"/>
    </row>
    <row r="1925">
      <c r="A1925" s="49">
        <v>45040.84792347222</v>
      </c>
      <c r="B1925" s="50">
        <v>45040.9728990625</v>
      </c>
      <c r="C1925" s="51">
        <v>1.033</v>
      </c>
      <c r="D1925" s="51">
        <v>66.0</v>
      </c>
      <c r="E1925" s="52" t="s">
        <v>25</v>
      </c>
      <c r="F1925" s="52" t="s">
        <v>26</v>
      </c>
      <c r="G1925" s="53"/>
    </row>
    <row r="1926">
      <c r="A1926" s="49">
        <v>45040.858337384256</v>
      </c>
      <c r="B1926" s="50">
        <v>45040.9833197106</v>
      </c>
      <c r="C1926" s="51">
        <v>1.033</v>
      </c>
      <c r="D1926" s="51">
        <v>66.0</v>
      </c>
      <c r="E1926" s="52" t="s">
        <v>25</v>
      </c>
      <c r="F1926" s="52" t="s">
        <v>26</v>
      </c>
      <c r="G1926" s="53"/>
    </row>
    <row r="1927">
      <c r="A1927" s="49">
        <v>45040.868783321755</v>
      </c>
      <c r="B1927" s="50">
        <v>45040.9937647106</v>
      </c>
      <c r="C1927" s="51">
        <v>1.034</v>
      </c>
      <c r="D1927" s="51">
        <v>66.0</v>
      </c>
      <c r="E1927" s="52" t="s">
        <v>25</v>
      </c>
      <c r="F1927" s="52" t="s">
        <v>26</v>
      </c>
      <c r="G1927" s="53"/>
    </row>
    <row r="1928">
      <c r="A1928" s="49">
        <v>45040.879225578705</v>
      </c>
      <c r="B1928" s="50">
        <v>45041.0041969328</v>
      </c>
      <c r="C1928" s="51">
        <v>1.033</v>
      </c>
      <c r="D1928" s="51">
        <v>66.0</v>
      </c>
      <c r="E1928" s="52" t="s">
        <v>25</v>
      </c>
      <c r="F1928" s="52" t="s">
        <v>26</v>
      </c>
      <c r="G1928" s="53"/>
    </row>
    <row r="1929">
      <c r="A1929" s="49">
        <v>45040.88965719908</v>
      </c>
      <c r="B1929" s="50">
        <v>45041.0146300694</v>
      </c>
      <c r="C1929" s="51">
        <v>1.034</v>
      </c>
      <c r="D1929" s="51">
        <v>66.0</v>
      </c>
      <c r="E1929" s="52" t="s">
        <v>25</v>
      </c>
      <c r="F1929" s="52" t="s">
        <v>26</v>
      </c>
      <c r="G1929" s="53"/>
    </row>
    <row r="1930">
      <c r="A1930" s="49">
        <v>45040.9000721412</v>
      </c>
      <c r="B1930" s="50">
        <v>45041.0250523263</v>
      </c>
      <c r="C1930" s="51">
        <v>1.033</v>
      </c>
      <c r="D1930" s="51">
        <v>66.0</v>
      </c>
      <c r="E1930" s="52" t="s">
        <v>25</v>
      </c>
      <c r="F1930" s="52" t="s">
        <v>26</v>
      </c>
      <c r="G1930" s="53"/>
    </row>
    <row r="1931">
      <c r="A1931" s="49">
        <v>45040.91049730324</v>
      </c>
      <c r="B1931" s="50">
        <v>45041.0354750231</v>
      </c>
      <c r="C1931" s="51">
        <v>1.033</v>
      </c>
      <c r="D1931" s="51">
        <v>66.0</v>
      </c>
      <c r="E1931" s="52" t="s">
        <v>25</v>
      </c>
      <c r="F1931" s="52" t="s">
        <v>26</v>
      </c>
      <c r="G1931" s="53"/>
    </row>
    <row r="1932">
      <c r="A1932" s="49">
        <v>45040.9209209838</v>
      </c>
      <c r="B1932" s="50">
        <v>45041.0458971875</v>
      </c>
      <c r="C1932" s="51">
        <v>1.033</v>
      </c>
      <c r="D1932" s="51">
        <v>66.0</v>
      </c>
      <c r="E1932" s="52" t="s">
        <v>25</v>
      </c>
      <c r="F1932" s="52" t="s">
        <v>26</v>
      </c>
      <c r="G1932" s="53"/>
    </row>
    <row r="1933">
      <c r="A1933" s="49">
        <v>45040.9313446875</v>
      </c>
      <c r="B1933" s="50">
        <v>45041.0563173842</v>
      </c>
      <c r="C1933" s="51">
        <v>1.033</v>
      </c>
      <c r="D1933" s="51">
        <v>66.0</v>
      </c>
      <c r="E1933" s="52" t="s">
        <v>25</v>
      </c>
      <c r="F1933" s="52" t="s">
        <v>26</v>
      </c>
      <c r="G1933" s="53"/>
    </row>
    <row r="1934">
      <c r="A1934" s="49">
        <v>45040.941759293986</v>
      </c>
      <c r="B1934" s="50">
        <v>45041.0667383333</v>
      </c>
      <c r="C1934" s="51">
        <v>1.033</v>
      </c>
      <c r="D1934" s="51">
        <v>66.0</v>
      </c>
      <c r="E1934" s="52" t="s">
        <v>25</v>
      </c>
      <c r="F1934" s="52" t="s">
        <v>26</v>
      </c>
      <c r="G1934" s="53"/>
    </row>
    <row r="1935">
      <c r="A1935" s="49">
        <v>45040.95218572917</v>
      </c>
      <c r="B1935" s="50">
        <v>45041.0771603819</v>
      </c>
      <c r="C1935" s="51">
        <v>1.033</v>
      </c>
      <c r="D1935" s="51">
        <v>66.0</v>
      </c>
      <c r="E1935" s="52" t="s">
        <v>25</v>
      </c>
      <c r="F1935" s="52" t="s">
        <v>26</v>
      </c>
      <c r="G1935" s="53"/>
    </row>
    <row r="1936">
      <c r="A1936" s="49">
        <v>45040.96263065972</v>
      </c>
      <c r="B1936" s="50">
        <v>45041.087602824</v>
      </c>
      <c r="C1936" s="51">
        <v>1.033</v>
      </c>
      <c r="D1936" s="51">
        <v>66.0</v>
      </c>
      <c r="E1936" s="52" t="s">
        <v>25</v>
      </c>
      <c r="F1936" s="52" t="s">
        <v>26</v>
      </c>
      <c r="G1936" s="53"/>
    </row>
    <row r="1937">
      <c r="A1937" s="49">
        <v>45040.97306528935</v>
      </c>
      <c r="B1937" s="50">
        <v>45041.0980357523</v>
      </c>
      <c r="C1937" s="51">
        <v>1.033</v>
      </c>
      <c r="D1937" s="51">
        <v>66.0</v>
      </c>
      <c r="E1937" s="52" t="s">
        <v>25</v>
      </c>
      <c r="F1937" s="52" t="s">
        <v>26</v>
      </c>
      <c r="G1937" s="53"/>
    </row>
    <row r="1938">
      <c r="A1938" s="49">
        <v>45040.98348521991</v>
      </c>
      <c r="B1938" s="50">
        <v>45041.1084574421</v>
      </c>
      <c r="C1938" s="51">
        <v>1.033</v>
      </c>
      <c r="D1938" s="51">
        <v>66.0</v>
      </c>
      <c r="E1938" s="52" t="s">
        <v>25</v>
      </c>
      <c r="F1938" s="52" t="s">
        <v>26</v>
      </c>
      <c r="G1938" s="53"/>
    </row>
    <row r="1939">
      <c r="A1939" s="49">
        <v>45040.993898125</v>
      </c>
      <c r="B1939" s="50">
        <v>45041.1188776041</v>
      </c>
      <c r="C1939" s="51">
        <v>1.033</v>
      </c>
      <c r="D1939" s="51">
        <v>66.0</v>
      </c>
      <c r="E1939" s="52" t="s">
        <v>25</v>
      </c>
      <c r="F1939" s="52" t="s">
        <v>26</v>
      </c>
      <c r="G1939" s="53"/>
    </row>
    <row r="1940">
      <c r="A1940" s="49">
        <v>45041.00431829861</v>
      </c>
      <c r="B1940" s="50">
        <v>45041.1292976504</v>
      </c>
      <c r="C1940" s="51">
        <v>1.033</v>
      </c>
      <c r="D1940" s="51">
        <v>66.0</v>
      </c>
      <c r="E1940" s="52" t="s">
        <v>25</v>
      </c>
      <c r="F1940" s="52" t="s">
        <v>26</v>
      </c>
      <c r="G1940" s="53"/>
    </row>
    <row r="1941">
      <c r="A1941" s="49">
        <v>45041.01474525463</v>
      </c>
      <c r="B1941" s="50">
        <v>45041.139720625</v>
      </c>
      <c r="C1941" s="51">
        <v>1.033</v>
      </c>
      <c r="D1941" s="51">
        <v>66.0</v>
      </c>
      <c r="E1941" s="52" t="s">
        <v>25</v>
      </c>
      <c r="F1941" s="52" t="s">
        <v>26</v>
      </c>
      <c r="G1941" s="53"/>
    </row>
    <row r="1942">
      <c r="A1942" s="49">
        <v>45041.02517408565</v>
      </c>
      <c r="B1942" s="50">
        <v>45041.1501548263</v>
      </c>
      <c r="C1942" s="51">
        <v>1.033</v>
      </c>
      <c r="D1942" s="51">
        <v>66.0</v>
      </c>
      <c r="E1942" s="52" t="s">
        <v>25</v>
      </c>
      <c r="F1942" s="52" t="s">
        <v>26</v>
      </c>
      <c r="G1942" s="53"/>
    </row>
    <row r="1943">
      <c r="A1943" s="49">
        <v>45041.03561880787</v>
      </c>
      <c r="B1943" s="50">
        <v>45041.1605874884</v>
      </c>
      <c r="C1943" s="51">
        <v>1.033</v>
      </c>
      <c r="D1943" s="51">
        <v>66.0</v>
      </c>
      <c r="E1943" s="52" t="s">
        <v>25</v>
      </c>
      <c r="F1943" s="52" t="s">
        <v>26</v>
      </c>
      <c r="G1943" s="53"/>
    </row>
    <row r="1944">
      <c r="A1944" s="49">
        <v>45041.046055196755</v>
      </c>
      <c r="B1944" s="50">
        <v>45041.1710216319</v>
      </c>
      <c r="C1944" s="51">
        <v>1.033</v>
      </c>
      <c r="D1944" s="51">
        <v>66.0</v>
      </c>
      <c r="E1944" s="52" t="s">
        <v>25</v>
      </c>
      <c r="F1944" s="52" t="s">
        <v>26</v>
      </c>
      <c r="G1944" s="53"/>
    </row>
    <row r="1945">
      <c r="A1945" s="49">
        <v>45041.056466354166</v>
      </c>
      <c r="B1945" s="50">
        <v>45041.1814433912</v>
      </c>
      <c r="C1945" s="51">
        <v>1.033</v>
      </c>
      <c r="D1945" s="51">
        <v>66.0</v>
      </c>
      <c r="E1945" s="52" t="s">
        <v>25</v>
      </c>
      <c r="F1945" s="52" t="s">
        <v>26</v>
      </c>
      <c r="G1945" s="53"/>
    </row>
    <row r="1946">
      <c r="A1946" s="49">
        <v>45041.066884687505</v>
      </c>
      <c r="B1946" s="50">
        <v>45041.1918639583</v>
      </c>
      <c r="C1946" s="51">
        <v>1.033</v>
      </c>
      <c r="D1946" s="51">
        <v>66.0</v>
      </c>
      <c r="E1946" s="52" t="s">
        <v>25</v>
      </c>
      <c r="F1946" s="52" t="s">
        <v>26</v>
      </c>
      <c r="G1946" s="53"/>
    </row>
    <row r="1947">
      <c r="A1947" s="49">
        <v>45041.07730395833</v>
      </c>
      <c r="B1947" s="50">
        <v>45041.2022870833</v>
      </c>
      <c r="C1947" s="51">
        <v>1.033</v>
      </c>
      <c r="D1947" s="51">
        <v>66.0</v>
      </c>
      <c r="E1947" s="52" t="s">
        <v>25</v>
      </c>
      <c r="F1947" s="52" t="s">
        <v>26</v>
      </c>
      <c r="G1947" s="53"/>
    </row>
    <row r="1948">
      <c r="A1948" s="49">
        <v>45041.0877265625</v>
      </c>
      <c r="B1948" s="50">
        <v>45041.2127075578</v>
      </c>
      <c r="C1948" s="51">
        <v>1.033</v>
      </c>
      <c r="D1948" s="51">
        <v>66.0</v>
      </c>
      <c r="E1948" s="52" t="s">
        <v>25</v>
      </c>
      <c r="F1948" s="52" t="s">
        <v>26</v>
      </c>
      <c r="G1948" s="53"/>
    </row>
    <row r="1949">
      <c r="A1949" s="49">
        <v>45041.09819700231</v>
      </c>
      <c r="B1949" s="50">
        <v>45041.2231634143</v>
      </c>
      <c r="C1949" s="51">
        <v>1.033</v>
      </c>
      <c r="D1949" s="51">
        <v>66.0</v>
      </c>
      <c r="E1949" s="52" t="s">
        <v>25</v>
      </c>
      <c r="F1949" s="52" t="s">
        <v>26</v>
      </c>
      <c r="G1949" s="53"/>
    </row>
    <row r="1950">
      <c r="A1950" s="49">
        <v>45041.10862407407</v>
      </c>
      <c r="B1950" s="50">
        <v>45041.2335950926</v>
      </c>
      <c r="C1950" s="51">
        <v>1.033</v>
      </c>
      <c r="D1950" s="51">
        <v>66.0</v>
      </c>
      <c r="E1950" s="52" t="s">
        <v>25</v>
      </c>
      <c r="F1950" s="52" t="s">
        <v>26</v>
      </c>
      <c r="G1950" s="53"/>
    </row>
    <row r="1951">
      <c r="A1951" s="49">
        <v>45041.11903696759</v>
      </c>
      <c r="B1951" s="50">
        <v>45041.2440133333</v>
      </c>
      <c r="C1951" s="51">
        <v>1.033</v>
      </c>
      <c r="D1951" s="51">
        <v>66.0</v>
      </c>
      <c r="E1951" s="52" t="s">
        <v>25</v>
      </c>
      <c r="F1951" s="52" t="s">
        <v>26</v>
      </c>
      <c r="G1951" s="53"/>
    </row>
    <row r="1952">
      <c r="A1952" s="49">
        <v>45041.12945934028</v>
      </c>
      <c r="B1952" s="50">
        <v>45041.2544343055</v>
      </c>
      <c r="C1952" s="51">
        <v>1.033</v>
      </c>
      <c r="D1952" s="51">
        <v>66.0</v>
      </c>
      <c r="E1952" s="52" t="s">
        <v>25</v>
      </c>
      <c r="F1952" s="52" t="s">
        <v>26</v>
      </c>
      <c r="G1952" s="53"/>
    </row>
    <row r="1953">
      <c r="A1953" s="49">
        <v>45041.13987979166</v>
      </c>
      <c r="B1953" s="50">
        <v>45041.2648557291</v>
      </c>
      <c r="C1953" s="51">
        <v>1.033</v>
      </c>
      <c r="D1953" s="51">
        <v>66.0</v>
      </c>
      <c r="E1953" s="52" t="s">
        <v>25</v>
      </c>
      <c r="F1953" s="52" t="s">
        <v>26</v>
      </c>
      <c r="G1953" s="53"/>
    </row>
    <row r="1954">
      <c r="A1954" s="49">
        <v>45041.150326724535</v>
      </c>
      <c r="B1954" s="50">
        <v>45041.2753006018</v>
      </c>
      <c r="C1954" s="51">
        <v>1.033</v>
      </c>
      <c r="D1954" s="51">
        <v>66.0</v>
      </c>
      <c r="E1954" s="52" t="s">
        <v>25</v>
      </c>
      <c r="F1954" s="52" t="s">
        <v>26</v>
      </c>
      <c r="G1954" s="53"/>
    </row>
    <row r="1955">
      <c r="A1955" s="49">
        <v>45041.16076210648</v>
      </c>
      <c r="B1955" s="50">
        <v>45041.285735</v>
      </c>
      <c r="C1955" s="51">
        <v>1.033</v>
      </c>
      <c r="D1955" s="51">
        <v>66.0</v>
      </c>
      <c r="E1955" s="52" t="s">
        <v>25</v>
      </c>
      <c r="F1955" s="52" t="s">
        <v>26</v>
      </c>
      <c r="G1955" s="53"/>
    </row>
    <row r="1956">
      <c r="A1956" s="49">
        <v>45041.17117930556</v>
      </c>
      <c r="B1956" s="50">
        <v>45041.2961558796</v>
      </c>
      <c r="C1956" s="51">
        <v>1.033</v>
      </c>
      <c r="D1956" s="51">
        <v>65.0</v>
      </c>
      <c r="E1956" s="52" t="s">
        <v>25</v>
      </c>
      <c r="F1956" s="52" t="s">
        <v>26</v>
      </c>
      <c r="G1956" s="53"/>
    </row>
    <row r="1957">
      <c r="A1957" s="49">
        <v>45041.18162215278</v>
      </c>
      <c r="B1957" s="50">
        <v>45041.3065879398</v>
      </c>
      <c r="C1957" s="51">
        <v>1.033</v>
      </c>
      <c r="D1957" s="51">
        <v>65.0</v>
      </c>
      <c r="E1957" s="52" t="s">
        <v>25</v>
      </c>
      <c r="F1957" s="52" t="s">
        <v>26</v>
      </c>
      <c r="G1957" s="53"/>
    </row>
    <row r="1958">
      <c r="A1958" s="49">
        <v>45041.192046620374</v>
      </c>
      <c r="B1958" s="50">
        <v>45041.3170211574</v>
      </c>
      <c r="C1958" s="51">
        <v>1.033</v>
      </c>
      <c r="D1958" s="51">
        <v>66.0</v>
      </c>
      <c r="E1958" s="52" t="s">
        <v>25</v>
      </c>
      <c r="F1958" s="52" t="s">
        <v>26</v>
      </c>
      <c r="G1958" s="53"/>
    </row>
    <row r="1959">
      <c r="A1959" s="49">
        <v>45041.202500995365</v>
      </c>
      <c r="B1959" s="50">
        <v>45041.3274770833</v>
      </c>
      <c r="C1959" s="51">
        <v>1.033</v>
      </c>
      <c r="D1959" s="51">
        <v>66.0</v>
      </c>
      <c r="E1959" s="52" t="s">
        <v>25</v>
      </c>
      <c r="F1959" s="52" t="s">
        <v>26</v>
      </c>
      <c r="G1959" s="53"/>
    </row>
    <row r="1960">
      <c r="A1960" s="49">
        <v>45041.21294704861</v>
      </c>
      <c r="B1960" s="50">
        <v>45041.3379221296</v>
      </c>
      <c r="C1960" s="51">
        <v>1.033</v>
      </c>
      <c r="D1960" s="51">
        <v>66.0</v>
      </c>
      <c r="E1960" s="52" t="s">
        <v>25</v>
      </c>
      <c r="F1960" s="52" t="s">
        <v>26</v>
      </c>
      <c r="G1960" s="53"/>
    </row>
    <row r="1961">
      <c r="A1961" s="49">
        <v>45041.223391875</v>
      </c>
      <c r="B1961" s="50">
        <v>45041.3483654282</v>
      </c>
      <c r="C1961" s="51">
        <v>1.033</v>
      </c>
      <c r="D1961" s="51">
        <v>65.0</v>
      </c>
      <c r="E1961" s="52" t="s">
        <v>25</v>
      </c>
      <c r="F1961" s="52" t="s">
        <v>26</v>
      </c>
      <c r="G1961" s="53"/>
    </row>
    <row r="1962">
      <c r="A1962" s="49">
        <v>45041.23383912037</v>
      </c>
      <c r="B1962" s="50">
        <v>45041.3587989236</v>
      </c>
      <c r="C1962" s="51">
        <v>1.033</v>
      </c>
      <c r="D1962" s="51">
        <v>65.0</v>
      </c>
      <c r="E1962" s="52" t="s">
        <v>25</v>
      </c>
      <c r="F1962" s="52" t="s">
        <v>26</v>
      </c>
      <c r="G1962" s="53"/>
    </row>
    <row r="1963">
      <c r="A1963" s="49">
        <v>45041.24425383101</v>
      </c>
      <c r="B1963" s="50">
        <v>45041.369231412</v>
      </c>
      <c r="C1963" s="51">
        <v>1.033</v>
      </c>
      <c r="D1963" s="51">
        <v>65.0</v>
      </c>
      <c r="E1963" s="52" t="s">
        <v>25</v>
      </c>
      <c r="F1963" s="52" t="s">
        <v>26</v>
      </c>
      <c r="G1963" s="53"/>
    </row>
    <row r="1964">
      <c r="A1964" s="49">
        <v>45041.25470126157</v>
      </c>
      <c r="B1964" s="50">
        <v>45041.3796528472</v>
      </c>
      <c r="C1964" s="51">
        <v>1.033</v>
      </c>
      <c r="D1964" s="51">
        <v>65.0</v>
      </c>
      <c r="E1964" s="52" t="s">
        <v>25</v>
      </c>
      <c r="F1964" s="52" t="s">
        <v>26</v>
      </c>
      <c r="G1964" s="53"/>
    </row>
    <row r="1965">
      <c r="A1965" s="49">
        <v>45041.2650983912</v>
      </c>
      <c r="B1965" s="50">
        <v>45041.390073125</v>
      </c>
      <c r="C1965" s="51">
        <v>1.033</v>
      </c>
      <c r="D1965" s="51">
        <v>65.0</v>
      </c>
      <c r="E1965" s="52" t="s">
        <v>25</v>
      </c>
      <c r="F1965" s="52" t="s">
        <v>26</v>
      </c>
      <c r="G1965" s="53"/>
    </row>
    <row r="1966">
      <c r="A1966" s="49">
        <v>45041.27552201389</v>
      </c>
      <c r="B1966" s="50">
        <v>45041.4004941666</v>
      </c>
      <c r="C1966" s="51">
        <v>1.033</v>
      </c>
      <c r="D1966" s="51">
        <v>65.0</v>
      </c>
      <c r="E1966" s="52" t="s">
        <v>25</v>
      </c>
      <c r="F1966" s="52" t="s">
        <v>26</v>
      </c>
      <c r="G1966" s="53"/>
    </row>
    <row r="1967">
      <c r="A1967" s="49">
        <v>45041.28595336806</v>
      </c>
      <c r="B1967" s="50">
        <v>45041.4109144907</v>
      </c>
      <c r="C1967" s="51">
        <v>1.033</v>
      </c>
      <c r="D1967" s="51">
        <v>65.0</v>
      </c>
      <c r="E1967" s="52" t="s">
        <v>25</v>
      </c>
      <c r="F1967" s="52" t="s">
        <v>26</v>
      </c>
      <c r="G1967" s="53"/>
    </row>
    <row r="1968">
      <c r="A1968" s="49">
        <v>45041.29638969907</v>
      </c>
      <c r="B1968" s="50">
        <v>45041.4213586574</v>
      </c>
      <c r="C1968" s="51">
        <v>1.033</v>
      </c>
      <c r="D1968" s="51">
        <v>65.0</v>
      </c>
      <c r="E1968" s="52" t="s">
        <v>25</v>
      </c>
      <c r="F1968" s="52" t="s">
        <v>26</v>
      </c>
      <c r="G1968" s="53"/>
    </row>
    <row r="1969">
      <c r="A1969" s="49">
        <v>45041.30685905092</v>
      </c>
      <c r="B1969" s="50">
        <v>45041.4318270139</v>
      </c>
      <c r="C1969" s="51">
        <v>1.033</v>
      </c>
      <c r="D1969" s="51">
        <v>65.0</v>
      </c>
      <c r="E1969" s="52" t="s">
        <v>25</v>
      </c>
      <c r="F1969" s="52" t="s">
        <v>26</v>
      </c>
      <c r="G1969" s="53"/>
    </row>
    <row r="1970">
      <c r="A1970" s="49">
        <v>45041.31727211806</v>
      </c>
      <c r="B1970" s="50">
        <v>45041.4422471875</v>
      </c>
      <c r="C1970" s="51">
        <v>1.033</v>
      </c>
      <c r="D1970" s="51">
        <v>65.0</v>
      </c>
      <c r="E1970" s="52" t="s">
        <v>25</v>
      </c>
      <c r="F1970" s="52" t="s">
        <v>26</v>
      </c>
      <c r="G1970" s="53"/>
    </row>
    <row r="1971">
      <c r="A1971" s="49">
        <v>45041.3277224537</v>
      </c>
      <c r="B1971" s="50">
        <v>45041.4526908449</v>
      </c>
      <c r="C1971" s="51">
        <v>1.033</v>
      </c>
      <c r="D1971" s="51">
        <v>65.0</v>
      </c>
      <c r="E1971" s="52" t="s">
        <v>25</v>
      </c>
      <c r="F1971" s="52" t="s">
        <v>26</v>
      </c>
      <c r="G1971" s="53"/>
    </row>
    <row r="1972">
      <c r="A1972" s="49">
        <v>45041.33814393519</v>
      </c>
      <c r="B1972" s="50">
        <v>45041.4631114814</v>
      </c>
      <c r="C1972" s="51">
        <v>1.033</v>
      </c>
      <c r="D1972" s="51">
        <v>65.0</v>
      </c>
      <c r="E1972" s="52" t="s">
        <v>25</v>
      </c>
      <c r="F1972" s="52" t="s">
        <v>26</v>
      </c>
      <c r="G1972" s="53"/>
    </row>
    <row r="1973">
      <c r="A1973" s="49">
        <v>45041.34858604167</v>
      </c>
      <c r="B1973" s="50">
        <v>45041.4735551504</v>
      </c>
      <c r="C1973" s="51">
        <v>1.033</v>
      </c>
      <c r="D1973" s="51">
        <v>65.0</v>
      </c>
      <c r="E1973" s="52" t="s">
        <v>25</v>
      </c>
      <c r="F1973" s="52" t="s">
        <v>26</v>
      </c>
      <c r="G1973" s="53"/>
    </row>
    <row r="1974">
      <c r="A1974" s="49">
        <v>45041.359022777775</v>
      </c>
      <c r="B1974" s="50">
        <v>45041.4839893055</v>
      </c>
      <c r="C1974" s="51">
        <v>1.033</v>
      </c>
      <c r="D1974" s="51">
        <v>65.0</v>
      </c>
      <c r="E1974" s="52" t="s">
        <v>25</v>
      </c>
      <c r="F1974" s="52" t="s">
        <v>26</v>
      </c>
      <c r="G1974" s="53"/>
    </row>
    <row r="1975">
      <c r="A1975" s="49">
        <v>45041.369460636575</v>
      </c>
      <c r="B1975" s="50">
        <v>45041.4944336342</v>
      </c>
      <c r="C1975" s="51">
        <v>1.033</v>
      </c>
      <c r="D1975" s="51">
        <v>65.0</v>
      </c>
      <c r="E1975" s="52" t="s">
        <v>25</v>
      </c>
      <c r="F1975" s="52" t="s">
        <v>26</v>
      </c>
      <c r="G1975" s="53"/>
    </row>
    <row r="1976">
      <c r="A1976" s="49">
        <v>45041.379880196764</v>
      </c>
      <c r="B1976" s="50">
        <v>45041.5048529282</v>
      </c>
      <c r="C1976" s="51">
        <v>1.033</v>
      </c>
      <c r="D1976" s="51">
        <v>65.0</v>
      </c>
      <c r="E1976" s="52" t="s">
        <v>25</v>
      </c>
      <c r="F1976" s="52" t="s">
        <v>26</v>
      </c>
      <c r="G1976" s="53"/>
    </row>
    <row r="1977">
      <c r="A1977" s="49">
        <v>45041.390330821756</v>
      </c>
      <c r="B1977" s="50">
        <v>45041.5152987963</v>
      </c>
      <c r="C1977" s="51">
        <v>1.033</v>
      </c>
      <c r="D1977" s="51">
        <v>65.0</v>
      </c>
      <c r="E1977" s="52" t="s">
        <v>25</v>
      </c>
      <c r="F1977" s="52" t="s">
        <v>26</v>
      </c>
      <c r="G1977" s="53"/>
    </row>
    <row r="1978">
      <c r="A1978" s="49">
        <v>45041.4007590625</v>
      </c>
      <c r="B1978" s="50">
        <v>45041.5257326273</v>
      </c>
      <c r="C1978" s="51">
        <v>1.033</v>
      </c>
      <c r="D1978" s="51">
        <v>65.0</v>
      </c>
      <c r="E1978" s="52" t="s">
        <v>25</v>
      </c>
      <c r="F1978" s="52" t="s">
        <v>26</v>
      </c>
      <c r="G1978" s="53"/>
    </row>
    <row r="1979">
      <c r="A1979" s="49">
        <v>45041.411227627315</v>
      </c>
      <c r="B1979" s="50">
        <v>45041.5362010532</v>
      </c>
      <c r="C1979" s="51">
        <v>1.033</v>
      </c>
      <c r="D1979" s="51">
        <v>65.0</v>
      </c>
      <c r="E1979" s="52" t="s">
        <v>25</v>
      </c>
      <c r="F1979" s="52" t="s">
        <v>26</v>
      </c>
      <c r="G1979" s="53"/>
    </row>
    <row r="1980">
      <c r="A1980" s="49">
        <v>45041.421668124996</v>
      </c>
      <c r="B1980" s="50">
        <v>45041.5466352662</v>
      </c>
      <c r="C1980" s="51">
        <v>1.033</v>
      </c>
      <c r="D1980" s="51">
        <v>65.0</v>
      </c>
      <c r="E1980" s="52" t="s">
        <v>25</v>
      </c>
      <c r="F1980" s="52" t="s">
        <v>26</v>
      </c>
      <c r="G1980" s="53"/>
    </row>
    <row r="1981">
      <c r="A1981" s="49">
        <v>45041.43207805556</v>
      </c>
      <c r="B1981" s="50">
        <v>45041.5570562037</v>
      </c>
      <c r="C1981" s="51">
        <v>1.033</v>
      </c>
      <c r="D1981" s="51">
        <v>65.0</v>
      </c>
      <c r="E1981" s="52" t="s">
        <v>25</v>
      </c>
      <c r="F1981" s="52" t="s">
        <v>26</v>
      </c>
      <c r="G1981" s="53"/>
    </row>
    <row r="1982">
      <c r="A1982" s="49">
        <v>45041.442515787036</v>
      </c>
      <c r="B1982" s="50">
        <v>45041.5674896296</v>
      </c>
      <c r="C1982" s="51">
        <v>1.032</v>
      </c>
      <c r="D1982" s="51">
        <v>65.0</v>
      </c>
      <c r="E1982" s="52" t="s">
        <v>25</v>
      </c>
      <c r="F1982" s="52" t="s">
        <v>26</v>
      </c>
      <c r="G1982" s="53"/>
    </row>
    <row r="1983">
      <c r="A1983" s="49">
        <v>45041.452975775464</v>
      </c>
      <c r="B1983" s="50">
        <v>45041.5779442824</v>
      </c>
      <c r="C1983" s="51">
        <v>1.033</v>
      </c>
      <c r="D1983" s="51">
        <v>65.0</v>
      </c>
      <c r="E1983" s="52" t="s">
        <v>25</v>
      </c>
      <c r="F1983" s="52" t="s">
        <v>26</v>
      </c>
      <c r="G1983" s="53"/>
    </row>
    <row r="1984">
      <c r="A1984" s="49">
        <v>45041.463392210644</v>
      </c>
      <c r="B1984" s="50">
        <v>45041.5883644212</v>
      </c>
      <c r="C1984" s="51">
        <v>1.033</v>
      </c>
      <c r="D1984" s="51">
        <v>65.0</v>
      </c>
      <c r="E1984" s="52" t="s">
        <v>25</v>
      </c>
      <c r="F1984" s="52" t="s">
        <v>26</v>
      </c>
      <c r="G1984" s="53"/>
    </row>
    <row r="1985">
      <c r="A1985" s="49">
        <v>45041.47383756944</v>
      </c>
      <c r="B1985" s="50">
        <v>45041.5988087963</v>
      </c>
      <c r="C1985" s="51">
        <v>1.033</v>
      </c>
      <c r="D1985" s="51">
        <v>65.0</v>
      </c>
      <c r="E1985" s="52" t="s">
        <v>25</v>
      </c>
      <c r="F1985" s="52" t="s">
        <v>26</v>
      </c>
      <c r="G1985" s="53"/>
    </row>
    <row r="1986">
      <c r="A1986" s="49">
        <v>45041.48426784722</v>
      </c>
      <c r="B1986" s="50">
        <v>45041.6092420601</v>
      </c>
      <c r="C1986" s="51">
        <v>1.032</v>
      </c>
      <c r="D1986" s="51">
        <v>65.0</v>
      </c>
      <c r="E1986" s="52" t="s">
        <v>25</v>
      </c>
      <c r="F1986" s="52" t="s">
        <v>26</v>
      </c>
      <c r="G1986" s="53"/>
    </row>
    <row r="1987">
      <c r="A1987" s="49">
        <v>45041.49469417824</v>
      </c>
      <c r="B1987" s="50">
        <v>45041.6196638888</v>
      </c>
      <c r="C1987" s="51">
        <v>1.032</v>
      </c>
      <c r="D1987" s="51">
        <v>65.0</v>
      </c>
      <c r="E1987" s="52" t="s">
        <v>25</v>
      </c>
      <c r="F1987" s="52" t="s">
        <v>26</v>
      </c>
      <c r="G1987" s="53"/>
    </row>
    <row r="1988">
      <c r="A1988" s="49">
        <v>45041.505128703706</v>
      </c>
      <c r="B1988" s="50">
        <v>45041.6300967592</v>
      </c>
      <c r="C1988" s="51">
        <v>1.033</v>
      </c>
      <c r="D1988" s="51">
        <v>65.0</v>
      </c>
      <c r="E1988" s="52" t="s">
        <v>25</v>
      </c>
      <c r="F1988" s="52" t="s">
        <v>26</v>
      </c>
      <c r="G1988" s="53"/>
    </row>
    <row r="1989">
      <c r="A1989" s="49">
        <v>45041.51555652778</v>
      </c>
      <c r="B1989" s="50">
        <v>45041.6405181944</v>
      </c>
      <c r="C1989" s="51">
        <v>1.033</v>
      </c>
      <c r="D1989" s="51">
        <v>65.0</v>
      </c>
      <c r="E1989" s="52" t="s">
        <v>25</v>
      </c>
      <c r="F1989" s="52" t="s">
        <v>26</v>
      </c>
      <c r="G1989" s="53"/>
    </row>
    <row r="1990">
      <c r="A1990" s="49">
        <v>45041.525992118055</v>
      </c>
      <c r="B1990" s="50">
        <v>45041.6509511921</v>
      </c>
      <c r="C1990" s="51">
        <v>1.033</v>
      </c>
      <c r="D1990" s="51">
        <v>65.0</v>
      </c>
      <c r="E1990" s="52" t="s">
        <v>25</v>
      </c>
      <c r="F1990" s="52" t="s">
        <v>26</v>
      </c>
      <c r="G1990" s="53"/>
    </row>
    <row r="1991">
      <c r="A1991" s="49">
        <v>45041.53641259259</v>
      </c>
      <c r="B1991" s="50">
        <v>45041.6613824305</v>
      </c>
      <c r="C1991" s="51">
        <v>1.032</v>
      </c>
      <c r="D1991" s="51">
        <v>65.0</v>
      </c>
      <c r="E1991" s="52" t="s">
        <v>25</v>
      </c>
      <c r="F1991" s="52" t="s">
        <v>26</v>
      </c>
      <c r="G1991" s="53"/>
    </row>
    <row r="1992">
      <c r="A1992" s="49">
        <v>45041.54683555556</v>
      </c>
      <c r="B1992" s="50">
        <v>45041.6718043402</v>
      </c>
      <c r="C1992" s="51">
        <v>1.032</v>
      </c>
      <c r="D1992" s="51">
        <v>65.0</v>
      </c>
      <c r="E1992" s="52" t="s">
        <v>25</v>
      </c>
      <c r="F1992" s="52" t="s">
        <v>26</v>
      </c>
      <c r="G1992" s="53"/>
    </row>
    <row r="1993">
      <c r="A1993" s="49">
        <v>45041.55730759259</v>
      </c>
      <c r="B1993" s="50">
        <v>45041.682271331</v>
      </c>
      <c r="C1993" s="51">
        <v>1.032</v>
      </c>
      <c r="D1993" s="51">
        <v>65.0</v>
      </c>
      <c r="E1993" s="52" t="s">
        <v>25</v>
      </c>
      <c r="F1993" s="52" t="s">
        <v>26</v>
      </c>
      <c r="G1993" s="53"/>
    </row>
    <row r="1994">
      <c r="A1994" s="49">
        <v>45041.56771527778</v>
      </c>
      <c r="B1994" s="50">
        <v>45041.6926912615</v>
      </c>
      <c r="C1994" s="51">
        <v>1.033</v>
      </c>
      <c r="D1994" s="51">
        <v>65.0</v>
      </c>
      <c r="E1994" s="52" t="s">
        <v>25</v>
      </c>
      <c r="F1994" s="52" t="s">
        <v>26</v>
      </c>
      <c r="G1994" s="53"/>
    </row>
    <row r="1995">
      <c r="A1995" s="49">
        <v>45041.578144768515</v>
      </c>
      <c r="B1995" s="50">
        <v>45041.7031130787</v>
      </c>
      <c r="C1995" s="51">
        <v>1.032</v>
      </c>
      <c r="D1995" s="51">
        <v>65.0</v>
      </c>
      <c r="E1995" s="52" t="s">
        <v>25</v>
      </c>
      <c r="F1995" s="52" t="s">
        <v>26</v>
      </c>
      <c r="G1995" s="53"/>
    </row>
    <row r="1996">
      <c r="A1996" s="49">
        <v>45041.58856751157</v>
      </c>
      <c r="B1996" s="50">
        <v>45041.7135336689</v>
      </c>
      <c r="C1996" s="51">
        <v>1.032</v>
      </c>
      <c r="D1996" s="51">
        <v>65.0</v>
      </c>
      <c r="E1996" s="52" t="s">
        <v>25</v>
      </c>
      <c r="F1996" s="52" t="s">
        <v>26</v>
      </c>
      <c r="G1996" s="53"/>
    </row>
    <row r="1997">
      <c r="A1997" s="49">
        <v>45041.59899174768</v>
      </c>
      <c r="B1997" s="50">
        <v>45041.7239518981</v>
      </c>
      <c r="C1997" s="51">
        <v>1.032</v>
      </c>
      <c r="D1997" s="51">
        <v>65.0</v>
      </c>
      <c r="E1997" s="52" t="s">
        <v>25</v>
      </c>
      <c r="F1997" s="52" t="s">
        <v>26</v>
      </c>
      <c r="G1997" s="53"/>
    </row>
    <row r="1998">
      <c r="A1998" s="49">
        <v>45041.60941157407</v>
      </c>
      <c r="B1998" s="50">
        <v>45041.7343855671</v>
      </c>
      <c r="C1998" s="51">
        <v>1.032</v>
      </c>
      <c r="D1998" s="51">
        <v>65.0</v>
      </c>
      <c r="E1998" s="52" t="s">
        <v>25</v>
      </c>
      <c r="F1998" s="52" t="s">
        <v>26</v>
      </c>
      <c r="G1998" s="53"/>
    </row>
    <row r="1999">
      <c r="A1999" s="49">
        <v>45041.61985094908</v>
      </c>
      <c r="B1999" s="50">
        <v>45041.7448198379</v>
      </c>
      <c r="C1999" s="51">
        <v>1.032</v>
      </c>
      <c r="D1999" s="51">
        <v>65.0</v>
      </c>
      <c r="E1999" s="52" t="s">
        <v>25</v>
      </c>
      <c r="F1999" s="52" t="s">
        <v>26</v>
      </c>
      <c r="G1999" s="53"/>
    </row>
    <row r="2000">
      <c r="A2000" s="49">
        <v>45041.63027091435</v>
      </c>
      <c r="B2000" s="50">
        <v>45041.7552407986</v>
      </c>
      <c r="C2000" s="51">
        <v>1.032</v>
      </c>
      <c r="D2000" s="51">
        <v>65.0</v>
      </c>
      <c r="E2000" s="52" t="s">
        <v>25</v>
      </c>
      <c r="F2000" s="52" t="s">
        <v>26</v>
      </c>
      <c r="G2000" s="53"/>
    </row>
    <row r="2001">
      <c r="A2001" s="49">
        <v>45041.64069015047</v>
      </c>
      <c r="B2001" s="50">
        <v>45041.7656622916</v>
      </c>
      <c r="C2001" s="51">
        <v>1.032</v>
      </c>
      <c r="D2001" s="51">
        <v>65.0</v>
      </c>
      <c r="E2001" s="52" t="s">
        <v>25</v>
      </c>
      <c r="F2001" s="52" t="s">
        <v>26</v>
      </c>
      <c r="G2001" s="53"/>
    </row>
    <row r="2002">
      <c r="A2002" s="49">
        <v>45041.651110983796</v>
      </c>
      <c r="B2002" s="50">
        <v>45041.7760843171</v>
      </c>
      <c r="C2002" s="51">
        <v>1.032</v>
      </c>
      <c r="D2002" s="51">
        <v>65.0</v>
      </c>
      <c r="E2002" s="52" t="s">
        <v>25</v>
      </c>
      <c r="F2002" s="52" t="s">
        <v>26</v>
      </c>
      <c r="G2002" s="53"/>
    </row>
    <row r="2003">
      <c r="A2003" s="49">
        <v>45041.66153729167</v>
      </c>
      <c r="B2003" s="50">
        <v>45041.78650603</v>
      </c>
      <c r="C2003" s="51">
        <v>1.032</v>
      </c>
      <c r="D2003" s="51">
        <v>65.0</v>
      </c>
      <c r="E2003" s="52" t="s">
        <v>25</v>
      </c>
      <c r="F2003" s="52" t="s">
        <v>26</v>
      </c>
      <c r="G2003" s="53"/>
    </row>
    <row r="2004">
      <c r="A2004" s="49">
        <v>45041.671964444446</v>
      </c>
      <c r="B2004" s="50">
        <v>45041.7969381365</v>
      </c>
      <c r="C2004" s="51">
        <v>1.032</v>
      </c>
      <c r="D2004" s="51">
        <v>65.0</v>
      </c>
      <c r="E2004" s="52" t="s">
        <v>25</v>
      </c>
      <c r="F2004" s="52" t="s">
        <v>26</v>
      </c>
      <c r="G2004" s="53"/>
    </row>
    <row r="2005">
      <c r="A2005" s="49">
        <v>45041.682385023145</v>
      </c>
      <c r="B2005" s="50">
        <v>45041.8073584953</v>
      </c>
      <c r="C2005" s="51">
        <v>1.032</v>
      </c>
      <c r="D2005" s="51">
        <v>65.0</v>
      </c>
      <c r="E2005" s="52" t="s">
        <v>25</v>
      </c>
      <c r="F2005" s="52" t="s">
        <v>26</v>
      </c>
      <c r="G2005" s="53"/>
    </row>
    <row r="2006">
      <c r="A2006" s="49">
        <v>45041.6927999537</v>
      </c>
      <c r="B2006" s="50">
        <v>45041.8177794097</v>
      </c>
      <c r="C2006" s="51">
        <v>1.032</v>
      </c>
      <c r="D2006" s="51">
        <v>65.0</v>
      </c>
      <c r="E2006" s="52" t="s">
        <v>25</v>
      </c>
      <c r="F2006" s="52" t="s">
        <v>26</v>
      </c>
      <c r="G2006" s="53"/>
    </row>
    <row r="2007">
      <c r="A2007" s="49">
        <v>45041.7032307176</v>
      </c>
      <c r="B2007" s="50">
        <v>45041.8281992708</v>
      </c>
      <c r="C2007" s="51">
        <v>1.032</v>
      </c>
      <c r="D2007" s="51">
        <v>65.0</v>
      </c>
      <c r="E2007" s="52" t="s">
        <v>25</v>
      </c>
      <c r="F2007" s="52" t="s">
        <v>26</v>
      </c>
      <c r="G2007" s="53"/>
    </row>
    <row r="2008">
      <c r="A2008" s="49">
        <v>45041.713650150465</v>
      </c>
      <c r="B2008" s="50">
        <v>45041.8386211458</v>
      </c>
      <c r="C2008" s="51">
        <v>1.032</v>
      </c>
      <c r="D2008" s="51">
        <v>65.0</v>
      </c>
      <c r="E2008" s="52" t="s">
        <v>25</v>
      </c>
      <c r="F2008" s="52" t="s">
        <v>26</v>
      </c>
      <c r="G2008" s="53"/>
    </row>
    <row r="2009">
      <c r="A2009" s="49">
        <v>45041.724069930555</v>
      </c>
      <c r="B2009" s="50">
        <v>45041.849043287</v>
      </c>
      <c r="C2009" s="51">
        <v>1.032</v>
      </c>
      <c r="D2009" s="51">
        <v>65.0</v>
      </c>
      <c r="E2009" s="52" t="s">
        <v>25</v>
      </c>
      <c r="F2009" s="52" t="s">
        <v>26</v>
      </c>
      <c r="G2009" s="53"/>
    </row>
    <row r="2010">
      <c r="A2010" s="49">
        <v>45041.734496053235</v>
      </c>
      <c r="B2010" s="50">
        <v>45041.8594652314</v>
      </c>
      <c r="C2010" s="51">
        <v>1.032</v>
      </c>
      <c r="D2010" s="51">
        <v>65.0</v>
      </c>
      <c r="E2010" s="52" t="s">
        <v>25</v>
      </c>
      <c r="F2010" s="52" t="s">
        <v>26</v>
      </c>
      <c r="G2010" s="53"/>
    </row>
    <row r="2011">
      <c r="A2011" s="49">
        <v>45041.74490967592</v>
      </c>
      <c r="B2011" s="50">
        <v>45041.869885162</v>
      </c>
      <c r="C2011" s="51">
        <v>1.032</v>
      </c>
      <c r="D2011" s="51">
        <v>65.0</v>
      </c>
      <c r="E2011" s="52" t="s">
        <v>25</v>
      </c>
      <c r="F2011" s="52" t="s">
        <v>26</v>
      </c>
      <c r="G2011" s="53"/>
    </row>
    <row r="2012">
      <c r="A2012" s="49">
        <v>45041.75532681713</v>
      </c>
      <c r="B2012" s="50">
        <v>45041.880305949</v>
      </c>
      <c r="C2012" s="51">
        <v>1.032</v>
      </c>
      <c r="D2012" s="51">
        <v>65.0</v>
      </c>
      <c r="E2012" s="52" t="s">
        <v>25</v>
      </c>
      <c r="F2012" s="52" t="s">
        <v>26</v>
      </c>
      <c r="G2012" s="53"/>
    </row>
    <row r="2013">
      <c r="A2013" s="49">
        <v>45041.76577914352</v>
      </c>
      <c r="B2013" s="50">
        <v>45041.8907491898</v>
      </c>
      <c r="C2013" s="51">
        <v>1.032</v>
      </c>
      <c r="D2013" s="51">
        <v>65.0</v>
      </c>
      <c r="E2013" s="52" t="s">
        <v>25</v>
      </c>
      <c r="F2013" s="52" t="s">
        <v>26</v>
      </c>
      <c r="G2013" s="53"/>
    </row>
    <row r="2014">
      <c r="A2014" s="49">
        <v>45041.77619841435</v>
      </c>
      <c r="B2014" s="50">
        <v>45041.9011705555</v>
      </c>
      <c r="C2014" s="51">
        <v>1.032</v>
      </c>
      <c r="D2014" s="51">
        <v>65.0</v>
      </c>
      <c r="E2014" s="52" t="s">
        <v>25</v>
      </c>
      <c r="F2014" s="52" t="s">
        <v>26</v>
      </c>
      <c r="G2014" s="53"/>
    </row>
    <row r="2015">
      <c r="A2015" s="49">
        <v>45041.786636805555</v>
      </c>
      <c r="B2015" s="50">
        <v>45041.9116144907</v>
      </c>
      <c r="C2015" s="51">
        <v>1.032</v>
      </c>
      <c r="D2015" s="51">
        <v>65.0</v>
      </c>
      <c r="E2015" s="52" t="s">
        <v>25</v>
      </c>
      <c r="F2015" s="52" t="s">
        <v>26</v>
      </c>
      <c r="G2015" s="53"/>
    </row>
    <row r="2016">
      <c r="A2016" s="49">
        <v>45041.79708087963</v>
      </c>
      <c r="B2016" s="50">
        <v>45041.9220478703</v>
      </c>
      <c r="C2016" s="51">
        <v>1.032</v>
      </c>
      <c r="D2016" s="51">
        <v>65.0</v>
      </c>
      <c r="E2016" s="52" t="s">
        <v>25</v>
      </c>
      <c r="F2016" s="52" t="s">
        <v>26</v>
      </c>
      <c r="G2016" s="53"/>
    </row>
    <row r="2017">
      <c r="A2017" s="49">
        <v>45041.80749739583</v>
      </c>
      <c r="B2017" s="50">
        <v>45041.932470405</v>
      </c>
      <c r="C2017" s="51">
        <v>1.032</v>
      </c>
      <c r="D2017" s="51">
        <v>65.0</v>
      </c>
      <c r="E2017" s="52" t="s">
        <v>25</v>
      </c>
      <c r="F2017" s="52" t="s">
        <v>26</v>
      </c>
      <c r="G2017" s="53"/>
    </row>
    <row r="2018">
      <c r="A2018" s="49">
        <v>45041.81791346065</v>
      </c>
      <c r="B2018" s="50">
        <v>45041.9428909259</v>
      </c>
      <c r="C2018" s="51">
        <v>1.032</v>
      </c>
      <c r="D2018" s="51">
        <v>65.0</v>
      </c>
      <c r="E2018" s="52" t="s">
        <v>25</v>
      </c>
      <c r="F2018" s="52" t="s">
        <v>26</v>
      </c>
      <c r="G2018" s="53"/>
    </row>
    <row r="2019">
      <c r="A2019" s="49">
        <v>45041.82834328704</v>
      </c>
      <c r="B2019" s="50">
        <v>45041.953321412</v>
      </c>
      <c r="C2019" s="51">
        <v>1.032</v>
      </c>
      <c r="D2019" s="51">
        <v>65.0</v>
      </c>
      <c r="E2019" s="52" t="s">
        <v>25</v>
      </c>
      <c r="F2019" s="52" t="s">
        <v>26</v>
      </c>
      <c r="G2019" s="53"/>
    </row>
    <row r="2020">
      <c r="A2020" s="49">
        <v>45041.83877293982</v>
      </c>
      <c r="B2020" s="50">
        <v>45041.9637424537</v>
      </c>
      <c r="C2020" s="51">
        <v>1.032</v>
      </c>
      <c r="D2020" s="51">
        <v>65.0</v>
      </c>
      <c r="E2020" s="52" t="s">
        <v>25</v>
      </c>
      <c r="F2020" s="52" t="s">
        <v>26</v>
      </c>
      <c r="G2020" s="53"/>
    </row>
    <row r="2021">
      <c r="A2021" s="49">
        <v>45041.849225474536</v>
      </c>
      <c r="B2021" s="50">
        <v>45041.9741969097</v>
      </c>
      <c r="C2021" s="51">
        <v>1.032</v>
      </c>
      <c r="D2021" s="51">
        <v>65.0</v>
      </c>
      <c r="E2021" s="52" t="s">
        <v>25</v>
      </c>
      <c r="F2021" s="52" t="s">
        <v>26</v>
      </c>
      <c r="G2021" s="53"/>
    </row>
    <row r="2022">
      <c r="A2022" s="49">
        <v>45041.859649039354</v>
      </c>
      <c r="B2022" s="50">
        <v>45041.9846172916</v>
      </c>
      <c r="C2022" s="51">
        <v>1.032</v>
      </c>
      <c r="D2022" s="51">
        <v>65.0</v>
      </c>
      <c r="E2022" s="52" t="s">
        <v>25</v>
      </c>
      <c r="F2022" s="52" t="s">
        <v>26</v>
      </c>
      <c r="G2022" s="53"/>
    </row>
    <row r="2023">
      <c r="A2023" s="49">
        <v>45041.870078900465</v>
      </c>
      <c r="B2023" s="50">
        <v>45041.9950497916</v>
      </c>
      <c r="C2023" s="51">
        <v>1.032</v>
      </c>
      <c r="D2023" s="51">
        <v>65.0</v>
      </c>
      <c r="E2023" s="52" t="s">
        <v>25</v>
      </c>
      <c r="F2023" s="52" t="s">
        <v>26</v>
      </c>
      <c r="G2023" s="53"/>
    </row>
    <row r="2024">
      <c r="A2024" s="49">
        <v>45041.88051834491</v>
      </c>
      <c r="B2024" s="50">
        <v>45042.0054947106</v>
      </c>
      <c r="C2024" s="51">
        <v>1.032</v>
      </c>
      <c r="D2024" s="51">
        <v>65.0</v>
      </c>
      <c r="E2024" s="52" t="s">
        <v>25</v>
      </c>
      <c r="F2024" s="52" t="s">
        <v>26</v>
      </c>
      <c r="G2024" s="53"/>
    </row>
    <row r="2025">
      <c r="A2025" s="49">
        <v>45041.8909500463</v>
      </c>
      <c r="B2025" s="50">
        <v>45042.0159276157</v>
      </c>
      <c r="C2025" s="51">
        <v>1.032</v>
      </c>
      <c r="D2025" s="51">
        <v>65.0</v>
      </c>
      <c r="E2025" s="52" t="s">
        <v>25</v>
      </c>
      <c r="F2025" s="52" t="s">
        <v>26</v>
      </c>
      <c r="G2025" s="53"/>
    </row>
    <row r="2026">
      <c r="A2026" s="49">
        <v>45041.90137902778</v>
      </c>
      <c r="B2026" s="50">
        <v>45042.0263489467</v>
      </c>
      <c r="C2026" s="51">
        <v>1.032</v>
      </c>
      <c r="D2026" s="51">
        <v>65.0</v>
      </c>
      <c r="E2026" s="52" t="s">
        <v>25</v>
      </c>
      <c r="F2026" s="52" t="s">
        <v>26</v>
      </c>
      <c r="G2026" s="53"/>
    </row>
    <row r="2027">
      <c r="A2027" s="49">
        <v>45041.91180153935</v>
      </c>
      <c r="B2027" s="50">
        <v>45042.036770081</v>
      </c>
      <c r="C2027" s="51">
        <v>1.032</v>
      </c>
      <c r="D2027" s="51">
        <v>65.0</v>
      </c>
      <c r="E2027" s="52" t="s">
        <v>25</v>
      </c>
      <c r="F2027" s="52" t="s">
        <v>26</v>
      </c>
      <c r="G2027" s="53"/>
    </row>
    <row r="2028">
      <c r="A2028" s="49">
        <v>45041.92221481481</v>
      </c>
      <c r="B2028" s="50">
        <v>45042.0471892708</v>
      </c>
      <c r="C2028" s="51">
        <v>1.032</v>
      </c>
      <c r="D2028" s="51">
        <v>65.0</v>
      </c>
      <c r="E2028" s="52" t="s">
        <v>25</v>
      </c>
      <c r="F2028" s="52" t="s">
        <v>26</v>
      </c>
      <c r="G2028" s="53"/>
    </row>
    <row r="2029">
      <c r="A2029" s="49">
        <v>45041.93263934027</v>
      </c>
      <c r="B2029" s="50">
        <v>45042.0576205208</v>
      </c>
      <c r="C2029" s="51">
        <v>1.032</v>
      </c>
      <c r="D2029" s="51">
        <v>65.0</v>
      </c>
      <c r="E2029" s="52" t="s">
        <v>25</v>
      </c>
      <c r="F2029" s="52" t="s">
        <v>26</v>
      </c>
      <c r="G2029" s="53"/>
    </row>
    <row r="2030">
      <c r="A2030" s="49">
        <v>45041.943078032404</v>
      </c>
      <c r="B2030" s="50">
        <v>45042.0680551041</v>
      </c>
      <c r="C2030" s="51">
        <v>1.032</v>
      </c>
      <c r="D2030" s="51">
        <v>65.0</v>
      </c>
      <c r="E2030" s="52" t="s">
        <v>25</v>
      </c>
      <c r="F2030" s="52" t="s">
        <v>26</v>
      </c>
      <c r="G2030" s="53"/>
    </row>
    <row r="2031">
      <c r="A2031" s="49">
        <v>45041.95350217592</v>
      </c>
      <c r="B2031" s="50">
        <v>45042.0784755092</v>
      </c>
      <c r="C2031" s="51">
        <v>1.032</v>
      </c>
      <c r="D2031" s="51">
        <v>65.0</v>
      </c>
      <c r="E2031" s="52" t="s">
        <v>25</v>
      </c>
      <c r="F2031" s="52" t="s">
        <v>26</v>
      </c>
      <c r="G2031" s="53"/>
    </row>
    <row r="2032">
      <c r="A2032" s="49">
        <v>45041.963922696756</v>
      </c>
      <c r="B2032" s="50">
        <v>45042.0888988773</v>
      </c>
      <c r="C2032" s="51">
        <v>1.032</v>
      </c>
      <c r="D2032" s="51">
        <v>65.0</v>
      </c>
      <c r="E2032" s="52" t="s">
        <v>25</v>
      </c>
      <c r="F2032" s="52" t="s">
        <v>26</v>
      </c>
      <c r="G2032" s="53"/>
    </row>
    <row r="2033">
      <c r="A2033" s="49">
        <v>45041.97436119213</v>
      </c>
      <c r="B2033" s="50">
        <v>45042.0993320833</v>
      </c>
      <c r="C2033" s="51">
        <v>1.032</v>
      </c>
      <c r="D2033" s="51">
        <v>65.0</v>
      </c>
      <c r="E2033" s="52" t="s">
        <v>25</v>
      </c>
      <c r="F2033" s="52" t="s">
        <v>26</v>
      </c>
      <c r="G2033" s="53"/>
    </row>
    <row r="2034">
      <c r="A2034" s="49">
        <v>45041.98477435185</v>
      </c>
      <c r="B2034" s="50">
        <v>45042.1097528009</v>
      </c>
      <c r="C2034" s="51">
        <v>1.032</v>
      </c>
      <c r="D2034" s="51">
        <v>65.0</v>
      </c>
      <c r="E2034" s="52" t="s">
        <v>25</v>
      </c>
      <c r="F2034" s="52" t="s">
        <v>26</v>
      </c>
      <c r="G2034" s="53"/>
    </row>
    <row r="2035">
      <c r="A2035" s="49">
        <v>45041.99519799769</v>
      </c>
      <c r="B2035" s="50">
        <v>45042.1201733564</v>
      </c>
      <c r="C2035" s="51">
        <v>1.032</v>
      </c>
      <c r="D2035" s="51">
        <v>65.0</v>
      </c>
      <c r="E2035" s="52" t="s">
        <v>25</v>
      </c>
      <c r="F2035" s="52" t="s">
        <v>26</v>
      </c>
      <c r="G2035" s="53"/>
    </row>
    <row r="2036">
      <c r="A2036" s="49">
        <v>45042.00562434028</v>
      </c>
      <c r="B2036" s="50">
        <v>45042.1305946412</v>
      </c>
      <c r="C2036" s="51">
        <v>1.032</v>
      </c>
      <c r="D2036" s="51">
        <v>65.0</v>
      </c>
      <c r="E2036" s="52" t="s">
        <v>25</v>
      </c>
      <c r="F2036" s="52" t="s">
        <v>26</v>
      </c>
      <c r="G2036" s="53"/>
    </row>
    <row r="2037">
      <c r="A2037" s="49">
        <v>45042.01605859953</v>
      </c>
      <c r="B2037" s="50">
        <v>45042.1410286458</v>
      </c>
      <c r="C2037" s="51">
        <v>1.032</v>
      </c>
      <c r="D2037" s="51">
        <v>65.0</v>
      </c>
      <c r="E2037" s="52" t="s">
        <v>25</v>
      </c>
      <c r="F2037" s="52" t="s">
        <v>26</v>
      </c>
      <c r="G2037" s="53"/>
    </row>
    <row r="2038">
      <c r="A2038" s="49">
        <v>45042.02649121528</v>
      </c>
      <c r="B2038" s="50">
        <v>45042.1514616203</v>
      </c>
      <c r="C2038" s="51">
        <v>1.032</v>
      </c>
      <c r="D2038" s="51">
        <v>65.0</v>
      </c>
      <c r="E2038" s="52" t="s">
        <v>25</v>
      </c>
      <c r="F2038" s="52" t="s">
        <v>26</v>
      </c>
      <c r="G2038" s="53"/>
    </row>
    <row r="2039">
      <c r="A2039" s="49">
        <v>45042.036932511575</v>
      </c>
      <c r="B2039" s="50">
        <v>45042.1619036805</v>
      </c>
      <c r="C2039" s="51">
        <v>1.032</v>
      </c>
      <c r="D2039" s="51">
        <v>65.0</v>
      </c>
      <c r="E2039" s="52" t="s">
        <v>25</v>
      </c>
      <c r="F2039" s="52" t="s">
        <v>26</v>
      </c>
      <c r="G2039" s="53"/>
    </row>
    <row r="2040">
      <c r="A2040" s="49">
        <v>45042.047405578705</v>
      </c>
      <c r="B2040" s="50">
        <v>45042.172373368</v>
      </c>
      <c r="C2040" s="51">
        <v>1.032</v>
      </c>
      <c r="D2040" s="51">
        <v>65.0</v>
      </c>
      <c r="E2040" s="52" t="s">
        <v>25</v>
      </c>
      <c r="F2040" s="52" t="s">
        <v>26</v>
      </c>
      <c r="G2040" s="53"/>
    </row>
    <row r="2041">
      <c r="A2041" s="49">
        <v>45042.05782474537</v>
      </c>
      <c r="B2041" s="50">
        <v>45042.1827948263</v>
      </c>
      <c r="C2041" s="51">
        <v>1.032</v>
      </c>
      <c r="D2041" s="51">
        <v>65.0</v>
      </c>
      <c r="E2041" s="52" t="s">
        <v>25</v>
      </c>
      <c r="F2041" s="52" t="s">
        <v>26</v>
      </c>
      <c r="G2041" s="53"/>
    </row>
    <row r="2042">
      <c r="A2042" s="49">
        <v>45042.06823734954</v>
      </c>
      <c r="B2042" s="50">
        <v>45042.1932170139</v>
      </c>
      <c r="C2042" s="51">
        <v>1.032</v>
      </c>
      <c r="D2042" s="51">
        <v>65.0</v>
      </c>
      <c r="E2042" s="52" t="s">
        <v>25</v>
      </c>
      <c r="F2042" s="52" t="s">
        <v>26</v>
      </c>
      <c r="G2042" s="53"/>
    </row>
    <row r="2043">
      <c r="A2043" s="49">
        <v>45042.07865923611</v>
      </c>
      <c r="B2043" s="50">
        <v>45042.2036370833</v>
      </c>
      <c r="C2043" s="51">
        <v>1.032</v>
      </c>
      <c r="D2043" s="51">
        <v>65.0</v>
      </c>
      <c r="E2043" s="52" t="s">
        <v>25</v>
      </c>
      <c r="F2043" s="52" t="s">
        <v>26</v>
      </c>
      <c r="G2043" s="53"/>
    </row>
    <row r="2044">
      <c r="A2044" s="49">
        <v>45042.08915357639</v>
      </c>
      <c r="B2044" s="50">
        <v>45042.2141183217</v>
      </c>
      <c r="C2044" s="51">
        <v>1.032</v>
      </c>
      <c r="D2044" s="51">
        <v>65.0</v>
      </c>
      <c r="E2044" s="52" t="s">
        <v>25</v>
      </c>
      <c r="F2044" s="52" t="s">
        <v>26</v>
      </c>
      <c r="G2044" s="53"/>
    </row>
    <row r="2045">
      <c r="A2045" s="49">
        <v>45042.09960777778</v>
      </c>
      <c r="B2045" s="50">
        <v>45042.2245845833</v>
      </c>
      <c r="C2045" s="51">
        <v>1.032</v>
      </c>
      <c r="D2045" s="51">
        <v>65.0</v>
      </c>
      <c r="E2045" s="52" t="s">
        <v>25</v>
      </c>
      <c r="F2045" s="52" t="s">
        <v>26</v>
      </c>
      <c r="G2045" s="53"/>
    </row>
    <row r="2046">
      <c r="A2046" s="49">
        <v>45042.11003429398</v>
      </c>
      <c r="B2046" s="50">
        <v>45042.2350041435</v>
      </c>
      <c r="C2046" s="51">
        <v>1.032</v>
      </c>
      <c r="D2046" s="51">
        <v>65.0</v>
      </c>
      <c r="E2046" s="52" t="s">
        <v>25</v>
      </c>
      <c r="F2046" s="52" t="s">
        <v>26</v>
      </c>
      <c r="G2046" s="53"/>
    </row>
    <row r="2047">
      <c r="A2047" s="49">
        <v>45042.12045783565</v>
      </c>
      <c r="B2047" s="50">
        <v>45042.245427037</v>
      </c>
      <c r="C2047" s="51">
        <v>1.032</v>
      </c>
      <c r="D2047" s="51">
        <v>65.0</v>
      </c>
      <c r="E2047" s="52" t="s">
        <v>25</v>
      </c>
      <c r="F2047" s="52" t="s">
        <v>26</v>
      </c>
      <c r="G2047" s="53"/>
    </row>
    <row r="2048">
      <c r="A2048" s="49">
        <v>45042.13087836806</v>
      </c>
      <c r="B2048" s="50">
        <v>45042.2558473726</v>
      </c>
      <c r="C2048" s="51">
        <v>1.032</v>
      </c>
      <c r="D2048" s="51">
        <v>65.0</v>
      </c>
      <c r="E2048" s="52" t="s">
        <v>25</v>
      </c>
      <c r="F2048" s="52" t="s">
        <v>26</v>
      </c>
      <c r="G2048" s="53"/>
    </row>
    <row r="2049">
      <c r="A2049" s="49">
        <v>45042.14129449074</v>
      </c>
      <c r="B2049" s="50">
        <v>45042.2662683101</v>
      </c>
      <c r="C2049" s="51">
        <v>1.032</v>
      </c>
      <c r="D2049" s="51">
        <v>65.0</v>
      </c>
      <c r="E2049" s="52" t="s">
        <v>25</v>
      </c>
      <c r="F2049" s="52" t="s">
        <v>26</v>
      </c>
      <c r="G2049" s="53"/>
    </row>
    <row r="2050">
      <c r="A2050" s="49">
        <v>45042.15171293981</v>
      </c>
      <c r="B2050" s="50">
        <v>45042.2766899074</v>
      </c>
      <c r="C2050" s="51">
        <v>1.031</v>
      </c>
      <c r="D2050" s="51">
        <v>65.0</v>
      </c>
      <c r="E2050" s="52" t="s">
        <v>25</v>
      </c>
      <c r="F2050" s="52" t="s">
        <v>26</v>
      </c>
      <c r="G2050" s="53"/>
    </row>
    <row r="2051">
      <c r="A2051" s="49">
        <v>45042.162143113426</v>
      </c>
      <c r="B2051" s="50">
        <v>45042.2871223263</v>
      </c>
      <c r="C2051" s="51">
        <v>1.032</v>
      </c>
      <c r="D2051" s="51">
        <v>64.0</v>
      </c>
      <c r="E2051" s="52" t="s">
        <v>25</v>
      </c>
      <c r="F2051" s="52" t="s">
        <v>26</v>
      </c>
      <c r="G2051" s="53"/>
    </row>
    <row r="2052">
      <c r="A2052" s="49">
        <v>45042.17258041666</v>
      </c>
      <c r="B2052" s="50">
        <v>45042.2975426157</v>
      </c>
      <c r="C2052" s="51">
        <v>1.032</v>
      </c>
      <c r="D2052" s="51">
        <v>65.0</v>
      </c>
      <c r="E2052" s="52" t="s">
        <v>25</v>
      </c>
      <c r="F2052" s="52" t="s">
        <v>26</v>
      </c>
      <c r="G2052" s="53"/>
    </row>
    <row r="2053">
      <c r="A2053" s="49">
        <v>45042.183074444445</v>
      </c>
      <c r="B2053" s="50">
        <v>45042.3080444675</v>
      </c>
      <c r="C2053" s="51">
        <v>1.031</v>
      </c>
      <c r="D2053" s="51">
        <v>65.0</v>
      </c>
      <c r="E2053" s="52" t="s">
        <v>25</v>
      </c>
      <c r="F2053" s="52" t="s">
        <v>26</v>
      </c>
      <c r="G2053" s="53"/>
    </row>
    <row r="2054">
      <c r="A2054" s="49">
        <v>45042.19348887731</v>
      </c>
      <c r="B2054" s="50">
        <v>45042.3184665972</v>
      </c>
      <c r="C2054" s="51">
        <v>1.032</v>
      </c>
      <c r="D2054" s="51">
        <v>64.0</v>
      </c>
      <c r="E2054" s="52" t="s">
        <v>25</v>
      </c>
      <c r="F2054" s="52" t="s">
        <v>26</v>
      </c>
      <c r="G2054" s="53"/>
    </row>
    <row r="2055">
      <c r="A2055" s="49">
        <v>45042.20391109954</v>
      </c>
      <c r="B2055" s="50">
        <v>45042.3288877083</v>
      </c>
      <c r="C2055" s="51">
        <v>1.032</v>
      </c>
      <c r="D2055" s="51">
        <v>65.0</v>
      </c>
      <c r="E2055" s="52" t="s">
        <v>25</v>
      </c>
      <c r="F2055" s="52" t="s">
        <v>26</v>
      </c>
      <c r="G2055" s="53"/>
    </row>
    <row r="2056">
      <c r="A2056" s="49">
        <v>45042.214353055555</v>
      </c>
      <c r="B2056" s="50">
        <v>45042.3393314699</v>
      </c>
      <c r="C2056" s="51">
        <v>1.032</v>
      </c>
      <c r="D2056" s="51">
        <v>65.0</v>
      </c>
      <c r="E2056" s="52" t="s">
        <v>25</v>
      </c>
      <c r="F2056" s="52" t="s">
        <v>26</v>
      </c>
      <c r="G2056" s="53"/>
    </row>
    <row r="2057">
      <c r="A2057" s="49">
        <v>45042.224786701394</v>
      </c>
      <c r="B2057" s="50">
        <v>45042.3497534838</v>
      </c>
      <c r="C2057" s="51">
        <v>1.032</v>
      </c>
      <c r="D2057" s="51">
        <v>65.0</v>
      </c>
      <c r="E2057" s="52" t="s">
        <v>25</v>
      </c>
      <c r="F2057" s="52" t="s">
        <v>26</v>
      </c>
      <c r="G2057" s="53"/>
    </row>
    <row r="2058">
      <c r="A2058" s="49">
        <v>45042.23520180555</v>
      </c>
      <c r="B2058" s="50">
        <v>45042.3601744675</v>
      </c>
      <c r="C2058" s="51">
        <v>1.032</v>
      </c>
      <c r="D2058" s="51">
        <v>65.0</v>
      </c>
      <c r="E2058" s="52" t="s">
        <v>25</v>
      </c>
      <c r="F2058" s="52" t="s">
        <v>26</v>
      </c>
      <c r="G2058" s="53"/>
    </row>
    <row r="2059">
      <c r="A2059" s="49">
        <v>45042.24573570602</v>
      </c>
      <c r="B2059" s="50">
        <v>45042.3707108333</v>
      </c>
      <c r="C2059" s="51">
        <v>1.032</v>
      </c>
      <c r="D2059" s="51">
        <v>64.0</v>
      </c>
      <c r="E2059" s="52" t="s">
        <v>25</v>
      </c>
      <c r="F2059" s="52" t="s">
        <v>26</v>
      </c>
      <c r="G2059" s="53"/>
    </row>
    <row r="2060">
      <c r="A2060" s="49">
        <v>45042.25618372685</v>
      </c>
      <c r="B2060" s="50">
        <v>45042.3811564351</v>
      </c>
      <c r="C2060" s="51">
        <v>1.032</v>
      </c>
      <c r="D2060" s="51">
        <v>65.0</v>
      </c>
      <c r="E2060" s="52" t="s">
        <v>25</v>
      </c>
      <c r="F2060" s="52" t="s">
        <v>26</v>
      </c>
      <c r="G2060" s="53"/>
    </row>
    <row r="2061">
      <c r="A2061" s="49">
        <v>45042.26659932871</v>
      </c>
      <c r="B2061" s="50">
        <v>45042.391575625</v>
      </c>
      <c r="C2061" s="51">
        <v>1.031</v>
      </c>
      <c r="D2061" s="51">
        <v>64.0</v>
      </c>
      <c r="E2061" s="52" t="s">
        <v>25</v>
      </c>
      <c r="F2061" s="52" t="s">
        <v>26</v>
      </c>
      <c r="G2061" s="53"/>
    </row>
    <row r="2062">
      <c r="A2062" s="49">
        <v>45042.27704591435</v>
      </c>
      <c r="B2062" s="50">
        <v>45042.402020949</v>
      </c>
      <c r="C2062" s="51">
        <v>1.032</v>
      </c>
      <c r="D2062" s="51">
        <v>64.0</v>
      </c>
      <c r="E2062" s="52" t="s">
        <v>25</v>
      </c>
      <c r="F2062" s="52" t="s">
        <v>26</v>
      </c>
      <c r="G2062" s="53"/>
    </row>
    <row r="2063">
      <c r="A2063" s="49">
        <v>45042.28748103009</v>
      </c>
      <c r="B2063" s="50">
        <v>45042.4124510532</v>
      </c>
      <c r="C2063" s="51">
        <v>1.032</v>
      </c>
      <c r="D2063" s="51">
        <v>64.0</v>
      </c>
      <c r="E2063" s="52" t="s">
        <v>25</v>
      </c>
      <c r="F2063" s="52" t="s">
        <v>26</v>
      </c>
      <c r="G2063" s="53"/>
    </row>
    <row r="2064">
      <c r="A2064" s="49">
        <v>45042.29789462963</v>
      </c>
      <c r="B2064" s="50">
        <v>45042.4228727199</v>
      </c>
      <c r="C2064" s="51">
        <v>1.031</v>
      </c>
      <c r="D2064" s="51">
        <v>64.0</v>
      </c>
      <c r="E2064" s="52" t="s">
        <v>25</v>
      </c>
      <c r="F2064" s="52" t="s">
        <v>26</v>
      </c>
      <c r="G2064" s="53"/>
    </row>
    <row r="2065">
      <c r="A2065" s="49">
        <v>45042.308312361114</v>
      </c>
      <c r="B2065" s="50">
        <v>45042.4332933333</v>
      </c>
      <c r="C2065" s="51">
        <v>1.031</v>
      </c>
      <c r="D2065" s="51">
        <v>64.0</v>
      </c>
      <c r="E2065" s="52" t="s">
        <v>25</v>
      </c>
      <c r="F2065" s="52" t="s">
        <v>26</v>
      </c>
      <c r="G2065" s="53"/>
    </row>
    <row r="2066">
      <c r="A2066" s="49">
        <v>45042.31874420139</v>
      </c>
      <c r="B2066" s="50">
        <v>45042.4437140856</v>
      </c>
      <c r="C2066" s="51">
        <v>1.031</v>
      </c>
      <c r="D2066" s="51">
        <v>64.0</v>
      </c>
      <c r="E2066" s="52" t="s">
        <v>25</v>
      </c>
      <c r="F2066" s="52" t="s">
        <v>26</v>
      </c>
      <c r="G2066" s="53"/>
    </row>
    <row r="2067">
      <c r="A2067" s="49">
        <v>45042.32916267361</v>
      </c>
      <c r="B2067" s="50">
        <v>45042.4541354166</v>
      </c>
      <c r="C2067" s="51">
        <v>1.031</v>
      </c>
      <c r="D2067" s="51">
        <v>64.0</v>
      </c>
      <c r="E2067" s="52" t="s">
        <v>25</v>
      </c>
      <c r="F2067" s="52" t="s">
        <v>26</v>
      </c>
      <c r="G2067" s="53"/>
    </row>
    <row r="2068">
      <c r="A2068" s="49">
        <v>45042.339637337966</v>
      </c>
      <c r="B2068" s="50">
        <v>45042.4646138425</v>
      </c>
      <c r="C2068" s="51">
        <v>1.031</v>
      </c>
      <c r="D2068" s="51">
        <v>64.0</v>
      </c>
      <c r="E2068" s="52" t="s">
        <v>25</v>
      </c>
      <c r="F2068" s="52" t="s">
        <v>26</v>
      </c>
      <c r="G2068" s="53"/>
    </row>
    <row r="2069">
      <c r="A2069" s="49">
        <v>45042.35010231481</v>
      </c>
      <c r="B2069" s="50">
        <v>45042.4750810185</v>
      </c>
      <c r="C2069" s="51">
        <v>1.031</v>
      </c>
      <c r="D2069" s="51">
        <v>64.0</v>
      </c>
      <c r="E2069" s="52" t="s">
        <v>25</v>
      </c>
      <c r="F2069" s="52" t="s">
        <v>26</v>
      </c>
      <c r="G2069" s="53"/>
    </row>
    <row r="2070">
      <c r="A2070" s="49">
        <v>45042.360535520835</v>
      </c>
      <c r="B2070" s="50">
        <v>45042.4855026851</v>
      </c>
      <c r="C2070" s="51">
        <v>1.031</v>
      </c>
      <c r="D2070" s="51">
        <v>64.0</v>
      </c>
      <c r="E2070" s="52" t="s">
        <v>25</v>
      </c>
      <c r="F2070" s="52" t="s">
        <v>26</v>
      </c>
      <c r="G2070" s="53"/>
    </row>
    <row r="2071">
      <c r="A2071" s="49">
        <v>45042.37095439815</v>
      </c>
      <c r="B2071" s="50">
        <v>45042.4959245949</v>
      </c>
      <c r="C2071" s="51">
        <v>1.031</v>
      </c>
      <c r="D2071" s="51">
        <v>64.0</v>
      </c>
      <c r="E2071" s="52" t="s">
        <v>25</v>
      </c>
      <c r="F2071" s="52" t="s">
        <v>26</v>
      </c>
      <c r="G2071" s="53"/>
    </row>
    <row r="2072">
      <c r="A2072" s="49">
        <v>45042.381691574075</v>
      </c>
      <c r="B2072" s="50">
        <v>45042.5063462384</v>
      </c>
      <c r="C2072" s="51">
        <v>1.032</v>
      </c>
      <c r="D2072" s="51">
        <v>64.0</v>
      </c>
      <c r="E2072" s="52" t="s">
        <v>25</v>
      </c>
      <c r="F2072" s="52" t="s">
        <v>26</v>
      </c>
      <c r="G2072" s="53"/>
    </row>
    <row r="2073">
      <c r="A2073" s="49">
        <v>45042.391818379634</v>
      </c>
      <c r="B2073" s="50">
        <v>45042.5167914351</v>
      </c>
      <c r="C2073" s="51">
        <v>1.031</v>
      </c>
      <c r="D2073" s="51">
        <v>64.0</v>
      </c>
      <c r="E2073" s="52" t="s">
        <v>25</v>
      </c>
      <c r="F2073" s="52" t="s">
        <v>26</v>
      </c>
      <c r="G2073" s="53"/>
    </row>
    <row r="2074">
      <c r="A2074" s="49">
        <v>45042.402274374996</v>
      </c>
      <c r="B2074" s="50">
        <v>45042.5272457291</v>
      </c>
      <c r="C2074" s="51">
        <v>1.031</v>
      </c>
      <c r="D2074" s="51">
        <v>64.0</v>
      </c>
      <c r="E2074" s="52" t="s">
        <v>25</v>
      </c>
      <c r="F2074" s="52" t="s">
        <v>26</v>
      </c>
      <c r="G2074" s="53"/>
    </row>
    <row r="2075">
      <c r="A2075" s="49">
        <v>45042.41272603009</v>
      </c>
      <c r="B2075" s="50">
        <v>45042.5376912268</v>
      </c>
      <c r="C2075" s="51">
        <v>1.031</v>
      </c>
      <c r="D2075" s="51">
        <v>64.0</v>
      </c>
      <c r="E2075" s="52" t="s">
        <v>25</v>
      </c>
      <c r="F2075" s="52" t="s">
        <v>26</v>
      </c>
      <c r="G2075" s="53"/>
    </row>
    <row r="2076">
      <c r="A2076" s="49">
        <v>45042.423148622685</v>
      </c>
      <c r="B2076" s="50">
        <v>45042.548123368</v>
      </c>
      <c r="C2076" s="51">
        <v>1.031</v>
      </c>
      <c r="D2076" s="51">
        <v>64.0</v>
      </c>
      <c r="E2076" s="52" t="s">
        <v>25</v>
      </c>
      <c r="F2076" s="52" t="s">
        <v>26</v>
      </c>
      <c r="G2076" s="53"/>
    </row>
    <row r="2077">
      <c r="A2077" s="49">
        <v>45042.43357436343</v>
      </c>
      <c r="B2077" s="50">
        <v>45042.5585438426</v>
      </c>
      <c r="C2077" s="51">
        <v>1.031</v>
      </c>
      <c r="D2077" s="51">
        <v>64.0</v>
      </c>
      <c r="E2077" s="52" t="s">
        <v>25</v>
      </c>
      <c r="F2077" s="52" t="s">
        <v>26</v>
      </c>
      <c r="G2077" s="53"/>
    </row>
    <row r="2078">
      <c r="A2078" s="49">
        <v>45042.44399082176</v>
      </c>
      <c r="B2078" s="50">
        <v>45042.5689655555</v>
      </c>
      <c r="C2078" s="51">
        <v>1.031</v>
      </c>
      <c r="D2078" s="51">
        <v>64.0</v>
      </c>
      <c r="E2078" s="52" t="s">
        <v>25</v>
      </c>
      <c r="F2078" s="52" t="s">
        <v>26</v>
      </c>
      <c r="G2078" s="53"/>
    </row>
    <row r="2079">
      <c r="A2079" s="49">
        <v>45042.454426446755</v>
      </c>
      <c r="B2079" s="50">
        <v>45042.5793973148</v>
      </c>
      <c r="C2079" s="51">
        <v>1.032</v>
      </c>
      <c r="D2079" s="51">
        <v>64.0</v>
      </c>
      <c r="E2079" s="52" t="s">
        <v>25</v>
      </c>
      <c r="F2079" s="52" t="s">
        <v>26</v>
      </c>
      <c r="G2079" s="53"/>
    </row>
    <row r="2080">
      <c r="A2080" s="49">
        <v>45042.464845636576</v>
      </c>
      <c r="B2080" s="50">
        <v>45042.589819618</v>
      </c>
      <c r="C2080" s="51">
        <v>1.031</v>
      </c>
      <c r="D2080" s="51">
        <v>64.0</v>
      </c>
      <c r="E2080" s="52" t="s">
        <v>25</v>
      </c>
      <c r="F2080" s="52" t="s">
        <v>26</v>
      </c>
      <c r="G2080" s="53"/>
    </row>
    <row r="2081">
      <c r="A2081" s="49">
        <v>45042.47529015046</v>
      </c>
      <c r="B2081" s="50">
        <v>45042.6002633912</v>
      </c>
      <c r="C2081" s="51">
        <v>1.031</v>
      </c>
      <c r="D2081" s="51">
        <v>64.0</v>
      </c>
      <c r="E2081" s="52" t="s">
        <v>25</v>
      </c>
      <c r="F2081" s="52" t="s">
        <v>26</v>
      </c>
      <c r="G2081" s="53"/>
    </row>
    <row r="2082">
      <c r="A2082" s="49">
        <v>45042.48575386574</v>
      </c>
      <c r="B2082" s="50">
        <v>45042.6107073263</v>
      </c>
      <c r="C2082" s="51">
        <v>1.031</v>
      </c>
      <c r="D2082" s="51">
        <v>64.0</v>
      </c>
      <c r="E2082" s="52" t="s">
        <v>25</v>
      </c>
      <c r="F2082" s="52" t="s">
        <v>26</v>
      </c>
      <c r="G2082" s="53"/>
    </row>
    <row r="2083">
      <c r="A2083" s="49">
        <v>45042.496161331015</v>
      </c>
      <c r="B2083" s="50">
        <v>45042.6211279861</v>
      </c>
      <c r="C2083" s="51">
        <v>1.031</v>
      </c>
      <c r="D2083" s="51">
        <v>64.0</v>
      </c>
      <c r="E2083" s="52" t="s">
        <v>25</v>
      </c>
      <c r="F2083" s="52" t="s">
        <v>26</v>
      </c>
      <c r="G2083" s="53"/>
    </row>
    <row r="2084">
      <c r="A2084" s="49">
        <v>45042.506571516205</v>
      </c>
      <c r="B2084" s="50">
        <v>45042.6315501504</v>
      </c>
      <c r="C2084" s="51">
        <v>1.031</v>
      </c>
      <c r="D2084" s="51">
        <v>64.0</v>
      </c>
      <c r="E2084" s="52" t="s">
        <v>25</v>
      </c>
      <c r="F2084" s="52" t="s">
        <v>26</v>
      </c>
      <c r="G2084" s="53"/>
    </row>
    <row r="2085">
      <c r="A2085" s="49">
        <v>45042.51706349537</v>
      </c>
      <c r="B2085" s="50">
        <v>45042.642030243</v>
      </c>
      <c r="C2085" s="51">
        <v>1.031</v>
      </c>
      <c r="D2085" s="51">
        <v>64.0</v>
      </c>
      <c r="E2085" s="52" t="s">
        <v>25</v>
      </c>
      <c r="F2085" s="52" t="s">
        <v>26</v>
      </c>
      <c r="G2085" s="53"/>
    </row>
    <row r="2086">
      <c r="A2086" s="49">
        <v>45042.52748521991</v>
      </c>
      <c r="B2086" s="50">
        <v>45042.6524648148</v>
      </c>
      <c r="C2086" s="51">
        <v>1.031</v>
      </c>
      <c r="D2086" s="51">
        <v>64.0</v>
      </c>
      <c r="E2086" s="52" t="s">
        <v>25</v>
      </c>
      <c r="F2086" s="52" t="s">
        <v>26</v>
      </c>
      <c r="G2086" s="53"/>
    </row>
    <row r="2087">
      <c r="A2087" s="49">
        <v>45042.538122048616</v>
      </c>
      <c r="B2087" s="50">
        <v>45042.6629447338</v>
      </c>
      <c r="C2087" s="51">
        <v>1.031</v>
      </c>
      <c r="D2087" s="51">
        <v>64.0</v>
      </c>
      <c r="E2087" s="52" t="s">
        <v>25</v>
      </c>
      <c r="F2087" s="52" t="s">
        <v>26</v>
      </c>
      <c r="G2087" s="53"/>
    </row>
    <row r="2088">
      <c r="A2088" s="49">
        <v>45042.54838194445</v>
      </c>
      <c r="B2088" s="50">
        <v>45042.6733643402</v>
      </c>
      <c r="C2088" s="51">
        <v>1.031</v>
      </c>
      <c r="D2088" s="51">
        <v>64.0</v>
      </c>
      <c r="E2088" s="52" t="s">
        <v>25</v>
      </c>
      <c r="F2088" s="52" t="s">
        <v>26</v>
      </c>
      <c r="G2088" s="53"/>
    </row>
    <row r="2089">
      <c r="A2089" s="49">
        <v>45042.55881724537</v>
      </c>
      <c r="B2089" s="50">
        <v>45042.683786331</v>
      </c>
      <c r="C2089" s="51">
        <v>1.031</v>
      </c>
      <c r="D2089" s="51">
        <v>64.0</v>
      </c>
      <c r="E2089" s="52" t="s">
        <v>25</v>
      </c>
      <c r="F2089" s="52" t="s">
        <v>26</v>
      </c>
      <c r="G2089" s="53"/>
    </row>
    <row r="2090">
      <c r="A2090" s="49">
        <v>45042.56924857639</v>
      </c>
      <c r="B2090" s="50">
        <v>45042.6942081134</v>
      </c>
      <c r="C2090" s="51">
        <v>1.031</v>
      </c>
      <c r="D2090" s="51">
        <v>64.0</v>
      </c>
      <c r="E2090" s="52" t="s">
        <v>25</v>
      </c>
      <c r="F2090" s="52" t="s">
        <v>26</v>
      </c>
      <c r="G2090" s="53"/>
    </row>
    <row r="2091">
      <c r="A2091" s="49">
        <v>45042.57967209491</v>
      </c>
      <c r="B2091" s="50">
        <v>45042.704640868</v>
      </c>
      <c r="C2091" s="51">
        <v>1.031</v>
      </c>
      <c r="D2091" s="51">
        <v>64.0</v>
      </c>
      <c r="E2091" s="52" t="s">
        <v>25</v>
      </c>
      <c r="F2091" s="52" t="s">
        <v>26</v>
      </c>
      <c r="G2091" s="53"/>
    </row>
    <row r="2092">
      <c r="A2092" s="49">
        <v>45042.59009170139</v>
      </c>
      <c r="B2092" s="50">
        <v>45042.7150611458</v>
      </c>
      <c r="C2092" s="51">
        <v>1.031</v>
      </c>
      <c r="D2092" s="51">
        <v>64.0</v>
      </c>
      <c r="E2092" s="52" t="s">
        <v>25</v>
      </c>
      <c r="F2092" s="52" t="s">
        <v>26</v>
      </c>
      <c r="G2092" s="53"/>
    </row>
    <row r="2093">
      <c r="A2093" s="49">
        <v>45042.60051202546</v>
      </c>
      <c r="B2093" s="50">
        <v>45042.7254825</v>
      </c>
      <c r="C2093" s="51">
        <v>1.031</v>
      </c>
      <c r="D2093" s="51">
        <v>64.0</v>
      </c>
      <c r="E2093" s="52" t="s">
        <v>25</v>
      </c>
      <c r="F2093" s="52" t="s">
        <v>26</v>
      </c>
      <c r="G2093" s="53"/>
    </row>
    <row r="2094">
      <c r="A2094" s="49">
        <v>45042.61098175926</v>
      </c>
      <c r="B2094" s="50">
        <v>45042.7359523495</v>
      </c>
      <c r="C2094" s="51">
        <v>1.031</v>
      </c>
      <c r="D2094" s="51">
        <v>64.0</v>
      </c>
      <c r="E2094" s="52" t="s">
        <v>25</v>
      </c>
      <c r="F2094" s="52" t="s">
        <v>26</v>
      </c>
      <c r="G2094" s="53"/>
    </row>
    <row r="2095">
      <c r="A2095" s="49">
        <v>45042.62139894676</v>
      </c>
      <c r="B2095" s="50">
        <v>45042.7463755555</v>
      </c>
      <c r="C2095" s="51">
        <v>1.031</v>
      </c>
      <c r="D2095" s="51">
        <v>64.0</v>
      </c>
      <c r="E2095" s="52" t="s">
        <v>25</v>
      </c>
      <c r="F2095" s="52" t="s">
        <v>26</v>
      </c>
      <c r="G2095" s="53"/>
    </row>
    <row r="2096">
      <c r="A2096" s="49">
        <v>45042.631819884264</v>
      </c>
      <c r="B2096" s="50">
        <v>45042.7567978009</v>
      </c>
      <c r="C2096" s="51">
        <v>1.031</v>
      </c>
      <c r="D2096" s="51">
        <v>64.0</v>
      </c>
      <c r="E2096" s="52" t="s">
        <v>25</v>
      </c>
      <c r="F2096" s="52" t="s">
        <v>26</v>
      </c>
      <c r="G2096" s="53"/>
    </row>
    <row r="2097">
      <c r="A2097" s="49">
        <v>45042.642239479166</v>
      </c>
      <c r="B2097" s="50">
        <v>45042.7672187615</v>
      </c>
      <c r="C2097" s="51">
        <v>1.031</v>
      </c>
      <c r="D2097" s="51">
        <v>64.0</v>
      </c>
      <c r="E2097" s="52" t="s">
        <v>25</v>
      </c>
      <c r="F2097" s="52" t="s">
        <v>26</v>
      </c>
      <c r="G2097" s="53"/>
    </row>
    <row r="2098">
      <c r="A2098" s="49">
        <v>45042.65267136574</v>
      </c>
      <c r="B2098" s="50">
        <v>45042.7776506018</v>
      </c>
      <c r="C2098" s="51">
        <v>1.031</v>
      </c>
      <c r="D2098" s="51">
        <v>64.0</v>
      </c>
      <c r="E2098" s="52" t="s">
        <v>25</v>
      </c>
      <c r="F2098" s="52" t="s">
        <v>26</v>
      </c>
      <c r="G2098" s="53"/>
    </row>
    <row r="2099">
      <c r="A2099" s="49">
        <v>45042.66309769676</v>
      </c>
      <c r="B2099" s="50">
        <v>45042.788071956</v>
      </c>
      <c r="C2099" s="51">
        <v>1.031</v>
      </c>
      <c r="D2099" s="51">
        <v>64.0</v>
      </c>
      <c r="E2099" s="52" t="s">
        <v>25</v>
      </c>
      <c r="F2099" s="52" t="s">
        <v>26</v>
      </c>
      <c r="G2099" s="53"/>
    </row>
    <row r="2100">
      <c r="A2100" s="49">
        <v>45042.67352960648</v>
      </c>
      <c r="B2100" s="50">
        <v>45042.7985064236</v>
      </c>
      <c r="C2100" s="51">
        <v>1.031</v>
      </c>
      <c r="D2100" s="51">
        <v>64.0</v>
      </c>
      <c r="E2100" s="52" t="s">
        <v>25</v>
      </c>
      <c r="F2100" s="52" t="s">
        <v>26</v>
      </c>
      <c r="G2100" s="53"/>
    </row>
    <row r="2101">
      <c r="A2101" s="49">
        <v>45042.68395049768</v>
      </c>
      <c r="B2101" s="50">
        <v>45042.8089258449</v>
      </c>
      <c r="C2101" s="51">
        <v>1.031</v>
      </c>
      <c r="D2101" s="51">
        <v>64.0</v>
      </c>
      <c r="E2101" s="52" t="s">
        <v>25</v>
      </c>
      <c r="F2101" s="52" t="s">
        <v>26</v>
      </c>
      <c r="G2101" s="53"/>
    </row>
    <row r="2102">
      <c r="A2102" s="49">
        <v>45042.69438935185</v>
      </c>
      <c r="B2102" s="50">
        <v>45042.8193593981</v>
      </c>
      <c r="C2102" s="51">
        <v>1.031</v>
      </c>
      <c r="D2102" s="51">
        <v>64.0</v>
      </c>
      <c r="E2102" s="52" t="s">
        <v>25</v>
      </c>
      <c r="F2102" s="52" t="s">
        <v>26</v>
      </c>
      <c r="G2102" s="53"/>
    </row>
    <row r="2103">
      <c r="A2103" s="49">
        <v>45042.704803333334</v>
      </c>
      <c r="B2103" s="50">
        <v>45042.8297798958</v>
      </c>
      <c r="C2103" s="51">
        <v>1.031</v>
      </c>
      <c r="D2103" s="51">
        <v>64.0</v>
      </c>
      <c r="E2103" s="52" t="s">
        <v>25</v>
      </c>
      <c r="F2103" s="52" t="s">
        <v>26</v>
      </c>
      <c r="G2103" s="53"/>
    </row>
    <row r="2104">
      <c r="A2104" s="49">
        <v>45042.71524513889</v>
      </c>
      <c r="B2104" s="50">
        <v>45042.8402117824</v>
      </c>
      <c r="C2104" s="51">
        <v>1.031</v>
      </c>
      <c r="D2104" s="51">
        <v>64.0</v>
      </c>
      <c r="E2104" s="52" t="s">
        <v>25</v>
      </c>
      <c r="F2104" s="52" t="s">
        <v>26</v>
      </c>
      <c r="G2104" s="53"/>
    </row>
    <row r="2105">
      <c r="A2105" s="49">
        <v>45042.725672939814</v>
      </c>
      <c r="B2105" s="50">
        <v>45042.8506442476</v>
      </c>
      <c r="C2105" s="51">
        <v>1.031</v>
      </c>
      <c r="D2105" s="51">
        <v>64.0</v>
      </c>
      <c r="E2105" s="52" t="s">
        <v>25</v>
      </c>
      <c r="F2105" s="52" t="s">
        <v>26</v>
      </c>
      <c r="G2105" s="53"/>
    </row>
    <row r="2106">
      <c r="A2106" s="49">
        <v>45042.73608959491</v>
      </c>
      <c r="B2106" s="50">
        <v>45042.8610650115</v>
      </c>
      <c r="C2106" s="51">
        <v>1.031</v>
      </c>
      <c r="D2106" s="51">
        <v>64.0</v>
      </c>
      <c r="E2106" s="52" t="s">
        <v>25</v>
      </c>
      <c r="F2106" s="52" t="s">
        <v>26</v>
      </c>
      <c r="G2106" s="53"/>
    </row>
    <row r="2107">
      <c r="A2107" s="49">
        <v>45042.74650958333</v>
      </c>
      <c r="B2107" s="50">
        <v>45042.8714863657</v>
      </c>
      <c r="C2107" s="51">
        <v>1.031</v>
      </c>
      <c r="D2107" s="51">
        <v>64.0</v>
      </c>
      <c r="E2107" s="52" t="s">
        <v>25</v>
      </c>
      <c r="F2107" s="52" t="s">
        <v>26</v>
      </c>
      <c r="G2107" s="53"/>
    </row>
    <row r="2108">
      <c r="A2108" s="49">
        <v>45042.75694496528</v>
      </c>
      <c r="B2108" s="50">
        <v>45042.8819188657</v>
      </c>
      <c r="C2108" s="51">
        <v>1.031</v>
      </c>
      <c r="D2108" s="51">
        <v>64.0</v>
      </c>
      <c r="E2108" s="52" t="s">
        <v>25</v>
      </c>
      <c r="F2108" s="52" t="s">
        <v>26</v>
      </c>
      <c r="G2108" s="53"/>
    </row>
    <row r="2109">
      <c r="A2109" s="49">
        <v>45042.76738423611</v>
      </c>
      <c r="B2109" s="50">
        <v>45042.892362037</v>
      </c>
      <c r="C2109" s="51">
        <v>1.031</v>
      </c>
      <c r="D2109" s="51">
        <v>64.0</v>
      </c>
      <c r="E2109" s="52" t="s">
        <v>25</v>
      </c>
      <c r="F2109" s="52" t="s">
        <v>26</v>
      </c>
      <c r="G2109" s="53"/>
    </row>
    <row r="2110">
      <c r="A2110" s="49">
        <v>45042.77781206019</v>
      </c>
      <c r="B2110" s="50">
        <v>45042.9027826389</v>
      </c>
      <c r="C2110" s="51">
        <v>1.031</v>
      </c>
      <c r="D2110" s="51">
        <v>64.0</v>
      </c>
      <c r="E2110" s="52" t="s">
        <v>25</v>
      </c>
      <c r="F2110" s="52" t="s">
        <v>26</v>
      </c>
      <c r="G2110" s="53"/>
    </row>
    <row r="2111">
      <c r="A2111" s="49">
        <v>45042.78823680556</v>
      </c>
      <c r="B2111" s="50">
        <v>45042.9132040393</v>
      </c>
      <c r="C2111" s="51">
        <v>1.031</v>
      </c>
      <c r="D2111" s="51">
        <v>64.0</v>
      </c>
      <c r="E2111" s="52" t="s">
        <v>25</v>
      </c>
      <c r="F2111" s="52" t="s">
        <v>26</v>
      </c>
      <c r="G2111" s="53"/>
    </row>
    <row r="2112">
      <c r="A2112" s="49">
        <v>45042.79867581019</v>
      </c>
      <c r="B2112" s="50">
        <v>45042.9236484838</v>
      </c>
      <c r="C2112" s="51">
        <v>1.031</v>
      </c>
      <c r="D2112" s="51">
        <v>64.0</v>
      </c>
      <c r="E2112" s="52" t="s">
        <v>25</v>
      </c>
      <c r="F2112" s="52" t="s">
        <v>26</v>
      </c>
      <c r="G2112" s="53"/>
    </row>
    <row r="2113">
      <c r="A2113" s="49">
        <v>45042.80914388889</v>
      </c>
      <c r="B2113" s="50">
        <v>45042.9341031018</v>
      </c>
      <c r="C2113" s="51">
        <v>1.031</v>
      </c>
      <c r="D2113" s="51">
        <v>64.0</v>
      </c>
      <c r="E2113" s="52" t="s">
        <v>25</v>
      </c>
      <c r="F2113" s="52" t="s">
        <v>26</v>
      </c>
      <c r="G2113" s="53"/>
    </row>
    <row r="2114">
      <c r="A2114" s="49">
        <v>45042.81958494213</v>
      </c>
      <c r="B2114" s="50">
        <v>45042.9445584375</v>
      </c>
      <c r="C2114" s="51">
        <v>1.031</v>
      </c>
      <c r="D2114" s="51">
        <v>64.0</v>
      </c>
      <c r="E2114" s="52" t="s">
        <v>25</v>
      </c>
      <c r="F2114" s="52" t="s">
        <v>26</v>
      </c>
      <c r="G2114" s="53"/>
    </row>
    <row r="2115">
      <c r="A2115" s="49">
        <v>45042.830005972224</v>
      </c>
      <c r="B2115" s="50">
        <v>45042.9549785532</v>
      </c>
      <c r="C2115" s="51">
        <v>1.031</v>
      </c>
      <c r="D2115" s="51">
        <v>64.0</v>
      </c>
      <c r="E2115" s="52" t="s">
        <v>25</v>
      </c>
      <c r="F2115" s="52" t="s">
        <v>26</v>
      </c>
      <c r="G2115" s="53"/>
    </row>
    <row r="2116">
      <c r="A2116" s="49">
        <v>45042.84042925926</v>
      </c>
      <c r="B2116" s="50">
        <v>45042.9654003009</v>
      </c>
      <c r="C2116" s="51">
        <v>1.031</v>
      </c>
      <c r="D2116" s="51">
        <v>64.0</v>
      </c>
      <c r="E2116" s="52" t="s">
        <v>25</v>
      </c>
      <c r="F2116" s="52" t="s">
        <v>26</v>
      </c>
      <c r="G2116" s="53"/>
    </row>
    <row r="2117">
      <c r="A2117" s="49">
        <v>45042.8508478588</v>
      </c>
      <c r="B2117" s="50">
        <v>45042.9758226736</v>
      </c>
      <c r="C2117" s="51">
        <v>1.031</v>
      </c>
      <c r="D2117" s="51">
        <v>64.0</v>
      </c>
      <c r="E2117" s="52" t="s">
        <v>25</v>
      </c>
      <c r="F2117" s="52" t="s">
        <v>26</v>
      </c>
      <c r="G2117" s="53"/>
    </row>
    <row r="2118">
      <c r="A2118" s="49">
        <v>45042.86128964121</v>
      </c>
      <c r="B2118" s="50">
        <v>45042.9862658796</v>
      </c>
      <c r="C2118" s="51">
        <v>1.031</v>
      </c>
      <c r="D2118" s="51">
        <v>64.0</v>
      </c>
      <c r="E2118" s="52" t="s">
        <v>25</v>
      </c>
      <c r="F2118" s="52" t="s">
        <v>26</v>
      </c>
      <c r="G2118" s="53"/>
    </row>
    <row r="2119">
      <c r="A2119" s="49">
        <v>45042.8717675463</v>
      </c>
      <c r="B2119" s="50">
        <v>45042.9967217361</v>
      </c>
      <c r="C2119" s="51">
        <v>1.031</v>
      </c>
      <c r="D2119" s="51">
        <v>64.0</v>
      </c>
      <c r="E2119" s="52" t="s">
        <v>25</v>
      </c>
      <c r="F2119" s="52" t="s">
        <v>26</v>
      </c>
      <c r="G2119" s="53"/>
    </row>
    <row r="2120">
      <c r="A2120" s="49">
        <v>45042.88216601852</v>
      </c>
      <c r="B2120" s="50">
        <v>45043.0071439814</v>
      </c>
      <c r="C2120" s="51">
        <v>1.031</v>
      </c>
      <c r="D2120" s="51">
        <v>64.0</v>
      </c>
      <c r="E2120" s="52" t="s">
        <v>25</v>
      </c>
      <c r="F2120" s="52" t="s">
        <v>26</v>
      </c>
      <c r="G2120" s="53"/>
    </row>
    <row r="2121">
      <c r="A2121" s="49">
        <v>45042.89258546296</v>
      </c>
      <c r="B2121" s="50">
        <v>45043.0175644444</v>
      </c>
      <c r="C2121" s="51">
        <v>1.031</v>
      </c>
      <c r="D2121" s="51">
        <v>64.0</v>
      </c>
      <c r="E2121" s="52" t="s">
        <v>25</v>
      </c>
      <c r="F2121" s="52" t="s">
        <v>26</v>
      </c>
      <c r="G2121" s="53"/>
    </row>
    <row r="2122">
      <c r="A2122" s="49">
        <v>45042.90302243056</v>
      </c>
      <c r="B2122" s="50">
        <v>45043.0279973495</v>
      </c>
      <c r="C2122" s="51">
        <v>1.031</v>
      </c>
      <c r="D2122" s="51">
        <v>64.0</v>
      </c>
      <c r="E2122" s="52" t="s">
        <v>25</v>
      </c>
      <c r="F2122" s="52" t="s">
        <v>26</v>
      </c>
      <c r="G2122" s="53"/>
    </row>
    <row r="2123">
      <c r="A2123" s="49">
        <v>45042.913440868055</v>
      </c>
      <c r="B2123" s="50">
        <v>45043.038420243</v>
      </c>
      <c r="C2123" s="51">
        <v>1.031</v>
      </c>
      <c r="D2123" s="51">
        <v>64.0</v>
      </c>
      <c r="E2123" s="52" t="s">
        <v>25</v>
      </c>
      <c r="F2123" s="52" t="s">
        <v>26</v>
      </c>
      <c r="G2123" s="53"/>
    </row>
    <row r="2124">
      <c r="A2124" s="49">
        <v>45042.923861030096</v>
      </c>
      <c r="B2124" s="50">
        <v>45043.0488404976</v>
      </c>
      <c r="C2124" s="51">
        <v>1.031</v>
      </c>
      <c r="D2124" s="51">
        <v>64.0</v>
      </c>
      <c r="E2124" s="52" t="s">
        <v>25</v>
      </c>
      <c r="F2124" s="52" t="s">
        <v>26</v>
      </c>
      <c r="G2124" s="53"/>
    </row>
    <row r="2125">
      <c r="A2125" s="49">
        <v>45042.934286944444</v>
      </c>
      <c r="B2125" s="50">
        <v>45043.0592621527</v>
      </c>
      <c r="C2125" s="51">
        <v>1.031</v>
      </c>
      <c r="D2125" s="51">
        <v>64.0</v>
      </c>
      <c r="E2125" s="52" t="s">
        <v>25</v>
      </c>
      <c r="F2125" s="52" t="s">
        <v>26</v>
      </c>
      <c r="G2125" s="53"/>
    </row>
    <row r="2126">
      <c r="A2126" s="49">
        <v>45042.944745092595</v>
      </c>
      <c r="B2126" s="50">
        <v>45043.069717118</v>
      </c>
      <c r="C2126" s="51">
        <v>1.031</v>
      </c>
      <c r="D2126" s="51">
        <v>64.0</v>
      </c>
      <c r="E2126" s="52" t="s">
        <v>25</v>
      </c>
      <c r="F2126" s="52" t="s">
        <v>26</v>
      </c>
      <c r="G2126" s="53"/>
    </row>
    <row r="2127">
      <c r="A2127" s="49">
        <v>45042.955166493055</v>
      </c>
      <c r="B2127" s="50">
        <v>45043.080136956</v>
      </c>
      <c r="C2127" s="51">
        <v>1.031</v>
      </c>
      <c r="D2127" s="51">
        <v>64.0</v>
      </c>
      <c r="E2127" s="52" t="s">
        <v>25</v>
      </c>
      <c r="F2127" s="52" t="s">
        <v>26</v>
      </c>
      <c r="G2127" s="53"/>
    </row>
    <row r="2128">
      <c r="A2128" s="49">
        <v>45042.96558753472</v>
      </c>
      <c r="B2128" s="50">
        <v>45043.0905585648</v>
      </c>
      <c r="C2128" s="51">
        <v>1.031</v>
      </c>
      <c r="D2128" s="51">
        <v>64.0</v>
      </c>
      <c r="E2128" s="52" t="s">
        <v>25</v>
      </c>
      <c r="F2128" s="52" t="s">
        <v>26</v>
      </c>
      <c r="G2128" s="53"/>
    </row>
    <row r="2129">
      <c r="A2129" s="49">
        <v>45042.97600810185</v>
      </c>
      <c r="B2129" s="50">
        <v>45043.1009802662</v>
      </c>
      <c r="C2129" s="51">
        <v>1.031</v>
      </c>
      <c r="D2129" s="51">
        <v>64.0</v>
      </c>
      <c r="E2129" s="52" t="s">
        <v>25</v>
      </c>
      <c r="F2129" s="52" t="s">
        <v>26</v>
      </c>
      <c r="G2129" s="53"/>
    </row>
    <row r="2130">
      <c r="A2130" s="49">
        <v>45042.98645373843</v>
      </c>
      <c r="B2130" s="50">
        <v>45043.111425081</v>
      </c>
      <c r="C2130" s="51">
        <v>1.031</v>
      </c>
      <c r="D2130" s="51">
        <v>64.0</v>
      </c>
      <c r="E2130" s="52" t="s">
        <v>25</v>
      </c>
      <c r="F2130" s="52" t="s">
        <v>26</v>
      </c>
      <c r="G2130" s="53"/>
    </row>
    <row r="2131">
      <c r="A2131" s="49">
        <v>45042.99686515046</v>
      </c>
      <c r="B2131" s="50">
        <v>45043.1218455555</v>
      </c>
      <c r="C2131" s="51">
        <v>1.031</v>
      </c>
      <c r="D2131" s="51">
        <v>64.0</v>
      </c>
      <c r="E2131" s="52" t="s">
        <v>25</v>
      </c>
      <c r="F2131" s="52" t="s">
        <v>26</v>
      </c>
      <c r="G2131" s="53"/>
    </row>
    <row r="2132">
      <c r="A2132" s="49">
        <v>45043.007313090275</v>
      </c>
      <c r="B2132" s="50">
        <v>45043.1322903009</v>
      </c>
      <c r="C2132" s="51">
        <v>1.031</v>
      </c>
      <c r="D2132" s="51">
        <v>64.0</v>
      </c>
      <c r="E2132" s="52" t="s">
        <v>25</v>
      </c>
      <c r="F2132" s="52" t="s">
        <v>26</v>
      </c>
      <c r="G2132" s="53"/>
    </row>
    <row r="2133">
      <c r="A2133" s="49">
        <v>45043.01773481481</v>
      </c>
      <c r="B2133" s="50">
        <v>45043.1427118287</v>
      </c>
      <c r="C2133" s="51">
        <v>1.031</v>
      </c>
      <c r="D2133" s="51">
        <v>64.0</v>
      </c>
      <c r="E2133" s="52" t="s">
        <v>25</v>
      </c>
      <c r="F2133" s="52" t="s">
        <v>26</v>
      </c>
      <c r="G2133" s="53"/>
    </row>
    <row r="2134">
      <c r="A2134" s="49">
        <v>45043.028157395835</v>
      </c>
      <c r="B2134" s="50">
        <v>45043.1531323148</v>
      </c>
      <c r="C2134" s="51">
        <v>1.031</v>
      </c>
      <c r="D2134" s="51">
        <v>64.0</v>
      </c>
      <c r="E2134" s="52" t="s">
        <v>25</v>
      </c>
      <c r="F2134" s="52" t="s">
        <v>26</v>
      </c>
      <c r="G2134" s="53"/>
    </row>
    <row r="2135">
      <c r="A2135" s="49">
        <v>45043.038580532404</v>
      </c>
      <c r="B2135" s="50">
        <v>45043.163554074</v>
      </c>
      <c r="C2135" s="51">
        <v>1.031</v>
      </c>
      <c r="D2135" s="51">
        <v>64.0</v>
      </c>
      <c r="E2135" s="52" t="s">
        <v>25</v>
      </c>
      <c r="F2135" s="52" t="s">
        <v>26</v>
      </c>
      <c r="G2135" s="53"/>
    </row>
    <row r="2136">
      <c r="A2136" s="49">
        <v>45043.049045127314</v>
      </c>
      <c r="B2136" s="50">
        <v>45043.174021412</v>
      </c>
      <c r="C2136" s="51">
        <v>1.031</v>
      </c>
      <c r="D2136" s="51">
        <v>64.0</v>
      </c>
      <c r="E2136" s="52" t="s">
        <v>25</v>
      </c>
      <c r="F2136" s="52" t="s">
        <v>26</v>
      </c>
      <c r="G2136" s="53"/>
    </row>
    <row r="2137">
      <c r="A2137" s="49">
        <v>45043.0594884375</v>
      </c>
      <c r="B2137" s="50">
        <v>45043.1844530555</v>
      </c>
      <c r="C2137" s="51">
        <v>1.031</v>
      </c>
      <c r="D2137" s="51">
        <v>64.0</v>
      </c>
      <c r="E2137" s="52" t="s">
        <v>25</v>
      </c>
      <c r="F2137" s="52" t="s">
        <v>26</v>
      </c>
      <c r="G2137" s="53"/>
    </row>
    <row r="2138">
      <c r="A2138" s="49">
        <v>45043.06989584491</v>
      </c>
      <c r="B2138" s="50">
        <v>45043.1948734259</v>
      </c>
      <c r="C2138" s="51">
        <v>1.031</v>
      </c>
      <c r="D2138" s="51">
        <v>64.0</v>
      </c>
      <c r="E2138" s="52" t="s">
        <v>25</v>
      </c>
      <c r="F2138" s="52" t="s">
        <v>26</v>
      </c>
      <c r="G2138" s="53"/>
    </row>
    <row r="2139">
      <c r="A2139" s="49">
        <v>45043.080315659725</v>
      </c>
      <c r="B2139" s="50">
        <v>45043.2052955555</v>
      </c>
      <c r="C2139" s="51">
        <v>1.031</v>
      </c>
      <c r="D2139" s="51">
        <v>64.0</v>
      </c>
      <c r="E2139" s="52" t="s">
        <v>25</v>
      </c>
      <c r="F2139" s="52" t="s">
        <v>26</v>
      </c>
      <c r="G2139" s="53"/>
    </row>
    <row r="2140">
      <c r="A2140" s="49">
        <v>45043.09073793981</v>
      </c>
      <c r="B2140" s="50">
        <v>45043.2157159259</v>
      </c>
      <c r="C2140" s="51">
        <v>1.031</v>
      </c>
      <c r="D2140" s="51">
        <v>64.0</v>
      </c>
      <c r="E2140" s="52" t="s">
        <v>25</v>
      </c>
      <c r="F2140" s="52" t="s">
        <v>26</v>
      </c>
      <c r="G2140" s="53"/>
    </row>
    <row r="2141">
      <c r="A2141" s="49">
        <v>45043.10115761574</v>
      </c>
      <c r="B2141" s="50">
        <v>45043.2261366319</v>
      </c>
      <c r="C2141" s="51">
        <v>1.031</v>
      </c>
      <c r="D2141" s="51">
        <v>64.0</v>
      </c>
      <c r="E2141" s="52" t="s">
        <v>25</v>
      </c>
      <c r="F2141" s="52" t="s">
        <v>26</v>
      </c>
      <c r="G2141" s="53"/>
    </row>
    <row r="2142">
      <c r="A2142" s="49">
        <v>45043.11164696759</v>
      </c>
      <c r="B2142" s="50">
        <v>45043.2366266203</v>
      </c>
      <c r="C2142" s="51">
        <v>1.031</v>
      </c>
      <c r="D2142" s="51">
        <v>64.0</v>
      </c>
      <c r="E2142" s="52" t="s">
        <v>25</v>
      </c>
      <c r="F2142" s="52" t="s">
        <v>26</v>
      </c>
      <c r="G2142" s="53"/>
    </row>
    <row r="2143">
      <c r="A2143" s="49">
        <v>45043.12206707176</v>
      </c>
      <c r="B2143" s="50">
        <v>45043.2470475925</v>
      </c>
      <c r="C2143" s="51">
        <v>1.031</v>
      </c>
      <c r="D2143" s="51">
        <v>64.0</v>
      </c>
      <c r="E2143" s="52" t="s">
        <v>25</v>
      </c>
      <c r="F2143" s="52" t="s">
        <v>26</v>
      </c>
      <c r="G2143" s="53"/>
    </row>
    <row r="2144">
      <c r="A2144" s="49">
        <v>45043.13251123842</v>
      </c>
      <c r="B2144" s="50">
        <v>45043.2574697338</v>
      </c>
      <c r="C2144" s="51">
        <v>1.031</v>
      </c>
      <c r="D2144" s="51">
        <v>64.0</v>
      </c>
      <c r="E2144" s="52" t="s">
        <v>25</v>
      </c>
      <c r="F2144" s="52" t="s">
        <v>26</v>
      </c>
      <c r="G2144" s="53"/>
    </row>
    <row r="2145">
      <c r="A2145" s="49">
        <v>45043.1429156713</v>
      </c>
      <c r="B2145" s="50">
        <v>45043.2678910648</v>
      </c>
      <c r="C2145" s="51">
        <v>1.031</v>
      </c>
      <c r="D2145" s="51">
        <v>64.0</v>
      </c>
      <c r="E2145" s="52" t="s">
        <v>25</v>
      </c>
      <c r="F2145" s="52" t="s">
        <v>26</v>
      </c>
      <c r="G2145" s="53"/>
    </row>
    <row r="2146">
      <c r="A2146" s="49">
        <v>45043.15335934028</v>
      </c>
      <c r="B2146" s="50">
        <v>45043.2783364467</v>
      </c>
      <c r="C2146" s="51">
        <v>1.031</v>
      </c>
      <c r="D2146" s="51">
        <v>64.0</v>
      </c>
      <c r="E2146" s="52" t="s">
        <v>25</v>
      </c>
      <c r="F2146" s="52" t="s">
        <v>26</v>
      </c>
      <c r="G2146" s="53"/>
    </row>
    <row r="2147">
      <c r="A2147" s="49">
        <v>45043.16377673611</v>
      </c>
      <c r="B2147" s="50">
        <v>45043.2887584837</v>
      </c>
      <c r="C2147" s="51">
        <v>1.031</v>
      </c>
      <c r="D2147" s="51">
        <v>64.0</v>
      </c>
      <c r="E2147" s="52" t="s">
        <v>25</v>
      </c>
      <c r="F2147" s="52" t="s">
        <v>26</v>
      </c>
      <c r="G2147" s="53"/>
    </row>
    <row r="2148">
      <c r="A2148" s="49">
        <v>45043.17421556713</v>
      </c>
      <c r="B2148" s="50">
        <v>45043.2991897916</v>
      </c>
      <c r="C2148" s="51">
        <v>1.031</v>
      </c>
      <c r="D2148" s="51">
        <v>64.0</v>
      </c>
      <c r="E2148" s="52" t="s">
        <v>25</v>
      </c>
      <c r="F2148" s="52" t="s">
        <v>26</v>
      </c>
      <c r="G2148" s="53"/>
    </row>
    <row r="2149">
      <c r="A2149" s="49">
        <v>45043.184663692125</v>
      </c>
      <c r="B2149" s="50">
        <v>45043.3096237731</v>
      </c>
      <c r="C2149" s="51">
        <v>1.03</v>
      </c>
      <c r="D2149" s="51">
        <v>64.0</v>
      </c>
      <c r="E2149" s="52" t="s">
        <v>25</v>
      </c>
      <c r="F2149" s="52" t="s">
        <v>26</v>
      </c>
      <c r="G2149" s="53"/>
    </row>
    <row r="2150">
      <c r="A2150" s="49">
        <v>45043.19508347222</v>
      </c>
      <c r="B2150" s="50">
        <v>45043.3200551041</v>
      </c>
      <c r="C2150" s="51">
        <v>1.03</v>
      </c>
      <c r="D2150" s="51">
        <v>64.0</v>
      </c>
      <c r="E2150" s="52" t="s">
        <v>25</v>
      </c>
      <c r="F2150" s="52" t="s">
        <v>26</v>
      </c>
      <c r="G2150" s="53"/>
    </row>
    <row r="2151">
      <c r="A2151" s="49">
        <v>45043.20553924769</v>
      </c>
      <c r="B2151" s="50">
        <v>45043.3305099537</v>
      </c>
      <c r="C2151" s="51">
        <v>1.031</v>
      </c>
      <c r="D2151" s="51">
        <v>64.0</v>
      </c>
      <c r="E2151" s="52" t="s">
        <v>25</v>
      </c>
      <c r="F2151" s="52" t="s">
        <v>26</v>
      </c>
      <c r="G2151" s="53"/>
    </row>
    <row r="2152">
      <c r="A2152" s="49">
        <v>45043.21599780093</v>
      </c>
      <c r="B2152" s="50">
        <v>45043.3409663657</v>
      </c>
      <c r="C2152" s="51">
        <v>1.03</v>
      </c>
      <c r="D2152" s="51">
        <v>64.0</v>
      </c>
      <c r="E2152" s="52" t="s">
        <v>25</v>
      </c>
      <c r="F2152" s="52" t="s">
        <v>26</v>
      </c>
      <c r="G2152" s="53"/>
    </row>
    <row r="2153">
      <c r="A2153" s="49">
        <v>45043.22641857639</v>
      </c>
      <c r="B2153" s="50">
        <v>45043.3513886111</v>
      </c>
      <c r="C2153" s="51">
        <v>1.03</v>
      </c>
      <c r="D2153" s="51">
        <v>64.0</v>
      </c>
      <c r="E2153" s="52" t="s">
        <v>25</v>
      </c>
      <c r="F2153" s="52" t="s">
        <v>26</v>
      </c>
      <c r="G2153" s="53"/>
    </row>
    <row r="2154">
      <c r="A2154" s="49">
        <v>45043.2368553125</v>
      </c>
      <c r="B2154" s="50">
        <v>45043.3618227546</v>
      </c>
      <c r="C2154" s="51">
        <v>1.03</v>
      </c>
      <c r="D2154" s="51">
        <v>64.0</v>
      </c>
      <c r="E2154" s="52" t="s">
        <v>25</v>
      </c>
      <c r="F2154" s="52" t="s">
        <v>26</v>
      </c>
      <c r="G2154" s="53"/>
    </row>
    <row r="2155">
      <c r="A2155" s="49">
        <v>45043.247276793976</v>
      </c>
      <c r="B2155" s="50">
        <v>45043.3722537268</v>
      </c>
      <c r="C2155" s="51">
        <v>1.03</v>
      </c>
      <c r="D2155" s="51">
        <v>64.0</v>
      </c>
      <c r="E2155" s="52" t="s">
        <v>25</v>
      </c>
      <c r="F2155" s="52" t="s">
        <v>26</v>
      </c>
      <c r="G2155" s="53"/>
    </row>
    <row r="2156">
      <c r="A2156" s="49">
        <v>45043.257750150464</v>
      </c>
      <c r="B2156" s="50">
        <v>45043.3827212615</v>
      </c>
      <c r="C2156" s="51">
        <v>1.03</v>
      </c>
      <c r="D2156" s="51">
        <v>64.0</v>
      </c>
      <c r="E2156" s="52" t="s">
        <v>25</v>
      </c>
      <c r="F2156" s="52" t="s">
        <v>26</v>
      </c>
      <c r="G2156" s="53"/>
    </row>
    <row r="2157">
      <c r="A2157" s="49">
        <v>45043.2681672801</v>
      </c>
      <c r="B2157" s="50">
        <v>45043.3931435185</v>
      </c>
      <c r="C2157" s="51">
        <v>1.031</v>
      </c>
      <c r="D2157" s="51">
        <v>64.0</v>
      </c>
      <c r="E2157" s="52" t="s">
        <v>25</v>
      </c>
      <c r="F2157" s="52" t="s">
        <v>26</v>
      </c>
      <c r="G2157" s="53"/>
    </row>
    <row r="2158">
      <c r="A2158" s="49">
        <v>45043.2785911574</v>
      </c>
      <c r="B2158" s="50">
        <v>45043.4035653009</v>
      </c>
      <c r="C2158" s="51">
        <v>1.03</v>
      </c>
      <c r="D2158" s="51">
        <v>64.0</v>
      </c>
      <c r="E2158" s="52" t="s">
        <v>25</v>
      </c>
      <c r="F2158" s="52" t="s">
        <v>26</v>
      </c>
      <c r="G2158" s="53"/>
    </row>
    <row r="2159">
      <c r="A2159" s="49">
        <v>45043.28906351852</v>
      </c>
      <c r="B2159" s="50">
        <v>45043.414042824</v>
      </c>
      <c r="C2159" s="51">
        <v>1.03</v>
      </c>
      <c r="D2159" s="51">
        <v>64.0</v>
      </c>
      <c r="E2159" s="52" t="s">
        <v>25</v>
      </c>
      <c r="F2159" s="52" t="s">
        <v>26</v>
      </c>
      <c r="G2159" s="53"/>
    </row>
    <row r="2160">
      <c r="A2160" s="49">
        <v>45043.2994849074</v>
      </c>
      <c r="B2160" s="50">
        <v>45043.4244627546</v>
      </c>
      <c r="C2160" s="51">
        <v>1.03</v>
      </c>
      <c r="D2160" s="51">
        <v>64.0</v>
      </c>
      <c r="E2160" s="52" t="s">
        <v>25</v>
      </c>
      <c r="F2160" s="52" t="s">
        <v>26</v>
      </c>
      <c r="G2160" s="53"/>
    </row>
    <row r="2161">
      <c r="A2161" s="49">
        <v>45043.30991519676</v>
      </c>
      <c r="B2161" s="50">
        <v>45043.4348836921</v>
      </c>
      <c r="C2161" s="51">
        <v>1.03</v>
      </c>
      <c r="D2161" s="51">
        <v>64.0</v>
      </c>
      <c r="E2161" s="52" t="s">
        <v>25</v>
      </c>
      <c r="F2161" s="52" t="s">
        <v>26</v>
      </c>
      <c r="G2161" s="53"/>
    </row>
    <row r="2162">
      <c r="A2162" s="49">
        <v>45043.32033513889</v>
      </c>
      <c r="B2162" s="50">
        <v>45043.445303368</v>
      </c>
      <c r="C2162" s="51">
        <v>1.03</v>
      </c>
      <c r="D2162" s="51">
        <v>64.0</v>
      </c>
      <c r="E2162" s="52" t="s">
        <v>25</v>
      </c>
      <c r="F2162" s="52" t="s">
        <v>26</v>
      </c>
      <c r="G2162" s="53"/>
    </row>
    <row r="2163">
      <c r="A2163" s="49">
        <v>45043.330749976856</v>
      </c>
      <c r="B2163" s="50">
        <v>45043.4557233796</v>
      </c>
      <c r="C2163" s="51">
        <v>1.03</v>
      </c>
      <c r="D2163" s="51">
        <v>64.0</v>
      </c>
      <c r="E2163" s="52" t="s">
        <v>25</v>
      </c>
      <c r="F2163" s="52" t="s">
        <v>26</v>
      </c>
      <c r="G2163" s="53"/>
    </row>
    <row r="2164">
      <c r="A2164" s="49">
        <v>45043.34116509259</v>
      </c>
      <c r="B2164" s="50">
        <v>45043.466144456</v>
      </c>
      <c r="C2164" s="51">
        <v>1.03</v>
      </c>
      <c r="D2164" s="51">
        <v>64.0</v>
      </c>
      <c r="E2164" s="52" t="s">
        <v>25</v>
      </c>
      <c r="F2164" s="52" t="s">
        <v>26</v>
      </c>
      <c r="G2164" s="53"/>
    </row>
    <row r="2165">
      <c r="A2165" s="49">
        <v>45043.35158717593</v>
      </c>
      <c r="B2165" s="50">
        <v>45043.4765661458</v>
      </c>
      <c r="C2165" s="51">
        <v>1.03</v>
      </c>
      <c r="D2165" s="51">
        <v>64.0</v>
      </c>
      <c r="E2165" s="52" t="s">
        <v>25</v>
      </c>
      <c r="F2165" s="52" t="s">
        <v>26</v>
      </c>
      <c r="G2165" s="53"/>
    </row>
    <row r="2166">
      <c r="A2166" s="49">
        <v>45043.36200979167</v>
      </c>
      <c r="B2166" s="50">
        <v>45043.4869876851</v>
      </c>
      <c r="C2166" s="51">
        <v>1.03</v>
      </c>
      <c r="D2166" s="51">
        <v>64.0</v>
      </c>
      <c r="E2166" s="52" t="s">
        <v>25</v>
      </c>
      <c r="F2166" s="52" t="s">
        <v>26</v>
      </c>
      <c r="G2166" s="53"/>
    </row>
    <row r="2167">
      <c r="A2167" s="49">
        <v>45043.37243159722</v>
      </c>
      <c r="B2167" s="50">
        <v>45043.4974092708</v>
      </c>
      <c r="C2167" s="51">
        <v>1.03</v>
      </c>
      <c r="D2167" s="51">
        <v>64.0</v>
      </c>
      <c r="E2167" s="52" t="s">
        <v>25</v>
      </c>
      <c r="F2167" s="52" t="s">
        <v>26</v>
      </c>
      <c r="G2167" s="53"/>
    </row>
    <row r="2168">
      <c r="A2168" s="49">
        <v>45043.382865266205</v>
      </c>
      <c r="B2168" s="50">
        <v>45043.5078406828</v>
      </c>
      <c r="C2168" s="51">
        <v>1.03</v>
      </c>
      <c r="D2168" s="51">
        <v>64.0</v>
      </c>
      <c r="E2168" s="52" t="s">
        <v>25</v>
      </c>
      <c r="F2168" s="52" t="s">
        <v>26</v>
      </c>
      <c r="G2168" s="53"/>
    </row>
    <row r="2169">
      <c r="A2169" s="49">
        <v>45043.393342615745</v>
      </c>
      <c r="B2169" s="50">
        <v>45043.5183219791</v>
      </c>
      <c r="C2169" s="51">
        <v>1.03</v>
      </c>
      <c r="D2169" s="51">
        <v>64.0</v>
      </c>
      <c r="E2169" s="52" t="s">
        <v>25</v>
      </c>
      <c r="F2169" s="52" t="s">
        <v>26</v>
      </c>
      <c r="G2169" s="53"/>
    </row>
    <row r="2170">
      <c r="A2170" s="49">
        <v>45043.403801493056</v>
      </c>
      <c r="B2170" s="50">
        <v>45043.528766875</v>
      </c>
      <c r="C2170" s="51">
        <v>1.03</v>
      </c>
      <c r="D2170" s="51">
        <v>64.0</v>
      </c>
      <c r="E2170" s="52" t="s">
        <v>25</v>
      </c>
      <c r="F2170" s="52" t="s">
        <v>26</v>
      </c>
      <c r="G2170" s="53"/>
    </row>
    <row r="2171">
      <c r="A2171" s="49">
        <v>45043.414251712966</v>
      </c>
      <c r="B2171" s="50">
        <v>45043.5392227662</v>
      </c>
      <c r="C2171" s="51">
        <v>1.03</v>
      </c>
      <c r="D2171" s="51">
        <v>64.0</v>
      </c>
      <c r="E2171" s="52" t="s">
        <v>25</v>
      </c>
      <c r="F2171" s="52" t="s">
        <v>26</v>
      </c>
      <c r="G2171" s="53"/>
    </row>
    <row r="2172">
      <c r="A2172" s="49">
        <v>45043.42467047454</v>
      </c>
      <c r="B2172" s="50">
        <v>45043.5496431828</v>
      </c>
      <c r="C2172" s="51">
        <v>1.03</v>
      </c>
      <c r="D2172" s="51">
        <v>64.0</v>
      </c>
      <c r="E2172" s="52" t="s">
        <v>25</v>
      </c>
      <c r="F2172" s="52" t="s">
        <v>26</v>
      </c>
      <c r="G2172" s="53"/>
    </row>
    <row r="2173">
      <c r="A2173" s="49">
        <v>45043.43509082176</v>
      </c>
      <c r="B2173" s="50">
        <v>45043.5600636342</v>
      </c>
      <c r="C2173" s="51">
        <v>1.03</v>
      </c>
      <c r="D2173" s="51">
        <v>64.0</v>
      </c>
      <c r="E2173" s="52" t="s">
        <v>25</v>
      </c>
      <c r="F2173" s="52" t="s">
        <v>26</v>
      </c>
      <c r="G2173" s="53"/>
    </row>
    <row r="2174">
      <c r="A2174" s="49">
        <v>45043.44553974537</v>
      </c>
      <c r="B2174" s="50">
        <v>45043.5704964814</v>
      </c>
      <c r="C2174" s="51">
        <v>1.03</v>
      </c>
      <c r="D2174" s="51">
        <v>64.0</v>
      </c>
      <c r="E2174" s="52" t="s">
        <v>25</v>
      </c>
      <c r="F2174" s="52" t="s">
        <v>26</v>
      </c>
      <c r="G2174" s="53"/>
    </row>
    <row r="2175">
      <c r="A2175" s="49">
        <v>45043.45595412037</v>
      </c>
      <c r="B2175" s="50">
        <v>45043.5809288194</v>
      </c>
      <c r="C2175" s="51">
        <v>1.03</v>
      </c>
      <c r="D2175" s="51">
        <v>64.0</v>
      </c>
      <c r="E2175" s="52" t="s">
        <v>25</v>
      </c>
      <c r="F2175" s="52" t="s">
        <v>26</v>
      </c>
      <c r="G2175" s="53"/>
    </row>
    <row r="2176">
      <c r="A2176" s="49">
        <v>45043.46638125</v>
      </c>
      <c r="B2176" s="50">
        <v>45043.5913491666</v>
      </c>
      <c r="C2176" s="51">
        <v>1.03</v>
      </c>
      <c r="D2176" s="51">
        <v>64.0</v>
      </c>
      <c r="E2176" s="52" t="s">
        <v>25</v>
      </c>
      <c r="F2176" s="52" t="s">
        <v>26</v>
      </c>
      <c r="G2176" s="53"/>
    </row>
    <row r="2177">
      <c r="A2177" s="49">
        <v>45043.47681439815</v>
      </c>
      <c r="B2177" s="50">
        <v>45043.6017810648</v>
      </c>
      <c r="C2177" s="51">
        <v>1.03</v>
      </c>
      <c r="D2177" s="51">
        <v>64.0</v>
      </c>
      <c r="E2177" s="52" t="s">
        <v>25</v>
      </c>
      <c r="F2177" s="52" t="s">
        <v>26</v>
      </c>
      <c r="G2177" s="53"/>
    </row>
    <row r="2178">
      <c r="A2178" s="49">
        <v>45043.487249618054</v>
      </c>
      <c r="B2178" s="50">
        <v>45043.6122246064</v>
      </c>
      <c r="C2178" s="51">
        <v>1.03</v>
      </c>
      <c r="D2178" s="51">
        <v>64.0</v>
      </c>
      <c r="E2178" s="52" t="s">
        <v>25</v>
      </c>
      <c r="F2178" s="52" t="s">
        <v>26</v>
      </c>
      <c r="G2178" s="53"/>
    </row>
    <row r="2179">
      <c r="A2179" s="49">
        <v>45043.497680625005</v>
      </c>
      <c r="B2179" s="50">
        <v>45043.6226467476</v>
      </c>
      <c r="C2179" s="51">
        <v>1.03</v>
      </c>
      <c r="D2179" s="51">
        <v>64.0</v>
      </c>
      <c r="E2179" s="52" t="s">
        <v>25</v>
      </c>
      <c r="F2179" s="52" t="s">
        <v>26</v>
      </c>
      <c r="G2179" s="53"/>
    </row>
    <row r="2180">
      <c r="A2180" s="49">
        <v>45043.508149155095</v>
      </c>
      <c r="B2180" s="50">
        <v>45043.6331156481</v>
      </c>
      <c r="C2180" s="51">
        <v>1.03</v>
      </c>
      <c r="D2180" s="51">
        <v>64.0</v>
      </c>
      <c r="E2180" s="52" t="s">
        <v>25</v>
      </c>
      <c r="F2180" s="52" t="s">
        <v>26</v>
      </c>
      <c r="G2180" s="53"/>
    </row>
    <row r="2181">
      <c r="A2181" s="49">
        <v>45043.51857425926</v>
      </c>
      <c r="B2181" s="50">
        <v>45043.6435373495</v>
      </c>
      <c r="C2181" s="51">
        <v>1.03</v>
      </c>
      <c r="D2181" s="51">
        <v>64.0</v>
      </c>
      <c r="E2181" s="52" t="s">
        <v>25</v>
      </c>
      <c r="F2181" s="52" t="s">
        <v>26</v>
      </c>
      <c r="G2181" s="53"/>
    </row>
    <row r="2182">
      <c r="A2182" s="49">
        <v>45043.528999745366</v>
      </c>
      <c r="B2182" s="50">
        <v>45043.6539698726</v>
      </c>
      <c r="C2182" s="51">
        <v>1.03</v>
      </c>
      <c r="D2182" s="51">
        <v>64.0</v>
      </c>
      <c r="E2182" s="52" t="s">
        <v>25</v>
      </c>
      <c r="F2182" s="52" t="s">
        <v>26</v>
      </c>
      <c r="G2182" s="53"/>
    </row>
    <row r="2183">
      <c r="A2183" s="49">
        <v>45043.53942112268</v>
      </c>
      <c r="B2183" s="50">
        <v>45043.6643894791</v>
      </c>
      <c r="C2183" s="51">
        <v>1.03</v>
      </c>
      <c r="D2183" s="51">
        <v>64.0</v>
      </c>
      <c r="E2183" s="52" t="s">
        <v>25</v>
      </c>
      <c r="F2183" s="52" t="s">
        <v>26</v>
      </c>
      <c r="G2183" s="53"/>
    </row>
    <row r="2184">
      <c r="A2184" s="49">
        <v>45043.54983344907</v>
      </c>
      <c r="B2184" s="50">
        <v>45043.6748101273</v>
      </c>
      <c r="C2184" s="51">
        <v>1.03</v>
      </c>
      <c r="D2184" s="51">
        <v>64.0</v>
      </c>
      <c r="E2184" s="52" t="s">
        <v>25</v>
      </c>
      <c r="F2184" s="52" t="s">
        <v>26</v>
      </c>
      <c r="G2184" s="53"/>
    </row>
    <row r="2185">
      <c r="A2185" s="49">
        <v>45043.560296006945</v>
      </c>
      <c r="B2185" s="50">
        <v>45043.6852674652</v>
      </c>
      <c r="C2185" s="51">
        <v>1.03</v>
      </c>
      <c r="D2185" s="51">
        <v>64.0</v>
      </c>
      <c r="E2185" s="52" t="s">
        <v>25</v>
      </c>
      <c r="F2185" s="52" t="s">
        <v>26</v>
      </c>
      <c r="G2185" s="53"/>
    </row>
    <row r="2186">
      <c r="A2186" s="49">
        <v>45043.570715740745</v>
      </c>
      <c r="B2186" s="50">
        <v>45043.695689537</v>
      </c>
      <c r="C2186" s="51">
        <v>1.03</v>
      </c>
      <c r="D2186" s="51">
        <v>64.0</v>
      </c>
      <c r="E2186" s="52" t="s">
        <v>25</v>
      </c>
      <c r="F2186" s="52" t="s">
        <v>26</v>
      </c>
      <c r="G2186" s="53"/>
    </row>
    <row r="2187">
      <c r="A2187" s="49">
        <v>45043.58113265046</v>
      </c>
      <c r="B2187" s="50">
        <v>45043.7061098726</v>
      </c>
      <c r="C2187" s="51">
        <v>1.03</v>
      </c>
      <c r="D2187" s="51">
        <v>64.0</v>
      </c>
      <c r="E2187" s="52" t="s">
        <v>25</v>
      </c>
      <c r="F2187" s="52" t="s">
        <v>26</v>
      </c>
      <c r="G2187" s="53"/>
    </row>
    <row r="2188">
      <c r="A2188" s="49">
        <v>45043.59155376157</v>
      </c>
      <c r="B2188" s="50">
        <v>45043.7165309837</v>
      </c>
      <c r="C2188" s="51">
        <v>1.03</v>
      </c>
      <c r="D2188" s="51">
        <v>64.0</v>
      </c>
      <c r="E2188" s="52" t="s">
        <v>25</v>
      </c>
      <c r="F2188" s="52" t="s">
        <v>26</v>
      </c>
      <c r="G2188" s="53"/>
    </row>
    <row r="2189">
      <c r="A2189" s="49">
        <v>45043.60198421296</v>
      </c>
      <c r="B2189" s="50">
        <v>45043.7269528819</v>
      </c>
      <c r="C2189" s="51">
        <v>1.03</v>
      </c>
      <c r="D2189" s="51">
        <v>64.0</v>
      </c>
      <c r="E2189" s="52" t="s">
        <v>25</v>
      </c>
      <c r="F2189" s="52" t="s">
        <v>26</v>
      </c>
      <c r="G2189" s="53"/>
    </row>
    <row r="2190">
      <c r="A2190" s="49">
        <v>45043.61240128472</v>
      </c>
      <c r="B2190" s="50">
        <v>45043.7373729398</v>
      </c>
      <c r="C2190" s="51">
        <v>1.03</v>
      </c>
      <c r="D2190" s="51">
        <v>64.0</v>
      </c>
      <c r="E2190" s="52" t="s">
        <v>25</v>
      </c>
      <c r="F2190" s="52" t="s">
        <v>26</v>
      </c>
      <c r="G2190" s="53"/>
    </row>
    <row r="2191">
      <c r="A2191" s="49">
        <v>45043.62282099537</v>
      </c>
      <c r="B2191" s="50">
        <v>45043.7477935069</v>
      </c>
      <c r="C2191" s="51">
        <v>1.03</v>
      </c>
      <c r="D2191" s="51">
        <v>64.0</v>
      </c>
      <c r="E2191" s="52" t="s">
        <v>25</v>
      </c>
      <c r="F2191" s="52" t="s">
        <v>26</v>
      </c>
      <c r="G2191" s="53"/>
    </row>
    <row r="2192">
      <c r="A2192" s="49">
        <v>45043.63324322917</v>
      </c>
      <c r="B2192" s="50">
        <v>45043.7582143055</v>
      </c>
      <c r="C2192" s="51">
        <v>1.03</v>
      </c>
      <c r="D2192" s="51">
        <v>64.0</v>
      </c>
      <c r="E2192" s="52" t="s">
        <v>25</v>
      </c>
      <c r="F2192" s="52" t="s">
        <v>26</v>
      </c>
      <c r="G2192" s="53"/>
    </row>
    <row r="2193">
      <c r="A2193" s="49">
        <v>45043.643663518524</v>
      </c>
      <c r="B2193" s="50">
        <v>45043.7686356134</v>
      </c>
      <c r="C2193" s="51">
        <v>1.03</v>
      </c>
      <c r="D2193" s="51">
        <v>64.0</v>
      </c>
      <c r="E2193" s="52" t="s">
        <v>25</v>
      </c>
      <c r="F2193" s="52" t="s">
        <v>26</v>
      </c>
      <c r="G2193" s="53"/>
    </row>
    <row r="2194">
      <c r="A2194" s="49">
        <v>45043.65410060185</v>
      </c>
      <c r="B2194" s="50">
        <v>45043.7790812037</v>
      </c>
      <c r="C2194" s="51">
        <v>1.03</v>
      </c>
      <c r="D2194" s="51">
        <v>64.0</v>
      </c>
      <c r="E2194" s="52" t="s">
        <v>25</v>
      </c>
      <c r="F2194" s="52" t="s">
        <v>26</v>
      </c>
      <c r="G2194" s="53"/>
    </row>
    <row r="2195">
      <c r="A2195" s="49">
        <v>45043.66452888889</v>
      </c>
      <c r="B2195" s="50">
        <v>45043.7895032986</v>
      </c>
      <c r="C2195" s="51">
        <v>1.03</v>
      </c>
      <c r="D2195" s="51">
        <v>64.0</v>
      </c>
      <c r="E2195" s="52" t="s">
        <v>25</v>
      </c>
      <c r="F2195" s="52" t="s">
        <v>26</v>
      </c>
      <c r="G2195" s="53"/>
    </row>
    <row r="2196">
      <c r="A2196" s="49">
        <v>45043.67494328704</v>
      </c>
      <c r="B2196" s="50">
        <v>45043.7999242245</v>
      </c>
      <c r="C2196" s="51">
        <v>1.03</v>
      </c>
      <c r="D2196" s="51">
        <v>64.0</v>
      </c>
      <c r="E2196" s="52" t="s">
        <v>25</v>
      </c>
      <c r="F2196" s="52" t="s">
        <v>26</v>
      </c>
      <c r="G2196" s="53"/>
    </row>
    <row r="2197">
      <c r="A2197" s="49">
        <v>45043.68538513889</v>
      </c>
      <c r="B2197" s="50">
        <v>45043.8103571643</v>
      </c>
      <c r="C2197" s="51">
        <v>1.03</v>
      </c>
      <c r="D2197" s="51">
        <v>64.0</v>
      </c>
      <c r="E2197" s="52" t="s">
        <v>25</v>
      </c>
      <c r="F2197" s="52" t="s">
        <v>26</v>
      </c>
      <c r="G2197" s="53"/>
    </row>
    <row r="2198">
      <c r="A2198" s="49">
        <v>45043.69580328703</v>
      </c>
      <c r="B2198" s="50">
        <v>45043.8207786226</v>
      </c>
      <c r="C2198" s="51">
        <v>1.03</v>
      </c>
      <c r="D2198" s="51">
        <v>64.0</v>
      </c>
      <c r="E2198" s="52" t="s">
        <v>25</v>
      </c>
      <c r="F2198" s="52" t="s">
        <v>26</v>
      </c>
      <c r="G2198" s="53"/>
    </row>
    <row r="2199">
      <c r="A2199" s="49">
        <v>45043.7062203588</v>
      </c>
      <c r="B2199" s="50">
        <v>45043.8312009606</v>
      </c>
      <c r="C2199" s="51">
        <v>1.03</v>
      </c>
      <c r="D2199" s="51">
        <v>64.0</v>
      </c>
      <c r="E2199" s="52" t="s">
        <v>25</v>
      </c>
      <c r="F2199" s="52" t="s">
        <v>26</v>
      </c>
      <c r="G2199" s="53"/>
    </row>
    <row r="2200">
      <c r="A2200" s="49">
        <v>45043.716652511575</v>
      </c>
      <c r="B2200" s="50">
        <v>45043.8416231018</v>
      </c>
      <c r="C2200" s="51">
        <v>1.03</v>
      </c>
      <c r="D2200" s="51">
        <v>64.0</v>
      </c>
      <c r="E2200" s="52" t="s">
        <v>25</v>
      </c>
      <c r="F2200" s="52" t="s">
        <v>26</v>
      </c>
      <c r="G2200" s="53"/>
    </row>
    <row r="2201">
      <c r="A2201" s="49">
        <v>45043.727085289356</v>
      </c>
      <c r="B2201" s="50">
        <v>45043.8520561111</v>
      </c>
      <c r="C2201" s="51">
        <v>1.03</v>
      </c>
      <c r="D2201" s="51">
        <v>64.0</v>
      </c>
      <c r="E2201" s="52" t="s">
        <v>25</v>
      </c>
      <c r="F2201" s="52" t="s">
        <v>26</v>
      </c>
      <c r="G2201" s="53"/>
    </row>
    <row r="2202">
      <c r="A2202" s="49">
        <v>45043.737514189816</v>
      </c>
      <c r="B2202" s="50">
        <v>45043.8624878587</v>
      </c>
      <c r="C2202" s="51">
        <v>1.03</v>
      </c>
      <c r="D2202" s="51">
        <v>64.0</v>
      </c>
      <c r="E2202" s="52" t="s">
        <v>25</v>
      </c>
      <c r="F2202" s="52" t="s">
        <v>26</v>
      </c>
      <c r="G2202" s="53"/>
    </row>
    <row r="2203">
      <c r="A2203" s="49">
        <v>45043.74793493055</v>
      </c>
      <c r="B2203" s="50">
        <v>45043.8729106134</v>
      </c>
      <c r="C2203" s="51">
        <v>1.03</v>
      </c>
      <c r="D2203" s="51">
        <v>64.0</v>
      </c>
      <c r="E2203" s="52" t="s">
        <v>25</v>
      </c>
      <c r="F2203" s="52" t="s">
        <v>26</v>
      </c>
      <c r="G2203" s="53"/>
    </row>
    <row r="2204">
      <c r="A2204" s="49">
        <v>45043.7583733912</v>
      </c>
      <c r="B2204" s="50">
        <v>45043.8833327662</v>
      </c>
      <c r="C2204" s="51">
        <v>1.03</v>
      </c>
      <c r="D2204" s="51">
        <v>64.0</v>
      </c>
      <c r="E2204" s="52" t="s">
        <v>25</v>
      </c>
      <c r="F2204" s="52" t="s">
        <v>26</v>
      </c>
      <c r="G2204" s="53"/>
    </row>
    <row r="2205">
      <c r="A2205" s="49">
        <v>45043.768778784724</v>
      </c>
      <c r="B2205" s="50">
        <v>45043.8937542129</v>
      </c>
      <c r="C2205" s="51">
        <v>1.03</v>
      </c>
      <c r="D2205" s="51">
        <v>64.0</v>
      </c>
      <c r="E2205" s="52" t="s">
        <v>25</v>
      </c>
      <c r="F2205" s="52" t="s">
        <v>26</v>
      </c>
      <c r="G2205" s="53"/>
    </row>
    <row r="2206">
      <c r="A2206" s="49">
        <v>45043.77920078704</v>
      </c>
      <c r="B2206" s="50">
        <v>45043.9041763078</v>
      </c>
      <c r="C2206" s="51">
        <v>1.03</v>
      </c>
      <c r="D2206" s="51">
        <v>64.0</v>
      </c>
      <c r="E2206" s="52" t="s">
        <v>25</v>
      </c>
      <c r="F2206" s="52" t="s">
        <v>26</v>
      </c>
      <c r="G2206" s="53"/>
    </row>
    <row r="2207">
      <c r="A2207" s="49">
        <v>45043.78962398148</v>
      </c>
      <c r="B2207" s="50">
        <v>45043.9145982986</v>
      </c>
      <c r="C2207" s="51">
        <v>1.03</v>
      </c>
      <c r="D2207" s="51">
        <v>64.0</v>
      </c>
      <c r="E2207" s="52" t="s">
        <v>25</v>
      </c>
      <c r="F2207" s="52" t="s">
        <v>26</v>
      </c>
      <c r="G2207" s="53"/>
    </row>
    <row r="2208">
      <c r="A2208" s="49">
        <v>45043.80004973379</v>
      </c>
      <c r="B2208" s="50">
        <v>45043.9250316551</v>
      </c>
      <c r="C2208" s="51">
        <v>1.03</v>
      </c>
      <c r="D2208" s="51">
        <v>64.0</v>
      </c>
      <c r="E2208" s="52" t="s">
        <v>25</v>
      </c>
      <c r="F2208" s="52" t="s">
        <v>26</v>
      </c>
      <c r="G2208" s="53"/>
    </row>
    <row r="2209">
      <c r="A2209" s="49">
        <v>45043.810479039355</v>
      </c>
      <c r="B2209" s="50">
        <v>45043.9354523726</v>
      </c>
      <c r="C2209" s="51">
        <v>1.03</v>
      </c>
      <c r="D2209" s="51">
        <v>64.0</v>
      </c>
      <c r="E2209" s="52" t="s">
        <v>25</v>
      </c>
      <c r="F2209" s="52" t="s">
        <v>26</v>
      </c>
      <c r="G2209" s="53"/>
    </row>
    <row r="2210">
      <c r="A2210" s="49">
        <v>45043.82091149305</v>
      </c>
      <c r="B2210" s="50">
        <v>45043.9458830324</v>
      </c>
      <c r="C2210" s="51">
        <v>1.03</v>
      </c>
      <c r="D2210" s="51">
        <v>64.0</v>
      </c>
      <c r="E2210" s="52" t="s">
        <v>25</v>
      </c>
      <c r="F2210" s="52" t="s">
        <v>26</v>
      </c>
      <c r="G2210" s="53"/>
    </row>
    <row r="2211">
      <c r="A2211" s="49">
        <v>45043.831326493055</v>
      </c>
      <c r="B2211" s="50">
        <v>45043.9563025925</v>
      </c>
      <c r="C2211" s="51">
        <v>1.03</v>
      </c>
      <c r="D2211" s="51">
        <v>64.0</v>
      </c>
      <c r="E2211" s="52" t="s">
        <v>25</v>
      </c>
      <c r="F2211" s="52" t="s">
        <v>26</v>
      </c>
      <c r="G2211" s="53"/>
    </row>
    <row r="2212">
      <c r="A2212" s="49">
        <v>45043.84174844908</v>
      </c>
      <c r="B2212" s="50">
        <v>45043.9667227199</v>
      </c>
      <c r="C2212" s="51">
        <v>1.03</v>
      </c>
      <c r="D2212" s="51">
        <v>64.0</v>
      </c>
      <c r="E2212" s="52" t="s">
        <v>25</v>
      </c>
      <c r="F2212" s="52" t="s">
        <v>26</v>
      </c>
      <c r="G2212" s="53"/>
    </row>
    <row r="2213">
      <c r="A2213" s="49">
        <v>45043.85217662037</v>
      </c>
      <c r="B2213" s="50">
        <v>45043.9771443171</v>
      </c>
      <c r="C2213" s="51">
        <v>1.03</v>
      </c>
      <c r="D2213" s="51">
        <v>64.0</v>
      </c>
      <c r="E2213" s="52" t="s">
        <v>25</v>
      </c>
      <c r="F2213" s="52" t="s">
        <v>26</v>
      </c>
      <c r="G2213" s="53"/>
    </row>
    <row r="2214">
      <c r="A2214" s="49">
        <v>45043.862611550925</v>
      </c>
      <c r="B2214" s="50">
        <v>45043.9875766088</v>
      </c>
      <c r="C2214" s="51">
        <v>1.03</v>
      </c>
      <c r="D2214" s="51">
        <v>64.0</v>
      </c>
      <c r="E2214" s="52" t="s">
        <v>25</v>
      </c>
      <c r="F2214" s="52" t="s">
        <v>26</v>
      </c>
      <c r="G2214" s="53"/>
    </row>
    <row r="2215">
      <c r="A2215" s="49">
        <v>45043.87302107639</v>
      </c>
      <c r="B2215" s="50">
        <v>45043.9979984375</v>
      </c>
      <c r="C2215" s="51">
        <v>1.03</v>
      </c>
      <c r="D2215" s="51">
        <v>64.0</v>
      </c>
      <c r="E2215" s="52" t="s">
        <v>25</v>
      </c>
      <c r="F2215" s="52" t="s">
        <v>26</v>
      </c>
      <c r="G2215" s="53"/>
    </row>
    <row r="2216">
      <c r="A2216" s="49">
        <v>45043.883443645835</v>
      </c>
      <c r="B2216" s="50">
        <v>45044.0084187152</v>
      </c>
      <c r="C2216" s="51">
        <v>1.03</v>
      </c>
      <c r="D2216" s="51">
        <v>64.0</v>
      </c>
      <c r="E2216" s="52" t="s">
        <v>25</v>
      </c>
      <c r="F2216" s="52" t="s">
        <v>26</v>
      </c>
      <c r="G2216" s="53"/>
    </row>
    <row r="2217">
      <c r="A2217" s="49">
        <v>45043.89390221065</v>
      </c>
      <c r="B2217" s="50">
        <v>45044.0188745254</v>
      </c>
      <c r="C2217" s="51">
        <v>1.03</v>
      </c>
      <c r="D2217" s="51">
        <v>64.0</v>
      </c>
      <c r="E2217" s="52" t="s">
        <v>25</v>
      </c>
      <c r="F2217" s="52" t="s">
        <v>26</v>
      </c>
      <c r="G2217" s="53"/>
    </row>
    <row r="2218">
      <c r="A2218" s="49">
        <v>45043.904333865736</v>
      </c>
      <c r="B2218" s="50">
        <v>45044.0293083101</v>
      </c>
      <c r="C2218" s="51">
        <v>1.03</v>
      </c>
      <c r="D2218" s="51">
        <v>64.0</v>
      </c>
      <c r="E2218" s="52" t="s">
        <v>25</v>
      </c>
      <c r="F2218" s="52" t="s">
        <v>26</v>
      </c>
      <c r="G2218" s="53"/>
    </row>
    <row r="2219">
      <c r="A2219" s="49">
        <v>45043.91475885417</v>
      </c>
      <c r="B2219" s="50">
        <v>45044.0397304282</v>
      </c>
      <c r="C2219" s="51">
        <v>1.03</v>
      </c>
      <c r="D2219" s="51">
        <v>64.0</v>
      </c>
      <c r="E2219" s="52" t="s">
        <v>25</v>
      </c>
      <c r="F2219" s="52" t="s">
        <v>26</v>
      </c>
      <c r="G2219" s="53"/>
    </row>
    <row r="2220">
      <c r="A2220" s="49">
        <v>45043.92517340278</v>
      </c>
      <c r="B2220" s="50">
        <v>45044.0501515277</v>
      </c>
      <c r="C2220" s="51">
        <v>1.03</v>
      </c>
      <c r="D2220" s="51">
        <v>64.0</v>
      </c>
      <c r="E2220" s="52" t="s">
        <v>25</v>
      </c>
      <c r="F2220" s="52" t="s">
        <v>26</v>
      </c>
      <c r="G2220" s="53"/>
    </row>
    <row r="2221">
      <c r="A2221" s="49">
        <v>45043.93561202547</v>
      </c>
      <c r="B2221" s="50">
        <v>45044.0605846759</v>
      </c>
      <c r="C2221" s="51">
        <v>1.03</v>
      </c>
      <c r="D2221" s="51">
        <v>64.0</v>
      </c>
      <c r="E2221" s="52" t="s">
        <v>25</v>
      </c>
      <c r="F2221" s="52" t="s">
        <v>26</v>
      </c>
      <c r="G2221" s="53"/>
    </row>
    <row r="2222">
      <c r="A2222" s="49">
        <v>45043.94603578704</v>
      </c>
      <c r="B2222" s="50">
        <v>45044.0710063657</v>
      </c>
      <c r="C2222" s="51">
        <v>1.03</v>
      </c>
      <c r="D2222" s="51">
        <v>64.0</v>
      </c>
      <c r="E2222" s="52" t="s">
        <v>25</v>
      </c>
      <c r="F2222" s="52" t="s">
        <v>26</v>
      </c>
      <c r="G2222" s="53"/>
    </row>
    <row r="2223">
      <c r="A2223" s="49">
        <v>45043.95645537037</v>
      </c>
      <c r="B2223" s="50">
        <v>45044.08142853</v>
      </c>
      <c r="C2223" s="51">
        <v>1.03</v>
      </c>
      <c r="D2223" s="51">
        <v>64.0</v>
      </c>
      <c r="E2223" s="52" t="s">
        <v>25</v>
      </c>
      <c r="F2223" s="52" t="s">
        <v>26</v>
      </c>
      <c r="G2223" s="53"/>
    </row>
    <row r="2224">
      <c r="A2224" s="49">
        <v>45043.96688065972</v>
      </c>
      <c r="B2224" s="50">
        <v>45044.0918587847</v>
      </c>
      <c r="C2224" s="51">
        <v>1.03</v>
      </c>
      <c r="D2224" s="51">
        <v>64.0</v>
      </c>
      <c r="E2224" s="52" t="s">
        <v>25</v>
      </c>
      <c r="F2224" s="52" t="s">
        <v>26</v>
      </c>
      <c r="G2224" s="53"/>
    </row>
    <row r="2225">
      <c r="A2225" s="49">
        <v>45043.97730666667</v>
      </c>
      <c r="B2225" s="50">
        <v>45044.1022801273</v>
      </c>
      <c r="C2225" s="51">
        <v>1.03</v>
      </c>
      <c r="D2225" s="51">
        <v>64.0</v>
      </c>
      <c r="E2225" s="52" t="s">
        <v>25</v>
      </c>
      <c r="F2225" s="52" t="s">
        <v>26</v>
      </c>
      <c r="G2225" s="53"/>
    </row>
    <row r="2226">
      <c r="A2226" s="49">
        <v>45043.98772626158</v>
      </c>
      <c r="B2226" s="50">
        <v>45044.1127019097</v>
      </c>
      <c r="C2226" s="51">
        <v>1.03</v>
      </c>
      <c r="D2226" s="51">
        <v>64.0</v>
      </c>
      <c r="E2226" s="52" t="s">
        <v>25</v>
      </c>
      <c r="F2226" s="52" t="s">
        <v>26</v>
      </c>
      <c r="G2226" s="53"/>
    </row>
    <row r="2227">
      <c r="A2227" s="49">
        <v>45043.99815836806</v>
      </c>
      <c r="B2227" s="50">
        <v>45044.1231225115</v>
      </c>
      <c r="C2227" s="51">
        <v>1.03</v>
      </c>
      <c r="D2227" s="51">
        <v>64.0</v>
      </c>
      <c r="E2227" s="52" t="s">
        <v>25</v>
      </c>
      <c r="F2227" s="52" t="s">
        <v>26</v>
      </c>
      <c r="G2227" s="53"/>
    </row>
    <row r="2228">
      <c r="A2228" s="49">
        <v>45044.00856787037</v>
      </c>
      <c r="B2228" s="50">
        <v>45044.1335427546</v>
      </c>
      <c r="C2228" s="51">
        <v>1.03</v>
      </c>
      <c r="D2228" s="51">
        <v>64.0</v>
      </c>
      <c r="E2228" s="52" t="s">
        <v>25</v>
      </c>
      <c r="F2228" s="52" t="s">
        <v>26</v>
      </c>
      <c r="G2228" s="53"/>
    </row>
    <row r="2229">
      <c r="A2229" s="49">
        <v>45044.01899538194</v>
      </c>
      <c r="B2229" s="50">
        <v>45044.1439632291</v>
      </c>
      <c r="C2229" s="51">
        <v>1.03</v>
      </c>
      <c r="D2229" s="51">
        <v>64.0</v>
      </c>
      <c r="E2229" s="52" t="s">
        <v>25</v>
      </c>
      <c r="F2229" s="52" t="s">
        <v>26</v>
      </c>
      <c r="G2229" s="53"/>
    </row>
    <row r="2230">
      <c r="A2230" s="49">
        <v>45044.02940678241</v>
      </c>
      <c r="B2230" s="50">
        <v>45044.1543862615</v>
      </c>
      <c r="C2230" s="51">
        <v>1.029</v>
      </c>
      <c r="D2230" s="51">
        <v>64.0</v>
      </c>
      <c r="E2230" s="52" t="s">
        <v>25</v>
      </c>
      <c r="F2230" s="52" t="s">
        <v>26</v>
      </c>
      <c r="G2230" s="53"/>
    </row>
    <row r="2231">
      <c r="A2231" s="49">
        <v>45044.03984092592</v>
      </c>
      <c r="B2231" s="50">
        <v>45044.1648078819</v>
      </c>
      <c r="C2231" s="51">
        <v>1.03</v>
      </c>
      <c r="D2231" s="51">
        <v>64.0</v>
      </c>
      <c r="E2231" s="52" t="s">
        <v>25</v>
      </c>
      <c r="F2231" s="52" t="s">
        <v>26</v>
      </c>
      <c r="G2231" s="53"/>
    </row>
    <row r="2232">
      <c r="A2232" s="49">
        <v>45044.05026074074</v>
      </c>
      <c r="B2232" s="50">
        <v>45044.1752296064</v>
      </c>
      <c r="C2232" s="51">
        <v>1.03</v>
      </c>
      <c r="D2232" s="51">
        <v>64.0</v>
      </c>
      <c r="E2232" s="52" t="s">
        <v>25</v>
      </c>
      <c r="F2232" s="52" t="s">
        <v>26</v>
      </c>
      <c r="G2232" s="53"/>
    </row>
    <row r="2233">
      <c r="A2233" s="49">
        <v>45044.06068864583</v>
      </c>
      <c r="B2233" s="50">
        <v>45044.1856502893</v>
      </c>
      <c r="C2233" s="51">
        <v>1.029</v>
      </c>
      <c r="D2233" s="51">
        <v>64.0</v>
      </c>
      <c r="E2233" s="52" t="s">
        <v>25</v>
      </c>
      <c r="F2233" s="52" t="s">
        <v>26</v>
      </c>
      <c r="G2233" s="53"/>
    </row>
    <row r="2234">
      <c r="A2234" s="49">
        <v>45044.07109356481</v>
      </c>
      <c r="B2234" s="50">
        <v>45044.1960707407</v>
      </c>
      <c r="C2234" s="51">
        <v>1.03</v>
      </c>
      <c r="D2234" s="51">
        <v>64.0</v>
      </c>
      <c r="E2234" s="52" t="s">
        <v>25</v>
      </c>
      <c r="F2234" s="52" t="s">
        <v>26</v>
      </c>
      <c r="G2234" s="53"/>
    </row>
    <row r="2235">
      <c r="A2235" s="49">
        <v>45044.08152228009</v>
      </c>
      <c r="B2235" s="50">
        <v>45044.2064924768</v>
      </c>
      <c r="C2235" s="51">
        <v>1.03</v>
      </c>
      <c r="D2235" s="51">
        <v>64.0</v>
      </c>
      <c r="E2235" s="52" t="s">
        <v>25</v>
      </c>
      <c r="F2235" s="52" t="s">
        <v>26</v>
      </c>
      <c r="G2235" s="53"/>
    </row>
    <row r="2236">
      <c r="A2236" s="49">
        <v>45044.09193943287</v>
      </c>
      <c r="B2236" s="50">
        <v>45044.2169131481</v>
      </c>
      <c r="C2236" s="51">
        <v>1.029</v>
      </c>
      <c r="D2236" s="51">
        <v>64.0</v>
      </c>
      <c r="E2236" s="52" t="s">
        <v>25</v>
      </c>
      <c r="F2236" s="52" t="s">
        <v>26</v>
      </c>
      <c r="G2236" s="53"/>
    </row>
    <row r="2237">
      <c r="A2237" s="49">
        <v>45044.10237511574</v>
      </c>
      <c r="B2237" s="50">
        <v>45044.2273349189</v>
      </c>
      <c r="C2237" s="51">
        <v>1.029</v>
      </c>
      <c r="D2237" s="51">
        <v>64.0</v>
      </c>
      <c r="E2237" s="52" t="s">
        <v>25</v>
      </c>
      <c r="F2237" s="52" t="s">
        <v>26</v>
      </c>
      <c r="G2237" s="53"/>
    </row>
    <row r="2238">
      <c r="A2238" s="49">
        <v>45044.11280449074</v>
      </c>
      <c r="B2238" s="50">
        <v>45044.2377578009</v>
      </c>
      <c r="C2238" s="51">
        <v>1.029</v>
      </c>
      <c r="D2238" s="51">
        <v>64.0</v>
      </c>
      <c r="E2238" s="52" t="s">
        <v>25</v>
      </c>
      <c r="F2238" s="52" t="s">
        <v>26</v>
      </c>
      <c r="G2238" s="53"/>
    </row>
    <row r="2239">
      <c r="A2239" s="49">
        <v>45044.12321237268</v>
      </c>
      <c r="B2239" s="50">
        <v>45044.2481804513</v>
      </c>
      <c r="C2239" s="51">
        <v>1.029</v>
      </c>
      <c r="D2239" s="51">
        <v>64.0</v>
      </c>
      <c r="E2239" s="52" t="s">
        <v>25</v>
      </c>
      <c r="F2239" s="52" t="s">
        <v>26</v>
      </c>
      <c r="G2239" s="53"/>
    </row>
    <row r="2240">
      <c r="A2240" s="49">
        <v>45044.133632048615</v>
      </c>
      <c r="B2240" s="50">
        <v>45044.2586032176</v>
      </c>
      <c r="C2240" s="51">
        <v>1.029</v>
      </c>
      <c r="D2240" s="51">
        <v>64.0</v>
      </c>
      <c r="E2240" s="52" t="s">
        <v>25</v>
      </c>
      <c r="F2240" s="52" t="s">
        <v>26</v>
      </c>
      <c r="G2240" s="53"/>
    </row>
    <row r="2241">
      <c r="A2241" s="49">
        <v>45044.14405028935</v>
      </c>
      <c r="B2241" s="50">
        <v>45044.2690245254</v>
      </c>
      <c r="C2241" s="51">
        <v>1.029</v>
      </c>
      <c r="D2241" s="51">
        <v>64.0</v>
      </c>
      <c r="E2241" s="52" t="s">
        <v>25</v>
      </c>
      <c r="F2241" s="52" t="s">
        <v>26</v>
      </c>
      <c r="G2241" s="53"/>
    </row>
    <row r="2242">
      <c r="A2242" s="49">
        <v>45044.15446438658</v>
      </c>
      <c r="B2242" s="50">
        <v>45044.2794448958</v>
      </c>
      <c r="C2242" s="51">
        <v>1.029</v>
      </c>
      <c r="D2242" s="51">
        <v>64.0</v>
      </c>
      <c r="E2242" s="52" t="s">
        <v>25</v>
      </c>
      <c r="F2242" s="52" t="s">
        <v>26</v>
      </c>
      <c r="G2242" s="53"/>
    </row>
    <row r="2243">
      <c r="A2243" s="49">
        <v>45044.16490909722</v>
      </c>
      <c r="B2243" s="50">
        <v>45044.2898795254</v>
      </c>
      <c r="C2243" s="51">
        <v>1.03</v>
      </c>
      <c r="D2243" s="51">
        <v>64.0</v>
      </c>
      <c r="E2243" s="52" t="s">
        <v>25</v>
      </c>
      <c r="F2243" s="52" t="s">
        <v>26</v>
      </c>
      <c r="G2243" s="53"/>
    </row>
    <row r="2244">
      <c r="A2244" s="49">
        <v>45044.17532709491</v>
      </c>
      <c r="B2244" s="50">
        <v>45044.3002991435</v>
      </c>
      <c r="C2244" s="51">
        <v>1.029</v>
      </c>
      <c r="D2244" s="51">
        <v>64.0</v>
      </c>
      <c r="E2244" s="52" t="s">
        <v>25</v>
      </c>
      <c r="F2244" s="52" t="s">
        <v>26</v>
      </c>
      <c r="G2244" s="53"/>
    </row>
    <row r="2245">
      <c r="A2245" s="49">
        <v>45044.18574768519</v>
      </c>
      <c r="B2245" s="50">
        <v>45044.3107186805</v>
      </c>
      <c r="C2245" s="51">
        <v>1.029</v>
      </c>
      <c r="D2245" s="51">
        <v>64.0</v>
      </c>
      <c r="E2245" s="52" t="s">
        <v>25</v>
      </c>
      <c r="F2245" s="52" t="s">
        <v>26</v>
      </c>
      <c r="G2245" s="53"/>
    </row>
    <row r="2246">
      <c r="A2246" s="49">
        <v>45044.19616908565</v>
      </c>
      <c r="B2246" s="50">
        <v>45044.3211387384</v>
      </c>
      <c r="C2246" s="51">
        <v>1.029</v>
      </c>
      <c r="D2246" s="51">
        <v>64.0</v>
      </c>
      <c r="E2246" s="52" t="s">
        <v>25</v>
      </c>
      <c r="F2246" s="52" t="s">
        <v>26</v>
      </c>
      <c r="G2246" s="53"/>
    </row>
    <row r="2247">
      <c r="A2247" s="49">
        <v>45044.206593842595</v>
      </c>
      <c r="B2247" s="50">
        <v>45044.3315703587</v>
      </c>
      <c r="C2247" s="51">
        <v>1.029</v>
      </c>
      <c r="D2247" s="51">
        <v>64.0</v>
      </c>
      <c r="E2247" s="52" t="s">
        <v>25</v>
      </c>
      <c r="F2247" s="52" t="s">
        <v>26</v>
      </c>
      <c r="G2247" s="53"/>
    </row>
    <row r="2248">
      <c r="A2248" s="49">
        <v>45044.21702334491</v>
      </c>
      <c r="B2248" s="50">
        <v>45044.3420024305</v>
      </c>
      <c r="C2248" s="51">
        <v>1.029</v>
      </c>
      <c r="D2248" s="51">
        <v>64.0</v>
      </c>
      <c r="E2248" s="52" t="s">
        <v>25</v>
      </c>
      <c r="F2248" s="52" t="s">
        <v>26</v>
      </c>
      <c r="G2248" s="53"/>
    </row>
    <row r="2249">
      <c r="A2249" s="49">
        <v>45044.22745518519</v>
      </c>
      <c r="B2249" s="50">
        <v>45044.3524205439</v>
      </c>
      <c r="C2249" s="51">
        <v>1.03</v>
      </c>
      <c r="D2249" s="51">
        <v>64.0</v>
      </c>
      <c r="E2249" s="52" t="s">
        <v>25</v>
      </c>
      <c r="F2249" s="52" t="s">
        <v>26</v>
      </c>
      <c r="G2249" s="53"/>
    </row>
    <row r="2250">
      <c r="A2250" s="49">
        <v>45044.23787077546</v>
      </c>
      <c r="B2250" s="50">
        <v>45044.3628419444</v>
      </c>
      <c r="C2250" s="51">
        <v>1.029</v>
      </c>
      <c r="D2250" s="51">
        <v>64.0</v>
      </c>
      <c r="E2250" s="52" t="s">
        <v>25</v>
      </c>
      <c r="F2250" s="52" t="s">
        <v>26</v>
      </c>
      <c r="G2250" s="53"/>
    </row>
    <row r="2251">
      <c r="A2251" s="49">
        <v>45044.24829042824</v>
      </c>
      <c r="B2251" s="50">
        <v>45044.3732636689</v>
      </c>
      <c r="C2251" s="51">
        <v>1.029</v>
      </c>
      <c r="D2251" s="51">
        <v>64.0</v>
      </c>
      <c r="E2251" s="52" t="s">
        <v>25</v>
      </c>
      <c r="F2251" s="52" t="s">
        <v>26</v>
      </c>
      <c r="G2251" s="53"/>
    </row>
    <row r="2252">
      <c r="A2252" s="49">
        <v>45044.25871987268</v>
      </c>
      <c r="B2252" s="50">
        <v>45044.3836860532</v>
      </c>
      <c r="C2252" s="51">
        <v>1.029</v>
      </c>
      <c r="D2252" s="51">
        <v>64.0</v>
      </c>
      <c r="E2252" s="52" t="s">
        <v>25</v>
      </c>
      <c r="F2252" s="52" t="s">
        <v>26</v>
      </c>
      <c r="G2252" s="53"/>
    </row>
    <row r="2253">
      <c r="A2253" s="49">
        <v>45044.26914563657</v>
      </c>
      <c r="B2253" s="50">
        <v>45044.3941201041</v>
      </c>
      <c r="C2253" s="51">
        <v>1.029</v>
      </c>
      <c r="D2253" s="51">
        <v>64.0</v>
      </c>
      <c r="E2253" s="52" t="s">
        <v>25</v>
      </c>
      <c r="F2253" s="52" t="s">
        <v>26</v>
      </c>
      <c r="G2253" s="53"/>
    </row>
    <row r="2254">
      <c r="A2254" s="49">
        <v>45044.279576319444</v>
      </c>
      <c r="B2254" s="50">
        <v>45044.4045402314</v>
      </c>
      <c r="C2254" s="51">
        <v>1.029</v>
      </c>
      <c r="D2254" s="51">
        <v>64.0</v>
      </c>
      <c r="E2254" s="52" t="s">
        <v>25</v>
      </c>
      <c r="F2254" s="52" t="s">
        <v>26</v>
      </c>
      <c r="G2254" s="53"/>
    </row>
    <row r="2255">
      <c r="A2255" s="49">
        <v>45044.28999351852</v>
      </c>
      <c r="B2255" s="50">
        <v>45044.4149612037</v>
      </c>
      <c r="C2255" s="51">
        <v>1.029</v>
      </c>
      <c r="D2255" s="51">
        <v>64.0</v>
      </c>
      <c r="E2255" s="52" t="s">
        <v>25</v>
      </c>
      <c r="F2255" s="52" t="s">
        <v>26</v>
      </c>
      <c r="G2255" s="53"/>
    </row>
    <row r="2256">
      <c r="A2256" s="49">
        <v>45044.30041318287</v>
      </c>
      <c r="B2256" s="50">
        <v>45044.4253828472</v>
      </c>
      <c r="C2256" s="51">
        <v>1.029</v>
      </c>
      <c r="D2256" s="51">
        <v>64.0</v>
      </c>
      <c r="E2256" s="52" t="s">
        <v>25</v>
      </c>
      <c r="F2256" s="52" t="s">
        <v>26</v>
      </c>
      <c r="G2256" s="53"/>
    </row>
    <row r="2257">
      <c r="A2257" s="49">
        <v>45044.31083079861</v>
      </c>
      <c r="B2257" s="50">
        <v>45044.4358037615</v>
      </c>
      <c r="C2257" s="51">
        <v>1.029</v>
      </c>
      <c r="D2257" s="51">
        <v>64.0</v>
      </c>
      <c r="E2257" s="52" t="s">
        <v>25</v>
      </c>
      <c r="F2257" s="52" t="s">
        <v>26</v>
      </c>
      <c r="G2257" s="53"/>
    </row>
    <row r="2258">
      <c r="A2258" s="49">
        <v>45044.321257013886</v>
      </c>
      <c r="B2258" s="50">
        <v>45044.4462253588</v>
      </c>
      <c r="C2258" s="51">
        <v>1.029</v>
      </c>
      <c r="D2258" s="51">
        <v>64.0</v>
      </c>
      <c r="E2258" s="52" t="s">
        <v>25</v>
      </c>
      <c r="F2258" s="52" t="s">
        <v>26</v>
      </c>
      <c r="G2258" s="53"/>
    </row>
    <row r="2259">
      <c r="A2259" s="49">
        <v>45044.33168883102</v>
      </c>
      <c r="B2259" s="50">
        <v>45044.4566596527</v>
      </c>
      <c r="C2259" s="51">
        <v>1.029</v>
      </c>
      <c r="D2259" s="51">
        <v>64.0</v>
      </c>
      <c r="E2259" s="52" t="s">
        <v>25</v>
      </c>
      <c r="F2259" s="52" t="s">
        <v>26</v>
      </c>
      <c r="G2259" s="53"/>
    </row>
    <row r="2260">
      <c r="A2260" s="49">
        <v>45044.34211452546</v>
      </c>
      <c r="B2260" s="50">
        <v>45044.4670807986</v>
      </c>
      <c r="C2260" s="51">
        <v>1.029</v>
      </c>
      <c r="D2260" s="51">
        <v>64.0</v>
      </c>
      <c r="E2260" s="52" t="s">
        <v>25</v>
      </c>
      <c r="F2260" s="52" t="s">
        <v>26</v>
      </c>
      <c r="G2260" s="53"/>
    </row>
    <row r="2261">
      <c r="A2261" s="49">
        <v>45044.35254927083</v>
      </c>
      <c r="B2261" s="50">
        <v>45044.4775029398</v>
      </c>
      <c r="C2261" s="51">
        <v>1.029</v>
      </c>
      <c r="D2261" s="51">
        <v>64.0</v>
      </c>
      <c r="E2261" s="52" t="s">
        <v>25</v>
      </c>
      <c r="F2261" s="52" t="s">
        <v>26</v>
      </c>
      <c r="G2261" s="53"/>
    </row>
    <row r="2262">
      <c r="A2262" s="49">
        <v>45044.36295891204</v>
      </c>
      <c r="B2262" s="50">
        <v>45044.4879252199</v>
      </c>
      <c r="C2262" s="51">
        <v>1.029</v>
      </c>
      <c r="D2262" s="51">
        <v>64.0</v>
      </c>
      <c r="E2262" s="52" t="s">
        <v>25</v>
      </c>
      <c r="F2262" s="52" t="s">
        <v>26</v>
      </c>
      <c r="G2262" s="53"/>
    </row>
    <row r="2263">
      <c r="A2263" s="49">
        <v>45044.37337425926</v>
      </c>
      <c r="B2263" s="50">
        <v>45044.4983456944</v>
      </c>
      <c r="C2263" s="51">
        <v>1.029</v>
      </c>
      <c r="D2263" s="51">
        <v>64.0</v>
      </c>
      <c r="E2263" s="52" t="s">
        <v>25</v>
      </c>
      <c r="F2263" s="52" t="s">
        <v>26</v>
      </c>
      <c r="G2263" s="53"/>
    </row>
    <row r="2264">
      <c r="A2264" s="49">
        <v>45044.38378914352</v>
      </c>
      <c r="B2264" s="50">
        <v>45044.5087647916</v>
      </c>
      <c r="C2264" s="51">
        <v>1.029</v>
      </c>
      <c r="D2264" s="51">
        <v>64.0</v>
      </c>
      <c r="E2264" s="52" t="s">
        <v>25</v>
      </c>
      <c r="F2264" s="52" t="s">
        <v>26</v>
      </c>
      <c r="G2264" s="53"/>
    </row>
    <row r="2265">
      <c r="A2265" s="49">
        <v>45044.39423091435</v>
      </c>
      <c r="B2265" s="50">
        <v>45044.5191985185</v>
      </c>
      <c r="C2265" s="51">
        <v>1.029</v>
      </c>
      <c r="D2265" s="51">
        <v>64.0</v>
      </c>
      <c r="E2265" s="52" t="s">
        <v>25</v>
      </c>
      <c r="F2265" s="52" t="s">
        <v>26</v>
      </c>
      <c r="G2265" s="53"/>
    </row>
    <row r="2266">
      <c r="A2266" s="49">
        <v>45044.40466006944</v>
      </c>
      <c r="B2266" s="50">
        <v>45044.5296287731</v>
      </c>
      <c r="C2266" s="51">
        <v>1.029</v>
      </c>
      <c r="D2266" s="51">
        <v>64.0</v>
      </c>
      <c r="E2266" s="52" t="s">
        <v>25</v>
      </c>
      <c r="F2266" s="52" t="s">
        <v>26</v>
      </c>
      <c r="G2266" s="53"/>
    </row>
    <row r="2267">
      <c r="A2267" s="49">
        <v>45044.41508289352</v>
      </c>
      <c r="B2267" s="50">
        <v>45044.54004978</v>
      </c>
      <c r="C2267" s="51">
        <v>1.029</v>
      </c>
      <c r="D2267" s="51">
        <v>64.0</v>
      </c>
      <c r="E2267" s="52" t="s">
        <v>25</v>
      </c>
      <c r="F2267" s="52" t="s">
        <v>26</v>
      </c>
      <c r="G2267" s="53"/>
    </row>
    <row r="2268">
      <c r="A2268" s="49">
        <v>45044.42551806713</v>
      </c>
      <c r="B2268" s="50">
        <v>45044.5504818287</v>
      </c>
      <c r="C2268" s="51">
        <v>1.029</v>
      </c>
      <c r="D2268" s="51">
        <v>64.0</v>
      </c>
      <c r="E2268" s="52" t="s">
        <v>25</v>
      </c>
      <c r="F2268" s="52" t="s">
        <v>26</v>
      </c>
      <c r="G2268" s="53"/>
    </row>
    <row r="2269">
      <c r="A2269" s="49">
        <v>45044.435936319445</v>
      </c>
      <c r="B2269" s="50">
        <v>45044.560902118</v>
      </c>
      <c r="C2269" s="51">
        <v>1.029</v>
      </c>
      <c r="D2269" s="51">
        <v>64.0</v>
      </c>
      <c r="E2269" s="52" t="s">
        <v>25</v>
      </c>
      <c r="F2269" s="52" t="s">
        <v>26</v>
      </c>
      <c r="G2269" s="53"/>
    </row>
    <row r="2270">
      <c r="A2270" s="49">
        <v>45044.44636877315</v>
      </c>
      <c r="B2270" s="50">
        <v>45044.571334375</v>
      </c>
      <c r="C2270" s="51">
        <v>1.029</v>
      </c>
      <c r="D2270" s="51">
        <v>64.0</v>
      </c>
      <c r="E2270" s="52" t="s">
        <v>25</v>
      </c>
      <c r="F2270" s="52" t="s">
        <v>26</v>
      </c>
      <c r="G2270" s="53"/>
    </row>
    <row r="2271">
      <c r="A2271" s="49">
        <v>45044.45678886574</v>
      </c>
      <c r="B2271" s="50">
        <v>45044.581754537</v>
      </c>
      <c r="C2271" s="51">
        <v>1.029</v>
      </c>
      <c r="D2271" s="51">
        <v>64.0</v>
      </c>
      <c r="E2271" s="52" t="s">
        <v>25</v>
      </c>
      <c r="F2271" s="52" t="s">
        <v>26</v>
      </c>
      <c r="G2271" s="53"/>
    </row>
    <row r="2272">
      <c r="A2272" s="49">
        <v>45044.46719962963</v>
      </c>
      <c r="B2272" s="50">
        <v>45044.5921748842</v>
      </c>
      <c r="C2272" s="51">
        <v>1.029</v>
      </c>
      <c r="D2272" s="51">
        <v>64.0</v>
      </c>
      <c r="E2272" s="52" t="s">
        <v>25</v>
      </c>
      <c r="F2272" s="52" t="s">
        <v>26</v>
      </c>
      <c r="G2272" s="53"/>
    </row>
    <row r="2273">
      <c r="A2273" s="49">
        <v>45044.47764706019</v>
      </c>
      <c r="B2273" s="50">
        <v>45044.6026191319</v>
      </c>
      <c r="C2273" s="51">
        <v>1.029</v>
      </c>
      <c r="D2273" s="51">
        <v>64.0</v>
      </c>
      <c r="E2273" s="52" t="s">
        <v>25</v>
      </c>
      <c r="F2273" s="52" t="s">
        <v>26</v>
      </c>
      <c r="G2273" s="53"/>
    </row>
    <row r="2274">
      <c r="A2274" s="49">
        <v>45044.48808414352</v>
      </c>
      <c r="B2274" s="50">
        <v>45044.6130527314</v>
      </c>
      <c r="C2274" s="51">
        <v>1.029</v>
      </c>
      <c r="D2274" s="51">
        <v>64.0</v>
      </c>
      <c r="E2274" s="52" t="s">
        <v>25</v>
      </c>
      <c r="F2274" s="52" t="s">
        <v>26</v>
      </c>
      <c r="G2274" s="53"/>
    </row>
    <row r="2275">
      <c r="A2275" s="49">
        <v>45044.49851259259</v>
      </c>
      <c r="B2275" s="50">
        <v>45044.6234844212</v>
      </c>
      <c r="C2275" s="51">
        <v>1.029</v>
      </c>
      <c r="D2275" s="51">
        <v>64.0</v>
      </c>
      <c r="E2275" s="52" t="s">
        <v>25</v>
      </c>
      <c r="F2275" s="52" t="s">
        <v>26</v>
      </c>
      <c r="G2275" s="53"/>
    </row>
    <row r="2276">
      <c r="A2276" s="49">
        <v>45044.508952662036</v>
      </c>
      <c r="B2276" s="50">
        <v>45044.6339180439</v>
      </c>
      <c r="C2276" s="51">
        <v>1.029</v>
      </c>
      <c r="D2276" s="51">
        <v>64.0</v>
      </c>
      <c r="E2276" s="52" t="s">
        <v>25</v>
      </c>
      <c r="F2276" s="52" t="s">
        <v>26</v>
      </c>
      <c r="G2276" s="53"/>
    </row>
    <row r="2277">
      <c r="A2277" s="49">
        <v>45044.51936936342</v>
      </c>
      <c r="B2277" s="50">
        <v>45044.6443395254</v>
      </c>
      <c r="C2277" s="51">
        <v>1.029</v>
      </c>
      <c r="D2277" s="51">
        <v>64.0</v>
      </c>
      <c r="E2277" s="52" t="s">
        <v>25</v>
      </c>
      <c r="F2277" s="52" t="s">
        <v>26</v>
      </c>
      <c r="G2277" s="53"/>
    </row>
    <row r="2278">
      <c r="A2278" s="49">
        <v>45044.52979008102</v>
      </c>
      <c r="B2278" s="50">
        <v>45044.6547598495</v>
      </c>
      <c r="C2278" s="51">
        <v>1.029</v>
      </c>
      <c r="D2278" s="51">
        <v>64.0</v>
      </c>
      <c r="E2278" s="52" t="s">
        <v>25</v>
      </c>
      <c r="F2278" s="52" t="s">
        <v>26</v>
      </c>
      <c r="G2278" s="53"/>
    </row>
    <row r="2279">
      <c r="A2279" s="49">
        <v>45044.54020614583</v>
      </c>
      <c r="B2279" s="50">
        <v>45044.6651809953</v>
      </c>
      <c r="C2279" s="51">
        <v>1.029</v>
      </c>
      <c r="D2279" s="51">
        <v>64.0</v>
      </c>
      <c r="E2279" s="52" t="s">
        <v>25</v>
      </c>
      <c r="F2279" s="52" t="s">
        <v>26</v>
      </c>
      <c r="G2279" s="53"/>
    </row>
    <row r="2280">
      <c r="A2280" s="49">
        <v>45044.55065563657</v>
      </c>
      <c r="B2280" s="50">
        <v>45044.6756141319</v>
      </c>
      <c r="C2280" s="51">
        <v>1.029</v>
      </c>
      <c r="D2280" s="51">
        <v>64.0</v>
      </c>
      <c r="E2280" s="52" t="s">
        <v>25</v>
      </c>
      <c r="F2280" s="52" t="s">
        <v>26</v>
      </c>
      <c r="G2280" s="53"/>
    </row>
    <row r="2281">
      <c r="A2281" s="49">
        <v>45044.561065497684</v>
      </c>
      <c r="B2281" s="50">
        <v>45044.6860363773</v>
      </c>
      <c r="C2281" s="51">
        <v>1.029</v>
      </c>
      <c r="D2281" s="51">
        <v>64.0</v>
      </c>
      <c r="E2281" s="52" t="s">
        <v>25</v>
      </c>
      <c r="F2281" s="52" t="s">
        <v>26</v>
      </c>
      <c r="G2281" s="53"/>
    </row>
    <row r="2282">
      <c r="A2282" s="49">
        <v>45044.57149314815</v>
      </c>
      <c r="B2282" s="50">
        <v>45044.6964694097</v>
      </c>
      <c r="C2282" s="51">
        <v>1.029</v>
      </c>
      <c r="D2282" s="51">
        <v>64.0</v>
      </c>
      <c r="E2282" s="52" t="s">
        <v>25</v>
      </c>
      <c r="F2282" s="52" t="s">
        <v>26</v>
      </c>
      <c r="G2282" s="53"/>
    </row>
    <row r="2283">
      <c r="A2283" s="49">
        <v>45044.581926388884</v>
      </c>
      <c r="B2283" s="50">
        <v>45044.7068904513</v>
      </c>
      <c r="C2283" s="51">
        <v>1.029</v>
      </c>
      <c r="D2283" s="51">
        <v>64.0</v>
      </c>
      <c r="E2283" s="52" t="s">
        <v>25</v>
      </c>
      <c r="F2283" s="52" t="s">
        <v>26</v>
      </c>
      <c r="G2283" s="53"/>
    </row>
    <row r="2284">
      <c r="A2284" s="49">
        <v>45044.59234271991</v>
      </c>
      <c r="B2284" s="50">
        <v>45044.7173115162</v>
      </c>
      <c r="C2284" s="51">
        <v>1.029</v>
      </c>
      <c r="D2284" s="51">
        <v>64.0</v>
      </c>
      <c r="E2284" s="52" t="s">
        <v>25</v>
      </c>
      <c r="F2284" s="52" t="s">
        <v>26</v>
      </c>
      <c r="G2284" s="53"/>
    </row>
    <row r="2285">
      <c r="A2285" s="49">
        <v>45044.60275798611</v>
      </c>
      <c r="B2285" s="50">
        <v>45044.7277312963</v>
      </c>
      <c r="C2285" s="51">
        <v>1.029</v>
      </c>
      <c r="D2285" s="51">
        <v>64.0</v>
      </c>
      <c r="E2285" s="52" t="s">
        <v>25</v>
      </c>
      <c r="F2285" s="52" t="s">
        <v>26</v>
      </c>
      <c r="G2285" s="53"/>
    </row>
    <row r="2286">
      <c r="A2286" s="49">
        <v>45044.61318930556</v>
      </c>
      <c r="B2286" s="50">
        <v>45044.7381648032</v>
      </c>
      <c r="C2286" s="51">
        <v>1.029</v>
      </c>
      <c r="D2286" s="51">
        <v>64.0</v>
      </c>
      <c r="E2286" s="52" t="s">
        <v>25</v>
      </c>
      <c r="F2286" s="52" t="s">
        <v>26</v>
      </c>
      <c r="G2286" s="53"/>
    </row>
    <row r="2287">
      <c r="A2287" s="49">
        <v>45044.62361974537</v>
      </c>
      <c r="B2287" s="50">
        <v>45044.7485975115</v>
      </c>
      <c r="C2287" s="51">
        <v>1.029</v>
      </c>
      <c r="D2287" s="51">
        <v>64.0</v>
      </c>
      <c r="E2287" s="52" t="s">
        <v>25</v>
      </c>
      <c r="F2287" s="52" t="s">
        <v>26</v>
      </c>
      <c r="G2287" s="53"/>
    </row>
    <row r="2288">
      <c r="A2288" s="49">
        <v>45044.63405155092</v>
      </c>
      <c r="B2288" s="50">
        <v>45044.7590183796</v>
      </c>
      <c r="C2288" s="51">
        <v>1.029</v>
      </c>
      <c r="D2288" s="51">
        <v>64.0</v>
      </c>
      <c r="E2288" s="52" t="s">
        <v>25</v>
      </c>
      <c r="F2288" s="52" t="s">
        <v>26</v>
      </c>
      <c r="G2288" s="53"/>
    </row>
    <row r="2289">
      <c r="A2289" s="49">
        <v>45044.644467962964</v>
      </c>
      <c r="B2289" s="50">
        <v>45044.7694386921</v>
      </c>
      <c r="C2289" s="51">
        <v>1.029</v>
      </c>
      <c r="D2289" s="51">
        <v>64.0</v>
      </c>
      <c r="E2289" s="52" t="s">
        <v>25</v>
      </c>
      <c r="F2289" s="52" t="s">
        <v>26</v>
      </c>
      <c r="G2289" s="53"/>
    </row>
    <row r="2290">
      <c r="A2290" s="49">
        <v>45044.65491287037</v>
      </c>
      <c r="B2290" s="50">
        <v>45044.7798835763</v>
      </c>
      <c r="C2290" s="51">
        <v>1.029</v>
      </c>
      <c r="D2290" s="51">
        <v>64.0</v>
      </c>
      <c r="E2290" s="52" t="s">
        <v>25</v>
      </c>
      <c r="F2290" s="52" t="s">
        <v>26</v>
      </c>
      <c r="G2290" s="53"/>
    </row>
    <row r="2291">
      <c r="A2291" s="49">
        <v>45044.665328055555</v>
      </c>
      <c r="B2291" s="50">
        <v>45044.7903037384</v>
      </c>
      <c r="C2291" s="51">
        <v>1.029</v>
      </c>
      <c r="D2291" s="51">
        <v>64.0</v>
      </c>
      <c r="E2291" s="52" t="s">
        <v>25</v>
      </c>
      <c r="F2291" s="52" t="s">
        <v>26</v>
      </c>
      <c r="G2291" s="53"/>
    </row>
    <row r="2292">
      <c r="A2292" s="49">
        <v>45044.67575517361</v>
      </c>
      <c r="B2292" s="50">
        <v>45044.8007250578</v>
      </c>
      <c r="C2292" s="51">
        <v>1.029</v>
      </c>
      <c r="D2292" s="51">
        <v>64.0</v>
      </c>
      <c r="E2292" s="52" t="s">
        <v>25</v>
      </c>
      <c r="F2292" s="52" t="s">
        <v>26</v>
      </c>
      <c r="G2292" s="53"/>
    </row>
    <row r="2293">
      <c r="A2293" s="49">
        <v>45044.686185416664</v>
      </c>
      <c r="B2293" s="50">
        <v>45044.8111592129</v>
      </c>
      <c r="C2293" s="51">
        <v>1.029</v>
      </c>
      <c r="D2293" s="51">
        <v>64.0</v>
      </c>
      <c r="E2293" s="52" t="s">
        <v>25</v>
      </c>
      <c r="F2293" s="52" t="s">
        <v>26</v>
      </c>
      <c r="G2293" s="53"/>
    </row>
    <row r="2294">
      <c r="A2294" s="49">
        <v>45044.69660340278</v>
      </c>
      <c r="B2294" s="50">
        <v>45044.8215813194</v>
      </c>
      <c r="C2294" s="51">
        <v>1.029</v>
      </c>
      <c r="D2294" s="51">
        <v>64.0</v>
      </c>
      <c r="E2294" s="52" t="s">
        <v>25</v>
      </c>
      <c r="F2294" s="52" t="s">
        <v>26</v>
      </c>
      <c r="G2294" s="53"/>
    </row>
    <row r="2295">
      <c r="A2295" s="49">
        <v>45044.70703302084</v>
      </c>
      <c r="B2295" s="50">
        <v>45044.8320020254</v>
      </c>
      <c r="C2295" s="51">
        <v>1.029</v>
      </c>
      <c r="D2295" s="51">
        <v>64.0</v>
      </c>
      <c r="E2295" s="52" t="s">
        <v>25</v>
      </c>
      <c r="F2295" s="52" t="s">
        <v>26</v>
      </c>
      <c r="G2295" s="53"/>
    </row>
    <row r="2296">
      <c r="A2296" s="49">
        <v>45044.717463078705</v>
      </c>
      <c r="B2296" s="50">
        <v>45044.8424341203</v>
      </c>
      <c r="C2296" s="51">
        <v>1.029</v>
      </c>
      <c r="D2296" s="51">
        <v>64.0</v>
      </c>
      <c r="E2296" s="52" t="s">
        <v>25</v>
      </c>
      <c r="F2296" s="52" t="s">
        <v>26</v>
      </c>
      <c r="G2296" s="53"/>
    </row>
    <row r="2297">
      <c r="A2297" s="49">
        <v>45044.7278803125</v>
      </c>
      <c r="B2297" s="50">
        <v>45044.8528554861</v>
      </c>
      <c r="C2297" s="51">
        <v>1.029</v>
      </c>
      <c r="D2297" s="51">
        <v>64.0</v>
      </c>
      <c r="E2297" s="52" t="s">
        <v>25</v>
      </c>
      <c r="F2297" s="52" t="s">
        <v>26</v>
      </c>
      <c r="G2297" s="53"/>
    </row>
    <row r="2298">
      <c r="A2298" s="49">
        <v>45044.73832430555</v>
      </c>
      <c r="B2298" s="50">
        <v>45044.8633001157</v>
      </c>
      <c r="C2298" s="51">
        <v>1.029</v>
      </c>
      <c r="D2298" s="51">
        <v>64.0</v>
      </c>
      <c r="E2298" s="52" t="s">
        <v>25</v>
      </c>
      <c r="F2298" s="52" t="s">
        <v>26</v>
      </c>
      <c r="G2298" s="53"/>
    </row>
    <row r="2299">
      <c r="A2299" s="49">
        <v>45044.74874456019</v>
      </c>
      <c r="B2299" s="50">
        <v>45044.8737214351</v>
      </c>
      <c r="C2299" s="51">
        <v>1.029</v>
      </c>
      <c r="D2299" s="51">
        <v>64.0</v>
      </c>
      <c r="E2299" s="52" t="s">
        <v>25</v>
      </c>
      <c r="F2299" s="52" t="s">
        <v>26</v>
      </c>
      <c r="G2299" s="53"/>
    </row>
    <row r="2300">
      <c r="A2300" s="49">
        <v>45044.76963981481</v>
      </c>
      <c r="B2300" s="50">
        <v>45044.8946086458</v>
      </c>
      <c r="C2300" s="51">
        <v>1.029</v>
      </c>
      <c r="D2300" s="51">
        <v>64.0</v>
      </c>
      <c r="E2300" s="52" t="s">
        <v>25</v>
      </c>
      <c r="F2300" s="52" t="s">
        <v>26</v>
      </c>
      <c r="G2300" s="53"/>
    </row>
    <row r="2301">
      <c r="A2301" s="49">
        <v>45044.7800546875</v>
      </c>
      <c r="B2301" s="50">
        <v>45044.9050291782</v>
      </c>
      <c r="C2301" s="51">
        <v>1.029</v>
      </c>
      <c r="D2301" s="51">
        <v>64.0</v>
      </c>
      <c r="E2301" s="52" t="s">
        <v>25</v>
      </c>
      <c r="F2301" s="52" t="s">
        <v>26</v>
      </c>
      <c r="G2301" s="53"/>
    </row>
    <row r="2302">
      <c r="A2302" s="49">
        <v>45044.79047263889</v>
      </c>
      <c r="B2302" s="50">
        <v>45044.9154487037</v>
      </c>
      <c r="C2302" s="51">
        <v>1.029</v>
      </c>
      <c r="D2302" s="51">
        <v>64.0</v>
      </c>
      <c r="E2302" s="52" t="s">
        <v>25</v>
      </c>
      <c r="F2302" s="52" t="s">
        <v>26</v>
      </c>
      <c r="G2302" s="53"/>
    </row>
    <row r="2303">
      <c r="A2303" s="49">
        <v>45044.800917650464</v>
      </c>
      <c r="B2303" s="50">
        <v>45044.9258927546</v>
      </c>
      <c r="C2303" s="51">
        <v>1.029</v>
      </c>
      <c r="D2303" s="51">
        <v>64.0</v>
      </c>
      <c r="E2303" s="52" t="s">
        <v>25</v>
      </c>
      <c r="F2303" s="52" t="s">
        <v>26</v>
      </c>
      <c r="G2303" s="53"/>
    </row>
    <row r="2304">
      <c r="A2304" s="49">
        <v>45044.81136327546</v>
      </c>
      <c r="B2304" s="50">
        <v>45044.9363362037</v>
      </c>
      <c r="C2304" s="51">
        <v>1.029</v>
      </c>
      <c r="D2304" s="51">
        <v>64.0</v>
      </c>
      <c r="E2304" s="52" t="s">
        <v>25</v>
      </c>
      <c r="F2304" s="52" t="s">
        <v>26</v>
      </c>
      <c r="G2304" s="53"/>
    </row>
    <row r="2305">
      <c r="A2305" s="49">
        <v>45044.821805995365</v>
      </c>
      <c r="B2305" s="50">
        <v>45044.9467818287</v>
      </c>
      <c r="C2305" s="51">
        <v>1.029</v>
      </c>
      <c r="D2305" s="51">
        <v>64.0</v>
      </c>
      <c r="E2305" s="52" t="s">
        <v>25</v>
      </c>
      <c r="F2305" s="52" t="s">
        <v>26</v>
      </c>
      <c r="G2305" s="53"/>
    </row>
    <row r="2306">
      <c r="A2306" s="49">
        <v>45044.83223903935</v>
      </c>
      <c r="B2306" s="50">
        <v>45044.9572123032</v>
      </c>
      <c r="C2306" s="51">
        <v>1.029</v>
      </c>
      <c r="D2306" s="51">
        <v>64.0</v>
      </c>
      <c r="E2306" s="52" t="s">
        <v>25</v>
      </c>
      <c r="F2306" s="52" t="s">
        <v>26</v>
      </c>
      <c r="G2306" s="53"/>
    </row>
    <row r="2307">
      <c r="A2307" s="49">
        <v>45044.842681504626</v>
      </c>
      <c r="B2307" s="50">
        <v>45044.9676570601</v>
      </c>
      <c r="C2307" s="51">
        <v>1.029</v>
      </c>
      <c r="D2307" s="51">
        <v>64.0</v>
      </c>
      <c r="E2307" s="52" t="s">
        <v>25</v>
      </c>
      <c r="F2307" s="52" t="s">
        <v>26</v>
      </c>
      <c r="G2307" s="53"/>
    </row>
    <row r="2308">
      <c r="A2308" s="49">
        <v>45044.853103981484</v>
      </c>
      <c r="B2308" s="50">
        <v>45044.9780778587</v>
      </c>
      <c r="C2308" s="51">
        <v>1.029</v>
      </c>
      <c r="D2308" s="51">
        <v>64.0</v>
      </c>
      <c r="E2308" s="52" t="s">
        <v>25</v>
      </c>
      <c r="F2308" s="52" t="s">
        <v>26</v>
      </c>
      <c r="G2308" s="53"/>
    </row>
    <row r="2309">
      <c r="A2309" s="49">
        <v>45044.86352483796</v>
      </c>
      <c r="B2309" s="50">
        <v>45044.9884985879</v>
      </c>
      <c r="C2309" s="51">
        <v>1.029</v>
      </c>
      <c r="D2309" s="51">
        <v>64.0</v>
      </c>
      <c r="E2309" s="52" t="s">
        <v>25</v>
      </c>
      <c r="F2309" s="52" t="s">
        <v>26</v>
      </c>
      <c r="G2309" s="53"/>
    </row>
    <row r="2310">
      <c r="A2310" s="49">
        <v>45044.87397799769</v>
      </c>
      <c r="B2310" s="50">
        <v>45044.9989329398</v>
      </c>
      <c r="C2310" s="51">
        <v>1.029</v>
      </c>
      <c r="D2310" s="51">
        <v>64.0</v>
      </c>
      <c r="E2310" s="52" t="s">
        <v>25</v>
      </c>
      <c r="F2310" s="52" t="s">
        <v>26</v>
      </c>
      <c r="G2310" s="53"/>
    </row>
    <row r="2311">
      <c r="A2311" s="49">
        <v>45044.884388101855</v>
      </c>
      <c r="B2311" s="50">
        <v>45045.0093642939</v>
      </c>
      <c r="C2311" s="51">
        <v>1.029</v>
      </c>
      <c r="D2311" s="51">
        <v>64.0</v>
      </c>
      <c r="E2311" s="52" t="s">
        <v>25</v>
      </c>
      <c r="F2311" s="52" t="s">
        <v>26</v>
      </c>
      <c r="G2311" s="53"/>
    </row>
    <row r="2312">
      <c r="A2312" s="49">
        <v>45044.89482809028</v>
      </c>
      <c r="B2312" s="50">
        <v>45045.0197973148</v>
      </c>
      <c r="C2312" s="51">
        <v>1.029</v>
      </c>
      <c r="D2312" s="51">
        <v>64.0</v>
      </c>
      <c r="E2312" s="52" t="s">
        <v>25</v>
      </c>
      <c r="F2312" s="52" t="s">
        <v>26</v>
      </c>
      <c r="G2312" s="53"/>
    </row>
    <row r="2313">
      <c r="A2313" s="49">
        <v>45044.905256921294</v>
      </c>
      <c r="B2313" s="50">
        <v>45045.0302293171</v>
      </c>
      <c r="C2313" s="51">
        <v>1.029</v>
      </c>
      <c r="D2313" s="51">
        <v>64.0</v>
      </c>
      <c r="E2313" s="52" t="s">
        <v>25</v>
      </c>
      <c r="F2313" s="52" t="s">
        <v>26</v>
      </c>
      <c r="G2313" s="53"/>
    </row>
    <row r="2314">
      <c r="A2314" s="49">
        <v>45044.915674675925</v>
      </c>
      <c r="B2314" s="50">
        <v>45045.0406519444</v>
      </c>
      <c r="C2314" s="51">
        <v>1.029</v>
      </c>
      <c r="D2314" s="51">
        <v>64.0</v>
      </c>
      <c r="E2314" s="52" t="s">
        <v>25</v>
      </c>
      <c r="F2314" s="52" t="s">
        <v>26</v>
      </c>
      <c r="G2314" s="53"/>
    </row>
    <row r="2315">
      <c r="A2315" s="49">
        <v>45044.926125150465</v>
      </c>
      <c r="B2315" s="50">
        <v>45045.05109728</v>
      </c>
      <c r="C2315" s="51">
        <v>1.029</v>
      </c>
      <c r="D2315" s="51">
        <v>64.0</v>
      </c>
      <c r="E2315" s="52" t="s">
        <v>25</v>
      </c>
      <c r="F2315" s="52" t="s">
        <v>26</v>
      </c>
      <c r="G2315" s="53"/>
    </row>
    <row r="2316">
      <c r="A2316" s="49">
        <v>45044.936548680555</v>
      </c>
      <c r="B2316" s="50">
        <v>45045.0615167014</v>
      </c>
      <c r="C2316" s="51">
        <v>1.029</v>
      </c>
      <c r="D2316" s="51">
        <v>64.0</v>
      </c>
      <c r="E2316" s="52" t="s">
        <v>25</v>
      </c>
      <c r="F2316" s="52" t="s">
        <v>26</v>
      </c>
      <c r="G2316" s="53"/>
    </row>
    <row r="2317">
      <c r="A2317" s="49">
        <v>45044.94696288195</v>
      </c>
      <c r="B2317" s="50">
        <v>45045.0719380902</v>
      </c>
      <c r="C2317" s="51">
        <v>1.029</v>
      </c>
      <c r="D2317" s="51">
        <v>64.0</v>
      </c>
      <c r="E2317" s="52" t="s">
        <v>25</v>
      </c>
      <c r="F2317" s="52" t="s">
        <v>26</v>
      </c>
      <c r="G2317" s="53"/>
    </row>
    <row r="2318">
      <c r="A2318" s="49">
        <v>45044.95739473379</v>
      </c>
      <c r="B2318" s="50">
        <v>45045.0823695023</v>
      </c>
      <c r="C2318" s="51">
        <v>1.029</v>
      </c>
      <c r="D2318" s="51">
        <v>64.0</v>
      </c>
      <c r="E2318" s="52" t="s">
        <v>25</v>
      </c>
      <c r="F2318" s="52" t="s">
        <v>26</v>
      </c>
      <c r="G2318" s="53"/>
    </row>
    <row r="2319">
      <c r="A2319" s="49">
        <v>45044.9678124537</v>
      </c>
      <c r="B2319" s="50">
        <v>45045.0927899768</v>
      </c>
      <c r="C2319" s="51">
        <v>1.029</v>
      </c>
      <c r="D2319" s="51">
        <v>64.0</v>
      </c>
      <c r="E2319" s="52" t="s">
        <v>25</v>
      </c>
      <c r="F2319" s="52" t="s">
        <v>26</v>
      </c>
      <c r="G2319" s="53"/>
    </row>
    <row r="2320">
      <c r="A2320" s="49">
        <v>45044.97823059028</v>
      </c>
      <c r="B2320" s="50">
        <v>45045.1032094212</v>
      </c>
      <c r="C2320" s="51">
        <v>1.029</v>
      </c>
      <c r="D2320" s="51">
        <v>64.0</v>
      </c>
      <c r="E2320" s="52" t="s">
        <v>25</v>
      </c>
      <c r="F2320" s="52" t="s">
        <v>26</v>
      </c>
      <c r="G2320" s="53"/>
    </row>
    <row r="2321">
      <c r="A2321" s="49">
        <v>45044.98867520833</v>
      </c>
      <c r="B2321" s="50">
        <v>45045.1136417708</v>
      </c>
      <c r="C2321" s="51">
        <v>1.029</v>
      </c>
      <c r="D2321" s="51">
        <v>64.0</v>
      </c>
      <c r="E2321" s="52" t="s">
        <v>25</v>
      </c>
      <c r="F2321" s="52" t="s">
        <v>26</v>
      </c>
      <c r="G2321" s="53"/>
    </row>
    <row r="2322">
      <c r="A2322" s="49">
        <v>45044.999090868056</v>
      </c>
      <c r="B2322" s="50">
        <v>45045.1240626851</v>
      </c>
      <c r="C2322" s="51">
        <v>1.029</v>
      </c>
      <c r="D2322" s="51">
        <v>64.0</v>
      </c>
      <c r="E2322" s="52" t="s">
        <v>25</v>
      </c>
      <c r="F2322" s="52" t="s">
        <v>26</v>
      </c>
      <c r="G2322" s="53"/>
    </row>
    <row r="2323">
      <c r="A2323" s="49">
        <v>45045.00950552084</v>
      </c>
      <c r="B2323" s="50">
        <v>45045.1344841898</v>
      </c>
      <c r="C2323" s="51">
        <v>1.029</v>
      </c>
      <c r="D2323" s="51">
        <v>64.0</v>
      </c>
      <c r="E2323" s="52" t="s">
        <v>25</v>
      </c>
      <c r="F2323" s="52" t="s">
        <v>26</v>
      </c>
      <c r="G2323" s="53"/>
    </row>
    <row r="2324">
      <c r="A2324" s="49">
        <v>45045.01994563657</v>
      </c>
      <c r="B2324" s="50">
        <v>45045.1449167708</v>
      </c>
      <c r="C2324" s="51">
        <v>1.029</v>
      </c>
      <c r="D2324" s="51">
        <v>64.0</v>
      </c>
      <c r="E2324" s="52" t="s">
        <v>25</v>
      </c>
      <c r="F2324" s="52" t="s">
        <v>26</v>
      </c>
      <c r="G2324" s="53"/>
    </row>
    <row r="2325">
      <c r="A2325" s="49">
        <v>45045.03037597222</v>
      </c>
      <c r="B2325" s="50">
        <v>45045.1553496412</v>
      </c>
      <c r="C2325" s="51">
        <v>1.029</v>
      </c>
      <c r="D2325" s="51">
        <v>64.0</v>
      </c>
      <c r="E2325" s="52" t="s">
        <v>25</v>
      </c>
      <c r="F2325" s="52" t="s">
        <v>26</v>
      </c>
      <c r="G2325" s="53"/>
    </row>
    <row r="2326">
      <c r="A2326" s="49">
        <v>45045.05121480324</v>
      </c>
      <c r="B2326" s="50">
        <v>45045.176194456</v>
      </c>
      <c r="C2326" s="51">
        <v>1.029</v>
      </c>
      <c r="D2326" s="51">
        <v>64.0</v>
      </c>
      <c r="E2326" s="52" t="s">
        <v>25</v>
      </c>
      <c r="F2326" s="52" t="s">
        <v>26</v>
      </c>
      <c r="G2326" s="53"/>
    </row>
    <row r="2327">
      <c r="A2327" s="49">
        <v>45045.061655</v>
      </c>
      <c r="B2327" s="50">
        <v>45045.186626493</v>
      </c>
      <c r="C2327" s="51">
        <v>1.029</v>
      </c>
      <c r="D2327" s="51">
        <v>64.0</v>
      </c>
      <c r="E2327" s="52" t="s">
        <v>25</v>
      </c>
      <c r="F2327" s="52" t="s">
        <v>26</v>
      </c>
      <c r="G2327" s="53"/>
    </row>
    <row r="2328">
      <c r="A2328" s="49">
        <v>45045.072084432875</v>
      </c>
      <c r="B2328" s="50">
        <v>45045.1970587731</v>
      </c>
      <c r="C2328" s="51">
        <v>1.028</v>
      </c>
      <c r="D2328" s="51">
        <v>64.0</v>
      </c>
      <c r="E2328" s="52" t="s">
        <v>25</v>
      </c>
      <c r="F2328" s="52" t="s">
        <v>26</v>
      </c>
      <c r="G2328" s="53"/>
    </row>
    <row r="2329">
      <c r="A2329" s="49">
        <v>45045.082504652775</v>
      </c>
      <c r="B2329" s="50">
        <v>45045.2074803935</v>
      </c>
      <c r="C2329" s="51">
        <v>1.028</v>
      </c>
      <c r="D2329" s="51">
        <v>64.0</v>
      </c>
      <c r="E2329" s="52" t="s">
        <v>25</v>
      </c>
      <c r="F2329" s="52" t="s">
        <v>26</v>
      </c>
      <c r="G2329" s="53"/>
    </row>
    <row r="2330">
      <c r="A2330" s="49">
        <v>45045.09293421297</v>
      </c>
      <c r="B2330" s="50">
        <v>45045.217903125</v>
      </c>
      <c r="C2330" s="51">
        <v>1.028</v>
      </c>
      <c r="D2330" s="51">
        <v>64.0</v>
      </c>
      <c r="E2330" s="52" t="s">
        <v>25</v>
      </c>
      <c r="F2330" s="52" t="s">
        <v>26</v>
      </c>
      <c r="G2330" s="53"/>
    </row>
    <row r="2331">
      <c r="A2331" s="49">
        <v>45045.103351875005</v>
      </c>
      <c r="B2331" s="50">
        <v>45045.2283258449</v>
      </c>
      <c r="C2331" s="51">
        <v>1.029</v>
      </c>
      <c r="D2331" s="51">
        <v>64.0</v>
      </c>
      <c r="E2331" s="52" t="s">
        <v>25</v>
      </c>
      <c r="F2331" s="52" t="s">
        <v>26</v>
      </c>
      <c r="G2331" s="53"/>
    </row>
    <row r="2332">
      <c r="A2332" s="49">
        <v>45045.11376836806</v>
      </c>
      <c r="B2332" s="50">
        <v>45045.2387467708</v>
      </c>
      <c r="C2332" s="51">
        <v>1.028</v>
      </c>
      <c r="D2332" s="51">
        <v>64.0</v>
      </c>
      <c r="E2332" s="52" t="s">
        <v>25</v>
      </c>
      <c r="F2332" s="52" t="s">
        <v>26</v>
      </c>
      <c r="G2332" s="53"/>
    </row>
    <row r="2333">
      <c r="A2333" s="49">
        <v>45045.12421061343</v>
      </c>
      <c r="B2333" s="50">
        <v>45045.2491791666</v>
      </c>
      <c r="C2333" s="51">
        <v>1.029</v>
      </c>
      <c r="D2333" s="51">
        <v>64.0</v>
      </c>
      <c r="E2333" s="52" t="s">
        <v>25</v>
      </c>
      <c r="F2333" s="52" t="s">
        <v>26</v>
      </c>
      <c r="G2333" s="53"/>
    </row>
    <row r="2334">
      <c r="A2334" s="49">
        <v>45045.13462643519</v>
      </c>
      <c r="B2334" s="50">
        <v>45045.2595994791</v>
      </c>
      <c r="C2334" s="51">
        <v>1.028</v>
      </c>
      <c r="D2334" s="51">
        <v>64.0</v>
      </c>
      <c r="E2334" s="52" t="s">
        <v>25</v>
      </c>
      <c r="F2334" s="52" t="s">
        <v>26</v>
      </c>
      <c r="G2334" s="53"/>
    </row>
    <row r="2335">
      <c r="A2335" s="49">
        <v>45045.14505107639</v>
      </c>
      <c r="B2335" s="50">
        <v>45045.2700198379</v>
      </c>
      <c r="C2335" s="51">
        <v>1.028</v>
      </c>
      <c r="D2335" s="51">
        <v>64.0</v>
      </c>
      <c r="E2335" s="52" t="s">
        <v>25</v>
      </c>
      <c r="F2335" s="52" t="s">
        <v>26</v>
      </c>
      <c r="G2335" s="53"/>
    </row>
    <row r="2336">
      <c r="A2336" s="49">
        <v>45045.15546630787</v>
      </c>
      <c r="B2336" s="50">
        <v>45045.2804410185</v>
      </c>
      <c r="C2336" s="51">
        <v>1.028</v>
      </c>
      <c r="D2336" s="51">
        <v>64.0</v>
      </c>
      <c r="E2336" s="52" t="s">
        <v>25</v>
      </c>
      <c r="F2336" s="52" t="s">
        <v>26</v>
      </c>
      <c r="G2336" s="53"/>
    </row>
    <row r="2337">
      <c r="A2337" s="49">
        <v>45045.16588594907</v>
      </c>
      <c r="B2337" s="50">
        <v>45045.2908614814</v>
      </c>
      <c r="C2337" s="51">
        <v>1.028</v>
      </c>
      <c r="D2337" s="51">
        <v>64.0</v>
      </c>
      <c r="E2337" s="52" t="s">
        <v>25</v>
      </c>
      <c r="F2337" s="52" t="s">
        <v>26</v>
      </c>
      <c r="G2337" s="53"/>
    </row>
    <row r="2338">
      <c r="A2338" s="49">
        <v>45045.17630402777</v>
      </c>
      <c r="B2338" s="50">
        <v>45045.3012821527</v>
      </c>
      <c r="C2338" s="51">
        <v>1.028</v>
      </c>
      <c r="D2338" s="51">
        <v>64.0</v>
      </c>
      <c r="E2338" s="52" t="s">
        <v>25</v>
      </c>
      <c r="F2338" s="52" t="s">
        <v>26</v>
      </c>
      <c r="G2338" s="53"/>
    </row>
    <row r="2339">
      <c r="A2339" s="49">
        <v>45045.18673230324</v>
      </c>
      <c r="B2339" s="50">
        <v>45045.3117040625</v>
      </c>
      <c r="C2339" s="51">
        <v>1.028</v>
      </c>
      <c r="D2339" s="51">
        <v>64.0</v>
      </c>
      <c r="E2339" s="52" t="s">
        <v>25</v>
      </c>
      <c r="F2339" s="52" t="s">
        <v>26</v>
      </c>
      <c r="G2339" s="53"/>
    </row>
    <row r="2340">
      <c r="A2340" s="49">
        <v>45045.197161909724</v>
      </c>
      <c r="B2340" s="50">
        <v>45045.3221361805</v>
      </c>
      <c r="C2340" s="51">
        <v>1.028</v>
      </c>
      <c r="D2340" s="51">
        <v>64.0</v>
      </c>
      <c r="E2340" s="52" t="s">
        <v>25</v>
      </c>
      <c r="F2340" s="52" t="s">
        <v>26</v>
      </c>
      <c r="G2340" s="53"/>
    </row>
    <row r="2341">
      <c r="A2341" s="49">
        <v>45045.2075806713</v>
      </c>
      <c r="B2341" s="50">
        <v>45045.3325596296</v>
      </c>
      <c r="C2341" s="51">
        <v>1.028</v>
      </c>
      <c r="D2341" s="51">
        <v>64.0</v>
      </c>
      <c r="E2341" s="52" t="s">
        <v>25</v>
      </c>
      <c r="F2341" s="52" t="s">
        <v>26</v>
      </c>
      <c r="G2341" s="53"/>
    </row>
    <row r="2342">
      <c r="A2342" s="49">
        <v>45045.228426863425</v>
      </c>
      <c r="B2342" s="50">
        <v>45045.3534028125</v>
      </c>
      <c r="C2342" s="51">
        <v>1.028</v>
      </c>
      <c r="D2342" s="51">
        <v>64.0</v>
      </c>
      <c r="E2342" s="52" t="s">
        <v>25</v>
      </c>
      <c r="F2342" s="52" t="s">
        <v>26</v>
      </c>
      <c r="G2342" s="53"/>
    </row>
    <row r="2343">
      <c r="A2343" s="49">
        <v>45045.23884449074</v>
      </c>
      <c r="B2343" s="50">
        <v>45045.3638240393</v>
      </c>
      <c r="C2343" s="51">
        <v>1.028</v>
      </c>
      <c r="D2343" s="51">
        <v>63.0</v>
      </c>
      <c r="E2343" s="52" t="s">
        <v>25</v>
      </c>
      <c r="F2343" s="52" t="s">
        <v>26</v>
      </c>
      <c r="G2343" s="53"/>
    </row>
    <row r="2344">
      <c r="A2344" s="49">
        <v>45045.249284363425</v>
      </c>
      <c r="B2344" s="50">
        <v>45045.3742568981</v>
      </c>
      <c r="C2344" s="51">
        <v>1.028</v>
      </c>
      <c r="D2344" s="51">
        <v>64.0</v>
      </c>
      <c r="E2344" s="52" t="s">
        <v>25</v>
      </c>
      <c r="F2344" s="52" t="s">
        <v>26</v>
      </c>
      <c r="G2344" s="53"/>
    </row>
    <row r="2345">
      <c r="A2345" s="49">
        <v>45045.25971697917</v>
      </c>
      <c r="B2345" s="50">
        <v>45045.3846882407</v>
      </c>
      <c r="C2345" s="51">
        <v>1.028</v>
      </c>
      <c r="D2345" s="51">
        <v>64.0</v>
      </c>
      <c r="E2345" s="52" t="s">
        <v>25</v>
      </c>
      <c r="F2345" s="52" t="s">
        <v>26</v>
      </c>
      <c r="G2345" s="53"/>
    </row>
    <row r="2346">
      <c r="A2346" s="49">
        <v>45045.270131157406</v>
      </c>
      <c r="B2346" s="50">
        <v>45045.3951105671</v>
      </c>
      <c r="C2346" s="51">
        <v>1.028</v>
      </c>
      <c r="D2346" s="51">
        <v>64.0</v>
      </c>
      <c r="E2346" s="52" t="s">
        <v>25</v>
      </c>
      <c r="F2346" s="52" t="s">
        <v>26</v>
      </c>
      <c r="G2346" s="53"/>
    </row>
    <row r="2347">
      <c r="A2347" s="49">
        <v>45045.280555694444</v>
      </c>
      <c r="B2347" s="50">
        <v>45045.405531655</v>
      </c>
      <c r="C2347" s="51">
        <v>1.028</v>
      </c>
      <c r="D2347" s="51">
        <v>64.0</v>
      </c>
      <c r="E2347" s="52" t="s">
        <v>25</v>
      </c>
      <c r="F2347" s="52" t="s">
        <v>26</v>
      </c>
      <c r="G2347" s="53"/>
    </row>
    <row r="2348">
      <c r="A2348" s="49">
        <v>45045.29098361111</v>
      </c>
      <c r="B2348" s="50">
        <v>45045.4159548379</v>
      </c>
      <c r="C2348" s="51">
        <v>1.028</v>
      </c>
      <c r="D2348" s="51">
        <v>63.0</v>
      </c>
      <c r="E2348" s="52" t="s">
        <v>25</v>
      </c>
      <c r="F2348" s="52" t="s">
        <v>26</v>
      </c>
      <c r="G2348" s="53"/>
    </row>
    <row r="2349">
      <c r="A2349" s="49">
        <v>45045.31182766204</v>
      </c>
      <c r="B2349" s="50">
        <v>45045.4367973263</v>
      </c>
      <c r="C2349" s="51">
        <v>1.028</v>
      </c>
      <c r="D2349" s="51">
        <v>63.0</v>
      </c>
      <c r="E2349" s="52" t="s">
        <v>25</v>
      </c>
      <c r="F2349" s="52" t="s">
        <v>26</v>
      </c>
      <c r="G2349" s="53"/>
    </row>
    <row r="2350">
      <c r="A2350" s="49">
        <v>45045.32225773148</v>
      </c>
      <c r="B2350" s="50">
        <v>45045.4472310763</v>
      </c>
      <c r="C2350" s="51">
        <v>1.028</v>
      </c>
      <c r="D2350" s="51">
        <v>64.0</v>
      </c>
      <c r="E2350" s="52" t="s">
        <v>25</v>
      </c>
      <c r="F2350" s="52" t="s">
        <v>26</v>
      </c>
      <c r="G2350" s="53"/>
    </row>
    <row r="2351">
      <c r="A2351" s="49">
        <v>45045.343093414354</v>
      </c>
      <c r="B2351" s="50">
        <v>45045.468074699</v>
      </c>
      <c r="C2351" s="51">
        <v>1.028</v>
      </c>
      <c r="D2351" s="51">
        <v>63.0</v>
      </c>
      <c r="E2351" s="52" t="s">
        <v>25</v>
      </c>
      <c r="F2351" s="52" t="s">
        <v>26</v>
      </c>
      <c r="G2351" s="53"/>
    </row>
    <row r="2352">
      <c r="A2352" s="49">
        <v>45045.353522986115</v>
      </c>
      <c r="B2352" s="50">
        <v>45045.4784977662</v>
      </c>
      <c r="C2352" s="51">
        <v>1.028</v>
      </c>
      <c r="D2352" s="51">
        <v>63.0</v>
      </c>
      <c r="E2352" s="52" t="s">
        <v>25</v>
      </c>
      <c r="F2352" s="52" t="s">
        <v>26</v>
      </c>
      <c r="G2352" s="53"/>
    </row>
    <row r="2353">
      <c r="A2353" s="49">
        <v>45045.36394497685</v>
      </c>
      <c r="B2353" s="50">
        <v>45045.4889191203</v>
      </c>
      <c r="C2353" s="51">
        <v>1.028</v>
      </c>
      <c r="D2353" s="51">
        <v>63.0</v>
      </c>
      <c r="E2353" s="52" t="s">
        <v>25</v>
      </c>
      <c r="F2353" s="52" t="s">
        <v>26</v>
      </c>
      <c r="G2353" s="53"/>
    </row>
    <row r="2354">
      <c r="A2354" s="49">
        <v>45045.374390613426</v>
      </c>
      <c r="B2354" s="50">
        <v>45045.4993640046</v>
      </c>
      <c r="C2354" s="51">
        <v>1.028</v>
      </c>
      <c r="D2354" s="51">
        <v>64.0</v>
      </c>
      <c r="E2354" s="52" t="s">
        <v>25</v>
      </c>
      <c r="F2354" s="52" t="s">
        <v>26</v>
      </c>
      <c r="G2354" s="53"/>
    </row>
    <row r="2355">
      <c r="A2355" s="49">
        <v>45045.39523219907</v>
      </c>
      <c r="B2355" s="50">
        <v>45045.5202055208</v>
      </c>
      <c r="C2355" s="51">
        <v>1.028</v>
      </c>
      <c r="D2355" s="51">
        <v>63.0</v>
      </c>
      <c r="E2355" s="52" t="s">
        <v>25</v>
      </c>
      <c r="F2355" s="52" t="s">
        <v>26</v>
      </c>
      <c r="G2355" s="53"/>
    </row>
    <row r="2356">
      <c r="A2356" s="49">
        <v>45045.40565570602</v>
      </c>
      <c r="B2356" s="50">
        <v>45045.53062603</v>
      </c>
      <c r="C2356" s="51">
        <v>1.028</v>
      </c>
      <c r="D2356" s="51">
        <v>63.0</v>
      </c>
      <c r="E2356" s="52" t="s">
        <v>25</v>
      </c>
      <c r="F2356" s="52" t="s">
        <v>26</v>
      </c>
      <c r="G2356" s="53"/>
    </row>
    <row r="2357">
      <c r="A2357" s="49">
        <v>45045.41608001158</v>
      </c>
      <c r="B2357" s="50">
        <v>45045.541058125</v>
      </c>
      <c r="C2357" s="51">
        <v>1.028</v>
      </c>
      <c r="D2357" s="51">
        <v>63.0</v>
      </c>
      <c r="E2357" s="52" t="s">
        <v>25</v>
      </c>
      <c r="F2357" s="52" t="s">
        <v>26</v>
      </c>
      <c r="G2357" s="53"/>
    </row>
    <row r="2358">
      <c r="A2358" s="49">
        <v>45045.426534178245</v>
      </c>
      <c r="B2358" s="50">
        <v>45045.5515049305</v>
      </c>
      <c r="C2358" s="51">
        <v>1.028</v>
      </c>
      <c r="D2358" s="51">
        <v>63.0</v>
      </c>
      <c r="E2358" s="52" t="s">
        <v>25</v>
      </c>
      <c r="F2358" s="52" t="s">
        <v>26</v>
      </c>
      <c r="G2358" s="53"/>
    </row>
    <row r="2359">
      <c r="A2359" s="49">
        <v>45045.436965416666</v>
      </c>
      <c r="B2359" s="50">
        <v>45045.5619365972</v>
      </c>
      <c r="C2359" s="51">
        <v>1.028</v>
      </c>
      <c r="D2359" s="51">
        <v>63.0</v>
      </c>
      <c r="E2359" s="52" t="s">
        <v>25</v>
      </c>
      <c r="F2359" s="52" t="s">
        <v>26</v>
      </c>
      <c r="G2359" s="53"/>
    </row>
    <row r="2360">
      <c r="A2360" s="49">
        <v>45045.44738429398</v>
      </c>
      <c r="B2360" s="50">
        <v>45045.5723573379</v>
      </c>
      <c r="C2360" s="51">
        <v>1.028</v>
      </c>
      <c r="D2360" s="51">
        <v>63.0</v>
      </c>
      <c r="E2360" s="52" t="s">
        <v>25</v>
      </c>
      <c r="F2360" s="52" t="s">
        <v>26</v>
      </c>
      <c r="G2360" s="53"/>
    </row>
    <row r="2361">
      <c r="A2361" s="49">
        <v>45045.45785357639</v>
      </c>
      <c r="B2361" s="50">
        <v>45045.5828259837</v>
      </c>
      <c r="C2361" s="51">
        <v>1.028</v>
      </c>
      <c r="D2361" s="51">
        <v>63.0</v>
      </c>
      <c r="E2361" s="52" t="s">
        <v>25</v>
      </c>
      <c r="F2361" s="52" t="s">
        <v>26</v>
      </c>
      <c r="G2361" s="53"/>
    </row>
    <row r="2362">
      <c r="A2362" s="49">
        <v>45045.468285243056</v>
      </c>
      <c r="B2362" s="50">
        <v>45045.5932593865</v>
      </c>
      <c r="C2362" s="51">
        <v>1.028</v>
      </c>
      <c r="D2362" s="51">
        <v>63.0</v>
      </c>
      <c r="E2362" s="52" t="s">
        <v>25</v>
      </c>
      <c r="F2362" s="52" t="s">
        <v>26</v>
      </c>
      <c r="G2362" s="53"/>
    </row>
    <row r="2363">
      <c r="A2363" s="49">
        <v>45045.47870195602</v>
      </c>
      <c r="B2363" s="50">
        <v>45045.6036798148</v>
      </c>
      <c r="C2363" s="51">
        <v>1.028</v>
      </c>
      <c r="D2363" s="51">
        <v>64.0</v>
      </c>
      <c r="E2363" s="52" t="s">
        <v>25</v>
      </c>
      <c r="F2363" s="52" t="s">
        <v>26</v>
      </c>
      <c r="G2363" s="53"/>
    </row>
    <row r="2364">
      <c r="A2364" s="49">
        <v>45045.48914488426</v>
      </c>
      <c r="B2364" s="50">
        <v>45045.6141126157</v>
      </c>
      <c r="C2364" s="51">
        <v>1.028</v>
      </c>
      <c r="D2364" s="51">
        <v>63.0</v>
      </c>
      <c r="E2364" s="52" t="s">
        <v>25</v>
      </c>
      <c r="F2364" s="52" t="s">
        <v>26</v>
      </c>
      <c r="G2364" s="53"/>
    </row>
    <row r="2365">
      <c r="A2365" s="49">
        <v>45045.50998256945</v>
      </c>
      <c r="B2365" s="50">
        <v>45045.634955</v>
      </c>
      <c r="C2365" s="51">
        <v>1.028</v>
      </c>
      <c r="D2365" s="51">
        <v>63.0</v>
      </c>
      <c r="E2365" s="52" t="s">
        <v>25</v>
      </c>
      <c r="F2365" s="52" t="s">
        <v>26</v>
      </c>
      <c r="G2365" s="53"/>
    </row>
    <row r="2366">
      <c r="A2366" s="49">
        <v>45045.52040868056</v>
      </c>
      <c r="B2366" s="50">
        <v>45045.6453766435</v>
      </c>
      <c r="C2366" s="51">
        <v>1.028</v>
      </c>
      <c r="D2366" s="51">
        <v>63.0</v>
      </c>
      <c r="E2366" s="52" t="s">
        <v>25</v>
      </c>
      <c r="F2366" s="52" t="s">
        <v>26</v>
      </c>
      <c r="G2366" s="53"/>
    </row>
    <row r="2367">
      <c r="A2367" s="49">
        <v>45045.53085224537</v>
      </c>
      <c r="B2367" s="50">
        <v>45045.6558204861</v>
      </c>
      <c r="C2367" s="51">
        <v>1.028</v>
      </c>
      <c r="D2367" s="51">
        <v>63.0</v>
      </c>
      <c r="E2367" s="52" t="s">
        <v>25</v>
      </c>
      <c r="F2367" s="52" t="s">
        <v>26</v>
      </c>
      <c r="G2367" s="53"/>
    </row>
    <row r="2368">
      <c r="A2368" s="49">
        <v>45045.541269849535</v>
      </c>
      <c r="B2368" s="50">
        <v>45045.6662410301</v>
      </c>
      <c r="C2368" s="51">
        <v>1.028</v>
      </c>
      <c r="D2368" s="51">
        <v>63.0</v>
      </c>
      <c r="E2368" s="52" t="s">
        <v>25</v>
      </c>
      <c r="F2368" s="52" t="s">
        <v>26</v>
      </c>
      <c r="G2368" s="53"/>
    </row>
    <row r="2369">
      <c r="A2369" s="49">
        <v>45045.5516997338</v>
      </c>
      <c r="B2369" s="50">
        <v>45045.6766745254</v>
      </c>
      <c r="C2369" s="51">
        <v>1.028</v>
      </c>
      <c r="D2369" s="51">
        <v>63.0</v>
      </c>
      <c r="E2369" s="52" t="s">
        <v>25</v>
      </c>
      <c r="F2369" s="52" t="s">
        <v>26</v>
      </c>
      <c r="G2369" s="53"/>
    </row>
    <row r="2370">
      <c r="A2370" s="49">
        <v>45045.5621266088</v>
      </c>
      <c r="B2370" s="50">
        <v>45045.687096956</v>
      </c>
      <c r="C2370" s="51">
        <v>1.028</v>
      </c>
      <c r="D2370" s="51">
        <v>63.0</v>
      </c>
      <c r="E2370" s="52" t="s">
        <v>25</v>
      </c>
      <c r="F2370" s="52" t="s">
        <v>26</v>
      </c>
      <c r="G2370" s="53"/>
    </row>
    <row r="2371">
      <c r="A2371" s="49">
        <v>45045.572544166665</v>
      </c>
      <c r="B2371" s="50">
        <v>45045.6975175</v>
      </c>
      <c r="C2371" s="51">
        <v>1.028</v>
      </c>
      <c r="D2371" s="51">
        <v>63.0</v>
      </c>
      <c r="E2371" s="52" t="s">
        <v>25</v>
      </c>
      <c r="F2371" s="52" t="s">
        <v>26</v>
      </c>
      <c r="G2371" s="53"/>
    </row>
    <row r="2372">
      <c r="A2372" s="49">
        <v>45045.58296393519</v>
      </c>
      <c r="B2372" s="50">
        <v>45045.7079378935</v>
      </c>
      <c r="C2372" s="51">
        <v>1.028</v>
      </c>
      <c r="D2372" s="51">
        <v>63.0</v>
      </c>
      <c r="E2372" s="52" t="s">
        <v>25</v>
      </c>
      <c r="F2372" s="52" t="s">
        <v>26</v>
      </c>
      <c r="G2372" s="53"/>
    </row>
    <row r="2373">
      <c r="A2373" s="49">
        <v>45045.5934003588</v>
      </c>
      <c r="B2373" s="50">
        <v>45045.71837125</v>
      </c>
      <c r="C2373" s="51">
        <v>1.028</v>
      </c>
      <c r="D2373" s="51">
        <v>63.0</v>
      </c>
      <c r="E2373" s="52" t="s">
        <v>25</v>
      </c>
      <c r="F2373" s="52" t="s">
        <v>26</v>
      </c>
      <c r="G2373" s="53"/>
    </row>
    <row r="2374">
      <c r="A2374" s="49">
        <v>45045.603823206024</v>
      </c>
      <c r="B2374" s="50">
        <v>45045.7287932986</v>
      </c>
      <c r="C2374" s="51">
        <v>1.028</v>
      </c>
      <c r="D2374" s="51">
        <v>63.0</v>
      </c>
      <c r="E2374" s="52" t="s">
        <v>25</v>
      </c>
      <c r="F2374" s="52" t="s">
        <v>26</v>
      </c>
      <c r="G2374" s="53"/>
    </row>
    <row r="2375">
      <c r="A2375" s="49">
        <v>45045.61425493055</v>
      </c>
      <c r="B2375" s="50">
        <v>45045.7392267708</v>
      </c>
      <c r="C2375" s="51">
        <v>1.028</v>
      </c>
      <c r="D2375" s="51">
        <v>63.0</v>
      </c>
      <c r="E2375" s="52" t="s">
        <v>25</v>
      </c>
      <c r="F2375" s="52" t="s">
        <v>26</v>
      </c>
      <c r="G2375" s="53"/>
    </row>
    <row r="2376">
      <c r="A2376" s="49">
        <v>45045.62470377315</v>
      </c>
      <c r="B2376" s="50">
        <v>45045.7496833217</v>
      </c>
      <c r="C2376" s="51">
        <v>1.028</v>
      </c>
      <c r="D2376" s="51">
        <v>63.0</v>
      </c>
      <c r="E2376" s="52" t="s">
        <v>25</v>
      </c>
      <c r="F2376" s="52" t="s">
        <v>26</v>
      </c>
      <c r="G2376" s="53"/>
    </row>
    <row r="2377">
      <c r="A2377" s="49">
        <v>45045.63512796296</v>
      </c>
      <c r="B2377" s="50">
        <v>45045.7601037384</v>
      </c>
      <c r="C2377" s="51">
        <v>1.028</v>
      </c>
      <c r="D2377" s="51">
        <v>63.0</v>
      </c>
      <c r="E2377" s="52" t="s">
        <v>25</v>
      </c>
      <c r="F2377" s="52" t="s">
        <v>26</v>
      </c>
      <c r="G2377" s="53"/>
    </row>
    <row r="2378">
      <c r="A2378" s="49">
        <v>45045.64558211806</v>
      </c>
      <c r="B2378" s="50">
        <v>45045.7705597338</v>
      </c>
      <c r="C2378" s="51">
        <v>1.028</v>
      </c>
      <c r="D2378" s="51">
        <v>63.0</v>
      </c>
      <c r="E2378" s="52" t="s">
        <v>25</v>
      </c>
      <c r="F2378" s="52" t="s">
        <v>26</v>
      </c>
      <c r="G2378" s="53"/>
    </row>
    <row r="2379">
      <c r="A2379" s="49">
        <v>45045.656022256946</v>
      </c>
      <c r="B2379" s="50">
        <v>45045.7809930902</v>
      </c>
      <c r="C2379" s="51">
        <v>1.028</v>
      </c>
      <c r="D2379" s="51">
        <v>63.0</v>
      </c>
      <c r="E2379" s="52" t="s">
        <v>25</v>
      </c>
      <c r="F2379" s="52" t="s">
        <v>26</v>
      </c>
      <c r="G2379" s="53"/>
    </row>
    <row r="2380">
      <c r="A2380" s="49">
        <v>45045.66644565972</v>
      </c>
      <c r="B2380" s="50">
        <v>45045.7914174537</v>
      </c>
      <c r="C2380" s="51">
        <v>1.028</v>
      </c>
      <c r="D2380" s="51">
        <v>63.0</v>
      </c>
      <c r="E2380" s="52" t="s">
        <v>25</v>
      </c>
      <c r="F2380" s="52" t="s">
        <v>26</v>
      </c>
      <c r="G2380" s="53"/>
    </row>
    <row r="2381">
      <c r="A2381" s="49">
        <v>45045.676871296295</v>
      </c>
      <c r="B2381" s="50">
        <v>45045.8018390856</v>
      </c>
      <c r="C2381" s="51">
        <v>1.028</v>
      </c>
      <c r="D2381" s="51">
        <v>63.0</v>
      </c>
      <c r="E2381" s="52" t="s">
        <v>25</v>
      </c>
      <c r="F2381" s="52" t="s">
        <v>26</v>
      </c>
      <c r="G2381" s="53"/>
    </row>
    <row r="2382">
      <c r="A2382" s="49">
        <v>45045.68729189815</v>
      </c>
      <c r="B2382" s="50">
        <v>45045.8122595486</v>
      </c>
      <c r="C2382" s="51">
        <v>1.028</v>
      </c>
      <c r="D2382" s="51">
        <v>63.0</v>
      </c>
      <c r="E2382" s="52" t="s">
        <v>25</v>
      </c>
      <c r="F2382" s="52" t="s">
        <v>26</v>
      </c>
      <c r="G2382" s="53"/>
    </row>
    <row r="2383">
      <c r="A2383" s="49">
        <v>45045.69771850694</v>
      </c>
      <c r="B2383" s="50">
        <v>45045.8226799305</v>
      </c>
      <c r="C2383" s="51">
        <v>1.028</v>
      </c>
      <c r="D2383" s="51">
        <v>63.0</v>
      </c>
      <c r="E2383" s="52" t="s">
        <v>25</v>
      </c>
      <c r="F2383" s="52" t="s">
        <v>26</v>
      </c>
      <c r="G2383" s="53"/>
    </row>
    <row r="2384">
      <c r="A2384" s="49">
        <v>45045.708165289354</v>
      </c>
      <c r="B2384" s="50">
        <v>45045.8331346296</v>
      </c>
      <c r="C2384" s="51">
        <v>1.028</v>
      </c>
      <c r="D2384" s="51">
        <v>63.0</v>
      </c>
      <c r="E2384" s="52" t="s">
        <v>25</v>
      </c>
      <c r="F2384" s="52" t="s">
        <v>26</v>
      </c>
      <c r="G2384" s="53"/>
    </row>
    <row r="2385">
      <c r="A2385" s="49">
        <v>45045.71866027778</v>
      </c>
      <c r="B2385" s="50">
        <v>45045.8435911921</v>
      </c>
      <c r="C2385" s="51">
        <v>1.028</v>
      </c>
      <c r="D2385" s="51">
        <v>63.0</v>
      </c>
      <c r="E2385" s="52" t="s">
        <v>25</v>
      </c>
      <c r="F2385" s="52" t="s">
        <v>26</v>
      </c>
      <c r="G2385" s="53"/>
    </row>
    <row r="2386">
      <c r="A2386" s="49">
        <v>45045.72904853009</v>
      </c>
      <c r="B2386" s="50">
        <v>45045.8540236574</v>
      </c>
      <c r="C2386" s="51">
        <v>1.028</v>
      </c>
      <c r="D2386" s="51">
        <v>63.0</v>
      </c>
      <c r="E2386" s="52" t="s">
        <v>25</v>
      </c>
      <c r="F2386" s="52" t="s">
        <v>26</v>
      </c>
      <c r="G2386" s="53"/>
    </row>
    <row r="2387">
      <c r="A2387" s="49">
        <v>45045.739483495374</v>
      </c>
      <c r="B2387" s="50">
        <v>45045.8644570486</v>
      </c>
      <c r="C2387" s="51">
        <v>1.028</v>
      </c>
      <c r="D2387" s="51">
        <v>63.0</v>
      </c>
      <c r="E2387" s="52" t="s">
        <v>25</v>
      </c>
      <c r="F2387" s="52" t="s">
        <v>26</v>
      </c>
      <c r="G2387" s="53"/>
    </row>
    <row r="2388">
      <c r="A2388" s="49">
        <v>45045.74991387731</v>
      </c>
      <c r="B2388" s="50">
        <v>45045.8748891898</v>
      </c>
      <c r="C2388" s="51">
        <v>1.028</v>
      </c>
      <c r="D2388" s="51">
        <v>63.0</v>
      </c>
      <c r="E2388" s="52" t="s">
        <v>25</v>
      </c>
      <c r="F2388" s="52" t="s">
        <v>26</v>
      </c>
      <c r="G2388" s="53"/>
    </row>
    <row r="2389">
      <c r="A2389" s="49">
        <v>45045.760355590275</v>
      </c>
      <c r="B2389" s="50">
        <v>45045.8853216319</v>
      </c>
      <c r="C2389" s="51">
        <v>1.028</v>
      </c>
      <c r="D2389" s="51">
        <v>63.0</v>
      </c>
      <c r="E2389" s="52" t="s">
        <v>25</v>
      </c>
      <c r="F2389" s="52" t="s">
        <v>26</v>
      </c>
      <c r="G2389" s="53"/>
    </row>
    <row r="2390">
      <c r="A2390" s="49">
        <v>45045.770767256945</v>
      </c>
      <c r="B2390" s="50">
        <v>45045.8957428125</v>
      </c>
      <c r="C2390" s="51">
        <v>1.028</v>
      </c>
      <c r="D2390" s="51">
        <v>63.0</v>
      </c>
      <c r="E2390" s="52" t="s">
        <v>25</v>
      </c>
      <c r="F2390" s="52" t="s">
        <v>26</v>
      </c>
      <c r="G2390" s="53"/>
    </row>
    <row r="2391">
      <c r="A2391" s="49">
        <v>45045.78120085648</v>
      </c>
      <c r="B2391" s="50">
        <v>45045.9061746412</v>
      </c>
      <c r="C2391" s="51">
        <v>1.028</v>
      </c>
      <c r="D2391" s="51">
        <v>63.0</v>
      </c>
      <c r="E2391" s="52" t="s">
        <v>25</v>
      </c>
      <c r="F2391" s="52" t="s">
        <v>26</v>
      </c>
      <c r="G2391" s="53"/>
    </row>
    <row r="2392">
      <c r="A2392" s="49">
        <v>45045.79162696759</v>
      </c>
      <c r="B2392" s="50">
        <v>45045.9166073842</v>
      </c>
      <c r="C2392" s="51">
        <v>1.028</v>
      </c>
      <c r="D2392" s="51">
        <v>63.0</v>
      </c>
      <c r="E2392" s="52" t="s">
        <v>25</v>
      </c>
      <c r="F2392" s="52" t="s">
        <v>26</v>
      </c>
      <c r="G2392" s="53"/>
    </row>
    <row r="2393">
      <c r="A2393" s="49">
        <v>45045.80205827546</v>
      </c>
      <c r="B2393" s="50">
        <v>45045.9270391782</v>
      </c>
      <c r="C2393" s="51">
        <v>1.028</v>
      </c>
      <c r="D2393" s="51">
        <v>63.0</v>
      </c>
      <c r="E2393" s="52" t="s">
        <v>25</v>
      </c>
      <c r="F2393" s="52" t="s">
        <v>26</v>
      </c>
      <c r="G2393" s="53"/>
    </row>
    <row r="2394">
      <c r="A2394" s="49">
        <v>45045.812486469906</v>
      </c>
      <c r="B2394" s="50">
        <v>45045.9374619791</v>
      </c>
      <c r="C2394" s="51">
        <v>1.028</v>
      </c>
      <c r="D2394" s="51">
        <v>64.0</v>
      </c>
      <c r="E2394" s="52" t="s">
        <v>25</v>
      </c>
      <c r="F2394" s="52" t="s">
        <v>26</v>
      </c>
      <c r="G2394" s="53"/>
    </row>
    <row r="2395">
      <c r="A2395" s="49">
        <v>45045.822915798606</v>
      </c>
      <c r="B2395" s="50">
        <v>45045.9478948842</v>
      </c>
      <c r="C2395" s="51">
        <v>1.028</v>
      </c>
      <c r="D2395" s="51">
        <v>63.0</v>
      </c>
      <c r="E2395" s="52" t="s">
        <v>25</v>
      </c>
      <c r="F2395" s="52" t="s">
        <v>26</v>
      </c>
      <c r="G2395" s="53"/>
    </row>
    <row r="2396">
      <c r="A2396" s="49">
        <v>45045.833336550924</v>
      </c>
      <c r="B2396" s="50">
        <v>45045.9583156713</v>
      </c>
      <c r="C2396" s="51">
        <v>1.028</v>
      </c>
      <c r="D2396" s="51">
        <v>63.0</v>
      </c>
      <c r="E2396" s="52" t="s">
        <v>25</v>
      </c>
      <c r="F2396" s="52" t="s">
        <v>26</v>
      </c>
      <c r="G2396" s="53"/>
    </row>
    <row r="2397">
      <c r="A2397" s="49">
        <v>45045.84376592592</v>
      </c>
      <c r="B2397" s="50">
        <v>45045.9687367129</v>
      </c>
      <c r="C2397" s="51">
        <v>1.028</v>
      </c>
      <c r="D2397" s="51">
        <v>63.0</v>
      </c>
      <c r="E2397" s="52" t="s">
        <v>25</v>
      </c>
      <c r="F2397" s="52" t="s">
        <v>26</v>
      </c>
      <c r="G2397" s="53"/>
    </row>
    <row r="2398">
      <c r="A2398" s="49">
        <v>45045.85418738426</v>
      </c>
      <c r="B2398" s="50">
        <v>45045.9791580092</v>
      </c>
      <c r="C2398" s="51">
        <v>1.028</v>
      </c>
      <c r="D2398" s="51">
        <v>64.0</v>
      </c>
      <c r="E2398" s="52" t="s">
        <v>25</v>
      </c>
      <c r="F2398" s="52" t="s">
        <v>26</v>
      </c>
      <c r="G2398" s="53"/>
    </row>
    <row r="2399">
      <c r="A2399" s="49">
        <v>45045.86460425926</v>
      </c>
      <c r="B2399" s="50">
        <v>45045.9895784837</v>
      </c>
      <c r="C2399" s="51">
        <v>1.028</v>
      </c>
      <c r="D2399" s="51">
        <v>64.0</v>
      </c>
      <c r="E2399" s="52" t="s">
        <v>25</v>
      </c>
      <c r="F2399" s="52" t="s">
        <v>26</v>
      </c>
      <c r="G2399" s="53"/>
    </row>
    <row r="2400">
      <c r="A2400" s="49">
        <v>45045.87502348379</v>
      </c>
      <c r="B2400" s="50">
        <v>45045.9999992824</v>
      </c>
      <c r="C2400" s="51">
        <v>1.028</v>
      </c>
      <c r="D2400" s="51">
        <v>63.0</v>
      </c>
      <c r="E2400" s="52" t="s">
        <v>25</v>
      </c>
      <c r="F2400" s="52" t="s">
        <v>26</v>
      </c>
      <c r="G2400" s="53"/>
    </row>
    <row r="2401">
      <c r="A2401" s="49">
        <v>45045.88544346065</v>
      </c>
      <c r="B2401" s="50">
        <v>45046.0104201851</v>
      </c>
      <c r="C2401" s="51">
        <v>1.028</v>
      </c>
      <c r="D2401" s="51">
        <v>64.0</v>
      </c>
      <c r="E2401" s="52" t="s">
        <v>25</v>
      </c>
      <c r="F2401" s="52" t="s">
        <v>26</v>
      </c>
      <c r="G2401" s="53"/>
    </row>
    <row r="2402">
      <c r="A2402" s="49">
        <v>45045.89586319444</v>
      </c>
      <c r="B2402" s="50">
        <v>45046.0208421064</v>
      </c>
      <c r="C2402" s="51">
        <v>1.028</v>
      </c>
      <c r="D2402" s="51">
        <v>63.0</v>
      </c>
      <c r="E2402" s="52" t="s">
        <v>25</v>
      </c>
      <c r="F2402" s="52" t="s">
        <v>26</v>
      </c>
      <c r="G2402" s="53"/>
    </row>
    <row r="2403">
      <c r="A2403" s="49">
        <v>45045.91674076389</v>
      </c>
      <c r="B2403" s="50">
        <v>45046.0417191782</v>
      </c>
      <c r="C2403" s="51">
        <v>1.028</v>
      </c>
      <c r="D2403" s="51">
        <v>64.0</v>
      </c>
      <c r="E2403" s="52" t="s">
        <v>25</v>
      </c>
      <c r="F2403" s="52" t="s">
        <v>26</v>
      </c>
      <c r="G2403" s="53"/>
    </row>
    <row r="2404">
      <c r="A2404" s="49">
        <v>45045.92716211805</v>
      </c>
      <c r="B2404" s="50">
        <v>45046.0521397453</v>
      </c>
      <c r="C2404" s="51">
        <v>1.028</v>
      </c>
      <c r="D2404" s="51">
        <v>63.0</v>
      </c>
      <c r="E2404" s="52" t="s">
        <v>25</v>
      </c>
      <c r="F2404" s="52" t="s">
        <v>26</v>
      </c>
      <c r="G2404" s="53"/>
    </row>
    <row r="2405">
      <c r="A2405" s="49">
        <v>45045.93758888889</v>
      </c>
      <c r="B2405" s="50">
        <v>45046.0625597222</v>
      </c>
      <c r="C2405" s="51">
        <v>1.028</v>
      </c>
      <c r="D2405" s="51">
        <v>64.0</v>
      </c>
      <c r="E2405" s="52" t="s">
        <v>25</v>
      </c>
      <c r="F2405" s="52" t="s">
        <v>26</v>
      </c>
      <c r="G2405" s="53"/>
    </row>
    <row r="2406">
      <c r="A2406" s="49">
        <v>45045.94802997685</v>
      </c>
      <c r="B2406" s="50">
        <v>45046.0730043865</v>
      </c>
      <c r="C2406" s="51">
        <v>1.028</v>
      </c>
      <c r="D2406" s="51">
        <v>64.0</v>
      </c>
      <c r="E2406" s="52" t="s">
        <v>25</v>
      </c>
      <c r="F2406" s="52" t="s">
        <v>26</v>
      </c>
      <c r="G2406" s="53"/>
    </row>
    <row r="2407">
      <c r="A2407" s="49">
        <v>45045.9584486574</v>
      </c>
      <c r="B2407" s="50">
        <v>45046.083423993</v>
      </c>
      <c r="C2407" s="51">
        <v>1.028</v>
      </c>
      <c r="D2407" s="51">
        <v>64.0</v>
      </c>
      <c r="E2407" s="52" t="s">
        <v>25</v>
      </c>
      <c r="F2407" s="52" t="s">
        <v>26</v>
      </c>
      <c r="G2407" s="53"/>
    </row>
    <row r="2408">
      <c r="A2408" s="49">
        <v>45045.96886872685</v>
      </c>
      <c r="B2408" s="50">
        <v>45046.0938463773</v>
      </c>
      <c r="C2408" s="51">
        <v>1.028</v>
      </c>
      <c r="D2408" s="51">
        <v>64.0</v>
      </c>
      <c r="E2408" s="52" t="s">
        <v>25</v>
      </c>
      <c r="F2408" s="52" t="s">
        <v>26</v>
      </c>
      <c r="G2408" s="53"/>
    </row>
    <row r="2409">
      <c r="A2409" s="49">
        <v>45045.97928762731</v>
      </c>
      <c r="B2409" s="50">
        <v>45046.1042681481</v>
      </c>
      <c r="C2409" s="51">
        <v>1.028</v>
      </c>
      <c r="D2409" s="51">
        <v>63.0</v>
      </c>
      <c r="E2409" s="52" t="s">
        <v>25</v>
      </c>
      <c r="F2409" s="52" t="s">
        <v>26</v>
      </c>
      <c r="G2409" s="53"/>
    </row>
    <row r="2410">
      <c r="A2410" s="49">
        <v>45045.98972199074</v>
      </c>
      <c r="B2410" s="50">
        <v>45046.1147011574</v>
      </c>
      <c r="C2410" s="51">
        <v>1.028</v>
      </c>
      <c r="D2410" s="51">
        <v>64.0</v>
      </c>
      <c r="E2410" s="52" t="s">
        <v>25</v>
      </c>
      <c r="F2410" s="52" t="s">
        <v>26</v>
      </c>
      <c r="G2410" s="53"/>
    </row>
    <row r="2411">
      <c r="A2411" s="49">
        <v>45046.00014939815</v>
      </c>
      <c r="B2411" s="50">
        <v>45046.1251232407</v>
      </c>
      <c r="C2411" s="51">
        <v>1.028</v>
      </c>
      <c r="D2411" s="51">
        <v>63.0</v>
      </c>
      <c r="E2411" s="52" t="s">
        <v>25</v>
      </c>
      <c r="F2411" s="52" t="s">
        <v>26</v>
      </c>
      <c r="G2411" s="53"/>
    </row>
    <row r="2412">
      <c r="A2412" s="49">
        <v>45046.010595370375</v>
      </c>
      <c r="B2412" s="50">
        <v>45046.1355671064</v>
      </c>
      <c r="C2412" s="51">
        <v>1.027</v>
      </c>
      <c r="D2412" s="51">
        <v>64.0</v>
      </c>
      <c r="E2412" s="52" t="s">
        <v>25</v>
      </c>
      <c r="F2412" s="52" t="s">
        <v>26</v>
      </c>
      <c r="G2412" s="53"/>
    </row>
    <row r="2413">
      <c r="A2413" s="49">
        <v>45046.02101920139</v>
      </c>
      <c r="B2413" s="50">
        <v>45046.1459897916</v>
      </c>
      <c r="C2413" s="51">
        <v>1.028</v>
      </c>
      <c r="D2413" s="51">
        <v>64.0</v>
      </c>
      <c r="E2413" s="52" t="s">
        <v>25</v>
      </c>
      <c r="F2413" s="52" t="s">
        <v>26</v>
      </c>
      <c r="G2413" s="53"/>
    </row>
    <row r="2414">
      <c r="A2414" s="49">
        <v>45046.03143495371</v>
      </c>
      <c r="B2414" s="50">
        <v>45046.1564112615</v>
      </c>
      <c r="C2414" s="51">
        <v>1.028</v>
      </c>
      <c r="D2414" s="51">
        <v>63.0</v>
      </c>
      <c r="E2414" s="52" t="s">
        <v>25</v>
      </c>
      <c r="F2414" s="52" t="s">
        <v>26</v>
      </c>
      <c r="G2414" s="53"/>
    </row>
    <row r="2415">
      <c r="A2415" s="49">
        <v>45046.04188305556</v>
      </c>
      <c r="B2415" s="50">
        <v>45046.1668560879</v>
      </c>
      <c r="C2415" s="51">
        <v>1.027</v>
      </c>
      <c r="D2415" s="51">
        <v>63.0</v>
      </c>
      <c r="E2415" s="52" t="s">
        <v>25</v>
      </c>
      <c r="F2415" s="52" t="s">
        <v>26</v>
      </c>
      <c r="G2415" s="53"/>
    </row>
    <row r="2416">
      <c r="A2416" s="49">
        <v>45046.05230804398</v>
      </c>
      <c r="B2416" s="50">
        <v>45046.177275868</v>
      </c>
      <c r="C2416" s="51">
        <v>1.028</v>
      </c>
      <c r="D2416" s="51">
        <v>64.0</v>
      </c>
      <c r="E2416" s="52" t="s">
        <v>25</v>
      </c>
      <c r="F2416" s="52" t="s">
        <v>26</v>
      </c>
      <c r="G2416" s="53"/>
    </row>
    <row r="2417">
      <c r="A2417" s="49">
        <v>45046.062735405096</v>
      </c>
      <c r="B2417" s="50">
        <v>45046.187695081</v>
      </c>
      <c r="C2417" s="51">
        <v>1.028</v>
      </c>
      <c r="D2417" s="51">
        <v>64.0</v>
      </c>
      <c r="E2417" s="52" t="s">
        <v>25</v>
      </c>
      <c r="F2417" s="52" t="s">
        <v>26</v>
      </c>
      <c r="G2417" s="53"/>
    </row>
    <row r="2418">
      <c r="A2418" s="49">
        <v>45046.073138078704</v>
      </c>
      <c r="B2418" s="50">
        <v>45046.1981166666</v>
      </c>
      <c r="C2418" s="51">
        <v>1.027</v>
      </c>
      <c r="D2418" s="51">
        <v>63.0</v>
      </c>
      <c r="E2418" s="52" t="s">
        <v>25</v>
      </c>
      <c r="F2418" s="52" t="s">
        <v>26</v>
      </c>
      <c r="G2418" s="53"/>
    </row>
    <row r="2419">
      <c r="A2419" s="49">
        <v>45046.08356788194</v>
      </c>
      <c r="B2419" s="50">
        <v>45046.2085363773</v>
      </c>
      <c r="C2419" s="51">
        <v>1.027</v>
      </c>
      <c r="D2419" s="51">
        <v>64.0</v>
      </c>
      <c r="E2419" s="52" t="s">
        <v>25</v>
      </c>
      <c r="F2419" s="52" t="s">
        <v>26</v>
      </c>
      <c r="G2419" s="53"/>
    </row>
    <row r="2420">
      <c r="A2420" s="49">
        <v>45046.09398784723</v>
      </c>
      <c r="B2420" s="50">
        <v>45046.2189582407</v>
      </c>
      <c r="C2420" s="51">
        <v>1.027</v>
      </c>
      <c r="D2420" s="51">
        <v>63.0</v>
      </c>
      <c r="E2420" s="52" t="s">
        <v>25</v>
      </c>
      <c r="F2420" s="52" t="s">
        <v>26</v>
      </c>
      <c r="G2420" s="53"/>
    </row>
    <row r="2421">
      <c r="A2421" s="49">
        <v>45046.10440856482</v>
      </c>
      <c r="B2421" s="50">
        <v>45046.2293796643</v>
      </c>
      <c r="C2421" s="51">
        <v>1.028</v>
      </c>
      <c r="D2421" s="51">
        <v>64.0</v>
      </c>
      <c r="E2421" s="52" t="s">
        <v>25</v>
      </c>
      <c r="F2421" s="52" t="s">
        <v>26</v>
      </c>
      <c r="G2421" s="53"/>
    </row>
    <row r="2422">
      <c r="A2422" s="49">
        <v>45046.114846550925</v>
      </c>
      <c r="B2422" s="50">
        <v>45046.2398234838</v>
      </c>
      <c r="C2422" s="51">
        <v>1.027</v>
      </c>
      <c r="D2422" s="51">
        <v>64.0</v>
      </c>
      <c r="E2422" s="52" t="s">
        <v>25</v>
      </c>
      <c r="F2422" s="52" t="s">
        <v>26</v>
      </c>
      <c r="G2422" s="53"/>
    </row>
    <row r="2423">
      <c r="A2423" s="49">
        <v>45046.12527122685</v>
      </c>
      <c r="B2423" s="50">
        <v>45046.2502446527</v>
      </c>
      <c r="C2423" s="51">
        <v>1.027</v>
      </c>
      <c r="D2423" s="51">
        <v>63.0</v>
      </c>
      <c r="E2423" s="52" t="s">
        <v>25</v>
      </c>
      <c r="F2423" s="52" t="s">
        <v>26</v>
      </c>
      <c r="G2423" s="53"/>
    </row>
    <row r="2424">
      <c r="A2424" s="49">
        <v>45046.135697025464</v>
      </c>
      <c r="B2424" s="50">
        <v>45046.2606662615</v>
      </c>
      <c r="C2424" s="51">
        <v>1.027</v>
      </c>
      <c r="D2424" s="51">
        <v>64.0</v>
      </c>
      <c r="E2424" s="52" t="s">
        <v>25</v>
      </c>
      <c r="F2424" s="52" t="s">
        <v>26</v>
      </c>
      <c r="G2424" s="53"/>
    </row>
    <row r="2425">
      <c r="A2425" s="49">
        <v>45046.14611947916</v>
      </c>
      <c r="B2425" s="50">
        <v>45046.2710882523</v>
      </c>
      <c r="C2425" s="51">
        <v>1.028</v>
      </c>
      <c r="D2425" s="51">
        <v>64.0</v>
      </c>
      <c r="E2425" s="52" t="s">
        <v>25</v>
      </c>
      <c r="F2425" s="52" t="s">
        <v>26</v>
      </c>
      <c r="G2425" s="53"/>
    </row>
    <row r="2426">
      <c r="A2426" s="49">
        <v>45046.15657039352</v>
      </c>
      <c r="B2426" s="50">
        <v>45046.2815212847</v>
      </c>
      <c r="C2426" s="51">
        <v>1.027</v>
      </c>
      <c r="D2426" s="51">
        <v>64.0</v>
      </c>
      <c r="E2426" s="52" t="s">
        <v>25</v>
      </c>
      <c r="F2426" s="52" t="s">
        <v>26</v>
      </c>
      <c r="G2426" s="53"/>
    </row>
    <row r="2427">
      <c r="A2427" s="49">
        <v>45046.16697244213</v>
      </c>
      <c r="B2427" s="50">
        <v>45046.2919429745</v>
      </c>
      <c r="C2427" s="51">
        <v>1.028</v>
      </c>
      <c r="D2427" s="51">
        <v>64.0</v>
      </c>
      <c r="E2427" s="52" t="s">
        <v>25</v>
      </c>
      <c r="F2427" s="52" t="s">
        <v>26</v>
      </c>
      <c r="G2427" s="53"/>
    </row>
    <row r="2428">
      <c r="A2428" s="49">
        <v>45046.17738201389</v>
      </c>
      <c r="B2428" s="50">
        <v>45046.3023636689</v>
      </c>
      <c r="C2428" s="51">
        <v>1.027</v>
      </c>
      <c r="D2428" s="51">
        <v>64.0</v>
      </c>
      <c r="E2428" s="52" t="s">
        <v>25</v>
      </c>
      <c r="F2428" s="52" t="s">
        <v>26</v>
      </c>
      <c r="G2428" s="53"/>
    </row>
    <row r="2429">
      <c r="A2429" s="49">
        <v>45046.187837777776</v>
      </c>
      <c r="B2429" s="50">
        <v>45046.3128185648</v>
      </c>
      <c r="C2429" s="51">
        <v>1.028</v>
      </c>
      <c r="D2429" s="51">
        <v>63.0</v>
      </c>
      <c r="E2429" s="52" t="s">
        <v>25</v>
      </c>
      <c r="F2429" s="52" t="s">
        <v>26</v>
      </c>
      <c r="G2429" s="53"/>
    </row>
    <row r="2430">
      <c r="A2430" s="49">
        <v>45046.19826873843</v>
      </c>
      <c r="B2430" s="50">
        <v>45046.3232401388</v>
      </c>
      <c r="C2430" s="51">
        <v>1.027</v>
      </c>
      <c r="D2430" s="51">
        <v>64.0</v>
      </c>
      <c r="E2430" s="52" t="s">
        <v>25</v>
      </c>
      <c r="F2430" s="52" t="s">
        <v>26</v>
      </c>
      <c r="G2430" s="53"/>
    </row>
    <row r="2431">
      <c r="A2431" s="49">
        <v>45046.21913244213</v>
      </c>
      <c r="B2431" s="50">
        <v>45046.3441075694</v>
      </c>
      <c r="C2431" s="51">
        <v>1.027</v>
      </c>
      <c r="D2431" s="51">
        <v>64.0</v>
      </c>
      <c r="E2431" s="52" t="s">
        <v>25</v>
      </c>
      <c r="F2431" s="52" t="s">
        <v>26</v>
      </c>
      <c r="G2431" s="53"/>
    </row>
    <row r="2432">
      <c r="A2432" s="49">
        <v>45046.22955537037</v>
      </c>
      <c r="B2432" s="50">
        <v>45046.3545284838</v>
      </c>
      <c r="C2432" s="51">
        <v>1.027</v>
      </c>
      <c r="D2432" s="51">
        <v>63.0</v>
      </c>
      <c r="E2432" s="52" t="s">
        <v>25</v>
      </c>
      <c r="F2432" s="52" t="s">
        <v>26</v>
      </c>
      <c r="G2432" s="53"/>
    </row>
    <row r="2433">
      <c r="A2433" s="49">
        <v>45046.250427719904</v>
      </c>
      <c r="B2433" s="50">
        <v>45046.3753932754</v>
      </c>
      <c r="C2433" s="51">
        <v>1.027</v>
      </c>
      <c r="D2433" s="51">
        <v>64.0</v>
      </c>
      <c r="E2433" s="52" t="s">
        <v>25</v>
      </c>
      <c r="F2433" s="52" t="s">
        <v>26</v>
      </c>
      <c r="G2433" s="53"/>
    </row>
    <row r="2434">
      <c r="A2434" s="49">
        <v>45046.26084538194</v>
      </c>
      <c r="B2434" s="50">
        <v>45046.3858145138</v>
      </c>
      <c r="C2434" s="51">
        <v>1.027</v>
      </c>
      <c r="D2434" s="51">
        <v>64.0</v>
      </c>
      <c r="E2434" s="52" t="s">
        <v>25</v>
      </c>
      <c r="F2434" s="52" t="s">
        <v>26</v>
      </c>
      <c r="G2434" s="53"/>
    </row>
    <row r="2435">
      <c r="A2435" s="49">
        <v>45046.2712655787</v>
      </c>
      <c r="B2435" s="50">
        <v>45046.3962354629</v>
      </c>
      <c r="C2435" s="51">
        <v>1.027</v>
      </c>
      <c r="D2435" s="51">
        <v>63.0</v>
      </c>
      <c r="E2435" s="52" t="s">
        <v>25</v>
      </c>
      <c r="F2435" s="52" t="s">
        <v>26</v>
      </c>
      <c r="G2435" s="53"/>
    </row>
    <row r="2436">
      <c r="A2436" s="49">
        <v>45046.28172800926</v>
      </c>
      <c r="B2436" s="50">
        <v>45046.4067021759</v>
      </c>
      <c r="C2436" s="51">
        <v>1.027</v>
      </c>
      <c r="D2436" s="51">
        <v>64.0</v>
      </c>
      <c r="E2436" s="52" t="s">
        <v>25</v>
      </c>
      <c r="F2436" s="52" t="s">
        <v>26</v>
      </c>
      <c r="G2436" s="53"/>
    </row>
    <row r="2437">
      <c r="A2437" s="49">
        <v>45046.29214024305</v>
      </c>
      <c r="B2437" s="50">
        <v>45046.4171223379</v>
      </c>
      <c r="C2437" s="51">
        <v>1.027</v>
      </c>
      <c r="D2437" s="51">
        <v>63.0</v>
      </c>
      <c r="E2437" s="52" t="s">
        <v>25</v>
      </c>
      <c r="F2437" s="52" t="s">
        <v>26</v>
      </c>
      <c r="G2437" s="53"/>
    </row>
    <row r="2438">
      <c r="A2438" s="49">
        <v>45046.30262944444</v>
      </c>
      <c r="B2438" s="50">
        <v>45046.4276016782</v>
      </c>
      <c r="C2438" s="51">
        <v>1.027</v>
      </c>
      <c r="D2438" s="51">
        <v>64.0</v>
      </c>
      <c r="E2438" s="52" t="s">
        <v>25</v>
      </c>
      <c r="F2438" s="52" t="s">
        <v>26</v>
      </c>
      <c r="G2438" s="53"/>
    </row>
    <row r="2439">
      <c r="A2439" s="49">
        <v>45046.313058263884</v>
      </c>
      <c r="B2439" s="50">
        <v>45046.4380337268</v>
      </c>
      <c r="C2439" s="51">
        <v>1.027</v>
      </c>
      <c r="D2439" s="51">
        <v>64.0</v>
      </c>
      <c r="E2439" s="52" t="s">
        <v>25</v>
      </c>
      <c r="F2439" s="52" t="s">
        <v>26</v>
      </c>
      <c r="G2439" s="53"/>
    </row>
    <row r="2440">
      <c r="A2440" s="49">
        <v>45046.32347989583</v>
      </c>
      <c r="B2440" s="50">
        <v>45046.4484563657</v>
      </c>
      <c r="C2440" s="51">
        <v>1.027</v>
      </c>
      <c r="D2440" s="51">
        <v>64.0</v>
      </c>
      <c r="E2440" s="52" t="s">
        <v>25</v>
      </c>
      <c r="F2440" s="52" t="s">
        <v>26</v>
      </c>
      <c r="G2440" s="53"/>
    </row>
    <row r="2441">
      <c r="A2441" s="49">
        <v>45046.333941516205</v>
      </c>
      <c r="B2441" s="50">
        <v>45046.4589121296</v>
      </c>
      <c r="C2441" s="51">
        <v>1.027</v>
      </c>
      <c r="D2441" s="51">
        <v>64.0</v>
      </c>
      <c r="E2441" s="52" t="s">
        <v>25</v>
      </c>
      <c r="F2441" s="52" t="s">
        <v>26</v>
      </c>
      <c r="G2441" s="53"/>
    </row>
    <row r="2442">
      <c r="A2442" s="49">
        <v>45046.34436458333</v>
      </c>
      <c r="B2442" s="50">
        <v>45046.4693438888</v>
      </c>
      <c r="C2442" s="51">
        <v>1.027</v>
      </c>
      <c r="D2442" s="51">
        <v>63.0</v>
      </c>
      <c r="E2442" s="52" t="s">
        <v>25</v>
      </c>
      <c r="F2442" s="52" t="s">
        <v>26</v>
      </c>
      <c r="G2442" s="53"/>
    </row>
    <row r="2443">
      <c r="A2443" s="49">
        <v>45046.354795057865</v>
      </c>
      <c r="B2443" s="50">
        <v>45046.4797642129</v>
      </c>
      <c r="C2443" s="51">
        <v>1.027</v>
      </c>
      <c r="D2443" s="51">
        <v>64.0</v>
      </c>
      <c r="E2443" s="52" t="s">
        <v>25</v>
      </c>
      <c r="F2443" s="52" t="s">
        <v>26</v>
      </c>
      <c r="G2443" s="53"/>
    </row>
    <row r="2444">
      <c r="A2444" s="49">
        <v>45046.365215115744</v>
      </c>
      <c r="B2444" s="50">
        <v>45046.490185405</v>
      </c>
      <c r="C2444" s="51">
        <v>1.027</v>
      </c>
      <c r="D2444" s="51">
        <v>64.0</v>
      </c>
      <c r="E2444" s="52" t="s">
        <v>25</v>
      </c>
      <c r="F2444" s="52" t="s">
        <v>26</v>
      </c>
      <c r="G2444" s="53"/>
    </row>
    <row r="2445">
      <c r="A2445" s="49">
        <v>45046.37568496528</v>
      </c>
      <c r="B2445" s="50">
        <v>45046.5006642245</v>
      </c>
      <c r="C2445" s="51">
        <v>1.027</v>
      </c>
      <c r="D2445" s="51">
        <v>64.0</v>
      </c>
      <c r="E2445" s="52" t="s">
        <v>25</v>
      </c>
      <c r="F2445" s="52" t="s">
        <v>26</v>
      </c>
      <c r="G2445" s="53"/>
    </row>
    <row r="2446">
      <c r="A2446" s="49">
        <v>45046.38614306713</v>
      </c>
      <c r="B2446" s="50">
        <v>45046.5111093981</v>
      </c>
      <c r="C2446" s="51">
        <v>1.027</v>
      </c>
      <c r="D2446" s="51">
        <v>64.0</v>
      </c>
      <c r="E2446" s="52" t="s">
        <v>25</v>
      </c>
      <c r="F2446" s="52" t="s">
        <v>26</v>
      </c>
      <c r="G2446" s="53"/>
    </row>
    <row r="2447">
      <c r="A2447" s="49">
        <v>45046.39658255787</v>
      </c>
      <c r="B2447" s="50">
        <v>45046.5215556713</v>
      </c>
      <c r="C2447" s="51">
        <v>1.027</v>
      </c>
      <c r="D2447" s="51">
        <v>64.0</v>
      </c>
      <c r="E2447" s="52" t="s">
        <v>25</v>
      </c>
      <c r="F2447" s="52" t="s">
        <v>26</v>
      </c>
      <c r="G2447" s="53"/>
    </row>
    <row r="2448">
      <c r="A2448" s="49">
        <v>45046.40703001157</v>
      </c>
      <c r="B2448" s="50">
        <v>45046.5319987037</v>
      </c>
      <c r="C2448" s="51">
        <v>1.027</v>
      </c>
      <c r="D2448" s="51">
        <v>64.0</v>
      </c>
      <c r="E2448" s="52" t="s">
        <v>25</v>
      </c>
      <c r="F2448" s="52" t="s">
        <v>26</v>
      </c>
      <c r="G2448" s="53"/>
    </row>
    <row r="2449">
      <c r="A2449" s="49">
        <v>45046.41744799769</v>
      </c>
      <c r="B2449" s="50">
        <v>45046.5424215856</v>
      </c>
      <c r="C2449" s="51">
        <v>1.027</v>
      </c>
      <c r="D2449" s="51">
        <v>64.0</v>
      </c>
      <c r="E2449" s="52" t="s">
        <v>25</v>
      </c>
      <c r="F2449" s="52" t="s">
        <v>26</v>
      </c>
      <c r="G2449" s="53"/>
    </row>
    <row r="2450">
      <c r="A2450" s="49">
        <v>45046.44872061342</v>
      </c>
      <c r="B2450" s="50">
        <v>45046.5736976504</v>
      </c>
      <c r="C2450" s="51">
        <v>1.027</v>
      </c>
      <c r="D2450" s="51">
        <v>63.0</v>
      </c>
      <c r="E2450" s="52" t="s">
        <v>25</v>
      </c>
      <c r="F2450" s="52" t="s">
        <v>26</v>
      </c>
      <c r="G2450" s="53"/>
    </row>
    <row r="2451">
      <c r="A2451" s="49">
        <v>45046.45914608796</v>
      </c>
      <c r="B2451" s="50">
        <v>45046.5841198842</v>
      </c>
      <c r="C2451" s="51">
        <v>1.027</v>
      </c>
      <c r="D2451" s="51">
        <v>64.0</v>
      </c>
      <c r="E2451" s="52" t="s">
        <v>25</v>
      </c>
      <c r="F2451" s="52" t="s">
        <v>26</v>
      </c>
      <c r="G2451" s="53"/>
    </row>
    <row r="2452">
      <c r="A2452" s="49">
        <v>45046.46956747685</v>
      </c>
      <c r="B2452" s="50">
        <v>45046.5945425231</v>
      </c>
      <c r="C2452" s="51">
        <v>1.027</v>
      </c>
      <c r="D2452" s="51">
        <v>63.0</v>
      </c>
      <c r="E2452" s="52" t="s">
        <v>25</v>
      </c>
      <c r="F2452" s="52" t="s">
        <v>26</v>
      </c>
      <c r="G2452" s="53"/>
    </row>
    <row r="2453">
      <c r="A2453" s="49">
        <v>45046.47999142361</v>
      </c>
      <c r="B2453" s="50">
        <v>45046.6049633796</v>
      </c>
      <c r="C2453" s="51">
        <v>1.027</v>
      </c>
      <c r="D2453" s="51">
        <v>63.0</v>
      </c>
      <c r="E2453" s="52" t="s">
        <v>25</v>
      </c>
      <c r="F2453" s="52" t="s">
        <v>26</v>
      </c>
      <c r="G2453" s="53"/>
    </row>
    <row r="2454">
      <c r="A2454" s="49">
        <v>45046.49041111111</v>
      </c>
      <c r="B2454" s="50">
        <v>45046.6153857754</v>
      </c>
      <c r="C2454" s="51">
        <v>1.027</v>
      </c>
      <c r="D2454" s="51">
        <v>63.0</v>
      </c>
      <c r="E2454" s="52" t="s">
        <v>25</v>
      </c>
      <c r="F2454" s="52" t="s">
        <v>26</v>
      </c>
      <c r="G2454" s="53"/>
    </row>
    <row r="2455">
      <c r="A2455" s="49">
        <v>45046.50084998843</v>
      </c>
      <c r="B2455" s="50">
        <v>45046.6258184375</v>
      </c>
      <c r="C2455" s="51">
        <v>1.027</v>
      </c>
      <c r="D2455" s="51">
        <v>64.0</v>
      </c>
      <c r="E2455" s="52" t="s">
        <v>25</v>
      </c>
      <c r="F2455" s="52" t="s">
        <v>26</v>
      </c>
      <c r="G2455" s="53"/>
    </row>
    <row r="2456">
      <c r="A2456" s="49">
        <v>45046.51127805556</v>
      </c>
      <c r="B2456" s="50">
        <v>45046.6362501736</v>
      </c>
      <c r="C2456" s="51">
        <v>1.027</v>
      </c>
      <c r="D2456" s="51">
        <v>64.0</v>
      </c>
      <c r="E2456" s="52" t="s">
        <v>25</v>
      </c>
      <c r="F2456" s="52" t="s">
        <v>26</v>
      </c>
      <c r="G2456" s="53"/>
    </row>
    <row r="2457">
      <c r="A2457" s="49">
        <v>45046.5321754051</v>
      </c>
      <c r="B2457" s="50">
        <v>45046.657152118</v>
      </c>
      <c r="C2457" s="51">
        <v>1.027</v>
      </c>
      <c r="D2457" s="51">
        <v>64.0</v>
      </c>
      <c r="E2457" s="52" t="s">
        <v>25</v>
      </c>
      <c r="F2457" s="52" t="s">
        <v>26</v>
      </c>
      <c r="G2457" s="53"/>
    </row>
    <row r="2458">
      <c r="A2458" s="49">
        <v>45046.5426228588</v>
      </c>
      <c r="B2458" s="50">
        <v>45046.667596493</v>
      </c>
      <c r="C2458" s="51">
        <v>1.027</v>
      </c>
      <c r="D2458" s="51">
        <v>64.0</v>
      </c>
      <c r="E2458" s="52" t="s">
        <v>25</v>
      </c>
      <c r="F2458" s="52" t="s">
        <v>26</v>
      </c>
      <c r="G2458" s="53"/>
    </row>
    <row r="2459">
      <c r="A2459" s="49">
        <v>45046.56355831018</v>
      </c>
      <c r="B2459" s="50">
        <v>45046.6885325463</v>
      </c>
      <c r="C2459" s="51">
        <v>1.027</v>
      </c>
      <c r="D2459" s="51">
        <v>64.0</v>
      </c>
      <c r="E2459" s="52" t="s">
        <v>25</v>
      </c>
      <c r="F2459" s="52" t="s">
        <v>26</v>
      </c>
      <c r="G2459" s="53"/>
    </row>
    <row r="2460">
      <c r="A2460" s="49">
        <v>45046.574016388884</v>
      </c>
      <c r="B2460" s="50">
        <v>45046.6989541898</v>
      </c>
      <c r="C2460" s="51">
        <v>1.027</v>
      </c>
      <c r="D2460" s="51">
        <v>64.0</v>
      </c>
      <c r="E2460" s="52" t="s">
        <v>25</v>
      </c>
      <c r="F2460" s="52" t="s">
        <v>26</v>
      </c>
      <c r="G2460" s="53"/>
    </row>
    <row r="2461">
      <c r="A2461" s="49">
        <v>45046.584407372684</v>
      </c>
      <c r="B2461" s="50">
        <v>45046.7093861111</v>
      </c>
      <c r="C2461" s="51">
        <v>1.027</v>
      </c>
      <c r="D2461" s="51">
        <v>63.0</v>
      </c>
      <c r="E2461" s="52" t="s">
        <v>25</v>
      </c>
      <c r="F2461" s="52" t="s">
        <v>26</v>
      </c>
      <c r="G2461" s="53"/>
    </row>
    <row r="2462">
      <c r="A2462" s="49">
        <v>45046.605255</v>
      </c>
      <c r="B2462" s="50">
        <v>45046.7302256018</v>
      </c>
      <c r="C2462" s="51">
        <v>1.027</v>
      </c>
      <c r="D2462" s="51">
        <v>64.0</v>
      </c>
      <c r="E2462" s="52" t="s">
        <v>25</v>
      </c>
      <c r="F2462" s="52" t="s">
        <v>26</v>
      </c>
      <c r="G2462" s="53"/>
    </row>
    <row r="2463">
      <c r="A2463" s="49">
        <v>45046.61572509259</v>
      </c>
      <c r="B2463" s="50">
        <v>45046.7406930208</v>
      </c>
      <c r="C2463" s="51">
        <v>1.027</v>
      </c>
      <c r="D2463" s="51">
        <v>63.0</v>
      </c>
      <c r="E2463" s="52" t="s">
        <v>25</v>
      </c>
      <c r="F2463" s="52" t="s">
        <v>26</v>
      </c>
      <c r="G2463" s="53"/>
    </row>
    <row r="2464">
      <c r="A2464" s="49">
        <v>45046.6261650463</v>
      </c>
      <c r="B2464" s="50">
        <v>45046.7511387962</v>
      </c>
      <c r="C2464" s="51">
        <v>1.027</v>
      </c>
      <c r="D2464" s="51">
        <v>64.0</v>
      </c>
      <c r="E2464" s="52" t="s">
        <v>25</v>
      </c>
      <c r="F2464" s="52" t="s">
        <v>26</v>
      </c>
      <c r="G2464" s="53"/>
    </row>
    <row r="2465">
      <c r="A2465" s="49">
        <v>45046.63659851852</v>
      </c>
      <c r="B2465" s="50">
        <v>45046.7615726157</v>
      </c>
      <c r="C2465" s="51">
        <v>1.027</v>
      </c>
      <c r="D2465" s="51">
        <v>64.0</v>
      </c>
      <c r="E2465" s="52" t="s">
        <v>25</v>
      </c>
      <c r="F2465" s="52" t="s">
        <v>26</v>
      </c>
      <c r="G2465" s="53"/>
    </row>
    <row r="2466">
      <c r="A2466" s="49">
        <v>45046.64702201389</v>
      </c>
      <c r="B2466" s="50">
        <v>45046.7719948032</v>
      </c>
      <c r="C2466" s="51">
        <v>1.027</v>
      </c>
      <c r="D2466" s="51">
        <v>64.0</v>
      </c>
      <c r="E2466" s="52" t="s">
        <v>25</v>
      </c>
      <c r="F2466" s="52" t="s">
        <v>26</v>
      </c>
      <c r="G2466" s="53"/>
    </row>
    <row r="2467">
      <c r="A2467" s="49">
        <v>45046.65746386574</v>
      </c>
      <c r="B2467" s="50">
        <v>45046.7824376388</v>
      </c>
      <c r="C2467" s="51">
        <v>1.027</v>
      </c>
      <c r="D2467" s="51">
        <v>64.0</v>
      </c>
      <c r="E2467" s="52" t="s">
        <v>25</v>
      </c>
      <c r="F2467" s="52" t="s">
        <v>26</v>
      </c>
      <c r="G2467" s="53"/>
    </row>
    <row r="2468">
      <c r="A2468" s="49">
        <v>45046.66791539352</v>
      </c>
      <c r="B2468" s="50">
        <v>45046.7928928356</v>
      </c>
      <c r="C2468" s="51">
        <v>1.027</v>
      </c>
      <c r="D2468" s="51">
        <v>63.0</v>
      </c>
      <c r="E2468" s="52" t="s">
        <v>25</v>
      </c>
      <c r="F2468" s="52" t="s">
        <v>26</v>
      </c>
      <c r="G2468" s="53"/>
    </row>
    <row r="2469">
      <c r="A2469" s="49">
        <v>45046.67833793981</v>
      </c>
      <c r="B2469" s="50">
        <v>45046.8033148611</v>
      </c>
      <c r="C2469" s="51">
        <v>1.027</v>
      </c>
      <c r="D2469" s="51">
        <v>64.0</v>
      </c>
      <c r="E2469" s="52" t="s">
        <v>25</v>
      </c>
      <c r="F2469" s="52" t="s">
        <v>26</v>
      </c>
      <c r="G2469" s="53"/>
    </row>
    <row r="2470">
      <c r="A2470" s="49">
        <v>45046.68880097222</v>
      </c>
      <c r="B2470" s="50">
        <v>45046.8137710879</v>
      </c>
      <c r="C2470" s="51">
        <v>1.027</v>
      </c>
      <c r="D2470" s="51">
        <v>63.0</v>
      </c>
      <c r="E2470" s="52" t="s">
        <v>25</v>
      </c>
      <c r="F2470" s="52" t="s">
        <v>26</v>
      </c>
      <c r="G2470" s="53"/>
    </row>
    <row r="2471">
      <c r="A2471" s="49">
        <v>45046.69922836806</v>
      </c>
      <c r="B2471" s="50">
        <v>45046.8241924537</v>
      </c>
      <c r="C2471" s="51">
        <v>1.027</v>
      </c>
      <c r="D2471" s="51">
        <v>64.0</v>
      </c>
      <c r="E2471" s="52" t="s">
        <v>25</v>
      </c>
      <c r="F2471" s="52" t="s">
        <v>26</v>
      </c>
      <c r="G2471" s="53"/>
    </row>
    <row r="2472">
      <c r="A2472" s="49">
        <v>45046.70964688658</v>
      </c>
      <c r="B2472" s="50">
        <v>45046.8346137152</v>
      </c>
      <c r="C2472" s="51">
        <v>1.027</v>
      </c>
      <c r="D2472" s="51">
        <v>64.0</v>
      </c>
      <c r="E2472" s="52" t="s">
        <v>25</v>
      </c>
      <c r="F2472" s="52" t="s">
        <v>26</v>
      </c>
      <c r="G2472" s="53"/>
    </row>
    <row r="2473">
      <c r="A2473" s="49">
        <v>45046.72005466435</v>
      </c>
      <c r="B2473" s="50">
        <v>45046.8450352546</v>
      </c>
      <c r="C2473" s="51">
        <v>1.027</v>
      </c>
      <c r="D2473" s="51">
        <v>64.0</v>
      </c>
      <c r="E2473" s="52" t="s">
        <v>25</v>
      </c>
      <c r="F2473" s="52" t="s">
        <v>26</v>
      </c>
      <c r="G2473" s="53"/>
    </row>
    <row r="2474">
      <c r="A2474" s="49">
        <v>45046.73048658565</v>
      </c>
      <c r="B2474" s="50">
        <v>45046.855455405</v>
      </c>
      <c r="C2474" s="51">
        <v>1.027</v>
      </c>
      <c r="D2474" s="51">
        <v>63.0</v>
      </c>
      <c r="E2474" s="52" t="s">
        <v>25</v>
      </c>
      <c r="F2474" s="52" t="s">
        <v>26</v>
      </c>
      <c r="G2474" s="53"/>
    </row>
    <row r="2475">
      <c r="A2475" s="49">
        <v>45046.74090396991</v>
      </c>
      <c r="B2475" s="50">
        <v>45046.8658772453</v>
      </c>
      <c r="C2475" s="51">
        <v>1.027</v>
      </c>
      <c r="D2475" s="51">
        <v>64.0</v>
      </c>
      <c r="E2475" s="52" t="s">
        <v>25</v>
      </c>
      <c r="F2475" s="52" t="s">
        <v>26</v>
      </c>
      <c r="G2475" s="53"/>
    </row>
    <row r="2476">
      <c r="A2476" s="49">
        <v>45046.75136214121</v>
      </c>
      <c r="B2476" s="50">
        <v>45046.8763339699</v>
      </c>
      <c r="C2476" s="51">
        <v>1.027</v>
      </c>
      <c r="D2476" s="51">
        <v>64.0</v>
      </c>
      <c r="E2476" s="52" t="s">
        <v>25</v>
      </c>
      <c r="F2476" s="52" t="s">
        <v>26</v>
      </c>
      <c r="G2476" s="53"/>
    </row>
    <row r="2477">
      <c r="A2477" s="49">
        <v>45046.7617841551</v>
      </c>
      <c r="B2477" s="50">
        <v>45046.8867554629</v>
      </c>
      <c r="C2477" s="51">
        <v>1.027</v>
      </c>
      <c r="D2477" s="51">
        <v>64.0</v>
      </c>
      <c r="E2477" s="52" t="s">
        <v>25</v>
      </c>
      <c r="F2477" s="52" t="s">
        <v>26</v>
      </c>
      <c r="G2477" s="53"/>
    </row>
    <row r="2478">
      <c r="A2478" s="49">
        <v>45046.7722016551</v>
      </c>
      <c r="B2478" s="50">
        <v>45046.8971781481</v>
      </c>
      <c r="C2478" s="51">
        <v>1.027</v>
      </c>
      <c r="D2478" s="51">
        <v>64.0</v>
      </c>
      <c r="E2478" s="52" t="s">
        <v>25</v>
      </c>
      <c r="F2478" s="52" t="s">
        <v>26</v>
      </c>
      <c r="G2478" s="53"/>
    </row>
    <row r="2479">
      <c r="A2479" s="49">
        <v>45046.78265318287</v>
      </c>
      <c r="B2479" s="50">
        <v>45046.9076239351</v>
      </c>
      <c r="C2479" s="51">
        <v>1.027</v>
      </c>
      <c r="D2479" s="51">
        <v>64.0</v>
      </c>
      <c r="E2479" s="52" t="s">
        <v>25</v>
      </c>
      <c r="F2479" s="52" t="s">
        <v>26</v>
      </c>
      <c r="G2479" s="53"/>
    </row>
    <row r="2480">
      <c r="A2480" s="49">
        <v>45046.793074270834</v>
      </c>
      <c r="B2480" s="50">
        <v>45046.9180448842</v>
      </c>
      <c r="C2480" s="51">
        <v>1.027</v>
      </c>
      <c r="D2480" s="51">
        <v>64.0</v>
      </c>
      <c r="E2480" s="52" t="s">
        <v>25</v>
      </c>
      <c r="F2480" s="52" t="s">
        <v>26</v>
      </c>
      <c r="G2480" s="53"/>
    </row>
    <row r="2481">
      <c r="A2481" s="49">
        <v>45046.80348554398</v>
      </c>
      <c r="B2481" s="50">
        <v>45046.9284662963</v>
      </c>
      <c r="C2481" s="51">
        <v>1.027</v>
      </c>
      <c r="D2481" s="51">
        <v>64.0</v>
      </c>
      <c r="E2481" s="52" t="s">
        <v>25</v>
      </c>
      <c r="F2481" s="52" t="s">
        <v>26</v>
      </c>
      <c r="G2481" s="53"/>
    </row>
    <row r="2482">
      <c r="A2482" s="49">
        <v>45046.81391913195</v>
      </c>
      <c r="B2482" s="50">
        <v>45046.9388889583</v>
      </c>
      <c r="C2482" s="51">
        <v>1.027</v>
      </c>
      <c r="D2482" s="51">
        <v>64.0</v>
      </c>
      <c r="E2482" s="52" t="s">
        <v>25</v>
      </c>
      <c r="F2482" s="52" t="s">
        <v>26</v>
      </c>
      <c r="G2482" s="53"/>
    </row>
    <row r="2483">
      <c r="A2483" s="49">
        <v>45046.82434071759</v>
      </c>
      <c r="B2483" s="50">
        <v>45046.9493084953</v>
      </c>
      <c r="C2483" s="51">
        <v>1.027</v>
      </c>
      <c r="D2483" s="51">
        <v>64.0</v>
      </c>
      <c r="E2483" s="52" t="s">
        <v>25</v>
      </c>
      <c r="F2483" s="52" t="s">
        <v>26</v>
      </c>
      <c r="G2483" s="53"/>
    </row>
    <row r="2484">
      <c r="A2484" s="49">
        <v>45046.83476320602</v>
      </c>
      <c r="B2484" s="50">
        <v>45046.9597301967</v>
      </c>
      <c r="C2484" s="51">
        <v>1.027</v>
      </c>
      <c r="D2484" s="51">
        <v>64.0</v>
      </c>
      <c r="E2484" s="52" t="s">
        <v>25</v>
      </c>
      <c r="F2484" s="52" t="s">
        <v>26</v>
      </c>
      <c r="G2484" s="53"/>
    </row>
    <row r="2485">
      <c r="A2485" s="49">
        <v>45046.84517105324</v>
      </c>
      <c r="B2485" s="50">
        <v>45046.9701511342</v>
      </c>
      <c r="C2485" s="51">
        <v>1.027</v>
      </c>
      <c r="D2485" s="51">
        <v>64.0</v>
      </c>
      <c r="E2485" s="52" t="s">
        <v>25</v>
      </c>
      <c r="F2485" s="52" t="s">
        <v>26</v>
      </c>
      <c r="G2485" s="53"/>
    </row>
    <row r="2486">
      <c r="A2486" s="49">
        <v>45046.8555991551</v>
      </c>
      <c r="B2486" s="50">
        <v>45046.9805745254</v>
      </c>
      <c r="C2486" s="51">
        <v>1.027</v>
      </c>
      <c r="D2486" s="51">
        <v>64.0</v>
      </c>
      <c r="E2486" s="52" t="s">
        <v>25</v>
      </c>
      <c r="F2486" s="52" t="s">
        <v>26</v>
      </c>
      <c r="G2486" s="53"/>
    </row>
    <row r="2487">
      <c r="A2487" s="49">
        <v>45046.86602486111</v>
      </c>
      <c r="B2487" s="50">
        <v>45046.9909957754</v>
      </c>
      <c r="C2487" s="51">
        <v>1.027</v>
      </c>
      <c r="D2487" s="51">
        <v>63.0</v>
      </c>
      <c r="E2487" s="52" t="s">
        <v>25</v>
      </c>
      <c r="F2487" s="52" t="s">
        <v>26</v>
      </c>
      <c r="G2487" s="53"/>
    </row>
    <row r="2488">
      <c r="A2488" s="49">
        <v>45046.87644440972</v>
      </c>
      <c r="B2488" s="50">
        <v>45047.0014157638</v>
      </c>
      <c r="C2488" s="51">
        <v>1.027</v>
      </c>
      <c r="D2488" s="51">
        <v>64.0</v>
      </c>
      <c r="E2488" s="52" t="s">
        <v>25</v>
      </c>
      <c r="F2488" s="52" t="s">
        <v>26</v>
      </c>
      <c r="G2488" s="53"/>
    </row>
    <row r="2489">
      <c r="A2489" s="49">
        <v>45046.886874398144</v>
      </c>
      <c r="B2489" s="50">
        <v>45047.0118480439</v>
      </c>
      <c r="C2489" s="51">
        <v>1.027</v>
      </c>
      <c r="D2489" s="51">
        <v>64.0</v>
      </c>
      <c r="E2489" s="52" t="s">
        <v>25</v>
      </c>
      <c r="F2489" s="52" t="s">
        <v>26</v>
      </c>
      <c r="G2489" s="53"/>
    </row>
    <row r="2490">
      <c r="A2490" s="49">
        <v>45046.90775829861</v>
      </c>
      <c r="B2490" s="50">
        <v>45047.0327269676</v>
      </c>
      <c r="C2490" s="51">
        <v>1.027</v>
      </c>
      <c r="D2490" s="51">
        <v>64.0</v>
      </c>
      <c r="E2490" s="52" t="s">
        <v>25</v>
      </c>
      <c r="F2490" s="52" t="s">
        <v>26</v>
      </c>
      <c r="G2490" s="53"/>
    </row>
    <row r="2491">
      <c r="A2491" s="49">
        <v>45046.91817134259</v>
      </c>
      <c r="B2491" s="50">
        <v>45047.0431484953</v>
      </c>
      <c r="C2491" s="51">
        <v>1.027</v>
      </c>
      <c r="D2491" s="51">
        <v>64.0</v>
      </c>
      <c r="E2491" s="52" t="s">
        <v>25</v>
      </c>
      <c r="F2491" s="52" t="s">
        <v>26</v>
      </c>
      <c r="G2491" s="53"/>
    </row>
    <row r="2492">
      <c r="A2492" s="49">
        <v>45046.92864918982</v>
      </c>
      <c r="B2492" s="50">
        <v>45047.0536064467</v>
      </c>
      <c r="C2492" s="51">
        <v>1.027</v>
      </c>
      <c r="D2492" s="51">
        <v>64.0</v>
      </c>
      <c r="E2492" s="52" t="s">
        <v>25</v>
      </c>
      <c r="F2492" s="52" t="s">
        <v>26</v>
      </c>
      <c r="G2492" s="53"/>
    </row>
    <row r="2493">
      <c r="A2493" s="49">
        <v>45046.93905732639</v>
      </c>
      <c r="B2493" s="50">
        <v>45047.0640278819</v>
      </c>
      <c r="C2493" s="51">
        <v>1.027</v>
      </c>
      <c r="D2493" s="51">
        <v>64.0</v>
      </c>
      <c r="E2493" s="52" t="s">
        <v>25</v>
      </c>
      <c r="F2493" s="52" t="s">
        <v>26</v>
      </c>
      <c r="G2493" s="53"/>
    </row>
    <row r="2494">
      <c r="A2494" s="49">
        <v>45046.94947487269</v>
      </c>
      <c r="B2494" s="50">
        <v>45047.0744476041</v>
      </c>
      <c r="C2494" s="51">
        <v>1.027</v>
      </c>
      <c r="D2494" s="51">
        <v>64.0</v>
      </c>
      <c r="E2494" s="52" t="s">
        <v>25</v>
      </c>
      <c r="F2494" s="52" t="s">
        <v>26</v>
      </c>
      <c r="G2494" s="53"/>
    </row>
    <row r="2495">
      <c r="A2495" s="49">
        <v>45046.95990622685</v>
      </c>
      <c r="B2495" s="50">
        <v>45047.0848810416</v>
      </c>
      <c r="C2495" s="51">
        <v>1.027</v>
      </c>
      <c r="D2495" s="51">
        <v>64.0</v>
      </c>
      <c r="E2495" s="52" t="s">
        <v>25</v>
      </c>
      <c r="F2495" s="52" t="s">
        <v>26</v>
      </c>
      <c r="G2495" s="53"/>
    </row>
    <row r="2496">
      <c r="A2496" s="49">
        <v>45046.970340625005</v>
      </c>
      <c r="B2496" s="50">
        <v>45047.0953112731</v>
      </c>
      <c r="C2496" s="51">
        <v>1.027</v>
      </c>
      <c r="D2496" s="51">
        <v>64.0</v>
      </c>
      <c r="E2496" s="52" t="s">
        <v>25</v>
      </c>
      <c r="F2496" s="52" t="s">
        <v>26</v>
      </c>
      <c r="G2496" s="53"/>
    </row>
    <row r="2497">
      <c r="A2497" s="49">
        <v>45046.9807571412</v>
      </c>
      <c r="B2497" s="50">
        <v>45047.1057325231</v>
      </c>
      <c r="C2497" s="51">
        <v>1.027</v>
      </c>
      <c r="D2497" s="51">
        <v>64.0</v>
      </c>
      <c r="E2497" s="52" t="s">
        <v>25</v>
      </c>
      <c r="F2497" s="52" t="s">
        <v>26</v>
      </c>
      <c r="G2497" s="53"/>
    </row>
    <row r="2498">
      <c r="A2498" s="49">
        <v>45046.9911900463</v>
      </c>
      <c r="B2498" s="50">
        <v>45047.1161636921</v>
      </c>
      <c r="C2498" s="51">
        <v>1.027</v>
      </c>
      <c r="D2498" s="51">
        <v>64.0</v>
      </c>
      <c r="E2498" s="52" t="s">
        <v>25</v>
      </c>
      <c r="F2498" s="52" t="s">
        <v>26</v>
      </c>
      <c r="G2498" s="53"/>
    </row>
    <row r="2499">
      <c r="A2499" s="49">
        <v>45047.01204019676</v>
      </c>
      <c r="B2499" s="50">
        <v>45047.137018449</v>
      </c>
      <c r="C2499" s="51">
        <v>1.027</v>
      </c>
      <c r="D2499" s="51">
        <v>64.0</v>
      </c>
      <c r="E2499" s="52" t="s">
        <v>25</v>
      </c>
      <c r="F2499" s="52" t="s">
        <v>26</v>
      </c>
      <c r="G2499" s="53"/>
    </row>
    <row r="2500">
      <c r="A2500" s="49">
        <v>45047.02246613426</v>
      </c>
      <c r="B2500" s="50">
        <v>45047.1474386226</v>
      </c>
      <c r="C2500" s="51">
        <v>1.027</v>
      </c>
      <c r="D2500" s="51">
        <v>64.0</v>
      </c>
      <c r="E2500" s="52" t="s">
        <v>25</v>
      </c>
      <c r="F2500" s="52" t="s">
        <v>26</v>
      </c>
      <c r="G2500" s="53"/>
    </row>
    <row r="2501">
      <c r="A2501" s="49">
        <v>45047.032892118055</v>
      </c>
      <c r="B2501" s="50">
        <v>45047.1578587152</v>
      </c>
      <c r="C2501" s="51">
        <v>1.026</v>
      </c>
      <c r="D2501" s="51">
        <v>64.0</v>
      </c>
      <c r="E2501" s="52" t="s">
        <v>25</v>
      </c>
      <c r="F2501" s="52" t="s">
        <v>26</v>
      </c>
      <c r="G2501" s="53"/>
    </row>
    <row r="2502">
      <c r="A2502" s="49">
        <v>45047.04331652778</v>
      </c>
      <c r="B2502" s="50">
        <v>45047.168292199</v>
      </c>
      <c r="C2502" s="51">
        <v>1.026</v>
      </c>
      <c r="D2502" s="51">
        <v>64.0</v>
      </c>
      <c r="E2502" s="52" t="s">
        <v>25</v>
      </c>
      <c r="F2502" s="52" t="s">
        <v>26</v>
      </c>
      <c r="G2502" s="53"/>
    </row>
    <row r="2503">
      <c r="A2503" s="49">
        <v>45047.053763055555</v>
      </c>
      <c r="B2503" s="50">
        <v>45047.1787340277</v>
      </c>
      <c r="C2503" s="51">
        <v>1.027</v>
      </c>
      <c r="D2503" s="51">
        <v>64.0</v>
      </c>
      <c r="E2503" s="52" t="s">
        <v>25</v>
      </c>
      <c r="F2503" s="52" t="s">
        <v>26</v>
      </c>
      <c r="G2503" s="53"/>
    </row>
    <row r="2504">
      <c r="A2504" s="49">
        <v>45047.064182581016</v>
      </c>
      <c r="B2504" s="50">
        <v>45047.1891555092</v>
      </c>
      <c r="C2504" s="51">
        <v>1.026</v>
      </c>
      <c r="D2504" s="51">
        <v>64.0</v>
      </c>
      <c r="E2504" s="52" t="s">
        <v>25</v>
      </c>
      <c r="F2504" s="52" t="s">
        <v>26</v>
      </c>
      <c r="G2504" s="53"/>
    </row>
    <row r="2505">
      <c r="A2505" s="49">
        <v>45047.07462896991</v>
      </c>
      <c r="B2505" s="50">
        <v>45047.1996002546</v>
      </c>
      <c r="C2505" s="51">
        <v>1.027</v>
      </c>
      <c r="D2505" s="51">
        <v>64.0</v>
      </c>
      <c r="E2505" s="52" t="s">
        <v>25</v>
      </c>
      <c r="F2505" s="52" t="s">
        <v>26</v>
      </c>
      <c r="G2505" s="53"/>
    </row>
    <row r="2506">
      <c r="A2506" s="49">
        <v>45047.08509335648</v>
      </c>
      <c r="B2506" s="50">
        <v>45047.2100689004</v>
      </c>
      <c r="C2506" s="51">
        <v>1.027</v>
      </c>
      <c r="D2506" s="51">
        <v>64.0</v>
      </c>
      <c r="E2506" s="52" t="s">
        <v>25</v>
      </c>
      <c r="F2506" s="52" t="s">
        <v>26</v>
      </c>
      <c r="G2506" s="53"/>
    </row>
    <row r="2507">
      <c r="A2507" s="49">
        <v>45047.095535810186</v>
      </c>
      <c r="B2507" s="50">
        <v>45047.2205136342</v>
      </c>
      <c r="C2507" s="51">
        <v>1.027</v>
      </c>
      <c r="D2507" s="51">
        <v>64.0</v>
      </c>
      <c r="E2507" s="52" t="s">
        <v>25</v>
      </c>
      <c r="F2507" s="52" t="s">
        <v>26</v>
      </c>
      <c r="G2507" s="53"/>
    </row>
    <row r="2508">
      <c r="A2508" s="49">
        <v>45047.105969502314</v>
      </c>
      <c r="B2508" s="50">
        <v>45047.2309335416</v>
      </c>
      <c r="C2508" s="51">
        <v>1.027</v>
      </c>
      <c r="D2508" s="51">
        <v>64.0</v>
      </c>
      <c r="E2508" s="52" t="s">
        <v>25</v>
      </c>
      <c r="F2508" s="52" t="s">
        <v>26</v>
      </c>
      <c r="G2508" s="53"/>
    </row>
    <row r="2509">
      <c r="A2509" s="49">
        <v>45047.116384594905</v>
      </c>
      <c r="B2509" s="50">
        <v>45047.2413543287</v>
      </c>
      <c r="C2509" s="51">
        <v>1.026</v>
      </c>
      <c r="D2509" s="51">
        <v>64.0</v>
      </c>
      <c r="E2509" s="52" t="s">
        <v>25</v>
      </c>
      <c r="F2509" s="52" t="s">
        <v>26</v>
      </c>
      <c r="G2509" s="53"/>
    </row>
    <row r="2510">
      <c r="A2510" s="49">
        <v>45047.12680246528</v>
      </c>
      <c r="B2510" s="50">
        <v>45047.2517748726</v>
      </c>
      <c r="C2510" s="51">
        <v>1.026</v>
      </c>
      <c r="D2510" s="51">
        <v>64.0</v>
      </c>
      <c r="E2510" s="52" t="s">
        <v>25</v>
      </c>
      <c r="F2510" s="52" t="s">
        <v>26</v>
      </c>
      <c r="G2510" s="53"/>
    </row>
    <row r="2511">
      <c r="A2511" s="49">
        <v>45047.13723677083</v>
      </c>
      <c r="B2511" s="50">
        <v>45047.2622074652</v>
      </c>
      <c r="C2511" s="51">
        <v>1.026</v>
      </c>
      <c r="D2511" s="51">
        <v>64.0</v>
      </c>
      <c r="E2511" s="52" t="s">
        <v>25</v>
      </c>
      <c r="F2511" s="52" t="s">
        <v>26</v>
      </c>
      <c r="G2511" s="53"/>
    </row>
    <row r="2512">
      <c r="A2512" s="49">
        <v>45047.147681574075</v>
      </c>
      <c r="B2512" s="50">
        <v>45047.2726529513</v>
      </c>
      <c r="C2512" s="51">
        <v>1.026</v>
      </c>
      <c r="D2512" s="51">
        <v>64.0</v>
      </c>
      <c r="E2512" s="52" t="s">
        <v>25</v>
      </c>
      <c r="F2512" s="52" t="s">
        <v>26</v>
      </c>
      <c r="G2512" s="53"/>
    </row>
    <row r="2513">
      <c r="A2513" s="49">
        <v>45047.15814774306</v>
      </c>
      <c r="B2513" s="50">
        <v>45047.2831201851</v>
      </c>
      <c r="C2513" s="51">
        <v>1.026</v>
      </c>
      <c r="D2513" s="51">
        <v>64.0</v>
      </c>
      <c r="E2513" s="52" t="s">
        <v>25</v>
      </c>
      <c r="F2513" s="52" t="s">
        <v>26</v>
      </c>
      <c r="G2513" s="53"/>
    </row>
    <row r="2514">
      <c r="A2514" s="49">
        <v>45047.16859748843</v>
      </c>
      <c r="B2514" s="50">
        <v>45047.2935642939</v>
      </c>
      <c r="C2514" s="51">
        <v>1.026</v>
      </c>
      <c r="D2514" s="51">
        <v>64.0</v>
      </c>
      <c r="E2514" s="52" t="s">
        <v>25</v>
      </c>
      <c r="F2514" s="52" t="s">
        <v>26</v>
      </c>
      <c r="G2514" s="53"/>
    </row>
    <row r="2515">
      <c r="A2515" s="49">
        <v>45047.17906988426</v>
      </c>
      <c r="B2515" s="50">
        <v>45047.3039851041</v>
      </c>
      <c r="C2515" s="51">
        <v>1.026</v>
      </c>
      <c r="D2515" s="51">
        <v>64.0</v>
      </c>
      <c r="E2515" s="52" t="s">
        <v>25</v>
      </c>
      <c r="F2515" s="52" t="s">
        <v>26</v>
      </c>
      <c r="G2515" s="53"/>
    </row>
    <row r="2516">
      <c r="A2516" s="49">
        <v>45047.18942834491</v>
      </c>
      <c r="B2516" s="50">
        <v>45047.3144074421</v>
      </c>
      <c r="C2516" s="51">
        <v>1.026</v>
      </c>
      <c r="D2516" s="51">
        <v>64.0</v>
      </c>
      <c r="E2516" s="52" t="s">
        <v>25</v>
      </c>
      <c r="F2516" s="52" t="s">
        <v>26</v>
      </c>
      <c r="G2516" s="53"/>
    </row>
    <row r="2517">
      <c r="A2517" s="49">
        <v>45047.1998566088</v>
      </c>
      <c r="B2517" s="50">
        <v>45047.3248300115</v>
      </c>
      <c r="C2517" s="51">
        <v>1.026</v>
      </c>
      <c r="D2517" s="51">
        <v>64.0</v>
      </c>
      <c r="E2517" s="52" t="s">
        <v>25</v>
      </c>
      <c r="F2517" s="52" t="s">
        <v>26</v>
      </c>
      <c r="G2517" s="53"/>
    </row>
    <row r="2518">
      <c r="A2518" s="49">
        <v>45047.21029019676</v>
      </c>
      <c r="B2518" s="50">
        <v>45047.3352627777</v>
      </c>
      <c r="C2518" s="51">
        <v>1.026</v>
      </c>
      <c r="D2518" s="51">
        <v>64.0</v>
      </c>
      <c r="E2518" s="52" t="s">
        <v>25</v>
      </c>
      <c r="F2518" s="52" t="s">
        <v>26</v>
      </c>
      <c r="G2518" s="53"/>
    </row>
    <row r="2519">
      <c r="A2519" s="49">
        <v>45047.22070803241</v>
      </c>
      <c r="B2519" s="50">
        <v>45047.345683368</v>
      </c>
      <c r="C2519" s="51">
        <v>1.026</v>
      </c>
      <c r="D2519" s="51">
        <v>64.0</v>
      </c>
      <c r="E2519" s="52" t="s">
        <v>25</v>
      </c>
      <c r="F2519" s="52" t="s">
        <v>26</v>
      </c>
      <c r="G2519" s="53"/>
    </row>
    <row r="2520">
      <c r="A2520" s="49">
        <v>45047.241564247684</v>
      </c>
      <c r="B2520" s="50">
        <v>45047.3665374768</v>
      </c>
      <c r="C2520" s="51">
        <v>1.026</v>
      </c>
      <c r="D2520" s="51">
        <v>64.0</v>
      </c>
      <c r="E2520" s="52" t="s">
        <v>25</v>
      </c>
      <c r="F2520" s="52" t="s">
        <v>26</v>
      </c>
      <c r="G2520" s="53"/>
    </row>
    <row r="2521">
      <c r="A2521" s="49">
        <v>45047.25198944444</v>
      </c>
      <c r="B2521" s="50">
        <v>45047.3769586805</v>
      </c>
      <c r="C2521" s="51">
        <v>1.026</v>
      </c>
      <c r="D2521" s="51">
        <v>64.0</v>
      </c>
      <c r="E2521" s="52" t="s">
        <v>25</v>
      </c>
      <c r="F2521" s="52" t="s">
        <v>26</v>
      </c>
      <c r="G2521" s="53"/>
    </row>
    <row r="2522">
      <c r="A2522" s="49">
        <v>45047.26240273148</v>
      </c>
      <c r="B2522" s="50">
        <v>45047.3873808449</v>
      </c>
      <c r="C2522" s="51">
        <v>1.026</v>
      </c>
      <c r="D2522" s="51">
        <v>64.0</v>
      </c>
      <c r="E2522" s="52" t="s">
        <v>25</v>
      </c>
      <c r="F2522" s="52" t="s">
        <v>26</v>
      </c>
      <c r="G2522" s="53"/>
    </row>
    <row r="2523">
      <c r="A2523" s="49">
        <v>45047.27283162037</v>
      </c>
      <c r="B2523" s="50">
        <v>45047.3978012152</v>
      </c>
      <c r="C2523" s="51">
        <v>1.026</v>
      </c>
      <c r="D2523" s="51">
        <v>64.0</v>
      </c>
      <c r="E2523" s="52" t="s">
        <v>25</v>
      </c>
      <c r="F2523" s="52" t="s">
        <v>26</v>
      </c>
      <c r="G2523" s="53"/>
    </row>
    <row r="2524">
      <c r="A2524" s="49">
        <v>45047.28324159722</v>
      </c>
      <c r="B2524" s="50">
        <v>45047.4082216898</v>
      </c>
      <c r="C2524" s="51">
        <v>1.026</v>
      </c>
      <c r="D2524" s="51">
        <v>64.0</v>
      </c>
      <c r="E2524" s="52" t="s">
        <v>25</v>
      </c>
      <c r="F2524" s="52" t="s">
        <v>26</v>
      </c>
      <c r="G2524" s="53"/>
    </row>
    <row r="2525">
      <c r="A2525" s="49">
        <v>45047.29370248843</v>
      </c>
      <c r="B2525" s="50">
        <v>45047.4186662847</v>
      </c>
      <c r="C2525" s="51">
        <v>1.026</v>
      </c>
      <c r="D2525" s="51">
        <v>64.0</v>
      </c>
      <c r="E2525" s="52" t="s">
        <v>25</v>
      </c>
      <c r="F2525" s="52" t="s">
        <v>26</v>
      </c>
      <c r="G2525" s="53"/>
    </row>
    <row r="2526">
      <c r="A2526" s="49">
        <v>45047.30413780092</v>
      </c>
      <c r="B2526" s="50">
        <v>45047.429087824</v>
      </c>
      <c r="C2526" s="51">
        <v>1.026</v>
      </c>
      <c r="D2526" s="51">
        <v>64.0</v>
      </c>
      <c r="E2526" s="52" t="s">
        <v>25</v>
      </c>
      <c r="F2526" s="52" t="s">
        <v>26</v>
      </c>
      <c r="G2526" s="53"/>
    </row>
    <row r="2527">
      <c r="A2527" s="49">
        <v>45047.31455689815</v>
      </c>
      <c r="B2527" s="50">
        <v>45047.4395214699</v>
      </c>
      <c r="C2527" s="51">
        <v>1.026</v>
      </c>
      <c r="D2527" s="51">
        <v>64.0</v>
      </c>
      <c r="E2527" s="52" t="s">
        <v>25</v>
      </c>
      <c r="F2527" s="52" t="s">
        <v>26</v>
      </c>
      <c r="G2527" s="53"/>
    </row>
    <row r="2528">
      <c r="A2528" s="49">
        <v>45047.32498097222</v>
      </c>
      <c r="B2528" s="50">
        <v>45047.4499432407</v>
      </c>
      <c r="C2528" s="51">
        <v>1.026</v>
      </c>
      <c r="D2528" s="51">
        <v>63.0</v>
      </c>
      <c r="E2528" s="52" t="s">
        <v>25</v>
      </c>
      <c r="F2528" s="52" t="s">
        <v>26</v>
      </c>
      <c r="G2528" s="53"/>
    </row>
    <row r="2529">
      <c r="A2529" s="49">
        <v>45047.3354342824</v>
      </c>
      <c r="B2529" s="50">
        <v>45047.4603649074</v>
      </c>
      <c r="C2529" s="51">
        <v>1.026</v>
      </c>
      <c r="D2529" s="51">
        <v>64.0</v>
      </c>
      <c r="E2529" s="52" t="s">
        <v>25</v>
      </c>
      <c r="F2529" s="52" t="s">
        <v>26</v>
      </c>
      <c r="G2529" s="53"/>
    </row>
    <row r="2530">
      <c r="A2530" s="49">
        <v>45047.34582101852</v>
      </c>
      <c r="B2530" s="50">
        <v>45047.4707868171</v>
      </c>
      <c r="C2530" s="51">
        <v>1.026</v>
      </c>
      <c r="D2530" s="51">
        <v>64.0</v>
      </c>
      <c r="E2530" s="52" t="s">
        <v>25</v>
      </c>
      <c r="F2530" s="52" t="s">
        <v>26</v>
      </c>
      <c r="G2530" s="53"/>
    </row>
    <row r="2531">
      <c r="A2531" s="49">
        <v>45047.35623327547</v>
      </c>
      <c r="B2531" s="50">
        <v>45047.4812087152</v>
      </c>
      <c r="C2531" s="51">
        <v>1.026</v>
      </c>
      <c r="D2531" s="51">
        <v>64.0</v>
      </c>
      <c r="E2531" s="52" t="s">
        <v>25</v>
      </c>
      <c r="F2531" s="52" t="s">
        <v>26</v>
      </c>
      <c r="G2531" s="53"/>
    </row>
    <row r="2532">
      <c r="A2532" s="49">
        <v>45047.366654467594</v>
      </c>
      <c r="B2532" s="50">
        <v>45047.4916298726</v>
      </c>
      <c r="C2532" s="51">
        <v>1.026</v>
      </c>
      <c r="D2532" s="51">
        <v>63.0</v>
      </c>
      <c r="E2532" s="52" t="s">
        <v>25</v>
      </c>
      <c r="F2532" s="52" t="s">
        <v>26</v>
      </c>
      <c r="G2532" s="53"/>
    </row>
    <row r="2533">
      <c r="A2533" s="49">
        <v>45047.37708309028</v>
      </c>
      <c r="B2533" s="50">
        <v>45047.5020626851</v>
      </c>
      <c r="C2533" s="51">
        <v>1.026</v>
      </c>
      <c r="D2533" s="51">
        <v>64.0</v>
      </c>
      <c r="E2533" s="52" t="s">
        <v>25</v>
      </c>
      <c r="F2533" s="52" t="s">
        <v>26</v>
      </c>
      <c r="G2533" s="53"/>
    </row>
    <row r="2534">
      <c r="A2534" s="49">
        <v>45047.38751431713</v>
      </c>
      <c r="B2534" s="50">
        <v>45047.5124839004</v>
      </c>
      <c r="C2534" s="51">
        <v>1.026</v>
      </c>
      <c r="D2534" s="51">
        <v>64.0</v>
      </c>
      <c r="E2534" s="52" t="s">
        <v>25</v>
      </c>
      <c r="F2534" s="52" t="s">
        <v>26</v>
      </c>
      <c r="G2534" s="53"/>
    </row>
    <row r="2535">
      <c r="A2535" s="49">
        <v>45047.397948020836</v>
      </c>
      <c r="B2535" s="50">
        <v>45047.5229167014</v>
      </c>
      <c r="C2535" s="51">
        <v>1.026</v>
      </c>
      <c r="D2535" s="51">
        <v>64.0</v>
      </c>
      <c r="E2535" s="52" t="s">
        <v>25</v>
      </c>
      <c r="F2535" s="52" t="s">
        <v>26</v>
      </c>
      <c r="G2535" s="53"/>
    </row>
    <row r="2536">
      <c r="A2536" s="49">
        <v>45047.408386944444</v>
      </c>
      <c r="B2536" s="50">
        <v>45047.5333610532</v>
      </c>
      <c r="C2536" s="51">
        <v>1.026</v>
      </c>
      <c r="D2536" s="51">
        <v>64.0</v>
      </c>
      <c r="E2536" s="52" t="s">
        <v>25</v>
      </c>
      <c r="F2536" s="52" t="s">
        <v>26</v>
      </c>
      <c r="G2536" s="53"/>
    </row>
    <row r="2537">
      <c r="A2537" s="49">
        <v>45047.41880313658</v>
      </c>
      <c r="B2537" s="50">
        <v>45047.5437813194</v>
      </c>
      <c r="C2537" s="51">
        <v>1.026</v>
      </c>
      <c r="D2537" s="51">
        <v>63.0</v>
      </c>
      <c r="E2537" s="52" t="s">
        <v>25</v>
      </c>
      <c r="F2537" s="52" t="s">
        <v>26</v>
      </c>
      <c r="G2537" s="53"/>
    </row>
    <row r="2538">
      <c r="A2538" s="49">
        <v>45047.42921994213</v>
      </c>
      <c r="B2538" s="50">
        <v>45047.5542007175</v>
      </c>
      <c r="C2538" s="51">
        <v>1.026</v>
      </c>
      <c r="D2538" s="51">
        <v>64.0</v>
      </c>
      <c r="E2538" s="52" t="s">
        <v>25</v>
      </c>
      <c r="F2538" s="52" t="s">
        <v>26</v>
      </c>
      <c r="G2538" s="53"/>
    </row>
    <row r="2539">
      <c r="A2539" s="49">
        <v>45047.43965118055</v>
      </c>
      <c r="B2539" s="50">
        <v>45047.5646232176</v>
      </c>
      <c r="C2539" s="51">
        <v>1.026</v>
      </c>
      <c r="D2539" s="51">
        <v>64.0</v>
      </c>
      <c r="E2539" s="52" t="s">
        <v>25</v>
      </c>
      <c r="F2539" s="52" t="s">
        <v>26</v>
      </c>
      <c r="G2539" s="53"/>
    </row>
    <row r="2540">
      <c r="A2540" s="49">
        <v>45047.45007039352</v>
      </c>
      <c r="B2540" s="50">
        <v>45047.575043993</v>
      </c>
      <c r="C2540" s="51">
        <v>1.026</v>
      </c>
      <c r="D2540" s="51">
        <v>64.0</v>
      </c>
      <c r="E2540" s="52" t="s">
        <v>25</v>
      </c>
      <c r="F2540" s="52" t="s">
        <v>26</v>
      </c>
      <c r="G2540" s="53"/>
    </row>
    <row r="2541">
      <c r="A2541" s="49">
        <v>45047.4605340625</v>
      </c>
      <c r="B2541" s="50">
        <v>45047.5854652546</v>
      </c>
      <c r="C2541" s="51">
        <v>1.026</v>
      </c>
      <c r="D2541" s="51">
        <v>64.0</v>
      </c>
      <c r="E2541" s="52" t="s">
        <v>25</v>
      </c>
      <c r="F2541" s="52" t="s">
        <v>26</v>
      </c>
      <c r="G2541" s="53"/>
    </row>
    <row r="2542">
      <c r="A2542" s="49">
        <v>45047.47091130787</v>
      </c>
      <c r="B2542" s="50">
        <v>45047.5958879976</v>
      </c>
      <c r="C2542" s="51">
        <v>1.026</v>
      </c>
      <c r="D2542" s="51">
        <v>64.0</v>
      </c>
      <c r="E2542" s="52" t="s">
        <v>25</v>
      </c>
      <c r="F2542" s="52" t="s">
        <v>26</v>
      </c>
      <c r="G2542" s="53"/>
    </row>
    <row r="2543">
      <c r="A2543" s="49">
        <v>45047.481363495375</v>
      </c>
      <c r="B2543" s="50">
        <v>45047.6063347916</v>
      </c>
      <c r="C2543" s="51">
        <v>1.026</v>
      </c>
      <c r="D2543" s="51">
        <v>64.0</v>
      </c>
      <c r="E2543" s="52" t="s">
        <v>25</v>
      </c>
      <c r="F2543" s="52" t="s">
        <v>26</v>
      </c>
      <c r="G2543" s="53"/>
    </row>
    <row r="2544">
      <c r="A2544" s="49">
        <v>45047.491787858795</v>
      </c>
      <c r="B2544" s="50">
        <v>45047.6167576157</v>
      </c>
      <c r="C2544" s="51">
        <v>1.026</v>
      </c>
      <c r="D2544" s="51">
        <v>63.0</v>
      </c>
      <c r="E2544" s="52" t="s">
        <v>25</v>
      </c>
      <c r="F2544" s="52" t="s">
        <v>26</v>
      </c>
      <c r="G2544" s="53"/>
    </row>
    <row r="2545">
      <c r="A2545" s="49">
        <v>45047.50222241898</v>
      </c>
      <c r="B2545" s="50">
        <v>45047.6271914351</v>
      </c>
      <c r="C2545" s="51">
        <v>1.026</v>
      </c>
      <c r="D2545" s="51">
        <v>64.0</v>
      </c>
      <c r="E2545" s="52" t="s">
        <v>25</v>
      </c>
      <c r="F2545" s="52" t="s">
        <v>26</v>
      </c>
      <c r="G2545" s="53"/>
    </row>
    <row r="2546">
      <c r="A2546" s="49">
        <v>45047.51263961806</v>
      </c>
      <c r="B2546" s="50">
        <v>45047.6376148379</v>
      </c>
      <c r="C2546" s="51">
        <v>1.026</v>
      </c>
      <c r="D2546" s="51">
        <v>63.0</v>
      </c>
      <c r="E2546" s="52" t="s">
        <v>25</v>
      </c>
      <c r="F2546" s="52" t="s">
        <v>26</v>
      </c>
      <c r="G2546" s="53"/>
    </row>
    <row r="2547">
      <c r="A2547" s="49">
        <v>45047.523060555555</v>
      </c>
      <c r="B2547" s="50">
        <v>45047.6480356134</v>
      </c>
      <c r="C2547" s="51">
        <v>1.026</v>
      </c>
      <c r="D2547" s="51">
        <v>64.0</v>
      </c>
      <c r="E2547" s="52" t="s">
        <v>25</v>
      </c>
      <c r="F2547" s="52" t="s">
        <v>26</v>
      </c>
      <c r="G2547" s="53"/>
    </row>
    <row r="2548">
      <c r="A2548" s="49">
        <v>45047.53350236111</v>
      </c>
      <c r="B2548" s="50">
        <v>45047.658469375</v>
      </c>
      <c r="C2548" s="51">
        <v>1.026</v>
      </c>
      <c r="D2548" s="51">
        <v>64.0</v>
      </c>
      <c r="E2548" s="52" t="s">
        <v>25</v>
      </c>
      <c r="F2548" s="52" t="s">
        <v>26</v>
      </c>
      <c r="G2548" s="53"/>
    </row>
    <row r="2549">
      <c r="A2549" s="49">
        <v>45047.543912905094</v>
      </c>
      <c r="B2549" s="50">
        <v>45047.668890706</v>
      </c>
      <c r="C2549" s="51">
        <v>1.026</v>
      </c>
      <c r="D2549" s="51">
        <v>64.0</v>
      </c>
      <c r="E2549" s="52" t="s">
        <v>25</v>
      </c>
      <c r="F2549" s="52" t="s">
        <v>26</v>
      </c>
      <c r="G2549" s="53"/>
    </row>
    <row r="2550">
      <c r="A2550" s="49">
        <v>45047.55437880787</v>
      </c>
      <c r="B2550" s="50">
        <v>45047.6793581365</v>
      </c>
      <c r="C2550" s="51">
        <v>1.026</v>
      </c>
      <c r="D2550" s="51">
        <v>63.0</v>
      </c>
      <c r="E2550" s="52" t="s">
        <v>25</v>
      </c>
      <c r="F2550" s="52" t="s">
        <v>26</v>
      </c>
      <c r="G2550" s="53"/>
    </row>
    <row r="2551">
      <c r="A2551" s="49">
        <v>45047.56483931713</v>
      </c>
      <c r="B2551" s="50">
        <v>45047.6897783217</v>
      </c>
      <c r="C2551" s="51">
        <v>1.026</v>
      </c>
      <c r="D2551" s="51">
        <v>63.0</v>
      </c>
      <c r="E2551" s="52" t="s">
        <v>25</v>
      </c>
      <c r="F2551" s="52" t="s">
        <v>26</v>
      </c>
      <c r="G2551" s="53"/>
    </row>
    <row r="2552">
      <c r="A2552" s="49">
        <v>45047.57522532408</v>
      </c>
      <c r="B2552" s="50">
        <v>45047.7001988078</v>
      </c>
      <c r="C2552" s="51">
        <v>1.026</v>
      </c>
      <c r="D2552" s="51">
        <v>64.0</v>
      </c>
      <c r="E2552" s="52" t="s">
        <v>25</v>
      </c>
      <c r="F2552" s="52" t="s">
        <v>26</v>
      </c>
      <c r="G2552" s="53"/>
    </row>
    <row r="2553">
      <c r="A2553" s="49">
        <v>45047.58564585648</v>
      </c>
      <c r="B2553" s="50">
        <v>45047.7106210069</v>
      </c>
      <c r="C2553" s="51">
        <v>1.026</v>
      </c>
      <c r="D2553" s="51">
        <v>63.0</v>
      </c>
      <c r="E2553" s="52" t="s">
        <v>25</v>
      </c>
      <c r="F2553" s="52" t="s">
        <v>26</v>
      </c>
      <c r="G2553" s="53"/>
    </row>
    <row r="2554">
      <c r="A2554" s="49">
        <v>45047.59606524305</v>
      </c>
      <c r="B2554" s="50">
        <v>45047.7210434143</v>
      </c>
      <c r="C2554" s="51">
        <v>1.026</v>
      </c>
      <c r="D2554" s="51">
        <v>63.0</v>
      </c>
      <c r="E2554" s="52" t="s">
        <v>25</v>
      </c>
      <c r="F2554" s="52" t="s">
        <v>26</v>
      </c>
      <c r="G2554" s="53"/>
    </row>
    <row r="2555">
      <c r="A2555" s="49">
        <v>45047.60650739583</v>
      </c>
      <c r="B2555" s="50">
        <v>45047.7314886689</v>
      </c>
      <c r="C2555" s="51">
        <v>1.026</v>
      </c>
      <c r="D2555" s="51">
        <v>64.0</v>
      </c>
      <c r="E2555" s="52" t="s">
        <v>25</v>
      </c>
      <c r="F2555" s="52" t="s">
        <v>26</v>
      </c>
      <c r="G2555" s="53"/>
    </row>
    <row r="2556">
      <c r="A2556" s="49">
        <v>45047.61693010417</v>
      </c>
      <c r="B2556" s="50">
        <v>45047.7419090277</v>
      </c>
      <c r="C2556" s="51">
        <v>1.026</v>
      </c>
      <c r="D2556" s="51">
        <v>63.0</v>
      </c>
      <c r="E2556" s="52" t="s">
        <v>25</v>
      </c>
      <c r="F2556" s="52" t="s">
        <v>26</v>
      </c>
      <c r="G2556" s="53"/>
    </row>
    <row r="2557">
      <c r="A2557" s="49">
        <v>45047.6273540625</v>
      </c>
      <c r="B2557" s="50">
        <v>45047.752330324</v>
      </c>
      <c r="C2557" s="51">
        <v>1.026</v>
      </c>
      <c r="D2557" s="51">
        <v>63.0</v>
      </c>
      <c r="E2557" s="52" t="s">
        <v>25</v>
      </c>
      <c r="F2557" s="52" t="s">
        <v>26</v>
      </c>
      <c r="G2557" s="53"/>
    </row>
    <row r="2558">
      <c r="A2558" s="49">
        <v>45047.63778295139</v>
      </c>
      <c r="B2558" s="50">
        <v>45047.7627539351</v>
      </c>
      <c r="C2558" s="51">
        <v>1.026</v>
      </c>
      <c r="D2558" s="51">
        <v>63.0</v>
      </c>
      <c r="E2558" s="52" t="s">
        <v>25</v>
      </c>
      <c r="F2558" s="52" t="s">
        <v>26</v>
      </c>
      <c r="G2558" s="53"/>
    </row>
    <row r="2559">
      <c r="A2559" s="49">
        <v>45047.64819925926</v>
      </c>
      <c r="B2559" s="50">
        <v>45047.7731749652</v>
      </c>
      <c r="C2559" s="51">
        <v>1.026</v>
      </c>
      <c r="D2559" s="51">
        <v>64.0</v>
      </c>
      <c r="E2559" s="52" t="s">
        <v>25</v>
      </c>
      <c r="F2559" s="52" t="s">
        <v>26</v>
      </c>
      <c r="G2559" s="53"/>
    </row>
    <row r="2560">
      <c r="A2560" s="49">
        <v>45047.65861658565</v>
      </c>
      <c r="B2560" s="50">
        <v>45047.7835953472</v>
      </c>
      <c r="C2560" s="51">
        <v>1.026</v>
      </c>
      <c r="D2560" s="51">
        <v>63.0</v>
      </c>
      <c r="E2560" s="52" t="s">
        <v>25</v>
      </c>
      <c r="F2560" s="52" t="s">
        <v>26</v>
      </c>
      <c r="G2560" s="53"/>
    </row>
    <row r="2561">
      <c r="A2561" s="49">
        <v>45047.669046932875</v>
      </c>
      <c r="B2561" s="50">
        <v>45047.794017581</v>
      </c>
      <c r="C2561" s="51">
        <v>1.026</v>
      </c>
      <c r="D2561" s="51">
        <v>63.0</v>
      </c>
      <c r="E2561" s="52" t="s">
        <v>25</v>
      </c>
      <c r="F2561" s="52" t="s">
        <v>26</v>
      </c>
      <c r="G2561" s="53"/>
    </row>
    <row r="2562">
      <c r="A2562" s="49">
        <v>45047.679502430554</v>
      </c>
      <c r="B2562" s="50">
        <v>45047.804470868</v>
      </c>
      <c r="C2562" s="51">
        <v>1.026</v>
      </c>
      <c r="D2562" s="51">
        <v>64.0</v>
      </c>
      <c r="E2562" s="52" t="s">
        <v>25</v>
      </c>
      <c r="F2562" s="52" t="s">
        <v>26</v>
      </c>
      <c r="G2562" s="53"/>
    </row>
    <row r="2563">
      <c r="A2563" s="49">
        <v>45047.68991516204</v>
      </c>
      <c r="B2563" s="50">
        <v>45047.8148906365</v>
      </c>
      <c r="C2563" s="51">
        <v>1.026</v>
      </c>
      <c r="D2563" s="51">
        <v>63.0</v>
      </c>
      <c r="E2563" s="52" t="s">
        <v>25</v>
      </c>
      <c r="F2563" s="52" t="s">
        <v>26</v>
      </c>
      <c r="G2563" s="53"/>
    </row>
    <row r="2564">
      <c r="A2564" s="49">
        <v>45047.70035778935</v>
      </c>
      <c r="B2564" s="50">
        <v>45047.8253338078</v>
      </c>
      <c r="C2564" s="51">
        <v>1.026</v>
      </c>
      <c r="D2564" s="51">
        <v>63.0</v>
      </c>
      <c r="E2564" s="52" t="s">
        <v>25</v>
      </c>
      <c r="F2564" s="52" t="s">
        <v>26</v>
      </c>
      <c r="G2564" s="53"/>
    </row>
    <row r="2565">
      <c r="A2565" s="49">
        <v>45047.72126032408</v>
      </c>
      <c r="B2565" s="50">
        <v>45047.8462323842</v>
      </c>
      <c r="C2565" s="51">
        <v>1.026</v>
      </c>
      <c r="D2565" s="51">
        <v>63.0</v>
      </c>
      <c r="E2565" s="52" t="s">
        <v>25</v>
      </c>
      <c r="F2565" s="52" t="s">
        <v>26</v>
      </c>
      <c r="G2565" s="53"/>
    </row>
    <row r="2566">
      <c r="A2566" s="49">
        <v>45047.7316927662</v>
      </c>
      <c r="B2566" s="50">
        <v>45047.8566653356</v>
      </c>
      <c r="C2566" s="51">
        <v>1.026</v>
      </c>
      <c r="D2566" s="51">
        <v>63.0</v>
      </c>
      <c r="E2566" s="52" t="s">
        <v>25</v>
      </c>
      <c r="F2566" s="52" t="s">
        <v>26</v>
      </c>
      <c r="G2566" s="53"/>
    </row>
    <row r="2567">
      <c r="A2567" s="49">
        <v>45047.74212782407</v>
      </c>
      <c r="B2567" s="50">
        <v>45047.8670987731</v>
      </c>
      <c r="C2567" s="51">
        <v>1.026</v>
      </c>
      <c r="D2567" s="51">
        <v>63.0</v>
      </c>
      <c r="E2567" s="52" t="s">
        <v>25</v>
      </c>
      <c r="F2567" s="52" t="s">
        <v>26</v>
      </c>
      <c r="G2567" s="53"/>
    </row>
    <row r="2568">
      <c r="A2568" s="49">
        <v>45047.752581458335</v>
      </c>
      <c r="B2568" s="50">
        <v>45047.8775544444</v>
      </c>
      <c r="C2568" s="51">
        <v>1.026</v>
      </c>
      <c r="D2568" s="51">
        <v>63.0</v>
      </c>
      <c r="E2568" s="52" t="s">
        <v>25</v>
      </c>
      <c r="F2568" s="52" t="s">
        <v>26</v>
      </c>
      <c r="G2568" s="53"/>
    </row>
    <row r="2569">
      <c r="A2569" s="49">
        <v>45047.76300986111</v>
      </c>
      <c r="B2569" s="50">
        <v>45047.887988287</v>
      </c>
      <c r="C2569" s="51">
        <v>1.026</v>
      </c>
      <c r="D2569" s="51">
        <v>63.0</v>
      </c>
      <c r="E2569" s="52" t="s">
        <v>25</v>
      </c>
      <c r="F2569" s="52" t="s">
        <v>26</v>
      </c>
      <c r="G2569" s="53"/>
    </row>
    <row r="2570">
      <c r="A2570" s="49">
        <v>45047.77343898149</v>
      </c>
      <c r="B2570" s="50">
        <v>45047.8984104166</v>
      </c>
      <c r="C2570" s="51">
        <v>1.026</v>
      </c>
      <c r="D2570" s="51">
        <v>63.0</v>
      </c>
      <c r="E2570" s="52" t="s">
        <v>25</v>
      </c>
      <c r="F2570" s="52" t="s">
        <v>26</v>
      </c>
      <c r="G2570" s="53"/>
    </row>
    <row r="2571">
      <c r="A2571" s="49">
        <v>45047.78390328704</v>
      </c>
      <c r="B2571" s="50">
        <v>45047.9088775925</v>
      </c>
      <c r="C2571" s="51">
        <v>1.026</v>
      </c>
      <c r="D2571" s="51">
        <v>63.0</v>
      </c>
      <c r="E2571" s="52" t="s">
        <v>25</v>
      </c>
      <c r="F2571" s="52" t="s">
        <v>26</v>
      </c>
      <c r="G2571" s="53"/>
    </row>
    <row r="2572">
      <c r="A2572" s="49">
        <v>45047.79432028935</v>
      </c>
      <c r="B2572" s="50">
        <v>45047.9192980092</v>
      </c>
      <c r="C2572" s="51">
        <v>1.026</v>
      </c>
      <c r="D2572" s="51">
        <v>63.0</v>
      </c>
      <c r="E2572" s="52" t="s">
        <v>25</v>
      </c>
      <c r="F2572" s="52" t="s">
        <v>26</v>
      </c>
      <c r="G2572" s="53"/>
    </row>
    <row r="2573">
      <c r="A2573" s="49">
        <v>45047.80474503472</v>
      </c>
      <c r="B2573" s="50">
        <v>45047.9297202777</v>
      </c>
      <c r="C2573" s="51">
        <v>1.026</v>
      </c>
      <c r="D2573" s="51">
        <v>63.0</v>
      </c>
      <c r="E2573" s="52" t="s">
        <v>25</v>
      </c>
      <c r="F2573" s="52" t="s">
        <v>26</v>
      </c>
      <c r="G2573" s="53"/>
    </row>
    <row r="2574">
      <c r="A2574" s="49">
        <v>45047.81518605324</v>
      </c>
      <c r="B2574" s="50">
        <v>45047.9401643402</v>
      </c>
      <c r="C2574" s="51">
        <v>1.026</v>
      </c>
      <c r="D2574" s="51">
        <v>64.0</v>
      </c>
      <c r="E2574" s="52" t="s">
        <v>25</v>
      </c>
      <c r="F2574" s="52" t="s">
        <v>26</v>
      </c>
      <c r="G2574" s="53"/>
    </row>
    <row r="2575">
      <c r="A2575" s="49">
        <v>45047.82564943287</v>
      </c>
      <c r="B2575" s="50">
        <v>45047.9506201388</v>
      </c>
      <c r="C2575" s="51">
        <v>1.026</v>
      </c>
      <c r="D2575" s="51">
        <v>63.0</v>
      </c>
      <c r="E2575" s="52" t="s">
        <v>25</v>
      </c>
      <c r="F2575" s="52" t="s">
        <v>26</v>
      </c>
      <c r="G2575" s="53"/>
    </row>
    <row r="2576">
      <c r="A2576" s="49">
        <v>45047.83606991898</v>
      </c>
      <c r="B2576" s="50">
        <v>45047.9610422106</v>
      </c>
      <c r="C2576" s="51">
        <v>1.026</v>
      </c>
      <c r="D2576" s="51">
        <v>63.0</v>
      </c>
      <c r="E2576" s="52" t="s">
        <v>25</v>
      </c>
      <c r="F2576" s="52" t="s">
        <v>26</v>
      </c>
      <c r="G2576" s="53"/>
    </row>
    <row r="2577">
      <c r="A2577" s="49">
        <v>45047.84650398148</v>
      </c>
      <c r="B2577" s="50">
        <v>45047.971475787</v>
      </c>
      <c r="C2577" s="51">
        <v>1.026</v>
      </c>
      <c r="D2577" s="51">
        <v>63.0</v>
      </c>
      <c r="E2577" s="52" t="s">
        <v>25</v>
      </c>
      <c r="F2577" s="52" t="s">
        <v>26</v>
      </c>
      <c r="G2577" s="53"/>
    </row>
    <row r="2578">
      <c r="A2578" s="49">
        <v>45047.85692398148</v>
      </c>
      <c r="B2578" s="50">
        <v>45047.9818970833</v>
      </c>
      <c r="C2578" s="51">
        <v>1.026</v>
      </c>
      <c r="D2578" s="51">
        <v>63.0</v>
      </c>
      <c r="E2578" s="52" t="s">
        <v>25</v>
      </c>
      <c r="F2578" s="52" t="s">
        <v>26</v>
      </c>
      <c r="G2578" s="53"/>
    </row>
    <row r="2579">
      <c r="A2579" s="49">
        <v>45047.867350381945</v>
      </c>
      <c r="B2579" s="50">
        <v>45047.9923202083</v>
      </c>
      <c r="C2579" s="51">
        <v>1.026</v>
      </c>
      <c r="D2579" s="51">
        <v>63.0</v>
      </c>
      <c r="E2579" s="52" t="s">
        <v>25</v>
      </c>
      <c r="F2579" s="52" t="s">
        <v>26</v>
      </c>
      <c r="G2579" s="53"/>
    </row>
    <row r="2580">
      <c r="A2580" s="49">
        <v>45047.87777699074</v>
      </c>
      <c r="B2580" s="50">
        <v>45048.0027519907</v>
      </c>
      <c r="C2580" s="51">
        <v>1.026</v>
      </c>
      <c r="D2580" s="51">
        <v>63.0</v>
      </c>
      <c r="E2580" s="52" t="s">
        <v>25</v>
      </c>
      <c r="F2580" s="52" t="s">
        <v>26</v>
      </c>
      <c r="G2580" s="53"/>
    </row>
    <row r="2581">
      <c r="A2581" s="49">
        <v>45047.8882041551</v>
      </c>
      <c r="B2581" s="50">
        <v>45048.0131841319</v>
      </c>
      <c r="C2581" s="51">
        <v>1.026</v>
      </c>
      <c r="D2581" s="51">
        <v>63.0</v>
      </c>
      <c r="E2581" s="52" t="s">
        <v>25</v>
      </c>
      <c r="F2581" s="52" t="s">
        <v>26</v>
      </c>
      <c r="G2581" s="53"/>
    </row>
    <row r="2582">
      <c r="A2582" s="49">
        <v>45047.89865650463</v>
      </c>
      <c r="B2582" s="50">
        <v>45048.0236293981</v>
      </c>
      <c r="C2582" s="51">
        <v>1.026</v>
      </c>
      <c r="D2582" s="51">
        <v>63.0</v>
      </c>
      <c r="E2582" s="52" t="s">
        <v>25</v>
      </c>
      <c r="F2582" s="52" t="s">
        <v>26</v>
      </c>
      <c r="G2582" s="53"/>
    </row>
    <row r="2583">
      <c r="A2583" s="49">
        <v>45047.909110243054</v>
      </c>
      <c r="B2583" s="50">
        <v>45048.0340861805</v>
      </c>
      <c r="C2583" s="51">
        <v>1.026</v>
      </c>
      <c r="D2583" s="51">
        <v>64.0</v>
      </c>
      <c r="E2583" s="52" t="s">
        <v>25</v>
      </c>
      <c r="F2583" s="52" t="s">
        <v>26</v>
      </c>
      <c r="G2583" s="53"/>
    </row>
    <row r="2584">
      <c r="A2584" s="49">
        <v>45047.91956216435</v>
      </c>
      <c r="B2584" s="50">
        <v>45048.0445424884</v>
      </c>
      <c r="C2584" s="51">
        <v>1.026</v>
      </c>
      <c r="D2584" s="51">
        <v>63.0</v>
      </c>
      <c r="E2584" s="52" t="s">
        <v>25</v>
      </c>
      <c r="F2584" s="52" t="s">
        <v>26</v>
      </c>
      <c r="G2584" s="53"/>
    </row>
    <row r="2585">
      <c r="A2585" s="49">
        <v>45047.93000761574</v>
      </c>
      <c r="B2585" s="50">
        <v>45048.0549753935</v>
      </c>
      <c r="C2585" s="51">
        <v>1.026</v>
      </c>
      <c r="D2585" s="51">
        <v>63.0</v>
      </c>
      <c r="E2585" s="52" t="s">
        <v>25</v>
      </c>
      <c r="F2585" s="52" t="s">
        <v>26</v>
      </c>
      <c r="G2585" s="53"/>
    </row>
    <row r="2586">
      <c r="A2586" s="49">
        <v>45047.940438460646</v>
      </c>
      <c r="B2586" s="50">
        <v>45048.06540875</v>
      </c>
      <c r="C2586" s="51">
        <v>1.026</v>
      </c>
      <c r="D2586" s="51">
        <v>63.0</v>
      </c>
      <c r="E2586" s="52" t="s">
        <v>25</v>
      </c>
      <c r="F2586" s="52" t="s">
        <v>26</v>
      </c>
      <c r="G2586" s="53"/>
    </row>
    <row r="2587">
      <c r="A2587" s="49">
        <v>45047.95086329861</v>
      </c>
      <c r="B2587" s="50">
        <v>45048.0758300347</v>
      </c>
      <c r="C2587" s="51">
        <v>1.026</v>
      </c>
      <c r="D2587" s="51">
        <v>63.0</v>
      </c>
      <c r="E2587" s="52" t="s">
        <v>25</v>
      </c>
      <c r="F2587" s="52" t="s">
        <v>26</v>
      </c>
      <c r="G2587" s="53"/>
    </row>
    <row r="2588">
      <c r="A2588" s="49">
        <v>45047.96128175926</v>
      </c>
      <c r="B2588" s="50">
        <v>45048.0862601388</v>
      </c>
      <c r="C2588" s="51">
        <v>1.026</v>
      </c>
      <c r="D2588" s="51">
        <v>63.0</v>
      </c>
      <c r="E2588" s="52" t="s">
        <v>25</v>
      </c>
      <c r="F2588" s="52" t="s">
        <v>26</v>
      </c>
      <c r="G2588" s="53"/>
    </row>
    <row r="2589">
      <c r="A2589" s="49">
        <v>45047.971709432866</v>
      </c>
      <c r="B2589" s="50">
        <v>45048.0966913425</v>
      </c>
      <c r="C2589" s="51">
        <v>1.026</v>
      </c>
      <c r="D2589" s="51">
        <v>63.0</v>
      </c>
      <c r="E2589" s="52" t="s">
        <v>25</v>
      </c>
      <c r="F2589" s="52" t="s">
        <v>26</v>
      </c>
      <c r="G2589" s="53"/>
    </row>
    <row r="2590">
      <c r="A2590" s="49">
        <v>45047.982153969904</v>
      </c>
      <c r="B2590" s="50">
        <v>45048.1071228125</v>
      </c>
      <c r="C2590" s="51">
        <v>1.026</v>
      </c>
      <c r="D2590" s="51">
        <v>63.0</v>
      </c>
      <c r="E2590" s="52" t="s">
        <v>25</v>
      </c>
      <c r="F2590" s="52" t="s">
        <v>26</v>
      </c>
      <c r="G2590" s="53"/>
    </row>
    <row r="2591">
      <c r="A2591" s="49">
        <v>45047.992567395835</v>
      </c>
      <c r="B2591" s="50">
        <v>45048.1175472106</v>
      </c>
      <c r="C2591" s="51">
        <v>1.026</v>
      </c>
      <c r="D2591" s="51">
        <v>63.0</v>
      </c>
      <c r="E2591" s="52" t="s">
        <v>25</v>
      </c>
      <c r="F2591" s="52" t="s">
        <v>26</v>
      </c>
      <c r="G2591" s="53"/>
    </row>
    <row r="2592">
      <c r="A2592" s="49">
        <v>45048.00302208333</v>
      </c>
      <c r="B2592" s="50">
        <v>45048.1279925926</v>
      </c>
      <c r="C2592" s="51">
        <v>1.026</v>
      </c>
      <c r="D2592" s="51">
        <v>63.0</v>
      </c>
      <c r="E2592" s="52" t="s">
        <v>25</v>
      </c>
      <c r="F2592" s="52" t="s">
        <v>26</v>
      </c>
      <c r="G2592" s="53"/>
    </row>
    <row r="2593">
      <c r="A2593" s="49">
        <v>45048.01344920139</v>
      </c>
      <c r="B2593" s="50">
        <v>45048.1384131713</v>
      </c>
      <c r="C2593" s="51">
        <v>1.026</v>
      </c>
      <c r="D2593" s="51">
        <v>63.0</v>
      </c>
      <c r="E2593" s="52" t="s">
        <v>25</v>
      </c>
      <c r="F2593" s="52" t="s">
        <v>26</v>
      </c>
      <c r="G2593" s="53"/>
    </row>
    <row r="2594">
      <c r="A2594" s="49">
        <v>45048.02387107639</v>
      </c>
      <c r="B2594" s="50">
        <v>45048.148845162</v>
      </c>
      <c r="C2594" s="51">
        <v>1.026</v>
      </c>
      <c r="D2594" s="51">
        <v>63.0</v>
      </c>
      <c r="E2594" s="52" t="s">
        <v>25</v>
      </c>
      <c r="F2594" s="52" t="s">
        <v>26</v>
      </c>
      <c r="G2594" s="53"/>
    </row>
    <row r="2595">
      <c r="A2595" s="49">
        <v>45048.03429159722</v>
      </c>
      <c r="B2595" s="50">
        <v>45048.1592649652</v>
      </c>
      <c r="C2595" s="51">
        <v>1.026</v>
      </c>
      <c r="D2595" s="51">
        <v>63.0</v>
      </c>
      <c r="E2595" s="52" t="s">
        <v>25</v>
      </c>
      <c r="F2595" s="52" t="s">
        <v>26</v>
      </c>
      <c r="G2595" s="53"/>
    </row>
    <row r="2596">
      <c r="A2596" s="49">
        <v>45048.044708726855</v>
      </c>
      <c r="B2596" s="50">
        <v>45048.169687118</v>
      </c>
      <c r="C2596" s="51">
        <v>1.026</v>
      </c>
      <c r="D2596" s="51">
        <v>63.0</v>
      </c>
      <c r="E2596" s="52" t="s">
        <v>25</v>
      </c>
      <c r="F2596" s="52" t="s">
        <v>26</v>
      </c>
      <c r="G2596" s="53"/>
    </row>
    <row r="2597">
      <c r="A2597" s="49">
        <v>45048.05515005787</v>
      </c>
      <c r="B2597" s="50">
        <v>45048.1801075231</v>
      </c>
      <c r="C2597" s="51">
        <v>1.026</v>
      </c>
      <c r="D2597" s="51">
        <v>63.0</v>
      </c>
      <c r="E2597" s="52" t="s">
        <v>25</v>
      </c>
      <c r="F2597" s="52" t="s">
        <v>26</v>
      </c>
      <c r="G2597" s="53"/>
    </row>
    <row r="2598">
      <c r="A2598" s="49">
        <v>45048.06557056713</v>
      </c>
      <c r="B2598" s="50">
        <v>45048.190540081</v>
      </c>
      <c r="C2598" s="51">
        <v>1.026</v>
      </c>
      <c r="D2598" s="51">
        <v>63.0</v>
      </c>
      <c r="E2598" s="52" t="s">
        <v>25</v>
      </c>
      <c r="F2598" s="52" t="s">
        <v>26</v>
      </c>
      <c r="G2598" s="53"/>
    </row>
    <row r="2599">
      <c r="A2599" s="49">
        <v>45048.075985393516</v>
      </c>
      <c r="B2599" s="50">
        <v>45048.2009617129</v>
      </c>
      <c r="C2599" s="51">
        <v>1.026</v>
      </c>
      <c r="D2599" s="51">
        <v>63.0</v>
      </c>
      <c r="E2599" s="52" t="s">
        <v>25</v>
      </c>
      <c r="F2599" s="52" t="s">
        <v>26</v>
      </c>
      <c r="G2599" s="53"/>
    </row>
    <row r="2600">
      <c r="A2600" s="49">
        <v>45048.086405636575</v>
      </c>
      <c r="B2600" s="50">
        <v>45048.211381412</v>
      </c>
      <c r="C2600" s="51">
        <v>1.026</v>
      </c>
      <c r="D2600" s="51">
        <v>63.0</v>
      </c>
      <c r="E2600" s="52" t="s">
        <v>25</v>
      </c>
      <c r="F2600" s="52" t="s">
        <v>26</v>
      </c>
      <c r="G2600" s="53"/>
    </row>
    <row r="2601">
      <c r="A2601" s="49">
        <v>45048.0968427662</v>
      </c>
      <c r="B2601" s="50">
        <v>45048.2218140509</v>
      </c>
      <c r="C2601" s="51">
        <v>1.026</v>
      </c>
      <c r="D2601" s="51">
        <v>63.0</v>
      </c>
      <c r="E2601" s="52" t="s">
        <v>25</v>
      </c>
      <c r="F2601" s="52" t="s">
        <v>26</v>
      </c>
      <c r="G2601" s="53"/>
    </row>
    <row r="2602">
      <c r="A2602" s="49">
        <v>45048.10726614583</v>
      </c>
      <c r="B2602" s="50">
        <v>45048.2322453125</v>
      </c>
      <c r="C2602" s="51">
        <v>1.026</v>
      </c>
      <c r="D2602" s="51">
        <v>63.0</v>
      </c>
      <c r="E2602" s="52" t="s">
        <v>25</v>
      </c>
      <c r="F2602" s="52" t="s">
        <v>26</v>
      </c>
      <c r="G2602" s="53"/>
    </row>
    <row r="2603">
      <c r="A2603" s="49">
        <v>45048.11769633101</v>
      </c>
      <c r="B2603" s="50">
        <v>45048.2426685532</v>
      </c>
      <c r="C2603" s="51">
        <v>1.026</v>
      </c>
      <c r="D2603" s="51">
        <v>63.0</v>
      </c>
      <c r="E2603" s="52" t="s">
        <v>25</v>
      </c>
      <c r="F2603" s="52" t="s">
        <v>26</v>
      </c>
      <c r="G2603" s="53"/>
    </row>
    <row r="2604">
      <c r="A2604" s="49">
        <v>45048.12811857639</v>
      </c>
      <c r="B2604" s="50">
        <v>45048.2530902199</v>
      </c>
      <c r="C2604" s="51">
        <v>1.026</v>
      </c>
      <c r="D2604" s="51">
        <v>63.0</v>
      </c>
      <c r="E2604" s="52" t="s">
        <v>25</v>
      </c>
      <c r="F2604" s="52" t="s">
        <v>26</v>
      </c>
      <c r="G2604" s="53"/>
    </row>
    <row r="2605">
      <c r="A2605" s="49">
        <v>45048.13854665509</v>
      </c>
      <c r="B2605" s="50">
        <v>45048.2635245949</v>
      </c>
      <c r="C2605" s="51">
        <v>1.026</v>
      </c>
      <c r="D2605" s="51">
        <v>63.0</v>
      </c>
      <c r="E2605" s="52" t="s">
        <v>25</v>
      </c>
      <c r="F2605" s="52" t="s">
        <v>26</v>
      </c>
      <c r="G2605" s="53"/>
    </row>
    <row r="2606">
      <c r="A2606" s="49">
        <v>45048.14900927083</v>
      </c>
      <c r="B2606" s="50">
        <v>45048.2739808101</v>
      </c>
      <c r="C2606" s="51">
        <v>1.026</v>
      </c>
      <c r="D2606" s="51">
        <v>63.0</v>
      </c>
      <c r="E2606" s="52" t="s">
        <v>25</v>
      </c>
      <c r="F2606" s="52" t="s">
        <v>26</v>
      </c>
      <c r="G2606" s="53"/>
    </row>
    <row r="2607">
      <c r="A2607" s="49">
        <v>45048.15942592593</v>
      </c>
      <c r="B2607" s="50">
        <v>45048.2844010185</v>
      </c>
      <c r="C2607" s="51">
        <v>1.026</v>
      </c>
      <c r="D2607" s="51">
        <v>63.0</v>
      </c>
      <c r="E2607" s="52" t="s">
        <v>25</v>
      </c>
      <c r="F2607" s="52" t="s">
        <v>26</v>
      </c>
      <c r="G2607" s="53"/>
    </row>
    <row r="2608">
      <c r="A2608" s="49">
        <v>45048.16986971065</v>
      </c>
      <c r="B2608" s="50">
        <v>45048.2948230555</v>
      </c>
      <c r="C2608" s="51">
        <v>1.026</v>
      </c>
      <c r="D2608" s="51">
        <v>63.0</v>
      </c>
      <c r="E2608" s="52" t="s">
        <v>25</v>
      </c>
      <c r="F2608" s="52" t="s">
        <v>26</v>
      </c>
      <c r="G2608" s="53"/>
    </row>
    <row r="2609">
      <c r="A2609" s="49">
        <v>45048.18027208334</v>
      </c>
      <c r="B2609" s="50">
        <v>45048.3052433796</v>
      </c>
      <c r="C2609" s="51">
        <v>1.026</v>
      </c>
      <c r="D2609" s="51">
        <v>63.0</v>
      </c>
      <c r="E2609" s="52" t="s">
        <v>25</v>
      </c>
      <c r="F2609" s="52" t="s">
        <v>26</v>
      </c>
      <c r="G2609" s="53"/>
    </row>
    <row r="2610">
      <c r="A2610" s="49">
        <v>45048.190699224535</v>
      </c>
      <c r="B2610" s="50">
        <v>45048.3156656597</v>
      </c>
      <c r="C2610" s="51">
        <v>1.026</v>
      </c>
      <c r="D2610" s="51">
        <v>63.0</v>
      </c>
      <c r="E2610" s="52" t="s">
        <v>25</v>
      </c>
      <c r="F2610" s="52" t="s">
        <v>26</v>
      </c>
      <c r="G2610" s="53"/>
    </row>
    <row r="2611">
      <c r="A2611" s="49">
        <v>45048.201122847226</v>
      </c>
      <c r="B2611" s="50">
        <v>45048.3260990162</v>
      </c>
      <c r="C2611" s="51">
        <v>1.026</v>
      </c>
      <c r="D2611" s="51">
        <v>63.0</v>
      </c>
      <c r="E2611" s="52" t="s">
        <v>25</v>
      </c>
      <c r="F2611" s="52" t="s">
        <v>26</v>
      </c>
      <c r="G2611" s="53"/>
    </row>
    <row r="2612">
      <c r="A2612" s="49">
        <v>45048.21155288194</v>
      </c>
      <c r="B2612" s="50">
        <v>45048.33651978</v>
      </c>
      <c r="C2612" s="51">
        <v>1.026</v>
      </c>
      <c r="D2612" s="51">
        <v>63.0</v>
      </c>
      <c r="E2612" s="52" t="s">
        <v>25</v>
      </c>
      <c r="F2612" s="52" t="s">
        <v>26</v>
      </c>
      <c r="G2612" s="53"/>
    </row>
    <row r="2613">
      <c r="A2613" s="49">
        <v>45048.22197668982</v>
      </c>
      <c r="B2613" s="50">
        <v>45048.3469429629</v>
      </c>
      <c r="C2613" s="51">
        <v>1.026</v>
      </c>
      <c r="D2613" s="51">
        <v>63.0</v>
      </c>
      <c r="E2613" s="52" t="s">
        <v>25</v>
      </c>
      <c r="F2613" s="52" t="s">
        <v>26</v>
      </c>
      <c r="G2613" s="53"/>
    </row>
    <row r="2614">
      <c r="A2614" s="49">
        <v>45048.23242059028</v>
      </c>
      <c r="B2614" s="50">
        <v>45048.3573885532</v>
      </c>
      <c r="C2614" s="51">
        <v>1.026</v>
      </c>
      <c r="D2614" s="51">
        <v>63.0</v>
      </c>
      <c r="E2614" s="52" t="s">
        <v>25</v>
      </c>
      <c r="F2614" s="52" t="s">
        <v>26</v>
      </c>
      <c r="G2614" s="53"/>
    </row>
    <row r="2615">
      <c r="A2615" s="49">
        <v>45048.242834675926</v>
      </c>
      <c r="B2615" s="50">
        <v>45048.3678122916</v>
      </c>
      <c r="C2615" s="51">
        <v>1.026</v>
      </c>
      <c r="D2615" s="51">
        <v>63.0</v>
      </c>
      <c r="E2615" s="52" t="s">
        <v>25</v>
      </c>
      <c r="F2615" s="52" t="s">
        <v>26</v>
      </c>
      <c r="G2615" s="53"/>
    </row>
    <row r="2616">
      <c r="A2616" s="49">
        <v>45048.253276585645</v>
      </c>
      <c r="B2616" s="50">
        <v>45048.3782447685</v>
      </c>
      <c r="C2616" s="51">
        <v>1.026</v>
      </c>
      <c r="D2616" s="51">
        <v>63.0</v>
      </c>
      <c r="E2616" s="52" t="s">
        <v>25</v>
      </c>
      <c r="F2616" s="52" t="s">
        <v>26</v>
      </c>
      <c r="G2616" s="53"/>
    </row>
    <row r="2617">
      <c r="A2617" s="49">
        <v>45048.263699953706</v>
      </c>
      <c r="B2617" s="50">
        <v>45048.3886656365</v>
      </c>
      <c r="C2617" s="51">
        <v>1.026</v>
      </c>
      <c r="D2617" s="51">
        <v>63.0</v>
      </c>
      <c r="E2617" s="52" t="s">
        <v>25</v>
      </c>
      <c r="F2617" s="52" t="s">
        <v>26</v>
      </c>
      <c r="G2617" s="53"/>
    </row>
    <row r="2618">
      <c r="A2618" s="49">
        <v>45048.27414729167</v>
      </c>
      <c r="B2618" s="50">
        <v>45048.3991215277</v>
      </c>
      <c r="C2618" s="51">
        <v>1.026</v>
      </c>
      <c r="D2618" s="51">
        <v>63.0</v>
      </c>
      <c r="E2618" s="52" t="s">
        <v>25</v>
      </c>
      <c r="F2618" s="52" t="s">
        <v>26</v>
      </c>
      <c r="G2618" s="53"/>
    </row>
    <row r="2619">
      <c r="A2619" s="49">
        <v>45048.28458608796</v>
      </c>
      <c r="B2619" s="50">
        <v>45048.4095558912</v>
      </c>
      <c r="C2619" s="51">
        <v>1.026</v>
      </c>
      <c r="D2619" s="51">
        <v>63.0</v>
      </c>
      <c r="E2619" s="52" t="s">
        <v>25</v>
      </c>
      <c r="F2619" s="52" t="s">
        <v>26</v>
      </c>
      <c r="G2619" s="53"/>
    </row>
    <row r="2620">
      <c r="A2620" s="49">
        <v>45048.295009814814</v>
      </c>
      <c r="B2620" s="50">
        <v>45048.4199792361</v>
      </c>
      <c r="C2620" s="51">
        <v>1.026</v>
      </c>
      <c r="D2620" s="51">
        <v>63.0</v>
      </c>
      <c r="E2620" s="52" t="s">
        <v>25</v>
      </c>
      <c r="F2620" s="52" t="s">
        <v>26</v>
      </c>
      <c r="G2620" s="53"/>
    </row>
    <row r="2621">
      <c r="A2621" s="49">
        <v>45048.305435393515</v>
      </c>
      <c r="B2621" s="50">
        <v>45048.4304027083</v>
      </c>
      <c r="C2621" s="51">
        <v>1.026</v>
      </c>
      <c r="D2621" s="51">
        <v>63.0</v>
      </c>
      <c r="E2621" s="52" t="s">
        <v>25</v>
      </c>
      <c r="F2621" s="52" t="s">
        <v>26</v>
      </c>
      <c r="G2621" s="53"/>
    </row>
    <row r="2622">
      <c r="A2622" s="49">
        <v>45048.31585396991</v>
      </c>
      <c r="B2622" s="50">
        <v>45048.4408234027</v>
      </c>
      <c r="C2622" s="51">
        <v>1.026</v>
      </c>
      <c r="D2622" s="51">
        <v>63.0</v>
      </c>
      <c r="E2622" s="52" t="s">
        <v>25</v>
      </c>
      <c r="F2622" s="52" t="s">
        <v>26</v>
      </c>
      <c r="G2622" s="53"/>
    </row>
    <row r="2623">
      <c r="A2623" s="49">
        <v>45048.32628165509</v>
      </c>
      <c r="B2623" s="50">
        <v>45048.4512542592</v>
      </c>
      <c r="C2623" s="51">
        <v>1.026</v>
      </c>
      <c r="D2623" s="51">
        <v>63.0</v>
      </c>
      <c r="E2623" s="52" t="s">
        <v>25</v>
      </c>
      <c r="F2623" s="52" t="s">
        <v>26</v>
      </c>
      <c r="G2623" s="53"/>
    </row>
    <row r="2624">
      <c r="A2624" s="49">
        <v>45048.33670211806</v>
      </c>
      <c r="B2624" s="50">
        <v>45048.4616743518</v>
      </c>
      <c r="C2624" s="51">
        <v>1.026</v>
      </c>
      <c r="D2624" s="51">
        <v>63.0</v>
      </c>
      <c r="E2624" s="52" t="s">
        <v>25</v>
      </c>
      <c r="F2624" s="52" t="s">
        <v>26</v>
      </c>
      <c r="G2624" s="53"/>
    </row>
    <row r="2625">
      <c r="A2625" s="49">
        <v>45048.34717493056</v>
      </c>
      <c r="B2625" s="50">
        <v>45048.47215375</v>
      </c>
      <c r="C2625" s="51">
        <v>1.025</v>
      </c>
      <c r="D2625" s="51">
        <v>63.0</v>
      </c>
      <c r="E2625" s="52" t="s">
        <v>25</v>
      </c>
      <c r="F2625" s="52" t="s">
        <v>26</v>
      </c>
      <c r="G2625" s="53"/>
    </row>
    <row r="2626">
      <c r="A2626" s="49">
        <v>45048.357605</v>
      </c>
      <c r="B2626" s="50">
        <v>45048.4825745833</v>
      </c>
      <c r="C2626" s="51">
        <v>1.026</v>
      </c>
      <c r="D2626" s="51">
        <v>63.0</v>
      </c>
      <c r="E2626" s="52" t="s">
        <v>25</v>
      </c>
      <c r="F2626" s="52" t="s">
        <v>26</v>
      </c>
      <c r="G2626" s="53"/>
    </row>
    <row r="2627">
      <c r="A2627" s="49">
        <v>45048.36801900463</v>
      </c>
      <c r="B2627" s="50">
        <v>45048.4929940162</v>
      </c>
      <c r="C2627" s="51">
        <v>1.026</v>
      </c>
      <c r="D2627" s="51">
        <v>63.0</v>
      </c>
      <c r="E2627" s="52" t="s">
        <v>25</v>
      </c>
      <c r="F2627" s="52" t="s">
        <v>26</v>
      </c>
      <c r="G2627" s="53"/>
    </row>
    <row r="2628">
      <c r="A2628" s="49">
        <v>45048.37845045139</v>
      </c>
      <c r="B2628" s="50">
        <v>45048.5034259722</v>
      </c>
      <c r="C2628" s="51">
        <v>1.026</v>
      </c>
      <c r="D2628" s="51">
        <v>63.0</v>
      </c>
      <c r="E2628" s="52" t="s">
        <v>25</v>
      </c>
      <c r="F2628" s="52" t="s">
        <v>26</v>
      </c>
      <c r="G2628" s="53"/>
    </row>
    <row r="2629">
      <c r="A2629" s="49">
        <v>45048.38886907407</v>
      </c>
      <c r="B2629" s="50">
        <v>45048.5138479861</v>
      </c>
      <c r="C2629" s="51">
        <v>1.026</v>
      </c>
      <c r="D2629" s="51">
        <v>63.0</v>
      </c>
      <c r="E2629" s="52" t="s">
        <v>25</v>
      </c>
      <c r="F2629" s="52" t="s">
        <v>26</v>
      </c>
      <c r="G2629" s="53"/>
    </row>
    <row r="2630">
      <c r="A2630" s="49">
        <v>45048.39929883102</v>
      </c>
      <c r="B2630" s="50">
        <v>45048.5242704745</v>
      </c>
      <c r="C2630" s="51">
        <v>1.025</v>
      </c>
      <c r="D2630" s="51">
        <v>63.0</v>
      </c>
      <c r="E2630" s="52" t="s">
        <v>25</v>
      </c>
      <c r="F2630" s="52" t="s">
        <v>26</v>
      </c>
      <c r="G2630" s="53"/>
    </row>
    <row r="2631">
      <c r="A2631" s="49">
        <v>45048.40971758102</v>
      </c>
      <c r="B2631" s="50">
        <v>45048.534691574</v>
      </c>
      <c r="C2631" s="51">
        <v>1.025</v>
      </c>
      <c r="D2631" s="51">
        <v>63.0</v>
      </c>
      <c r="E2631" s="52" t="s">
        <v>25</v>
      </c>
      <c r="F2631" s="52" t="s">
        <v>26</v>
      </c>
      <c r="G2631" s="53"/>
    </row>
    <row r="2632">
      <c r="A2632" s="49">
        <v>45048.42015839121</v>
      </c>
      <c r="B2632" s="50">
        <v>45048.5451356944</v>
      </c>
      <c r="C2632" s="51">
        <v>1.025</v>
      </c>
      <c r="D2632" s="51">
        <v>63.0</v>
      </c>
      <c r="E2632" s="52" t="s">
        <v>25</v>
      </c>
      <c r="F2632" s="52" t="s">
        <v>26</v>
      </c>
      <c r="G2632" s="53"/>
    </row>
    <row r="2633">
      <c r="A2633" s="49">
        <v>45048.43059021991</v>
      </c>
      <c r="B2633" s="50">
        <v>45048.5555578356</v>
      </c>
      <c r="C2633" s="51">
        <v>1.025</v>
      </c>
      <c r="D2633" s="51">
        <v>63.0</v>
      </c>
      <c r="E2633" s="52" t="s">
        <v>25</v>
      </c>
      <c r="F2633" s="52" t="s">
        <v>26</v>
      </c>
      <c r="G2633" s="53"/>
    </row>
    <row r="2634">
      <c r="A2634" s="49">
        <v>45048.44103623842</v>
      </c>
      <c r="B2634" s="50">
        <v>45048.5660021527</v>
      </c>
      <c r="C2634" s="51">
        <v>1.026</v>
      </c>
      <c r="D2634" s="51">
        <v>63.0</v>
      </c>
      <c r="E2634" s="52" t="s">
        <v>25</v>
      </c>
      <c r="F2634" s="52" t="s">
        <v>26</v>
      </c>
      <c r="G2634" s="53"/>
    </row>
    <row r="2635">
      <c r="A2635" s="49">
        <v>45048.45144636574</v>
      </c>
      <c r="B2635" s="50">
        <v>45048.5764212268</v>
      </c>
      <c r="C2635" s="51">
        <v>1.026</v>
      </c>
      <c r="D2635" s="51">
        <v>63.0</v>
      </c>
      <c r="E2635" s="52" t="s">
        <v>25</v>
      </c>
      <c r="F2635" s="52" t="s">
        <v>26</v>
      </c>
      <c r="G2635" s="53"/>
    </row>
    <row r="2636">
      <c r="A2636" s="49">
        <v>45048.46187359953</v>
      </c>
      <c r="B2636" s="50">
        <v>45048.5868411805</v>
      </c>
      <c r="C2636" s="51">
        <v>1.025</v>
      </c>
      <c r="D2636" s="51">
        <v>63.0</v>
      </c>
      <c r="E2636" s="52" t="s">
        <v>25</v>
      </c>
      <c r="F2636" s="52" t="s">
        <v>26</v>
      </c>
      <c r="G2636" s="53"/>
    </row>
    <row r="2637">
      <c r="A2637" s="49">
        <v>45048.472292314815</v>
      </c>
      <c r="B2637" s="50">
        <v>45048.5972628356</v>
      </c>
      <c r="C2637" s="51">
        <v>1.025</v>
      </c>
      <c r="D2637" s="51">
        <v>63.0</v>
      </c>
      <c r="E2637" s="52" t="s">
        <v>25</v>
      </c>
      <c r="F2637" s="52" t="s">
        <v>26</v>
      </c>
      <c r="G2637" s="53"/>
    </row>
    <row r="2638">
      <c r="A2638" s="49">
        <v>45048.48272925926</v>
      </c>
      <c r="B2638" s="50">
        <v>45048.6076980555</v>
      </c>
      <c r="C2638" s="51">
        <v>1.026</v>
      </c>
      <c r="D2638" s="51">
        <v>63.0</v>
      </c>
      <c r="E2638" s="52" t="s">
        <v>25</v>
      </c>
      <c r="F2638" s="52" t="s">
        <v>26</v>
      </c>
      <c r="G2638" s="53"/>
    </row>
    <row r="2639">
      <c r="A2639" s="49">
        <v>45048.49314628472</v>
      </c>
      <c r="B2639" s="50">
        <v>45048.6181186805</v>
      </c>
      <c r="C2639" s="51">
        <v>1.025</v>
      </c>
      <c r="D2639" s="51">
        <v>63.0</v>
      </c>
      <c r="E2639" s="52" t="s">
        <v>25</v>
      </c>
      <c r="F2639" s="52" t="s">
        <v>26</v>
      </c>
      <c r="G2639" s="53"/>
    </row>
    <row r="2640">
      <c r="A2640" s="49">
        <v>45048.50356391203</v>
      </c>
      <c r="B2640" s="50">
        <v>45048.6285389236</v>
      </c>
      <c r="C2640" s="51">
        <v>1.025</v>
      </c>
      <c r="D2640" s="51">
        <v>63.0</v>
      </c>
      <c r="E2640" s="52" t="s">
        <v>25</v>
      </c>
      <c r="F2640" s="52" t="s">
        <v>26</v>
      </c>
      <c r="G2640" s="53"/>
    </row>
    <row r="2641">
      <c r="A2641" s="49">
        <v>45048.513981979166</v>
      </c>
      <c r="B2641" s="50">
        <v>45048.6389592824</v>
      </c>
      <c r="C2641" s="51">
        <v>1.025</v>
      </c>
      <c r="D2641" s="51">
        <v>63.0</v>
      </c>
      <c r="E2641" s="52" t="s">
        <v>25</v>
      </c>
      <c r="F2641" s="52" t="s">
        <v>26</v>
      </c>
      <c r="G2641" s="53"/>
    </row>
    <row r="2642">
      <c r="A2642" s="49">
        <v>45048.52443046296</v>
      </c>
      <c r="B2642" s="50">
        <v>45048.64939125</v>
      </c>
      <c r="C2642" s="51">
        <v>1.025</v>
      </c>
      <c r="D2642" s="51">
        <v>63.0</v>
      </c>
      <c r="E2642" s="52" t="s">
        <v>25</v>
      </c>
      <c r="F2642" s="52" t="s">
        <v>26</v>
      </c>
      <c r="G2642" s="53"/>
    </row>
    <row r="2643">
      <c r="A2643" s="49">
        <v>45048.53484482639</v>
      </c>
      <c r="B2643" s="50">
        <v>45048.6598125463</v>
      </c>
      <c r="C2643" s="51">
        <v>1.025</v>
      </c>
      <c r="D2643" s="51">
        <v>63.0</v>
      </c>
      <c r="E2643" s="52" t="s">
        <v>25</v>
      </c>
      <c r="F2643" s="52" t="s">
        <v>26</v>
      </c>
      <c r="G2643" s="53"/>
    </row>
    <row r="2644">
      <c r="A2644" s="49">
        <v>45048.54526270833</v>
      </c>
      <c r="B2644" s="50">
        <v>45048.6702340277</v>
      </c>
      <c r="C2644" s="51">
        <v>1.025</v>
      </c>
      <c r="D2644" s="51">
        <v>63.0</v>
      </c>
      <c r="E2644" s="52" t="s">
        <v>25</v>
      </c>
      <c r="F2644" s="52" t="s">
        <v>26</v>
      </c>
      <c r="G2644" s="53"/>
    </row>
    <row r="2645">
      <c r="A2645" s="49">
        <v>45048.55567840278</v>
      </c>
      <c r="B2645" s="50">
        <v>45048.6806554861</v>
      </c>
      <c r="C2645" s="51">
        <v>1.025</v>
      </c>
      <c r="D2645" s="51">
        <v>63.0</v>
      </c>
      <c r="E2645" s="52" t="s">
        <v>25</v>
      </c>
      <c r="F2645" s="52" t="s">
        <v>26</v>
      </c>
      <c r="G2645" s="53"/>
    </row>
    <row r="2646">
      <c r="A2646" s="49">
        <v>45048.566109328705</v>
      </c>
      <c r="B2646" s="50">
        <v>45048.6910770254</v>
      </c>
      <c r="C2646" s="51">
        <v>1.025</v>
      </c>
      <c r="D2646" s="51">
        <v>63.0</v>
      </c>
      <c r="E2646" s="52" t="s">
        <v>25</v>
      </c>
      <c r="F2646" s="52" t="s">
        <v>26</v>
      </c>
      <c r="G2646" s="53"/>
    </row>
    <row r="2647">
      <c r="A2647" s="49">
        <v>45048.57652528935</v>
      </c>
      <c r="B2647" s="50">
        <v>45048.7014985763</v>
      </c>
      <c r="C2647" s="51">
        <v>1.025</v>
      </c>
      <c r="D2647" s="51">
        <v>63.0</v>
      </c>
      <c r="E2647" s="52" t="s">
        <v>25</v>
      </c>
      <c r="F2647" s="52" t="s">
        <v>26</v>
      </c>
      <c r="G2647" s="53"/>
    </row>
    <row r="2648">
      <c r="A2648" s="49">
        <v>45048.58694908565</v>
      </c>
      <c r="B2648" s="50">
        <v>45048.7119186574</v>
      </c>
      <c r="C2648" s="51">
        <v>1.025</v>
      </c>
      <c r="D2648" s="51">
        <v>63.0</v>
      </c>
      <c r="E2648" s="52" t="s">
        <v>25</v>
      </c>
      <c r="F2648" s="52" t="s">
        <v>26</v>
      </c>
      <c r="G2648" s="53"/>
    </row>
    <row r="2649">
      <c r="A2649" s="49">
        <v>45048.59736828704</v>
      </c>
      <c r="B2649" s="50">
        <v>45048.7223398263</v>
      </c>
      <c r="C2649" s="51">
        <v>1.025</v>
      </c>
      <c r="D2649" s="51">
        <v>63.0</v>
      </c>
      <c r="E2649" s="52" t="s">
        <v>25</v>
      </c>
      <c r="F2649" s="52" t="s">
        <v>26</v>
      </c>
      <c r="G2649" s="53"/>
    </row>
    <row r="2650">
      <c r="A2650" s="49">
        <v>45048.60778976852</v>
      </c>
      <c r="B2650" s="50">
        <v>45048.7327610185</v>
      </c>
      <c r="C2650" s="51">
        <v>1.025</v>
      </c>
      <c r="D2650" s="51">
        <v>63.0</v>
      </c>
      <c r="E2650" s="52" t="s">
        <v>25</v>
      </c>
      <c r="F2650" s="52" t="s">
        <v>26</v>
      </c>
      <c r="G2650" s="53"/>
    </row>
    <row r="2651">
      <c r="A2651" s="49">
        <v>45048.61823435185</v>
      </c>
      <c r="B2651" s="50">
        <v>45048.7432067476</v>
      </c>
      <c r="C2651" s="51">
        <v>1.025</v>
      </c>
      <c r="D2651" s="51">
        <v>63.0</v>
      </c>
      <c r="E2651" s="52" t="s">
        <v>25</v>
      </c>
      <c r="F2651" s="52" t="s">
        <v>26</v>
      </c>
      <c r="G2651" s="53"/>
    </row>
    <row r="2652">
      <c r="A2652" s="49">
        <v>45048.628652858795</v>
      </c>
      <c r="B2652" s="50">
        <v>45048.7536287384</v>
      </c>
      <c r="C2652" s="51">
        <v>1.025</v>
      </c>
      <c r="D2652" s="51">
        <v>63.0</v>
      </c>
      <c r="E2652" s="52" t="s">
        <v>25</v>
      </c>
      <c r="F2652" s="52" t="s">
        <v>26</v>
      </c>
      <c r="G2652" s="53"/>
    </row>
    <row r="2653">
      <c r="A2653" s="49">
        <v>45048.6390783449</v>
      </c>
      <c r="B2653" s="50">
        <v>45048.7640514699</v>
      </c>
      <c r="C2653" s="51">
        <v>1.025</v>
      </c>
      <c r="D2653" s="51">
        <v>63.0</v>
      </c>
      <c r="E2653" s="52" t="s">
        <v>25</v>
      </c>
      <c r="F2653" s="52" t="s">
        <v>26</v>
      </c>
      <c r="G2653" s="53"/>
    </row>
    <row r="2654">
      <c r="A2654" s="49">
        <v>45048.64949792824</v>
      </c>
      <c r="B2654" s="50">
        <v>45048.7744720601</v>
      </c>
      <c r="C2654" s="51">
        <v>1.025</v>
      </c>
      <c r="D2654" s="51">
        <v>63.0</v>
      </c>
      <c r="E2654" s="52" t="s">
        <v>25</v>
      </c>
      <c r="F2654" s="52" t="s">
        <v>26</v>
      </c>
      <c r="G2654" s="53"/>
    </row>
    <row r="2655">
      <c r="A2655" s="49">
        <v>45048.65992827546</v>
      </c>
      <c r="B2655" s="50">
        <v>45048.7849055902</v>
      </c>
      <c r="C2655" s="51">
        <v>1.025</v>
      </c>
      <c r="D2655" s="51">
        <v>63.0</v>
      </c>
      <c r="E2655" s="52" t="s">
        <v>25</v>
      </c>
      <c r="F2655" s="52" t="s">
        <v>26</v>
      </c>
      <c r="G2655" s="53"/>
    </row>
    <row r="2656">
      <c r="A2656" s="49">
        <v>45048.67038144676</v>
      </c>
      <c r="B2656" s="50">
        <v>45048.7953496759</v>
      </c>
      <c r="C2656" s="51">
        <v>1.025</v>
      </c>
      <c r="D2656" s="51">
        <v>63.0</v>
      </c>
      <c r="E2656" s="52" t="s">
        <v>25</v>
      </c>
      <c r="F2656" s="52" t="s">
        <v>26</v>
      </c>
      <c r="G2656" s="53"/>
    </row>
    <row r="2657">
      <c r="A2657" s="49">
        <v>45048.680819444446</v>
      </c>
      <c r="B2657" s="50">
        <v>45048.8057834722</v>
      </c>
      <c r="C2657" s="51">
        <v>1.025</v>
      </c>
      <c r="D2657" s="51">
        <v>63.0</v>
      </c>
      <c r="E2657" s="52" t="s">
        <v>25</v>
      </c>
      <c r="F2657" s="52" t="s">
        <v>26</v>
      </c>
      <c r="G2657" s="53"/>
    </row>
    <row r="2658">
      <c r="A2658" s="49">
        <v>45048.69129321759</v>
      </c>
      <c r="B2658" s="50">
        <v>45048.8162613657</v>
      </c>
      <c r="C2658" s="51">
        <v>1.025</v>
      </c>
      <c r="D2658" s="51">
        <v>63.0</v>
      </c>
      <c r="E2658" s="52" t="s">
        <v>25</v>
      </c>
      <c r="F2658" s="52" t="s">
        <v>26</v>
      </c>
      <c r="G2658" s="53"/>
    </row>
    <row r="2659">
      <c r="A2659" s="49">
        <v>45048.701767569444</v>
      </c>
      <c r="B2659" s="50">
        <v>45048.8267389004</v>
      </c>
      <c r="C2659" s="51">
        <v>1.025</v>
      </c>
      <c r="D2659" s="51">
        <v>63.0</v>
      </c>
      <c r="E2659" s="52" t="s">
        <v>25</v>
      </c>
      <c r="F2659" s="52" t="s">
        <v>26</v>
      </c>
      <c r="G2659" s="53"/>
    </row>
    <row r="2660">
      <c r="A2660" s="49">
        <v>45048.71219440972</v>
      </c>
      <c r="B2660" s="50">
        <v>45048.8371715162</v>
      </c>
      <c r="C2660" s="51">
        <v>1.025</v>
      </c>
      <c r="D2660" s="51">
        <v>63.0</v>
      </c>
      <c r="E2660" s="52" t="s">
        <v>25</v>
      </c>
      <c r="F2660" s="52" t="s">
        <v>26</v>
      </c>
      <c r="G2660" s="53"/>
    </row>
    <row r="2661">
      <c r="A2661" s="49">
        <v>45048.722636446764</v>
      </c>
      <c r="B2661" s="50">
        <v>45048.8476034143</v>
      </c>
      <c r="C2661" s="51">
        <v>1.025</v>
      </c>
      <c r="D2661" s="51">
        <v>63.0</v>
      </c>
      <c r="E2661" s="52" t="s">
        <v>25</v>
      </c>
      <c r="F2661" s="52" t="s">
        <v>26</v>
      </c>
      <c r="G2661" s="53"/>
    </row>
    <row r="2662">
      <c r="A2662" s="49">
        <v>45048.73307795139</v>
      </c>
      <c r="B2662" s="50">
        <v>45048.8580472453</v>
      </c>
      <c r="C2662" s="51">
        <v>1.025</v>
      </c>
      <c r="D2662" s="51">
        <v>63.0</v>
      </c>
      <c r="E2662" s="52" t="s">
        <v>25</v>
      </c>
      <c r="F2662" s="52" t="s">
        <v>26</v>
      </c>
      <c r="G2662" s="53"/>
    </row>
    <row r="2663">
      <c r="A2663" s="49">
        <v>45048.7435012037</v>
      </c>
      <c r="B2663" s="50">
        <v>45048.8684689814</v>
      </c>
      <c r="C2663" s="51">
        <v>1.025</v>
      </c>
      <c r="D2663" s="51">
        <v>63.0</v>
      </c>
      <c r="E2663" s="52" t="s">
        <v>25</v>
      </c>
      <c r="F2663" s="52" t="s">
        <v>26</v>
      </c>
      <c r="G2663" s="53"/>
    </row>
    <row r="2664">
      <c r="A2664" s="49">
        <v>45048.75405123843</v>
      </c>
      <c r="B2664" s="50">
        <v>45048.8789132754</v>
      </c>
      <c r="C2664" s="51">
        <v>1.025</v>
      </c>
      <c r="D2664" s="51">
        <v>63.0</v>
      </c>
      <c r="E2664" s="52" t="s">
        <v>25</v>
      </c>
      <c r="F2664" s="52" t="s">
        <v>26</v>
      </c>
      <c r="G2664" s="53"/>
    </row>
    <row r="2665">
      <c r="A2665" s="49">
        <v>45048.764386469906</v>
      </c>
      <c r="B2665" s="50">
        <v>45048.8893567361</v>
      </c>
      <c r="C2665" s="51">
        <v>1.025</v>
      </c>
      <c r="D2665" s="51">
        <v>63.0</v>
      </c>
      <c r="E2665" s="52" t="s">
        <v>25</v>
      </c>
      <c r="F2665" s="52" t="s">
        <v>26</v>
      </c>
      <c r="G2665" s="53"/>
    </row>
    <row r="2666">
      <c r="A2666" s="49">
        <v>45048.77484640046</v>
      </c>
      <c r="B2666" s="50">
        <v>45048.8998240972</v>
      </c>
      <c r="C2666" s="51">
        <v>1.025</v>
      </c>
      <c r="D2666" s="51">
        <v>63.0</v>
      </c>
      <c r="E2666" s="52" t="s">
        <v>25</v>
      </c>
      <c r="F2666" s="52" t="s">
        <v>26</v>
      </c>
      <c r="G2666" s="53"/>
    </row>
    <row r="2667">
      <c r="A2667" s="49">
        <v>45048.785306342594</v>
      </c>
      <c r="B2667" s="50">
        <v>45048.9102681944</v>
      </c>
      <c r="C2667" s="51">
        <v>1.025</v>
      </c>
      <c r="D2667" s="51">
        <v>63.0</v>
      </c>
      <c r="E2667" s="52" t="s">
        <v>25</v>
      </c>
      <c r="F2667" s="52" t="s">
        <v>26</v>
      </c>
      <c r="G2667" s="53"/>
    </row>
    <row r="2668">
      <c r="A2668" s="49">
        <v>45048.795717719906</v>
      </c>
      <c r="B2668" s="50">
        <v>45048.9206915046</v>
      </c>
      <c r="C2668" s="51">
        <v>1.025</v>
      </c>
      <c r="D2668" s="51">
        <v>63.0</v>
      </c>
      <c r="E2668" s="52" t="s">
        <v>25</v>
      </c>
      <c r="F2668" s="52" t="s">
        <v>26</v>
      </c>
      <c r="G2668" s="53"/>
    </row>
    <row r="2669">
      <c r="A2669" s="49">
        <v>45048.806141423614</v>
      </c>
      <c r="B2669" s="50">
        <v>45048.9311133912</v>
      </c>
      <c r="C2669" s="51">
        <v>1.025</v>
      </c>
      <c r="D2669" s="51">
        <v>63.0</v>
      </c>
      <c r="E2669" s="52" t="s">
        <v>25</v>
      </c>
      <c r="F2669" s="52" t="s">
        <v>26</v>
      </c>
      <c r="G2669" s="53"/>
    </row>
    <row r="2670">
      <c r="A2670" s="49">
        <v>45048.81656261574</v>
      </c>
      <c r="B2670" s="50">
        <v>45048.9415329629</v>
      </c>
      <c r="C2670" s="51">
        <v>1.025</v>
      </c>
      <c r="D2670" s="51">
        <v>63.0</v>
      </c>
      <c r="E2670" s="52" t="s">
        <v>25</v>
      </c>
      <c r="F2670" s="52" t="s">
        <v>26</v>
      </c>
      <c r="G2670" s="53"/>
    </row>
    <row r="2671">
      <c r="A2671" s="49">
        <v>45048.8270334838</v>
      </c>
      <c r="B2671" s="50">
        <v>45048.9519998032</v>
      </c>
      <c r="C2671" s="51">
        <v>1.025</v>
      </c>
      <c r="D2671" s="51">
        <v>63.0</v>
      </c>
      <c r="E2671" s="52" t="s">
        <v>25</v>
      </c>
      <c r="F2671" s="52" t="s">
        <v>26</v>
      </c>
      <c r="G2671" s="53"/>
    </row>
    <row r="2672">
      <c r="A2672" s="49">
        <v>45048.83744984954</v>
      </c>
      <c r="B2672" s="50">
        <v>45048.9624212268</v>
      </c>
      <c r="C2672" s="51">
        <v>1.025</v>
      </c>
      <c r="D2672" s="51">
        <v>63.0</v>
      </c>
      <c r="E2672" s="52" t="s">
        <v>25</v>
      </c>
      <c r="F2672" s="52" t="s">
        <v>26</v>
      </c>
      <c r="G2672" s="53"/>
    </row>
    <row r="2673">
      <c r="A2673" s="49">
        <v>45048.847877685184</v>
      </c>
      <c r="B2673" s="50">
        <v>45048.972854074</v>
      </c>
      <c r="C2673" s="51">
        <v>1.025</v>
      </c>
      <c r="D2673" s="51">
        <v>63.0</v>
      </c>
      <c r="E2673" s="52" t="s">
        <v>25</v>
      </c>
      <c r="F2673" s="52" t="s">
        <v>26</v>
      </c>
      <c r="G2673" s="53"/>
    </row>
    <row r="2674">
      <c r="A2674" s="49">
        <v>45048.858301608794</v>
      </c>
      <c r="B2674" s="50">
        <v>45048.9832752662</v>
      </c>
      <c r="C2674" s="51">
        <v>1.025</v>
      </c>
      <c r="D2674" s="51">
        <v>63.0</v>
      </c>
      <c r="E2674" s="52" t="s">
        <v>25</v>
      </c>
      <c r="F2674" s="52" t="s">
        <v>26</v>
      </c>
      <c r="G2674" s="53"/>
    </row>
    <row r="2675">
      <c r="A2675" s="49">
        <v>45048.86872356481</v>
      </c>
      <c r="B2675" s="50">
        <v>45048.9936975231</v>
      </c>
      <c r="C2675" s="51">
        <v>1.025</v>
      </c>
      <c r="D2675" s="51">
        <v>63.0</v>
      </c>
      <c r="E2675" s="52" t="s">
        <v>25</v>
      </c>
      <c r="F2675" s="52" t="s">
        <v>26</v>
      </c>
      <c r="G2675" s="53"/>
    </row>
    <row r="2676">
      <c r="A2676" s="49">
        <v>45048.879151817135</v>
      </c>
      <c r="B2676" s="50">
        <v>45049.004128206</v>
      </c>
      <c r="C2676" s="51">
        <v>1.025</v>
      </c>
      <c r="D2676" s="51">
        <v>63.0</v>
      </c>
      <c r="E2676" s="52" t="s">
        <v>25</v>
      </c>
      <c r="F2676" s="52" t="s">
        <v>26</v>
      </c>
      <c r="G2676" s="53"/>
    </row>
    <row r="2677">
      <c r="A2677" s="49">
        <v>45048.88957150463</v>
      </c>
      <c r="B2677" s="50">
        <v>45049.0145494907</v>
      </c>
      <c r="C2677" s="51">
        <v>1.025</v>
      </c>
      <c r="D2677" s="51">
        <v>63.0</v>
      </c>
      <c r="E2677" s="52" t="s">
        <v>25</v>
      </c>
      <c r="F2677" s="52" t="s">
        <v>26</v>
      </c>
      <c r="G2677" s="53"/>
    </row>
    <row r="2678">
      <c r="A2678" s="49">
        <v>45048.90003560185</v>
      </c>
      <c r="B2678" s="50">
        <v>45049.0250057754</v>
      </c>
      <c r="C2678" s="51">
        <v>1.025</v>
      </c>
      <c r="D2678" s="51">
        <v>63.0</v>
      </c>
      <c r="E2678" s="52" t="s">
        <v>25</v>
      </c>
      <c r="F2678" s="52" t="s">
        <v>26</v>
      </c>
      <c r="G2678" s="53"/>
    </row>
    <row r="2679">
      <c r="A2679" s="49">
        <v>45048.91045309028</v>
      </c>
      <c r="B2679" s="50">
        <v>45049.03542625</v>
      </c>
      <c r="C2679" s="51">
        <v>1.025</v>
      </c>
      <c r="D2679" s="51">
        <v>63.0</v>
      </c>
      <c r="E2679" s="52" t="s">
        <v>25</v>
      </c>
      <c r="F2679" s="52" t="s">
        <v>26</v>
      </c>
      <c r="G2679" s="53"/>
    </row>
    <row r="2680">
      <c r="A2680" s="49">
        <v>45048.920870104164</v>
      </c>
      <c r="B2680" s="50">
        <v>45049.0458481713</v>
      </c>
      <c r="C2680" s="51">
        <v>1.025</v>
      </c>
      <c r="D2680" s="51">
        <v>63.0</v>
      </c>
      <c r="E2680" s="52" t="s">
        <v>25</v>
      </c>
      <c r="F2680" s="52" t="s">
        <v>26</v>
      </c>
      <c r="G2680" s="53"/>
    </row>
    <row r="2681">
      <c r="A2681" s="49">
        <v>45048.93129878472</v>
      </c>
      <c r="B2681" s="50">
        <v>45049.0562708333</v>
      </c>
      <c r="C2681" s="51">
        <v>1.025</v>
      </c>
      <c r="D2681" s="51">
        <v>63.0</v>
      </c>
      <c r="E2681" s="52" t="s">
        <v>25</v>
      </c>
      <c r="F2681" s="52" t="s">
        <v>26</v>
      </c>
      <c r="G2681" s="53"/>
    </row>
    <row r="2682">
      <c r="A2682" s="49">
        <v>45048.94172048611</v>
      </c>
      <c r="B2682" s="50">
        <v>45049.0666922106</v>
      </c>
      <c r="C2682" s="51">
        <v>1.025</v>
      </c>
      <c r="D2682" s="51">
        <v>63.0</v>
      </c>
      <c r="E2682" s="52" t="s">
        <v>25</v>
      </c>
      <c r="F2682" s="52" t="s">
        <v>26</v>
      </c>
      <c r="G2682" s="53"/>
    </row>
    <row r="2683">
      <c r="A2683" s="49">
        <v>45048.95215037037</v>
      </c>
      <c r="B2683" s="50">
        <v>45049.0771236805</v>
      </c>
      <c r="C2683" s="51">
        <v>1.025</v>
      </c>
      <c r="D2683" s="51">
        <v>63.0</v>
      </c>
      <c r="E2683" s="52" t="s">
        <v>25</v>
      </c>
      <c r="F2683" s="52" t="s">
        <v>26</v>
      </c>
      <c r="G2683" s="53"/>
    </row>
    <row r="2684">
      <c r="A2684" s="49">
        <v>45048.962600706014</v>
      </c>
      <c r="B2684" s="50">
        <v>45049.0875797453</v>
      </c>
      <c r="C2684" s="51">
        <v>1.025</v>
      </c>
      <c r="D2684" s="51">
        <v>63.0</v>
      </c>
      <c r="E2684" s="52" t="s">
        <v>25</v>
      </c>
      <c r="F2684" s="52" t="s">
        <v>26</v>
      </c>
      <c r="G2684" s="53"/>
    </row>
    <row r="2685">
      <c r="A2685" s="49">
        <v>45048.973087418985</v>
      </c>
      <c r="B2685" s="50">
        <v>45049.0980594097</v>
      </c>
      <c r="C2685" s="51">
        <v>1.025</v>
      </c>
      <c r="D2685" s="51">
        <v>63.0</v>
      </c>
      <c r="E2685" s="52" t="s">
        <v>25</v>
      </c>
      <c r="F2685" s="52" t="s">
        <v>26</v>
      </c>
      <c r="G2685" s="53"/>
    </row>
    <row r="2686">
      <c r="A2686" s="49">
        <v>45048.98351627315</v>
      </c>
      <c r="B2686" s="50">
        <v>45049.1084932291</v>
      </c>
      <c r="C2686" s="51">
        <v>1.025</v>
      </c>
      <c r="D2686" s="51">
        <v>63.0</v>
      </c>
      <c r="E2686" s="52" t="s">
        <v>25</v>
      </c>
      <c r="F2686" s="52" t="s">
        <v>26</v>
      </c>
      <c r="G2686" s="53"/>
    </row>
    <row r="2687">
      <c r="A2687" s="49">
        <v>45048.99395851852</v>
      </c>
      <c r="B2687" s="50">
        <v>45049.1189371296</v>
      </c>
      <c r="C2687" s="51">
        <v>1.025</v>
      </c>
      <c r="D2687" s="51">
        <v>63.0</v>
      </c>
      <c r="E2687" s="52" t="s">
        <v>25</v>
      </c>
      <c r="F2687" s="52" t="s">
        <v>26</v>
      </c>
      <c r="G2687" s="53"/>
    </row>
    <row r="2688">
      <c r="A2688" s="49">
        <v>45049.004400254635</v>
      </c>
      <c r="B2688" s="50">
        <v>45049.1293685995</v>
      </c>
      <c r="C2688" s="51">
        <v>1.025</v>
      </c>
      <c r="D2688" s="51">
        <v>63.0</v>
      </c>
      <c r="E2688" s="52" t="s">
        <v>25</v>
      </c>
      <c r="F2688" s="52" t="s">
        <v>26</v>
      </c>
      <c r="G2688" s="53"/>
    </row>
    <row r="2689">
      <c r="A2689" s="49">
        <v>45049.0148649537</v>
      </c>
      <c r="B2689" s="50">
        <v>45049.1398353009</v>
      </c>
      <c r="C2689" s="51">
        <v>1.025</v>
      </c>
      <c r="D2689" s="51">
        <v>63.0</v>
      </c>
      <c r="E2689" s="52" t="s">
        <v>25</v>
      </c>
      <c r="F2689" s="52" t="s">
        <v>26</v>
      </c>
      <c r="G2689" s="53"/>
    </row>
    <row r="2690">
      <c r="A2690" s="49">
        <v>45049.025294583334</v>
      </c>
      <c r="B2690" s="50">
        <v>45049.1502669675</v>
      </c>
      <c r="C2690" s="51">
        <v>1.025</v>
      </c>
      <c r="D2690" s="51">
        <v>63.0</v>
      </c>
      <c r="E2690" s="52" t="s">
        <v>25</v>
      </c>
      <c r="F2690" s="52" t="s">
        <v>26</v>
      </c>
      <c r="G2690" s="53"/>
    </row>
    <row r="2691">
      <c r="A2691" s="49">
        <v>45049.03572166667</v>
      </c>
      <c r="B2691" s="50">
        <v>45049.1607017129</v>
      </c>
      <c r="C2691" s="51">
        <v>1.025</v>
      </c>
      <c r="D2691" s="51">
        <v>63.0</v>
      </c>
      <c r="E2691" s="52" t="s">
        <v>25</v>
      </c>
      <c r="F2691" s="52" t="s">
        <v>26</v>
      </c>
      <c r="G2691" s="53"/>
    </row>
    <row r="2692">
      <c r="A2692" s="49">
        <v>45049.04615391204</v>
      </c>
      <c r="B2692" s="50">
        <v>45049.1711231713</v>
      </c>
      <c r="C2692" s="51">
        <v>1.025</v>
      </c>
      <c r="D2692" s="51">
        <v>63.0</v>
      </c>
      <c r="E2692" s="52" t="s">
        <v>25</v>
      </c>
      <c r="F2692" s="52" t="s">
        <v>26</v>
      </c>
      <c r="G2692" s="53"/>
    </row>
    <row r="2693">
      <c r="A2693" s="49">
        <v>45049.056586192135</v>
      </c>
      <c r="B2693" s="50">
        <v>45049.1815557291</v>
      </c>
      <c r="C2693" s="51">
        <v>1.025</v>
      </c>
      <c r="D2693" s="51">
        <v>63.0</v>
      </c>
      <c r="E2693" s="52" t="s">
        <v>25</v>
      </c>
      <c r="F2693" s="52" t="s">
        <v>26</v>
      </c>
      <c r="G2693" s="53"/>
    </row>
    <row r="2694">
      <c r="A2694" s="49">
        <v>45049.067016597226</v>
      </c>
      <c r="B2694" s="50">
        <v>45049.1919877777</v>
      </c>
      <c r="C2694" s="51">
        <v>1.025</v>
      </c>
      <c r="D2694" s="51">
        <v>63.0</v>
      </c>
      <c r="E2694" s="52" t="s">
        <v>25</v>
      </c>
      <c r="F2694" s="52" t="s">
        <v>26</v>
      </c>
      <c r="G2694" s="53"/>
    </row>
    <row r="2695">
      <c r="A2695" s="49">
        <v>45049.07746649305</v>
      </c>
      <c r="B2695" s="50">
        <v>45049.2024429282</v>
      </c>
      <c r="C2695" s="51">
        <v>1.025</v>
      </c>
      <c r="D2695" s="51">
        <v>63.0</v>
      </c>
      <c r="E2695" s="52" t="s">
        <v>25</v>
      </c>
      <c r="F2695" s="52" t="s">
        <v>26</v>
      </c>
      <c r="G2695" s="53"/>
    </row>
    <row r="2696">
      <c r="A2696" s="49">
        <v>45049.08791278936</v>
      </c>
      <c r="B2696" s="50">
        <v>45049.2128859375</v>
      </c>
      <c r="C2696" s="51">
        <v>1.025</v>
      </c>
      <c r="D2696" s="51">
        <v>63.0</v>
      </c>
      <c r="E2696" s="52" t="s">
        <v>25</v>
      </c>
      <c r="F2696" s="52" t="s">
        <v>26</v>
      </c>
      <c r="G2696" s="53"/>
    </row>
    <row r="2697">
      <c r="A2697" s="49">
        <v>45049.09833275463</v>
      </c>
      <c r="B2697" s="50">
        <v>45049.2233061574</v>
      </c>
      <c r="C2697" s="51">
        <v>1.025</v>
      </c>
      <c r="D2697" s="51">
        <v>63.0</v>
      </c>
      <c r="E2697" s="52" t="s">
        <v>25</v>
      </c>
      <c r="F2697" s="52" t="s">
        <v>26</v>
      </c>
      <c r="G2697" s="53"/>
    </row>
    <row r="2698">
      <c r="A2698" s="49">
        <v>45049.10878026621</v>
      </c>
      <c r="B2698" s="50">
        <v>45049.2337498379</v>
      </c>
      <c r="C2698" s="51">
        <v>1.025</v>
      </c>
      <c r="D2698" s="51">
        <v>63.0</v>
      </c>
      <c r="E2698" s="52" t="s">
        <v>25</v>
      </c>
      <c r="F2698" s="52" t="s">
        <v>26</v>
      </c>
      <c r="G2698" s="53"/>
    </row>
    <row r="2699">
      <c r="A2699" s="49">
        <v>45049.119285821755</v>
      </c>
      <c r="B2699" s="50">
        <v>45049.2442525578</v>
      </c>
      <c r="C2699" s="51">
        <v>1.025</v>
      </c>
      <c r="D2699" s="51">
        <v>63.0</v>
      </c>
      <c r="E2699" s="52" t="s">
        <v>25</v>
      </c>
      <c r="F2699" s="52" t="s">
        <v>26</v>
      </c>
      <c r="G2699" s="53"/>
    </row>
    <row r="2700">
      <c r="A2700" s="49">
        <v>45049.12969758102</v>
      </c>
      <c r="B2700" s="50">
        <v>45049.2546740625</v>
      </c>
      <c r="C2700" s="51">
        <v>1.025</v>
      </c>
      <c r="D2700" s="51">
        <v>63.0</v>
      </c>
      <c r="E2700" s="52" t="s">
        <v>25</v>
      </c>
      <c r="F2700" s="52" t="s">
        <v>26</v>
      </c>
      <c r="G2700" s="53"/>
    </row>
    <row r="2701">
      <c r="A2701" s="49">
        <v>45049.14012405093</v>
      </c>
      <c r="B2701" s="50">
        <v>45049.2650944444</v>
      </c>
      <c r="C2701" s="51">
        <v>1.025</v>
      </c>
      <c r="D2701" s="51">
        <v>63.0</v>
      </c>
      <c r="E2701" s="52" t="s">
        <v>25</v>
      </c>
      <c r="F2701" s="52" t="s">
        <v>26</v>
      </c>
      <c r="G2701" s="53"/>
    </row>
    <row r="2702">
      <c r="A2702" s="49">
        <v>45049.15054664352</v>
      </c>
      <c r="B2702" s="50">
        <v>45049.2755162384</v>
      </c>
      <c r="C2702" s="51">
        <v>1.025</v>
      </c>
      <c r="D2702" s="51">
        <v>63.0</v>
      </c>
      <c r="E2702" s="52" t="s">
        <v>25</v>
      </c>
      <c r="F2702" s="52" t="s">
        <v>26</v>
      </c>
      <c r="G2702" s="53"/>
    </row>
    <row r="2703">
      <c r="A2703" s="49">
        <v>45049.160963692135</v>
      </c>
      <c r="B2703" s="50">
        <v>45049.2859359722</v>
      </c>
      <c r="C2703" s="51">
        <v>1.025</v>
      </c>
      <c r="D2703" s="51">
        <v>63.0</v>
      </c>
      <c r="E2703" s="52" t="s">
        <v>25</v>
      </c>
      <c r="F2703" s="52" t="s">
        <v>26</v>
      </c>
      <c r="G2703" s="53"/>
    </row>
    <row r="2704">
      <c r="A2704" s="49">
        <v>45049.171389537034</v>
      </c>
      <c r="B2704" s="50">
        <v>45049.2963585185</v>
      </c>
      <c r="C2704" s="51">
        <v>1.025</v>
      </c>
      <c r="D2704" s="51">
        <v>63.0</v>
      </c>
      <c r="E2704" s="52" t="s">
        <v>25</v>
      </c>
      <c r="F2704" s="52" t="s">
        <v>26</v>
      </c>
      <c r="G2704" s="53"/>
    </row>
    <row r="2705">
      <c r="A2705" s="49">
        <v>45049.1818059375</v>
      </c>
      <c r="B2705" s="50">
        <v>45049.3067787731</v>
      </c>
      <c r="C2705" s="51">
        <v>1.025</v>
      </c>
      <c r="D2705" s="51">
        <v>63.0</v>
      </c>
      <c r="E2705" s="52" t="s">
        <v>25</v>
      </c>
      <c r="F2705" s="52" t="s">
        <v>26</v>
      </c>
      <c r="G2705" s="53"/>
    </row>
    <row r="2706">
      <c r="A2706" s="49">
        <v>45049.19222140046</v>
      </c>
      <c r="B2706" s="50">
        <v>45049.3172001967</v>
      </c>
      <c r="C2706" s="51">
        <v>1.025</v>
      </c>
      <c r="D2706" s="51">
        <v>63.0</v>
      </c>
      <c r="E2706" s="52" t="s">
        <v>25</v>
      </c>
      <c r="F2706" s="52" t="s">
        <v>26</v>
      </c>
      <c r="G2706" s="53"/>
    </row>
    <row r="2707">
      <c r="A2707" s="49">
        <v>45049.20267113426</v>
      </c>
      <c r="B2707" s="50">
        <v>45049.3276339814</v>
      </c>
      <c r="C2707" s="51">
        <v>1.025</v>
      </c>
      <c r="D2707" s="51">
        <v>63.0</v>
      </c>
      <c r="E2707" s="52" t="s">
        <v>25</v>
      </c>
      <c r="F2707" s="52" t="s">
        <v>26</v>
      </c>
      <c r="G2707" s="53"/>
    </row>
    <row r="2708">
      <c r="A2708" s="49">
        <v>45049.213088668985</v>
      </c>
      <c r="B2708" s="50">
        <v>45049.3380547569</v>
      </c>
      <c r="C2708" s="51">
        <v>1.025</v>
      </c>
      <c r="D2708" s="51">
        <v>63.0</v>
      </c>
      <c r="E2708" s="52" t="s">
        <v>25</v>
      </c>
      <c r="F2708" s="52" t="s">
        <v>26</v>
      </c>
      <c r="G2708" s="53"/>
    </row>
    <row r="2709">
      <c r="A2709" s="49">
        <v>45049.223500567125</v>
      </c>
      <c r="B2709" s="50">
        <v>45049.3484762847</v>
      </c>
      <c r="C2709" s="51">
        <v>1.025</v>
      </c>
      <c r="D2709" s="51">
        <v>63.0</v>
      </c>
      <c r="E2709" s="52" t="s">
        <v>25</v>
      </c>
      <c r="F2709" s="52" t="s">
        <v>26</v>
      </c>
      <c r="G2709" s="53"/>
    </row>
    <row r="2710">
      <c r="A2710" s="49">
        <v>45049.233923321764</v>
      </c>
      <c r="B2710" s="50">
        <v>45049.3588976504</v>
      </c>
      <c r="C2710" s="51">
        <v>1.025</v>
      </c>
      <c r="D2710" s="51">
        <v>63.0</v>
      </c>
      <c r="E2710" s="52" t="s">
        <v>25</v>
      </c>
      <c r="F2710" s="52" t="s">
        <v>26</v>
      </c>
      <c r="G2710" s="53"/>
    </row>
    <row r="2711">
      <c r="A2711" s="49">
        <v>45049.24433715278</v>
      </c>
      <c r="B2711" s="50">
        <v>45049.3693174537</v>
      </c>
      <c r="C2711" s="51">
        <v>1.025</v>
      </c>
      <c r="D2711" s="51">
        <v>63.0</v>
      </c>
      <c r="E2711" s="52" t="s">
        <v>25</v>
      </c>
      <c r="F2711" s="52" t="s">
        <v>26</v>
      </c>
      <c r="G2711" s="53"/>
    </row>
    <row r="2712">
      <c r="A2712" s="49">
        <v>45049.25477290509</v>
      </c>
      <c r="B2712" s="50">
        <v>45049.3797386342</v>
      </c>
      <c r="C2712" s="51">
        <v>1.025</v>
      </c>
      <c r="D2712" s="51">
        <v>63.0</v>
      </c>
      <c r="E2712" s="52" t="s">
        <v>25</v>
      </c>
      <c r="F2712" s="52" t="s">
        <v>26</v>
      </c>
      <c r="G2712" s="53"/>
    </row>
    <row r="2713">
      <c r="A2713" s="49">
        <v>45049.26518797454</v>
      </c>
      <c r="B2713" s="50">
        <v>45049.39015978</v>
      </c>
      <c r="C2713" s="51">
        <v>1.025</v>
      </c>
      <c r="D2713" s="51">
        <v>63.0</v>
      </c>
      <c r="E2713" s="52" t="s">
        <v>25</v>
      </c>
      <c r="F2713" s="52" t="s">
        <v>26</v>
      </c>
      <c r="G2713" s="53"/>
    </row>
    <row r="2714">
      <c r="A2714" s="49">
        <v>45049.275606828705</v>
      </c>
      <c r="B2714" s="50">
        <v>45049.4005803125</v>
      </c>
      <c r="C2714" s="51">
        <v>1.025</v>
      </c>
      <c r="D2714" s="51">
        <v>63.0</v>
      </c>
      <c r="E2714" s="52" t="s">
        <v>25</v>
      </c>
      <c r="F2714" s="52" t="s">
        <v>26</v>
      </c>
      <c r="G2714" s="53"/>
    </row>
    <row r="2715">
      <c r="A2715" s="49">
        <v>45049.2860287963</v>
      </c>
      <c r="B2715" s="50">
        <v>45049.4110005324</v>
      </c>
      <c r="C2715" s="51">
        <v>1.025</v>
      </c>
      <c r="D2715" s="51">
        <v>63.0</v>
      </c>
      <c r="E2715" s="52" t="s">
        <v>25</v>
      </c>
      <c r="F2715" s="52" t="s">
        <v>26</v>
      </c>
      <c r="G2715" s="53"/>
    </row>
    <row r="2716">
      <c r="A2716" s="49">
        <v>45049.29646583334</v>
      </c>
      <c r="B2716" s="50">
        <v>45049.42142228</v>
      </c>
      <c r="C2716" s="51">
        <v>1.025</v>
      </c>
      <c r="D2716" s="51">
        <v>63.0</v>
      </c>
      <c r="E2716" s="52" t="s">
        <v>25</v>
      </c>
      <c r="F2716" s="52" t="s">
        <v>26</v>
      </c>
      <c r="G2716" s="53"/>
    </row>
    <row r="2717">
      <c r="A2717" s="49">
        <v>45049.3068922338</v>
      </c>
      <c r="B2717" s="50">
        <v>45049.4318548842</v>
      </c>
      <c r="C2717" s="51">
        <v>1.025</v>
      </c>
      <c r="D2717" s="51">
        <v>63.0</v>
      </c>
      <c r="E2717" s="52" t="s">
        <v>25</v>
      </c>
      <c r="F2717" s="52" t="s">
        <v>26</v>
      </c>
      <c r="G2717" s="53"/>
    </row>
    <row r="2718">
      <c r="A2718" s="49">
        <v>45049.317338865745</v>
      </c>
      <c r="B2718" s="50">
        <v>45049.4423096527</v>
      </c>
      <c r="C2718" s="51">
        <v>1.025</v>
      </c>
      <c r="D2718" s="51">
        <v>63.0</v>
      </c>
      <c r="E2718" s="52" t="s">
        <v>25</v>
      </c>
      <c r="F2718" s="52" t="s">
        <v>26</v>
      </c>
      <c r="G2718" s="53"/>
    </row>
    <row r="2719">
      <c r="A2719" s="49">
        <v>45049.32777771991</v>
      </c>
      <c r="B2719" s="50">
        <v>45049.4527549652</v>
      </c>
      <c r="C2719" s="51">
        <v>1.025</v>
      </c>
      <c r="D2719" s="51">
        <v>63.0</v>
      </c>
      <c r="E2719" s="52" t="s">
        <v>25</v>
      </c>
      <c r="F2719" s="52" t="s">
        <v>26</v>
      </c>
      <c r="G2719" s="53"/>
    </row>
    <row r="2720">
      <c r="A2720" s="49">
        <v>45049.33820636574</v>
      </c>
      <c r="B2720" s="50">
        <v>45049.463185868</v>
      </c>
      <c r="C2720" s="51">
        <v>1.025</v>
      </c>
      <c r="D2720" s="51">
        <v>63.0</v>
      </c>
      <c r="E2720" s="52" t="s">
        <v>25</v>
      </c>
      <c r="F2720" s="52" t="s">
        <v>26</v>
      </c>
      <c r="G2720" s="53"/>
    </row>
    <row r="2721">
      <c r="A2721" s="49">
        <v>45049.348698773145</v>
      </c>
      <c r="B2721" s="50">
        <v>45049.4736655902</v>
      </c>
      <c r="C2721" s="51">
        <v>1.025</v>
      </c>
      <c r="D2721" s="51">
        <v>63.0</v>
      </c>
      <c r="E2721" s="52" t="s">
        <v>25</v>
      </c>
      <c r="F2721" s="52" t="s">
        <v>26</v>
      </c>
      <c r="G2721" s="53"/>
    </row>
    <row r="2722">
      <c r="A2722" s="49">
        <v>45049.359126296295</v>
      </c>
      <c r="B2722" s="50">
        <v>45049.4840983796</v>
      </c>
      <c r="C2722" s="51">
        <v>1.025</v>
      </c>
      <c r="D2722" s="51">
        <v>63.0</v>
      </c>
      <c r="E2722" s="52" t="s">
        <v>25</v>
      </c>
      <c r="F2722" s="52" t="s">
        <v>26</v>
      </c>
      <c r="G2722" s="53"/>
    </row>
    <row r="2723">
      <c r="A2723" s="49">
        <v>45049.3695450463</v>
      </c>
      <c r="B2723" s="50">
        <v>45049.4945184722</v>
      </c>
      <c r="C2723" s="51">
        <v>1.025</v>
      </c>
      <c r="D2723" s="51">
        <v>63.0</v>
      </c>
      <c r="E2723" s="52" t="s">
        <v>25</v>
      </c>
      <c r="F2723" s="52" t="s">
        <v>26</v>
      </c>
      <c r="G2723" s="53"/>
    </row>
    <row r="2724">
      <c r="A2724" s="49">
        <v>45049.379967835644</v>
      </c>
      <c r="B2724" s="50">
        <v>45049.5049395717</v>
      </c>
      <c r="C2724" s="51">
        <v>1.025</v>
      </c>
      <c r="D2724" s="51">
        <v>63.0</v>
      </c>
      <c r="E2724" s="52" t="s">
        <v>25</v>
      </c>
      <c r="F2724" s="52" t="s">
        <v>26</v>
      </c>
      <c r="G2724" s="53"/>
    </row>
    <row r="2725">
      <c r="A2725" s="49">
        <v>45049.390389050925</v>
      </c>
      <c r="B2725" s="50">
        <v>45049.51536125</v>
      </c>
      <c r="C2725" s="51">
        <v>1.025</v>
      </c>
      <c r="D2725" s="51">
        <v>63.0</v>
      </c>
      <c r="E2725" s="52" t="s">
        <v>25</v>
      </c>
      <c r="F2725" s="52" t="s">
        <v>26</v>
      </c>
      <c r="G2725" s="53"/>
    </row>
    <row r="2726">
      <c r="A2726" s="49">
        <v>45049.40080722222</v>
      </c>
      <c r="B2726" s="50">
        <v>45049.525780787</v>
      </c>
      <c r="C2726" s="51">
        <v>1.025</v>
      </c>
      <c r="D2726" s="51">
        <v>63.0</v>
      </c>
      <c r="E2726" s="52" t="s">
        <v>25</v>
      </c>
      <c r="F2726" s="52" t="s">
        <v>26</v>
      </c>
      <c r="G2726" s="53"/>
    </row>
    <row r="2727">
      <c r="A2727" s="49">
        <v>45049.41122592593</v>
      </c>
      <c r="B2727" s="50">
        <v>45049.5362021875</v>
      </c>
      <c r="C2727" s="51">
        <v>1.025</v>
      </c>
      <c r="D2727" s="51">
        <v>63.0</v>
      </c>
      <c r="E2727" s="52" t="s">
        <v>25</v>
      </c>
      <c r="F2727" s="52" t="s">
        <v>26</v>
      </c>
      <c r="G2727" s="53"/>
    </row>
    <row r="2728">
      <c r="A2728" s="49">
        <v>45049.42169229167</v>
      </c>
      <c r="B2728" s="50">
        <v>45049.5466676736</v>
      </c>
      <c r="C2728" s="51">
        <v>1.025</v>
      </c>
      <c r="D2728" s="51">
        <v>63.0</v>
      </c>
      <c r="E2728" s="52" t="s">
        <v>25</v>
      </c>
      <c r="F2728" s="52" t="s">
        <v>26</v>
      </c>
      <c r="G2728" s="53"/>
    </row>
    <row r="2729">
      <c r="A2729" s="49">
        <v>45049.43211194444</v>
      </c>
      <c r="B2729" s="50">
        <v>45049.5570893981</v>
      </c>
      <c r="C2729" s="51">
        <v>1.025</v>
      </c>
      <c r="D2729" s="51">
        <v>63.0</v>
      </c>
      <c r="E2729" s="52" t="s">
        <v>25</v>
      </c>
      <c r="F2729" s="52" t="s">
        <v>26</v>
      </c>
      <c r="G2729" s="53"/>
    </row>
    <row r="2730">
      <c r="A2730" s="49">
        <v>45049.442529733795</v>
      </c>
      <c r="B2730" s="50">
        <v>45049.567510162</v>
      </c>
      <c r="C2730" s="51">
        <v>1.025</v>
      </c>
      <c r="D2730" s="51">
        <v>63.0</v>
      </c>
      <c r="E2730" s="52" t="s">
        <v>25</v>
      </c>
      <c r="F2730" s="52" t="s">
        <v>26</v>
      </c>
      <c r="G2730" s="53"/>
    </row>
    <row r="2731">
      <c r="A2731" s="49">
        <v>45049.45298541666</v>
      </c>
      <c r="B2731" s="50">
        <v>45049.5779539699</v>
      </c>
      <c r="C2731" s="51">
        <v>1.025</v>
      </c>
      <c r="D2731" s="51">
        <v>63.0</v>
      </c>
      <c r="E2731" s="52" t="s">
        <v>25</v>
      </c>
      <c r="F2731" s="52" t="s">
        <v>26</v>
      </c>
      <c r="G2731" s="53"/>
    </row>
    <row r="2732">
      <c r="A2732" s="49">
        <v>45049.46340418981</v>
      </c>
      <c r="B2732" s="50">
        <v>45049.5883743055</v>
      </c>
      <c r="C2732" s="51">
        <v>1.025</v>
      </c>
      <c r="D2732" s="51">
        <v>63.0</v>
      </c>
      <c r="E2732" s="52" t="s">
        <v>25</v>
      </c>
      <c r="F2732" s="52" t="s">
        <v>26</v>
      </c>
      <c r="G2732" s="53"/>
    </row>
    <row r="2733">
      <c r="A2733" s="49">
        <v>45049.47382431713</v>
      </c>
      <c r="B2733" s="50">
        <v>45049.5987966319</v>
      </c>
      <c r="C2733" s="51">
        <v>1.025</v>
      </c>
      <c r="D2733" s="51">
        <v>63.0</v>
      </c>
      <c r="E2733" s="52" t="s">
        <v>25</v>
      </c>
      <c r="F2733" s="52" t="s">
        <v>26</v>
      </c>
      <c r="G2733" s="53"/>
    </row>
    <row r="2734">
      <c r="A2734" s="49">
        <v>45049.48426590278</v>
      </c>
      <c r="B2734" s="50">
        <v>45049.6092409143</v>
      </c>
      <c r="C2734" s="51">
        <v>1.025</v>
      </c>
      <c r="D2734" s="51">
        <v>63.0</v>
      </c>
      <c r="E2734" s="52" t="s">
        <v>25</v>
      </c>
      <c r="F2734" s="52" t="s">
        <v>26</v>
      </c>
      <c r="G2734" s="53"/>
    </row>
    <row r="2735">
      <c r="A2735" s="49">
        <v>45049.49469320602</v>
      </c>
      <c r="B2735" s="50">
        <v>45049.6196633333</v>
      </c>
      <c r="C2735" s="51">
        <v>1.025</v>
      </c>
      <c r="D2735" s="51">
        <v>63.0</v>
      </c>
      <c r="E2735" s="52" t="s">
        <v>25</v>
      </c>
      <c r="F2735" s="52" t="s">
        <v>26</v>
      </c>
      <c r="G2735" s="53"/>
    </row>
    <row r="2736">
      <c r="A2736" s="49">
        <v>45049.50510980324</v>
      </c>
      <c r="B2736" s="50">
        <v>45049.630083831</v>
      </c>
      <c r="C2736" s="51">
        <v>1.025</v>
      </c>
      <c r="D2736" s="51">
        <v>63.0</v>
      </c>
      <c r="E2736" s="52" t="s">
        <v>25</v>
      </c>
      <c r="F2736" s="52" t="s">
        <v>26</v>
      </c>
      <c r="G2736" s="53"/>
    </row>
    <row r="2737">
      <c r="A2737" s="49">
        <v>45049.51552667824</v>
      </c>
      <c r="B2737" s="50">
        <v>45049.640505706</v>
      </c>
      <c r="C2737" s="51">
        <v>1.024</v>
      </c>
      <c r="D2737" s="51">
        <v>63.0</v>
      </c>
      <c r="E2737" s="52" t="s">
        <v>25</v>
      </c>
      <c r="F2737" s="52" t="s">
        <v>26</v>
      </c>
      <c r="G2737" s="53"/>
    </row>
    <row r="2738">
      <c r="A2738" s="49">
        <v>45049.52594979167</v>
      </c>
      <c r="B2738" s="50">
        <v>45049.6509257176</v>
      </c>
      <c r="C2738" s="51">
        <v>1.025</v>
      </c>
      <c r="D2738" s="51">
        <v>63.0</v>
      </c>
      <c r="E2738" s="52" t="s">
        <v>25</v>
      </c>
      <c r="F2738" s="52" t="s">
        <v>26</v>
      </c>
      <c r="G2738" s="53"/>
    </row>
    <row r="2739">
      <c r="A2739" s="49">
        <v>45049.53640869213</v>
      </c>
      <c r="B2739" s="50">
        <v>45049.6613596875</v>
      </c>
      <c r="C2739" s="51">
        <v>1.025</v>
      </c>
      <c r="D2739" s="51">
        <v>63.0</v>
      </c>
      <c r="E2739" s="52" t="s">
        <v>25</v>
      </c>
      <c r="F2739" s="52" t="s">
        <v>26</v>
      </c>
      <c r="G2739" s="53"/>
    </row>
    <row r="2740">
      <c r="A2740" s="49">
        <v>45049.54681046296</v>
      </c>
      <c r="B2740" s="50">
        <v>45049.6717813426</v>
      </c>
      <c r="C2740" s="51">
        <v>1.024</v>
      </c>
      <c r="D2740" s="51">
        <v>63.0</v>
      </c>
      <c r="E2740" s="52" t="s">
        <v>25</v>
      </c>
      <c r="F2740" s="52" t="s">
        <v>26</v>
      </c>
      <c r="G2740" s="53"/>
    </row>
    <row r="2741">
      <c r="A2741" s="49">
        <v>45049.55723104167</v>
      </c>
      <c r="B2741" s="50">
        <v>45049.6822024421</v>
      </c>
      <c r="C2741" s="51">
        <v>1.024</v>
      </c>
      <c r="D2741" s="51">
        <v>63.0</v>
      </c>
      <c r="E2741" s="52" t="s">
        <v>25</v>
      </c>
      <c r="F2741" s="52" t="s">
        <v>26</v>
      </c>
      <c r="G2741" s="53"/>
    </row>
    <row r="2742">
      <c r="A2742" s="49">
        <v>45049.567648344906</v>
      </c>
      <c r="B2742" s="50">
        <v>45049.692624699</v>
      </c>
      <c r="C2742" s="51">
        <v>1.025</v>
      </c>
      <c r="D2742" s="51">
        <v>63.0</v>
      </c>
      <c r="E2742" s="52" t="s">
        <v>25</v>
      </c>
      <c r="F2742" s="52" t="s">
        <v>26</v>
      </c>
      <c r="G2742" s="53"/>
    </row>
    <row r="2743">
      <c r="A2743" s="49">
        <v>45049.57807430555</v>
      </c>
      <c r="B2743" s="50">
        <v>45049.7030448842</v>
      </c>
      <c r="C2743" s="51">
        <v>1.024</v>
      </c>
      <c r="D2743" s="51">
        <v>63.0</v>
      </c>
      <c r="E2743" s="52" t="s">
        <v>25</v>
      </c>
      <c r="F2743" s="52" t="s">
        <v>26</v>
      </c>
      <c r="G2743" s="53"/>
    </row>
    <row r="2744">
      <c r="A2744" s="49">
        <v>45049.58849002315</v>
      </c>
      <c r="B2744" s="50">
        <v>45049.7134648726</v>
      </c>
      <c r="C2744" s="51">
        <v>1.025</v>
      </c>
      <c r="D2744" s="51">
        <v>63.0</v>
      </c>
      <c r="E2744" s="52" t="s">
        <v>25</v>
      </c>
      <c r="F2744" s="52" t="s">
        <v>26</v>
      </c>
      <c r="G2744" s="53"/>
    </row>
    <row r="2745">
      <c r="A2745" s="49">
        <v>45049.59891296296</v>
      </c>
      <c r="B2745" s="50">
        <v>45049.7238863773</v>
      </c>
      <c r="C2745" s="51">
        <v>1.024</v>
      </c>
      <c r="D2745" s="51">
        <v>63.0</v>
      </c>
      <c r="E2745" s="52" t="s">
        <v>25</v>
      </c>
      <c r="F2745" s="52" t="s">
        <v>26</v>
      </c>
      <c r="G2745" s="53"/>
    </row>
    <row r="2746">
      <c r="A2746" s="49">
        <v>45049.60935349537</v>
      </c>
      <c r="B2746" s="50">
        <v>45049.7343307638</v>
      </c>
      <c r="C2746" s="51">
        <v>1.025</v>
      </c>
      <c r="D2746" s="51">
        <v>63.0</v>
      </c>
      <c r="E2746" s="52" t="s">
        <v>25</v>
      </c>
      <c r="F2746" s="52" t="s">
        <v>26</v>
      </c>
      <c r="G2746" s="53"/>
    </row>
    <row r="2747">
      <c r="A2747" s="49">
        <v>45049.61979798611</v>
      </c>
      <c r="B2747" s="50">
        <v>45049.7447747222</v>
      </c>
      <c r="C2747" s="51">
        <v>1.025</v>
      </c>
      <c r="D2747" s="51">
        <v>63.0</v>
      </c>
      <c r="E2747" s="52" t="s">
        <v>25</v>
      </c>
      <c r="F2747" s="52" t="s">
        <v>26</v>
      </c>
      <c r="G2747" s="53"/>
    </row>
    <row r="2748">
      <c r="A2748" s="49">
        <v>45049.63021318287</v>
      </c>
      <c r="B2748" s="50">
        <v>45049.7551955902</v>
      </c>
      <c r="C2748" s="51">
        <v>1.025</v>
      </c>
      <c r="D2748" s="51">
        <v>63.0</v>
      </c>
      <c r="E2748" s="52" t="s">
        <v>25</v>
      </c>
      <c r="F2748" s="52" t="s">
        <v>26</v>
      </c>
      <c r="G2748" s="53"/>
    </row>
    <row r="2749">
      <c r="A2749" s="49">
        <v>45049.64065273148</v>
      </c>
      <c r="B2749" s="50">
        <v>45049.7656293055</v>
      </c>
      <c r="C2749" s="51">
        <v>1.024</v>
      </c>
      <c r="D2749" s="51">
        <v>63.0</v>
      </c>
      <c r="E2749" s="52" t="s">
        <v>25</v>
      </c>
      <c r="F2749" s="52" t="s">
        <v>26</v>
      </c>
      <c r="G2749" s="53"/>
    </row>
    <row r="2750">
      <c r="A2750" s="49">
        <v>45049.65111328704</v>
      </c>
      <c r="B2750" s="50">
        <v>45049.7760882986</v>
      </c>
      <c r="C2750" s="51">
        <v>1.024</v>
      </c>
      <c r="D2750" s="51">
        <v>63.0</v>
      </c>
      <c r="E2750" s="52" t="s">
        <v>25</v>
      </c>
      <c r="F2750" s="52" t="s">
        <v>26</v>
      </c>
      <c r="G2750" s="53"/>
    </row>
    <row r="2751">
      <c r="A2751" s="49">
        <v>45049.661566678245</v>
      </c>
      <c r="B2751" s="50">
        <v>45049.7865458333</v>
      </c>
      <c r="C2751" s="51">
        <v>1.024</v>
      </c>
      <c r="D2751" s="51">
        <v>63.0</v>
      </c>
      <c r="E2751" s="52" t="s">
        <v>25</v>
      </c>
      <c r="F2751" s="52" t="s">
        <v>26</v>
      </c>
      <c r="G2751" s="53"/>
    </row>
    <row r="2752">
      <c r="A2752" s="49">
        <v>45049.67198302083</v>
      </c>
      <c r="B2752" s="50">
        <v>45049.79696603</v>
      </c>
      <c r="C2752" s="51">
        <v>1.024</v>
      </c>
      <c r="D2752" s="51">
        <v>63.0</v>
      </c>
      <c r="E2752" s="52" t="s">
        <v>25</v>
      </c>
      <c r="F2752" s="52" t="s">
        <v>26</v>
      </c>
      <c r="G2752" s="53"/>
    </row>
    <row r="2753">
      <c r="A2753" s="49">
        <v>45049.68241460648</v>
      </c>
      <c r="B2753" s="50">
        <v>45049.8073877314</v>
      </c>
      <c r="C2753" s="51">
        <v>1.024</v>
      </c>
      <c r="D2753" s="51">
        <v>63.0</v>
      </c>
      <c r="E2753" s="52" t="s">
        <v>25</v>
      </c>
      <c r="F2753" s="52" t="s">
        <v>26</v>
      </c>
      <c r="G2753" s="53"/>
    </row>
    <row r="2754">
      <c r="A2754" s="49">
        <v>45049.69294130787</v>
      </c>
      <c r="B2754" s="50">
        <v>45049.8178688194</v>
      </c>
      <c r="C2754" s="51">
        <v>1.025</v>
      </c>
      <c r="D2754" s="51">
        <v>63.0</v>
      </c>
      <c r="E2754" s="52" t="s">
        <v>25</v>
      </c>
      <c r="F2754" s="52" t="s">
        <v>26</v>
      </c>
      <c r="G2754" s="53"/>
    </row>
    <row r="2755">
      <c r="A2755" s="49">
        <v>45049.70335549768</v>
      </c>
      <c r="B2755" s="50">
        <v>45049.8282906828</v>
      </c>
      <c r="C2755" s="51">
        <v>1.024</v>
      </c>
      <c r="D2755" s="51">
        <v>63.0</v>
      </c>
      <c r="E2755" s="52" t="s">
        <v>25</v>
      </c>
      <c r="F2755" s="52" t="s">
        <v>26</v>
      </c>
      <c r="G2755" s="53"/>
    </row>
    <row r="2756">
      <c r="A2756" s="49">
        <v>45049.71377960648</v>
      </c>
      <c r="B2756" s="50">
        <v>45049.8387113425</v>
      </c>
      <c r="C2756" s="51">
        <v>1.024</v>
      </c>
      <c r="D2756" s="51">
        <v>63.0</v>
      </c>
      <c r="E2756" s="52" t="s">
        <v>25</v>
      </c>
      <c r="F2756" s="52" t="s">
        <v>26</v>
      </c>
      <c r="G2756" s="53"/>
    </row>
    <row r="2757">
      <c r="A2757" s="49">
        <v>45049.7241505787</v>
      </c>
      <c r="B2757" s="50">
        <v>45049.849130625</v>
      </c>
      <c r="C2757" s="51">
        <v>1.024</v>
      </c>
      <c r="D2757" s="51">
        <v>63.0</v>
      </c>
      <c r="E2757" s="52" t="s">
        <v>25</v>
      </c>
      <c r="F2757" s="52" t="s">
        <v>26</v>
      </c>
      <c r="G2757" s="53"/>
    </row>
    <row r="2758">
      <c r="A2758" s="49">
        <v>45049.73462643518</v>
      </c>
      <c r="B2758" s="50">
        <v>45049.8595629513</v>
      </c>
      <c r="C2758" s="51">
        <v>1.024</v>
      </c>
      <c r="D2758" s="51">
        <v>63.0</v>
      </c>
      <c r="E2758" s="52" t="s">
        <v>25</v>
      </c>
      <c r="F2758" s="52" t="s">
        <v>26</v>
      </c>
      <c r="G2758" s="53"/>
    </row>
    <row r="2759">
      <c r="A2759" s="49">
        <v>45049.745054444444</v>
      </c>
      <c r="B2759" s="50">
        <v>45049.8699827314</v>
      </c>
      <c r="C2759" s="51">
        <v>1.024</v>
      </c>
      <c r="D2759" s="51">
        <v>63.0</v>
      </c>
      <c r="E2759" s="52" t="s">
        <v>25</v>
      </c>
      <c r="F2759" s="52" t="s">
        <v>26</v>
      </c>
      <c r="G2759" s="53"/>
    </row>
    <row r="2760">
      <c r="A2760" s="49">
        <v>45049.75543329861</v>
      </c>
      <c r="B2760" s="50">
        <v>45049.8804035185</v>
      </c>
      <c r="C2760" s="51">
        <v>1.025</v>
      </c>
      <c r="D2760" s="51">
        <v>63.0</v>
      </c>
      <c r="E2760" s="52" t="s">
        <v>25</v>
      </c>
      <c r="F2760" s="52" t="s">
        <v>26</v>
      </c>
      <c r="G2760" s="53"/>
    </row>
    <row r="2761">
      <c r="A2761" s="49">
        <v>45049.76584894676</v>
      </c>
      <c r="B2761" s="50">
        <v>45049.8908238657</v>
      </c>
      <c r="C2761" s="51">
        <v>1.024</v>
      </c>
      <c r="D2761" s="51">
        <v>63.0</v>
      </c>
      <c r="E2761" s="52" t="s">
        <v>25</v>
      </c>
      <c r="F2761" s="52" t="s">
        <v>26</v>
      </c>
      <c r="G2761" s="53"/>
    </row>
    <row r="2762">
      <c r="A2762" s="49">
        <v>45049.77628091435</v>
      </c>
      <c r="B2762" s="50">
        <v>45049.90125853</v>
      </c>
      <c r="C2762" s="51">
        <v>1.024</v>
      </c>
      <c r="D2762" s="51">
        <v>63.0</v>
      </c>
      <c r="E2762" s="52" t="s">
        <v>25</v>
      </c>
      <c r="F2762" s="52" t="s">
        <v>26</v>
      </c>
      <c r="G2762" s="53"/>
    </row>
    <row r="2763">
      <c r="A2763" s="49">
        <v>45049.78670028935</v>
      </c>
      <c r="B2763" s="50">
        <v>45049.9116803935</v>
      </c>
      <c r="C2763" s="51">
        <v>1.024</v>
      </c>
      <c r="D2763" s="51">
        <v>63.0</v>
      </c>
      <c r="E2763" s="52" t="s">
        <v>25</v>
      </c>
      <c r="F2763" s="52" t="s">
        <v>26</v>
      </c>
      <c r="G2763" s="53"/>
    </row>
    <row r="2764">
      <c r="A2764" s="49">
        <v>45049.797120717594</v>
      </c>
      <c r="B2764" s="50">
        <v>45049.9221003703</v>
      </c>
      <c r="C2764" s="51">
        <v>1.024</v>
      </c>
      <c r="D2764" s="51">
        <v>63.0</v>
      </c>
      <c r="E2764" s="52" t="s">
        <v>25</v>
      </c>
      <c r="F2764" s="52" t="s">
        <v>26</v>
      </c>
      <c r="G2764" s="53"/>
    </row>
    <row r="2765">
      <c r="A2765" s="49">
        <v>45049.807618182866</v>
      </c>
      <c r="B2765" s="50">
        <v>45049.9325688194</v>
      </c>
      <c r="C2765" s="51">
        <v>1.024</v>
      </c>
      <c r="D2765" s="51">
        <v>63.0</v>
      </c>
      <c r="E2765" s="52" t="s">
        <v>25</v>
      </c>
      <c r="F2765" s="52" t="s">
        <v>26</v>
      </c>
      <c r="G2765" s="53"/>
    </row>
    <row r="2766">
      <c r="A2766" s="49">
        <v>45049.81806586805</v>
      </c>
      <c r="B2766" s="50">
        <v>45049.9429895833</v>
      </c>
      <c r="C2766" s="51">
        <v>1.024</v>
      </c>
      <c r="D2766" s="51">
        <v>63.0</v>
      </c>
      <c r="E2766" s="52" t="s">
        <v>25</v>
      </c>
      <c r="F2766" s="52" t="s">
        <v>26</v>
      </c>
      <c r="G2766" s="53"/>
    </row>
    <row r="2767">
      <c r="A2767" s="49">
        <v>45049.82850292824</v>
      </c>
      <c r="B2767" s="50">
        <v>45049.9534328356</v>
      </c>
      <c r="C2767" s="51">
        <v>1.024</v>
      </c>
      <c r="D2767" s="51">
        <v>63.0</v>
      </c>
      <c r="E2767" s="52" t="s">
        <v>25</v>
      </c>
      <c r="F2767" s="52" t="s">
        <v>26</v>
      </c>
      <c r="G2767" s="53"/>
    </row>
    <row r="2768">
      <c r="A2768" s="49">
        <v>45049.838922407405</v>
      </c>
      <c r="B2768" s="50">
        <v>45049.9638673379</v>
      </c>
      <c r="C2768" s="51">
        <v>1.024</v>
      </c>
      <c r="D2768" s="51">
        <v>63.0</v>
      </c>
      <c r="E2768" s="52" t="s">
        <v>25</v>
      </c>
      <c r="F2768" s="52" t="s">
        <v>26</v>
      </c>
      <c r="G2768" s="53"/>
    </row>
    <row r="2769">
      <c r="A2769" s="49">
        <v>45049.84933710648</v>
      </c>
      <c r="B2769" s="50">
        <v>45049.9742881944</v>
      </c>
      <c r="C2769" s="51">
        <v>1.024</v>
      </c>
      <c r="D2769" s="51">
        <v>63.0</v>
      </c>
      <c r="E2769" s="52" t="s">
        <v>25</v>
      </c>
      <c r="F2769" s="52" t="s">
        <v>26</v>
      </c>
      <c r="G2769" s="53"/>
    </row>
    <row r="2770">
      <c r="A2770" s="49">
        <v>45049.859757743056</v>
      </c>
      <c r="B2770" s="50">
        <v>45049.9847075463</v>
      </c>
      <c r="C2770" s="51">
        <v>1.024</v>
      </c>
      <c r="D2770" s="51">
        <v>63.0</v>
      </c>
      <c r="E2770" s="52" t="s">
        <v>25</v>
      </c>
      <c r="F2770" s="52" t="s">
        <v>26</v>
      </c>
      <c r="G2770" s="53"/>
    </row>
    <row r="2771">
      <c r="A2771" s="49">
        <v>45049.87018799769</v>
      </c>
      <c r="B2771" s="50">
        <v>45049.9951409259</v>
      </c>
      <c r="C2771" s="51">
        <v>1.024</v>
      </c>
      <c r="D2771" s="51">
        <v>63.0</v>
      </c>
      <c r="E2771" s="52" t="s">
        <v>25</v>
      </c>
      <c r="F2771" s="52" t="s">
        <v>26</v>
      </c>
      <c r="G2771" s="53"/>
    </row>
    <row r="2772">
      <c r="A2772" s="49">
        <v>45049.88060798611</v>
      </c>
      <c r="B2772" s="50">
        <v>45050.0055620138</v>
      </c>
      <c r="C2772" s="51">
        <v>1.024</v>
      </c>
      <c r="D2772" s="51">
        <v>63.0</v>
      </c>
      <c r="E2772" s="52" t="s">
        <v>25</v>
      </c>
      <c r="F2772" s="52" t="s">
        <v>26</v>
      </c>
      <c r="G2772" s="53"/>
    </row>
    <row r="2773">
      <c r="A2773" s="49">
        <v>45049.89102170139</v>
      </c>
      <c r="B2773" s="50">
        <v>45050.0159847569</v>
      </c>
      <c r="C2773" s="51">
        <v>1.024</v>
      </c>
      <c r="D2773" s="51">
        <v>63.0</v>
      </c>
      <c r="E2773" s="52" t="s">
        <v>25</v>
      </c>
      <c r="F2773" s="52" t="s">
        <v>26</v>
      </c>
      <c r="G2773" s="53"/>
    </row>
    <row r="2774">
      <c r="A2774" s="49">
        <v>45049.90145369213</v>
      </c>
      <c r="B2774" s="50">
        <v>45050.0264064351</v>
      </c>
      <c r="C2774" s="51">
        <v>1.024</v>
      </c>
      <c r="D2774" s="51">
        <v>63.0</v>
      </c>
      <c r="E2774" s="52" t="s">
        <v>25</v>
      </c>
      <c r="F2774" s="52" t="s">
        <v>26</v>
      </c>
      <c r="G2774" s="53"/>
    </row>
    <row r="2775">
      <c r="A2775" s="49">
        <v>45049.91188150463</v>
      </c>
      <c r="B2775" s="50">
        <v>45050.0368280555</v>
      </c>
      <c r="C2775" s="51">
        <v>1.024</v>
      </c>
      <c r="D2775" s="51">
        <v>63.0</v>
      </c>
      <c r="E2775" s="52" t="s">
        <v>25</v>
      </c>
      <c r="F2775" s="52" t="s">
        <v>26</v>
      </c>
      <c r="G2775" s="53"/>
    </row>
    <row r="2776">
      <c r="A2776" s="49">
        <v>45049.92232278935</v>
      </c>
      <c r="B2776" s="50">
        <v>45050.047250868</v>
      </c>
      <c r="C2776" s="51">
        <v>1.024</v>
      </c>
      <c r="D2776" s="51">
        <v>63.0</v>
      </c>
      <c r="E2776" s="52" t="s">
        <v>25</v>
      </c>
      <c r="F2776" s="52" t="s">
        <v>26</v>
      </c>
      <c r="G2776" s="53"/>
    </row>
    <row r="2777">
      <c r="A2777" s="49">
        <v>45049.93274709491</v>
      </c>
      <c r="B2777" s="50">
        <v>45050.0576959027</v>
      </c>
      <c r="C2777" s="51">
        <v>1.024</v>
      </c>
      <c r="D2777" s="51">
        <v>63.0</v>
      </c>
      <c r="E2777" s="52" t="s">
        <v>25</v>
      </c>
      <c r="F2777" s="52" t="s">
        <v>26</v>
      </c>
      <c r="G2777" s="53"/>
    </row>
    <row r="2778">
      <c r="A2778" s="49">
        <v>45049.943168831014</v>
      </c>
      <c r="B2778" s="50">
        <v>45050.0681424074</v>
      </c>
      <c r="C2778" s="51">
        <v>1.024</v>
      </c>
      <c r="D2778" s="51">
        <v>62.0</v>
      </c>
      <c r="E2778" s="52" t="s">
        <v>25</v>
      </c>
      <c r="F2778" s="52" t="s">
        <v>26</v>
      </c>
      <c r="G2778" s="53"/>
    </row>
    <row r="2779">
      <c r="A2779" s="49">
        <v>45049.9535847338</v>
      </c>
      <c r="B2779" s="50">
        <v>45050.0785616203</v>
      </c>
      <c r="C2779" s="51">
        <v>1.024</v>
      </c>
      <c r="D2779" s="51">
        <v>62.0</v>
      </c>
      <c r="E2779" s="52" t="s">
        <v>25</v>
      </c>
      <c r="F2779" s="52" t="s">
        <v>26</v>
      </c>
      <c r="G2779" s="53"/>
    </row>
    <row r="2780">
      <c r="A2780" s="49">
        <v>45049.96402914352</v>
      </c>
      <c r="B2780" s="50">
        <v>45050.0890048032</v>
      </c>
      <c r="C2780" s="51">
        <v>1.024</v>
      </c>
      <c r="D2780" s="51">
        <v>62.0</v>
      </c>
      <c r="E2780" s="52" t="s">
        <v>25</v>
      </c>
      <c r="F2780" s="52" t="s">
        <v>26</v>
      </c>
      <c r="G2780" s="53"/>
    </row>
    <row r="2781">
      <c r="A2781" s="49">
        <v>45049.97444741898</v>
      </c>
      <c r="B2781" s="50">
        <v>45050.0994260763</v>
      </c>
      <c r="C2781" s="51">
        <v>1.024</v>
      </c>
      <c r="D2781" s="51">
        <v>62.0</v>
      </c>
      <c r="E2781" s="52" t="s">
        <v>25</v>
      </c>
      <c r="F2781" s="52" t="s">
        <v>26</v>
      </c>
      <c r="G2781" s="53"/>
    </row>
    <row r="2782">
      <c r="A2782" s="49">
        <v>45049.98487173612</v>
      </c>
      <c r="B2782" s="50">
        <v>45050.1098464814</v>
      </c>
      <c r="C2782" s="51">
        <v>1.024</v>
      </c>
      <c r="D2782" s="51">
        <v>62.0</v>
      </c>
      <c r="E2782" s="52" t="s">
        <v>25</v>
      </c>
      <c r="F2782" s="52" t="s">
        <v>26</v>
      </c>
      <c r="G2782" s="53"/>
    </row>
    <row r="2783">
      <c r="A2783" s="49">
        <v>45049.99529576389</v>
      </c>
      <c r="B2783" s="50">
        <v>45050.120267662</v>
      </c>
      <c r="C2783" s="51">
        <v>1.024</v>
      </c>
      <c r="D2783" s="51">
        <v>62.0</v>
      </c>
      <c r="E2783" s="52" t="s">
        <v>25</v>
      </c>
      <c r="F2783" s="52" t="s">
        <v>26</v>
      </c>
      <c r="G2783" s="53"/>
    </row>
    <row r="2784">
      <c r="A2784" s="49">
        <v>45050.00572799769</v>
      </c>
      <c r="B2784" s="50">
        <v>45050.1306990393</v>
      </c>
      <c r="C2784" s="51">
        <v>1.024</v>
      </c>
      <c r="D2784" s="51">
        <v>62.0</v>
      </c>
      <c r="E2784" s="52" t="s">
        <v>25</v>
      </c>
      <c r="F2784" s="52" t="s">
        <v>26</v>
      </c>
      <c r="G2784" s="53"/>
    </row>
    <row r="2785">
      <c r="A2785" s="49">
        <v>45050.01615984953</v>
      </c>
      <c r="B2785" s="50">
        <v>45050.1411316203</v>
      </c>
      <c r="C2785" s="51">
        <v>1.024</v>
      </c>
      <c r="D2785" s="51">
        <v>63.0</v>
      </c>
      <c r="E2785" s="52" t="s">
        <v>25</v>
      </c>
      <c r="F2785" s="52" t="s">
        <v>26</v>
      </c>
      <c r="G2785" s="53"/>
    </row>
    <row r="2786">
      <c r="A2786" s="49">
        <v>45050.02659010417</v>
      </c>
      <c r="B2786" s="50">
        <v>45050.1515654629</v>
      </c>
      <c r="C2786" s="51">
        <v>1.024</v>
      </c>
      <c r="D2786" s="51">
        <v>62.0</v>
      </c>
      <c r="E2786" s="52" t="s">
        <v>25</v>
      </c>
      <c r="F2786" s="52" t="s">
        <v>26</v>
      </c>
      <c r="G2786" s="53"/>
    </row>
    <row r="2787">
      <c r="A2787" s="49">
        <v>45050.03703346065</v>
      </c>
      <c r="B2787" s="50">
        <v>45050.1620108796</v>
      </c>
      <c r="C2787" s="51">
        <v>1.024</v>
      </c>
      <c r="D2787" s="51">
        <v>62.0</v>
      </c>
      <c r="E2787" s="52" t="s">
        <v>25</v>
      </c>
      <c r="F2787" s="52" t="s">
        <v>26</v>
      </c>
      <c r="G2787" s="53"/>
    </row>
    <row r="2788">
      <c r="A2788" s="49">
        <v>45050.04745039352</v>
      </c>
      <c r="B2788" s="50">
        <v>45050.1724306597</v>
      </c>
      <c r="C2788" s="51">
        <v>1.024</v>
      </c>
      <c r="D2788" s="51">
        <v>62.0</v>
      </c>
      <c r="E2788" s="52" t="s">
        <v>25</v>
      </c>
      <c r="F2788" s="52" t="s">
        <v>26</v>
      </c>
      <c r="G2788" s="53"/>
    </row>
    <row r="2789">
      <c r="A2789" s="49">
        <v>45050.057883229165</v>
      </c>
      <c r="B2789" s="50">
        <v>45050.1828528703</v>
      </c>
      <c r="C2789" s="51">
        <v>1.024</v>
      </c>
      <c r="D2789" s="51">
        <v>62.0</v>
      </c>
      <c r="E2789" s="52" t="s">
        <v>25</v>
      </c>
      <c r="F2789" s="52" t="s">
        <v>26</v>
      </c>
      <c r="G2789" s="53"/>
    </row>
    <row r="2790">
      <c r="A2790" s="49">
        <v>45050.06829814815</v>
      </c>
      <c r="B2790" s="50">
        <v>45050.1932722916</v>
      </c>
      <c r="C2790" s="51">
        <v>1.024</v>
      </c>
      <c r="D2790" s="51">
        <v>62.0</v>
      </c>
      <c r="E2790" s="52" t="s">
        <v>25</v>
      </c>
      <c r="F2790" s="52" t="s">
        <v>26</v>
      </c>
      <c r="G2790" s="53"/>
    </row>
    <row r="2791">
      <c r="A2791" s="49">
        <v>45050.07871530093</v>
      </c>
      <c r="B2791" s="50">
        <v>45050.2036952546</v>
      </c>
      <c r="C2791" s="51">
        <v>1.024</v>
      </c>
      <c r="D2791" s="51">
        <v>62.0</v>
      </c>
      <c r="E2791" s="52" t="s">
        <v>25</v>
      </c>
      <c r="F2791" s="52" t="s">
        <v>26</v>
      </c>
      <c r="G2791" s="53"/>
    </row>
    <row r="2792">
      <c r="A2792" s="49">
        <v>45050.08917814815</v>
      </c>
      <c r="B2792" s="50">
        <v>45050.2141517708</v>
      </c>
      <c r="C2792" s="51">
        <v>1.024</v>
      </c>
      <c r="D2792" s="51">
        <v>62.0</v>
      </c>
      <c r="E2792" s="52" t="s">
        <v>25</v>
      </c>
      <c r="F2792" s="52" t="s">
        <v>26</v>
      </c>
      <c r="G2792" s="53"/>
    </row>
    <row r="2793">
      <c r="A2793" s="49">
        <v>45050.09960059028</v>
      </c>
      <c r="B2793" s="50">
        <v>45050.2245728125</v>
      </c>
      <c r="C2793" s="51">
        <v>1.024</v>
      </c>
      <c r="D2793" s="51">
        <v>62.0</v>
      </c>
      <c r="E2793" s="52" t="s">
        <v>25</v>
      </c>
      <c r="F2793" s="52" t="s">
        <v>26</v>
      </c>
      <c r="G2793" s="53"/>
    </row>
    <row r="2794">
      <c r="A2794" s="49">
        <v>45050.11002462963</v>
      </c>
      <c r="B2794" s="50">
        <v>45050.2349910995</v>
      </c>
      <c r="C2794" s="51">
        <v>1.024</v>
      </c>
      <c r="D2794" s="51">
        <v>62.0</v>
      </c>
      <c r="E2794" s="52" t="s">
        <v>25</v>
      </c>
      <c r="F2794" s="52" t="s">
        <v>26</v>
      </c>
      <c r="G2794" s="53"/>
    </row>
    <row r="2795">
      <c r="A2795" s="49">
        <v>45050.120446388886</v>
      </c>
      <c r="B2795" s="50">
        <v>45050.2454235995</v>
      </c>
      <c r="C2795" s="51">
        <v>1.024</v>
      </c>
      <c r="D2795" s="51">
        <v>62.0</v>
      </c>
      <c r="E2795" s="52" t="s">
        <v>25</v>
      </c>
      <c r="F2795" s="52" t="s">
        <v>26</v>
      </c>
      <c r="G2795" s="53"/>
    </row>
    <row r="2796">
      <c r="A2796" s="49">
        <v>45050.13091835648</v>
      </c>
      <c r="B2796" s="50">
        <v>45050.255892118</v>
      </c>
      <c r="C2796" s="51">
        <v>1.024</v>
      </c>
      <c r="D2796" s="51">
        <v>62.0</v>
      </c>
      <c r="E2796" s="52" t="s">
        <v>25</v>
      </c>
      <c r="F2796" s="52" t="s">
        <v>26</v>
      </c>
      <c r="G2796" s="53"/>
    </row>
    <row r="2797">
      <c r="A2797" s="49">
        <v>45050.14133908565</v>
      </c>
      <c r="B2797" s="50">
        <v>45050.2663123032</v>
      </c>
      <c r="C2797" s="51">
        <v>1.024</v>
      </c>
      <c r="D2797" s="51">
        <v>62.0</v>
      </c>
      <c r="E2797" s="52" t="s">
        <v>25</v>
      </c>
      <c r="F2797" s="52" t="s">
        <v>26</v>
      </c>
      <c r="G2797" s="53"/>
    </row>
    <row r="2798">
      <c r="A2798" s="49">
        <v>45050.15175616898</v>
      </c>
      <c r="B2798" s="50">
        <v>45050.2767330092</v>
      </c>
      <c r="C2798" s="51">
        <v>1.024</v>
      </c>
      <c r="D2798" s="51">
        <v>62.0</v>
      </c>
      <c r="E2798" s="52" t="s">
        <v>25</v>
      </c>
      <c r="F2798" s="52" t="s">
        <v>26</v>
      </c>
      <c r="G2798" s="53"/>
    </row>
    <row r="2799">
      <c r="A2799" s="49">
        <v>45050.1621824537</v>
      </c>
      <c r="B2799" s="50">
        <v>45050.287155243</v>
      </c>
      <c r="C2799" s="51">
        <v>1.024</v>
      </c>
      <c r="D2799" s="51">
        <v>62.0</v>
      </c>
      <c r="E2799" s="52" t="s">
        <v>25</v>
      </c>
      <c r="F2799" s="52" t="s">
        <v>26</v>
      </c>
      <c r="G2799" s="53"/>
    </row>
    <row r="2800">
      <c r="A2800" s="49">
        <v>45050.17261496528</v>
      </c>
      <c r="B2800" s="50">
        <v>45050.2975778356</v>
      </c>
      <c r="C2800" s="51">
        <v>1.024</v>
      </c>
      <c r="D2800" s="51">
        <v>62.0</v>
      </c>
      <c r="E2800" s="52" t="s">
        <v>25</v>
      </c>
      <c r="F2800" s="52" t="s">
        <v>26</v>
      </c>
      <c r="G2800" s="53"/>
    </row>
    <row r="2801">
      <c r="A2801" s="49">
        <v>45050.18302548611</v>
      </c>
      <c r="B2801" s="50">
        <v>45050.3080012384</v>
      </c>
      <c r="C2801" s="51">
        <v>1.024</v>
      </c>
      <c r="D2801" s="51">
        <v>62.0</v>
      </c>
      <c r="E2801" s="52" t="s">
        <v>25</v>
      </c>
      <c r="F2801" s="52" t="s">
        <v>26</v>
      </c>
      <c r="G2801" s="53"/>
    </row>
    <row r="2802">
      <c r="A2802" s="49">
        <v>45050.19344481481</v>
      </c>
      <c r="B2802" s="50">
        <v>45050.3184227893</v>
      </c>
      <c r="C2802" s="51">
        <v>1.024</v>
      </c>
      <c r="D2802" s="51">
        <v>62.0</v>
      </c>
      <c r="E2802" s="52" t="s">
        <v>25</v>
      </c>
      <c r="F2802" s="52" t="s">
        <v>26</v>
      </c>
      <c r="G2802" s="53"/>
    </row>
    <row r="2803">
      <c r="A2803" s="49">
        <v>45050.20386243056</v>
      </c>
      <c r="B2803" s="50">
        <v>45050.3288435185</v>
      </c>
      <c r="C2803" s="51">
        <v>1.024</v>
      </c>
      <c r="D2803" s="51">
        <v>62.0</v>
      </c>
      <c r="E2803" s="52" t="s">
        <v>25</v>
      </c>
      <c r="F2803" s="52" t="s">
        <v>26</v>
      </c>
      <c r="G2803" s="53"/>
    </row>
    <row r="2804">
      <c r="A2804" s="49">
        <v>45050.214289826385</v>
      </c>
      <c r="B2804" s="50">
        <v>45050.3392645138</v>
      </c>
      <c r="C2804" s="51">
        <v>1.024</v>
      </c>
      <c r="D2804" s="51">
        <v>62.0</v>
      </c>
      <c r="E2804" s="52" t="s">
        <v>25</v>
      </c>
      <c r="F2804" s="52" t="s">
        <v>26</v>
      </c>
      <c r="G2804" s="53"/>
    </row>
    <row r="2805">
      <c r="A2805" s="49">
        <v>45050.22471462963</v>
      </c>
      <c r="B2805" s="50">
        <v>45050.3496847685</v>
      </c>
      <c r="C2805" s="51">
        <v>1.024</v>
      </c>
      <c r="D2805" s="51">
        <v>62.0</v>
      </c>
      <c r="E2805" s="52" t="s">
        <v>25</v>
      </c>
      <c r="F2805" s="52" t="s">
        <v>26</v>
      </c>
      <c r="G2805" s="53"/>
    </row>
    <row r="2806">
      <c r="A2806" s="49">
        <v>45050.23512511574</v>
      </c>
      <c r="B2806" s="50">
        <v>45050.3601064699</v>
      </c>
      <c r="C2806" s="51">
        <v>1.024</v>
      </c>
      <c r="D2806" s="51">
        <v>62.0</v>
      </c>
      <c r="E2806" s="52" t="s">
        <v>25</v>
      </c>
      <c r="F2806" s="52" t="s">
        <v>26</v>
      </c>
      <c r="G2806" s="53"/>
    </row>
    <row r="2807">
      <c r="A2807" s="49">
        <v>45050.24555320602</v>
      </c>
      <c r="B2807" s="50">
        <v>45050.3705269328</v>
      </c>
      <c r="C2807" s="51">
        <v>1.024</v>
      </c>
      <c r="D2807" s="51">
        <v>62.0</v>
      </c>
      <c r="E2807" s="52" t="s">
        <v>25</v>
      </c>
      <c r="F2807" s="52" t="s">
        <v>26</v>
      </c>
      <c r="G2807" s="53"/>
    </row>
    <row r="2808">
      <c r="A2808" s="49">
        <v>45050.25597467592</v>
      </c>
      <c r="B2808" s="50">
        <v>45050.380948125</v>
      </c>
      <c r="C2808" s="51">
        <v>1.024</v>
      </c>
      <c r="D2808" s="51">
        <v>62.0</v>
      </c>
      <c r="E2808" s="52" t="s">
        <v>25</v>
      </c>
      <c r="F2808" s="52" t="s">
        <v>26</v>
      </c>
      <c r="G2808" s="53"/>
    </row>
    <row r="2809">
      <c r="A2809" s="49">
        <v>45050.26638685185</v>
      </c>
      <c r="B2809" s="50">
        <v>45050.3913698958</v>
      </c>
      <c r="C2809" s="51">
        <v>1.024</v>
      </c>
      <c r="D2809" s="51">
        <v>62.0</v>
      </c>
      <c r="E2809" s="52" t="s">
        <v>25</v>
      </c>
      <c r="F2809" s="52" t="s">
        <v>26</v>
      </c>
      <c r="G2809" s="53"/>
    </row>
    <row r="2810">
      <c r="A2810" s="49">
        <v>45050.27682914352</v>
      </c>
      <c r="B2810" s="50">
        <v>45050.401801574</v>
      </c>
      <c r="C2810" s="51">
        <v>1.024</v>
      </c>
      <c r="D2810" s="51">
        <v>62.0</v>
      </c>
      <c r="E2810" s="52" t="s">
        <v>25</v>
      </c>
      <c r="F2810" s="52" t="s">
        <v>26</v>
      </c>
      <c r="G2810" s="53"/>
    </row>
    <row r="2811">
      <c r="A2811" s="49">
        <v>45050.28726494213</v>
      </c>
      <c r="B2811" s="50">
        <v>45050.4122362615</v>
      </c>
      <c r="C2811" s="51">
        <v>1.024</v>
      </c>
      <c r="D2811" s="51">
        <v>62.0</v>
      </c>
      <c r="E2811" s="52" t="s">
        <v>25</v>
      </c>
      <c r="F2811" s="52" t="s">
        <v>26</v>
      </c>
      <c r="G2811" s="53"/>
    </row>
    <row r="2812">
      <c r="A2812" s="49">
        <v>45050.2977025</v>
      </c>
      <c r="B2812" s="50">
        <v>45050.4226816898</v>
      </c>
      <c r="C2812" s="51">
        <v>1.024</v>
      </c>
      <c r="D2812" s="51">
        <v>62.0</v>
      </c>
      <c r="E2812" s="52" t="s">
        <v>25</v>
      </c>
      <c r="F2812" s="52" t="s">
        <v>26</v>
      </c>
      <c r="G2812" s="53"/>
    </row>
    <row r="2813">
      <c r="A2813" s="49">
        <v>45050.30812834491</v>
      </c>
      <c r="B2813" s="50">
        <v>45050.4331023842</v>
      </c>
      <c r="C2813" s="51">
        <v>1.024</v>
      </c>
      <c r="D2813" s="51">
        <v>62.0</v>
      </c>
      <c r="E2813" s="52" t="s">
        <v>25</v>
      </c>
      <c r="F2813" s="52" t="s">
        <v>26</v>
      </c>
      <c r="G2813" s="53"/>
    </row>
    <row r="2814">
      <c r="A2814" s="49">
        <v>45050.31855596065</v>
      </c>
      <c r="B2814" s="50">
        <v>45050.4435224305</v>
      </c>
      <c r="C2814" s="51">
        <v>1.024</v>
      </c>
      <c r="D2814" s="51">
        <v>62.0</v>
      </c>
      <c r="E2814" s="52" t="s">
        <v>25</v>
      </c>
      <c r="F2814" s="52" t="s">
        <v>26</v>
      </c>
      <c r="G2814" s="53"/>
    </row>
    <row r="2815">
      <c r="A2815" s="49">
        <v>45050.32896533565</v>
      </c>
      <c r="B2815" s="50">
        <v>45050.453942743</v>
      </c>
      <c r="C2815" s="51">
        <v>1.024</v>
      </c>
      <c r="D2815" s="51">
        <v>62.0</v>
      </c>
      <c r="E2815" s="52" t="s">
        <v>25</v>
      </c>
      <c r="F2815" s="52" t="s">
        <v>26</v>
      </c>
      <c r="G2815" s="53"/>
    </row>
    <row r="2816">
      <c r="A2816" s="49">
        <v>45050.33941356481</v>
      </c>
      <c r="B2816" s="50">
        <v>45050.4643858564</v>
      </c>
      <c r="C2816" s="51">
        <v>1.024</v>
      </c>
      <c r="D2816" s="51">
        <v>62.0</v>
      </c>
      <c r="E2816" s="52" t="s">
        <v>25</v>
      </c>
      <c r="F2816" s="52" t="s">
        <v>26</v>
      </c>
      <c r="G2816" s="53"/>
    </row>
    <row r="2817">
      <c r="A2817" s="49">
        <v>45050.34984549768</v>
      </c>
      <c r="B2817" s="50">
        <v>45050.4748187384</v>
      </c>
      <c r="C2817" s="51">
        <v>1.024</v>
      </c>
      <c r="D2817" s="51">
        <v>62.0</v>
      </c>
      <c r="E2817" s="52" t="s">
        <v>25</v>
      </c>
      <c r="F2817" s="52" t="s">
        <v>26</v>
      </c>
      <c r="G2817" s="53"/>
    </row>
    <row r="2818">
      <c r="A2818" s="49">
        <v>45050.360260208334</v>
      </c>
      <c r="B2818" s="50">
        <v>45050.4852422337</v>
      </c>
      <c r="C2818" s="51">
        <v>1.024</v>
      </c>
      <c r="D2818" s="51">
        <v>62.0</v>
      </c>
      <c r="E2818" s="52" t="s">
        <v>25</v>
      </c>
      <c r="F2818" s="52" t="s">
        <v>26</v>
      </c>
      <c r="G2818" s="53"/>
    </row>
    <row r="2819">
      <c r="A2819" s="49">
        <v>45050.37069125</v>
      </c>
      <c r="B2819" s="50">
        <v>45050.4956645949</v>
      </c>
      <c r="C2819" s="51">
        <v>1.024</v>
      </c>
      <c r="D2819" s="51">
        <v>62.0</v>
      </c>
      <c r="E2819" s="52" t="s">
        <v>25</v>
      </c>
      <c r="F2819" s="52" t="s">
        <v>26</v>
      </c>
      <c r="G2819" s="53"/>
    </row>
    <row r="2820">
      <c r="A2820" s="49">
        <v>45050.38110539352</v>
      </c>
      <c r="B2820" s="50">
        <v>45050.5060849189</v>
      </c>
      <c r="C2820" s="51">
        <v>1.024</v>
      </c>
      <c r="D2820" s="51">
        <v>62.0</v>
      </c>
      <c r="E2820" s="52" t="s">
        <v>25</v>
      </c>
      <c r="F2820" s="52" t="s">
        <v>26</v>
      </c>
      <c r="G2820" s="53"/>
    </row>
    <row r="2821">
      <c r="A2821" s="49">
        <v>45050.39155785879</v>
      </c>
      <c r="B2821" s="50">
        <v>45050.5165300463</v>
      </c>
      <c r="C2821" s="51">
        <v>1.024</v>
      </c>
      <c r="D2821" s="51">
        <v>62.0</v>
      </c>
      <c r="E2821" s="52" t="s">
        <v>25</v>
      </c>
      <c r="F2821" s="52" t="s">
        <v>26</v>
      </c>
      <c r="G2821" s="53"/>
    </row>
    <row r="2822">
      <c r="A2822" s="49">
        <v>45050.401970335646</v>
      </c>
      <c r="B2822" s="50">
        <v>45050.526950081</v>
      </c>
      <c r="C2822" s="51">
        <v>1.024</v>
      </c>
      <c r="D2822" s="51">
        <v>62.0</v>
      </c>
      <c r="E2822" s="52" t="s">
        <v>25</v>
      </c>
      <c r="F2822" s="52" t="s">
        <v>26</v>
      </c>
      <c r="G2822" s="53"/>
    </row>
    <row r="2823">
      <c r="A2823" s="49">
        <v>45050.41242123843</v>
      </c>
      <c r="B2823" s="50">
        <v>45050.5373951273</v>
      </c>
      <c r="C2823" s="51">
        <v>1.024</v>
      </c>
      <c r="D2823" s="51">
        <v>62.0</v>
      </c>
      <c r="E2823" s="52" t="s">
        <v>25</v>
      </c>
      <c r="F2823" s="52" t="s">
        <v>26</v>
      </c>
      <c r="G2823" s="53"/>
    </row>
    <row r="2824">
      <c r="A2824" s="49">
        <v>45050.42286961805</v>
      </c>
      <c r="B2824" s="50">
        <v>45050.547840324</v>
      </c>
      <c r="C2824" s="51">
        <v>1.024</v>
      </c>
      <c r="D2824" s="51">
        <v>62.0</v>
      </c>
      <c r="E2824" s="52" t="s">
        <v>25</v>
      </c>
      <c r="F2824" s="52" t="s">
        <v>26</v>
      </c>
      <c r="G2824" s="53"/>
    </row>
    <row r="2825">
      <c r="A2825" s="49">
        <v>45050.43330179398</v>
      </c>
      <c r="B2825" s="50">
        <v>45050.5582725</v>
      </c>
      <c r="C2825" s="51">
        <v>1.024</v>
      </c>
      <c r="D2825" s="51">
        <v>62.0</v>
      </c>
      <c r="E2825" s="52" t="s">
        <v>25</v>
      </c>
      <c r="F2825" s="52" t="s">
        <v>26</v>
      </c>
      <c r="G2825" s="53"/>
    </row>
    <row r="2826">
      <c r="A2826" s="49">
        <v>45050.44371828704</v>
      </c>
      <c r="B2826" s="50">
        <v>45050.5686931712</v>
      </c>
      <c r="C2826" s="51">
        <v>1.024</v>
      </c>
      <c r="D2826" s="51">
        <v>62.0</v>
      </c>
      <c r="E2826" s="52" t="s">
        <v>25</v>
      </c>
      <c r="F2826" s="52" t="s">
        <v>26</v>
      </c>
      <c r="G2826" s="53"/>
    </row>
    <row r="2827">
      <c r="A2827" s="49">
        <v>45050.454167268515</v>
      </c>
      <c r="B2827" s="50">
        <v>45050.5791393171</v>
      </c>
      <c r="C2827" s="51">
        <v>1.024</v>
      </c>
      <c r="D2827" s="51">
        <v>62.0</v>
      </c>
      <c r="E2827" s="52" t="s">
        <v>25</v>
      </c>
      <c r="F2827" s="52" t="s">
        <v>26</v>
      </c>
      <c r="G2827" s="53"/>
    </row>
    <row r="2828">
      <c r="A2828" s="49">
        <v>45050.46460416667</v>
      </c>
      <c r="B2828" s="50">
        <v>45050.5895745601</v>
      </c>
      <c r="C2828" s="51">
        <v>1.024</v>
      </c>
      <c r="D2828" s="51">
        <v>62.0</v>
      </c>
      <c r="E2828" s="52" t="s">
        <v>25</v>
      </c>
      <c r="F2828" s="52" t="s">
        <v>26</v>
      </c>
      <c r="G2828" s="53"/>
    </row>
    <row r="2829">
      <c r="A2829" s="49">
        <v>45050.475038530094</v>
      </c>
      <c r="B2829" s="50">
        <v>45050.600008287</v>
      </c>
      <c r="C2829" s="51">
        <v>1.024</v>
      </c>
      <c r="D2829" s="51">
        <v>62.0</v>
      </c>
      <c r="E2829" s="52" t="s">
        <v>25</v>
      </c>
      <c r="F2829" s="52" t="s">
        <v>26</v>
      </c>
      <c r="G2829" s="53"/>
    </row>
    <row r="2830">
      <c r="A2830" s="49">
        <v>45050.485455648144</v>
      </c>
      <c r="B2830" s="50">
        <v>45050.6104298495</v>
      </c>
      <c r="C2830" s="51">
        <v>1.024</v>
      </c>
      <c r="D2830" s="51">
        <v>62.0</v>
      </c>
      <c r="E2830" s="52" t="s">
        <v>25</v>
      </c>
      <c r="F2830" s="52" t="s">
        <v>26</v>
      </c>
      <c r="G2830" s="53"/>
    </row>
    <row r="2831">
      <c r="A2831" s="49">
        <v>45050.49588649305</v>
      </c>
      <c r="B2831" s="50">
        <v>45050.6208636458</v>
      </c>
      <c r="C2831" s="51">
        <v>1.024</v>
      </c>
      <c r="D2831" s="51">
        <v>62.0</v>
      </c>
      <c r="E2831" s="52" t="s">
        <v>25</v>
      </c>
      <c r="F2831" s="52" t="s">
        <v>26</v>
      </c>
      <c r="G2831" s="53"/>
    </row>
    <row r="2832">
      <c r="A2832" s="49">
        <v>45050.50636179398</v>
      </c>
      <c r="B2832" s="50">
        <v>45050.6313312384</v>
      </c>
      <c r="C2832" s="51">
        <v>1.024</v>
      </c>
      <c r="D2832" s="51">
        <v>62.0</v>
      </c>
      <c r="E2832" s="52" t="s">
        <v>25</v>
      </c>
      <c r="F2832" s="52" t="s">
        <v>26</v>
      </c>
      <c r="G2832" s="53"/>
    </row>
    <row r="2833">
      <c r="A2833" s="49">
        <v>45050.51677898148</v>
      </c>
      <c r="B2833" s="50">
        <v>45050.6417526736</v>
      </c>
      <c r="C2833" s="51">
        <v>1.024</v>
      </c>
      <c r="D2833" s="51">
        <v>62.0</v>
      </c>
      <c r="E2833" s="52" t="s">
        <v>25</v>
      </c>
      <c r="F2833" s="52" t="s">
        <v>26</v>
      </c>
      <c r="G2833" s="53"/>
    </row>
    <row r="2834">
      <c r="A2834" s="49">
        <v>45050.527199375</v>
      </c>
      <c r="B2834" s="50">
        <v>45050.6521725</v>
      </c>
      <c r="C2834" s="51">
        <v>1.024</v>
      </c>
      <c r="D2834" s="51">
        <v>62.0</v>
      </c>
      <c r="E2834" s="52" t="s">
        <v>25</v>
      </c>
      <c r="F2834" s="52" t="s">
        <v>26</v>
      </c>
      <c r="G2834" s="53"/>
    </row>
    <row r="2835">
      <c r="A2835" s="49">
        <v>45050.537618472226</v>
      </c>
      <c r="B2835" s="50">
        <v>45050.6625927314</v>
      </c>
      <c r="C2835" s="51">
        <v>1.024</v>
      </c>
      <c r="D2835" s="51">
        <v>62.0</v>
      </c>
      <c r="E2835" s="52" t="s">
        <v>25</v>
      </c>
      <c r="F2835" s="52" t="s">
        <v>26</v>
      </c>
      <c r="G2835" s="53"/>
    </row>
    <row r="2836">
      <c r="A2836" s="49">
        <v>45050.54804563658</v>
      </c>
      <c r="B2836" s="50">
        <v>45050.6730140625</v>
      </c>
      <c r="C2836" s="51">
        <v>1.024</v>
      </c>
      <c r="D2836" s="51">
        <v>62.0</v>
      </c>
      <c r="E2836" s="52" t="s">
        <v>25</v>
      </c>
      <c r="F2836" s="52" t="s">
        <v>26</v>
      </c>
      <c r="G2836" s="53"/>
    </row>
    <row r="2837">
      <c r="A2837" s="49">
        <v>45050.55845541667</v>
      </c>
      <c r="B2837" s="50">
        <v>45050.6834341666</v>
      </c>
      <c r="C2837" s="51">
        <v>1.024</v>
      </c>
      <c r="D2837" s="51">
        <v>62.0</v>
      </c>
      <c r="E2837" s="52" t="s">
        <v>25</v>
      </c>
      <c r="F2837" s="52" t="s">
        <v>26</v>
      </c>
      <c r="G2837" s="53"/>
    </row>
    <row r="2838">
      <c r="A2838" s="49">
        <v>45050.568884409724</v>
      </c>
      <c r="B2838" s="50">
        <v>45050.6938557407</v>
      </c>
      <c r="C2838" s="51">
        <v>1.024</v>
      </c>
      <c r="D2838" s="51">
        <v>62.0</v>
      </c>
      <c r="E2838" s="52" t="s">
        <v>25</v>
      </c>
      <c r="F2838" s="52" t="s">
        <v>26</v>
      </c>
      <c r="G2838" s="53"/>
    </row>
    <row r="2839">
      <c r="A2839" s="49">
        <v>45050.57930435185</v>
      </c>
      <c r="B2839" s="50">
        <v>45050.7042780092</v>
      </c>
      <c r="C2839" s="51">
        <v>1.024</v>
      </c>
      <c r="D2839" s="51">
        <v>62.0</v>
      </c>
      <c r="E2839" s="52" t="s">
        <v>25</v>
      </c>
      <c r="F2839" s="52" t="s">
        <v>26</v>
      </c>
      <c r="G2839" s="53"/>
    </row>
    <row r="2840">
      <c r="A2840" s="49">
        <v>45050.58972953704</v>
      </c>
      <c r="B2840" s="50">
        <v>45050.7147113078</v>
      </c>
      <c r="C2840" s="51">
        <v>1.024</v>
      </c>
      <c r="D2840" s="51">
        <v>62.0</v>
      </c>
      <c r="E2840" s="52" t="s">
        <v>25</v>
      </c>
      <c r="F2840" s="52" t="s">
        <v>26</v>
      </c>
      <c r="G2840" s="53"/>
    </row>
    <row r="2841">
      <c r="A2841" s="49">
        <v>45050.60015251157</v>
      </c>
      <c r="B2841" s="50">
        <v>45050.7251320486</v>
      </c>
      <c r="C2841" s="51">
        <v>1.024</v>
      </c>
      <c r="D2841" s="51">
        <v>62.0</v>
      </c>
      <c r="E2841" s="52" t="s">
        <v>25</v>
      </c>
      <c r="F2841" s="52" t="s">
        <v>26</v>
      </c>
      <c r="G2841" s="53"/>
    </row>
    <row r="2842">
      <c r="A2842" s="49">
        <v>45050.610571701385</v>
      </c>
      <c r="B2842" s="50">
        <v>45050.7355529976</v>
      </c>
      <c r="C2842" s="51">
        <v>1.024</v>
      </c>
      <c r="D2842" s="51">
        <v>62.0</v>
      </c>
      <c r="E2842" s="52" t="s">
        <v>25</v>
      </c>
      <c r="F2842" s="52" t="s">
        <v>26</v>
      </c>
      <c r="G2842" s="53"/>
    </row>
    <row r="2843">
      <c r="A2843" s="49">
        <v>45050.62100453704</v>
      </c>
      <c r="B2843" s="50">
        <v>45050.7459868287</v>
      </c>
      <c r="C2843" s="51">
        <v>1.024</v>
      </c>
      <c r="D2843" s="51">
        <v>62.0</v>
      </c>
      <c r="E2843" s="52" t="s">
        <v>25</v>
      </c>
      <c r="F2843" s="52" t="s">
        <v>26</v>
      </c>
      <c r="G2843" s="53"/>
    </row>
    <row r="2844">
      <c r="A2844" s="49">
        <v>45050.6314237037</v>
      </c>
      <c r="B2844" s="50">
        <v>45050.7564069213</v>
      </c>
      <c r="C2844" s="51">
        <v>1.024</v>
      </c>
      <c r="D2844" s="51">
        <v>62.0</v>
      </c>
      <c r="E2844" s="52" t="s">
        <v>25</v>
      </c>
      <c r="F2844" s="52" t="s">
        <v>26</v>
      </c>
      <c r="G2844" s="53"/>
    </row>
    <row r="2845">
      <c r="A2845" s="49">
        <v>45050.64189616898</v>
      </c>
      <c r="B2845" s="50">
        <v>45050.7668632176</v>
      </c>
      <c r="C2845" s="51">
        <v>1.024</v>
      </c>
      <c r="D2845" s="51">
        <v>62.0</v>
      </c>
      <c r="E2845" s="52" t="s">
        <v>25</v>
      </c>
      <c r="F2845" s="52" t="s">
        <v>26</v>
      </c>
      <c r="G2845" s="53"/>
    </row>
    <row r="2846">
      <c r="A2846" s="49">
        <v>45050.65230137731</v>
      </c>
      <c r="B2846" s="50">
        <v>45050.7772852777</v>
      </c>
      <c r="C2846" s="51">
        <v>1.024</v>
      </c>
      <c r="D2846" s="51">
        <v>62.0</v>
      </c>
      <c r="E2846" s="52" t="s">
        <v>25</v>
      </c>
      <c r="F2846" s="52" t="s">
        <v>26</v>
      </c>
      <c r="G2846" s="53"/>
    </row>
    <row r="2847">
      <c r="A2847" s="49">
        <v>45050.662731759265</v>
      </c>
      <c r="B2847" s="50">
        <v>45050.7877083217</v>
      </c>
      <c r="C2847" s="51">
        <v>1.024</v>
      </c>
      <c r="D2847" s="51">
        <v>62.0</v>
      </c>
      <c r="E2847" s="52" t="s">
        <v>25</v>
      </c>
      <c r="F2847" s="52" t="s">
        <v>26</v>
      </c>
      <c r="G2847" s="53"/>
    </row>
    <row r="2848">
      <c r="A2848" s="49">
        <v>45050.67316831018</v>
      </c>
      <c r="B2848" s="50">
        <v>45050.7981421412</v>
      </c>
      <c r="C2848" s="51">
        <v>1.024</v>
      </c>
      <c r="D2848" s="51">
        <v>62.0</v>
      </c>
      <c r="E2848" s="52" t="s">
        <v>25</v>
      </c>
      <c r="F2848" s="52" t="s">
        <v>26</v>
      </c>
      <c r="G2848" s="53"/>
    </row>
    <row r="2849">
      <c r="A2849" s="49">
        <v>45050.68362703704</v>
      </c>
      <c r="B2849" s="50">
        <v>45050.8085987268</v>
      </c>
      <c r="C2849" s="51">
        <v>1.024</v>
      </c>
      <c r="D2849" s="51">
        <v>62.0</v>
      </c>
      <c r="E2849" s="52" t="s">
        <v>25</v>
      </c>
      <c r="F2849" s="52" t="s">
        <v>26</v>
      </c>
      <c r="G2849" s="53"/>
    </row>
    <row r="2850">
      <c r="A2850" s="49">
        <v>45050.694059733796</v>
      </c>
      <c r="B2850" s="50">
        <v>45050.8190334722</v>
      </c>
      <c r="C2850" s="51">
        <v>1.024</v>
      </c>
      <c r="D2850" s="51">
        <v>62.0</v>
      </c>
      <c r="E2850" s="52" t="s">
        <v>25</v>
      </c>
      <c r="F2850" s="52" t="s">
        <v>26</v>
      </c>
      <c r="G2850" s="53"/>
    </row>
    <row r="2851">
      <c r="A2851" s="49">
        <v>45050.704482546294</v>
      </c>
      <c r="B2851" s="50">
        <v>45050.8294538425</v>
      </c>
      <c r="C2851" s="51">
        <v>1.024</v>
      </c>
      <c r="D2851" s="51">
        <v>62.0</v>
      </c>
      <c r="E2851" s="52" t="s">
        <v>25</v>
      </c>
      <c r="F2851" s="52" t="s">
        <v>26</v>
      </c>
      <c r="G2851" s="53"/>
    </row>
    <row r="2852">
      <c r="A2852" s="49">
        <v>45050.71490481481</v>
      </c>
      <c r="B2852" s="50">
        <v>45050.8398748495</v>
      </c>
      <c r="C2852" s="51">
        <v>1.024</v>
      </c>
      <c r="D2852" s="51">
        <v>62.0</v>
      </c>
      <c r="E2852" s="52" t="s">
        <v>25</v>
      </c>
      <c r="F2852" s="52" t="s">
        <v>26</v>
      </c>
      <c r="G2852" s="53"/>
    </row>
    <row r="2853">
      <c r="A2853" s="49">
        <v>45050.725327824075</v>
      </c>
      <c r="B2853" s="50">
        <v>45050.8503093981</v>
      </c>
      <c r="C2853" s="51">
        <v>1.024</v>
      </c>
      <c r="D2853" s="51">
        <v>62.0</v>
      </c>
      <c r="E2853" s="52" t="s">
        <v>25</v>
      </c>
      <c r="F2853" s="52" t="s">
        <v>26</v>
      </c>
      <c r="G2853" s="53"/>
    </row>
    <row r="2854">
      <c r="A2854" s="49">
        <v>45050.73574833333</v>
      </c>
      <c r="B2854" s="50">
        <v>45050.86072875</v>
      </c>
      <c r="C2854" s="51">
        <v>1.024</v>
      </c>
      <c r="D2854" s="51">
        <v>62.0</v>
      </c>
      <c r="E2854" s="52" t="s">
        <v>25</v>
      </c>
      <c r="F2854" s="52" t="s">
        <v>26</v>
      </c>
      <c r="G2854" s="53"/>
    </row>
    <row r="2855">
      <c r="A2855" s="49">
        <v>45050.746196990745</v>
      </c>
      <c r="B2855" s="50">
        <v>45050.8711732754</v>
      </c>
      <c r="C2855" s="51">
        <v>1.024</v>
      </c>
      <c r="D2855" s="51">
        <v>62.0</v>
      </c>
      <c r="E2855" s="52" t="s">
        <v>25</v>
      </c>
      <c r="F2855" s="52" t="s">
        <v>26</v>
      </c>
      <c r="G2855" s="53"/>
    </row>
    <row r="2856">
      <c r="A2856" s="49">
        <v>45050.756620520835</v>
      </c>
      <c r="B2856" s="50">
        <v>45050.8815929051</v>
      </c>
      <c r="C2856" s="51">
        <v>1.024</v>
      </c>
      <c r="D2856" s="51">
        <v>62.0</v>
      </c>
      <c r="E2856" s="52" t="s">
        <v>25</v>
      </c>
      <c r="F2856" s="52" t="s">
        <v>26</v>
      </c>
      <c r="G2856" s="53"/>
    </row>
    <row r="2857">
      <c r="A2857" s="49">
        <v>45050.767080624995</v>
      </c>
      <c r="B2857" s="50">
        <v>45050.8920499074</v>
      </c>
      <c r="C2857" s="51">
        <v>1.024</v>
      </c>
      <c r="D2857" s="51">
        <v>62.0</v>
      </c>
      <c r="E2857" s="52" t="s">
        <v>25</v>
      </c>
      <c r="F2857" s="52" t="s">
        <v>26</v>
      </c>
      <c r="G2857" s="53"/>
    </row>
    <row r="2858">
      <c r="A2858" s="49">
        <v>45050.77751399306</v>
      </c>
      <c r="B2858" s="50">
        <v>45050.9024837268</v>
      </c>
      <c r="C2858" s="51">
        <v>1.024</v>
      </c>
      <c r="D2858" s="51">
        <v>62.0</v>
      </c>
      <c r="E2858" s="52" t="s">
        <v>25</v>
      </c>
      <c r="F2858" s="52" t="s">
        <v>26</v>
      </c>
      <c r="G2858" s="53"/>
    </row>
    <row r="2859">
      <c r="A2859" s="49">
        <v>45050.787922662035</v>
      </c>
      <c r="B2859" s="50">
        <v>45050.9129050463</v>
      </c>
      <c r="C2859" s="51">
        <v>1.024</v>
      </c>
      <c r="D2859" s="51">
        <v>62.0</v>
      </c>
      <c r="E2859" s="52" t="s">
        <v>25</v>
      </c>
      <c r="F2859" s="52" t="s">
        <v>26</v>
      </c>
      <c r="G2859" s="53"/>
    </row>
    <row r="2860">
      <c r="A2860" s="49">
        <v>45050.798352349535</v>
      </c>
      <c r="B2860" s="50">
        <v>45050.923325</v>
      </c>
      <c r="C2860" s="51">
        <v>1.024</v>
      </c>
      <c r="D2860" s="51">
        <v>62.0</v>
      </c>
      <c r="E2860" s="52" t="s">
        <v>25</v>
      </c>
      <c r="F2860" s="52" t="s">
        <v>26</v>
      </c>
      <c r="G2860" s="53"/>
    </row>
    <row r="2861">
      <c r="A2861" s="49">
        <v>45050.80878771991</v>
      </c>
      <c r="B2861" s="50">
        <v>45050.9337581134</v>
      </c>
      <c r="C2861" s="51">
        <v>1.024</v>
      </c>
      <c r="D2861" s="51">
        <v>62.0</v>
      </c>
      <c r="E2861" s="52" t="s">
        <v>25</v>
      </c>
      <c r="F2861" s="52" t="s">
        <v>26</v>
      </c>
      <c r="G2861" s="53"/>
    </row>
    <row r="2862">
      <c r="A2862" s="49">
        <v>45050.81920265046</v>
      </c>
      <c r="B2862" s="50">
        <v>45050.9441801273</v>
      </c>
      <c r="C2862" s="51">
        <v>1.024</v>
      </c>
      <c r="D2862" s="51">
        <v>62.0</v>
      </c>
      <c r="E2862" s="52" t="s">
        <v>25</v>
      </c>
      <c r="F2862" s="52" t="s">
        <v>26</v>
      </c>
      <c r="G2862" s="53"/>
    </row>
    <row r="2863">
      <c r="A2863" s="49">
        <v>45050.82962913194</v>
      </c>
      <c r="B2863" s="50">
        <v>45050.9546018518</v>
      </c>
      <c r="C2863" s="51">
        <v>1.024</v>
      </c>
      <c r="D2863" s="51">
        <v>62.0</v>
      </c>
      <c r="E2863" s="52" t="s">
        <v>25</v>
      </c>
      <c r="F2863" s="52" t="s">
        <v>26</v>
      </c>
      <c r="G2863" s="53"/>
    </row>
    <row r="2864">
      <c r="A2864" s="49">
        <v>45050.840057152775</v>
      </c>
      <c r="B2864" s="50">
        <v>45050.9650352546</v>
      </c>
      <c r="C2864" s="51">
        <v>1.024</v>
      </c>
      <c r="D2864" s="51">
        <v>62.0</v>
      </c>
      <c r="E2864" s="52" t="s">
        <v>25</v>
      </c>
      <c r="F2864" s="52" t="s">
        <v>26</v>
      </c>
      <c r="G2864" s="53"/>
    </row>
    <row r="2865">
      <c r="A2865" s="49">
        <v>45050.85049831019</v>
      </c>
      <c r="B2865" s="50">
        <v>45050.9754675</v>
      </c>
      <c r="C2865" s="51">
        <v>1.024</v>
      </c>
      <c r="D2865" s="51">
        <v>62.0</v>
      </c>
      <c r="E2865" s="52" t="s">
        <v>25</v>
      </c>
      <c r="F2865" s="52" t="s">
        <v>26</v>
      </c>
      <c r="G2865" s="53"/>
    </row>
    <row r="2866">
      <c r="A2866" s="49">
        <v>45050.86090891204</v>
      </c>
      <c r="B2866" s="50">
        <v>45050.9858893865</v>
      </c>
      <c r="C2866" s="51">
        <v>1.024</v>
      </c>
      <c r="D2866" s="51">
        <v>62.0</v>
      </c>
      <c r="E2866" s="52" t="s">
        <v>25</v>
      </c>
      <c r="F2866" s="52" t="s">
        <v>26</v>
      </c>
      <c r="G2866" s="53"/>
    </row>
    <row r="2867">
      <c r="A2867" s="49">
        <v>45050.87133371527</v>
      </c>
      <c r="B2867" s="50">
        <v>45050.9963112268</v>
      </c>
      <c r="C2867" s="51">
        <v>1.024</v>
      </c>
      <c r="D2867" s="51">
        <v>62.0</v>
      </c>
      <c r="E2867" s="52" t="s">
        <v>25</v>
      </c>
      <c r="F2867" s="52" t="s">
        <v>26</v>
      </c>
      <c r="G2867" s="53"/>
    </row>
    <row r="2868">
      <c r="A2868" s="49">
        <v>45050.88175289352</v>
      </c>
      <c r="B2868" s="50">
        <v>45051.0067346296</v>
      </c>
      <c r="C2868" s="51">
        <v>1.024</v>
      </c>
      <c r="D2868" s="51">
        <v>62.0</v>
      </c>
      <c r="E2868" s="52" t="s">
        <v>25</v>
      </c>
      <c r="F2868" s="52" t="s">
        <v>26</v>
      </c>
      <c r="G2868" s="53"/>
    </row>
    <row r="2869">
      <c r="A2869" s="49">
        <v>45050.89219481482</v>
      </c>
      <c r="B2869" s="50">
        <v>45051.0171671412</v>
      </c>
      <c r="C2869" s="51">
        <v>1.024</v>
      </c>
      <c r="D2869" s="51">
        <v>62.0</v>
      </c>
      <c r="E2869" s="52" t="s">
        <v>25</v>
      </c>
      <c r="F2869" s="52" t="s">
        <v>26</v>
      </c>
      <c r="G2869" s="53"/>
    </row>
    <row r="2870">
      <c r="A2870" s="49">
        <v>45050.90261425926</v>
      </c>
      <c r="B2870" s="50">
        <v>45051.0275882986</v>
      </c>
      <c r="C2870" s="51">
        <v>1.024</v>
      </c>
      <c r="D2870" s="51">
        <v>62.0</v>
      </c>
      <c r="E2870" s="52" t="s">
        <v>25</v>
      </c>
      <c r="F2870" s="52" t="s">
        <v>26</v>
      </c>
      <c r="G2870" s="53"/>
    </row>
    <row r="2871">
      <c r="A2871" s="49">
        <v>45050.91303314814</v>
      </c>
      <c r="B2871" s="50">
        <v>45051.0380085879</v>
      </c>
      <c r="C2871" s="51">
        <v>1.024</v>
      </c>
      <c r="D2871" s="51">
        <v>62.0</v>
      </c>
      <c r="E2871" s="52" t="s">
        <v>25</v>
      </c>
      <c r="F2871" s="52" t="s">
        <v>26</v>
      </c>
      <c r="G2871" s="53"/>
    </row>
    <row r="2872">
      <c r="A2872" s="49">
        <v>45050.9234502662</v>
      </c>
      <c r="B2872" s="50">
        <v>45051.0484287384</v>
      </c>
      <c r="C2872" s="51">
        <v>1.024</v>
      </c>
      <c r="D2872" s="51">
        <v>62.0</v>
      </c>
      <c r="E2872" s="52" t="s">
        <v>25</v>
      </c>
      <c r="F2872" s="52" t="s">
        <v>26</v>
      </c>
      <c r="G2872" s="53"/>
    </row>
    <row r="2873">
      <c r="A2873" s="49">
        <v>45050.9338803125</v>
      </c>
      <c r="B2873" s="50">
        <v>45051.058861412</v>
      </c>
      <c r="C2873" s="51">
        <v>1.024</v>
      </c>
      <c r="D2873" s="51">
        <v>62.0</v>
      </c>
      <c r="E2873" s="52" t="s">
        <v>25</v>
      </c>
      <c r="F2873" s="52" t="s">
        <v>26</v>
      </c>
      <c r="G2873" s="53"/>
    </row>
    <row r="2874">
      <c r="A2874" s="49">
        <v>45050.944320787035</v>
      </c>
      <c r="B2874" s="50">
        <v>45051.0692934027</v>
      </c>
      <c r="C2874" s="51">
        <v>1.024</v>
      </c>
      <c r="D2874" s="51">
        <v>62.0</v>
      </c>
      <c r="E2874" s="52" t="s">
        <v>25</v>
      </c>
      <c r="F2874" s="52" t="s">
        <v>26</v>
      </c>
      <c r="G2874" s="53"/>
    </row>
    <row r="2875">
      <c r="A2875" s="49">
        <v>45050.954738726854</v>
      </c>
      <c r="B2875" s="50">
        <v>45051.0797153356</v>
      </c>
      <c r="C2875" s="51">
        <v>1.024</v>
      </c>
      <c r="D2875" s="51">
        <v>62.0</v>
      </c>
      <c r="E2875" s="52" t="s">
        <v>25</v>
      </c>
      <c r="F2875" s="52" t="s">
        <v>26</v>
      </c>
      <c r="G2875" s="53"/>
    </row>
    <row r="2876">
      <c r="A2876" s="49">
        <v>45050.96519070602</v>
      </c>
      <c r="B2876" s="50">
        <v>45051.0901719097</v>
      </c>
      <c r="C2876" s="51">
        <v>1.023</v>
      </c>
      <c r="D2876" s="51">
        <v>62.0</v>
      </c>
      <c r="E2876" s="52" t="s">
        <v>25</v>
      </c>
      <c r="F2876" s="52" t="s">
        <v>26</v>
      </c>
      <c r="G2876" s="53"/>
    </row>
    <row r="2877">
      <c r="A2877" s="49">
        <v>45050.975621527774</v>
      </c>
      <c r="B2877" s="50">
        <v>45051.1005936689</v>
      </c>
      <c r="C2877" s="51">
        <v>1.024</v>
      </c>
      <c r="D2877" s="51">
        <v>62.0</v>
      </c>
      <c r="E2877" s="52" t="s">
        <v>25</v>
      </c>
      <c r="F2877" s="52" t="s">
        <v>26</v>
      </c>
      <c r="G2877" s="53"/>
    </row>
    <row r="2878">
      <c r="A2878" s="49">
        <v>45050.986039537034</v>
      </c>
      <c r="B2878" s="50">
        <v>45051.1110158449</v>
      </c>
      <c r="C2878" s="51">
        <v>1.024</v>
      </c>
      <c r="D2878" s="51">
        <v>62.0</v>
      </c>
      <c r="E2878" s="52" t="s">
        <v>25</v>
      </c>
      <c r="F2878" s="52" t="s">
        <v>26</v>
      </c>
      <c r="G2878" s="53"/>
    </row>
    <row r="2879">
      <c r="A2879" s="49">
        <v>45050.99647068287</v>
      </c>
      <c r="B2879" s="50">
        <v>45051.1214486458</v>
      </c>
      <c r="C2879" s="51">
        <v>1.024</v>
      </c>
      <c r="D2879" s="51">
        <v>62.0</v>
      </c>
      <c r="E2879" s="52" t="s">
        <v>25</v>
      </c>
      <c r="F2879" s="52" t="s">
        <v>26</v>
      </c>
      <c r="G2879" s="53"/>
    </row>
    <row r="2880">
      <c r="A2880" s="49">
        <v>45051.00690100694</v>
      </c>
      <c r="B2880" s="50">
        <v>45051.1318694213</v>
      </c>
      <c r="C2880" s="51">
        <v>1.024</v>
      </c>
      <c r="D2880" s="51">
        <v>62.0</v>
      </c>
      <c r="E2880" s="52" t="s">
        <v>25</v>
      </c>
      <c r="F2880" s="52" t="s">
        <v>26</v>
      </c>
      <c r="G2880" s="53"/>
    </row>
    <row r="2881">
      <c r="A2881" s="49">
        <v>45051.01731831019</v>
      </c>
      <c r="B2881" s="50">
        <v>45051.1422895486</v>
      </c>
      <c r="C2881" s="51">
        <v>1.024</v>
      </c>
      <c r="D2881" s="51">
        <v>62.0</v>
      </c>
      <c r="E2881" s="52" t="s">
        <v>25</v>
      </c>
      <c r="F2881" s="52" t="s">
        <v>26</v>
      </c>
      <c r="G2881" s="53"/>
    </row>
    <row r="2882">
      <c r="A2882" s="49">
        <v>45051.02775153935</v>
      </c>
      <c r="B2882" s="50">
        <v>45051.1527241319</v>
      </c>
      <c r="C2882" s="51">
        <v>1.024</v>
      </c>
      <c r="D2882" s="51">
        <v>62.0</v>
      </c>
      <c r="E2882" s="52" t="s">
        <v>25</v>
      </c>
      <c r="F2882" s="52" t="s">
        <v>26</v>
      </c>
      <c r="G2882" s="53"/>
    </row>
    <row r="2883">
      <c r="A2883" s="49">
        <v>45051.03817327546</v>
      </c>
      <c r="B2883" s="50">
        <v>45051.1631446875</v>
      </c>
      <c r="C2883" s="51">
        <v>1.024</v>
      </c>
      <c r="D2883" s="51">
        <v>62.0</v>
      </c>
      <c r="E2883" s="52" t="s">
        <v>25</v>
      </c>
      <c r="F2883" s="52" t="s">
        <v>26</v>
      </c>
      <c r="G2883" s="53"/>
    </row>
    <row r="2884">
      <c r="A2884" s="49">
        <v>45051.04859041667</v>
      </c>
      <c r="B2884" s="50">
        <v>45051.1735661226</v>
      </c>
      <c r="C2884" s="51">
        <v>1.024</v>
      </c>
      <c r="D2884" s="51">
        <v>62.0</v>
      </c>
      <c r="E2884" s="52" t="s">
        <v>25</v>
      </c>
      <c r="F2884" s="52" t="s">
        <v>26</v>
      </c>
      <c r="G2884" s="53"/>
    </row>
    <row r="2885">
      <c r="A2885" s="49">
        <v>45051.05902398148</v>
      </c>
      <c r="B2885" s="50">
        <v>45051.1839999537</v>
      </c>
      <c r="C2885" s="51">
        <v>1.024</v>
      </c>
      <c r="D2885" s="51">
        <v>62.0</v>
      </c>
      <c r="E2885" s="52" t="s">
        <v>25</v>
      </c>
      <c r="F2885" s="52" t="s">
        <v>26</v>
      </c>
      <c r="G2885" s="53"/>
    </row>
    <row r="2886">
      <c r="A2886" s="49">
        <v>45051.06944072917</v>
      </c>
      <c r="B2886" s="50">
        <v>45051.1944197916</v>
      </c>
      <c r="C2886" s="51">
        <v>1.024</v>
      </c>
      <c r="D2886" s="51">
        <v>62.0</v>
      </c>
      <c r="E2886" s="52" t="s">
        <v>25</v>
      </c>
      <c r="F2886" s="52" t="s">
        <v>26</v>
      </c>
      <c r="G2886" s="53"/>
    </row>
    <row r="2887">
      <c r="A2887" s="49">
        <v>45051.07987166666</v>
      </c>
      <c r="B2887" s="50">
        <v>45051.2048401504</v>
      </c>
      <c r="C2887" s="51">
        <v>1.023</v>
      </c>
      <c r="D2887" s="51">
        <v>62.0</v>
      </c>
      <c r="E2887" s="52" t="s">
        <v>25</v>
      </c>
      <c r="F2887" s="52" t="s">
        <v>26</v>
      </c>
      <c r="G2887" s="53"/>
    </row>
    <row r="2888">
      <c r="A2888" s="49">
        <v>45051.09028708334</v>
      </c>
      <c r="B2888" s="50">
        <v>45051.2152617708</v>
      </c>
      <c r="C2888" s="51">
        <v>1.023</v>
      </c>
      <c r="D2888" s="51">
        <v>62.0</v>
      </c>
      <c r="E2888" s="52" t="s">
        <v>25</v>
      </c>
      <c r="F2888" s="52" t="s">
        <v>26</v>
      </c>
      <c r="G2888" s="53"/>
    </row>
    <row r="2889">
      <c r="A2889" s="49">
        <v>45051.10071741898</v>
      </c>
      <c r="B2889" s="50">
        <v>45051.2256929513</v>
      </c>
      <c r="C2889" s="51">
        <v>1.023</v>
      </c>
      <c r="D2889" s="51">
        <v>62.0</v>
      </c>
      <c r="E2889" s="52" t="s">
        <v>25</v>
      </c>
      <c r="F2889" s="52" t="s">
        <v>26</v>
      </c>
      <c r="G2889" s="53"/>
    </row>
    <row r="2890">
      <c r="A2890" s="49">
        <v>45051.11114201389</v>
      </c>
      <c r="B2890" s="50">
        <v>45051.236114537</v>
      </c>
      <c r="C2890" s="51">
        <v>1.023</v>
      </c>
      <c r="D2890" s="51">
        <v>62.0</v>
      </c>
      <c r="E2890" s="52" t="s">
        <v>25</v>
      </c>
      <c r="F2890" s="52" t="s">
        <v>26</v>
      </c>
      <c r="G2890" s="53"/>
    </row>
    <row r="2891">
      <c r="A2891" s="49">
        <v>45051.12158074074</v>
      </c>
      <c r="B2891" s="50">
        <v>45051.2465464467</v>
      </c>
      <c r="C2891" s="51">
        <v>1.023</v>
      </c>
      <c r="D2891" s="51">
        <v>62.0</v>
      </c>
      <c r="E2891" s="52" t="s">
        <v>25</v>
      </c>
      <c r="F2891" s="52" t="s">
        <v>26</v>
      </c>
      <c r="G2891" s="53"/>
    </row>
    <row r="2892">
      <c r="A2892" s="49">
        <v>45051.13200424769</v>
      </c>
      <c r="B2892" s="50">
        <v>45051.2569781481</v>
      </c>
      <c r="C2892" s="51">
        <v>1.023</v>
      </c>
      <c r="D2892" s="51">
        <v>62.0</v>
      </c>
      <c r="E2892" s="52" t="s">
        <v>25</v>
      </c>
      <c r="F2892" s="52" t="s">
        <v>26</v>
      </c>
      <c r="G2892" s="53"/>
    </row>
    <row r="2893">
      <c r="A2893" s="49">
        <v>45051.14242241898</v>
      </c>
      <c r="B2893" s="50">
        <v>45051.2674007638</v>
      </c>
      <c r="C2893" s="51">
        <v>1.024</v>
      </c>
      <c r="D2893" s="51">
        <v>62.0</v>
      </c>
      <c r="E2893" s="52" t="s">
        <v>25</v>
      </c>
      <c r="F2893" s="52" t="s">
        <v>26</v>
      </c>
      <c r="G2893" s="53"/>
    </row>
    <row r="2894">
      <c r="A2894" s="49">
        <v>45051.152846400466</v>
      </c>
      <c r="B2894" s="50">
        <v>45051.2778211921</v>
      </c>
      <c r="C2894" s="51">
        <v>1.024</v>
      </c>
      <c r="D2894" s="51">
        <v>62.0</v>
      </c>
      <c r="E2894" s="52" t="s">
        <v>25</v>
      </c>
      <c r="F2894" s="52" t="s">
        <v>26</v>
      </c>
      <c r="G2894" s="53"/>
    </row>
    <row r="2895">
      <c r="A2895" s="49">
        <v>45051.16327253472</v>
      </c>
      <c r="B2895" s="50">
        <v>45051.2882436689</v>
      </c>
      <c r="C2895" s="51">
        <v>1.023</v>
      </c>
      <c r="D2895" s="51">
        <v>62.0</v>
      </c>
      <c r="E2895" s="52" t="s">
        <v>25</v>
      </c>
      <c r="F2895" s="52" t="s">
        <v>26</v>
      </c>
      <c r="G2895" s="53"/>
    </row>
    <row r="2896">
      <c r="A2896" s="49">
        <v>45051.17370666667</v>
      </c>
      <c r="B2896" s="50">
        <v>45051.2986767013</v>
      </c>
      <c r="C2896" s="51">
        <v>1.023</v>
      </c>
      <c r="D2896" s="51">
        <v>62.0</v>
      </c>
      <c r="E2896" s="52" t="s">
        <v>25</v>
      </c>
      <c r="F2896" s="52" t="s">
        <v>26</v>
      </c>
      <c r="G2896" s="53"/>
    </row>
    <row r="2897">
      <c r="A2897" s="49">
        <v>45051.18412053241</v>
      </c>
      <c r="B2897" s="50">
        <v>45051.3090967013</v>
      </c>
      <c r="C2897" s="51">
        <v>1.023</v>
      </c>
      <c r="D2897" s="51">
        <v>62.0</v>
      </c>
      <c r="E2897" s="52" t="s">
        <v>25</v>
      </c>
      <c r="F2897" s="52" t="s">
        <v>26</v>
      </c>
      <c r="G2897" s="53"/>
    </row>
    <row r="2898">
      <c r="A2898" s="49">
        <v>45051.1945429051</v>
      </c>
      <c r="B2898" s="50">
        <v>45051.3195182754</v>
      </c>
      <c r="C2898" s="51">
        <v>1.024</v>
      </c>
      <c r="D2898" s="51">
        <v>62.0</v>
      </c>
      <c r="E2898" s="52" t="s">
        <v>25</v>
      </c>
      <c r="F2898" s="52" t="s">
        <v>26</v>
      </c>
      <c r="G2898" s="53"/>
    </row>
    <row r="2899">
      <c r="A2899" s="49">
        <v>45051.204996238426</v>
      </c>
      <c r="B2899" s="50">
        <v>45051.3299729513</v>
      </c>
      <c r="C2899" s="51">
        <v>1.023</v>
      </c>
      <c r="D2899" s="51">
        <v>62.0</v>
      </c>
      <c r="E2899" s="52" t="s">
        <v>25</v>
      </c>
      <c r="F2899" s="52" t="s">
        <v>26</v>
      </c>
      <c r="G2899" s="53"/>
    </row>
    <row r="2900">
      <c r="A2900" s="49">
        <v>45051.215439444444</v>
      </c>
      <c r="B2900" s="50">
        <v>45051.3404176851</v>
      </c>
      <c r="C2900" s="51">
        <v>1.023</v>
      </c>
      <c r="D2900" s="51">
        <v>62.0</v>
      </c>
      <c r="E2900" s="52" t="s">
        <v>25</v>
      </c>
      <c r="F2900" s="52" t="s">
        <v>26</v>
      </c>
      <c r="G2900" s="53"/>
    </row>
    <row r="2901">
      <c r="A2901" s="49">
        <v>45051.22587194444</v>
      </c>
      <c r="B2901" s="50">
        <v>45051.3508507638</v>
      </c>
      <c r="C2901" s="51">
        <v>1.023</v>
      </c>
      <c r="D2901" s="51">
        <v>62.0</v>
      </c>
      <c r="E2901" s="52" t="s">
        <v>25</v>
      </c>
      <c r="F2901" s="52" t="s">
        <v>26</v>
      </c>
      <c r="G2901" s="53"/>
    </row>
    <row r="2902">
      <c r="A2902" s="49">
        <v>45051.23630091435</v>
      </c>
      <c r="B2902" s="50">
        <v>45051.3612701388</v>
      </c>
      <c r="C2902" s="51">
        <v>1.023</v>
      </c>
      <c r="D2902" s="51">
        <v>63.0</v>
      </c>
      <c r="E2902" s="52" t="s">
        <v>25</v>
      </c>
      <c r="F2902" s="52" t="s">
        <v>26</v>
      </c>
      <c r="G2902" s="53"/>
    </row>
    <row r="2903">
      <c r="A2903" s="49">
        <v>45051.24673407407</v>
      </c>
      <c r="B2903" s="50">
        <v>45051.3717029861</v>
      </c>
      <c r="C2903" s="51">
        <v>1.023</v>
      </c>
      <c r="D2903" s="51">
        <v>63.0</v>
      </c>
      <c r="E2903" s="52" t="s">
        <v>25</v>
      </c>
      <c r="F2903" s="52" t="s">
        <v>26</v>
      </c>
      <c r="G2903" s="53"/>
    </row>
    <row r="2904">
      <c r="A2904" s="49">
        <v>45051.25714767361</v>
      </c>
      <c r="B2904" s="50">
        <v>45051.3821229861</v>
      </c>
      <c r="C2904" s="51">
        <v>1.024</v>
      </c>
      <c r="D2904" s="51">
        <v>63.0</v>
      </c>
      <c r="E2904" s="52" t="s">
        <v>25</v>
      </c>
      <c r="F2904" s="52" t="s">
        <v>26</v>
      </c>
      <c r="G2904" s="53"/>
    </row>
    <row r="2905">
      <c r="A2905" s="49">
        <v>45051.26758385416</v>
      </c>
      <c r="B2905" s="50">
        <v>45051.3925448263</v>
      </c>
      <c r="C2905" s="51">
        <v>1.023</v>
      </c>
      <c r="D2905" s="51">
        <v>64.0</v>
      </c>
      <c r="E2905" s="52" t="s">
        <v>25</v>
      </c>
      <c r="F2905" s="52" t="s">
        <v>26</v>
      </c>
      <c r="G2905" s="53"/>
    </row>
    <row r="2906">
      <c r="A2906" s="49">
        <v>45051.27801363426</v>
      </c>
      <c r="B2906" s="50">
        <v>45051.4029776851</v>
      </c>
      <c r="C2906" s="51">
        <v>1.023</v>
      </c>
      <c r="D2906" s="51">
        <v>64.0</v>
      </c>
      <c r="E2906" s="52" t="s">
        <v>25</v>
      </c>
      <c r="F2906" s="52" t="s">
        <v>26</v>
      </c>
      <c r="G2906" s="53"/>
    </row>
    <row r="2907">
      <c r="A2907" s="49">
        <v>45051.28844076389</v>
      </c>
      <c r="B2907" s="50">
        <v>45051.4134126388</v>
      </c>
      <c r="C2907" s="51">
        <v>1.023</v>
      </c>
      <c r="D2907" s="51">
        <v>65.0</v>
      </c>
      <c r="E2907" s="52" t="s">
        <v>25</v>
      </c>
      <c r="F2907" s="52" t="s">
        <v>26</v>
      </c>
      <c r="G2907" s="53"/>
    </row>
    <row r="2908">
      <c r="A2908" s="49">
        <v>45051.298889328704</v>
      </c>
      <c r="B2908" s="50">
        <v>45051.4238665856</v>
      </c>
      <c r="C2908" s="51">
        <v>1.023</v>
      </c>
      <c r="D2908" s="51">
        <v>65.0</v>
      </c>
      <c r="E2908" s="52" t="s">
        <v>25</v>
      </c>
      <c r="F2908" s="52" t="s">
        <v>26</v>
      </c>
      <c r="G2908" s="53"/>
    </row>
    <row r="2909">
      <c r="A2909" s="49">
        <v>45051.30932296296</v>
      </c>
      <c r="B2909" s="50">
        <v>45051.4342873032</v>
      </c>
      <c r="C2909" s="51">
        <v>1.024</v>
      </c>
      <c r="D2909" s="51">
        <v>65.0</v>
      </c>
      <c r="E2909" s="52" t="s">
        <v>25</v>
      </c>
      <c r="F2909" s="52" t="s">
        <v>26</v>
      </c>
      <c r="G2909" s="53"/>
    </row>
    <row r="2910">
      <c r="A2910" s="49">
        <v>45051.319743009255</v>
      </c>
      <c r="B2910" s="50">
        <v>45051.4447080787</v>
      </c>
      <c r="C2910" s="51">
        <v>1.023</v>
      </c>
      <c r="D2910" s="51">
        <v>66.0</v>
      </c>
      <c r="E2910" s="52" t="s">
        <v>25</v>
      </c>
      <c r="F2910" s="52" t="s">
        <v>26</v>
      </c>
      <c r="G2910" s="53"/>
    </row>
    <row r="2911">
      <c r="A2911" s="49">
        <v>45051.330156412034</v>
      </c>
      <c r="B2911" s="50">
        <v>45051.4551278588</v>
      </c>
      <c r="C2911" s="51">
        <v>1.023</v>
      </c>
      <c r="D2911" s="51">
        <v>66.0</v>
      </c>
      <c r="E2911" s="52" t="s">
        <v>25</v>
      </c>
      <c r="F2911" s="52" t="s">
        <v>26</v>
      </c>
      <c r="G2911" s="53"/>
    </row>
    <row r="2912">
      <c r="A2912" s="49">
        <v>45051.340571203706</v>
      </c>
      <c r="B2912" s="50">
        <v>45051.4655487037</v>
      </c>
      <c r="C2912" s="51">
        <v>1.023</v>
      </c>
      <c r="D2912" s="51">
        <v>67.0</v>
      </c>
      <c r="E2912" s="52" t="s">
        <v>25</v>
      </c>
      <c r="F2912" s="52" t="s">
        <v>26</v>
      </c>
      <c r="G2912" s="53"/>
    </row>
    <row r="2913">
      <c r="A2913" s="49">
        <v>45051.3510168287</v>
      </c>
      <c r="B2913" s="50">
        <v>45051.4759935185</v>
      </c>
      <c r="C2913" s="51">
        <v>1.023</v>
      </c>
      <c r="D2913" s="51">
        <v>67.0</v>
      </c>
      <c r="E2913" s="52" t="s">
        <v>25</v>
      </c>
      <c r="F2913" s="52" t="s">
        <v>26</v>
      </c>
      <c r="G2913" s="53"/>
    </row>
    <row r="2914">
      <c r="A2914" s="49">
        <v>45051.361465671296</v>
      </c>
      <c r="B2914" s="50">
        <v>45051.4864150231</v>
      </c>
      <c r="C2914" s="51">
        <v>1.023</v>
      </c>
      <c r="D2914" s="51">
        <v>67.0</v>
      </c>
      <c r="E2914" s="52" t="s">
        <v>25</v>
      </c>
      <c r="F2914" s="52" t="s">
        <v>26</v>
      </c>
      <c r="G2914" s="53"/>
    </row>
    <row r="2915">
      <c r="A2915" s="49">
        <v>45051.37187851852</v>
      </c>
      <c r="B2915" s="50">
        <v>45051.4968481018</v>
      </c>
      <c r="C2915" s="51">
        <v>1.023</v>
      </c>
      <c r="D2915" s="51">
        <v>68.0</v>
      </c>
      <c r="E2915" s="52" t="s">
        <v>25</v>
      </c>
      <c r="F2915" s="52" t="s">
        <v>26</v>
      </c>
      <c r="G2915" s="53"/>
    </row>
    <row r="2916">
      <c r="A2916" s="49">
        <v>45051.38230376157</v>
      </c>
      <c r="B2916" s="50">
        <v>45051.5072691319</v>
      </c>
      <c r="C2916" s="51">
        <v>1.023</v>
      </c>
      <c r="D2916" s="51">
        <v>68.0</v>
      </c>
      <c r="E2916" s="52" t="s">
        <v>25</v>
      </c>
      <c r="F2916" s="52" t="s">
        <v>26</v>
      </c>
      <c r="G2916" s="53"/>
    </row>
    <row r="2917">
      <c r="A2917" s="49">
        <v>45051.392721076394</v>
      </c>
      <c r="B2917" s="50">
        <v>45051.5176905092</v>
      </c>
      <c r="C2917" s="51">
        <v>1.023</v>
      </c>
      <c r="D2917" s="51">
        <v>68.0</v>
      </c>
      <c r="E2917" s="52" t="s">
        <v>25</v>
      </c>
      <c r="F2917" s="52" t="s">
        <v>26</v>
      </c>
      <c r="G2917" s="53"/>
    </row>
    <row r="2918">
      <c r="A2918" s="49">
        <v>45051.403140254624</v>
      </c>
      <c r="B2918" s="50">
        <v>45051.5281128472</v>
      </c>
      <c r="C2918" s="51">
        <v>1.023</v>
      </c>
      <c r="D2918" s="51">
        <v>68.0</v>
      </c>
      <c r="E2918" s="52" t="s">
        <v>25</v>
      </c>
      <c r="F2918" s="52" t="s">
        <v>26</v>
      </c>
      <c r="G2918" s="53"/>
    </row>
    <row r="2919">
      <c r="A2919" s="49">
        <v>45051.41356858796</v>
      </c>
      <c r="B2919" s="50">
        <v>45051.5385362731</v>
      </c>
      <c r="C2919" s="51">
        <v>1.023</v>
      </c>
      <c r="D2919" s="51">
        <v>68.0</v>
      </c>
      <c r="E2919" s="52" t="s">
        <v>25</v>
      </c>
      <c r="F2919" s="52" t="s">
        <v>26</v>
      </c>
      <c r="G2919" s="53"/>
    </row>
    <row r="2920">
      <c r="A2920" s="49">
        <v>45051.42400756944</v>
      </c>
      <c r="B2920" s="50">
        <v>45051.5489812731</v>
      </c>
      <c r="C2920" s="51">
        <v>1.023</v>
      </c>
      <c r="D2920" s="51">
        <v>68.0</v>
      </c>
      <c r="E2920" s="52" t="s">
        <v>25</v>
      </c>
      <c r="F2920" s="52" t="s">
        <v>26</v>
      </c>
      <c r="G2920" s="53"/>
    </row>
    <row r="2921">
      <c r="A2921" s="49">
        <v>45051.4344234375</v>
      </c>
      <c r="B2921" s="50">
        <v>45051.5594028703</v>
      </c>
      <c r="C2921" s="51">
        <v>1.023</v>
      </c>
      <c r="D2921" s="51">
        <v>68.0</v>
      </c>
      <c r="E2921" s="52" t="s">
        <v>25</v>
      </c>
      <c r="F2921" s="52" t="s">
        <v>26</v>
      </c>
      <c r="G2921" s="53"/>
    </row>
    <row r="2922">
      <c r="A2922" s="49">
        <v>45051.44485425926</v>
      </c>
      <c r="B2922" s="50">
        <v>45051.5698245949</v>
      </c>
      <c r="C2922" s="51">
        <v>1.023</v>
      </c>
      <c r="D2922" s="51">
        <v>68.0</v>
      </c>
      <c r="E2922" s="52" t="s">
        <v>25</v>
      </c>
      <c r="F2922" s="52" t="s">
        <v>26</v>
      </c>
      <c r="G2922" s="53"/>
    </row>
    <row r="2923">
      <c r="A2923" s="49">
        <v>45051.45527424768</v>
      </c>
      <c r="B2923" s="50">
        <v>45051.580245949</v>
      </c>
      <c r="C2923" s="51">
        <v>1.023</v>
      </c>
      <c r="D2923" s="51">
        <v>68.0</v>
      </c>
      <c r="E2923" s="52" t="s">
        <v>25</v>
      </c>
      <c r="F2923" s="52" t="s">
        <v>26</v>
      </c>
      <c r="G2923" s="53"/>
    </row>
    <row r="2924">
      <c r="A2924" s="49">
        <v>45051.46571881944</v>
      </c>
      <c r="B2924" s="50">
        <v>45051.5906884027</v>
      </c>
      <c r="C2924" s="51">
        <v>1.023</v>
      </c>
      <c r="D2924" s="51">
        <v>68.0</v>
      </c>
      <c r="E2924" s="52" t="s">
        <v>25</v>
      </c>
      <c r="F2924" s="52" t="s">
        <v>26</v>
      </c>
      <c r="G2924" s="53"/>
    </row>
    <row r="2925">
      <c r="A2925" s="49">
        <v>45051.476141886575</v>
      </c>
      <c r="B2925" s="50">
        <v>45051.6011083564</v>
      </c>
      <c r="C2925" s="51">
        <v>1.023</v>
      </c>
      <c r="D2925" s="51">
        <v>68.0</v>
      </c>
      <c r="E2925" s="52" t="s">
        <v>25</v>
      </c>
      <c r="F2925" s="52" t="s">
        <v>26</v>
      </c>
      <c r="G2925" s="53"/>
    </row>
    <row r="2926">
      <c r="A2926" s="49">
        <v>45051.48658803241</v>
      </c>
      <c r="B2926" s="50">
        <v>45051.6115408449</v>
      </c>
      <c r="C2926" s="51">
        <v>1.023</v>
      </c>
      <c r="D2926" s="51">
        <v>68.0</v>
      </c>
      <c r="E2926" s="52" t="s">
        <v>25</v>
      </c>
      <c r="F2926" s="52" t="s">
        <v>26</v>
      </c>
      <c r="G2926" s="53"/>
    </row>
    <row r="2927">
      <c r="A2927" s="49">
        <v>45051.496986053244</v>
      </c>
      <c r="B2927" s="50">
        <v>45051.621963206</v>
      </c>
      <c r="C2927" s="51">
        <v>1.023</v>
      </c>
      <c r="D2927" s="51">
        <v>68.0</v>
      </c>
      <c r="E2927" s="52" t="s">
        <v>25</v>
      </c>
      <c r="F2927" s="52" t="s">
        <v>26</v>
      </c>
      <c r="G2927" s="53"/>
    </row>
    <row r="2928">
      <c r="A2928" s="49">
        <v>45051.507411238425</v>
      </c>
      <c r="B2928" s="50">
        <v>45051.63238375</v>
      </c>
      <c r="C2928" s="51">
        <v>1.023</v>
      </c>
      <c r="D2928" s="51">
        <v>68.0</v>
      </c>
      <c r="E2928" s="52" t="s">
        <v>25</v>
      </c>
      <c r="F2928" s="52" t="s">
        <v>26</v>
      </c>
      <c r="G2928" s="53"/>
    </row>
    <row r="2929">
      <c r="A2929" s="49">
        <v>45051.51782813657</v>
      </c>
      <c r="B2929" s="50">
        <v>45051.6428055671</v>
      </c>
      <c r="C2929" s="51">
        <v>1.023</v>
      </c>
      <c r="D2929" s="51">
        <v>68.0</v>
      </c>
      <c r="E2929" s="52" t="s">
        <v>25</v>
      </c>
      <c r="F2929" s="52" t="s">
        <v>26</v>
      </c>
      <c r="G2929" s="53"/>
    </row>
    <row r="2930">
      <c r="A2930" s="49">
        <v>45051.52825783565</v>
      </c>
      <c r="B2930" s="50">
        <v>45051.6532262847</v>
      </c>
      <c r="C2930" s="51">
        <v>1.023</v>
      </c>
      <c r="D2930" s="51">
        <v>67.0</v>
      </c>
      <c r="E2930" s="52" t="s">
        <v>25</v>
      </c>
      <c r="F2930" s="52" t="s">
        <v>26</v>
      </c>
      <c r="G2930" s="53"/>
    </row>
    <row r="2931">
      <c r="A2931" s="49">
        <v>45051.53867459491</v>
      </c>
      <c r="B2931" s="50">
        <v>45051.6636472222</v>
      </c>
      <c r="C2931" s="51">
        <v>1.023</v>
      </c>
      <c r="D2931" s="51">
        <v>67.0</v>
      </c>
      <c r="E2931" s="52" t="s">
        <v>25</v>
      </c>
      <c r="F2931" s="52" t="s">
        <v>26</v>
      </c>
      <c r="G2931" s="53"/>
    </row>
    <row r="2932">
      <c r="A2932" s="49">
        <v>45051.54908615741</v>
      </c>
      <c r="B2932" s="50">
        <v>45051.6740669328</v>
      </c>
      <c r="C2932" s="51">
        <v>1.023</v>
      </c>
      <c r="D2932" s="51">
        <v>67.0</v>
      </c>
      <c r="E2932" s="52" t="s">
        <v>25</v>
      </c>
      <c r="F2932" s="52" t="s">
        <v>26</v>
      </c>
      <c r="G2932" s="53"/>
    </row>
    <row r="2933">
      <c r="A2933" s="49">
        <v>45051.55955012732</v>
      </c>
      <c r="B2933" s="50">
        <v>45051.684500162</v>
      </c>
      <c r="C2933" s="51">
        <v>1.023</v>
      </c>
      <c r="D2933" s="51">
        <v>67.0</v>
      </c>
      <c r="E2933" s="52" t="s">
        <v>25</v>
      </c>
      <c r="F2933" s="52" t="s">
        <v>26</v>
      </c>
      <c r="G2933" s="53"/>
    </row>
    <row r="2934">
      <c r="A2934" s="49">
        <v>45051.56997430556</v>
      </c>
      <c r="B2934" s="50">
        <v>45051.6949347685</v>
      </c>
      <c r="C2934" s="51">
        <v>1.023</v>
      </c>
      <c r="D2934" s="51">
        <v>67.0</v>
      </c>
      <c r="E2934" s="52" t="s">
        <v>25</v>
      </c>
      <c r="F2934" s="52" t="s">
        <v>26</v>
      </c>
      <c r="G2934" s="53"/>
    </row>
    <row r="2935">
      <c r="A2935" s="49">
        <v>45051.58038038194</v>
      </c>
      <c r="B2935" s="50">
        <v>45051.7053560648</v>
      </c>
      <c r="C2935" s="51">
        <v>1.023</v>
      </c>
      <c r="D2935" s="51">
        <v>67.0</v>
      </c>
      <c r="E2935" s="52" t="s">
        <v>25</v>
      </c>
      <c r="F2935" s="52" t="s">
        <v>26</v>
      </c>
      <c r="G2935" s="53"/>
    </row>
    <row r="2936">
      <c r="A2936" s="49">
        <v>45051.59082932871</v>
      </c>
      <c r="B2936" s="50">
        <v>45051.7157988426</v>
      </c>
      <c r="C2936" s="51">
        <v>1.023</v>
      </c>
      <c r="D2936" s="51">
        <v>67.0</v>
      </c>
      <c r="E2936" s="52" t="s">
        <v>25</v>
      </c>
      <c r="F2936" s="52" t="s">
        <v>26</v>
      </c>
      <c r="G2936" s="53"/>
    </row>
    <row r="2937">
      <c r="A2937" s="49">
        <v>45051.60125208333</v>
      </c>
      <c r="B2937" s="50">
        <v>45051.7262190856</v>
      </c>
      <c r="C2937" s="51">
        <v>1.023</v>
      </c>
      <c r="D2937" s="51">
        <v>67.0</v>
      </c>
      <c r="E2937" s="52" t="s">
        <v>25</v>
      </c>
      <c r="F2937" s="52" t="s">
        <v>26</v>
      </c>
      <c r="G2937" s="53"/>
    </row>
    <row r="2938">
      <c r="A2938" s="49">
        <v>45051.61167658565</v>
      </c>
      <c r="B2938" s="50">
        <v>45051.7366524652</v>
      </c>
      <c r="C2938" s="51">
        <v>1.023</v>
      </c>
      <c r="D2938" s="51">
        <v>67.0</v>
      </c>
      <c r="E2938" s="52" t="s">
        <v>25</v>
      </c>
      <c r="F2938" s="52" t="s">
        <v>26</v>
      </c>
      <c r="G2938" s="53"/>
    </row>
    <row r="2939">
      <c r="A2939" s="49">
        <v>45051.62209862268</v>
      </c>
      <c r="B2939" s="50">
        <v>45051.7470717592</v>
      </c>
      <c r="C2939" s="51">
        <v>1.023</v>
      </c>
      <c r="D2939" s="51">
        <v>67.0</v>
      </c>
      <c r="E2939" s="52" t="s">
        <v>25</v>
      </c>
      <c r="F2939" s="52" t="s">
        <v>26</v>
      </c>
      <c r="G2939" s="53"/>
    </row>
    <row r="2940">
      <c r="A2940" s="49">
        <v>45051.63253261574</v>
      </c>
      <c r="B2940" s="50">
        <v>45051.7575039351</v>
      </c>
      <c r="C2940" s="51">
        <v>1.023</v>
      </c>
      <c r="D2940" s="51">
        <v>67.0</v>
      </c>
      <c r="E2940" s="52" t="s">
        <v>25</v>
      </c>
      <c r="F2940" s="52" t="s">
        <v>26</v>
      </c>
      <c r="G2940" s="53"/>
    </row>
    <row r="2941">
      <c r="A2941" s="49">
        <v>45051.64296449074</v>
      </c>
      <c r="B2941" s="50">
        <v>45051.7679368055</v>
      </c>
      <c r="C2941" s="51">
        <v>1.023</v>
      </c>
      <c r="D2941" s="51">
        <v>67.0</v>
      </c>
      <c r="E2941" s="52" t="s">
        <v>25</v>
      </c>
      <c r="F2941" s="52" t="s">
        <v>26</v>
      </c>
      <c r="G2941" s="53"/>
    </row>
    <row r="2942">
      <c r="A2942" s="49">
        <v>45051.65338570601</v>
      </c>
      <c r="B2942" s="50">
        <v>45051.7783580092</v>
      </c>
      <c r="C2942" s="51">
        <v>1.023</v>
      </c>
      <c r="D2942" s="51">
        <v>67.0</v>
      </c>
      <c r="E2942" s="52" t="s">
        <v>25</v>
      </c>
      <c r="F2942" s="52" t="s">
        <v>26</v>
      </c>
      <c r="G2942" s="53"/>
    </row>
    <row r="2943">
      <c r="A2943" s="49">
        <v>45051.66381113426</v>
      </c>
      <c r="B2943" s="50">
        <v>45051.7887796759</v>
      </c>
      <c r="C2943" s="51">
        <v>1.023</v>
      </c>
      <c r="D2943" s="51">
        <v>67.0</v>
      </c>
      <c r="E2943" s="52" t="s">
        <v>25</v>
      </c>
      <c r="F2943" s="52" t="s">
        <v>26</v>
      </c>
      <c r="G2943" s="53"/>
    </row>
    <row r="2944">
      <c r="A2944" s="49">
        <v>45051.67421829861</v>
      </c>
      <c r="B2944" s="50">
        <v>45051.7991999421</v>
      </c>
      <c r="C2944" s="51">
        <v>1.023</v>
      </c>
      <c r="D2944" s="51">
        <v>67.0</v>
      </c>
      <c r="E2944" s="52" t="s">
        <v>25</v>
      </c>
      <c r="F2944" s="52" t="s">
        <v>26</v>
      </c>
      <c r="G2944" s="53"/>
    </row>
    <row r="2945">
      <c r="A2945" s="49">
        <v>45051.68464137732</v>
      </c>
      <c r="B2945" s="50">
        <v>45051.8096224537</v>
      </c>
      <c r="C2945" s="51">
        <v>1.023</v>
      </c>
      <c r="D2945" s="51">
        <v>67.0</v>
      </c>
      <c r="E2945" s="52" t="s">
        <v>25</v>
      </c>
      <c r="F2945" s="52" t="s">
        <v>26</v>
      </c>
      <c r="G2945" s="53"/>
    </row>
    <row r="2946">
      <c r="A2946" s="49">
        <v>45051.69506618056</v>
      </c>
      <c r="B2946" s="50">
        <v>45051.8200446875</v>
      </c>
      <c r="C2946" s="51">
        <v>1.023</v>
      </c>
      <c r="D2946" s="51">
        <v>67.0</v>
      </c>
      <c r="E2946" s="52" t="s">
        <v>25</v>
      </c>
      <c r="F2946" s="52" t="s">
        <v>26</v>
      </c>
      <c r="G2946" s="53"/>
    </row>
    <row r="2947">
      <c r="A2947" s="49">
        <v>45051.705489976855</v>
      </c>
      <c r="B2947" s="50">
        <v>45051.8304657523</v>
      </c>
      <c r="C2947" s="51">
        <v>1.023</v>
      </c>
      <c r="D2947" s="51">
        <v>67.0</v>
      </c>
      <c r="E2947" s="52" t="s">
        <v>25</v>
      </c>
      <c r="F2947" s="52" t="s">
        <v>26</v>
      </c>
      <c r="G2947" s="53"/>
    </row>
    <row r="2948">
      <c r="A2948" s="49">
        <v>45051.715916562505</v>
      </c>
      <c r="B2948" s="50">
        <v>45051.8408976736</v>
      </c>
      <c r="C2948" s="51">
        <v>1.023</v>
      </c>
      <c r="D2948" s="51">
        <v>67.0</v>
      </c>
      <c r="E2948" s="52" t="s">
        <v>25</v>
      </c>
      <c r="F2948" s="52" t="s">
        <v>26</v>
      </c>
      <c r="G2948" s="53"/>
    </row>
    <row r="2949">
      <c r="A2949" s="49">
        <v>45051.72633931713</v>
      </c>
      <c r="B2949" s="50">
        <v>45051.8513196296</v>
      </c>
      <c r="C2949" s="51">
        <v>1.023</v>
      </c>
      <c r="D2949" s="51">
        <v>67.0</v>
      </c>
      <c r="E2949" s="52" t="s">
        <v>25</v>
      </c>
      <c r="F2949" s="52" t="s">
        <v>26</v>
      </c>
      <c r="G2949" s="53"/>
    </row>
    <row r="2950">
      <c r="A2950" s="49">
        <v>45051.73676975694</v>
      </c>
      <c r="B2950" s="50">
        <v>45051.8617422222</v>
      </c>
      <c r="C2950" s="51">
        <v>1.023</v>
      </c>
      <c r="D2950" s="51">
        <v>67.0</v>
      </c>
      <c r="E2950" s="52" t="s">
        <v>25</v>
      </c>
      <c r="F2950" s="52" t="s">
        <v>26</v>
      </c>
      <c r="G2950" s="53"/>
    </row>
    <row r="2951">
      <c r="A2951" s="49">
        <v>45051.747192372684</v>
      </c>
      <c r="B2951" s="50">
        <v>45051.8721629398</v>
      </c>
      <c r="C2951" s="51">
        <v>1.023</v>
      </c>
      <c r="D2951" s="51">
        <v>67.0</v>
      </c>
      <c r="E2951" s="52" t="s">
        <v>25</v>
      </c>
      <c r="F2951" s="52" t="s">
        <v>26</v>
      </c>
      <c r="G2951" s="53"/>
    </row>
    <row r="2952">
      <c r="A2952" s="49">
        <v>45051.75761383102</v>
      </c>
      <c r="B2952" s="50">
        <v>45051.8825854398</v>
      </c>
      <c r="C2952" s="51">
        <v>1.023</v>
      </c>
      <c r="D2952" s="51">
        <v>67.0</v>
      </c>
      <c r="E2952" s="52" t="s">
        <v>25</v>
      </c>
      <c r="F2952" s="52" t="s">
        <v>26</v>
      </c>
      <c r="G2952" s="53"/>
    </row>
    <row r="2953">
      <c r="A2953" s="49">
        <v>45051.768024317134</v>
      </c>
      <c r="B2953" s="50">
        <v>45051.8930057176</v>
      </c>
      <c r="C2953" s="51">
        <v>1.023</v>
      </c>
      <c r="D2953" s="51">
        <v>67.0</v>
      </c>
      <c r="E2953" s="52" t="s">
        <v>25</v>
      </c>
      <c r="F2953" s="52" t="s">
        <v>26</v>
      </c>
      <c r="G2953" s="53"/>
    </row>
    <row r="2954">
      <c r="A2954" s="49">
        <v>45051.77846792824</v>
      </c>
      <c r="B2954" s="50">
        <v>45051.9034387847</v>
      </c>
      <c r="C2954" s="51">
        <v>1.023</v>
      </c>
      <c r="D2954" s="51">
        <v>67.0</v>
      </c>
      <c r="E2954" s="52" t="s">
        <v>25</v>
      </c>
      <c r="F2954" s="52" t="s">
        <v>26</v>
      </c>
      <c r="G2954" s="53"/>
    </row>
    <row r="2955">
      <c r="A2955" s="49">
        <v>45051.78889041667</v>
      </c>
      <c r="B2955" s="50">
        <v>45051.9138597801</v>
      </c>
      <c r="C2955" s="51">
        <v>1.023</v>
      </c>
      <c r="D2955" s="51">
        <v>67.0</v>
      </c>
      <c r="E2955" s="52" t="s">
        <v>25</v>
      </c>
      <c r="F2955" s="52" t="s">
        <v>26</v>
      </c>
      <c r="G2955" s="53"/>
    </row>
    <row r="2956">
      <c r="A2956" s="49">
        <v>45051.799304050925</v>
      </c>
      <c r="B2956" s="50">
        <v>45051.9242807638</v>
      </c>
      <c r="C2956" s="51">
        <v>1.023</v>
      </c>
      <c r="D2956" s="51">
        <v>67.0</v>
      </c>
      <c r="E2956" s="52" t="s">
        <v>25</v>
      </c>
      <c r="F2956" s="52" t="s">
        <v>26</v>
      </c>
      <c r="G2956" s="53"/>
    </row>
    <row r="2957">
      <c r="A2957" s="49">
        <v>45051.80972553241</v>
      </c>
      <c r="B2957" s="50">
        <v>45051.9347019328</v>
      </c>
      <c r="C2957" s="51">
        <v>1.023</v>
      </c>
      <c r="D2957" s="51">
        <v>67.0</v>
      </c>
      <c r="E2957" s="52" t="s">
        <v>25</v>
      </c>
      <c r="F2957" s="52" t="s">
        <v>26</v>
      </c>
      <c r="G2957" s="53"/>
    </row>
    <row r="2958">
      <c r="A2958" s="49">
        <v>45051.82015241898</v>
      </c>
      <c r="B2958" s="50">
        <v>45051.9451222569</v>
      </c>
      <c r="C2958" s="51">
        <v>1.023</v>
      </c>
      <c r="D2958" s="51">
        <v>67.0</v>
      </c>
      <c r="E2958" s="52" t="s">
        <v>25</v>
      </c>
      <c r="F2958" s="52" t="s">
        <v>26</v>
      </c>
      <c r="G2958" s="53"/>
    </row>
    <row r="2959">
      <c r="A2959" s="49">
        <v>45051.83056780093</v>
      </c>
      <c r="B2959" s="50">
        <v>45051.9555440162</v>
      </c>
      <c r="C2959" s="51">
        <v>1.023</v>
      </c>
      <c r="D2959" s="51">
        <v>67.0</v>
      </c>
      <c r="E2959" s="52" t="s">
        <v>25</v>
      </c>
      <c r="F2959" s="52" t="s">
        <v>26</v>
      </c>
      <c r="G2959" s="53"/>
    </row>
    <row r="2960">
      <c r="A2960" s="49">
        <v>45051.84098425926</v>
      </c>
      <c r="B2960" s="50">
        <v>45051.9659649421</v>
      </c>
      <c r="C2960" s="51">
        <v>1.023</v>
      </c>
      <c r="D2960" s="51">
        <v>67.0</v>
      </c>
      <c r="E2960" s="52" t="s">
        <v>25</v>
      </c>
      <c r="F2960" s="52" t="s">
        <v>26</v>
      </c>
      <c r="G2960" s="53"/>
    </row>
    <row r="2961">
      <c r="A2961" s="49">
        <v>45051.85142826389</v>
      </c>
      <c r="B2961" s="50">
        <v>45051.9764081597</v>
      </c>
      <c r="C2961" s="51">
        <v>1.023</v>
      </c>
      <c r="D2961" s="51">
        <v>67.0</v>
      </c>
      <c r="E2961" s="52" t="s">
        <v>25</v>
      </c>
      <c r="F2961" s="52" t="s">
        <v>26</v>
      </c>
      <c r="G2961" s="53"/>
    </row>
    <row r="2962">
      <c r="A2962" s="49">
        <v>45051.86188285879</v>
      </c>
      <c r="B2962" s="50">
        <v>45051.9868631828</v>
      </c>
      <c r="C2962" s="51">
        <v>1.023</v>
      </c>
      <c r="D2962" s="51">
        <v>67.0</v>
      </c>
      <c r="E2962" s="52" t="s">
        <v>25</v>
      </c>
      <c r="F2962" s="52" t="s">
        <v>26</v>
      </c>
      <c r="G2962" s="53"/>
    </row>
    <row r="2963">
      <c r="A2963" s="49">
        <v>45051.872300682866</v>
      </c>
      <c r="B2963" s="50">
        <v>45051.9972835069</v>
      </c>
      <c r="C2963" s="51">
        <v>1.022</v>
      </c>
      <c r="D2963" s="51">
        <v>67.0</v>
      </c>
      <c r="E2963" s="52" t="s">
        <v>25</v>
      </c>
      <c r="F2963" s="52" t="s">
        <v>26</v>
      </c>
      <c r="G2963" s="53"/>
    </row>
    <row r="2964">
      <c r="A2964" s="49">
        <v>45051.88273254629</v>
      </c>
      <c r="B2964" s="50">
        <v>45052.007703831</v>
      </c>
      <c r="C2964" s="51">
        <v>1.022</v>
      </c>
      <c r="D2964" s="51">
        <v>67.0</v>
      </c>
      <c r="E2964" s="52" t="s">
        <v>25</v>
      </c>
      <c r="F2964" s="52" t="s">
        <v>26</v>
      </c>
      <c r="G2964" s="53"/>
    </row>
    <row r="2965">
      <c r="A2965" s="49">
        <v>45051.893150902775</v>
      </c>
      <c r="B2965" s="50">
        <v>45052.018125324</v>
      </c>
      <c r="C2965" s="51">
        <v>1.022</v>
      </c>
      <c r="D2965" s="51">
        <v>67.0</v>
      </c>
      <c r="E2965" s="52" t="s">
        <v>25</v>
      </c>
      <c r="F2965" s="52" t="s">
        <v>26</v>
      </c>
      <c r="G2965" s="53"/>
    </row>
    <row r="2966">
      <c r="A2966" s="49">
        <v>45051.903582280094</v>
      </c>
      <c r="B2966" s="50">
        <v>45052.0285584606</v>
      </c>
      <c r="C2966" s="51">
        <v>1.022</v>
      </c>
      <c r="D2966" s="51">
        <v>67.0</v>
      </c>
      <c r="E2966" s="52" t="s">
        <v>25</v>
      </c>
      <c r="F2966" s="52" t="s">
        <v>26</v>
      </c>
      <c r="G2966" s="53"/>
    </row>
    <row r="2967">
      <c r="A2967" s="49">
        <v>45051.91400885417</v>
      </c>
      <c r="B2967" s="50">
        <v>45052.038978993</v>
      </c>
      <c r="C2967" s="51">
        <v>1.022</v>
      </c>
      <c r="D2967" s="51">
        <v>67.0</v>
      </c>
      <c r="E2967" s="52" t="s">
        <v>25</v>
      </c>
      <c r="F2967" s="52" t="s">
        <v>26</v>
      </c>
      <c r="G2967" s="53"/>
    </row>
    <row r="2968">
      <c r="A2968" s="49">
        <v>45051.9244259838</v>
      </c>
      <c r="B2968" s="50">
        <v>45052.0494008333</v>
      </c>
      <c r="C2968" s="51">
        <v>1.023</v>
      </c>
      <c r="D2968" s="51">
        <v>67.0</v>
      </c>
      <c r="E2968" s="52" t="s">
        <v>25</v>
      </c>
      <c r="F2968" s="52" t="s">
        <v>26</v>
      </c>
      <c r="G2968" s="53"/>
    </row>
    <row r="2969">
      <c r="A2969" s="49">
        <v>45051.9348466088</v>
      </c>
      <c r="B2969" s="50">
        <v>45052.0598211921</v>
      </c>
      <c r="C2969" s="51">
        <v>1.022</v>
      </c>
      <c r="D2969" s="51">
        <v>66.0</v>
      </c>
      <c r="E2969" s="52" t="s">
        <v>25</v>
      </c>
      <c r="F2969" s="52" t="s">
        <v>26</v>
      </c>
      <c r="G2969" s="53"/>
    </row>
    <row r="2970">
      <c r="A2970" s="49">
        <v>45051.945278287036</v>
      </c>
      <c r="B2970" s="50">
        <v>45052.070253993</v>
      </c>
      <c r="C2970" s="51">
        <v>1.022</v>
      </c>
      <c r="D2970" s="51">
        <v>66.0</v>
      </c>
      <c r="E2970" s="52" t="s">
        <v>25</v>
      </c>
      <c r="F2970" s="52" t="s">
        <v>26</v>
      </c>
      <c r="G2970" s="53"/>
    </row>
    <row r="2971">
      <c r="A2971" s="49">
        <v>45051.95570290509</v>
      </c>
      <c r="B2971" s="50">
        <v>45052.0806862384</v>
      </c>
      <c r="C2971" s="51">
        <v>1.022</v>
      </c>
      <c r="D2971" s="51">
        <v>66.0</v>
      </c>
      <c r="E2971" s="52" t="s">
        <v>25</v>
      </c>
      <c r="F2971" s="52" t="s">
        <v>26</v>
      </c>
      <c r="G2971" s="53"/>
    </row>
    <row r="2972">
      <c r="A2972" s="49">
        <v>45051.96613151621</v>
      </c>
      <c r="B2972" s="50">
        <v>45052.0911077893</v>
      </c>
      <c r="C2972" s="51">
        <v>1.022</v>
      </c>
      <c r="D2972" s="51">
        <v>66.0</v>
      </c>
      <c r="E2972" s="52" t="s">
        <v>25</v>
      </c>
      <c r="F2972" s="52" t="s">
        <v>26</v>
      </c>
      <c r="G2972" s="53"/>
    </row>
    <row r="2973">
      <c r="A2973" s="49">
        <v>45051.97656322917</v>
      </c>
      <c r="B2973" s="50">
        <v>45052.101526956</v>
      </c>
      <c r="C2973" s="51">
        <v>1.022</v>
      </c>
      <c r="D2973" s="51">
        <v>66.0</v>
      </c>
      <c r="E2973" s="52" t="s">
        <v>25</v>
      </c>
      <c r="F2973" s="52" t="s">
        <v>26</v>
      </c>
      <c r="G2973" s="53"/>
    </row>
    <row r="2974">
      <c r="A2974" s="49">
        <v>45051.98698184028</v>
      </c>
      <c r="B2974" s="50">
        <v>45052.1119597453</v>
      </c>
      <c r="C2974" s="51">
        <v>1.022</v>
      </c>
      <c r="D2974" s="51">
        <v>66.0</v>
      </c>
      <c r="E2974" s="52" t="s">
        <v>25</v>
      </c>
      <c r="F2974" s="52" t="s">
        <v>26</v>
      </c>
      <c r="G2974" s="53"/>
    </row>
    <row r="2975">
      <c r="A2975" s="49">
        <v>45051.99740962963</v>
      </c>
      <c r="B2975" s="50">
        <v>45052.1223807638</v>
      </c>
      <c r="C2975" s="51">
        <v>1.022</v>
      </c>
      <c r="D2975" s="51">
        <v>66.0</v>
      </c>
      <c r="E2975" s="52" t="s">
        <v>25</v>
      </c>
      <c r="F2975" s="52" t="s">
        <v>26</v>
      </c>
      <c r="G2975" s="53"/>
    </row>
    <row r="2976">
      <c r="A2976" s="49">
        <v>45052.00783878472</v>
      </c>
      <c r="B2976" s="50">
        <v>45052.1328129629</v>
      </c>
      <c r="C2976" s="51">
        <v>1.022</v>
      </c>
      <c r="D2976" s="51">
        <v>66.0</v>
      </c>
      <c r="E2976" s="52" t="s">
        <v>25</v>
      </c>
      <c r="F2976" s="52" t="s">
        <v>26</v>
      </c>
      <c r="G2976" s="53"/>
    </row>
    <row r="2977">
      <c r="A2977" s="49">
        <v>45052.01825878472</v>
      </c>
      <c r="B2977" s="50">
        <v>45052.1432347106</v>
      </c>
      <c r="C2977" s="51">
        <v>1.022</v>
      </c>
      <c r="D2977" s="51">
        <v>66.0</v>
      </c>
      <c r="E2977" s="52" t="s">
        <v>25</v>
      </c>
      <c r="F2977" s="52" t="s">
        <v>26</v>
      </c>
      <c r="G2977" s="53"/>
    </row>
    <row r="2978">
      <c r="A2978" s="49">
        <v>45052.02867989583</v>
      </c>
      <c r="B2978" s="50">
        <v>45052.1536565162</v>
      </c>
      <c r="C2978" s="51">
        <v>1.022</v>
      </c>
      <c r="D2978" s="51">
        <v>66.0</v>
      </c>
      <c r="E2978" s="52" t="s">
        <v>25</v>
      </c>
      <c r="F2978" s="52" t="s">
        <v>26</v>
      </c>
      <c r="G2978" s="53"/>
    </row>
    <row r="2979">
      <c r="A2979" s="49">
        <v>45052.03911322917</v>
      </c>
      <c r="B2979" s="50">
        <v>45052.1640895138</v>
      </c>
      <c r="C2979" s="51">
        <v>1.022</v>
      </c>
      <c r="D2979" s="51">
        <v>66.0</v>
      </c>
      <c r="E2979" s="52" t="s">
        <v>25</v>
      </c>
      <c r="F2979" s="52" t="s">
        <v>26</v>
      </c>
      <c r="G2979" s="53"/>
    </row>
    <row r="2980">
      <c r="A2980" s="49">
        <v>45052.04957021991</v>
      </c>
      <c r="B2980" s="50">
        <v>45052.1745452314</v>
      </c>
      <c r="C2980" s="51">
        <v>1.022</v>
      </c>
      <c r="D2980" s="51">
        <v>66.0</v>
      </c>
      <c r="E2980" s="52" t="s">
        <v>25</v>
      </c>
      <c r="F2980" s="52" t="s">
        <v>26</v>
      </c>
      <c r="G2980" s="53"/>
    </row>
    <row r="2981">
      <c r="A2981" s="49">
        <v>45052.0599874537</v>
      </c>
      <c r="B2981" s="50">
        <v>45052.1849662268</v>
      </c>
      <c r="C2981" s="51">
        <v>1.022</v>
      </c>
      <c r="D2981" s="51">
        <v>66.0</v>
      </c>
      <c r="E2981" s="52" t="s">
        <v>25</v>
      </c>
      <c r="F2981" s="52" t="s">
        <v>26</v>
      </c>
      <c r="G2981" s="53"/>
    </row>
    <row r="2982">
      <c r="A2982" s="49">
        <v>45052.0704171875</v>
      </c>
      <c r="B2982" s="50">
        <v>45052.1953858564</v>
      </c>
      <c r="C2982" s="51">
        <v>1.022</v>
      </c>
      <c r="D2982" s="51">
        <v>66.0</v>
      </c>
      <c r="E2982" s="52" t="s">
        <v>25</v>
      </c>
      <c r="F2982" s="52" t="s">
        <v>26</v>
      </c>
      <c r="G2982" s="53"/>
    </row>
    <row r="2983">
      <c r="A2983" s="49">
        <v>45052.080860497685</v>
      </c>
      <c r="B2983" s="50">
        <v>45052.205830706</v>
      </c>
      <c r="C2983" s="51">
        <v>1.022</v>
      </c>
      <c r="D2983" s="51">
        <v>66.0</v>
      </c>
      <c r="E2983" s="52" t="s">
        <v>25</v>
      </c>
      <c r="F2983" s="52" t="s">
        <v>26</v>
      </c>
      <c r="G2983" s="53"/>
    </row>
    <row r="2984">
      <c r="A2984" s="49">
        <v>45052.09132118056</v>
      </c>
      <c r="B2984" s="50">
        <v>45052.2162892361</v>
      </c>
      <c r="C2984" s="51">
        <v>1.022</v>
      </c>
      <c r="D2984" s="51">
        <v>66.0</v>
      </c>
      <c r="E2984" s="52" t="s">
        <v>25</v>
      </c>
      <c r="F2984" s="52" t="s">
        <v>26</v>
      </c>
      <c r="G2984" s="53"/>
    </row>
    <row r="2985">
      <c r="A2985" s="49">
        <v>45052.1017341088</v>
      </c>
      <c r="B2985" s="50">
        <v>45052.2267107638</v>
      </c>
      <c r="C2985" s="51">
        <v>1.022</v>
      </c>
      <c r="D2985" s="51">
        <v>66.0</v>
      </c>
      <c r="E2985" s="52" t="s">
        <v>25</v>
      </c>
      <c r="F2985" s="52" t="s">
        <v>26</v>
      </c>
      <c r="G2985" s="53"/>
    </row>
    <row r="2986">
      <c r="A2986" s="49">
        <v>45052.11216091435</v>
      </c>
      <c r="B2986" s="50">
        <v>45052.2371317361</v>
      </c>
      <c r="C2986" s="51">
        <v>1.022</v>
      </c>
      <c r="D2986" s="51">
        <v>66.0</v>
      </c>
      <c r="E2986" s="52" t="s">
        <v>25</v>
      </c>
      <c r="F2986" s="52" t="s">
        <v>26</v>
      </c>
      <c r="G2986" s="53"/>
    </row>
    <row r="2987">
      <c r="A2987" s="49">
        <v>45052.12257739583</v>
      </c>
      <c r="B2987" s="50">
        <v>45052.2475545486</v>
      </c>
      <c r="C2987" s="51">
        <v>1.022</v>
      </c>
      <c r="D2987" s="51">
        <v>66.0</v>
      </c>
      <c r="E2987" s="52" t="s">
        <v>25</v>
      </c>
      <c r="F2987" s="52" t="s">
        <v>26</v>
      </c>
      <c r="G2987" s="53"/>
    </row>
    <row r="2988">
      <c r="A2988" s="49">
        <v>45052.13300884259</v>
      </c>
      <c r="B2988" s="50">
        <v>45052.2579878703</v>
      </c>
      <c r="C2988" s="51">
        <v>1.022</v>
      </c>
      <c r="D2988" s="51">
        <v>66.0</v>
      </c>
      <c r="E2988" s="52" t="s">
        <v>25</v>
      </c>
      <c r="F2988" s="52" t="s">
        <v>26</v>
      </c>
      <c r="G2988" s="53"/>
    </row>
    <row r="2989">
      <c r="A2989" s="49">
        <v>45052.14342925926</v>
      </c>
      <c r="B2989" s="50">
        <v>45052.2684095254</v>
      </c>
      <c r="C2989" s="51">
        <v>1.022</v>
      </c>
      <c r="D2989" s="51">
        <v>66.0</v>
      </c>
      <c r="E2989" s="52" t="s">
        <v>25</v>
      </c>
      <c r="F2989" s="52" t="s">
        <v>26</v>
      </c>
      <c r="G2989" s="53"/>
    </row>
    <row r="2990">
      <c r="A2990" s="49">
        <v>45052.15386366898</v>
      </c>
      <c r="B2990" s="50">
        <v>45052.2788401157</v>
      </c>
      <c r="C2990" s="51">
        <v>1.022</v>
      </c>
      <c r="D2990" s="51">
        <v>66.0</v>
      </c>
      <c r="E2990" s="52" t="s">
        <v>25</v>
      </c>
      <c r="F2990" s="52" t="s">
        <v>26</v>
      </c>
      <c r="G2990" s="53"/>
    </row>
    <row r="2991">
      <c r="A2991" s="49">
        <v>45052.16428991898</v>
      </c>
      <c r="B2991" s="50">
        <v>45052.2892716088</v>
      </c>
      <c r="C2991" s="51">
        <v>1.022</v>
      </c>
      <c r="D2991" s="51">
        <v>66.0</v>
      </c>
      <c r="E2991" s="52" t="s">
        <v>25</v>
      </c>
      <c r="F2991" s="52" t="s">
        <v>26</v>
      </c>
      <c r="G2991" s="53"/>
    </row>
    <row r="2992">
      <c r="A2992" s="49">
        <v>45052.17471746528</v>
      </c>
      <c r="B2992" s="50">
        <v>45052.2996928703</v>
      </c>
      <c r="C2992" s="51">
        <v>1.022</v>
      </c>
      <c r="D2992" s="51">
        <v>66.0</v>
      </c>
      <c r="E2992" s="52" t="s">
        <v>25</v>
      </c>
      <c r="F2992" s="52" t="s">
        <v>26</v>
      </c>
      <c r="G2992" s="53"/>
    </row>
    <row r="2993">
      <c r="A2993" s="49">
        <v>45052.18514574074</v>
      </c>
      <c r="B2993" s="50">
        <v>45052.3101140972</v>
      </c>
      <c r="C2993" s="51">
        <v>1.022</v>
      </c>
      <c r="D2993" s="51">
        <v>66.0</v>
      </c>
      <c r="E2993" s="52" t="s">
        <v>25</v>
      </c>
      <c r="F2993" s="52" t="s">
        <v>26</v>
      </c>
      <c r="G2993" s="53"/>
    </row>
    <row r="2994">
      <c r="A2994" s="49">
        <v>45052.19556069444</v>
      </c>
      <c r="B2994" s="50">
        <v>45052.3205358449</v>
      </c>
      <c r="C2994" s="51">
        <v>1.022</v>
      </c>
      <c r="D2994" s="51">
        <v>66.0</v>
      </c>
      <c r="E2994" s="52" t="s">
        <v>25</v>
      </c>
      <c r="F2994" s="52" t="s">
        <v>26</v>
      </c>
      <c r="G2994" s="53"/>
    </row>
    <row r="2995">
      <c r="A2995" s="49">
        <v>45052.205982581014</v>
      </c>
      <c r="B2995" s="50">
        <v>45052.33095853</v>
      </c>
      <c r="C2995" s="51">
        <v>1.022</v>
      </c>
      <c r="D2995" s="51">
        <v>66.0</v>
      </c>
      <c r="E2995" s="52" t="s">
        <v>25</v>
      </c>
      <c r="F2995" s="52" t="s">
        <v>26</v>
      </c>
      <c r="G2995" s="53"/>
    </row>
    <row r="2996">
      <c r="A2996" s="49">
        <v>45052.216405486106</v>
      </c>
      <c r="B2996" s="50">
        <v>45052.3413796412</v>
      </c>
      <c r="C2996" s="51">
        <v>1.022</v>
      </c>
      <c r="D2996" s="51">
        <v>66.0</v>
      </c>
      <c r="E2996" s="52" t="s">
        <v>25</v>
      </c>
      <c r="F2996" s="52" t="s">
        <v>26</v>
      </c>
      <c r="G2996" s="53"/>
    </row>
    <row r="2997">
      <c r="A2997" s="49">
        <v>45052.22682630787</v>
      </c>
      <c r="B2997" s="50">
        <v>45052.3518021759</v>
      </c>
      <c r="C2997" s="51">
        <v>1.022</v>
      </c>
      <c r="D2997" s="51">
        <v>66.0</v>
      </c>
      <c r="E2997" s="52" t="s">
        <v>25</v>
      </c>
      <c r="F2997" s="52" t="s">
        <v>26</v>
      </c>
      <c r="G2997" s="53"/>
    </row>
    <row r="2998">
      <c r="A2998" s="49">
        <v>45052.23724899306</v>
      </c>
      <c r="B2998" s="50">
        <v>45052.362222199</v>
      </c>
      <c r="C2998" s="51">
        <v>1.022</v>
      </c>
      <c r="D2998" s="51">
        <v>66.0</v>
      </c>
      <c r="E2998" s="52" t="s">
        <v>25</v>
      </c>
      <c r="F2998" s="52" t="s">
        <v>26</v>
      </c>
      <c r="G2998" s="53"/>
    </row>
    <row r="2999">
      <c r="A2999" s="49">
        <v>45052.24767240741</v>
      </c>
      <c r="B2999" s="50">
        <v>45052.3726435185</v>
      </c>
      <c r="C2999" s="51">
        <v>1.022</v>
      </c>
      <c r="D2999" s="51">
        <v>66.0</v>
      </c>
      <c r="E2999" s="52" t="s">
        <v>25</v>
      </c>
      <c r="F2999" s="52" t="s">
        <v>26</v>
      </c>
      <c r="G2999" s="53"/>
    </row>
    <row r="3000">
      <c r="A3000" s="49">
        <v>45052.25809208333</v>
      </c>
      <c r="B3000" s="50">
        <v>45052.3830650925</v>
      </c>
      <c r="C3000" s="51">
        <v>1.022</v>
      </c>
      <c r="D3000" s="51">
        <v>66.0</v>
      </c>
      <c r="E3000" s="52" t="s">
        <v>25</v>
      </c>
      <c r="F3000" s="52" t="s">
        <v>26</v>
      </c>
      <c r="G3000" s="53"/>
    </row>
    <row r="3001">
      <c r="A3001" s="49">
        <v>45052.26851642361</v>
      </c>
      <c r="B3001" s="50">
        <v>45052.3934955671</v>
      </c>
      <c r="C3001" s="51">
        <v>1.022</v>
      </c>
      <c r="D3001" s="51">
        <v>66.0</v>
      </c>
      <c r="E3001" s="52" t="s">
        <v>25</v>
      </c>
      <c r="F3001" s="52" t="s">
        <v>26</v>
      </c>
      <c r="G3001" s="53"/>
    </row>
    <row r="3002">
      <c r="A3002" s="49">
        <v>45052.27893260417</v>
      </c>
      <c r="B3002" s="50">
        <v>45052.4039167708</v>
      </c>
      <c r="C3002" s="51">
        <v>1.022</v>
      </c>
      <c r="D3002" s="51">
        <v>66.0</v>
      </c>
      <c r="E3002" s="52" t="s">
        <v>25</v>
      </c>
      <c r="F3002" s="52" t="s">
        <v>26</v>
      </c>
      <c r="G3002" s="53"/>
    </row>
    <row r="3003">
      <c r="A3003" s="49">
        <v>45052.28935630787</v>
      </c>
      <c r="B3003" s="50">
        <v>45052.4143371643</v>
      </c>
      <c r="C3003" s="51">
        <v>1.022</v>
      </c>
      <c r="D3003" s="51">
        <v>66.0</v>
      </c>
      <c r="E3003" s="52" t="s">
        <v>25</v>
      </c>
      <c r="F3003" s="52" t="s">
        <v>26</v>
      </c>
      <c r="G3003" s="53"/>
    </row>
    <row r="3004">
      <c r="A3004" s="49">
        <v>45052.299784131945</v>
      </c>
      <c r="B3004" s="50">
        <v>45052.4247591435</v>
      </c>
      <c r="C3004" s="51">
        <v>1.022</v>
      </c>
      <c r="D3004" s="51">
        <v>66.0</v>
      </c>
      <c r="E3004" s="52" t="s">
        <v>25</v>
      </c>
      <c r="F3004" s="52" t="s">
        <v>26</v>
      </c>
      <c r="G3004" s="53"/>
    </row>
    <row r="3005">
      <c r="A3005" s="49">
        <v>45052.31021545139</v>
      </c>
      <c r="B3005" s="50">
        <v>45052.4351915972</v>
      </c>
      <c r="C3005" s="51">
        <v>1.022</v>
      </c>
      <c r="D3005" s="51">
        <v>66.0</v>
      </c>
      <c r="E3005" s="52" t="s">
        <v>25</v>
      </c>
      <c r="F3005" s="52" t="s">
        <v>26</v>
      </c>
      <c r="G3005" s="53"/>
    </row>
    <row r="3006">
      <c r="A3006" s="49">
        <v>45052.32063451389</v>
      </c>
      <c r="B3006" s="50">
        <v>45052.4456132175</v>
      </c>
      <c r="C3006" s="51">
        <v>1.022</v>
      </c>
      <c r="D3006" s="51">
        <v>66.0</v>
      </c>
      <c r="E3006" s="52" t="s">
        <v>25</v>
      </c>
      <c r="F3006" s="52" t="s">
        <v>26</v>
      </c>
      <c r="G3006" s="53"/>
    </row>
    <row r="3007">
      <c r="A3007" s="49">
        <v>45052.33106319445</v>
      </c>
      <c r="B3007" s="50">
        <v>45052.4560349421</v>
      </c>
      <c r="C3007" s="51">
        <v>1.022</v>
      </c>
      <c r="D3007" s="51">
        <v>66.0</v>
      </c>
      <c r="E3007" s="52" t="s">
        <v>25</v>
      </c>
      <c r="F3007" s="52" t="s">
        <v>26</v>
      </c>
      <c r="G3007" s="53"/>
    </row>
    <row r="3008">
      <c r="A3008" s="49">
        <v>45052.34148292824</v>
      </c>
      <c r="B3008" s="50">
        <v>45052.4664576273</v>
      </c>
      <c r="C3008" s="51">
        <v>1.022</v>
      </c>
      <c r="D3008" s="51">
        <v>66.0</v>
      </c>
      <c r="E3008" s="52" t="s">
        <v>25</v>
      </c>
      <c r="F3008" s="52" t="s">
        <v>26</v>
      </c>
      <c r="G3008" s="53"/>
    </row>
    <row r="3009">
      <c r="A3009" s="49">
        <v>45052.35190790509</v>
      </c>
      <c r="B3009" s="50">
        <v>45052.476878912</v>
      </c>
      <c r="C3009" s="51">
        <v>1.022</v>
      </c>
      <c r="D3009" s="51">
        <v>66.0</v>
      </c>
      <c r="E3009" s="52" t="s">
        <v>25</v>
      </c>
      <c r="F3009" s="52" t="s">
        <v>26</v>
      </c>
      <c r="G3009" s="53"/>
    </row>
    <row r="3010">
      <c r="A3010" s="49">
        <v>45052.3623204051</v>
      </c>
      <c r="B3010" s="50">
        <v>45052.4872975926</v>
      </c>
      <c r="C3010" s="51">
        <v>1.022</v>
      </c>
      <c r="D3010" s="51">
        <v>66.0</v>
      </c>
      <c r="E3010" s="52" t="s">
        <v>25</v>
      </c>
      <c r="F3010" s="52" t="s">
        <v>26</v>
      </c>
      <c r="G3010" s="53"/>
    </row>
    <row r="3011">
      <c r="A3011" s="49">
        <v>45052.37275689815</v>
      </c>
      <c r="B3011" s="50">
        <v>45052.4977296875</v>
      </c>
      <c r="C3011" s="51">
        <v>1.022</v>
      </c>
      <c r="D3011" s="51">
        <v>66.0</v>
      </c>
      <c r="E3011" s="52" t="s">
        <v>25</v>
      </c>
      <c r="F3011" s="52" t="s">
        <v>26</v>
      </c>
      <c r="G3011" s="53"/>
    </row>
    <row r="3012">
      <c r="A3012" s="49">
        <v>45052.38317512731</v>
      </c>
      <c r="B3012" s="50">
        <v>45052.5081484838</v>
      </c>
      <c r="C3012" s="51">
        <v>1.022</v>
      </c>
      <c r="D3012" s="51">
        <v>66.0</v>
      </c>
      <c r="E3012" s="52" t="s">
        <v>25</v>
      </c>
      <c r="F3012" s="52" t="s">
        <v>26</v>
      </c>
      <c r="G3012" s="53"/>
    </row>
    <row r="3013">
      <c r="A3013" s="49">
        <v>45052.39358899306</v>
      </c>
      <c r="B3013" s="50">
        <v>45052.5185698263</v>
      </c>
      <c r="C3013" s="51">
        <v>1.022</v>
      </c>
      <c r="D3013" s="51">
        <v>66.0</v>
      </c>
      <c r="E3013" s="52" t="s">
        <v>25</v>
      </c>
      <c r="F3013" s="52" t="s">
        <v>26</v>
      </c>
      <c r="G3013" s="53"/>
    </row>
    <row r="3014">
      <c r="A3014" s="49">
        <v>45052.40402806713</v>
      </c>
      <c r="B3014" s="50">
        <v>45052.5290027314</v>
      </c>
      <c r="C3014" s="51">
        <v>1.022</v>
      </c>
      <c r="D3014" s="51">
        <v>66.0</v>
      </c>
      <c r="E3014" s="52" t="s">
        <v>25</v>
      </c>
      <c r="F3014" s="52" t="s">
        <v>26</v>
      </c>
      <c r="G3014" s="53"/>
    </row>
    <row r="3015">
      <c r="A3015" s="49">
        <v>45052.4144483912</v>
      </c>
      <c r="B3015" s="50">
        <v>45052.5394240972</v>
      </c>
      <c r="C3015" s="51">
        <v>1.022</v>
      </c>
      <c r="D3015" s="51">
        <v>65.0</v>
      </c>
      <c r="E3015" s="52" t="s">
        <v>25</v>
      </c>
      <c r="F3015" s="52" t="s">
        <v>26</v>
      </c>
      <c r="G3015" s="53"/>
    </row>
    <row r="3016">
      <c r="A3016" s="49">
        <v>45052.42488584491</v>
      </c>
      <c r="B3016" s="50">
        <v>45052.5498575347</v>
      </c>
      <c r="C3016" s="51">
        <v>1.022</v>
      </c>
      <c r="D3016" s="51">
        <v>65.0</v>
      </c>
      <c r="E3016" s="52" t="s">
        <v>25</v>
      </c>
      <c r="F3016" s="52" t="s">
        <v>26</v>
      </c>
      <c r="G3016" s="53"/>
    </row>
    <row r="3017">
      <c r="A3017" s="49">
        <v>45052.435316006944</v>
      </c>
      <c r="B3017" s="50">
        <v>45052.5602894675</v>
      </c>
      <c r="C3017" s="51">
        <v>1.022</v>
      </c>
      <c r="D3017" s="51">
        <v>65.0</v>
      </c>
      <c r="E3017" s="52" t="s">
        <v>25</v>
      </c>
      <c r="F3017" s="52" t="s">
        <v>26</v>
      </c>
      <c r="G3017" s="53"/>
    </row>
    <row r="3018">
      <c r="A3018" s="49">
        <v>45052.44575159722</v>
      </c>
      <c r="B3018" s="50">
        <v>45052.570723993</v>
      </c>
      <c r="C3018" s="51">
        <v>1.022</v>
      </c>
      <c r="D3018" s="51">
        <v>65.0</v>
      </c>
      <c r="E3018" s="52" t="s">
        <v>25</v>
      </c>
      <c r="F3018" s="52" t="s">
        <v>26</v>
      </c>
      <c r="G3018" s="53"/>
    </row>
    <row r="3019">
      <c r="A3019" s="49">
        <v>45052.456171550926</v>
      </c>
      <c r="B3019" s="50">
        <v>45052.5811449652</v>
      </c>
      <c r="C3019" s="51">
        <v>1.022</v>
      </c>
      <c r="D3019" s="51">
        <v>65.0</v>
      </c>
      <c r="E3019" s="52" t="s">
        <v>25</v>
      </c>
      <c r="F3019" s="52" t="s">
        <v>26</v>
      </c>
      <c r="G3019" s="53"/>
    </row>
    <row r="3020">
      <c r="A3020" s="49">
        <v>45052.46660357639</v>
      </c>
      <c r="B3020" s="50">
        <v>45052.591578831</v>
      </c>
      <c r="C3020" s="51">
        <v>1.022</v>
      </c>
      <c r="D3020" s="51">
        <v>65.0</v>
      </c>
      <c r="E3020" s="52" t="s">
        <v>25</v>
      </c>
      <c r="F3020" s="52" t="s">
        <v>26</v>
      </c>
      <c r="G3020" s="53"/>
    </row>
    <row r="3021">
      <c r="A3021" s="49">
        <v>45052.47226166667</v>
      </c>
      <c r="B3021" s="50">
        <v>45052.5954023726</v>
      </c>
      <c r="C3021" s="51">
        <v>1.022</v>
      </c>
      <c r="D3021" s="51">
        <v>65.0</v>
      </c>
      <c r="E3021" s="52" t="s">
        <v>25</v>
      </c>
      <c r="F3021" s="52" t="s">
        <v>26</v>
      </c>
      <c r="G3021" s="53"/>
    </row>
    <row r="3022">
      <c r="A3022" s="49">
        <v>45052.4808718287</v>
      </c>
      <c r="B3022" s="50">
        <v>45052.6058250347</v>
      </c>
      <c r="C3022" s="51">
        <v>1.022</v>
      </c>
      <c r="D3022" s="51">
        <v>65.0</v>
      </c>
      <c r="E3022" s="52" t="s">
        <v>25</v>
      </c>
      <c r="F3022" s="52" t="s">
        <v>26</v>
      </c>
      <c r="G3022" s="53"/>
    </row>
    <row r="3023">
      <c r="A3023" s="49">
        <v>45052.49130263889</v>
      </c>
      <c r="B3023" s="50">
        <v>45052.6162451504</v>
      </c>
      <c r="C3023" s="51">
        <v>1.022</v>
      </c>
      <c r="D3023" s="51">
        <v>65.0</v>
      </c>
      <c r="E3023" s="52" t="s">
        <v>25</v>
      </c>
      <c r="F3023" s="52" t="s">
        <v>26</v>
      </c>
      <c r="G3023" s="53"/>
    </row>
    <row r="3024">
      <c r="A3024" s="49">
        <v>45052.5017202662</v>
      </c>
      <c r="B3024" s="50">
        <v>45052.6266667708</v>
      </c>
      <c r="C3024" s="51">
        <v>1.022</v>
      </c>
      <c r="D3024" s="51">
        <v>65.0</v>
      </c>
      <c r="E3024" s="52" t="s">
        <v>25</v>
      </c>
      <c r="F3024" s="52" t="s">
        <v>26</v>
      </c>
      <c r="G3024" s="53"/>
    </row>
    <row r="3025">
      <c r="A3025" s="49">
        <v>45052.51214386574</v>
      </c>
      <c r="B3025" s="50">
        <v>45052.6370991203</v>
      </c>
      <c r="C3025" s="51">
        <v>1.022</v>
      </c>
      <c r="D3025" s="51">
        <v>65.0</v>
      </c>
      <c r="E3025" s="52" t="s">
        <v>25</v>
      </c>
      <c r="F3025" s="52" t="s">
        <v>26</v>
      </c>
      <c r="G3025" s="53"/>
    </row>
    <row r="3026">
      <c r="A3026" s="49">
        <v>45052.52255497685</v>
      </c>
      <c r="B3026" s="50">
        <v>45052.6475198958</v>
      </c>
      <c r="C3026" s="51">
        <v>1.022</v>
      </c>
      <c r="D3026" s="51">
        <v>65.0</v>
      </c>
      <c r="E3026" s="52" t="s">
        <v>25</v>
      </c>
      <c r="F3026" s="52" t="s">
        <v>26</v>
      </c>
      <c r="G3026" s="53"/>
    </row>
    <row r="3027">
      <c r="A3027" s="49">
        <v>45052.53298315972</v>
      </c>
      <c r="B3027" s="50">
        <v>45052.6579423148</v>
      </c>
      <c r="C3027" s="51">
        <v>1.022</v>
      </c>
      <c r="D3027" s="51">
        <v>65.0</v>
      </c>
      <c r="E3027" s="52" t="s">
        <v>25</v>
      </c>
      <c r="F3027" s="52" t="s">
        <v>26</v>
      </c>
      <c r="G3027" s="53"/>
    </row>
    <row r="3028">
      <c r="A3028" s="49">
        <v>45052.5434124537</v>
      </c>
      <c r="B3028" s="50">
        <v>45052.66836375</v>
      </c>
      <c r="C3028" s="51">
        <v>1.022</v>
      </c>
      <c r="D3028" s="51">
        <v>65.0</v>
      </c>
      <c r="E3028" s="52" t="s">
        <v>25</v>
      </c>
      <c r="F3028" s="52" t="s">
        <v>26</v>
      </c>
      <c r="G3028" s="53"/>
    </row>
    <row r="3029">
      <c r="A3029" s="49">
        <v>45052.55383533565</v>
      </c>
      <c r="B3029" s="50">
        <v>45052.6787849768</v>
      </c>
      <c r="C3029" s="51">
        <v>1.022</v>
      </c>
      <c r="D3029" s="51">
        <v>65.0</v>
      </c>
      <c r="E3029" s="52" t="s">
        <v>25</v>
      </c>
      <c r="F3029" s="52" t="s">
        <v>26</v>
      </c>
      <c r="G3029" s="53"/>
    </row>
    <row r="3030">
      <c r="A3030" s="49">
        <v>45052.56425899305</v>
      </c>
      <c r="B3030" s="50">
        <v>45052.6892054976</v>
      </c>
      <c r="C3030" s="51">
        <v>1.022</v>
      </c>
      <c r="D3030" s="51">
        <v>65.0</v>
      </c>
      <c r="E3030" s="52" t="s">
        <v>25</v>
      </c>
      <c r="F3030" s="52" t="s">
        <v>26</v>
      </c>
      <c r="G3030" s="53"/>
    </row>
    <row r="3031">
      <c r="A3031" s="49">
        <v>45052.57468590278</v>
      </c>
      <c r="B3031" s="50">
        <v>45052.6996270949</v>
      </c>
      <c r="C3031" s="51">
        <v>1.022</v>
      </c>
      <c r="D3031" s="51">
        <v>65.0</v>
      </c>
      <c r="E3031" s="52" t="s">
        <v>25</v>
      </c>
      <c r="F3031" s="52" t="s">
        <v>26</v>
      </c>
      <c r="G3031" s="53"/>
    </row>
    <row r="3032">
      <c r="A3032" s="49">
        <v>45052.58511138889</v>
      </c>
      <c r="B3032" s="50">
        <v>45052.7100479861</v>
      </c>
      <c r="C3032" s="51">
        <v>1.022</v>
      </c>
      <c r="D3032" s="51">
        <v>65.0</v>
      </c>
      <c r="E3032" s="52" t="s">
        <v>25</v>
      </c>
      <c r="F3032" s="52" t="s">
        <v>26</v>
      </c>
      <c r="G3032" s="53"/>
    </row>
    <row r="3033">
      <c r="A3033" s="49">
        <v>45052.59553070602</v>
      </c>
      <c r="B3033" s="50">
        <v>45052.720469155</v>
      </c>
      <c r="C3033" s="51">
        <v>1.022</v>
      </c>
      <c r="D3033" s="51">
        <v>65.0</v>
      </c>
      <c r="E3033" s="52" t="s">
        <v>25</v>
      </c>
      <c r="F3033" s="52" t="s">
        <v>26</v>
      </c>
      <c r="G3033" s="53"/>
    </row>
    <row r="3034">
      <c r="A3034" s="49">
        <v>45052.605963634254</v>
      </c>
      <c r="B3034" s="50">
        <v>45052.7309023958</v>
      </c>
      <c r="C3034" s="51">
        <v>1.022</v>
      </c>
      <c r="D3034" s="51">
        <v>65.0</v>
      </c>
      <c r="E3034" s="52" t="s">
        <v>25</v>
      </c>
      <c r="F3034" s="52" t="s">
        <v>26</v>
      </c>
      <c r="G3034" s="53"/>
    </row>
    <row r="3035">
      <c r="A3035" s="49">
        <v>45052.61638127315</v>
      </c>
      <c r="B3035" s="50">
        <v>45052.7413342708</v>
      </c>
      <c r="C3035" s="51">
        <v>1.022</v>
      </c>
      <c r="D3035" s="51">
        <v>65.0</v>
      </c>
      <c r="E3035" s="52" t="s">
        <v>25</v>
      </c>
      <c r="F3035" s="52" t="s">
        <v>26</v>
      </c>
      <c r="G3035" s="53"/>
    </row>
    <row r="3036">
      <c r="A3036" s="49">
        <v>45052.62680488426</v>
      </c>
      <c r="B3036" s="50">
        <v>45052.7517561689</v>
      </c>
      <c r="C3036" s="51">
        <v>1.022</v>
      </c>
      <c r="D3036" s="51">
        <v>65.0</v>
      </c>
      <c r="E3036" s="52" t="s">
        <v>25</v>
      </c>
      <c r="F3036" s="52" t="s">
        <v>26</v>
      </c>
      <c r="G3036" s="53"/>
    </row>
    <row r="3037">
      <c r="A3037" s="49">
        <v>45052.6372272338</v>
      </c>
      <c r="B3037" s="50">
        <v>45052.7621764004</v>
      </c>
      <c r="C3037" s="51">
        <v>1.022</v>
      </c>
      <c r="D3037" s="51">
        <v>65.0</v>
      </c>
      <c r="E3037" s="52" t="s">
        <v>25</v>
      </c>
      <c r="F3037" s="52" t="s">
        <v>26</v>
      </c>
      <c r="G3037" s="53"/>
    </row>
    <row r="3038">
      <c r="A3038" s="49">
        <v>45052.647646631944</v>
      </c>
      <c r="B3038" s="50">
        <v>45052.7726090277</v>
      </c>
      <c r="C3038" s="51">
        <v>1.022</v>
      </c>
      <c r="D3038" s="51">
        <v>65.0</v>
      </c>
      <c r="E3038" s="52" t="s">
        <v>25</v>
      </c>
      <c r="F3038" s="52" t="s">
        <v>26</v>
      </c>
      <c r="G3038" s="53"/>
    </row>
    <row r="3039">
      <c r="A3039" s="49">
        <v>45052.658068055556</v>
      </c>
      <c r="B3039" s="50">
        <v>45052.7830310532</v>
      </c>
      <c r="C3039" s="51">
        <v>1.022</v>
      </c>
      <c r="D3039" s="51">
        <v>65.0</v>
      </c>
      <c r="E3039" s="52" t="s">
        <v>25</v>
      </c>
      <c r="F3039" s="52" t="s">
        <v>26</v>
      </c>
      <c r="G3039" s="53"/>
    </row>
    <row r="3040">
      <c r="A3040" s="49">
        <v>45052.66849133102</v>
      </c>
      <c r="B3040" s="50">
        <v>45052.7934620138</v>
      </c>
      <c r="C3040" s="51">
        <v>1.022</v>
      </c>
      <c r="D3040" s="51">
        <v>65.0</v>
      </c>
      <c r="E3040" s="52" t="s">
        <v>25</v>
      </c>
      <c r="F3040" s="52" t="s">
        <v>26</v>
      </c>
      <c r="G3040" s="53"/>
    </row>
    <row r="3041">
      <c r="A3041" s="49">
        <v>45052.678916585646</v>
      </c>
      <c r="B3041" s="50">
        <v>45052.8038949421</v>
      </c>
      <c r="C3041" s="51">
        <v>1.022</v>
      </c>
      <c r="D3041" s="51">
        <v>65.0</v>
      </c>
      <c r="E3041" s="52" t="s">
        <v>25</v>
      </c>
      <c r="F3041" s="52" t="s">
        <v>26</v>
      </c>
      <c r="G3041" s="53"/>
    </row>
    <row r="3042">
      <c r="A3042" s="49">
        <v>45052.68933732639</v>
      </c>
      <c r="B3042" s="50">
        <v>45052.8143152777</v>
      </c>
      <c r="C3042" s="51">
        <v>1.022</v>
      </c>
      <c r="D3042" s="51">
        <v>65.0</v>
      </c>
      <c r="E3042" s="52" t="s">
        <v>25</v>
      </c>
      <c r="F3042" s="52" t="s">
        <v>26</v>
      </c>
      <c r="G3042" s="53"/>
    </row>
    <row r="3043">
      <c r="A3043" s="49">
        <v>45052.6997625</v>
      </c>
      <c r="B3043" s="50">
        <v>45052.8247355555</v>
      </c>
      <c r="C3043" s="51">
        <v>1.022</v>
      </c>
      <c r="D3043" s="51">
        <v>65.0</v>
      </c>
      <c r="E3043" s="52" t="s">
        <v>25</v>
      </c>
      <c r="F3043" s="52" t="s">
        <v>26</v>
      </c>
      <c r="G3043" s="53"/>
    </row>
    <row r="3044">
      <c r="A3044" s="49">
        <v>45052.71018233796</v>
      </c>
      <c r="B3044" s="50">
        <v>45052.8351556944</v>
      </c>
      <c r="C3044" s="51">
        <v>1.021</v>
      </c>
      <c r="D3044" s="51">
        <v>65.0</v>
      </c>
      <c r="E3044" s="52" t="s">
        <v>25</v>
      </c>
      <c r="F3044" s="52" t="s">
        <v>26</v>
      </c>
      <c r="G3044" s="53"/>
    </row>
    <row r="3045">
      <c r="A3045" s="49">
        <v>45052.72061431713</v>
      </c>
      <c r="B3045" s="50">
        <v>45052.8455895023</v>
      </c>
      <c r="C3045" s="51">
        <v>1.021</v>
      </c>
      <c r="D3045" s="51">
        <v>65.0</v>
      </c>
      <c r="E3045" s="52" t="s">
        <v>25</v>
      </c>
      <c r="F3045" s="52" t="s">
        <v>26</v>
      </c>
      <c r="G3045" s="53"/>
    </row>
    <row r="3046">
      <c r="A3046" s="49">
        <v>45052.731042569445</v>
      </c>
      <c r="B3046" s="50">
        <v>45052.8560123958</v>
      </c>
      <c r="C3046" s="51">
        <v>1.022</v>
      </c>
      <c r="D3046" s="51">
        <v>65.0</v>
      </c>
      <c r="E3046" s="52" t="s">
        <v>25</v>
      </c>
      <c r="F3046" s="52" t="s">
        <v>26</v>
      </c>
      <c r="G3046" s="53"/>
    </row>
    <row r="3047">
      <c r="A3047" s="49">
        <v>45052.74145998842</v>
      </c>
      <c r="B3047" s="50">
        <v>45052.8664338194</v>
      </c>
      <c r="C3047" s="51">
        <v>1.022</v>
      </c>
      <c r="D3047" s="51">
        <v>65.0</v>
      </c>
      <c r="E3047" s="52" t="s">
        <v>25</v>
      </c>
      <c r="F3047" s="52" t="s">
        <v>26</v>
      </c>
      <c r="G3047" s="53"/>
    </row>
    <row r="3048">
      <c r="A3048" s="49">
        <v>45052.75188693287</v>
      </c>
      <c r="B3048" s="50">
        <v>45052.8768678819</v>
      </c>
      <c r="C3048" s="51">
        <v>1.022</v>
      </c>
      <c r="D3048" s="51">
        <v>65.0</v>
      </c>
      <c r="E3048" s="52" t="s">
        <v>25</v>
      </c>
      <c r="F3048" s="52" t="s">
        <v>26</v>
      </c>
      <c r="G3048" s="53"/>
    </row>
    <row r="3049">
      <c r="A3049" s="49">
        <v>45052.76230827546</v>
      </c>
      <c r="B3049" s="50">
        <v>45052.8872877314</v>
      </c>
      <c r="C3049" s="51">
        <v>1.022</v>
      </c>
      <c r="D3049" s="51">
        <v>65.0</v>
      </c>
      <c r="E3049" s="52" t="s">
        <v>25</v>
      </c>
      <c r="F3049" s="52" t="s">
        <v>26</v>
      </c>
      <c r="G3049" s="53"/>
    </row>
    <row r="3050">
      <c r="A3050" s="49">
        <v>45052.77272962963</v>
      </c>
      <c r="B3050" s="50">
        <v>45052.8977086111</v>
      </c>
      <c r="C3050" s="51">
        <v>1.021</v>
      </c>
      <c r="D3050" s="51">
        <v>65.0</v>
      </c>
      <c r="E3050" s="52" t="s">
        <v>25</v>
      </c>
      <c r="F3050" s="52" t="s">
        <v>26</v>
      </c>
      <c r="G3050" s="53"/>
    </row>
    <row r="3051">
      <c r="A3051" s="49">
        <v>45052.78315903935</v>
      </c>
      <c r="B3051" s="50">
        <v>45052.9081302083</v>
      </c>
      <c r="C3051" s="51">
        <v>1.021</v>
      </c>
      <c r="D3051" s="51">
        <v>65.0</v>
      </c>
      <c r="E3051" s="52" t="s">
        <v>25</v>
      </c>
      <c r="F3051" s="52" t="s">
        <v>26</v>
      </c>
      <c r="G3051" s="53"/>
    </row>
    <row r="3052">
      <c r="A3052" s="49">
        <v>45052.79357388889</v>
      </c>
      <c r="B3052" s="50">
        <v>45052.9185524652</v>
      </c>
      <c r="C3052" s="51">
        <v>1.021</v>
      </c>
      <c r="D3052" s="51">
        <v>65.0</v>
      </c>
      <c r="E3052" s="52" t="s">
        <v>25</v>
      </c>
      <c r="F3052" s="52" t="s">
        <v>26</v>
      </c>
      <c r="G3052" s="53"/>
    </row>
    <row r="3053">
      <c r="A3053" s="49">
        <v>45052.80400293981</v>
      </c>
      <c r="B3053" s="50">
        <v>45052.928974537</v>
      </c>
      <c r="C3053" s="51">
        <v>1.021</v>
      </c>
      <c r="D3053" s="51">
        <v>65.0</v>
      </c>
      <c r="E3053" s="52" t="s">
        <v>25</v>
      </c>
      <c r="F3053" s="52" t="s">
        <v>26</v>
      </c>
      <c r="G3053" s="53"/>
    </row>
    <row r="3054">
      <c r="A3054" s="49">
        <v>45052.81452326389</v>
      </c>
      <c r="B3054" s="50">
        <v>45052.9395017824</v>
      </c>
      <c r="C3054" s="51">
        <v>1.022</v>
      </c>
      <c r="D3054" s="51">
        <v>65.0</v>
      </c>
      <c r="E3054" s="52" t="s">
        <v>25</v>
      </c>
      <c r="F3054" s="52" t="s">
        <v>26</v>
      </c>
      <c r="G3054" s="53"/>
    </row>
    <row r="3055">
      <c r="A3055" s="49">
        <v>45052.82495009259</v>
      </c>
      <c r="B3055" s="50">
        <v>45052.9499235301</v>
      </c>
      <c r="C3055" s="51">
        <v>1.021</v>
      </c>
      <c r="D3055" s="51">
        <v>65.0</v>
      </c>
      <c r="E3055" s="52" t="s">
        <v>25</v>
      </c>
      <c r="F3055" s="52" t="s">
        <v>26</v>
      </c>
      <c r="G3055" s="53"/>
    </row>
    <row r="3056">
      <c r="A3056" s="49">
        <v>45052.835385266204</v>
      </c>
      <c r="B3056" s="50">
        <v>45052.9603580092</v>
      </c>
      <c r="C3056" s="51">
        <v>1.022</v>
      </c>
      <c r="D3056" s="51">
        <v>65.0</v>
      </c>
      <c r="E3056" s="52" t="s">
        <v>25</v>
      </c>
      <c r="F3056" s="52" t="s">
        <v>26</v>
      </c>
      <c r="G3056" s="53"/>
    </row>
    <row r="3057">
      <c r="A3057" s="49">
        <v>45052.845808032405</v>
      </c>
      <c r="B3057" s="50">
        <v>45052.9707793518</v>
      </c>
      <c r="C3057" s="51">
        <v>1.022</v>
      </c>
      <c r="D3057" s="51">
        <v>65.0</v>
      </c>
      <c r="E3057" s="52" t="s">
        <v>25</v>
      </c>
      <c r="F3057" s="52" t="s">
        <v>26</v>
      </c>
      <c r="G3057" s="53"/>
    </row>
    <row r="3058">
      <c r="A3058" s="49">
        <v>45052.85623480324</v>
      </c>
      <c r="B3058" s="50">
        <v>45052.9812124884</v>
      </c>
      <c r="C3058" s="51">
        <v>1.022</v>
      </c>
      <c r="D3058" s="51">
        <v>65.0</v>
      </c>
      <c r="E3058" s="52" t="s">
        <v>25</v>
      </c>
      <c r="F3058" s="52" t="s">
        <v>26</v>
      </c>
      <c r="G3058" s="53"/>
    </row>
    <row r="3059">
      <c r="A3059" s="49">
        <v>45052.86665952546</v>
      </c>
      <c r="B3059" s="50">
        <v>45052.9916320833</v>
      </c>
      <c r="C3059" s="51">
        <v>1.022</v>
      </c>
      <c r="D3059" s="51">
        <v>65.0</v>
      </c>
      <c r="E3059" s="52" t="s">
        <v>25</v>
      </c>
      <c r="F3059" s="52" t="s">
        <v>26</v>
      </c>
      <c r="G3059" s="53"/>
    </row>
    <row r="3060">
      <c r="A3060" s="49">
        <v>45052.87708391204</v>
      </c>
      <c r="B3060" s="50">
        <v>45053.0020546527</v>
      </c>
      <c r="C3060" s="51">
        <v>1.022</v>
      </c>
      <c r="D3060" s="51">
        <v>65.0</v>
      </c>
      <c r="E3060" s="52" t="s">
        <v>25</v>
      </c>
      <c r="F3060" s="52" t="s">
        <v>26</v>
      </c>
      <c r="G3060" s="53"/>
    </row>
    <row r="3061">
      <c r="A3061" s="49">
        <v>45052.8875153125</v>
      </c>
      <c r="B3061" s="50">
        <v>45053.0124887962</v>
      </c>
      <c r="C3061" s="51">
        <v>1.022</v>
      </c>
      <c r="D3061" s="51">
        <v>65.0</v>
      </c>
      <c r="E3061" s="52" t="s">
        <v>25</v>
      </c>
      <c r="F3061" s="52" t="s">
        <v>26</v>
      </c>
      <c r="G3061" s="53"/>
    </row>
    <row r="3062">
      <c r="A3062" s="49">
        <v>45052.89794048612</v>
      </c>
      <c r="B3062" s="50">
        <v>45053.0229090856</v>
      </c>
      <c r="C3062" s="51">
        <v>1.021</v>
      </c>
      <c r="D3062" s="51">
        <v>65.0</v>
      </c>
      <c r="E3062" s="52" t="s">
        <v>25</v>
      </c>
      <c r="F3062" s="52" t="s">
        <v>26</v>
      </c>
      <c r="G3062" s="53"/>
    </row>
    <row r="3063">
      <c r="A3063" s="49">
        <v>45052.91878320602</v>
      </c>
      <c r="B3063" s="50">
        <v>45053.0437536226</v>
      </c>
      <c r="C3063" s="51">
        <v>1.021</v>
      </c>
      <c r="D3063" s="51">
        <v>65.0</v>
      </c>
      <c r="E3063" s="52" t="s">
        <v>25</v>
      </c>
      <c r="F3063" s="52" t="s">
        <v>26</v>
      </c>
      <c r="G3063" s="53"/>
    </row>
    <row r="3064">
      <c r="A3064" s="49">
        <v>45052.92921607639</v>
      </c>
      <c r="B3064" s="50">
        <v>45053.0541854398</v>
      </c>
      <c r="C3064" s="51">
        <v>1.021</v>
      </c>
      <c r="D3064" s="51">
        <v>65.0</v>
      </c>
      <c r="E3064" s="52" t="s">
        <v>25</v>
      </c>
      <c r="F3064" s="52" t="s">
        <v>26</v>
      </c>
      <c r="G3064" s="53"/>
    </row>
    <row r="3065">
      <c r="A3065" s="49">
        <v>45052.93963769676</v>
      </c>
      <c r="B3065" s="50">
        <v>45053.0646063541</v>
      </c>
      <c r="C3065" s="51">
        <v>1.021</v>
      </c>
      <c r="D3065" s="51">
        <v>65.0</v>
      </c>
      <c r="E3065" s="52" t="s">
        <v>25</v>
      </c>
      <c r="F3065" s="52" t="s">
        <v>26</v>
      </c>
      <c r="G3065" s="53"/>
    </row>
    <row r="3066">
      <c r="A3066" s="49">
        <v>45052.95007856481</v>
      </c>
      <c r="B3066" s="50">
        <v>45053.0750525463</v>
      </c>
      <c r="C3066" s="51">
        <v>1.021</v>
      </c>
      <c r="D3066" s="51">
        <v>65.0</v>
      </c>
      <c r="E3066" s="52" t="s">
        <v>25</v>
      </c>
      <c r="F3066" s="52" t="s">
        <v>26</v>
      </c>
      <c r="G3066" s="53"/>
    </row>
    <row r="3067">
      <c r="A3067" s="49">
        <v>45052.96049965278</v>
      </c>
      <c r="B3067" s="50">
        <v>45053.0854753935</v>
      </c>
      <c r="C3067" s="51">
        <v>1.021</v>
      </c>
      <c r="D3067" s="51">
        <v>65.0</v>
      </c>
      <c r="E3067" s="52" t="s">
        <v>25</v>
      </c>
      <c r="F3067" s="52" t="s">
        <v>26</v>
      </c>
      <c r="G3067" s="53"/>
    </row>
    <row r="3068">
      <c r="A3068" s="49">
        <v>45052.97096253472</v>
      </c>
      <c r="B3068" s="50">
        <v>45053.095906574</v>
      </c>
      <c r="C3068" s="51">
        <v>1.021</v>
      </c>
      <c r="D3068" s="51">
        <v>65.0</v>
      </c>
      <c r="E3068" s="52" t="s">
        <v>25</v>
      </c>
      <c r="F3068" s="52" t="s">
        <v>26</v>
      </c>
      <c r="G3068" s="53"/>
    </row>
    <row r="3069">
      <c r="A3069" s="49">
        <v>45052.98139105324</v>
      </c>
      <c r="B3069" s="50">
        <v>45053.1063624421</v>
      </c>
      <c r="C3069" s="51">
        <v>1.021</v>
      </c>
      <c r="D3069" s="51">
        <v>65.0</v>
      </c>
      <c r="E3069" s="52" t="s">
        <v>25</v>
      </c>
      <c r="F3069" s="52" t="s">
        <v>26</v>
      </c>
      <c r="G3069" s="53"/>
    </row>
    <row r="3070">
      <c r="A3070" s="49">
        <v>45052.991811747685</v>
      </c>
      <c r="B3070" s="50">
        <v>45053.1167832175</v>
      </c>
      <c r="C3070" s="51">
        <v>1.021</v>
      </c>
      <c r="D3070" s="51">
        <v>65.0</v>
      </c>
      <c r="E3070" s="52" t="s">
        <v>25</v>
      </c>
      <c r="F3070" s="52" t="s">
        <v>26</v>
      </c>
      <c r="G3070" s="53"/>
    </row>
    <row r="3071">
      <c r="A3071" s="49">
        <v>45053.00223363426</v>
      </c>
      <c r="B3071" s="50">
        <v>45053.1272041898</v>
      </c>
      <c r="C3071" s="51">
        <v>1.021</v>
      </c>
      <c r="D3071" s="51">
        <v>65.0</v>
      </c>
      <c r="E3071" s="52" t="s">
        <v>25</v>
      </c>
      <c r="F3071" s="52" t="s">
        <v>26</v>
      </c>
      <c r="G3071" s="53"/>
    </row>
    <row r="3072">
      <c r="A3072" s="49">
        <v>45053.01265040509</v>
      </c>
      <c r="B3072" s="50">
        <v>45053.1376261226</v>
      </c>
      <c r="C3072" s="51">
        <v>1.021</v>
      </c>
      <c r="D3072" s="51">
        <v>65.0</v>
      </c>
      <c r="E3072" s="52" t="s">
        <v>25</v>
      </c>
      <c r="F3072" s="52" t="s">
        <v>26</v>
      </c>
      <c r="G3072" s="53"/>
    </row>
    <row r="3073">
      <c r="A3073" s="49">
        <v>45053.02307123842</v>
      </c>
      <c r="B3073" s="50">
        <v>45053.1480457291</v>
      </c>
      <c r="C3073" s="51">
        <v>1.022</v>
      </c>
      <c r="D3073" s="51">
        <v>65.0</v>
      </c>
      <c r="E3073" s="52" t="s">
        <v>25</v>
      </c>
      <c r="F3073" s="52" t="s">
        <v>26</v>
      </c>
      <c r="G3073" s="53"/>
    </row>
    <row r="3074">
      <c r="A3074" s="49">
        <v>45053.0335057176</v>
      </c>
      <c r="B3074" s="50">
        <v>45053.1584787384</v>
      </c>
      <c r="C3074" s="51">
        <v>1.021</v>
      </c>
      <c r="D3074" s="51">
        <v>65.0</v>
      </c>
      <c r="E3074" s="52" t="s">
        <v>25</v>
      </c>
      <c r="F3074" s="52" t="s">
        <v>26</v>
      </c>
      <c r="G3074" s="53"/>
    </row>
    <row r="3075">
      <c r="A3075" s="49">
        <v>45053.04392766204</v>
      </c>
      <c r="B3075" s="50">
        <v>45053.1689010532</v>
      </c>
      <c r="C3075" s="51">
        <v>1.021</v>
      </c>
      <c r="D3075" s="51">
        <v>65.0</v>
      </c>
      <c r="E3075" s="52" t="s">
        <v>25</v>
      </c>
      <c r="F3075" s="52" t="s">
        <v>26</v>
      </c>
      <c r="G3075" s="53"/>
    </row>
    <row r="3076">
      <c r="A3076" s="49">
        <v>45053.05434204861</v>
      </c>
      <c r="B3076" s="50">
        <v>45053.1793205439</v>
      </c>
      <c r="C3076" s="51">
        <v>1.021</v>
      </c>
      <c r="D3076" s="51">
        <v>65.0</v>
      </c>
      <c r="E3076" s="52" t="s">
        <v>25</v>
      </c>
      <c r="F3076" s="52" t="s">
        <v>26</v>
      </c>
      <c r="G3076" s="53"/>
    </row>
    <row r="3077">
      <c r="A3077" s="49">
        <v>45053.07520662037</v>
      </c>
      <c r="B3077" s="50">
        <v>45053.2001752199</v>
      </c>
      <c r="C3077" s="51">
        <v>1.021</v>
      </c>
      <c r="D3077" s="51">
        <v>65.0</v>
      </c>
      <c r="E3077" s="52" t="s">
        <v>25</v>
      </c>
      <c r="F3077" s="52" t="s">
        <v>26</v>
      </c>
      <c r="G3077" s="53"/>
    </row>
    <row r="3078">
      <c r="A3078" s="49">
        <v>45053.08562351852</v>
      </c>
      <c r="B3078" s="50">
        <v>45053.2105978703</v>
      </c>
      <c r="C3078" s="51">
        <v>1.021</v>
      </c>
      <c r="D3078" s="51">
        <v>65.0</v>
      </c>
      <c r="E3078" s="52" t="s">
        <v>25</v>
      </c>
      <c r="F3078" s="52" t="s">
        <v>26</v>
      </c>
      <c r="G3078" s="53"/>
    </row>
    <row r="3079">
      <c r="A3079" s="49">
        <v>45053.09604318287</v>
      </c>
      <c r="B3079" s="50">
        <v>45053.2210198148</v>
      </c>
      <c r="C3079" s="51">
        <v>1.021</v>
      </c>
      <c r="D3079" s="51">
        <v>65.0</v>
      </c>
      <c r="E3079" s="52" t="s">
        <v>25</v>
      </c>
      <c r="F3079" s="52" t="s">
        <v>26</v>
      </c>
      <c r="G3079" s="53"/>
    </row>
    <row r="3080">
      <c r="A3080" s="49">
        <v>45053.10648293982</v>
      </c>
      <c r="B3080" s="50">
        <v>45053.2314523379</v>
      </c>
      <c r="C3080" s="51">
        <v>1.021</v>
      </c>
      <c r="D3080" s="51">
        <v>65.0</v>
      </c>
      <c r="E3080" s="52" t="s">
        <v>25</v>
      </c>
      <c r="F3080" s="52" t="s">
        <v>26</v>
      </c>
      <c r="G3080" s="53"/>
    </row>
    <row r="3081">
      <c r="A3081" s="49">
        <v>45053.11691305556</v>
      </c>
      <c r="B3081" s="50">
        <v>45053.2418834143</v>
      </c>
      <c r="C3081" s="51">
        <v>1.021</v>
      </c>
      <c r="D3081" s="51">
        <v>65.0</v>
      </c>
      <c r="E3081" s="52" t="s">
        <v>25</v>
      </c>
      <c r="F3081" s="52" t="s">
        <v>26</v>
      </c>
      <c r="G3081" s="53"/>
    </row>
    <row r="3082">
      <c r="A3082" s="49">
        <v>45053.12733549769</v>
      </c>
      <c r="B3082" s="50">
        <v>45053.2523042476</v>
      </c>
      <c r="C3082" s="51">
        <v>1.021</v>
      </c>
      <c r="D3082" s="51">
        <v>65.0</v>
      </c>
      <c r="E3082" s="52" t="s">
        <v>25</v>
      </c>
      <c r="F3082" s="52" t="s">
        <v>26</v>
      </c>
      <c r="G3082" s="53"/>
    </row>
    <row r="3083">
      <c r="A3083" s="49">
        <v>45053.13775055556</v>
      </c>
      <c r="B3083" s="50">
        <v>45053.2627262268</v>
      </c>
      <c r="C3083" s="51">
        <v>1.021</v>
      </c>
      <c r="D3083" s="51">
        <v>65.0</v>
      </c>
      <c r="E3083" s="52" t="s">
        <v>25</v>
      </c>
      <c r="F3083" s="52" t="s">
        <v>26</v>
      </c>
      <c r="G3083" s="53"/>
    </row>
    <row r="3084">
      <c r="A3084" s="49">
        <v>45053.14817054398</v>
      </c>
      <c r="B3084" s="50">
        <v>45053.2731460995</v>
      </c>
      <c r="C3084" s="51">
        <v>1.021</v>
      </c>
      <c r="D3084" s="51">
        <v>64.0</v>
      </c>
      <c r="E3084" s="52" t="s">
        <v>25</v>
      </c>
      <c r="F3084" s="52" t="s">
        <v>26</v>
      </c>
      <c r="G3084" s="53"/>
    </row>
    <row r="3085">
      <c r="A3085" s="49">
        <v>45053.15858552083</v>
      </c>
      <c r="B3085" s="50">
        <v>45053.2835654513</v>
      </c>
      <c r="C3085" s="51">
        <v>1.021</v>
      </c>
      <c r="D3085" s="51">
        <v>64.0</v>
      </c>
      <c r="E3085" s="52" t="s">
        <v>25</v>
      </c>
      <c r="F3085" s="52" t="s">
        <v>26</v>
      </c>
      <c r="G3085" s="53"/>
    </row>
    <row r="3086">
      <c r="A3086" s="49">
        <v>45053.16902479167</v>
      </c>
      <c r="B3086" s="50">
        <v>45053.2939977662</v>
      </c>
      <c r="C3086" s="51">
        <v>1.021</v>
      </c>
      <c r="D3086" s="51">
        <v>65.0</v>
      </c>
      <c r="E3086" s="52" t="s">
        <v>25</v>
      </c>
      <c r="F3086" s="52" t="s">
        <v>26</v>
      </c>
      <c r="G3086" s="53"/>
    </row>
    <row r="3087">
      <c r="A3087" s="49">
        <v>45053.17944072917</v>
      </c>
      <c r="B3087" s="50">
        <v>45053.3044206713</v>
      </c>
      <c r="C3087" s="51">
        <v>1.021</v>
      </c>
      <c r="D3087" s="51">
        <v>64.0</v>
      </c>
      <c r="E3087" s="52" t="s">
        <v>25</v>
      </c>
      <c r="F3087" s="52" t="s">
        <v>26</v>
      </c>
      <c r="G3087" s="53"/>
    </row>
    <row r="3088">
      <c r="A3088" s="49">
        <v>45053.18989013889</v>
      </c>
      <c r="B3088" s="50">
        <v>45053.3148541782</v>
      </c>
      <c r="C3088" s="51">
        <v>1.021</v>
      </c>
      <c r="D3088" s="51">
        <v>65.0</v>
      </c>
      <c r="E3088" s="52" t="s">
        <v>25</v>
      </c>
      <c r="F3088" s="52" t="s">
        <v>26</v>
      </c>
      <c r="G3088" s="53"/>
    </row>
    <row r="3089">
      <c r="A3089" s="49">
        <v>45053.20031696759</v>
      </c>
      <c r="B3089" s="50">
        <v>45053.3252887268</v>
      </c>
      <c r="C3089" s="51">
        <v>1.021</v>
      </c>
      <c r="D3089" s="51">
        <v>64.0</v>
      </c>
      <c r="E3089" s="52" t="s">
        <v>25</v>
      </c>
      <c r="F3089" s="52" t="s">
        <v>26</v>
      </c>
      <c r="G3089" s="53"/>
    </row>
    <row r="3090">
      <c r="A3090" s="49">
        <v>45053.2107675463</v>
      </c>
      <c r="B3090" s="50">
        <v>45053.3357334027</v>
      </c>
      <c r="C3090" s="51">
        <v>1.021</v>
      </c>
      <c r="D3090" s="51">
        <v>64.0</v>
      </c>
      <c r="E3090" s="52" t="s">
        <v>25</v>
      </c>
      <c r="F3090" s="52" t="s">
        <v>26</v>
      </c>
      <c r="G3090" s="53"/>
    </row>
    <row r="3091">
      <c r="A3091" s="49">
        <v>45053.22118438657</v>
      </c>
      <c r="B3091" s="50">
        <v>45053.3461541087</v>
      </c>
      <c r="C3091" s="51">
        <v>1.021</v>
      </c>
      <c r="D3091" s="51">
        <v>64.0</v>
      </c>
      <c r="E3091" s="52" t="s">
        <v>25</v>
      </c>
      <c r="F3091" s="52" t="s">
        <v>26</v>
      </c>
      <c r="G3091" s="53"/>
    </row>
    <row r="3092">
      <c r="A3092" s="49">
        <v>45053.23161927084</v>
      </c>
      <c r="B3092" s="50">
        <v>45053.3565868171</v>
      </c>
      <c r="C3092" s="51">
        <v>1.021</v>
      </c>
      <c r="D3092" s="51">
        <v>64.0</v>
      </c>
      <c r="E3092" s="52" t="s">
        <v>25</v>
      </c>
      <c r="F3092" s="52" t="s">
        <v>26</v>
      </c>
      <c r="G3092" s="53"/>
    </row>
    <row r="3093">
      <c r="A3093" s="49">
        <v>45053.24203255787</v>
      </c>
      <c r="B3093" s="50">
        <v>45053.3670078588</v>
      </c>
      <c r="C3093" s="51">
        <v>1.021</v>
      </c>
      <c r="D3093" s="51">
        <v>64.0</v>
      </c>
      <c r="E3093" s="52" t="s">
        <v>25</v>
      </c>
      <c r="F3093" s="52" t="s">
        <v>26</v>
      </c>
      <c r="G3093" s="53"/>
    </row>
    <row r="3094">
      <c r="A3094" s="49">
        <v>45053.25245960648</v>
      </c>
      <c r="B3094" s="50">
        <v>45053.3774278125</v>
      </c>
      <c r="C3094" s="51">
        <v>1.021</v>
      </c>
      <c r="D3094" s="51">
        <v>64.0</v>
      </c>
      <c r="E3094" s="52" t="s">
        <v>25</v>
      </c>
      <c r="F3094" s="52" t="s">
        <v>26</v>
      </c>
      <c r="G3094" s="53"/>
    </row>
    <row r="3095">
      <c r="A3095" s="49">
        <v>45053.26288984954</v>
      </c>
      <c r="B3095" s="50">
        <v>45053.387859699</v>
      </c>
      <c r="C3095" s="51">
        <v>1.021</v>
      </c>
      <c r="D3095" s="51">
        <v>64.0</v>
      </c>
      <c r="E3095" s="52" t="s">
        <v>25</v>
      </c>
      <c r="F3095" s="52" t="s">
        <v>26</v>
      </c>
      <c r="G3095" s="53"/>
    </row>
    <row r="3096">
      <c r="A3096" s="49">
        <v>45053.273307361116</v>
      </c>
      <c r="B3096" s="50">
        <v>45053.3982786921</v>
      </c>
      <c r="C3096" s="51">
        <v>1.021</v>
      </c>
      <c r="D3096" s="51">
        <v>64.0</v>
      </c>
      <c r="E3096" s="52" t="s">
        <v>25</v>
      </c>
      <c r="F3096" s="52" t="s">
        <v>26</v>
      </c>
      <c r="G3096" s="53"/>
    </row>
    <row r="3097">
      <c r="A3097" s="49">
        <v>45053.28372255787</v>
      </c>
      <c r="B3097" s="50">
        <v>45053.4086998263</v>
      </c>
      <c r="C3097" s="51">
        <v>1.021</v>
      </c>
      <c r="D3097" s="51">
        <v>64.0</v>
      </c>
      <c r="E3097" s="52" t="s">
        <v>25</v>
      </c>
      <c r="F3097" s="52" t="s">
        <v>26</v>
      </c>
      <c r="G3097" s="53"/>
    </row>
    <row r="3098">
      <c r="A3098" s="49">
        <v>45053.29415696759</v>
      </c>
      <c r="B3098" s="50">
        <v>45053.4191331481</v>
      </c>
      <c r="C3098" s="51">
        <v>1.021</v>
      </c>
      <c r="D3098" s="51">
        <v>64.0</v>
      </c>
      <c r="E3098" s="52" t="s">
        <v>25</v>
      </c>
      <c r="F3098" s="52" t="s">
        <v>26</v>
      </c>
      <c r="G3098" s="53"/>
    </row>
    <row r="3099">
      <c r="A3099" s="49">
        <v>45053.30459413194</v>
      </c>
      <c r="B3099" s="50">
        <v>45053.4295539004</v>
      </c>
      <c r="C3099" s="51">
        <v>1.021</v>
      </c>
      <c r="D3099" s="51">
        <v>64.0</v>
      </c>
      <c r="E3099" s="52" t="s">
        <v>25</v>
      </c>
      <c r="F3099" s="52" t="s">
        <v>26</v>
      </c>
      <c r="G3099" s="53"/>
    </row>
    <row r="3100">
      <c r="A3100" s="49">
        <v>45053.31500501157</v>
      </c>
      <c r="B3100" s="50">
        <v>45053.4399760648</v>
      </c>
      <c r="C3100" s="51">
        <v>1.021</v>
      </c>
      <c r="D3100" s="51">
        <v>64.0</v>
      </c>
      <c r="E3100" s="52" t="s">
        <v>25</v>
      </c>
      <c r="F3100" s="52" t="s">
        <v>26</v>
      </c>
      <c r="G3100" s="53"/>
    </row>
    <row r="3101">
      <c r="A3101" s="49">
        <v>45053.32543604166</v>
      </c>
      <c r="B3101" s="50">
        <v>45053.4504080208</v>
      </c>
      <c r="C3101" s="51">
        <v>1.021</v>
      </c>
      <c r="D3101" s="51">
        <v>64.0</v>
      </c>
      <c r="E3101" s="52" t="s">
        <v>25</v>
      </c>
      <c r="F3101" s="52" t="s">
        <v>26</v>
      </c>
      <c r="G3101" s="53"/>
    </row>
    <row r="3102">
      <c r="A3102" s="49">
        <v>45053.33586083334</v>
      </c>
      <c r="B3102" s="50">
        <v>45053.4608301736</v>
      </c>
      <c r="C3102" s="51">
        <v>1.021</v>
      </c>
      <c r="D3102" s="51">
        <v>64.0</v>
      </c>
      <c r="E3102" s="52" t="s">
        <v>25</v>
      </c>
      <c r="F3102" s="52" t="s">
        <v>26</v>
      </c>
      <c r="G3102" s="53"/>
    </row>
    <row r="3103">
      <c r="A3103" s="49">
        <v>45053.34627197917</v>
      </c>
      <c r="B3103" s="50">
        <v>45053.4712506134</v>
      </c>
      <c r="C3103" s="51">
        <v>1.021</v>
      </c>
      <c r="D3103" s="51">
        <v>64.0</v>
      </c>
      <c r="E3103" s="52" t="s">
        <v>25</v>
      </c>
      <c r="F3103" s="52" t="s">
        <v>26</v>
      </c>
      <c r="G3103" s="53"/>
    </row>
    <row r="3104">
      <c r="A3104" s="49">
        <v>45053.35669671296</v>
      </c>
      <c r="B3104" s="50">
        <v>45053.4816733217</v>
      </c>
      <c r="C3104" s="51">
        <v>1.021</v>
      </c>
      <c r="D3104" s="51">
        <v>64.0</v>
      </c>
      <c r="E3104" s="52" t="s">
        <v>25</v>
      </c>
      <c r="F3104" s="52" t="s">
        <v>26</v>
      </c>
      <c r="G3104" s="53"/>
    </row>
    <row r="3105">
      <c r="A3105" s="49">
        <v>45053.36712997685</v>
      </c>
      <c r="B3105" s="50">
        <v>45053.4920945254</v>
      </c>
      <c r="C3105" s="51">
        <v>1.021</v>
      </c>
      <c r="D3105" s="51">
        <v>64.0</v>
      </c>
      <c r="E3105" s="52" t="s">
        <v>25</v>
      </c>
      <c r="F3105" s="52" t="s">
        <v>26</v>
      </c>
      <c r="G3105" s="53"/>
    </row>
    <row r="3106">
      <c r="A3106" s="49">
        <v>45053.377544814815</v>
      </c>
      <c r="B3106" s="50">
        <v>45053.5025159027</v>
      </c>
      <c r="C3106" s="51">
        <v>1.021</v>
      </c>
      <c r="D3106" s="51">
        <v>64.0</v>
      </c>
      <c r="E3106" s="52" t="s">
        <v>25</v>
      </c>
      <c r="F3106" s="52" t="s">
        <v>26</v>
      </c>
      <c r="G3106" s="53"/>
    </row>
    <row r="3107">
      <c r="A3107" s="49">
        <v>45053.38797001158</v>
      </c>
      <c r="B3107" s="50">
        <v>45053.5129377314</v>
      </c>
      <c r="C3107" s="51">
        <v>1.021</v>
      </c>
      <c r="D3107" s="51">
        <v>64.0</v>
      </c>
      <c r="E3107" s="52" t="s">
        <v>25</v>
      </c>
      <c r="F3107" s="52" t="s">
        <v>26</v>
      </c>
      <c r="G3107" s="53"/>
    </row>
    <row r="3108">
      <c r="A3108" s="49">
        <v>45053.39838943287</v>
      </c>
      <c r="B3108" s="50">
        <v>45053.523357905</v>
      </c>
      <c r="C3108" s="51">
        <v>1.021</v>
      </c>
      <c r="D3108" s="51">
        <v>64.0</v>
      </c>
      <c r="E3108" s="52" t="s">
        <v>25</v>
      </c>
      <c r="F3108" s="52" t="s">
        <v>26</v>
      </c>
      <c r="G3108" s="53"/>
    </row>
    <row r="3109">
      <c r="A3109" s="49">
        <v>45053.40880641204</v>
      </c>
      <c r="B3109" s="50">
        <v>45053.5337798032</v>
      </c>
      <c r="C3109" s="51">
        <v>1.021</v>
      </c>
      <c r="D3109" s="51">
        <v>64.0</v>
      </c>
      <c r="E3109" s="52" t="s">
        <v>25</v>
      </c>
      <c r="F3109" s="52" t="s">
        <v>26</v>
      </c>
      <c r="G3109" s="53"/>
    </row>
    <row r="3110">
      <c r="A3110" s="49">
        <v>45053.41923135417</v>
      </c>
      <c r="B3110" s="50">
        <v>45053.5442016319</v>
      </c>
      <c r="C3110" s="51">
        <v>1.021</v>
      </c>
      <c r="D3110" s="51">
        <v>64.0</v>
      </c>
      <c r="E3110" s="52" t="s">
        <v>25</v>
      </c>
      <c r="F3110" s="52" t="s">
        <v>26</v>
      </c>
      <c r="G3110" s="53"/>
    </row>
    <row r="3111">
      <c r="A3111" s="49">
        <v>45053.42965133102</v>
      </c>
      <c r="B3111" s="50">
        <v>45053.5546228472</v>
      </c>
      <c r="C3111" s="51">
        <v>1.021</v>
      </c>
      <c r="D3111" s="51">
        <v>64.0</v>
      </c>
      <c r="E3111" s="52" t="s">
        <v>25</v>
      </c>
      <c r="F3111" s="52" t="s">
        <v>26</v>
      </c>
      <c r="G3111" s="53"/>
    </row>
    <row r="3112">
      <c r="A3112" s="49">
        <v>45053.44007347222</v>
      </c>
      <c r="B3112" s="50">
        <v>45053.5650443518</v>
      </c>
      <c r="C3112" s="51">
        <v>1.021</v>
      </c>
      <c r="D3112" s="51">
        <v>64.0</v>
      </c>
      <c r="E3112" s="52" t="s">
        <v>25</v>
      </c>
      <c r="F3112" s="52" t="s">
        <v>26</v>
      </c>
      <c r="G3112" s="53"/>
    </row>
    <row r="3113">
      <c r="A3113" s="49">
        <v>45053.45049241898</v>
      </c>
      <c r="B3113" s="50">
        <v>45053.5754660185</v>
      </c>
      <c r="C3113" s="51">
        <v>1.021</v>
      </c>
      <c r="D3113" s="51">
        <v>64.0</v>
      </c>
      <c r="E3113" s="52" t="s">
        <v>25</v>
      </c>
      <c r="F3113" s="52" t="s">
        <v>26</v>
      </c>
      <c r="G3113" s="53"/>
    </row>
    <row r="3114">
      <c r="A3114" s="49">
        <v>45053.46092545139</v>
      </c>
      <c r="B3114" s="50">
        <v>45053.5858970254</v>
      </c>
      <c r="C3114" s="51">
        <v>1.021</v>
      </c>
      <c r="D3114" s="51">
        <v>64.0</v>
      </c>
      <c r="E3114" s="52" t="s">
        <v>25</v>
      </c>
      <c r="F3114" s="52" t="s">
        <v>26</v>
      </c>
      <c r="G3114" s="53"/>
    </row>
    <row r="3115">
      <c r="A3115" s="49">
        <v>45053.47135420139</v>
      </c>
      <c r="B3115" s="50">
        <v>45053.5963294328</v>
      </c>
      <c r="C3115" s="51">
        <v>1.021</v>
      </c>
      <c r="D3115" s="51">
        <v>64.0</v>
      </c>
      <c r="E3115" s="52" t="s">
        <v>25</v>
      </c>
      <c r="F3115" s="52" t="s">
        <v>26</v>
      </c>
      <c r="G3115" s="53"/>
    </row>
    <row r="3116">
      <c r="A3116" s="49">
        <v>45053.48177829861</v>
      </c>
      <c r="B3116" s="50">
        <v>45053.6067498958</v>
      </c>
      <c r="C3116" s="51">
        <v>1.021</v>
      </c>
      <c r="D3116" s="51">
        <v>64.0</v>
      </c>
      <c r="E3116" s="52" t="s">
        <v>25</v>
      </c>
      <c r="F3116" s="52" t="s">
        <v>26</v>
      </c>
      <c r="G3116" s="53"/>
    </row>
    <row r="3117">
      <c r="A3117" s="49">
        <v>45053.492202407404</v>
      </c>
      <c r="B3117" s="50">
        <v>45053.617180868</v>
      </c>
      <c r="C3117" s="51">
        <v>1.021</v>
      </c>
      <c r="D3117" s="51">
        <v>64.0</v>
      </c>
      <c r="E3117" s="52" t="s">
        <v>25</v>
      </c>
      <c r="F3117" s="52" t="s">
        <v>26</v>
      </c>
      <c r="G3117" s="53"/>
    </row>
    <row r="3118">
      <c r="A3118" s="49">
        <v>45053.502644733795</v>
      </c>
      <c r="B3118" s="50">
        <v>45053.6276136111</v>
      </c>
      <c r="C3118" s="51">
        <v>1.021</v>
      </c>
      <c r="D3118" s="51">
        <v>64.0</v>
      </c>
      <c r="E3118" s="52" t="s">
        <v>25</v>
      </c>
      <c r="F3118" s="52" t="s">
        <v>26</v>
      </c>
      <c r="G3118" s="53"/>
    </row>
    <row r="3119">
      <c r="A3119" s="49">
        <v>45053.51306027778</v>
      </c>
      <c r="B3119" s="50">
        <v>45053.63803603</v>
      </c>
      <c r="C3119" s="51">
        <v>1.021</v>
      </c>
      <c r="D3119" s="51">
        <v>64.0</v>
      </c>
      <c r="E3119" s="52" t="s">
        <v>25</v>
      </c>
      <c r="F3119" s="52" t="s">
        <v>26</v>
      </c>
      <c r="G3119" s="53"/>
    </row>
    <row r="3120">
      <c r="A3120" s="49">
        <v>45053.52347989583</v>
      </c>
      <c r="B3120" s="50">
        <v>45053.6484559027</v>
      </c>
      <c r="C3120" s="51">
        <v>1.021</v>
      </c>
      <c r="D3120" s="51">
        <v>64.0</v>
      </c>
      <c r="E3120" s="52" t="s">
        <v>25</v>
      </c>
      <c r="F3120" s="52" t="s">
        <v>26</v>
      </c>
      <c r="G3120" s="53"/>
    </row>
    <row r="3121">
      <c r="A3121" s="49">
        <v>45053.5339015162</v>
      </c>
      <c r="B3121" s="50">
        <v>45053.6588760648</v>
      </c>
      <c r="C3121" s="51">
        <v>1.021</v>
      </c>
      <c r="D3121" s="51">
        <v>64.0</v>
      </c>
      <c r="E3121" s="52" t="s">
        <v>25</v>
      </c>
      <c r="F3121" s="52" t="s">
        <v>26</v>
      </c>
      <c r="G3121" s="53"/>
    </row>
    <row r="3122">
      <c r="A3122" s="49">
        <v>45053.54434572917</v>
      </c>
      <c r="B3122" s="50">
        <v>45053.6693086689</v>
      </c>
      <c r="C3122" s="51">
        <v>1.021</v>
      </c>
      <c r="D3122" s="51">
        <v>64.0</v>
      </c>
      <c r="E3122" s="52" t="s">
        <v>25</v>
      </c>
      <c r="F3122" s="52" t="s">
        <v>26</v>
      </c>
      <c r="G3122" s="53"/>
    </row>
    <row r="3123">
      <c r="A3123" s="49">
        <v>45053.554760960644</v>
      </c>
      <c r="B3123" s="50">
        <v>45053.6797279166</v>
      </c>
      <c r="C3123" s="51">
        <v>1.021</v>
      </c>
      <c r="D3123" s="51">
        <v>64.0</v>
      </c>
      <c r="E3123" s="52" t="s">
        <v>25</v>
      </c>
      <c r="F3123" s="52" t="s">
        <v>26</v>
      </c>
      <c r="G3123" s="53"/>
    </row>
    <row r="3124">
      <c r="A3124" s="49">
        <v>45053.565181990736</v>
      </c>
      <c r="B3124" s="50">
        <v>45053.6901497685</v>
      </c>
      <c r="C3124" s="51">
        <v>1.021</v>
      </c>
      <c r="D3124" s="51">
        <v>64.0</v>
      </c>
      <c r="E3124" s="52" t="s">
        <v>25</v>
      </c>
      <c r="F3124" s="52" t="s">
        <v>26</v>
      </c>
      <c r="G3124" s="53"/>
    </row>
    <row r="3125">
      <c r="A3125" s="49">
        <v>45053.57559944445</v>
      </c>
      <c r="B3125" s="50">
        <v>45053.7005711226</v>
      </c>
      <c r="C3125" s="51">
        <v>1.021</v>
      </c>
      <c r="D3125" s="51">
        <v>64.0</v>
      </c>
      <c r="E3125" s="52" t="s">
        <v>25</v>
      </c>
      <c r="F3125" s="52" t="s">
        <v>26</v>
      </c>
      <c r="G3125" s="53"/>
    </row>
    <row r="3126">
      <c r="A3126" s="49">
        <v>45053.58601767361</v>
      </c>
      <c r="B3126" s="50">
        <v>45053.7109930092</v>
      </c>
      <c r="C3126" s="51">
        <v>1.021</v>
      </c>
      <c r="D3126" s="51">
        <v>64.0</v>
      </c>
      <c r="E3126" s="52" t="s">
        <v>25</v>
      </c>
      <c r="F3126" s="52" t="s">
        <v>26</v>
      </c>
      <c r="G3126" s="53"/>
    </row>
    <row r="3127">
      <c r="A3127" s="49">
        <v>45053.596441041664</v>
      </c>
      <c r="B3127" s="50">
        <v>45053.7214138426</v>
      </c>
      <c r="C3127" s="51">
        <v>1.021</v>
      </c>
      <c r="D3127" s="51">
        <v>64.0</v>
      </c>
      <c r="E3127" s="52" t="s">
        <v>25</v>
      </c>
      <c r="F3127" s="52" t="s">
        <v>26</v>
      </c>
      <c r="G3127" s="53"/>
    </row>
    <row r="3128">
      <c r="A3128" s="49">
        <v>45053.6068663426</v>
      </c>
      <c r="B3128" s="50">
        <v>45053.731834074</v>
      </c>
      <c r="C3128" s="51">
        <v>1.021</v>
      </c>
      <c r="D3128" s="51">
        <v>64.0</v>
      </c>
      <c r="E3128" s="52" t="s">
        <v>25</v>
      </c>
      <c r="F3128" s="52" t="s">
        <v>26</v>
      </c>
      <c r="G3128" s="53"/>
    </row>
    <row r="3129">
      <c r="A3129" s="49">
        <v>45053.617299074074</v>
      </c>
      <c r="B3129" s="50">
        <v>45053.7422676388</v>
      </c>
      <c r="C3129" s="51">
        <v>1.021</v>
      </c>
      <c r="D3129" s="51">
        <v>64.0</v>
      </c>
      <c r="E3129" s="52" t="s">
        <v>25</v>
      </c>
      <c r="F3129" s="52" t="s">
        <v>26</v>
      </c>
      <c r="G3129" s="53"/>
    </row>
    <row r="3130">
      <c r="A3130" s="49">
        <v>45053.62775429398</v>
      </c>
      <c r="B3130" s="50">
        <v>45053.7527237615</v>
      </c>
      <c r="C3130" s="51">
        <v>1.021</v>
      </c>
      <c r="D3130" s="51">
        <v>64.0</v>
      </c>
      <c r="E3130" s="52" t="s">
        <v>25</v>
      </c>
      <c r="F3130" s="52" t="s">
        <v>26</v>
      </c>
      <c r="G3130" s="53"/>
    </row>
    <row r="3131">
      <c r="A3131" s="49">
        <v>45053.638169212965</v>
      </c>
      <c r="B3131" s="50">
        <v>45053.7631448611</v>
      </c>
      <c r="C3131" s="51">
        <v>1.021</v>
      </c>
      <c r="D3131" s="51">
        <v>64.0</v>
      </c>
      <c r="E3131" s="52" t="s">
        <v>25</v>
      </c>
      <c r="F3131" s="52" t="s">
        <v>26</v>
      </c>
      <c r="G3131" s="53"/>
    </row>
    <row r="3132">
      <c r="A3132" s="49">
        <v>45053.64862635417</v>
      </c>
      <c r="B3132" s="50">
        <v>45053.7735890856</v>
      </c>
      <c r="C3132" s="51">
        <v>1.021</v>
      </c>
      <c r="D3132" s="51">
        <v>64.0</v>
      </c>
      <c r="E3132" s="52" t="s">
        <v>25</v>
      </c>
      <c r="F3132" s="52" t="s">
        <v>26</v>
      </c>
      <c r="G3132" s="53"/>
    </row>
    <row r="3133">
      <c r="A3133" s="49">
        <v>45053.65903956018</v>
      </c>
      <c r="B3133" s="50">
        <v>45053.7840097685</v>
      </c>
      <c r="C3133" s="51">
        <v>1.021</v>
      </c>
      <c r="D3133" s="51">
        <v>64.0</v>
      </c>
      <c r="E3133" s="52" t="s">
        <v>25</v>
      </c>
      <c r="F3133" s="52" t="s">
        <v>26</v>
      </c>
      <c r="G3133" s="53"/>
    </row>
    <row r="3134">
      <c r="A3134" s="49">
        <v>45053.67989076389</v>
      </c>
      <c r="B3134" s="50">
        <v>45053.8048628356</v>
      </c>
      <c r="C3134" s="51">
        <v>1.021</v>
      </c>
      <c r="D3134" s="51">
        <v>64.0</v>
      </c>
      <c r="E3134" s="52" t="s">
        <v>25</v>
      </c>
      <c r="F3134" s="52" t="s">
        <v>26</v>
      </c>
      <c r="G3134" s="53"/>
    </row>
    <row r="3135">
      <c r="A3135" s="49">
        <v>45053.69031056713</v>
      </c>
      <c r="B3135" s="50">
        <v>45053.8152824421</v>
      </c>
      <c r="C3135" s="51">
        <v>1.021</v>
      </c>
      <c r="D3135" s="51">
        <v>64.0</v>
      </c>
      <c r="E3135" s="52" t="s">
        <v>25</v>
      </c>
      <c r="F3135" s="52" t="s">
        <v>26</v>
      </c>
      <c r="G3135" s="53"/>
    </row>
    <row r="3136">
      <c r="A3136" s="49">
        <v>45053.70075222223</v>
      </c>
      <c r="B3136" s="50">
        <v>45053.8257262037</v>
      </c>
      <c r="C3136" s="51">
        <v>1.021</v>
      </c>
      <c r="D3136" s="51">
        <v>64.0</v>
      </c>
      <c r="E3136" s="52" t="s">
        <v>25</v>
      </c>
      <c r="F3136" s="52" t="s">
        <v>26</v>
      </c>
      <c r="G3136" s="53"/>
    </row>
    <row r="3137">
      <c r="A3137" s="49">
        <v>45053.71117190972</v>
      </c>
      <c r="B3137" s="50">
        <v>45053.8361464004</v>
      </c>
      <c r="C3137" s="51">
        <v>1.021</v>
      </c>
      <c r="D3137" s="51">
        <v>64.0</v>
      </c>
      <c r="E3137" s="52" t="s">
        <v>25</v>
      </c>
      <c r="F3137" s="52" t="s">
        <v>26</v>
      </c>
      <c r="G3137" s="53"/>
    </row>
    <row r="3138">
      <c r="A3138" s="49">
        <v>45053.721592511574</v>
      </c>
      <c r="B3138" s="50">
        <v>45053.8465678125</v>
      </c>
      <c r="C3138" s="51">
        <v>1.021</v>
      </c>
      <c r="D3138" s="51">
        <v>64.0</v>
      </c>
      <c r="E3138" s="52" t="s">
        <v>25</v>
      </c>
      <c r="F3138" s="52" t="s">
        <v>26</v>
      </c>
      <c r="G3138" s="53"/>
    </row>
    <row r="3139">
      <c r="A3139" s="49">
        <v>45053.73201864584</v>
      </c>
      <c r="B3139" s="50">
        <v>45053.8569905324</v>
      </c>
      <c r="C3139" s="51">
        <v>1.021</v>
      </c>
      <c r="D3139" s="51">
        <v>64.0</v>
      </c>
      <c r="E3139" s="52" t="s">
        <v>25</v>
      </c>
      <c r="F3139" s="52" t="s">
        <v>26</v>
      </c>
      <c r="G3139" s="53"/>
    </row>
    <row r="3140">
      <c r="A3140" s="49">
        <v>45053.74244994213</v>
      </c>
      <c r="B3140" s="50">
        <v>45053.8674233333</v>
      </c>
      <c r="C3140" s="51">
        <v>1.021</v>
      </c>
      <c r="D3140" s="51">
        <v>64.0</v>
      </c>
      <c r="E3140" s="52" t="s">
        <v>25</v>
      </c>
      <c r="F3140" s="52" t="s">
        <v>26</v>
      </c>
      <c r="G3140" s="53"/>
    </row>
    <row r="3141">
      <c r="A3141" s="49">
        <v>45053.75286641203</v>
      </c>
      <c r="B3141" s="50">
        <v>45053.8778462268</v>
      </c>
      <c r="C3141" s="51">
        <v>1.021</v>
      </c>
      <c r="D3141" s="51">
        <v>64.0</v>
      </c>
      <c r="E3141" s="52" t="s">
        <v>25</v>
      </c>
      <c r="F3141" s="52" t="s">
        <v>26</v>
      </c>
      <c r="G3141" s="53"/>
    </row>
    <row r="3142">
      <c r="A3142" s="49">
        <v>45053.78417025463</v>
      </c>
      <c r="B3142" s="50">
        <v>45053.9091453588</v>
      </c>
      <c r="C3142" s="51">
        <v>1.021</v>
      </c>
      <c r="D3142" s="51">
        <v>64.0</v>
      </c>
      <c r="E3142" s="52" t="s">
        <v>25</v>
      </c>
      <c r="F3142" s="52" t="s">
        <v>26</v>
      </c>
      <c r="G3142" s="53"/>
    </row>
    <row r="3143">
      <c r="A3143" s="49">
        <v>45053.794587129625</v>
      </c>
      <c r="B3143" s="50">
        <v>45053.9195647569</v>
      </c>
      <c r="C3143" s="51">
        <v>1.021</v>
      </c>
      <c r="D3143" s="51">
        <v>64.0</v>
      </c>
      <c r="E3143" s="52" t="s">
        <v>25</v>
      </c>
      <c r="F3143" s="52" t="s">
        <v>26</v>
      </c>
      <c r="G3143" s="53"/>
    </row>
    <row r="3144">
      <c r="A3144" s="49">
        <v>45053.80502615741</v>
      </c>
      <c r="B3144" s="50">
        <v>45053.9299952777</v>
      </c>
      <c r="C3144" s="51">
        <v>1.021</v>
      </c>
      <c r="D3144" s="51">
        <v>64.0</v>
      </c>
      <c r="E3144" s="52" t="s">
        <v>25</v>
      </c>
      <c r="F3144" s="52" t="s">
        <v>26</v>
      </c>
      <c r="G3144" s="53"/>
    </row>
    <row r="3145">
      <c r="A3145" s="49">
        <v>45053.81545255787</v>
      </c>
      <c r="B3145" s="50">
        <v>45053.9404265393</v>
      </c>
      <c r="C3145" s="51">
        <v>1.021</v>
      </c>
      <c r="D3145" s="51">
        <v>64.0</v>
      </c>
      <c r="E3145" s="52" t="s">
        <v>25</v>
      </c>
      <c r="F3145" s="52" t="s">
        <v>26</v>
      </c>
      <c r="G3145" s="53"/>
    </row>
    <row r="3146">
      <c r="A3146" s="49">
        <v>45053.82588813658</v>
      </c>
      <c r="B3146" s="50">
        <v>45053.9508596064</v>
      </c>
      <c r="C3146" s="51">
        <v>1.021</v>
      </c>
      <c r="D3146" s="51">
        <v>64.0</v>
      </c>
      <c r="E3146" s="52" t="s">
        <v>25</v>
      </c>
      <c r="F3146" s="52" t="s">
        <v>26</v>
      </c>
      <c r="G3146" s="53"/>
    </row>
    <row r="3147">
      <c r="A3147" s="49">
        <v>45053.83630809028</v>
      </c>
      <c r="B3147" s="50">
        <v>45053.9612810416</v>
      </c>
      <c r="C3147" s="51">
        <v>1.021</v>
      </c>
      <c r="D3147" s="51">
        <v>64.0</v>
      </c>
      <c r="E3147" s="52" t="s">
        <v>25</v>
      </c>
      <c r="F3147" s="52" t="s">
        <v>26</v>
      </c>
      <c r="G3147" s="53"/>
    </row>
    <row r="3148">
      <c r="A3148" s="49">
        <v>45053.84672375</v>
      </c>
      <c r="B3148" s="50">
        <v>45053.9717018634</v>
      </c>
      <c r="C3148" s="51">
        <v>1.021</v>
      </c>
      <c r="D3148" s="51">
        <v>64.0</v>
      </c>
      <c r="E3148" s="52" t="s">
        <v>25</v>
      </c>
      <c r="F3148" s="52" t="s">
        <v>26</v>
      </c>
      <c r="G3148" s="53"/>
    </row>
    <row r="3149">
      <c r="A3149" s="49">
        <v>45053.857181747684</v>
      </c>
      <c r="B3149" s="50">
        <v>45053.9821460995</v>
      </c>
      <c r="C3149" s="51">
        <v>1.021</v>
      </c>
      <c r="D3149" s="51">
        <v>64.0</v>
      </c>
      <c r="E3149" s="52" t="s">
        <v>25</v>
      </c>
      <c r="F3149" s="52" t="s">
        <v>26</v>
      </c>
      <c r="G3149" s="53"/>
    </row>
    <row r="3150">
      <c r="A3150" s="49">
        <v>45053.86759255787</v>
      </c>
      <c r="B3150" s="50">
        <v>45053.992568993</v>
      </c>
      <c r="C3150" s="51">
        <v>1.021</v>
      </c>
      <c r="D3150" s="51">
        <v>64.0</v>
      </c>
      <c r="E3150" s="52" t="s">
        <v>25</v>
      </c>
      <c r="F3150" s="52" t="s">
        <v>26</v>
      </c>
      <c r="G3150" s="53"/>
    </row>
    <row r="3151">
      <c r="A3151" s="49">
        <v>45053.8780109838</v>
      </c>
      <c r="B3151" s="50">
        <v>45054.002990162</v>
      </c>
      <c r="C3151" s="51">
        <v>1.021</v>
      </c>
      <c r="D3151" s="51">
        <v>64.0</v>
      </c>
      <c r="E3151" s="52" t="s">
        <v>25</v>
      </c>
      <c r="F3151" s="52" t="s">
        <v>26</v>
      </c>
      <c r="G3151" s="53"/>
    </row>
    <row r="3152">
      <c r="A3152" s="49">
        <v>45053.88844732639</v>
      </c>
      <c r="B3152" s="50">
        <v>45054.0134121527</v>
      </c>
      <c r="C3152" s="51">
        <v>1.021</v>
      </c>
      <c r="D3152" s="51">
        <v>64.0</v>
      </c>
      <c r="E3152" s="52" t="s">
        <v>25</v>
      </c>
      <c r="F3152" s="52" t="s">
        <v>26</v>
      </c>
      <c r="G3152" s="53"/>
    </row>
    <row r="3153">
      <c r="A3153" s="49">
        <v>45053.898869282406</v>
      </c>
      <c r="B3153" s="50">
        <v>45054.0238453935</v>
      </c>
      <c r="C3153" s="51">
        <v>1.021</v>
      </c>
      <c r="D3153" s="51">
        <v>64.0</v>
      </c>
      <c r="E3153" s="52" t="s">
        <v>25</v>
      </c>
      <c r="F3153" s="52" t="s">
        <v>26</v>
      </c>
      <c r="G3153" s="53"/>
    </row>
    <row r="3154">
      <c r="A3154" s="49">
        <v>45053.9092865162</v>
      </c>
      <c r="B3154" s="50">
        <v>45054.034265625</v>
      </c>
      <c r="C3154" s="51">
        <v>1.021</v>
      </c>
      <c r="D3154" s="51">
        <v>64.0</v>
      </c>
      <c r="E3154" s="52" t="s">
        <v>25</v>
      </c>
      <c r="F3154" s="52" t="s">
        <v>26</v>
      </c>
      <c r="G3154" s="53"/>
    </row>
    <row r="3155">
      <c r="A3155" s="49">
        <v>45053.91972701389</v>
      </c>
      <c r="B3155" s="50">
        <v>45054.0446979051</v>
      </c>
      <c r="C3155" s="51">
        <v>1.021</v>
      </c>
      <c r="D3155" s="51">
        <v>64.0</v>
      </c>
      <c r="E3155" s="52" t="s">
        <v>25</v>
      </c>
      <c r="F3155" s="52" t="s">
        <v>26</v>
      </c>
      <c r="G3155" s="53"/>
    </row>
    <row r="3156">
      <c r="A3156" s="49">
        <v>45053.93014704861</v>
      </c>
      <c r="B3156" s="50">
        <v>45054.055119456</v>
      </c>
      <c r="C3156" s="51">
        <v>1.021</v>
      </c>
      <c r="D3156" s="51">
        <v>64.0</v>
      </c>
      <c r="E3156" s="52" t="s">
        <v>25</v>
      </c>
      <c r="F3156" s="52" t="s">
        <v>26</v>
      </c>
      <c r="G3156" s="53"/>
    </row>
    <row r="3157">
      <c r="A3157" s="49">
        <v>45053.94056289352</v>
      </c>
      <c r="B3157" s="50">
        <v>45054.0655395949</v>
      </c>
      <c r="C3157" s="51">
        <v>1.021</v>
      </c>
      <c r="D3157" s="51">
        <v>64.0</v>
      </c>
      <c r="E3157" s="52" t="s">
        <v>25</v>
      </c>
      <c r="F3157" s="52" t="s">
        <v>26</v>
      </c>
      <c r="G3157" s="53"/>
    </row>
    <row r="3158">
      <c r="A3158" s="49">
        <v>45053.95099116898</v>
      </c>
      <c r="B3158" s="50">
        <v>45054.0759707407</v>
      </c>
      <c r="C3158" s="51">
        <v>1.02</v>
      </c>
      <c r="D3158" s="51">
        <v>64.0</v>
      </c>
      <c r="E3158" s="52" t="s">
        <v>25</v>
      </c>
      <c r="F3158" s="52" t="s">
        <v>26</v>
      </c>
      <c r="G3158" s="53"/>
    </row>
    <row r="3159">
      <c r="A3159" s="49">
        <v>45053.9614196412</v>
      </c>
      <c r="B3159" s="50">
        <v>45054.0863917939</v>
      </c>
      <c r="C3159" s="51">
        <v>1.021</v>
      </c>
      <c r="D3159" s="51">
        <v>64.0</v>
      </c>
      <c r="E3159" s="52" t="s">
        <v>25</v>
      </c>
      <c r="F3159" s="52" t="s">
        <v>26</v>
      </c>
      <c r="G3159" s="53"/>
    </row>
    <row r="3160">
      <c r="A3160" s="49">
        <v>45053.98227256944</v>
      </c>
      <c r="B3160" s="50">
        <v>45054.107245625</v>
      </c>
      <c r="C3160" s="51">
        <v>1.021</v>
      </c>
      <c r="D3160" s="51">
        <v>64.0</v>
      </c>
      <c r="E3160" s="52" t="s">
        <v>25</v>
      </c>
      <c r="F3160" s="52" t="s">
        <v>26</v>
      </c>
      <c r="G3160" s="53"/>
    </row>
    <row r="3161">
      <c r="A3161" s="49">
        <v>45053.992707129626</v>
      </c>
      <c r="B3161" s="50">
        <v>45054.1176766551</v>
      </c>
      <c r="C3161" s="51">
        <v>1.021</v>
      </c>
      <c r="D3161" s="51">
        <v>64.0</v>
      </c>
      <c r="E3161" s="52" t="s">
        <v>25</v>
      </c>
      <c r="F3161" s="52" t="s">
        <v>26</v>
      </c>
      <c r="G3161" s="53"/>
    </row>
    <row r="3162">
      <c r="A3162" s="49">
        <v>45054.00315883102</v>
      </c>
      <c r="B3162" s="50">
        <v>45054.1280974652</v>
      </c>
      <c r="C3162" s="51">
        <v>1.021</v>
      </c>
      <c r="D3162" s="51">
        <v>64.0</v>
      </c>
      <c r="E3162" s="52" t="s">
        <v>25</v>
      </c>
      <c r="F3162" s="52" t="s">
        <v>26</v>
      </c>
      <c r="G3162" s="53"/>
    </row>
    <row r="3163">
      <c r="A3163" s="49">
        <v>45054.01354138889</v>
      </c>
      <c r="B3163" s="50">
        <v>45054.1385181134</v>
      </c>
      <c r="C3163" s="51">
        <v>1.02</v>
      </c>
      <c r="D3163" s="51">
        <v>64.0</v>
      </c>
      <c r="E3163" s="52" t="s">
        <v>25</v>
      </c>
      <c r="F3163" s="52" t="s">
        <v>26</v>
      </c>
      <c r="G3163" s="53"/>
    </row>
    <row r="3164">
      <c r="A3164" s="49">
        <v>45054.023967256944</v>
      </c>
      <c r="B3164" s="50">
        <v>45054.1489389583</v>
      </c>
      <c r="C3164" s="51">
        <v>1.02</v>
      </c>
      <c r="D3164" s="51">
        <v>64.0</v>
      </c>
      <c r="E3164" s="52" t="s">
        <v>25</v>
      </c>
      <c r="F3164" s="52" t="s">
        <v>26</v>
      </c>
      <c r="G3164" s="53"/>
    </row>
    <row r="3165">
      <c r="A3165" s="49">
        <v>45054.03439768519</v>
      </c>
      <c r="B3165" s="50">
        <v>45054.1593721412</v>
      </c>
      <c r="C3165" s="51">
        <v>1.02</v>
      </c>
      <c r="D3165" s="51">
        <v>64.0</v>
      </c>
      <c r="E3165" s="52" t="s">
        <v>25</v>
      </c>
      <c r="F3165" s="52" t="s">
        <v>26</v>
      </c>
      <c r="G3165" s="53"/>
    </row>
    <row r="3166">
      <c r="A3166" s="49">
        <v>45054.04481248843</v>
      </c>
      <c r="B3166" s="50">
        <v>45054.1697923611</v>
      </c>
      <c r="C3166" s="51">
        <v>1.02</v>
      </c>
      <c r="D3166" s="51">
        <v>64.0</v>
      </c>
      <c r="E3166" s="52" t="s">
        <v>25</v>
      </c>
      <c r="F3166" s="52" t="s">
        <v>26</v>
      </c>
      <c r="G3166" s="53"/>
    </row>
    <row r="3167">
      <c r="A3167" s="49">
        <v>45054.055258622684</v>
      </c>
      <c r="B3167" s="50">
        <v>45054.1802253935</v>
      </c>
      <c r="C3167" s="51">
        <v>1.021</v>
      </c>
      <c r="D3167" s="51">
        <v>64.0</v>
      </c>
      <c r="E3167" s="52" t="s">
        <v>25</v>
      </c>
      <c r="F3167" s="52" t="s">
        <v>26</v>
      </c>
      <c r="G3167" s="53"/>
    </row>
    <row r="3168">
      <c r="A3168" s="49">
        <v>45054.065686064816</v>
      </c>
      <c r="B3168" s="50">
        <v>45054.1906565972</v>
      </c>
      <c r="C3168" s="51">
        <v>1.021</v>
      </c>
      <c r="D3168" s="51">
        <v>64.0</v>
      </c>
      <c r="E3168" s="52" t="s">
        <v>25</v>
      </c>
      <c r="F3168" s="52" t="s">
        <v>26</v>
      </c>
      <c r="G3168" s="53"/>
    </row>
    <row r="3169">
      <c r="A3169" s="49">
        <v>45054.07610177083</v>
      </c>
      <c r="B3169" s="50">
        <v>45054.2010780787</v>
      </c>
      <c r="C3169" s="51">
        <v>1.02</v>
      </c>
      <c r="D3169" s="51">
        <v>64.0</v>
      </c>
      <c r="E3169" s="52" t="s">
        <v>25</v>
      </c>
      <c r="F3169" s="52" t="s">
        <v>26</v>
      </c>
      <c r="G3169" s="53"/>
    </row>
    <row r="3170">
      <c r="A3170" s="49">
        <v>45054.08654122685</v>
      </c>
      <c r="B3170" s="50">
        <v>45054.21152103</v>
      </c>
      <c r="C3170" s="51">
        <v>1.021</v>
      </c>
      <c r="D3170" s="51">
        <v>64.0</v>
      </c>
      <c r="E3170" s="52" t="s">
        <v>25</v>
      </c>
      <c r="F3170" s="52" t="s">
        <v>26</v>
      </c>
      <c r="G3170" s="53"/>
    </row>
    <row r="3171">
      <c r="A3171" s="49">
        <v>45054.09697145833</v>
      </c>
      <c r="B3171" s="50">
        <v>45054.2219436921</v>
      </c>
      <c r="C3171" s="51">
        <v>1.021</v>
      </c>
      <c r="D3171" s="51">
        <v>64.0</v>
      </c>
      <c r="E3171" s="52" t="s">
        <v>25</v>
      </c>
      <c r="F3171" s="52" t="s">
        <v>26</v>
      </c>
      <c r="G3171" s="53"/>
    </row>
    <row r="3172">
      <c r="A3172" s="49">
        <v>45054.1073922338</v>
      </c>
      <c r="B3172" s="50">
        <v>45054.2323669675</v>
      </c>
      <c r="C3172" s="51">
        <v>1.02</v>
      </c>
      <c r="D3172" s="51">
        <v>64.0</v>
      </c>
      <c r="E3172" s="52" t="s">
        <v>25</v>
      </c>
      <c r="F3172" s="52" t="s">
        <v>26</v>
      </c>
      <c r="G3172" s="53"/>
    </row>
    <row r="3173">
      <c r="A3173" s="49">
        <v>45054.11783053241</v>
      </c>
      <c r="B3173" s="50">
        <v>45054.242798831</v>
      </c>
      <c r="C3173" s="51">
        <v>1.02</v>
      </c>
      <c r="D3173" s="51">
        <v>64.0</v>
      </c>
      <c r="E3173" s="52" t="s">
        <v>25</v>
      </c>
      <c r="F3173" s="52" t="s">
        <v>26</v>
      </c>
      <c r="G3173" s="53"/>
    </row>
    <row r="3174">
      <c r="A3174" s="49">
        <v>45054.12824873843</v>
      </c>
      <c r="B3174" s="50">
        <v>45054.2532195023</v>
      </c>
      <c r="C3174" s="51">
        <v>1.02</v>
      </c>
      <c r="D3174" s="51">
        <v>64.0</v>
      </c>
      <c r="E3174" s="52" t="s">
        <v>25</v>
      </c>
      <c r="F3174" s="52" t="s">
        <v>26</v>
      </c>
      <c r="G3174" s="53"/>
    </row>
    <row r="3175">
      <c r="A3175" s="49">
        <v>45054.138681122684</v>
      </c>
      <c r="B3175" s="50">
        <v>45054.2636531481</v>
      </c>
      <c r="C3175" s="51">
        <v>1.02</v>
      </c>
      <c r="D3175" s="51">
        <v>64.0</v>
      </c>
      <c r="E3175" s="52" t="s">
        <v>25</v>
      </c>
      <c r="F3175" s="52" t="s">
        <v>26</v>
      </c>
      <c r="G3175" s="53"/>
    </row>
    <row r="3176">
      <c r="A3176" s="49">
        <v>45054.14910800926</v>
      </c>
      <c r="B3176" s="50">
        <v>45054.274074618</v>
      </c>
      <c r="C3176" s="51">
        <v>1.02</v>
      </c>
      <c r="D3176" s="51">
        <v>64.0</v>
      </c>
      <c r="E3176" s="52" t="s">
        <v>25</v>
      </c>
      <c r="F3176" s="52" t="s">
        <v>26</v>
      </c>
      <c r="G3176" s="53"/>
    </row>
    <row r="3177">
      <c r="A3177" s="49">
        <v>45054.15951224537</v>
      </c>
      <c r="B3177" s="50">
        <v>45054.2844947453</v>
      </c>
      <c r="C3177" s="51">
        <v>1.02</v>
      </c>
      <c r="D3177" s="51">
        <v>64.0</v>
      </c>
      <c r="E3177" s="52" t="s">
        <v>25</v>
      </c>
      <c r="F3177" s="52" t="s">
        <v>26</v>
      </c>
      <c r="G3177" s="53"/>
    </row>
    <row r="3178">
      <c r="A3178" s="49">
        <v>45054.170074560185</v>
      </c>
      <c r="B3178" s="50">
        <v>45054.2949160995</v>
      </c>
      <c r="C3178" s="51">
        <v>1.02</v>
      </c>
      <c r="D3178" s="51">
        <v>64.0</v>
      </c>
      <c r="E3178" s="52" t="s">
        <v>25</v>
      </c>
      <c r="F3178" s="52" t="s">
        <v>26</v>
      </c>
      <c r="G3178" s="53"/>
    </row>
    <row r="3179">
      <c r="A3179" s="49">
        <v>45054.18036547454</v>
      </c>
      <c r="B3179" s="50">
        <v>45054.3053364236</v>
      </c>
      <c r="C3179" s="51">
        <v>1.02</v>
      </c>
      <c r="D3179" s="51">
        <v>64.0</v>
      </c>
      <c r="E3179" s="52" t="s">
        <v>25</v>
      </c>
      <c r="F3179" s="52" t="s">
        <v>26</v>
      </c>
      <c r="G3179" s="53"/>
    </row>
    <row r="3180">
      <c r="A3180" s="49">
        <v>45054.19078125</v>
      </c>
      <c r="B3180" s="50">
        <v>45054.3157572569</v>
      </c>
      <c r="C3180" s="51">
        <v>1.02</v>
      </c>
      <c r="D3180" s="51">
        <v>64.0</v>
      </c>
      <c r="E3180" s="52" t="s">
        <v>25</v>
      </c>
      <c r="F3180" s="52" t="s">
        <v>26</v>
      </c>
      <c r="G3180" s="53"/>
    </row>
    <row r="3181">
      <c r="A3181" s="49">
        <v>45054.20120471065</v>
      </c>
      <c r="B3181" s="50">
        <v>45054.3261790277</v>
      </c>
      <c r="C3181" s="51">
        <v>1.02</v>
      </c>
      <c r="D3181" s="51">
        <v>64.0</v>
      </c>
      <c r="E3181" s="52" t="s">
        <v>25</v>
      </c>
      <c r="F3181" s="52" t="s">
        <v>26</v>
      </c>
      <c r="G3181" s="53"/>
    </row>
    <row r="3182">
      <c r="A3182" s="49">
        <v>45054.21162810185</v>
      </c>
      <c r="B3182" s="50">
        <v>45054.3366010532</v>
      </c>
      <c r="C3182" s="51">
        <v>1.02</v>
      </c>
      <c r="D3182" s="51">
        <v>64.0</v>
      </c>
      <c r="E3182" s="52" t="s">
        <v>25</v>
      </c>
      <c r="F3182" s="52" t="s">
        <v>26</v>
      </c>
      <c r="G3182" s="53"/>
    </row>
    <row r="3183">
      <c r="A3183" s="49">
        <v>45054.22204127315</v>
      </c>
      <c r="B3183" s="50">
        <v>45054.3470216898</v>
      </c>
      <c r="C3183" s="51">
        <v>1.021</v>
      </c>
      <c r="D3183" s="51">
        <v>64.0</v>
      </c>
      <c r="E3183" s="52" t="s">
        <v>25</v>
      </c>
      <c r="F3183" s="52" t="s">
        <v>26</v>
      </c>
      <c r="G3183" s="53"/>
    </row>
    <row r="3184">
      <c r="A3184" s="49">
        <v>45054.232533692135</v>
      </c>
      <c r="B3184" s="50">
        <v>45054.3574561921</v>
      </c>
      <c r="C3184" s="51">
        <v>1.02</v>
      </c>
      <c r="D3184" s="51">
        <v>64.0</v>
      </c>
      <c r="E3184" s="52" t="s">
        <v>25</v>
      </c>
      <c r="F3184" s="52" t="s">
        <v>26</v>
      </c>
      <c r="G3184" s="53"/>
    </row>
    <row r="3185">
      <c r="A3185" s="49">
        <v>45054.24290561343</v>
      </c>
      <c r="B3185" s="50">
        <v>45054.3678780092</v>
      </c>
      <c r="C3185" s="51">
        <v>1.02</v>
      </c>
      <c r="D3185" s="51">
        <v>64.0</v>
      </c>
      <c r="E3185" s="52" t="s">
        <v>25</v>
      </c>
      <c r="F3185" s="52" t="s">
        <v>26</v>
      </c>
      <c r="G3185" s="53"/>
    </row>
    <row r="3186">
      <c r="A3186" s="49">
        <v>45054.25332425926</v>
      </c>
      <c r="B3186" s="50">
        <v>45054.3782987268</v>
      </c>
      <c r="C3186" s="51">
        <v>1.02</v>
      </c>
      <c r="D3186" s="51">
        <v>64.0</v>
      </c>
      <c r="E3186" s="52" t="s">
        <v>25</v>
      </c>
      <c r="F3186" s="52" t="s">
        <v>26</v>
      </c>
      <c r="G3186" s="53"/>
    </row>
    <row r="3187">
      <c r="A3187" s="49">
        <v>45054.26373943287</v>
      </c>
      <c r="B3187" s="50">
        <v>45054.38871875</v>
      </c>
      <c r="C3187" s="51">
        <v>1.02</v>
      </c>
      <c r="D3187" s="51">
        <v>64.0</v>
      </c>
      <c r="E3187" s="52" t="s">
        <v>25</v>
      </c>
      <c r="F3187" s="52" t="s">
        <v>26</v>
      </c>
      <c r="G3187" s="53"/>
    </row>
    <row r="3188">
      <c r="A3188" s="49">
        <v>45054.274178402775</v>
      </c>
      <c r="B3188" s="50">
        <v>45054.3991525578</v>
      </c>
      <c r="C3188" s="51">
        <v>1.02</v>
      </c>
      <c r="D3188" s="51">
        <v>64.0</v>
      </c>
      <c r="E3188" s="52" t="s">
        <v>25</v>
      </c>
      <c r="F3188" s="52" t="s">
        <v>26</v>
      </c>
      <c r="G3188" s="53"/>
    </row>
    <row r="3189">
      <c r="A3189" s="49">
        <v>45054.284611041665</v>
      </c>
      <c r="B3189" s="50">
        <v>45054.4095850925</v>
      </c>
      <c r="C3189" s="51">
        <v>1.02</v>
      </c>
      <c r="D3189" s="51">
        <v>64.0</v>
      </c>
      <c r="E3189" s="52" t="s">
        <v>25</v>
      </c>
      <c r="F3189" s="52" t="s">
        <v>26</v>
      </c>
      <c r="G3189" s="53"/>
    </row>
    <row r="3190">
      <c r="A3190" s="49">
        <v>45054.29502710648</v>
      </c>
      <c r="B3190" s="50">
        <v>45054.4200060416</v>
      </c>
      <c r="C3190" s="51">
        <v>1.02</v>
      </c>
      <c r="D3190" s="51">
        <v>64.0</v>
      </c>
      <c r="E3190" s="52" t="s">
        <v>25</v>
      </c>
      <c r="F3190" s="52" t="s">
        <v>26</v>
      </c>
      <c r="G3190" s="53"/>
    </row>
    <row r="3191">
      <c r="A3191" s="49">
        <v>45054.30545648148</v>
      </c>
      <c r="B3191" s="50">
        <v>45054.4304255208</v>
      </c>
      <c r="C3191" s="51">
        <v>1.02</v>
      </c>
      <c r="D3191" s="51">
        <v>64.0</v>
      </c>
      <c r="E3191" s="52" t="s">
        <v>25</v>
      </c>
      <c r="F3191" s="52" t="s">
        <v>26</v>
      </c>
      <c r="G3191" s="53"/>
    </row>
    <row r="3192">
      <c r="A3192" s="49">
        <v>45054.31587248843</v>
      </c>
      <c r="B3192" s="50">
        <v>45054.4408448032</v>
      </c>
      <c r="C3192" s="51">
        <v>1.02</v>
      </c>
      <c r="D3192" s="51">
        <v>64.0</v>
      </c>
      <c r="E3192" s="52" t="s">
        <v>25</v>
      </c>
      <c r="F3192" s="52" t="s">
        <v>26</v>
      </c>
      <c r="G3192" s="53"/>
    </row>
    <row r="3193">
      <c r="A3193" s="49">
        <v>45054.3262893287</v>
      </c>
      <c r="B3193" s="50">
        <v>45054.4512635416</v>
      </c>
      <c r="C3193" s="51">
        <v>1.02</v>
      </c>
      <c r="D3193" s="51">
        <v>64.0</v>
      </c>
      <c r="E3193" s="52" t="s">
        <v>25</v>
      </c>
      <c r="F3193" s="52" t="s">
        <v>26</v>
      </c>
      <c r="G3193" s="53"/>
    </row>
    <row r="3194">
      <c r="A3194" s="49">
        <v>45054.336706574075</v>
      </c>
      <c r="B3194" s="50">
        <v>45054.4616834143</v>
      </c>
      <c r="C3194" s="51">
        <v>1.02</v>
      </c>
      <c r="D3194" s="51">
        <v>64.0</v>
      </c>
      <c r="E3194" s="52" t="s">
        <v>25</v>
      </c>
      <c r="F3194" s="52" t="s">
        <v>26</v>
      </c>
      <c r="G3194" s="53"/>
    </row>
    <row r="3195">
      <c r="A3195" s="49">
        <v>45054.34714813657</v>
      </c>
      <c r="B3195" s="50">
        <v>45054.4721173495</v>
      </c>
      <c r="C3195" s="51">
        <v>1.02</v>
      </c>
      <c r="D3195" s="51">
        <v>64.0</v>
      </c>
      <c r="E3195" s="52" t="s">
        <v>25</v>
      </c>
      <c r="F3195" s="52" t="s">
        <v>26</v>
      </c>
      <c r="G3195" s="53"/>
    </row>
    <row r="3196">
      <c r="A3196" s="49">
        <v>45054.35755892361</v>
      </c>
      <c r="B3196" s="50">
        <v>45054.4825378125</v>
      </c>
      <c r="C3196" s="51">
        <v>1.02</v>
      </c>
      <c r="D3196" s="51">
        <v>64.0</v>
      </c>
      <c r="E3196" s="52" t="s">
        <v>25</v>
      </c>
      <c r="F3196" s="52" t="s">
        <v>26</v>
      </c>
      <c r="G3196" s="53"/>
    </row>
    <row r="3197">
      <c r="A3197" s="49">
        <v>45054.367986875004</v>
      </c>
      <c r="B3197" s="50">
        <v>45054.4929601851</v>
      </c>
      <c r="C3197" s="51">
        <v>1.02</v>
      </c>
      <c r="D3197" s="51">
        <v>64.0</v>
      </c>
      <c r="E3197" s="52" t="s">
        <v>25</v>
      </c>
      <c r="F3197" s="52" t="s">
        <v>26</v>
      </c>
      <c r="G3197" s="53"/>
    </row>
    <row r="3198">
      <c r="A3198" s="49">
        <v>45054.378403298615</v>
      </c>
      <c r="B3198" s="50">
        <v>45054.5033794444</v>
      </c>
      <c r="C3198" s="51">
        <v>1.02</v>
      </c>
      <c r="D3198" s="51">
        <v>64.0</v>
      </c>
      <c r="E3198" s="52" t="s">
        <v>25</v>
      </c>
      <c r="F3198" s="52" t="s">
        <v>26</v>
      </c>
      <c r="G3198" s="53"/>
    </row>
    <row r="3199">
      <c r="A3199" s="49">
        <v>45054.388823402776</v>
      </c>
      <c r="B3199" s="50">
        <v>45054.5138000231</v>
      </c>
      <c r="C3199" s="51">
        <v>1.02</v>
      </c>
      <c r="D3199" s="51">
        <v>64.0</v>
      </c>
      <c r="E3199" s="52" t="s">
        <v>25</v>
      </c>
      <c r="F3199" s="52" t="s">
        <v>26</v>
      </c>
      <c r="G3199" s="53"/>
    </row>
    <row r="3200">
      <c r="A3200" s="49">
        <v>45054.3992530324</v>
      </c>
      <c r="B3200" s="50">
        <v>45054.5242221412</v>
      </c>
      <c r="C3200" s="51">
        <v>1.02</v>
      </c>
      <c r="D3200" s="51">
        <v>64.0</v>
      </c>
      <c r="E3200" s="52" t="s">
        <v>25</v>
      </c>
      <c r="F3200" s="52" t="s">
        <v>26</v>
      </c>
      <c r="G3200" s="53"/>
    </row>
    <row r="3201">
      <c r="A3201" s="49">
        <v>45054.409678993055</v>
      </c>
      <c r="B3201" s="50">
        <v>45054.5346561342</v>
      </c>
      <c r="C3201" s="51">
        <v>1.02</v>
      </c>
      <c r="D3201" s="51">
        <v>64.0</v>
      </c>
      <c r="E3201" s="52" t="s">
        <v>25</v>
      </c>
      <c r="F3201" s="52" t="s">
        <v>26</v>
      </c>
      <c r="G3201" s="53"/>
    </row>
    <row r="3202">
      <c r="A3202" s="49">
        <v>45054.42012664352</v>
      </c>
      <c r="B3202" s="50">
        <v>45054.5450891666</v>
      </c>
      <c r="C3202" s="51">
        <v>1.02</v>
      </c>
      <c r="D3202" s="51">
        <v>64.0</v>
      </c>
      <c r="E3202" s="52" t="s">
        <v>25</v>
      </c>
      <c r="F3202" s="52" t="s">
        <v>26</v>
      </c>
      <c r="G3202" s="53"/>
    </row>
    <row r="3203">
      <c r="A3203" s="49">
        <v>45054.43053107639</v>
      </c>
      <c r="B3203" s="50">
        <v>45054.5555102662</v>
      </c>
      <c r="C3203" s="51">
        <v>1.02</v>
      </c>
      <c r="D3203" s="51">
        <v>64.0</v>
      </c>
      <c r="E3203" s="52" t="s">
        <v>25</v>
      </c>
      <c r="F3203" s="52" t="s">
        <v>26</v>
      </c>
      <c r="G3203" s="53"/>
    </row>
    <row r="3204">
      <c r="A3204" s="49">
        <v>45054.44096104166</v>
      </c>
      <c r="B3204" s="50">
        <v>45054.5659332639</v>
      </c>
      <c r="C3204" s="51">
        <v>1.02</v>
      </c>
      <c r="D3204" s="51">
        <v>64.0</v>
      </c>
      <c r="E3204" s="52" t="s">
        <v>25</v>
      </c>
      <c r="F3204" s="52" t="s">
        <v>26</v>
      </c>
      <c r="G3204" s="53"/>
    </row>
    <row r="3205">
      <c r="A3205" s="49">
        <v>45054.45141064815</v>
      </c>
      <c r="B3205" s="50">
        <v>45054.5763651157</v>
      </c>
      <c r="C3205" s="51">
        <v>1.02</v>
      </c>
      <c r="D3205" s="51">
        <v>64.0</v>
      </c>
      <c r="E3205" s="52" t="s">
        <v>25</v>
      </c>
      <c r="F3205" s="52" t="s">
        <v>26</v>
      </c>
      <c r="G3205" s="53"/>
    </row>
    <row r="3206">
      <c r="A3206" s="49">
        <v>45054.46185070602</v>
      </c>
      <c r="B3206" s="50">
        <v>45054.5867990625</v>
      </c>
      <c r="C3206" s="51">
        <v>1.02</v>
      </c>
      <c r="D3206" s="51">
        <v>64.0</v>
      </c>
      <c r="E3206" s="52" t="s">
        <v>25</v>
      </c>
      <c r="F3206" s="52" t="s">
        <v>26</v>
      </c>
      <c r="G3206" s="53"/>
    </row>
    <row r="3207">
      <c r="A3207" s="49">
        <v>45054.47228539352</v>
      </c>
      <c r="B3207" s="50">
        <v>45054.5972327777</v>
      </c>
      <c r="C3207" s="51">
        <v>1.02</v>
      </c>
      <c r="D3207" s="51">
        <v>64.0</v>
      </c>
      <c r="E3207" s="52" t="s">
        <v>25</v>
      </c>
      <c r="F3207" s="52" t="s">
        <v>26</v>
      </c>
      <c r="G3207" s="53"/>
    </row>
    <row r="3208">
      <c r="A3208" s="49">
        <v>45054.48267378472</v>
      </c>
      <c r="B3208" s="50">
        <v>45054.6076528356</v>
      </c>
      <c r="C3208" s="51">
        <v>1.02</v>
      </c>
      <c r="D3208" s="51">
        <v>64.0</v>
      </c>
      <c r="E3208" s="52" t="s">
        <v>25</v>
      </c>
      <c r="F3208" s="52" t="s">
        <v>26</v>
      </c>
      <c r="G3208" s="53"/>
    </row>
    <row r="3209">
      <c r="A3209" s="49">
        <v>45054.493111759264</v>
      </c>
      <c r="B3209" s="50">
        <v>45054.6180854513</v>
      </c>
      <c r="C3209" s="51">
        <v>1.02</v>
      </c>
      <c r="D3209" s="51">
        <v>64.0</v>
      </c>
      <c r="E3209" s="52" t="s">
        <v>25</v>
      </c>
      <c r="F3209" s="52" t="s">
        <v>26</v>
      </c>
      <c r="G3209" s="53"/>
    </row>
    <row r="3210">
      <c r="A3210" s="49">
        <v>45054.5035379051</v>
      </c>
      <c r="B3210" s="50">
        <v>45054.6285182407</v>
      </c>
      <c r="C3210" s="51">
        <v>1.02</v>
      </c>
      <c r="D3210" s="51">
        <v>64.0</v>
      </c>
      <c r="E3210" s="52" t="s">
        <v>25</v>
      </c>
      <c r="F3210" s="52" t="s">
        <v>26</v>
      </c>
      <c r="G3210" s="53"/>
    </row>
    <row r="3211">
      <c r="A3211" s="49">
        <v>45054.513956828705</v>
      </c>
      <c r="B3211" s="50">
        <v>45054.6389385532</v>
      </c>
      <c r="C3211" s="51">
        <v>1.02</v>
      </c>
      <c r="D3211" s="51">
        <v>64.0</v>
      </c>
      <c r="E3211" s="52" t="s">
        <v>25</v>
      </c>
      <c r="F3211" s="52" t="s">
        <v>26</v>
      </c>
      <c r="G3211" s="53"/>
    </row>
    <row r="3212">
      <c r="A3212" s="49">
        <v>45054.52438798611</v>
      </c>
      <c r="B3212" s="50">
        <v>45054.6493606134</v>
      </c>
      <c r="C3212" s="51">
        <v>1.02</v>
      </c>
      <c r="D3212" s="51">
        <v>64.0</v>
      </c>
      <c r="E3212" s="52" t="s">
        <v>25</v>
      </c>
      <c r="F3212" s="52" t="s">
        <v>26</v>
      </c>
      <c r="G3212" s="53"/>
    </row>
    <row r="3213">
      <c r="A3213" s="49">
        <v>45054.53481094907</v>
      </c>
      <c r="B3213" s="50">
        <v>45054.6597827777</v>
      </c>
      <c r="C3213" s="51">
        <v>1.02</v>
      </c>
      <c r="D3213" s="51">
        <v>64.0</v>
      </c>
      <c r="E3213" s="52" t="s">
        <v>25</v>
      </c>
      <c r="F3213" s="52" t="s">
        <v>26</v>
      </c>
      <c r="G3213" s="53"/>
    </row>
    <row r="3214">
      <c r="A3214" s="49">
        <v>45054.54522883102</v>
      </c>
      <c r="B3214" s="50">
        <v>45054.6702047801</v>
      </c>
      <c r="C3214" s="51">
        <v>1.02</v>
      </c>
      <c r="D3214" s="51">
        <v>64.0</v>
      </c>
      <c r="E3214" s="52" t="s">
        <v>25</v>
      </c>
      <c r="F3214" s="52" t="s">
        <v>26</v>
      </c>
      <c r="G3214" s="53"/>
    </row>
    <row r="3215">
      <c r="A3215" s="49">
        <v>45054.555674166666</v>
      </c>
      <c r="B3215" s="50">
        <v>45054.6806501273</v>
      </c>
      <c r="C3215" s="51">
        <v>1.02</v>
      </c>
      <c r="D3215" s="51">
        <v>64.0</v>
      </c>
      <c r="E3215" s="52" t="s">
        <v>25</v>
      </c>
      <c r="F3215" s="52" t="s">
        <v>26</v>
      </c>
      <c r="G3215" s="53"/>
    </row>
    <row r="3216">
      <c r="A3216" s="49">
        <v>45054.56610866898</v>
      </c>
      <c r="B3216" s="50">
        <v>45054.6910722453</v>
      </c>
      <c r="C3216" s="51">
        <v>1.02</v>
      </c>
      <c r="D3216" s="51">
        <v>64.0</v>
      </c>
      <c r="E3216" s="52" t="s">
        <v>25</v>
      </c>
      <c r="F3216" s="52" t="s">
        <v>26</v>
      </c>
      <c r="G3216" s="53"/>
    </row>
    <row r="3217">
      <c r="A3217" s="49">
        <v>45054.57652325231</v>
      </c>
      <c r="B3217" s="50">
        <v>45054.7014935648</v>
      </c>
      <c r="C3217" s="51">
        <v>1.02</v>
      </c>
      <c r="D3217" s="51">
        <v>64.0</v>
      </c>
      <c r="E3217" s="52" t="s">
        <v>25</v>
      </c>
      <c r="F3217" s="52" t="s">
        <v>26</v>
      </c>
      <c r="G3217" s="53"/>
    </row>
    <row r="3218">
      <c r="A3218" s="49">
        <v>45054.5869517824</v>
      </c>
      <c r="B3218" s="50">
        <v>45054.7119267013</v>
      </c>
      <c r="C3218" s="51">
        <v>1.02</v>
      </c>
      <c r="D3218" s="51">
        <v>64.0</v>
      </c>
      <c r="E3218" s="52" t="s">
        <v>25</v>
      </c>
      <c r="F3218" s="52" t="s">
        <v>26</v>
      </c>
      <c r="G3218" s="53"/>
    </row>
    <row r="3219">
      <c r="A3219" s="49">
        <v>45054.59738298611</v>
      </c>
      <c r="B3219" s="50">
        <v>45054.7223468981</v>
      </c>
      <c r="C3219" s="51">
        <v>1.02</v>
      </c>
      <c r="D3219" s="51">
        <v>64.0</v>
      </c>
      <c r="E3219" s="52" t="s">
        <v>25</v>
      </c>
      <c r="F3219" s="52" t="s">
        <v>26</v>
      </c>
      <c r="G3219" s="53"/>
    </row>
    <row r="3220">
      <c r="A3220" s="49">
        <v>45054.60779216435</v>
      </c>
      <c r="B3220" s="50">
        <v>45054.7327672685</v>
      </c>
      <c r="C3220" s="51">
        <v>1.02</v>
      </c>
      <c r="D3220" s="51">
        <v>64.0</v>
      </c>
      <c r="E3220" s="52" t="s">
        <v>25</v>
      </c>
      <c r="F3220" s="52" t="s">
        <v>26</v>
      </c>
      <c r="G3220" s="53"/>
    </row>
    <row r="3221">
      <c r="A3221" s="49">
        <v>45054.61820681713</v>
      </c>
      <c r="B3221" s="50">
        <v>45054.7431876504</v>
      </c>
      <c r="C3221" s="51">
        <v>1.02</v>
      </c>
      <c r="D3221" s="51">
        <v>64.0</v>
      </c>
      <c r="E3221" s="52" t="s">
        <v>25</v>
      </c>
      <c r="F3221" s="52" t="s">
        <v>26</v>
      </c>
      <c r="G3221" s="53"/>
    </row>
    <row r="3222">
      <c r="A3222" s="49">
        <v>45054.62863020833</v>
      </c>
      <c r="B3222" s="50">
        <v>45054.7536089814</v>
      </c>
      <c r="C3222" s="51">
        <v>1.02</v>
      </c>
      <c r="D3222" s="51">
        <v>64.0</v>
      </c>
      <c r="E3222" s="52" t="s">
        <v>25</v>
      </c>
      <c r="F3222" s="52" t="s">
        <v>26</v>
      </c>
      <c r="G3222" s="53"/>
    </row>
    <row r="3223">
      <c r="A3223" s="49">
        <v>45054.63907796296</v>
      </c>
      <c r="B3223" s="50">
        <v>45054.7640298726</v>
      </c>
      <c r="C3223" s="51">
        <v>1.02</v>
      </c>
      <c r="D3223" s="51">
        <v>64.0</v>
      </c>
      <c r="E3223" s="52" t="s">
        <v>25</v>
      </c>
      <c r="F3223" s="52" t="s">
        <v>26</v>
      </c>
      <c r="G3223" s="53"/>
    </row>
    <row r="3224">
      <c r="A3224" s="49">
        <v>45054.6494728588</v>
      </c>
      <c r="B3224" s="50">
        <v>45054.774450787</v>
      </c>
      <c r="C3224" s="51">
        <v>1.02</v>
      </c>
      <c r="D3224" s="51">
        <v>64.0</v>
      </c>
      <c r="E3224" s="52" t="s">
        <v>25</v>
      </c>
      <c r="F3224" s="52" t="s">
        <v>26</v>
      </c>
      <c r="G3224" s="53"/>
    </row>
    <row r="3225">
      <c r="A3225" s="49">
        <v>45054.65990300926</v>
      </c>
      <c r="B3225" s="50">
        <v>45054.7848830787</v>
      </c>
      <c r="C3225" s="51">
        <v>1.02</v>
      </c>
      <c r="D3225" s="51">
        <v>64.0</v>
      </c>
      <c r="E3225" s="52" t="s">
        <v>25</v>
      </c>
      <c r="F3225" s="52" t="s">
        <v>26</v>
      </c>
      <c r="G3225" s="53"/>
    </row>
    <row r="3226">
      <c r="A3226" s="49">
        <v>45054.67034715277</v>
      </c>
      <c r="B3226" s="50">
        <v>45054.7953167708</v>
      </c>
      <c r="C3226" s="51">
        <v>1.02</v>
      </c>
      <c r="D3226" s="51">
        <v>64.0</v>
      </c>
      <c r="E3226" s="52" t="s">
        <v>25</v>
      </c>
      <c r="F3226" s="52" t="s">
        <v>26</v>
      </c>
      <c r="G3226" s="53"/>
    </row>
    <row r="3227">
      <c r="A3227" s="49">
        <v>45054.6807905787</v>
      </c>
      <c r="B3227" s="50">
        <v>45054.8057612384</v>
      </c>
      <c r="C3227" s="51">
        <v>1.02</v>
      </c>
      <c r="D3227" s="51">
        <v>64.0</v>
      </c>
      <c r="E3227" s="52" t="s">
        <v>25</v>
      </c>
      <c r="F3227" s="52" t="s">
        <v>26</v>
      </c>
      <c r="G3227" s="53"/>
    </row>
    <row r="3228">
      <c r="A3228" s="49">
        <v>45054.69121101852</v>
      </c>
      <c r="B3228" s="50">
        <v>45054.8161839467</v>
      </c>
      <c r="C3228" s="51">
        <v>1.02</v>
      </c>
      <c r="D3228" s="51">
        <v>64.0</v>
      </c>
      <c r="E3228" s="52" t="s">
        <v>25</v>
      </c>
      <c r="F3228" s="52" t="s">
        <v>26</v>
      </c>
      <c r="G3228" s="53"/>
    </row>
    <row r="3229">
      <c r="A3229" s="49">
        <v>45054.70163326389</v>
      </c>
      <c r="B3229" s="50">
        <v>45054.8266054513</v>
      </c>
      <c r="C3229" s="51">
        <v>1.02</v>
      </c>
      <c r="D3229" s="51">
        <v>64.0</v>
      </c>
      <c r="E3229" s="52" t="s">
        <v>25</v>
      </c>
      <c r="F3229" s="52" t="s">
        <v>26</v>
      </c>
      <c r="G3229" s="53"/>
    </row>
    <row r="3230">
      <c r="A3230" s="49">
        <v>45054.71205091436</v>
      </c>
      <c r="B3230" s="50">
        <v>45054.8370254976</v>
      </c>
      <c r="C3230" s="51">
        <v>1.02</v>
      </c>
      <c r="D3230" s="51">
        <v>64.0</v>
      </c>
      <c r="E3230" s="52" t="s">
        <v>25</v>
      </c>
      <c r="F3230" s="52" t="s">
        <v>26</v>
      </c>
      <c r="G3230" s="53"/>
    </row>
    <row r="3231">
      <c r="A3231" s="49">
        <v>45054.72247278935</v>
      </c>
      <c r="B3231" s="50">
        <v>45054.8474481944</v>
      </c>
      <c r="C3231" s="51">
        <v>1.02</v>
      </c>
      <c r="D3231" s="51">
        <v>64.0</v>
      </c>
      <c r="E3231" s="52" t="s">
        <v>25</v>
      </c>
      <c r="F3231" s="52" t="s">
        <v>26</v>
      </c>
      <c r="G3231" s="53"/>
    </row>
    <row r="3232">
      <c r="A3232" s="49">
        <v>45054.73289121527</v>
      </c>
      <c r="B3232" s="50">
        <v>45054.8578698263</v>
      </c>
      <c r="C3232" s="51">
        <v>1.02</v>
      </c>
      <c r="D3232" s="51">
        <v>64.0</v>
      </c>
      <c r="E3232" s="52" t="s">
        <v>25</v>
      </c>
      <c r="F3232" s="52" t="s">
        <v>26</v>
      </c>
      <c r="G3232" s="53"/>
    </row>
    <row r="3233">
      <c r="A3233" s="49">
        <v>45054.74331327547</v>
      </c>
      <c r="B3233" s="50">
        <v>45054.8682905902</v>
      </c>
      <c r="C3233" s="51">
        <v>1.02</v>
      </c>
      <c r="D3233" s="51">
        <v>64.0</v>
      </c>
      <c r="E3233" s="52" t="s">
        <v>25</v>
      </c>
      <c r="F3233" s="52" t="s">
        <v>26</v>
      </c>
      <c r="G3233" s="53"/>
    </row>
    <row r="3234">
      <c r="A3234" s="49">
        <v>45054.75373693287</v>
      </c>
      <c r="B3234" s="50">
        <v>45054.8787114814</v>
      </c>
      <c r="C3234" s="51">
        <v>1.02</v>
      </c>
      <c r="D3234" s="51">
        <v>64.0</v>
      </c>
      <c r="E3234" s="52" t="s">
        <v>25</v>
      </c>
      <c r="F3234" s="52" t="s">
        <v>26</v>
      </c>
      <c r="G3234" s="53"/>
    </row>
    <row r="3235">
      <c r="A3235" s="49">
        <v>45054.76417231481</v>
      </c>
      <c r="B3235" s="50">
        <v>45054.8891422916</v>
      </c>
      <c r="C3235" s="51">
        <v>1.02</v>
      </c>
      <c r="D3235" s="51">
        <v>64.0</v>
      </c>
      <c r="E3235" s="52" t="s">
        <v>25</v>
      </c>
      <c r="F3235" s="52" t="s">
        <v>26</v>
      </c>
      <c r="G3235" s="53"/>
    </row>
    <row r="3236">
      <c r="A3236" s="49">
        <v>45054.77459725694</v>
      </c>
      <c r="B3236" s="50">
        <v>45054.899575</v>
      </c>
      <c r="C3236" s="51">
        <v>1.02</v>
      </c>
      <c r="D3236" s="51">
        <v>64.0</v>
      </c>
      <c r="E3236" s="52" t="s">
        <v>25</v>
      </c>
      <c r="F3236" s="52" t="s">
        <v>26</v>
      </c>
      <c r="G3236" s="53"/>
    </row>
    <row r="3237">
      <c r="A3237" s="49">
        <v>45054.78502506945</v>
      </c>
      <c r="B3237" s="50">
        <v>45054.9100072916</v>
      </c>
      <c r="C3237" s="51">
        <v>1.02</v>
      </c>
      <c r="D3237" s="51">
        <v>64.0</v>
      </c>
      <c r="E3237" s="52" t="s">
        <v>25</v>
      </c>
      <c r="F3237" s="52" t="s">
        <v>26</v>
      </c>
      <c r="G3237" s="53"/>
    </row>
    <row r="3238">
      <c r="A3238" s="49">
        <v>45054.79545376157</v>
      </c>
      <c r="B3238" s="50">
        <v>45054.9204286574</v>
      </c>
      <c r="C3238" s="51">
        <v>1.02</v>
      </c>
      <c r="D3238" s="51">
        <v>64.0</v>
      </c>
      <c r="E3238" s="52" t="s">
        <v>25</v>
      </c>
      <c r="F3238" s="52" t="s">
        <v>26</v>
      </c>
      <c r="G3238" s="53"/>
    </row>
    <row r="3239">
      <c r="A3239" s="49">
        <v>45054.805868854164</v>
      </c>
      <c r="B3239" s="50">
        <v>45054.9308510763</v>
      </c>
      <c r="C3239" s="51">
        <v>1.02</v>
      </c>
      <c r="D3239" s="51">
        <v>64.0</v>
      </c>
      <c r="E3239" s="52" t="s">
        <v>25</v>
      </c>
      <c r="F3239" s="52" t="s">
        <v>26</v>
      </c>
      <c r="G3239" s="53"/>
    </row>
    <row r="3240">
      <c r="A3240" s="49">
        <v>45054.81632288195</v>
      </c>
      <c r="B3240" s="50">
        <v>45054.9412733796</v>
      </c>
      <c r="C3240" s="51">
        <v>1.02</v>
      </c>
      <c r="D3240" s="51">
        <v>64.0</v>
      </c>
      <c r="E3240" s="52" t="s">
        <v>25</v>
      </c>
      <c r="F3240" s="52" t="s">
        <v>26</v>
      </c>
      <c r="G3240" s="53"/>
    </row>
    <row r="3241">
      <c r="A3241" s="49">
        <v>45054.82671716435</v>
      </c>
      <c r="B3241" s="50">
        <v>45054.9516941203</v>
      </c>
      <c r="C3241" s="51">
        <v>1.02</v>
      </c>
      <c r="D3241" s="51">
        <v>64.0</v>
      </c>
      <c r="E3241" s="52" t="s">
        <v>25</v>
      </c>
      <c r="F3241" s="52" t="s">
        <v>26</v>
      </c>
      <c r="G3241" s="53"/>
    </row>
    <row r="3242">
      <c r="A3242" s="49">
        <v>45054.837146273145</v>
      </c>
      <c r="B3242" s="50">
        <v>45054.96211603</v>
      </c>
      <c r="C3242" s="51">
        <v>1.02</v>
      </c>
      <c r="D3242" s="51">
        <v>64.0</v>
      </c>
      <c r="E3242" s="52" t="s">
        <v>25</v>
      </c>
      <c r="F3242" s="52" t="s">
        <v>26</v>
      </c>
      <c r="G3242" s="53"/>
    </row>
    <row r="3243">
      <c r="A3243" s="49">
        <v>45054.84756444444</v>
      </c>
      <c r="B3243" s="50">
        <v>45054.9725371759</v>
      </c>
      <c r="C3243" s="51">
        <v>1.02</v>
      </c>
      <c r="D3243" s="51">
        <v>64.0</v>
      </c>
      <c r="E3243" s="52" t="s">
        <v>25</v>
      </c>
      <c r="F3243" s="52" t="s">
        <v>26</v>
      </c>
      <c r="G3243" s="53"/>
    </row>
    <row r="3244">
      <c r="A3244" s="49">
        <v>45054.85801116898</v>
      </c>
      <c r="B3244" s="50">
        <v>45054.9829580787</v>
      </c>
      <c r="C3244" s="51">
        <v>1.02</v>
      </c>
      <c r="D3244" s="51">
        <v>64.0</v>
      </c>
      <c r="E3244" s="52" t="s">
        <v>25</v>
      </c>
      <c r="F3244" s="52" t="s">
        <v>26</v>
      </c>
      <c r="G3244" s="53"/>
    </row>
    <row r="3245">
      <c r="A3245" s="49">
        <v>45054.86840673611</v>
      </c>
      <c r="B3245" s="50">
        <v>45054.9933798958</v>
      </c>
      <c r="C3245" s="51">
        <v>1.02</v>
      </c>
      <c r="D3245" s="51">
        <v>64.0</v>
      </c>
      <c r="E3245" s="52" t="s">
        <v>25</v>
      </c>
      <c r="F3245" s="52" t="s">
        <v>26</v>
      </c>
      <c r="G3245" s="53"/>
    </row>
    <row r="3246">
      <c r="A3246" s="49">
        <v>45054.87882665509</v>
      </c>
      <c r="B3246" s="50">
        <v>45055.0037990046</v>
      </c>
      <c r="C3246" s="51">
        <v>1.02</v>
      </c>
      <c r="D3246" s="51">
        <v>64.0</v>
      </c>
      <c r="E3246" s="52" t="s">
        <v>25</v>
      </c>
      <c r="F3246" s="52" t="s">
        <v>26</v>
      </c>
      <c r="G3246" s="53"/>
    </row>
    <row r="3247">
      <c r="A3247" s="49">
        <v>45054.88925194445</v>
      </c>
      <c r="B3247" s="50">
        <v>45055.0142322569</v>
      </c>
      <c r="C3247" s="51">
        <v>1.02</v>
      </c>
      <c r="D3247" s="51">
        <v>64.0</v>
      </c>
      <c r="E3247" s="52" t="s">
        <v>25</v>
      </c>
      <c r="F3247" s="52" t="s">
        <v>26</v>
      </c>
      <c r="G3247" s="53"/>
    </row>
    <row r="3248">
      <c r="A3248" s="49">
        <v>45054.89969232639</v>
      </c>
      <c r="B3248" s="50">
        <v>45055.0246661805</v>
      </c>
      <c r="C3248" s="51">
        <v>1.02</v>
      </c>
      <c r="D3248" s="51">
        <v>64.0</v>
      </c>
      <c r="E3248" s="52" t="s">
        <v>25</v>
      </c>
      <c r="F3248" s="52" t="s">
        <v>26</v>
      </c>
      <c r="G3248" s="53"/>
    </row>
    <row r="3249">
      <c r="A3249" s="49">
        <v>45054.91014290509</v>
      </c>
      <c r="B3249" s="50">
        <v>45055.0351216551</v>
      </c>
      <c r="C3249" s="51">
        <v>1.02</v>
      </c>
      <c r="D3249" s="51">
        <v>64.0</v>
      </c>
      <c r="E3249" s="52" t="s">
        <v>25</v>
      </c>
      <c r="F3249" s="52" t="s">
        <v>26</v>
      </c>
      <c r="G3249" s="53"/>
    </row>
    <row r="3250">
      <c r="A3250" s="49">
        <v>45054.92056578703</v>
      </c>
      <c r="B3250" s="50">
        <v>45055.0455416435</v>
      </c>
      <c r="C3250" s="51">
        <v>1.02</v>
      </c>
      <c r="D3250" s="51">
        <v>64.0</v>
      </c>
      <c r="E3250" s="52" t="s">
        <v>25</v>
      </c>
      <c r="F3250" s="52" t="s">
        <v>26</v>
      </c>
      <c r="G3250" s="53"/>
    </row>
    <row r="3251">
      <c r="A3251" s="49">
        <v>45054.930993587965</v>
      </c>
      <c r="B3251" s="50">
        <v>45055.0559645833</v>
      </c>
      <c r="C3251" s="51">
        <v>1.02</v>
      </c>
      <c r="D3251" s="51">
        <v>64.0</v>
      </c>
      <c r="E3251" s="52" t="s">
        <v>25</v>
      </c>
      <c r="F3251" s="52" t="s">
        <v>26</v>
      </c>
      <c r="G3251" s="53"/>
    </row>
    <row r="3252">
      <c r="A3252" s="49">
        <v>45054.94140644676</v>
      </c>
      <c r="B3252" s="50">
        <v>45055.0663860763</v>
      </c>
      <c r="C3252" s="51">
        <v>1.02</v>
      </c>
      <c r="D3252" s="51">
        <v>64.0</v>
      </c>
      <c r="E3252" s="52" t="s">
        <v>25</v>
      </c>
      <c r="F3252" s="52" t="s">
        <v>26</v>
      </c>
      <c r="G3252" s="53"/>
    </row>
    <row r="3253">
      <c r="A3253" s="49">
        <v>45054.95187710648</v>
      </c>
      <c r="B3253" s="50">
        <v>45055.0768062962</v>
      </c>
      <c r="C3253" s="51">
        <v>1.02</v>
      </c>
      <c r="D3253" s="51">
        <v>64.0</v>
      </c>
      <c r="E3253" s="52" t="s">
        <v>25</v>
      </c>
      <c r="F3253" s="52" t="s">
        <v>26</v>
      </c>
      <c r="G3253" s="53"/>
    </row>
    <row r="3254">
      <c r="A3254" s="49">
        <v>45054.962277638886</v>
      </c>
      <c r="B3254" s="50">
        <v>45055.0872508101</v>
      </c>
      <c r="C3254" s="51">
        <v>1.019</v>
      </c>
      <c r="D3254" s="51">
        <v>64.0</v>
      </c>
      <c r="E3254" s="52" t="s">
        <v>25</v>
      </c>
      <c r="F3254" s="52" t="s">
        <v>26</v>
      </c>
      <c r="G3254" s="53"/>
    </row>
    <row r="3255">
      <c r="A3255" s="49">
        <v>45054.97269730324</v>
      </c>
      <c r="B3255" s="50">
        <v>45055.0976720949</v>
      </c>
      <c r="C3255" s="51">
        <v>1.02</v>
      </c>
      <c r="D3255" s="51">
        <v>64.0</v>
      </c>
      <c r="E3255" s="52" t="s">
        <v>25</v>
      </c>
      <c r="F3255" s="52" t="s">
        <v>26</v>
      </c>
      <c r="G3255" s="53"/>
    </row>
    <row r="3256">
      <c r="A3256" s="49">
        <v>45054.98313255787</v>
      </c>
      <c r="B3256" s="50">
        <v>45055.108115949</v>
      </c>
      <c r="C3256" s="51">
        <v>1.02</v>
      </c>
      <c r="D3256" s="51">
        <v>64.0</v>
      </c>
      <c r="E3256" s="52" t="s">
        <v>25</v>
      </c>
      <c r="F3256" s="52" t="s">
        <v>26</v>
      </c>
      <c r="G3256" s="53"/>
    </row>
    <row r="3257">
      <c r="A3257" s="49">
        <v>45054.993576249995</v>
      </c>
      <c r="B3257" s="50">
        <v>45055.1185483449</v>
      </c>
      <c r="C3257" s="51">
        <v>1.02</v>
      </c>
      <c r="D3257" s="51">
        <v>64.0</v>
      </c>
      <c r="E3257" s="52" t="s">
        <v>25</v>
      </c>
      <c r="F3257" s="52" t="s">
        <v>26</v>
      </c>
      <c r="G3257" s="53"/>
    </row>
    <row r="3258">
      <c r="A3258" s="49">
        <v>45055.00399116898</v>
      </c>
      <c r="B3258" s="50">
        <v>45055.1289693981</v>
      </c>
      <c r="C3258" s="51">
        <v>1.02</v>
      </c>
      <c r="D3258" s="51">
        <v>64.0</v>
      </c>
      <c r="E3258" s="52" t="s">
        <v>25</v>
      </c>
      <c r="F3258" s="52" t="s">
        <v>26</v>
      </c>
      <c r="G3258" s="53"/>
    </row>
    <row r="3259">
      <c r="A3259" s="49">
        <v>45055.01448</v>
      </c>
      <c r="B3259" s="50">
        <v>45055.1394607523</v>
      </c>
      <c r="C3259" s="51">
        <v>1.02</v>
      </c>
      <c r="D3259" s="51">
        <v>64.0</v>
      </c>
      <c r="E3259" s="52" t="s">
        <v>25</v>
      </c>
      <c r="F3259" s="52" t="s">
        <v>26</v>
      </c>
      <c r="G3259" s="53"/>
    </row>
    <row r="3260">
      <c r="A3260" s="49">
        <v>45055.02491758102</v>
      </c>
      <c r="B3260" s="50">
        <v>45055.149893449</v>
      </c>
      <c r="C3260" s="51">
        <v>1.019</v>
      </c>
      <c r="D3260" s="51">
        <v>64.0</v>
      </c>
      <c r="E3260" s="52" t="s">
        <v>25</v>
      </c>
      <c r="F3260" s="52" t="s">
        <v>26</v>
      </c>
      <c r="G3260" s="53"/>
    </row>
    <row r="3261">
      <c r="A3261" s="49">
        <v>45055.035341111114</v>
      </c>
      <c r="B3261" s="50">
        <v>45055.1603154745</v>
      </c>
      <c r="C3261" s="51">
        <v>1.02</v>
      </c>
      <c r="D3261" s="51">
        <v>64.0</v>
      </c>
      <c r="E3261" s="52" t="s">
        <v>25</v>
      </c>
      <c r="F3261" s="52" t="s">
        <v>26</v>
      </c>
      <c r="G3261" s="53"/>
    </row>
    <row r="3262">
      <c r="A3262" s="49">
        <v>45055.04577489583</v>
      </c>
      <c r="B3262" s="50">
        <v>45055.1707464699</v>
      </c>
      <c r="C3262" s="51">
        <v>1.019</v>
      </c>
      <c r="D3262" s="51">
        <v>64.0</v>
      </c>
      <c r="E3262" s="52" t="s">
        <v>25</v>
      </c>
      <c r="F3262" s="52" t="s">
        <v>26</v>
      </c>
      <c r="G3262" s="53"/>
    </row>
    <row r="3263">
      <c r="A3263" s="49">
        <v>45055.056191111114</v>
      </c>
      <c r="B3263" s="50">
        <v>45055.1811683333</v>
      </c>
      <c r="C3263" s="51">
        <v>1.019</v>
      </c>
      <c r="D3263" s="51">
        <v>64.0</v>
      </c>
      <c r="E3263" s="52" t="s">
        <v>25</v>
      </c>
      <c r="F3263" s="52" t="s">
        <v>26</v>
      </c>
      <c r="G3263" s="53"/>
    </row>
    <row r="3264">
      <c r="A3264" s="49">
        <v>45055.06660864584</v>
      </c>
      <c r="B3264" s="50">
        <v>45055.1915900115</v>
      </c>
      <c r="C3264" s="51">
        <v>1.02</v>
      </c>
      <c r="D3264" s="51">
        <v>64.0</v>
      </c>
      <c r="E3264" s="52" t="s">
        <v>25</v>
      </c>
      <c r="F3264" s="52" t="s">
        <v>26</v>
      </c>
      <c r="G3264" s="53"/>
    </row>
    <row r="3265">
      <c r="A3265" s="49">
        <v>45055.077056712966</v>
      </c>
      <c r="B3265" s="50">
        <v>45055.2020216435</v>
      </c>
      <c r="C3265" s="51">
        <v>1.019</v>
      </c>
      <c r="D3265" s="51">
        <v>64.0</v>
      </c>
      <c r="E3265" s="52" t="s">
        <v>25</v>
      </c>
      <c r="F3265" s="52" t="s">
        <v>26</v>
      </c>
      <c r="G3265" s="53"/>
    </row>
    <row r="3266">
      <c r="A3266" s="49">
        <v>45055.087464421296</v>
      </c>
      <c r="B3266" s="50">
        <v>45055.2124434143</v>
      </c>
      <c r="C3266" s="51">
        <v>1.02</v>
      </c>
      <c r="D3266" s="51">
        <v>64.0</v>
      </c>
      <c r="E3266" s="52" t="s">
        <v>25</v>
      </c>
      <c r="F3266" s="52" t="s">
        <v>26</v>
      </c>
      <c r="G3266" s="53"/>
    </row>
    <row r="3267">
      <c r="A3267" s="49">
        <v>45055.09788847222</v>
      </c>
      <c r="B3267" s="50">
        <v>45055.2228652662</v>
      </c>
      <c r="C3267" s="51">
        <v>1.019</v>
      </c>
      <c r="D3267" s="51">
        <v>64.0</v>
      </c>
      <c r="E3267" s="52" t="s">
        <v>25</v>
      </c>
      <c r="F3267" s="52" t="s">
        <v>26</v>
      </c>
      <c r="G3267" s="53"/>
    </row>
    <row r="3268">
      <c r="A3268" s="49">
        <v>45055.10830921296</v>
      </c>
      <c r="B3268" s="50">
        <v>45055.2332850347</v>
      </c>
      <c r="C3268" s="51">
        <v>1.019</v>
      </c>
      <c r="D3268" s="51">
        <v>64.0</v>
      </c>
      <c r="E3268" s="52" t="s">
        <v>25</v>
      </c>
      <c r="F3268" s="52" t="s">
        <v>26</v>
      </c>
      <c r="G3268" s="53"/>
    </row>
    <row r="3269">
      <c r="A3269" s="49">
        <v>45055.11873758102</v>
      </c>
      <c r="B3269" s="50">
        <v>45055.2437062037</v>
      </c>
      <c r="C3269" s="51">
        <v>1.019</v>
      </c>
      <c r="D3269" s="51">
        <v>64.0</v>
      </c>
      <c r="E3269" s="52" t="s">
        <v>25</v>
      </c>
      <c r="F3269" s="52" t="s">
        <v>26</v>
      </c>
      <c r="G3269" s="53"/>
    </row>
    <row r="3270">
      <c r="A3270" s="49">
        <v>45055.1291552662</v>
      </c>
      <c r="B3270" s="50">
        <v>45055.2541376388</v>
      </c>
      <c r="C3270" s="51">
        <v>1.019</v>
      </c>
      <c r="D3270" s="51">
        <v>64.0</v>
      </c>
      <c r="E3270" s="52" t="s">
        <v>25</v>
      </c>
      <c r="F3270" s="52" t="s">
        <v>26</v>
      </c>
      <c r="G3270" s="53"/>
    </row>
    <row r="3271">
      <c r="A3271" s="49">
        <v>45055.13960667824</v>
      </c>
      <c r="B3271" s="50">
        <v>45055.2645835648</v>
      </c>
      <c r="C3271" s="51">
        <v>1.019</v>
      </c>
      <c r="D3271" s="51">
        <v>64.0</v>
      </c>
      <c r="E3271" s="52" t="s">
        <v>25</v>
      </c>
      <c r="F3271" s="52" t="s">
        <v>26</v>
      </c>
      <c r="G3271" s="53"/>
    </row>
    <row r="3272">
      <c r="A3272" s="49">
        <v>45055.15004162037</v>
      </c>
      <c r="B3272" s="50">
        <v>45055.2750169097</v>
      </c>
      <c r="C3272" s="51">
        <v>1.019</v>
      </c>
      <c r="D3272" s="51">
        <v>64.0</v>
      </c>
      <c r="E3272" s="52" t="s">
        <v>25</v>
      </c>
      <c r="F3272" s="52" t="s">
        <v>26</v>
      </c>
      <c r="G3272" s="53"/>
    </row>
    <row r="3273">
      <c r="A3273" s="49">
        <v>45055.160455590274</v>
      </c>
      <c r="B3273" s="50">
        <v>45055.285437905</v>
      </c>
      <c r="C3273" s="51">
        <v>1.02</v>
      </c>
      <c r="D3273" s="51">
        <v>64.0</v>
      </c>
      <c r="E3273" s="52" t="s">
        <v>25</v>
      </c>
      <c r="F3273" s="52" t="s">
        <v>26</v>
      </c>
      <c r="G3273" s="53"/>
    </row>
    <row r="3274">
      <c r="A3274" s="49">
        <v>45055.17088355324</v>
      </c>
      <c r="B3274" s="50">
        <v>45055.2958582523</v>
      </c>
      <c r="C3274" s="51">
        <v>1.019</v>
      </c>
      <c r="D3274" s="51">
        <v>64.0</v>
      </c>
      <c r="E3274" s="52" t="s">
        <v>25</v>
      </c>
      <c r="F3274" s="52" t="s">
        <v>26</v>
      </c>
      <c r="G3274" s="53"/>
    </row>
    <row r="3275">
      <c r="A3275" s="49">
        <v>45055.18132069445</v>
      </c>
      <c r="B3275" s="50">
        <v>45055.306291875</v>
      </c>
      <c r="C3275" s="51">
        <v>1.019</v>
      </c>
      <c r="D3275" s="51">
        <v>64.0</v>
      </c>
      <c r="E3275" s="52" t="s">
        <v>25</v>
      </c>
      <c r="F3275" s="52" t="s">
        <v>26</v>
      </c>
      <c r="G3275" s="53"/>
    </row>
    <row r="3276">
      <c r="A3276" s="49">
        <v>45055.19173032408</v>
      </c>
      <c r="B3276" s="50">
        <v>45055.3167123495</v>
      </c>
      <c r="C3276" s="51">
        <v>1.02</v>
      </c>
      <c r="D3276" s="51">
        <v>64.0</v>
      </c>
      <c r="E3276" s="52" t="s">
        <v>25</v>
      </c>
      <c r="F3276" s="52" t="s">
        <v>26</v>
      </c>
      <c r="G3276" s="53"/>
    </row>
    <row r="3277">
      <c r="A3277" s="49">
        <v>45055.202180231485</v>
      </c>
      <c r="B3277" s="50">
        <v>45055.3271562615</v>
      </c>
      <c r="C3277" s="51">
        <v>1.019</v>
      </c>
      <c r="D3277" s="51">
        <v>64.0</v>
      </c>
      <c r="E3277" s="52" t="s">
        <v>25</v>
      </c>
      <c r="F3277" s="52" t="s">
        <v>26</v>
      </c>
      <c r="G3277" s="53"/>
    </row>
    <row r="3278">
      <c r="A3278" s="49">
        <v>45055.21269537037</v>
      </c>
      <c r="B3278" s="50">
        <v>45055.3376586226</v>
      </c>
      <c r="C3278" s="51">
        <v>1.019</v>
      </c>
      <c r="D3278" s="51">
        <v>64.0</v>
      </c>
      <c r="E3278" s="52" t="s">
        <v>25</v>
      </c>
      <c r="F3278" s="52" t="s">
        <v>26</v>
      </c>
      <c r="G3278" s="53"/>
    </row>
    <row r="3279">
      <c r="A3279" s="49">
        <v>45055.22310827546</v>
      </c>
      <c r="B3279" s="50">
        <v>45055.3480806018</v>
      </c>
      <c r="C3279" s="51">
        <v>1.019</v>
      </c>
      <c r="D3279" s="51">
        <v>64.0</v>
      </c>
      <c r="E3279" s="52" t="s">
        <v>25</v>
      </c>
      <c r="F3279" s="52" t="s">
        <v>26</v>
      </c>
      <c r="G3279" s="53"/>
    </row>
    <row r="3280">
      <c r="A3280" s="49">
        <v>45055.23354890046</v>
      </c>
      <c r="B3280" s="50">
        <v>45055.358525405</v>
      </c>
      <c r="C3280" s="51">
        <v>1.019</v>
      </c>
      <c r="D3280" s="51">
        <v>64.0</v>
      </c>
      <c r="E3280" s="52" t="s">
        <v>25</v>
      </c>
      <c r="F3280" s="52" t="s">
        <v>26</v>
      </c>
      <c r="G3280" s="53"/>
    </row>
    <row r="3281">
      <c r="A3281" s="49">
        <v>45055.24396903935</v>
      </c>
      <c r="B3281" s="50">
        <v>45055.3689469097</v>
      </c>
      <c r="C3281" s="51">
        <v>1.019</v>
      </c>
      <c r="D3281" s="51">
        <v>64.0</v>
      </c>
      <c r="E3281" s="52" t="s">
        <v>25</v>
      </c>
      <c r="F3281" s="52" t="s">
        <v>26</v>
      </c>
      <c r="G3281" s="53"/>
    </row>
    <row r="3282">
      <c r="A3282" s="49">
        <v>45055.254383287036</v>
      </c>
      <c r="B3282" s="50">
        <v>45055.3793677546</v>
      </c>
      <c r="C3282" s="51">
        <v>1.019</v>
      </c>
      <c r="D3282" s="51">
        <v>64.0</v>
      </c>
      <c r="E3282" s="52" t="s">
        <v>25</v>
      </c>
      <c r="F3282" s="52" t="s">
        <v>26</v>
      </c>
      <c r="G3282" s="53"/>
    </row>
    <row r="3283">
      <c r="A3283" s="49">
        <v>45055.264817222225</v>
      </c>
      <c r="B3283" s="50">
        <v>45055.3897893518</v>
      </c>
      <c r="C3283" s="51">
        <v>1.019</v>
      </c>
      <c r="D3283" s="51">
        <v>64.0</v>
      </c>
      <c r="E3283" s="52" t="s">
        <v>25</v>
      </c>
      <c r="F3283" s="52" t="s">
        <v>26</v>
      </c>
      <c r="G3283" s="53"/>
    </row>
    <row r="3284">
      <c r="A3284" s="49">
        <v>45055.27523787037</v>
      </c>
      <c r="B3284" s="50">
        <v>45055.4002120601</v>
      </c>
      <c r="C3284" s="51">
        <v>1.019</v>
      </c>
      <c r="D3284" s="51">
        <v>64.0</v>
      </c>
      <c r="E3284" s="52" t="s">
        <v>25</v>
      </c>
      <c r="F3284" s="52" t="s">
        <v>26</v>
      </c>
      <c r="G3284" s="53"/>
    </row>
    <row r="3285">
      <c r="A3285" s="49">
        <v>45055.28570337963</v>
      </c>
      <c r="B3285" s="50">
        <v>45055.4106452893</v>
      </c>
      <c r="C3285" s="51">
        <v>1.019</v>
      </c>
      <c r="D3285" s="51">
        <v>64.0</v>
      </c>
      <c r="E3285" s="52" t="s">
        <v>25</v>
      </c>
      <c r="F3285" s="52" t="s">
        <v>26</v>
      </c>
      <c r="G3285" s="53"/>
    </row>
    <row r="3286">
      <c r="A3286" s="49">
        <v>45055.29610122685</v>
      </c>
      <c r="B3286" s="50">
        <v>45055.4210673032</v>
      </c>
      <c r="C3286" s="51">
        <v>1.02</v>
      </c>
      <c r="D3286" s="51">
        <v>64.0</v>
      </c>
      <c r="E3286" s="52" t="s">
        <v>25</v>
      </c>
      <c r="F3286" s="52" t="s">
        <v>26</v>
      </c>
      <c r="G3286" s="53"/>
    </row>
    <row r="3287">
      <c r="A3287" s="49">
        <v>45055.306510787035</v>
      </c>
      <c r="B3287" s="50">
        <v>45055.4314862384</v>
      </c>
      <c r="C3287" s="51">
        <v>1.019</v>
      </c>
      <c r="D3287" s="51">
        <v>64.0</v>
      </c>
      <c r="E3287" s="52" t="s">
        <v>25</v>
      </c>
      <c r="F3287" s="52" t="s">
        <v>26</v>
      </c>
      <c r="G3287" s="53"/>
    </row>
    <row r="3288">
      <c r="A3288" s="49">
        <v>45055.316932291666</v>
      </c>
      <c r="B3288" s="50">
        <v>45055.4419075347</v>
      </c>
      <c r="C3288" s="51">
        <v>1.019</v>
      </c>
      <c r="D3288" s="51">
        <v>64.0</v>
      </c>
      <c r="E3288" s="52" t="s">
        <v>25</v>
      </c>
      <c r="F3288" s="52" t="s">
        <v>26</v>
      </c>
      <c r="G3288" s="53"/>
    </row>
    <row r="3289">
      <c r="A3289" s="49">
        <v>45055.32736829861</v>
      </c>
      <c r="B3289" s="50">
        <v>45055.4523410185</v>
      </c>
      <c r="C3289" s="51">
        <v>1.019</v>
      </c>
      <c r="D3289" s="51">
        <v>64.0</v>
      </c>
      <c r="E3289" s="52" t="s">
        <v>25</v>
      </c>
      <c r="F3289" s="52" t="s">
        <v>26</v>
      </c>
      <c r="G3289" s="53"/>
    </row>
    <row r="3290">
      <c r="A3290" s="49">
        <v>45055.33779658565</v>
      </c>
      <c r="B3290" s="50">
        <v>45055.4627757176</v>
      </c>
      <c r="C3290" s="51">
        <v>1.019</v>
      </c>
      <c r="D3290" s="51">
        <v>64.0</v>
      </c>
      <c r="E3290" s="52" t="s">
        <v>25</v>
      </c>
      <c r="F3290" s="52" t="s">
        <v>26</v>
      </c>
      <c r="G3290" s="53"/>
    </row>
    <row r="3291">
      <c r="A3291" s="49">
        <v>45055.34822050926</v>
      </c>
      <c r="B3291" s="50">
        <v>45055.4731949537</v>
      </c>
      <c r="C3291" s="51">
        <v>1.019</v>
      </c>
      <c r="D3291" s="51">
        <v>64.0</v>
      </c>
      <c r="E3291" s="52" t="s">
        <v>25</v>
      </c>
      <c r="F3291" s="52" t="s">
        <v>26</v>
      </c>
      <c r="G3291" s="53"/>
    </row>
    <row r="3292">
      <c r="A3292" s="49">
        <v>45055.358674641204</v>
      </c>
      <c r="B3292" s="50">
        <v>45055.4836141666</v>
      </c>
      <c r="C3292" s="51">
        <v>1.019</v>
      </c>
      <c r="D3292" s="51">
        <v>64.0</v>
      </c>
      <c r="E3292" s="52" t="s">
        <v>25</v>
      </c>
      <c r="F3292" s="52" t="s">
        <v>26</v>
      </c>
      <c r="G3292" s="53"/>
    </row>
    <row r="3293">
      <c r="A3293" s="49">
        <v>45055.36911804398</v>
      </c>
      <c r="B3293" s="50">
        <v>45055.494048368</v>
      </c>
      <c r="C3293" s="51">
        <v>1.019</v>
      </c>
      <c r="D3293" s="51">
        <v>64.0</v>
      </c>
      <c r="E3293" s="52" t="s">
        <v>25</v>
      </c>
      <c r="F3293" s="52" t="s">
        <v>26</v>
      </c>
      <c r="G3293" s="53"/>
    </row>
    <row r="3294">
      <c r="A3294" s="49">
        <v>45055.37950216435</v>
      </c>
      <c r="B3294" s="50">
        <v>45055.504468993</v>
      </c>
      <c r="C3294" s="51">
        <v>1.019</v>
      </c>
      <c r="D3294" s="51">
        <v>64.0</v>
      </c>
      <c r="E3294" s="52" t="s">
        <v>25</v>
      </c>
      <c r="F3294" s="52" t="s">
        <v>26</v>
      </c>
      <c r="G3294" s="53"/>
    </row>
    <row r="3295">
      <c r="A3295" s="49">
        <v>45055.38991858796</v>
      </c>
      <c r="B3295" s="50">
        <v>45055.5149013773</v>
      </c>
      <c r="C3295" s="51">
        <v>1.019</v>
      </c>
      <c r="D3295" s="51">
        <v>64.0</v>
      </c>
      <c r="E3295" s="52" t="s">
        <v>25</v>
      </c>
      <c r="F3295" s="52" t="s">
        <v>26</v>
      </c>
      <c r="G3295" s="53"/>
    </row>
    <row r="3296">
      <c r="A3296" s="49">
        <v>45055.40033982639</v>
      </c>
      <c r="B3296" s="50">
        <v>45055.5253233449</v>
      </c>
      <c r="C3296" s="51">
        <v>1.019</v>
      </c>
      <c r="D3296" s="51">
        <v>64.0</v>
      </c>
      <c r="E3296" s="52" t="s">
        <v>25</v>
      </c>
      <c r="F3296" s="52" t="s">
        <v>26</v>
      </c>
      <c r="G3296" s="53"/>
    </row>
    <row r="3297">
      <c r="A3297" s="49">
        <v>45055.41078438658</v>
      </c>
      <c r="B3297" s="50">
        <v>45055.5357572106</v>
      </c>
      <c r="C3297" s="51">
        <v>1.019</v>
      </c>
      <c r="D3297" s="51">
        <v>64.0</v>
      </c>
      <c r="E3297" s="52" t="s">
        <v>25</v>
      </c>
      <c r="F3297" s="52" t="s">
        <v>26</v>
      </c>
      <c r="G3297" s="53"/>
    </row>
    <row r="3298">
      <c r="A3298" s="49">
        <v>45055.421199965276</v>
      </c>
      <c r="B3298" s="50">
        <v>45055.5461771643</v>
      </c>
      <c r="C3298" s="51">
        <v>1.019</v>
      </c>
      <c r="D3298" s="51">
        <v>64.0</v>
      </c>
      <c r="E3298" s="52" t="s">
        <v>25</v>
      </c>
      <c r="F3298" s="52" t="s">
        <v>26</v>
      </c>
      <c r="G3298" s="53"/>
    </row>
    <row r="3299">
      <c r="A3299" s="49">
        <v>45055.43162697917</v>
      </c>
      <c r="B3299" s="50">
        <v>45055.5565993865</v>
      </c>
      <c r="C3299" s="51">
        <v>1.019</v>
      </c>
      <c r="D3299" s="51">
        <v>64.0</v>
      </c>
      <c r="E3299" s="52" t="s">
        <v>25</v>
      </c>
      <c r="F3299" s="52" t="s">
        <v>26</v>
      </c>
      <c r="G3299" s="53"/>
    </row>
    <row r="3300">
      <c r="A3300" s="49">
        <v>45055.44204336806</v>
      </c>
      <c r="B3300" s="50">
        <v>45055.5670205555</v>
      </c>
      <c r="C3300" s="51">
        <v>1.019</v>
      </c>
      <c r="D3300" s="51">
        <v>64.0</v>
      </c>
      <c r="E3300" s="52" t="s">
        <v>25</v>
      </c>
      <c r="F3300" s="52" t="s">
        <v>26</v>
      </c>
      <c r="G3300" s="53"/>
    </row>
    <row r="3301">
      <c r="A3301" s="49">
        <v>45055.45249496528</v>
      </c>
      <c r="B3301" s="50">
        <v>45055.5774655092</v>
      </c>
      <c r="C3301" s="51">
        <v>1.019</v>
      </c>
      <c r="D3301" s="51">
        <v>64.0</v>
      </c>
      <c r="E3301" s="52" t="s">
        <v>25</v>
      </c>
      <c r="F3301" s="52" t="s">
        <v>26</v>
      </c>
      <c r="G3301" s="53"/>
    </row>
    <row r="3302">
      <c r="A3302" s="49">
        <v>45055.46293841435</v>
      </c>
      <c r="B3302" s="50">
        <v>45055.5878874652</v>
      </c>
      <c r="C3302" s="51">
        <v>1.019</v>
      </c>
      <c r="D3302" s="51">
        <v>64.0</v>
      </c>
      <c r="E3302" s="52" t="s">
        <v>25</v>
      </c>
      <c r="F3302" s="52" t="s">
        <v>26</v>
      </c>
      <c r="G3302" s="53"/>
    </row>
    <row r="3303">
      <c r="A3303" s="49">
        <v>45055.47333729167</v>
      </c>
      <c r="B3303" s="50">
        <v>45055.5983092476</v>
      </c>
      <c r="C3303" s="51">
        <v>1.019</v>
      </c>
      <c r="D3303" s="51">
        <v>64.0</v>
      </c>
      <c r="E3303" s="52" t="s">
        <v>25</v>
      </c>
      <c r="F3303" s="52" t="s">
        <v>26</v>
      </c>
      <c r="G3303" s="53"/>
    </row>
    <row r="3304">
      <c r="A3304" s="49">
        <v>45055.48375991898</v>
      </c>
      <c r="B3304" s="50">
        <v>45055.6087297222</v>
      </c>
      <c r="C3304" s="51">
        <v>1.019</v>
      </c>
      <c r="D3304" s="51">
        <v>64.0</v>
      </c>
      <c r="E3304" s="52" t="s">
        <v>25</v>
      </c>
      <c r="F3304" s="52" t="s">
        <v>26</v>
      </c>
      <c r="G3304" s="53"/>
    </row>
    <row r="3305">
      <c r="A3305" s="49">
        <v>45055.49417435185</v>
      </c>
      <c r="B3305" s="50">
        <v>45055.6191509259</v>
      </c>
      <c r="C3305" s="51">
        <v>1.019</v>
      </c>
      <c r="D3305" s="51">
        <v>64.0</v>
      </c>
      <c r="E3305" s="52" t="s">
        <v>25</v>
      </c>
      <c r="F3305" s="52" t="s">
        <v>26</v>
      </c>
      <c r="G3305" s="53"/>
    </row>
    <row r="3306">
      <c r="A3306" s="49">
        <v>45055.51503273148</v>
      </c>
      <c r="B3306" s="50">
        <v>45055.6400070486</v>
      </c>
      <c r="C3306" s="51">
        <v>1.019</v>
      </c>
      <c r="D3306" s="51">
        <v>64.0</v>
      </c>
      <c r="E3306" s="52" t="s">
        <v>25</v>
      </c>
      <c r="F3306" s="52" t="s">
        <v>26</v>
      </c>
      <c r="G3306" s="53"/>
    </row>
    <row r="3307">
      <c r="A3307" s="49">
        <v>45055.525457951386</v>
      </c>
      <c r="B3307" s="50">
        <v>45055.6504377662</v>
      </c>
      <c r="C3307" s="51">
        <v>1.019</v>
      </c>
      <c r="D3307" s="51">
        <v>64.0</v>
      </c>
      <c r="E3307" s="52" t="s">
        <v>25</v>
      </c>
      <c r="F3307" s="52" t="s">
        <v>26</v>
      </c>
      <c r="G3307" s="53"/>
    </row>
    <row r="3308">
      <c r="A3308" s="49">
        <v>45055.535887499995</v>
      </c>
      <c r="B3308" s="50">
        <v>45055.6608579629</v>
      </c>
      <c r="C3308" s="51">
        <v>1.019</v>
      </c>
      <c r="D3308" s="51">
        <v>64.0</v>
      </c>
      <c r="E3308" s="52" t="s">
        <v>25</v>
      </c>
      <c r="F3308" s="52" t="s">
        <v>26</v>
      </c>
      <c r="G3308" s="53"/>
    </row>
    <row r="3309">
      <c r="A3309" s="49">
        <v>45055.54631337963</v>
      </c>
      <c r="B3309" s="50">
        <v>45055.6712789699</v>
      </c>
      <c r="C3309" s="51">
        <v>1.019</v>
      </c>
      <c r="D3309" s="51">
        <v>64.0</v>
      </c>
      <c r="E3309" s="52" t="s">
        <v>25</v>
      </c>
      <c r="F3309" s="52" t="s">
        <v>26</v>
      </c>
      <c r="G3309" s="53"/>
    </row>
    <row r="3310">
      <c r="A3310" s="49">
        <v>45055.55673549768</v>
      </c>
      <c r="B3310" s="50">
        <v>45055.6817128009</v>
      </c>
      <c r="C3310" s="51">
        <v>1.019</v>
      </c>
      <c r="D3310" s="51">
        <v>64.0</v>
      </c>
      <c r="E3310" s="52" t="s">
        <v>25</v>
      </c>
      <c r="F3310" s="52" t="s">
        <v>26</v>
      </c>
      <c r="G3310" s="53"/>
    </row>
    <row r="3311">
      <c r="A3311" s="49">
        <v>45055.5671741088</v>
      </c>
      <c r="B3311" s="50">
        <v>45055.6921459375</v>
      </c>
      <c r="C3311" s="51">
        <v>1.019</v>
      </c>
      <c r="D3311" s="51">
        <v>64.0</v>
      </c>
      <c r="E3311" s="52" t="s">
        <v>25</v>
      </c>
      <c r="F3311" s="52" t="s">
        <v>26</v>
      </c>
      <c r="G3311" s="53"/>
    </row>
    <row r="3312">
      <c r="A3312" s="49">
        <v>45055.57760396991</v>
      </c>
      <c r="B3312" s="50">
        <v>45055.7025786574</v>
      </c>
      <c r="C3312" s="51">
        <v>1.019</v>
      </c>
      <c r="D3312" s="51">
        <v>64.0</v>
      </c>
      <c r="E3312" s="52" t="s">
        <v>25</v>
      </c>
      <c r="F3312" s="52" t="s">
        <v>26</v>
      </c>
      <c r="G3312" s="53"/>
    </row>
    <row r="3313">
      <c r="A3313" s="49">
        <v>45055.58807665509</v>
      </c>
      <c r="B3313" s="50">
        <v>45055.7130004861</v>
      </c>
      <c r="C3313" s="51">
        <v>1.019</v>
      </c>
      <c r="D3313" s="51">
        <v>64.0</v>
      </c>
      <c r="E3313" s="52" t="s">
        <v>25</v>
      </c>
      <c r="F3313" s="52" t="s">
        <v>26</v>
      </c>
      <c r="G3313" s="53"/>
    </row>
    <row r="3314">
      <c r="A3314" s="49">
        <v>45055.59845153935</v>
      </c>
      <c r="B3314" s="50">
        <v>45055.7234229166</v>
      </c>
      <c r="C3314" s="51">
        <v>1.019</v>
      </c>
      <c r="D3314" s="51">
        <v>64.0</v>
      </c>
      <c r="E3314" s="52" t="s">
        <v>25</v>
      </c>
      <c r="F3314" s="52" t="s">
        <v>26</v>
      </c>
      <c r="G3314" s="53"/>
    </row>
    <row r="3315">
      <c r="A3315" s="49">
        <v>45055.60887296296</v>
      </c>
      <c r="B3315" s="50">
        <v>45055.7338428009</v>
      </c>
      <c r="C3315" s="51">
        <v>1.019</v>
      </c>
      <c r="D3315" s="51">
        <v>64.0</v>
      </c>
      <c r="E3315" s="52" t="s">
        <v>25</v>
      </c>
      <c r="F3315" s="52" t="s">
        <v>26</v>
      </c>
      <c r="G3315" s="53"/>
    </row>
    <row r="3316">
      <c r="A3316" s="49">
        <v>45055.61930215277</v>
      </c>
      <c r="B3316" s="50">
        <v>45055.7442743287</v>
      </c>
      <c r="C3316" s="51">
        <v>1.019</v>
      </c>
      <c r="D3316" s="51">
        <v>64.0</v>
      </c>
      <c r="E3316" s="52" t="s">
        <v>25</v>
      </c>
      <c r="F3316" s="52" t="s">
        <v>26</v>
      </c>
      <c r="G3316" s="53"/>
    </row>
    <row r="3317">
      <c r="A3317" s="49">
        <v>45055.629742476856</v>
      </c>
      <c r="B3317" s="50">
        <v>45055.7547087268</v>
      </c>
      <c r="C3317" s="51">
        <v>1.019</v>
      </c>
      <c r="D3317" s="51">
        <v>64.0</v>
      </c>
      <c r="E3317" s="52" t="s">
        <v>25</v>
      </c>
      <c r="F3317" s="52" t="s">
        <v>26</v>
      </c>
      <c r="G3317" s="53"/>
    </row>
    <row r="3318">
      <c r="A3318" s="49">
        <v>45055.640203877316</v>
      </c>
      <c r="B3318" s="50">
        <v>45055.7651749189</v>
      </c>
      <c r="C3318" s="51">
        <v>1.019</v>
      </c>
      <c r="D3318" s="51">
        <v>64.0</v>
      </c>
      <c r="E3318" s="52" t="s">
        <v>25</v>
      </c>
      <c r="F3318" s="52" t="s">
        <v>26</v>
      </c>
      <c r="G3318" s="53"/>
    </row>
    <row r="3319">
      <c r="A3319" s="49">
        <v>45055.65063496528</v>
      </c>
      <c r="B3319" s="50">
        <v>45055.7756080787</v>
      </c>
      <c r="C3319" s="51">
        <v>1.019</v>
      </c>
      <c r="D3319" s="51">
        <v>64.0</v>
      </c>
      <c r="E3319" s="52" t="s">
        <v>25</v>
      </c>
      <c r="F3319" s="52" t="s">
        <v>26</v>
      </c>
      <c r="G3319" s="53"/>
    </row>
    <row r="3320">
      <c r="A3320" s="49">
        <v>45055.661049490736</v>
      </c>
      <c r="B3320" s="50">
        <v>45055.7860285648</v>
      </c>
      <c r="C3320" s="51">
        <v>1.019</v>
      </c>
      <c r="D3320" s="51">
        <v>64.0</v>
      </c>
      <c r="E3320" s="52" t="s">
        <v>25</v>
      </c>
      <c r="F3320" s="52" t="s">
        <v>26</v>
      </c>
      <c r="G3320" s="53"/>
    </row>
    <row r="3321">
      <c r="A3321" s="49">
        <v>45055.67153637731</v>
      </c>
      <c r="B3321" s="50">
        <v>45055.7965068287</v>
      </c>
      <c r="C3321" s="51">
        <v>1.019</v>
      </c>
      <c r="D3321" s="51">
        <v>64.0</v>
      </c>
      <c r="E3321" s="52" t="s">
        <v>25</v>
      </c>
      <c r="F3321" s="52" t="s">
        <v>26</v>
      </c>
      <c r="G3321" s="53"/>
    </row>
    <row r="3322">
      <c r="A3322" s="49">
        <v>45055.68195118055</v>
      </c>
      <c r="B3322" s="50">
        <v>45055.8069278588</v>
      </c>
      <c r="C3322" s="51">
        <v>1.019</v>
      </c>
      <c r="D3322" s="51">
        <v>64.0</v>
      </c>
      <c r="E3322" s="52" t="s">
        <v>25</v>
      </c>
      <c r="F3322" s="52" t="s">
        <v>26</v>
      </c>
      <c r="G3322" s="53"/>
    </row>
    <row r="3323">
      <c r="A3323" s="49">
        <v>45055.692375046296</v>
      </c>
      <c r="B3323" s="50">
        <v>45055.8173497453</v>
      </c>
      <c r="C3323" s="51">
        <v>1.019</v>
      </c>
      <c r="D3323" s="51">
        <v>64.0</v>
      </c>
      <c r="E3323" s="52" t="s">
        <v>25</v>
      </c>
      <c r="F3323" s="52" t="s">
        <v>26</v>
      </c>
      <c r="G3323" s="53"/>
    </row>
    <row r="3324">
      <c r="A3324" s="49">
        <v>45055.702791724536</v>
      </c>
      <c r="B3324" s="50">
        <v>45055.8277728125</v>
      </c>
      <c r="C3324" s="51">
        <v>1.019</v>
      </c>
      <c r="D3324" s="51">
        <v>64.0</v>
      </c>
      <c r="E3324" s="52" t="s">
        <v>25</v>
      </c>
      <c r="F3324" s="52" t="s">
        <v>26</v>
      </c>
      <c r="G3324" s="53"/>
    </row>
    <row r="3325">
      <c r="A3325" s="49">
        <v>45055.7132184375</v>
      </c>
      <c r="B3325" s="50">
        <v>45055.8381946759</v>
      </c>
      <c r="C3325" s="51">
        <v>1.019</v>
      </c>
      <c r="D3325" s="51">
        <v>64.0</v>
      </c>
      <c r="E3325" s="52" t="s">
        <v>25</v>
      </c>
      <c r="F3325" s="52" t="s">
        <v>26</v>
      </c>
      <c r="G3325" s="53"/>
    </row>
    <row r="3326">
      <c r="A3326" s="49">
        <v>45055.72363543982</v>
      </c>
      <c r="B3326" s="50">
        <v>45055.848615787</v>
      </c>
      <c r="C3326" s="51">
        <v>1.019</v>
      </c>
      <c r="D3326" s="51">
        <v>64.0</v>
      </c>
      <c r="E3326" s="52" t="s">
        <v>25</v>
      </c>
      <c r="F3326" s="52" t="s">
        <v>26</v>
      </c>
      <c r="G3326" s="53"/>
    </row>
    <row r="3327">
      <c r="A3327" s="49">
        <v>45055.734072141204</v>
      </c>
      <c r="B3327" s="50">
        <v>45055.8590486689</v>
      </c>
      <c r="C3327" s="51">
        <v>1.019</v>
      </c>
      <c r="D3327" s="51">
        <v>64.0</v>
      </c>
      <c r="E3327" s="52" t="s">
        <v>25</v>
      </c>
      <c r="F3327" s="52" t="s">
        <v>26</v>
      </c>
      <c r="G3327" s="53"/>
    </row>
    <row r="3328">
      <c r="A3328" s="49">
        <v>45055.74451049769</v>
      </c>
      <c r="B3328" s="50">
        <v>45055.8694691898</v>
      </c>
      <c r="C3328" s="51">
        <v>1.019</v>
      </c>
      <c r="D3328" s="51">
        <v>64.0</v>
      </c>
      <c r="E3328" s="52" t="s">
        <v>25</v>
      </c>
      <c r="F3328" s="52" t="s">
        <v>26</v>
      </c>
      <c r="G3328" s="53"/>
    </row>
    <row r="3329">
      <c r="A3329" s="49">
        <v>45055.754912812496</v>
      </c>
      <c r="B3329" s="50">
        <v>45055.8798893981</v>
      </c>
      <c r="C3329" s="51">
        <v>1.019</v>
      </c>
      <c r="D3329" s="51">
        <v>64.0</v>
      </c>
      <c r="E3329" s="52" t="s">
        <v>25</v>
      </c>
      <c r="F3329" s="52" t="s">
        <v>26</v>
      </c>
      <c r="G3329" s="53"/>
    </row>
    <row r="3330">
      <c r="A3330" s="49">
        <v>45055.76535768519</v>
      </c>
      <c r="B3330" s="50">
        <v>45055.8903208796</v>
      </c>
      <c r="C3330" s="51">
        <v>1.019</v>
      </c>
      <c r="D3330" s="51">
        <v>64.0</v>
      </c>
      <c r="E3330" s="52" t="s">
        <v>25</v>
      </c>
      <c r="F3330" s="52" t="s">
        <v>26</v>
      </c>
      <c r="G3330" s="53"/>
    </row>
    <row r="3331">
      <c r="A3331" s="49">
        <v>45055.77577237268</v>
      </c>
      <c r="B3331" s="50">
        <v>45055.9007542939</v>
      </c>
      <c r="C3331" s="51">
        <v>1.019</v>
      </c>
      <c r="D3331" s="51">
        <v>64.0</v>
      </c>
      <c r="E3331" s="52" t="s">
        <v>25</v>
      </c>
      <c r="F3331" s="52" t="s">
        <v>26</v>
      </c>
      <c r="G3331" s="53"/>
    </row>
    <row r="3332">
      <c r="A3332" s="49">
        <v>45055.78620771991</v>
      </c>
      <c r="B3332" s="50">
        <v>45055.9111733564</v>
      </c>
      <c r="C3332" s="51">
        <v>1.019</v>
      </c>
      <c r="D3332" s="51">
        <v>64.0</v>
      </c>
      <c r="E3332" s="52" t="s">
        <v>25</v>
      </c>
      <c r="F3332" s="52" t="s">
        <v>26</v>
      </c>
      <c r="G3332" s="53"/>
    </row>
    <row r="3333">
      <c r="A3333" s="49">
        <v>45055.79663523148</v>
      </c>
      <c r="B3333" s="50">
        <v>45055.9216055208</v>
      </c>
      <c r="C3333" s="51">
        <v>1.019</v>
      </c>
      <c r="D3333" s="51">
        <v>64.0</v>
      </c>
      <c r="E3333" s="52" t="s">
        <v>25</v>
      </c>
      <c r="F3333" s="52" t="s">
        <v>26</v>
      </c>
      <c r="G3333" s="53"/>
    </row>
    <row r="3334">
      <c r="A3334" s="49">
        <v>45055.80705123843</v>
      </c>
      <c r="B3334" s="50">
        <v>45055.9320267476</v>
      </c>
      <c r="C3334" s="51">
        <v>1.019</v>
      </c>
      <c r="D3334" s="51">
        <v>64.0</v>
      </c>
      <c r="E3334" s="52" t="s">
        <v>25</v>
      </c>
      <c r="F3334" s="52" t="s">
        <v>26</v>
      </c>
      <c r="G3334" s="53"/>
    </row>
    <row r="3335">
      <c r="A3335" s="49">
        <v>45055.817479143516</v>
      </c>
      <c r="B3335" s="50">
        <v>45055.9424598263</v>
      </c>
      <c r="C3335" s="51">
        <v>1.019</v>
      </c>
      <c r="D3335" s="51">
        <v>64.0</v>
      </c>
      <c r="E3335" s="52" t="s">
        <v>25</v>
      </c>
      <c r="F3335" s="52" t="s">
        <v>26</v>
      </c>
      <c r="G3335" s="53"/>
    </row>
    <row r="3336">
      <c r="A3336" s="49">
        <v>45055.82789908565</v>
      </c>
      <c r="B3336" s="50">
        <v>45055.9528797453</v>
      </c>
      <c r="C3336" s="51">
        <v>1.019</v>
      </c>
      <c r="D3336" s="51">
        <v>64.0</v>
      </c>
      <c r="E3336" s="52" t="s">
        <v>25</v>
      </c>
      <c r="F3336" s="52" t="s">
        <v>26</v>
      </c>
      <c r="G3336" s="53"/>
    </row>
    <row r="3337">
      <c r="A3337" s="49">
        <v>45055.838328784725</v>
      </c>
      <c r="B3337" s="50">
        <v>45055.9632994907</v>
      </c>
      <c r="C3337" s="51">
        <v>1.019</v>
      </c>
      <c r="D3337" s="51">
        <v>64.0</v>
      </c>
      <c r="E3337" s="52" t="s">
        <v>25</v>
      </c>
      <c r="F3337" s="52" t="s">
        <v>26</v>
      </c>
      <c r="G3337" s="53"/>
    </row>
    <row r="3338">
      <c r="A3338" s="49">
        <v>45055.848745752315</v>
      </c>
      <c r="B3338" s="50">
        <v>45055.9737210763</v>
      </c>
      <c r="C3338" s="51">
        <v>1.019</v>
      </c>
      <c r="D3338" s="51">
        <v>64.0</v>
      </c>
      <c r="E3338" s="52" t="s">
        <v>25</v>
      </c>
      <c r="F3338" s="52" t="s">
        <v>26</v>
      </c>
      <c r="G3338" s="53"/>
    </row>
    <row r="3339">
      <c r="A3339" s="49">
        <v>45055.8591825926</v>
      </c>
      <c r="B3339" s="50">
        <v>45055.9841541782</v>
      </c>
      <c r="C3339" s="51">
        <v>1.019</v>
      </c>
      <c r="D3339" s="51">
        <v>64.0</v>
      </c>
      <c r="E3339" s="52" t="s">
        <v>25</v>
      </c>
      <c r="F3339" s="52" t="s">
        <v>26</v>
      </c>
      <c r="G3339" s="53"/>
    </row>
    <row r="3340">
      <c r="A3340" s="49">
        <v>45055.86959403935</v>
      </c>
      <c r="B3340" s="50">
        <v>45055.9945756018</v>
      </c>
      <c r="C3340" s="51">
        <v>1.018</v>
      </c>
      <c r="D3340" s="51">
        <v>64.0</v>
      </c>
      <c r="E3340" s="52" t="s">
        <v>25</v>
      </c>
      <c r="F3340" s="52" t="s">
        <v>26</v>
      </c>
      <c r="G3340" s="53"/>
    </row>
    <row r="3341">
      <c r="A3341" s="49">
        <v>45055.88002884259</v>
      </c>
      <c r="B3341" s="50">
        <v>45056.0049985879</v>
      </c>
      <c r="C3341" s="51">
        <v>1.019</v>
      </c>
      <c r="D3341" s="51">
        <v>64.0</v>
      </c>
      <c r="E3341" s="52" t="s">
        <v>25</v>
      </c>
      <c r="F3341" s="52" t="s">
        <v>26</v>
      </c>
      <c r="G3341" s="53"/>
    </row>
    <row r="3342">
      <c r="A3342" s="49">
        <v>45055.90088261574</v>
      </c>
      <c r="B3342" s="50">
        <v>45056.0258528472</v>
      </c>
      <c r="C3342" s="51">
        <v>1.019</v>
      </c>
      <c r="D3342" s="51">
        <v>64.0</v>
      </c>
      <c r="E3342" s="52" t="s">
        <v>25</v>
      </c>
      <c r="F3342" s="52" t="s">
        <v>26</v>
      </c>
      <c r="G3342" s="53"/>
    </row>
    <row r="3343">
      <c r="A3343" s="49">
        <v>45055.91130315972</v>
      </c>
      <c r="B3343" s="50">
        <v>45056.0362855555</v>
      </c>
      <c r="C3343" s="51">
        <v>1.019</v>
      </c>
      <c r="D3343" s="51">
        <v>64.0</v>
      </c>
      <c r="E3343" s="52" t="s">
        <v>25</v>
      </c>
      <c r="F3343" s="52" t="s">
        <v>26</v>
      </c>
      <c r="G3343" s="53"/>
    </row>
    <row r="3344">
      <c r="A3344" s="49">
        <v>45055.92173634259</v>
      </c>
      <c r="B3344" s="50">
        <v>45056.046707662</v>
      </c>
      <c r="C3344" s="51">
        <v>1.019</v>
      </c>
      <c r="D3344" s="51">
        <v>64.0</v>
      </c>
      <c r="E3344" s="52" t="s">
        <v>25</v>
      </c>
      <c r="F3344" s="52" t="s">
        <v>26</v>
      </c>
      <c r="G3344" s="53"/>
    </row>
    <row r="3345">
      <c r="A3345" s="49">
        <v>45055.93220846065</v>
      </c>
      <c r="B3345" s="50">
        <v>45056.05713978</v>
      </c>
      <c r="C3345" s="51">
        <v>1.019</v>
      </c>
      <c r="D3345" s="51">
        <v>64.0</v>
      </c>
      <c r="E3345" s="52" t="s">
        <v>25</v>
      </c>
      <c r="F3345" s="52" t="s">
        <v>26</v>
      </c>
      <c r="G3345" s="53"/>
    </row>
    <row r="3346">
      <c r="A3346" s="49">
        <v>45055.94259119213</v>
      </c>
      <c r="B3346" s="50">
        <v>45056.0675617824</v>
      </c>
      <c r="C3346" s="51">
        <v>1.019</v>
      </c>
      <c r="D3346" s="51">
        <v>64.0</v>
      </c>
      <c r="E3346" s="52" t="s">
        <v>25</v>
      </c>
      <c r="F3346" s="52" t="s">
        <v>26</v>
      </c>
      <c r="G3346" s="53"/>
    </row>
    <row r="3347">
      <c r="A3347" s="49">
        <v>45055.95299903935</v>
      </c>
      <c r="B3347" s="50">
        <v>45056.0779825463</v>
      </c>
      <c r="C3347" s="51">
        <v>1.018</v>
      </c>
      <c r="D3347" s="51">
        <v>64.0</v>
      </c>
      <c r="E3347" s="52" t="s">
        <v>25</v>
      </c>
      <c r="F3347" s="52" t="s">
        <v>26</v>
      </c>
      <c r="G3347" s="53"/>
    </row>
    <row r="3348">
      <c r="A3348" s="49">
        <v>45055.96342768519</v>
      </c>
      <c r="B3348" s="50">
        <v>45056.0884044444</v>
      </c>
      <c r="C3348" s="51">
        <v>1.019</v>
      </c>
      <c r="D3348" s="51">
        <v>64.0</v>
      </c>
      <c r="E3348" s="52" t="s">
        <v>25</v>
      </c>
      <c r="F3348" s="52" t="s">
        <v>26</v>
      </c>
      <c r="G3348" s="53"/>
    </row>
    <row r="3349">
      <c r="A3349" s="49">
        <v>45055.97384813658</v>
      </c>
      <c r="B3349" s="50">
        <v>45056.0988261458</v>
      </c>
      <c r="C3349" s="51">
        <v>1.019</v>
      </c>
      <c r="D3349" s="51">
        <v>64.0</v>
      </c>
      <c r="E3349" s="52" t="s">
        <v>25</v>
      </c>
      <c r="F3349" s="52" t="s">
        <v>26</v>
      </c>
      <c r="G3349" s="53"/>
    </row>
    <row r="3350">
      <c r="A3350" s="49">
        <v>45055.984267893524</v>
      </c>
      <c r="B3350" s="50">
        <v>45056.1092470717</v>
      </c>
      <c r="C3350" s="51">
        <v>1.019</v>
      </c>
      <c r="D3350" s="51">
        <v>64.0</v>
      </c>
      <c r="E3350" s="52" t="s">
        <v>25</v>
      </c>
      <c r="F3350" s="52" t="s">
        <v>26</v>
      </c>
      <c r="G3350" s="53"/>
    </row>
    <row r="3351">
      <c r="A3351" s="49">
        <v>45055.994696828704</v>
      </c>
      <c r="B3351" s="50">
        <v>45056.119668831</v>
      </c>
      <c r="C3351" s="51">
        <v>1.019</v>
      </c>
      <c r="D3351" s="51">
        <v>64.0</v>
      </c>
      <c r="E3351" s="52" t="s">
        <v>25</v>
      </c>
      <c r="F3351" s="52" t="s">
        <v>26</v>
      </c>
      <c r="G3351" s="53"/>
    </row>
    <row r="3352">
      <c r="A3352" s="49">
        <v>45056.005120173606</v>
      </c>
      <c r="B3352" s="50">
        <v>45056.1300896875</v>
      </c>
      <c r="C3352" s="51">
        <v>1.019</v>
      </c>
      <c r="D3352" s="51">
        <v>64.0</v>
      </c>
      <c r="E3352" s="52" t="s">
        <v>25</v>
      </c>
      <c r="F3352" s="52" t="s">
        <v>26</v>
      </c>
      <c r="G3352" s="53"/>
    </row>
    <row r="3353">
      <c r="A3353" s="49">
        <v>45056.015535983795</v>
      </c>
      <c r="B3353" s="50">
        <v>45056.1405094213</v>
      </c>
      <c r="C3353" s="51">
        <v>1.019</v>
      </c>
      <c r="D3353" s="51">
        <v>64.0</v>
      </c>
      <c r="E3353" s="52" t="s">
        <v>25</v>
      </c>
      <c r="F3353" s="52" t="s">
        <v>26</v>
      </c>
      <c r="G3353" s="53"/>
    </row>
    <row r="3354">
      <c r="A3354" s="49">
        <v>45056.02597486111</v>
      </c>
      <c r="B3354" s="50">
        <v>45056.1509418865</v>
      </c>
      <c r="C3354" s="51">
        <v>1.019</v>
      </c>
      <c r="D3354" s="51">
        <v>64.0</v>
      </c>
      <c r="E3354" s="52" t="s">
        <v>25</v>
      </c>
      <c r="F3354" s="52" t="s">
        <v>26</v>
      </c>
      <c r="G3354" s="53"/>
    </row>
    <row r="3355">
      <c r="A3355" s="49">
        <v>45056.03640296296</v>
      </c>
      <c r="B3355" s="50">
        <v>45056.1613749884</v>
      </c>
      <c r="C3355" s="51">
        <v>1.019</v>
      </c>
      <c r="D3355" s="51">
        <v>64.0</v>
      </c>
      <c r="E3355" s="52" t="s">
        <v>25</v>
      </c>
      <c r="F3355" s="52" t="s">
        <v>26</v>
      </c>
      <c r="G3355" s="53"/>
    </row>
    <row r="3356">
      <c r="A3356" s="49">
        <v>45056.04682614583</v>
      </c>
      <c r="B3356" s="50">
        <v>45056.1717941782</v>
      </c>
      <c r="C3356" s="51">
        <v>1.018</v>
      </c>
      <c r="D3356" s="51">
        <v>64.0</v>
      </c>
      <c r="E3356" s="52" t="s">
        <v>25</v>
      </c>
      <c r="F3356" s="52" t="s">
        <v>26</v>
      </c>
      <c r="G3356" s="53"/>
    </row>
    <row r="3357">
      <c r="A3357" s="49">
        <v>45056.05728927083</v>
      </c>
      <c r="B3357" s="50">
        <v>45056.1822613078</v>
      </c>
      <c r="C3357" s="51">
        <v>1.019</v>
      </c>
      <c r="D3357" s="51">
        <v>64.0</v>
      </c>
      <c r="E3357" s="52" t="s">
        <v>25</v>
      </c>
      <c r="F3357" s="52" t="s">
        <v>26</v>
      </c>
      <c r="G3357" s="53"/>
    </row>
    <row r="3358">
      <c r="A3358" s="49">
        <v>45056.06770460648</v>
      </c>
      <c r="B3358" s="50">
        <v>45056.1926830092</v>
      </c>
      <c r="C3358" s="51">
        <v>1.019</v>
      </c>
      <c r="D3358" s="51">
        <v>64.0</v>
      </c>
      <c r="E3358" s="52" t="s">
        <v>25</v>
      </c>
      <c r="F3358" s="52" t="s">
        <v>26</v>
      </c>
      <c r="G3358" s="53"/>
    </row>
    <row r="3359">
      <c r="A3359" s="49">
        <v>45056.078145300926</v>
      </c>
      <c r="B3359" s="50">
        <v>45056.2031162152</v>
      </c>
      <c r="C3359" s="51">
        <v>1.019</v>
      </c>
      <c r="D3359" s="51">
        <v>64.0</v>
      </c>
      <c r="E3359" s="52" t="s">
        <v>25</v>
      </c>
      <c r="F3359" s="52" t="s">
        <v>26</v>
      </c>
      <c r="G3359" s="53"/>
    </row>
    <row r="3360">
      <c r="A3360" s="49">
        <v>45056.08858325232</v>
      </c>
      <c r="B3360" s="50">
        <v>45056.2135473726</v>
      </c>
      <c r="C3360" s="51">
        <v>1.019</v>
      </c>
      <c r="D3360" s="51">
        <v>64.0</v>
      </c>
      <c r="E3360" s="52" t="s">
        <v>25</v>
      </c>
      <c r="F3360" s="52" t="s">
        <v>26</v>
      </c>
      <c r="G3360" s="53"/>
    </row>
    <row r="3361">
      <c r="A3361" s="49">
        <v>45056.099006516204</v>
      </c>
      <c r="B3361" s="50">
        <v>45056.2239695023</v>
      </c>
      <c r="C3361" s="51">
        <v>1.019</v>
      </c>
      <c r="D3361" s="51">
        <v>64.0</v>
      </c>
      <c r="E3361" s="52" t="s">
        <v>25</v>
      </c>
      <c r="F3361" s="52" t="s">
        <v>26</v>
      </c>
      <c r="G3361" s="53"/>
    </row>
    <row r="3362">
      <c r="A3362" s="49">
        <v>45056.10942758102</v>
      </c>
      <c r="B3362" s="50">
        <v>45056.2343894675</v>
      </c>
      <c r="C3362" s="51">
        <v>1.019</v>
      </c>
      <c r="D3362" s="51">
        <v>64.0</v>
      </c>
      <c r="E3362" s="52" t="s">
        <v>25</v>
      </c>
      <c r="F3362" s="52" t="s">
        <v>26</v>
      </c>
      <c r="G3362" s="53"/>
    </row>
    <row r="3363">
      <c r="A3363" s="49">
        <v>45056.11985200232</v>
      </c>
      <c r="B3363" s="50">
        <v>45056.2448235185</v>
      </c>
      <c r="C3363" s="51">
        <v>1.019</v>
      </c>
      <c r="D3363" s="51">
        <v>64.0</v>
      </c>
      <c r="E3363" s="52" t="s">
        <v>25</v>
      </c>
      <c r="F3363" s="52" t="s">
        <v>26</v>
      </c>
      <c r="G3363" s="53"/>
    </row>
    <row r="3364">
      <c r="A3364" s="49">
        <v>45056.13027046296</v>
      </c>
      <c r="B3364" s="50">
        <v>45056.2552448148</v>
      </c>
      <c r="C3364" s="51">
        <v>1.019</v>
      </c>
      <c r="D3364" s="51">
        <v>64.0</v>
      </c>
      <c r="E3364" s="52" t="s">
        <v>25</v>
      </c>
      <c r="F3364" s="52" t="s">
        <v>26</v>
      </c>
      <c r="G3364" s="53"/>
    </row>
    <row r="3365">
      <c r="A3365" s="49">
        <v>45056.140715</v>
      </c>
      <c r="B3365" s="50">
        <v>45056.2656774189</v>
      </c>
      <c r="C3365" s="51">
        <v>1.019</v>
      </c>
      <c r="D3365" s="51">
        <v>64.0</v>
      </c>
      <c r="E3365" s="52" t="s">
        <v>25</v>
      </c>
      <c r="F3365" s="52" t="s">
        <v>26</v>
      </c>
      <c r="G3365" s="53"/>
    </row>
    <row r="3366">
      <c r="A3366" s="49">
        <v>45056.15113752315</v>
      </c>
      <c r="B3366" s="50">
        <v>45056.2761083912</v>
      </c>
      <c r="C3366" s="51">
        <v>1.019</v>
      </c>
      <c r="D3366" s="51">
        <v>64.0</v>
      </c>
      <c r="E3366" s="52" t="s">
        <v>25</v>
      </c>
      <c r="F3366" s="52" t="s">
        <v>26</v>
      </c>
      <c r="G3366" s="53"/>
    </row>
    <row r="3367">
      <c r="A3367" s="49">
        <v>45056.16155471065</v>
      </c>
      <c r="B3367" s="50">
        <v>45056.286528993</v>
      </c>
      <c r="C3367" s="51">
        <v>1.019</v>
      </c>
      <c r="D3367" s="51">
        <v>64.0</v>
      </c>
      <c r="E3367" s="52" t="s">
        <v>25</v>
      </c>
      <c r="F3367" s="52" t="s">
        <v>26</v>
      </c>
      <c r="G3367" s="53"/>
    </row>
    <row r="3368">
      <c r="A3368" s="49">
        <v>45056.17198993056</v>
      </c>
      <c r="B3368" s="50">
        <v>45056.296960949</v>
      </c>
      <c r="C3368" s="51">
        <v>1.019</v>
      </c>
      <c r="D3368" s="51">
        <v>64.0</v>
      </c>
      <c r="E3368" s="52" t="s">
        <v>25</v>
      </c>
      <c r="F3368" s="52" t="s">
        <v>26</v>
      </c>
      <c r="G3368" s="53"/>
    </row>
    <row r="3369">
      <c r="A3369" s="49">
        <v>45056.18245245371</v>
      </c>
      <c r="B3369" s="50">
        <v>45056.307415949</v>
      </c>
      <c r="C3369" s="51">
        <v>1.019</v>
      </c>
      <c r="D3369" s="51">
        <v>64.0</v>
      </c>
      <c r="E3369" s="52" t="s">
        <v>25</v>
      </c>
      <c r="F3369" s="52" t="s">
        <v>26</v>
      </c>
      <c r="G3369" s="53"/>
    </row>
    <row r="3370">
      <c r="A3370" s="49">
        <v>45056.19286596065</v>
      </c>
      <c r="B3370" s="50">
        <v>45056.3178372685</v>
      </c>
      <c r="C3370" s="51">
        <v>1.018</v>
      </c>
      <c r="D3370" s="51">
        <v>64.0</v>
      </c>
      <c r="E3370" s="52" t="s">
        <v>25</v>
      </c>
      <c r="F3370" s="52" t="s">
        <v>26</v>
      </c>
      <c r="G3370" s="53"/>
    </row>
    <row r="3371">
      <c r="A3371" s="49">
        <v>45056.20330101852</v>
      </c>
      <c r="B3371" s="50">
        <v>45056.3282703819</v>
      </c>
      <c r="C3371" s="51">
        <v>1.019</v>
      </c>
      <c r="D3371" s="51">
        <v>64.0</v>
      </c>
      <c r="E3371" s="52" t="s">
        <v>25</v>
      </c>
      <c r="F3371" s="52" t="s">
        <v>26</v>
      </c>
      <c r="G3371" s="53"/>
    </row>
    <row r="3372">
      <c r="A3372" s="49">
        <v>45056.21371730324</v>
      </c>
      <c r="B3372" s="50">
        <v>45056.3386909259</v>
      </c>
      <c r="C3372" s="51">
        <v>1.019</v>
      </c>
      <c r="D3372" s="51">
        <v>64.0</v>
      </c>
      <c r="E3372" s="52" t="s">
        <v>25</v>
      </c>
      <c r="F3372" s="52" t="s">
        <v>26</v>
      </c>
      <c r="G3372" s="53"/>
    </row>
    <row r="3373">
      <c r="A3373" s="49">
        <v>45056.22416399306</v>
      </c>
      <c r="B3373" s="50">
        <v>45056.3491365277</v>
      </c>
      <c r="C3373" s="51">
        <v>1.018</v>
      </c>
      <c r="D3373" s="51">
        <v>64.0</v>
      </c>
      <c r="E3373" s="52" t="s">
        <v>25</v>
      </c>
      <c r="F3373" s="52" t="s">
        <v>26</v>
      </c>
      <c r="G3373" s="53"/>
    </row>
    <row r="3374">
      <c r="A3374" s="49">
        <v>45056.23457648148</v>
      </c>
      <c r="B3374" s="50">
        <v>45056.3595558796</v>
      </c>
      <c r="C3374" s="51">
        <v>1.018</v>
      </c>
      <c r="D3374" s="51">
        <v>64.0</v>
      </c>
      <c r="E3374" s="52" t="s">
        <v>25</v>
      </c>
      <c r="F3374" s="52" t="s">
        <v>26</v>
      </c>
      <c r="G3374" s="53"/>
    </row>
    <row r="3375">
      <c r="A3375" s="49">
        <v>45056.24504043981</v>
      </c>
      <c r="B3375" s="50">
        <v>45056.3699998611</v>
      </c>
      <c r="C3375" s="51">
        <v>1.019</v>
      </c>
      <c r="D3375" s="51">
        <v>64.0</v>
      </c>
      <c r="E3375" s="52" t="s">
        <v>25</v>
      </c>
      <c r="F3375" s="52" t="s">
        <v>26</v>
      </c>
      <c r="G3375" s="53"/>
    </row>
    <row r="3376">
      <c r="A3376" s="49">
        <v>45056.25546315972</v>
      </c>
      <c r="B3376" s="50">
        <v>45056.3804325347</v>
      </c>
      <c r="C3376" s="51">
        <v>1.019</v>
      </c>
      <c r="D3376" s="51">
        <v>64.0</v>
      </c>
      <c r="E3376" s="52" t="s">
        <v>25</v>
      </c>
      <c r="F3376" s="52" t="s">
        <v>26</v>
      </c>
      <c r="G3376" s="53"/>
    </row>
    <row r="3377">
      <c r="A3377" s="49">
        <v>45056.26589363426</v>
      </c>
      <c r="B3377" s="50">
        <v>45056.3908665277</v>
      </c>
      <c r="C3377" s="51">
        <v>1.018</v>
      </c>
      <c r="D3377" s="51">
        <v>64.0</v>
      </c>
      <c r="E3377" s="52" t="s">
        <v>25</v>
      </c>
      <c r="F3377" s="52" t="s">
        <v>26</v>
      </c>
      <c r="G3377" s="53"/>
    </row>
    <row r="3378">
      <c r="A3378" s="49">
        <v>45056.276321412035</v>
      </c>
      <c r="B3378" s="50">
        <v>45056.4012896759</v>
      </c>
      <c r="C3378" s="51">
        <v>1.019</v>
      </c>
      <c r="D3378" s="51">
        <v>64.0</v>
      </c>
      <c r="E3378" s="52" t="s">
        <v>25</v>
      </c>
      <c r="F3378" s="52" t="s">
        <v>26</v>
      </c>
      <c r="G3378" s="53"/>
    </row>
    <row r="3379">
      <c r="A3379" s="49">
        <v>45056.28672908565</v>
      </c>
      <c r="B3379" s="50">
        <v>45056.411709699</v>
      </c>
      <c r="C3379" s="51">
        <v>1.018</v>
      </c>
      <c r="D3379" s="51">
        <v>64.0</v>
      </c>
      <c r="E3379" s="52" t="s">
        <v>25</v>
      </c>
      <c r="F3379" s="52" t="s">
        <v>26</v>
      </c>
      <c r="G3379" s="53"/>
    </row>
    <row r="3380">
      <c r="A3380" s="49">
        <v>45056.29718275463</v>
      </c>
      <c r="B3380" s="50">
        <v>45056.4221550925</v>
      </c>
      <c r="C3380" s="51">
        <v>1.019</v>
      </c>
      <c r="D3380" s="51">
        <v>64.0</v>
      </c>
      <c r="E3380" s="52" t="s">
        <v>25</v>
      </c>
      <c r="F3380" s="52" t="s">
        <v>26</v>
      </c>
      <c r="G3380" s="53"/>
    </row>
    <row r="3381">
      <c r="A3381" s="49">
        <v>45056.30762037037</v>
      </c>
      <c r="B3381" s="50">
        <v>45056.4325880555</v>
      </c>
      <c r="C3381" s="51">
        <v>1.018</v>
      </c>
      <c r="D3381" s="51">
        <v>64.0</v>
      </c>
      <c r="E3381" s="52" t="s">
        <v>25</v>
      </c>
      <c r="F3381" s="52" t="s">
        <v>26</v>
      </c>
      <c r="G3381" s="53"/>
    </row>
    <row r="3382">
      <c r="A3382" s="49">
        <v>45056.318049884256</v>
      </c>
      <c r="B3382" s="50">
        <v>45056.4430202893</v>
      </c>
      <c r="C3382" s="51">
        <v>1.018</v>
      </c>
      <c r="D3382" s="51">
        <v>64.0</v>
      </c>
      <c r="E3382" s="52" t="s">
        <v>25</v>
      </c>
      <c r="F3382" s="52" t="s">
        <v>26</v>
      </c>
      <c r="G3382" s="53"/>
    </row>
    <row r="3383">
      <c r="A3383" s="49">
        <v>45056.32846831018</v>
      </c>
      <c r="B3383" s="50">
        <v>45056.4534421643</v>
      </c>
      <c r="C3383" s="51">
        <v>1.019</v>
      </c>
      <c r="D3383" s="51">
        <v>64.0</v>
      </c>
      <c r="E3383" s="52" t="s">
        <v>25</v>
      </c>
      <c r="F3383" s="52" t="s">
        <v>26</v>
      </c>
      <c r="G3383" s="53"/>
    </row>
    <row r="3384">
      <c r="A3384" s="49">
        <v>45056.33889701389</v>
      </c>
      <c r="B3384" s="50">
        <v>45056.4638641203</v>
      </c>
      <c r="C3384" s="51">
        <v>1.019</v>
      </c>
      <c r="D3384" s="51">
        <v>64.0</v>
      </c>
      <c r="E3384" s="52" t="s">
        <v>25</v>
      </c>
      <c r="F3384" s="52" t="s">
        <v>26</v>
      </c>
      <c r="G3384" s="53"/>
    </row>
    <row r="3385">
      <c r="A3385" s="49">
        <v>45056.34932079861</v>
      </c>
      <c r="B3385" s="50">
        <v>45056.4742844444</v>
      </c>
      <c r="C3385" s="51">
        <v>1.018</v>
      </c>
      <c r="D3385" s="51">
        <v>64.0</v>
      </c>
      <c r="E3385" s="52" t="s">
        <v>25</v>
      </c>
      <c r="F3385" s="52" t="s">
        <v>26</v>
      </c>
      <c r="G3385" s="53"/>
    </row>
    <row r="3386">
      <c r="A3386" s="49">
        <v>45056.35976178241</v>
      </c>
      <c r="B3386" s="50">
        <v>45056.4847378935</v>
      </c>
      <c r="C3386" s="51">
        <v>1.018</v>
      </c>
      <c r="D3386" s="51">
        <v>64.0</v>
      </c>
      <c r="E3386" s="52" t="s">
        <v>25</v>
      </c>
      <c r="F3386" s="52" t="s">
        <v>26</v>
      </c>
      <c r="G3386" s="53"/>
    </row>
    <row r="3387">
      <c r="A3387" s="49">
        <v>45056.37018722222</v>
      </c>
      <c r="B3387" s="50">
        <v>45056.4951596412</v>
      </c>
      <c r="C3387" s="51">
        <v>1.019</v>
      </c>
      <c r="D3387" s="51">
        <v>64.0</v>
      </c>
      <c r="E3387" s="52" t="s">
        <v>25</v>
      </c>
      <c r="F3387" s="52" t="s">
        <v>26</v>
      </c>
      <c r="G3387" s="53"/>
    </row>
    <row r="3388">
      <c r="A3388" s="49">
        <v>45056.38060704861</v>
      </c>
      <c r="B3388" s="50">
        <v>45056.5055815162</v>
      </c>
      <c r="C3388" s="51">
        <v>1.019</v>
      </c>
      <c r="D3388" s="51">
        <v>64.0</v>
      </c>
      <c r="E3388" s="52" t="s">
        <v>25</v>
      </c>
      <c r="F3388" s="52" t="s">
        <v>26</v>
      </c>
      <c r="G3388" s="53"/>
    </row>
    <row r="3389">
      <c r="A3389" s="49">
        <v>45056.391037650465</v>
      </c>
      <c r="B3389" s="50">
        <v>45056.516014155</v>
      </c>
      <c r="C3389" s="51">
        <v>1.018</v>
      </c>
      <c r="D3389" s="51">
        <v>64.0</v>
      </c>
      <c r="E3389" s="52" t="s">
        <v>25</v>
      </c>
      <c r="F3389" s="52" t="s">
        <v>26</v>
      </c>
      <c r="G3389" s="53"/>
    </row>
    <row r="3390">
      <c r="A3390" s="49">
        <v>45056.40149399306</v>
      </c>
      <c r="B3390" s="50">
        <v>45056.5264707986</v>
      </c>
      <c r="C3390" s="51">
        <v>1.019</v>
      </c>
      <c r="D3390" s="51">
        <v>64.0</v>
      </c>
      <c r="E3390" s="52" t="s">
        <v>25</v>
      </c>
      <c r="F3390" s="52" t="s">
        <v>26</v>
      </c>
      <c r="G3390" s="53"/>
    </row>
    <row r="3391">
      <c r="A3391" s="49">
        <v>45056.41191686342</v>
      </c>
      <c r="B3391" s="50">
        <v>45056.536890868</v>
      </c>
      <c r="C3391" s="51">
        <v>1.018</v>
      </c>
      <c r="D3391" s="51">
        <v>64.0</v>
      </c>
      <c r="E3391" s="52" t="s">
        <v>25</v>
      </c>
      <c r="F3391" s="52" t="s">
        <v>26</v>
      </c>
      <c r="G3391" s="53"/>
    </row>
    <row r="3392">
      <c r="A3392" s="49">
        <v>45056.42233800926</v>
      </c>
      <c r="B3392" s="50">
        <v>45056.5473120601</v>
      </c>
      <c r="C3392" s="51">
        <v>1.019</v>
      </c>
      <c r="D3392" s="51">
        <v>64.0</v>
      </c>
      <c r="E3392" s="52" t="s">
        <v>25</v>
      </c>
      <c r="F3392" s="52" t="s">
        <v>26</v>
      </c>
      <c r="G3392" s="53"/>
    </row>
    <row r="3393">
      <c r="A3393" s="49">
        <v>45056.432815127315</v>
      </c>
      <c r="B3393" s="50">
        <v>45056.5577897916</v>
      </c>
      <c r="C3393" s="51">
        <v>1.018</v>
      </c>
      <c r="D3393" s="51">
        <v>64.0</v>
      </c>
      <c r="E3393" s="52" t="s">
        <v>25</v>
      </c>
      <c r="F3393" s="52" t="s">
        <v>26</v>
      </c>
      <c r="G3393" s="53"/>
    </row>
    <row r="3394">
      <c r="A3394" s="49">
        <v>45056.443235983796</v>
      </c>
      <c r="B3394" s="50">
        <v>45056.568209456</v>
      </c>
      <c r="C3394" s="51">
        <v>1.019</v>
      </c>
      <c r="D3394" s="51">
        <v>64.0</v>
      </c>
      <c r="E3394" s="52" t="s">
        <v>25</v>
      </c>
      <c r="F3394" s="52" t="s">
        <v>26</v>
      </c>
      <c r="G3394" s="53"/>
    </row>
    <row r="3395">
      <c r="A3395" s="49">
        <v>45056.45366510417</v>
      </c>
      <c r="B3395" s="50">
        <v>45056.57863125</v>
      </c>
      <c r="C3395" s="51">
        <v>1.019</v>
      </c>
      <c r="D3395" s="51">
        <v>64.0</v>
      </c>
      <c r="E3395" s="52" t="s">
        <v>25</v>
      </c>
      <c r="F3395" s="52" t="s">
        <v>26</v>
      </c>
      <c r="G3395" s="53"/>
    </row>
    <row r="3396">
      <c r="A3396" s="49">
        <v>45056.464081990736</v>
      </c>
      <c r="B3396" s="50">
        <v>45056.5890521759</v>
      </c>
      <c r="C3396" s="51">
        <v>1.018</v>
      </c>
      <c r="D3396" s="51">
        <v>64.0</v>
      </c>
      <c r="E3396" s="52" t="s">
        <v>25</v>
      </c>
      <c r="F3396" s="52" t="s">
        <v>26</v>
      </c>
      <c r="G3396" s="53"/>
    </row>
    <row r="3397">
      <c r="A3397" s="49">
        <v>45056.47451231482</v>
      </c>
      <c r="B3397" s="50">
        <v>45056.59948375</v>
      </c>
      <c r="C3397" s="51">
        <v>1.018</v>
      </c>
      <c r="D3397" s="51">
        <v>64.0</v>
      </c>
      <c r="E3397" s="52" t="s">
        <v>25</v>
      </c>
      <c r="F3397" s="52" t="s">
        <v>26</v>
      </c>
      <c r="G3397" s="53"/>
    </row>
    <row r="3398">
      <c r="A3398" s="49">
        <v>45056.48492446759</v>
      </c>
      <c r="B3398" s="50">
        <v>45056.609904456</v>
      </c>
      <c r="C3398" s="51">
        <v>1.018</v>
      </c>
      <c r="D3398" s="51">
        <v>64.0</v>
      </c>
      <c r="E3398" s="52" t="s">
        <v>25</v>
      </c>
      <c r="F3398" s="52" t="s">
        <v>26</v>
      </c>
      <c r="G3398" s="53"/>
    </row>
    <row r="3399">
      <c r="A3399" s="49">
        <v>45056.49534976852</v>
      </c>
      <c r="B3399" s="50">
        <v>45056.6203256134</v>
      </c>
      <c r="C3399" s="51">
        <v>1.018</v>
      </c>
      <c r="D3399" s="51">
        <v>64.0</v>
      </c>
      <c r="E3399" s="52" t="s">
        <v>25</v>
      </c>
      <c r="F3399" s="52" t="s">
        <v>26</v>
      </c>
      <c r="G3399" s="53"/>
    </row>
    <row r="3400">
      <c r="A3400" s="49">
        <v>45056.50577199074</v>
      </c>
      <c r="B3400" s="50">
        <v>45056.6307461574</v>
      </c>
      <c r="C3400" s="51">
        <v>1.018</v>
      </c>
      <c r="D3400" s="51">
        <v>64.0</v>
      </c>
      <c r="E3400" s="52" t="s">
        <v>25</v>
      </c>
      <c r="F3400" s="52" t="s">
        <v>26</v>
      </c>
      <c r="G3400" s="53"/>
    </row>
    <row r="3401">
      <c r="A3401" s="49">
        <v>45056.51618831018</v>
      </c>
      <c r="B3401" s="50">
        <v>45056.6411672453</v>
      </c>
      <c r="C3401" s="51">
        <v>1.018</v>
      </c>
      <c r="D3401" s="51">
        <v>64.0</v>
      </c>
      <c r="E3401" s="52" t="s">
        <v>25</v>
      </c>
      <c r="F3401" s="52" t="s">
        <v>26</v>
      </c>
      <c r="G3401" s="53"/>
    </row>
    <row r="3402">
      <c r="A3402" s="49">
        <v>45056.5266137037</v>
      </c>
      <c r="B3402" s="50">
        <v>45056.6515875463</v>
      </c>
      <c r="C3402" s="51">
        <v>1.018</v>
      </c>
      <c r="D3402" s="51">
        <v>64.0</v>
      </c>
      <c r="E3402" s="52" t="s">
        <v>25</v>
      </c>
      <c r="F3402" s="52" t="s">
        <v>26</v>
      </c>
      <c r="G3402" s="53"/>
    </row>
    <row r="3403">
      <c r="A3403" s="49">
        <v>45056.537032673616</v>
      </c>
      <c r="B3403" s="50">
        <v>45056.6620076273</v>
      </c>
      <c r="C3403" s="51">
        <v>1.018</v>
      </c>
      <c r="D3403" s="51">
        <v>64.0</v>
      </c>
      <c r="E3403" s="52" t="s">
        <v>25</v>
      </c>
      <c r="F3403" s="52" t="s">
        <v>26</v>
      </c>
      <c r="G3403" s="53"/>
    </row>
    <row r="3404">
      <c r="A3404" s="49">
        <v>45056.547489942124</v>
      </c>
      <c r="B3404" s="50">
        <v>45056.6724627777</v>
      </c>
      <c r="C3404" s="51">
        <v>1.018</v>
      </c>
      <c r="D3404" s="51">
        <v>64.0</v>
      </c>
      <c r="E3404" s="52" t="s">
        <v>25</v>
      </c>
      <c r="F3404" s="52" t="s">
        <v>26</v>
      </c>
      <c r="G3404" s="53"/>
    </row>
    <row r="3405">
      <c r="A3405" s="49">
        <v>45056.557933715274</v>
      </c>
      <c r="B3405" s="50">
        <v>45056.6829091666</v>
      </c>
      <c r="C3405" s="51">
        <v>1.018</v>
      </c>
      <c r="D3405" s="51">
        <v>64.0</v>
      </c>
      <c r="E3405" s="52" t="s">
        <v>25</v>
      </c>
      <c r="F3405" s="52" t="s">
        <v>26</v>
      </c>
      <c r="G3405" s="53"/>
    </row>
    <row r="3406">
      <c r="A3406" s="49">
        <v>45056.56836366898</v>
      </c>
      <c r="B3406" s="50">
        <v>45056.6933418865</v>
      </c>
      <c r="C3406" s="51">
        <v>1.018</v>
      </c>
      <c r="D3406" s="51">
        <v>64.0</v>
      </c>
      <c r="E3406" s="52" t="s">
        <v>25</v>
      </c>
      <c r="F3406" s="52" t="s">
        <v>26</v>
      </c>
      <c r="G3406" s="53"/>
    </row>
    <row r="3407">
      <c r="A3407" s="49">
        <v>45056.57879342593</v>
      </c>
      <c r="B3407" s="50">
        <v>45056.7037644907</v>
      </c>
      <c r="C3407" s="51">
        <v>1.018</v>
      </c>
      <c r="D3407" s="51">
        <v>64.0</v>
      </c>
      <c r="E3407" s="52" t="s">
        <v>25</v>
      </c>
      <c r="F3407" s="52" t="s">
        <v>26</v>
      </c>
      <c r="G3407" s="53"/>
    </row>
    <row r="3408">
      <c r="A3408" s="49">
        <v>45056.589222546296</v>
      </c>
      <c r="B3408" s="50">
        <v>45056.7141965625</v>
      </c>
      <c r="C3408" s="51">
        <v>1.018</v>
      </c>
      <c r="D3408" s="51">
        <v>64.0</v>
      </c>
      <c r="E3408" s="52" t="s">
        <v>25</v>
      </c>
      <c r="F3408" s="52" t="s">
        <v>26</v>
      </c>
      <c r="G3408" s="53"/>
    </row>
    <row r="3409">
      <c r="A3409" s="49">
        <v>45056.59963787037</v>
      </c>
      <c r="B3409" s="50">
        <v>45056.724619537</v>
      </c>
      <c r="C3409" s="51">
        <v>1.018</v>
      </c>
      <c r="D3409" s="51">
        <v>64.0</v>
      </c>
      <c r="E3409" s="52" t="s">
        <v>25</v>
      </c>
      <c r="F3409" s="52" t="s">
        <v>26</v>
      </c>
      <c r="G3409" s="53"/>
    </row>
    <row r="3410">
      <c r="A3410" s="49">
        <v>45056.610081736115</v>
      </c>
      <c r="B3410" s="50">
        <v>45056.7350536111</v>
      </c>
      <c r="C3410" s="51">
        <v>1.018</v>
      </c>
      <c r="D3410" s="51">
        <v>64.0</v>
      </c>
      <c r="E3410" s="52" t="s">
        <v>25</v>
      </c>
      <c r="F3410" s="52" t="s">
        <v>26</v>
      </c>
      <c r="G3410" s="53"/>
    </row>
    <row r="3411">
      <c r="A3411" s="49">
        <v>45056.62050431713</v>
      </c>
      <c r="B3411" s="50">
        <v>45056.7454734953</v>
      </c>
      <c r="C3411" s="51">
        <v>1.019</v>
      </c>
      <c r="D3411" s="51">
        <v>64.0</v>
      </c>
      <c r="E3411" s="52" t="s">
        <v>25</v>
      </c>
      <c r="F3411" s="52" t="s">
        <v>26</v>
      </c>
      <c r="G3411" s="53"/>
    </row>
    <row r="3412">
      <c r="A3412" s="49">
        <v>45056.63092232639</v>
      </c>
      <c r="B3412" s="50">
        <v>45056.7558956365</v>
      </c>
      <c r="C3412" s="51">
        <v>1.018</v>
      </c>
      <c r="D3412" s="51">
        <v>64.0</v>
      </c>
      <c r="E3412" s="52" t="s">
        <v>25</v>
      </c>
      <c r="F3412" s="52" t="s">
        <v>26</v>
      </c>
      <c r="G3412" s="53"/>
    </row>
    <row r="3413">
      <c r="A3413" s="49">
        <v>45056.641344895834</v>
      </c>
      <c r="B3413" s="50">
        <v>45056.7663175578</v>
      </c>
      <c r="C3413" s="51">
        <v>1.018</v>
      </c>
      <c r="D3413" s="51">
        <v>64.0</v>
      </c>
      <c r="E3413" s="52" t="s">
        <v>25</v>
      </c>
      <c r="F3413" s="52" t="s">
        <v>26</v>
      </c>
      <c r="G3413" s="53"/>
    </row>
    <row r="3414">
      <c r="A3414" s="49">
        <v>45056.6517559375</v>
      </c>
      <c r="B3414" s="50">
        <v>45056.7767374537</v>
      </c>
      <c r="C3414" s="51">
        <v>1.018</v>
      </c>
      <c r="D3414" s="51">
        <v>64.0</v>
      </c>
      <c r="E3414" s="52" t="s">
        <v>25</v>
      </c>
      <c r="F3414" s="52" t="s">
        <v>26</v>
      </c>
      <c r="G3414" s="53"/>
    </row>
    <row r="3415">
      <c r="A3415" s="49">
        <v>45056.66217601852</v>
      </c>
      <c r="B3415" s="50">
        <v>45056.7871594097</v>
      </c>
      <c r="C3415" s="51">
        <v>1.018</v>
      </c>
      <c r="D3415" s="51">
        <v>64.0</v>
      </c>
      <c r="E3415" s="52" t="s">
        <v>25</v>
      </c>
      <c r="F3415" s="52" t="s">
        <v>26</v>
      </c>
      <c r="G3415" s="53"/>
    </row>
    <row r="3416">
      <c r="A3416" s="49">
        <v>45056.67262349537</v>
      </c>
      <c r="B3416" s="50">
        <v>45056.7976037037</v>
      </c>
      <c r="C3416" s="51">
        <v>1.018</v>
      </c>
      <c r="D3416" s="51">
        <v>64.0</v>
      </c>
      <c r="E3416" s="52" t="s">
        <v>25</v>
      </c>
      <c r="F3416" s="52" t="s">
        <v>26</v>
      </c>
      <c r="G3416" s="53"/>
    </row>
    <row r="3417">
      <c r="A3417" s="49">
        <v>45056.683073402775</v>
      </c>
      <c r="B3417" s="50">
        <v>45056.8080248148</v>
      </c>
      <c r="C3417" s="51">
        <v>1.018</v>
      </c>
      <c r="D3417" s="51">
        <v>64.0</v>
      </c>
      <c r="E3417" s="52" t="s">
        <v>25</v>
      </c>
      <c r="F3417" s="52" t="s">
        <v>26</v>
      </c>
      <c r="G3417" s="53"/>
    </row>
    <row r="3418">
      <c r="A3418" s="49">
        <v>45056.693507476855</v>
      </c>
      <c r="B3418" s="50">
        <v>45056.8184681365</v>
      </c>
      <c r="C3418" s="51">
        <v>1.018</v>
      </c>
      <c r="D3418" s="51">
        <v>64.0</v>
      </c>
      <c r="E3418" s="52" t="s">
        <v>25</v>
      </c>
      <c r="F3418" s="52" t="s">
        <v>26</v>
      </c>
      <c r="G3418" s="53"/>
    </row>
    <row r="3419">
      <c r="A3419" s="49">
        <v>45056.70391648148</v>
      </c>
      <c r="B3419" s="50">
        <v>45056.8288887615</v>
      </c>
      <c r="C3419" s="51">
        <v>1.018</v>
      </c>
      <c r="D3419" s="51">
        <v>64.0</v>
      </c>
      <c r="E3419" s="52" t="s">
        <v>25</v>
      </c>
      <c r="F3419" s="52" t="s">
        <v>26</v>
      </c>
      <c r="G3419" s="53"/>
    </row>
    <row r="3420">
      <c r="A3420" s="49">
        <v>45056.7143454051</v>
      </c>
      <c r="B3420" s="50">
        <v>45056.839322199</v>
      </c>
      <c r="C3420" s="51">
        <v>1.018</v>
      </c>
      <c r="D3420" s="51">
        <v>64.0</v>
      </c>
      <c r="E3420" s="52" t="s">
        <v>25</v>
      </c>
      <c r="F3420" s="52" t="s">
        <v>26</v>
      </c>
      <c r="G3420" s="53"/>
    </row>
    <row r="3421">
      <c r="A3421" s="49">
        <v>45056.7248066551</v>
      </c>
      <c r="B3421" s="50">
        <v>45056.8497792708</v>
      </c>
      <c r="C3421" s="51">
        <v>1.018</v>
      </c>
      <c r="D3421" s="51">
        <v>64.0</v>
      </c>
      <c r="E3421" s="52" t="s">
        <v>25</v>
      </c>
      <c r="F3421" s="52" t="s">
        <v>26</v>
      </c>
      <c r="G3421" s="53"/>
    </row>
    <row r="3422">
      <c r="A3422" s="49">
        <v>45056.73523034722</v>
      </c>
      <c r="B3422" s="50">
        <v>45056.8602010532</v>
      </c>
      <c r="C3422" s="51">
        <v>1.018</v>
      </c>
      <c r="D3422" s="51">
        <v>64.0</v>
      </c>
      <c r="E3422" s="52" t="s">
        <v>25</v>
      </c>
      <c r="F3422" s="52" t="s">
        <v>26</v>
      </c>
      <c r="G3422" s="53"/>
    </row>
    <row r="3423">
      <c r="A3423" s="49">
        <v>45056.74567020833</v>
      </c>
      <c r="B3423" s="50">
        <v>45056.870646956</v>
      </c>
      <c r="C3423" s="51">
        <v>1.018</v>
      </c>
      <c r="D3423" s="51">
        <v>64.0</v>
      </c>
      <c r="E3423" s="52" t="s">
        <v>25</v>
      </c>
      <c r="F3423" s="52" t="s">
        <v>26</v>
      </c>
      <c r="G3423" s="53"/>
    </row>
    <row r="3424">
      <c r="A3424" s="49">
        <v>45056.75610636574</v>
      </c>
      <c r="B3424" s="50">
        <v>45056.8810785185</v>
      </c>
      <c r="C3424" s="51">
        <v>1.018</v>
      </c>
      <c r="D3424" s="51">
        <v>64.0</v>
      </c>
      <c r="E3424" s="52" t="s">
        <v>25</v>
      </c>
      <c r="F3424" s="52" t="s">
        <v>26</v>
      </c>
      <c r="G3424" s="53"/>
    </row>
    <row r="3425">
      <c r="A3425" s="49">
        <v>45056.76651944444</v>
      </c>
      <c r="B3425" s="50">
        <v>45056.8914996527</v>
      </c>
      <c r="C3425" s="51">
        <v>1.018</v>
      </c>
      <c r="D3425" s="51">
        <v>64.0</v>
      </c>
      <c r="E3425" s="52" t="s">
        <v>25</v>
      </c>
      <c r="F3425" s="52" t="s">
        <v>26</v>
      </c>
      <c r="G3425" s="53"/>
    </row>
    <row r="3426">
      <c r="A3426" s="49">
        <v>45056.776956064816</v>
      </c>
      <c r="B3426" s="50">
        <v>45056.9019308564</v>
      </c>
      <c r="C3426" s="51">
        <v>1.018</v>
      </c>
      <c r="D3426" s="51">
        <v>64.0</v>
      </c>
      <c r="E3426" s="52" t="s">
        <v>25</v>
      </c>
      <c r="F3426" s="52" t="s">
        <v>26</v>
      </c>
      <c r="G3426" s="53"/>
    </row>
    <row r="3427">
      <c r="A3427" s="49">
        <v>45056.78737547454</v>
      </c>
      <c r="B3427" s="50">
        <v>45056.9123516898</v>
      </c>
      <c r="C3427" s="51">
        <v>1.018</v>
      </c>
      <c r="D3427" s="51">
        <v>64.0</v>
      </c>
      <c r="E3427" s="52" t="s">
        <v>25</v>
      </c>
      <c r="F3427" s="52" t="s">
        <v>26</v>
      </c>
      <c r="G3427" s="53"/>
    </row>
    <row r="3428">
      <c r="A3428" s="49">
        <v>45056.797807106486</v>
      </c>
      <c r="B3428" s="50">
        <v>45056.9227854745</v>
      </c>
      <c r="C3428" s="51">
        <v>1.018</v>
      </c>
      <c r="D3428" s="51">
        <v>64.0</v>
      </c>
      <c r="E3428" s="52" t="s">
        <v>25</v>
      </c>
      <c r="F3428" s="52" t="s">
        <v>26</v>
      </c>
      <c r="G3428" s="53"/>
    </row>
    <row r="3429">
      <c r="A3429" s="49">
        <v>45056.808227800924</v>
      </c>
      <c r="B3429" s="50">
        <v>45056.9332065509</v>
      </c>
      <c r="C3429" s="51">
        <v>1.018</v>
      </c>
      <c r="D3429" s="51">
        <v>64.0</v>
      </c>
      <c r="E3429" s="52" t="s">
        <v>25</v>
      </c>
      <c r="F3429" s="52" t="s">
        <v>26</v>
      </c>
      <c r="G3429" s="53"/>
    </row>
    <row r="3430">
      <c r="A3430" s="49">
        <v>45056.81865277777</v>
      </c>
      <c r="B3430" s="50">
        <v>45056.9436274074</v>
      </c>
      <c r="C3430" s="51">
        <v>1.018</v>
      </c>
      <c r="D3430" s="51">
        <v>64.0</v>
      </c>
      <c r="E3430" s="52" t="s">
        <v>25</v>
      </c>
      <c r="F3430" s="52" t="s">
        <v>26</v>
      </c>
      <c r="G3430" s="53"/>
    </row>
    <row r="3431">
      <c r="A3431" s="49">
        <v>45056.829081655094</v>
      </c>
      <c r="B3431" s="50">
        <v>45056.9540591203</v>
      </c>
      <c r="C3431" s="51">
        <v>1.018</v>
      </c>
      <c r="D3431" s="51">
        <v>64.0</v>
      </c>
      <c r="E3431" s="52" t="s">
        <v>25</v>
      </c>
      <c r="F3431" s="52" t="s">
        <v>26</v>
      </c>
      <c r="G3431" s="53"/>
    </row>
    <row r="3432">
      <c r="A3432" s="49">
        <v>45056.839499444446</v>
      </c>
      <c r="B3432" s="50">
        <v>45056.9644798958</v>
      </c>
      <c r="C3432" s="51">
        <v>1.018</v>
      </c>
      <c r="D3432" s="51">
        <v>64.0</v>
      </c>
      <c r="E3432" s="52" t="s">
        <v>25</v>
      </c>
      <c r="F3432" s="52" t="s">
        <v>26</v>
      </c>
      <c r="G3432" s="53"/>
    </row>
    <row r="3433">
      <c r="A3433" s="49">
        <v>45056.84992304398</v>
      </c>
      <c r="B3433" s="50">
        <v>45056.9749012384</v>
      </c>
      <c r="C3433" s="51">
        <v>1.018</v>
      </c>
      <c r="D3433" s="51">
        <v>64.0</v>
      </c>
      <c r="E3433" s="52" t="s">
        <v>25</v>
      </c>
      <c r="F3433" s="52" t="s">
        <v>26</v>
      </c>
      <c r="G3433" s="53"/>
    </row>
    <row r="3434">
      <c r="A3434" s="49">
        <v>45056.86034791666</v>
      </c>
      <c r="B3434" s="50">
        <v>45056.9853212152</v>
      </c>
      <c r="C3434" s="51">
        <v>1.018</v>
      </c>
      <c r="D3434" s="51">
        <v>64.0</v>
      </c>
      <c r="E3434" s="52" t="s">
        <v>25</v>
      </c>
      <c r="F3434" s="52" t="s">
        <v>26</v>
      </c>
      <c r="G3434" s="53"/>
    </row>
    <row r="3435">
      <c r="A3435" s="49">
        <v>45056.87077731482</v>
      </c>
      <c r="B3435" s="50">
        <v>45056.9957431018</v>
      </c>
      <c r="C3435" s="51">
        <v>1.018</v>
      </c>
      <c r="D3435" s="51">
        <v>64.0</v>
      </c>
      <c r="E3435" s="52" t="s">
        <v>25</v>
      </c>
      <c r="F3435" s="52" t="s">
        <v>26</v>
      </c>
      <c r="G3435" s="53"/>
    </row>
    <row r="3436">
      <c r="A3436" s="49">
        <v>45056.88118675926</v>
      </c>
      <c r="B3436" s="50">
        <v>45057.0061661111</v>
      </c>
      <c r="C3436" s="51">
        <v>1.018</v>
      </c>
      <c r="D3436" s="51">
        <v>64.0</v>
      </c>
      <c r="E3436" s="52" t="s">
        <v>25</v>
      </c>
      <c r="F3436" s="52" t="s">
        <v>26</v>
      </c>
      <c r="G3436" s="53"/>
    </row>
    <row r="3437">
      <c r="A3437" s="49">
        <v>45056.89162412037</v>
      </c>
      <c r="B3437" s="50">
        <v>45057.0165989351</v>
      </c>
      <c r="C3437" s="51">
        <v>1.018</v>
      </c>
      <c r="D3437" s="51">
        <v>64.0</v>
      </c>
      <c r="E3437" s="52" t="s">
        <v>25</v>
      </c>
      <c r="F3437" s="52" t="s">
        <v>26</v>
      </c>
      <c r="G3437" s="53"/>
    </row>
    <row r="3438">
      <c r="A3438" s="49">
        <v>45056.90204688658</v>
      </c>
      <c r="B3438" s="50">
        <v>45057.0270193634</v>
      </c>
      <c r="C3438" s="51">
        <v>1.018</v>
      </c>
      <c r="D3438" s="51">
        <v>64.0</v>
      </c>
      <c r="E3438" s="52" t="s">
        <v>25</v>
      </c>
      <c r="F3438" s="52" t="s">
        <v>26</v>
      </c>
      <c r="G3438" s="53"/>
    </row>
    <row r="3439">
      <c r="A3439" s="49">
        <v>45056.9124727662</v>
      </c>
      <c r="B3439" s="50">
        <v>45057.0374422685</v>
      </c>
      <c r="C3439" s="51">
        <v>1.018</v>
      </c>
      <c r="D3439" s="51">
        <v>64.0</v>
      </c>
      <c r="E3439" s="52" t="s">
        <v>25</v>
      </c>
      <c r="F3439" s="52" t="s">
        <v>26</v>
      </c>
      <c r="G3439" s="53"/>
    </row>
    <row r="3440">
      <c r="A3440" s="49">
        <v>45056.922891608796</v>
      </c>
      <c r="B3440" s="50">
        <v>45057.0478640393</v>
      </c>
      <c r="C3440" s="51">
        <v>1.018</v>
      </c>
      <c r="D3440" s="51">
        <v>64.0</v>
      </c>
      <c r="E3440" s="52" t="s">
        <v>25</v>
      </c>
      <c r="F3440" s="52" t="s">
        <v>26</v>
      </c>
      <c r="G3440" s="53"/>
    </row>
    <row r="3441">
      <c r="A3441" s="49">
        <v>45056.93333462963</v>
      </c>
      <c r="B3441" s="50">
        <v>45057.0582976157</v>
      </c>
      <c r="C3441" s="51">
        <v>1.018</v>
      </c>
      <c r="D3441" s="51">
        <v>64.0</v>
      </c>
      <c r="E3441" s="52" t="s">
        <v>25</v>
      </c>
      <c r="F3441" s="52" t="s">
        <v>26</v>
      </c>
      <c r="G3441" s="53"/>
    </row>
    <row r="3442">
      <c r="A3442" s="49">
        <v>45056.9541740162</v>
      </c>
      <c r="B3442" s="50">
        <v>45057.0791510532</v>
      </c>
      <c r="C3442" s="51">
        <v>1.018</v>
      </c>
      <c r="D3442" s="51">
        <v>64.0</v>
      </c>
      <c r="E3442" s="52" t="s">
        <v>25</v>
      </c>
      <c r="F3442" s="52" t="s">
        <v>26</v>
      </c>
      <c r="G3442" s="53"/>
    </row>
    <row r="3443">
      <c r="A3443" s="49">
        <v>45056.964608483795</v>
      </c>
      <c r="B3443" s="50">
        <v>45057.08958478</v>
      </c>
      <c r="C3443" s="51">
        <v>1.018</v>
      </c>
      <c r="D3443" s="51">
        <v>64.0</v>
      </c>
      <c r="E3443" s="52" t="s">
        <v>25</v>
      </c>
      <c r="F3443" s="52" t="s">
        <v>26</v>
      </c>
      <c r="G3443" s="53"/>
    </row>
    <row r="3444">
      <c r="A3444" s="49">
        <v>45056.97503377315</v>
      </c>
      <c r="B3444" s="50">
        <v>45057.100003287</v>
      </c>
      <c r="C3444" s="51">
        <v>1.018</v>
      </c>
      <c r="D3444" s="51">
        <v>64.0</v>
      </c>
      <c r="E3444" s="52" t="s">
        <v>25</v>
      </c>
      <c r="F3444" s="52" t="s">
        <v>26</v>
      </c>
      <c r="G3444" s="53"/>
    </row>
    <row r="3445">
      <c r="A3445" s="49">
        <v>45056.98548752315</v>
      </c>
      <c r="B3445" s="50">
        <v>45057.1104593171</v>
      </c>
      <c r="C3445" s="51">
        <v>1.018</v>
      </c>
      <c r="D3445" s="51">
        <v>64.0</v>
      </c>
      <c r="E3445" s="52" t="s">
        <v>25</v>
      </c>
      <c r="F3445" s="52" t="s">
        <v>26</v>
      </c>
      <c r="G3445" s="53"/>
    </row>
    <row r="3446">
      <c r="A3446" s="49">
        <v>45056.995926400465</v>
      </c>
      <c r="B3446" s="50">
        <v>45057.1208919675</v>
      </c>
      <c r="C3446" s="51">
        <v>1.017</v>
      </c>
      <c r="D3446" s="51">
        <v>64.0</v>
      </c>
      <c r="E3446" s="52" t="s">
        <v>25</v>
      </c>
      <c r="F3446" s="52" t="s">
        <v>26</v>
      </c>
      <c r="G3446" s="53"/>
    </row>
    <row r="3447">
      <c r="A3447" s="49">
        <v>45057.00633049769</v>
      </c>
      <c r="B3447" s="50">
        <v>45057.131312037</v>
      </c>
      <c r="C3447" s="51">
        <v>1.018</v>
      </c>
      <c r="D3447" s="51">
        <v>64.0</v>
      </c>
      <c r="E3447" s="52" t="s">
        <v>25</v>
      </c>
      <c r="F3447" s="52" t="s">
        <v>26</v>
      </c>
      <c r="G3447" s="53"/>
    </row>
    <row r="3448">
      <c r="A3448" s="49">
        <v>45057.01675589121</v>
      </c>
      <c r="B3448" s="50">
        <v>45057.1417349884</v>
      </c>
      <c r="C3448" s="51">
        <v>1.018</v>
      </c>
      <c r="D3448" s="51">
        <v>64.0</v>
      </c>
      <c r="E3448" s="52" t="s">
        <v>25</v>
      </c>
      <c r="F3448" s="52" t="s">
        <v>26</v>
      </c>
      <c r="G3448" s="53"/>
    </row>
    <row r="3449">
      <c r="A3449" s="49">
        <v>45057.027205439816</v>
      </c>
      <c r="B3449" s="50">
        <v>45057.1521800578</v>
      </c>
      <c r="C3449" s="51">
        <v>1.018</v>
      </c>
      <c r="D3449" s="51">
        <v>64.0</v>
      </c>
      <c r="E3449" s="52" t="s">
        <v>25</v>
      </c>
      <c r="F3449" s="52" t="s">
        <v>26</v>
      </c>
      <c r="G3449" s="53"/>
    </row>
    <row r="3450">
      <c r="A3450" s="49">
        <v>45057.03763988426</v>
      </c>
      <c r="B3450" s="50">
        <v>45057.1626128472</v>
      </c>
      <c r="C3450" s="51">
        <v>1.018</v>
      </c>
      <c r="D3450" s="51">
        <v>64.0</v>
      </c>
      <c r="E3450" s="52" t="s">
        <v>25</v>
      </c>
      <c r="F3450" s="52" t="s">
        <v>26</v>
      </c>
      <c r="G3450" s="53"/>
    </row>
    <row r="3451">
      <c r="A3451" s="49">
        <v>45057.048061608795</v>
      </c>
      <c r="B3451" s="50">
        <v>45057.1730350347</v>
      </c>
      <c r="C3451" s="51">
        <v>1.018</v>
      </c>
      <c r="D3451" s="51">
        <v>64.0</v>
      </c>
      <c r="E3451" s="52" t="s">
        <v>25</v>
      </c>
      <c r="F3451" s="52" t="s">
        <v>26</v>
      </c>
      <c r="G3451" s="53"/>
    </row>
    <row r="3452">
      <c r="A3452" s="49">
        <v>45057.05849456019</v>
      </c>
      <c r="B3452" s="50">
        <v>45057.1834668055</v>
      </c>
      <c r="C3452" s="51">
        <v>1.018</v>
      </c>
      <c r="D3452" s="51">
        <v>64.0</v>
      </c>
      <c r="E3452" s="52" t="s">
        <v>25</v>
      </c>
      <c r="F3452" s="52" t="s">
        <v>26</v>
      </c>
      <c r="G3452" s="53"/>
    </row>
    <row r="3453">
      <c r="A3453" s="49">
        <v>45057.06892167824</v>
      </c>
      <c r="B3453" s="50">
        <v>45057.1938878703</v>
      </c>
      <c r="C3453" s="51">
        <v>1.018</v>
      </c>
      <c r="D3453" s="51">
        <v>64.0</v>
      </c>
      <c r="E3453" s="52" t="s">
        <v>25</v>
      </c>
      <c r="F3453" s="52" t="s">
        <v>26</v>
      </c>
      <c r="G3453" s="53"/>
    </row>
    <row r="3454">
      <c r="A3454" s="49">
        <v>45057.07933226852</v>
      </c>
      <c r="B3454" s="50">
        <v>45057.2043088773</v>
      </c>
      <c r="C3454" s="51">
        <v>1.018</v>
      </c>
      <c r="D3454" s="51">
        <v>64.0</v>
      </c>
      <c r="E3454" s="52" t="s">
        <v>25</v>
      </c>
      <c r="F3454" s="52" t="s">
        <v>26</v>
      </c>
      <c r="G3454" s="53"/>
    </row>
    <row r="3455">
      <c r="A3455" s="49">
        <v>45057.08976513889</v>
      </c>
      <c r="B3455" s="50">
        <v>45057.214742199</v>
      </c>
      <c r="C3455" s="51">
        <v>1.018</v>
      </c>
      <c r="D3455" s="51">
        <v>64.0</v>
      </c>
      <c r="E3455" s="52" t="s">
        <v>25</v>
      </c>
      <c r="F3455" s="52" t="s">
        <v>26</v>
      </c>
      <c r="G3455" s="53"/>
    </row>
    <row r="3456">
      <c r="A3456" s="49">
        <v>45057.100201134264</v>
      </c>
      <c r="B3456" s="50">
        <v>45057.2251762731</v>
      </c>
      <c r="C3456" s="51">
        <v>1.018</v>
      </c>
      <c r="D3456" s="51">
        <v>64.0</v>
      </c>
      <c r="E3456" s="52" t="s">
        <v>25</v>
      </c>
      <c r="F3456" s="52" t="s">
        <v>26</v>
      </c>
      <c r="G3456" s="53"/>
    </row>
    <row r="3457">
      <c r="A3457" s="49">
        <v>45057.11062368056</v>
      </c>
      <c r="B3457" s="50">
        <v>45057.2355976157</v>
      </c>
      <c r="C3457" s="51">
        <v>1.018</v>
      </c>
      <c r="D3457" s="51">
        <v>64.0</v>
      </c>
      <c r="E3457" s="52" t="s">
        <v>25</v>
      </c>
      <c r="F3457" s="52" t="s">
        <v>26</v>
      </c>
      <c r="G3457" s="53"/>
    </row>
    <row r="3458">
      <c r="A3458" s="49">
        <v>45057.12107034722</v>
      </c>
      <c r="B3458" s="50">
        <v>45057.2460315393</v>
      </c>
      <c r="C3458" s="51">
        <v>1.018</v>
      </c>
      <c r="D3458" s="51">
        <v>64.0</v>
      </c>
      <c r="E3458" s="52" t="s">
        <v>25</v>
      </c>
      <c r="F3458" s="52" t="s">
        <v>26</v>
      </c>
      <c r="G3458" s="53"/>
    </row>
    <row r="3459">
      <c r="A3459" s="49">
        <v>45057.131481261575</v>
      </c>
      <c r="B3459" s="50">
        <v>45057.2564521527</v>
      </c>
      <c r="C3459" s="51">
        <v>1.018</v>
      </c>
      <c r="D3459" s="51">
        <v>64.0</v>
      </c>
      <c r="E3459" s="52" t="s">
        <v>25</v>
      </c>
      <c r="F3459" s="52" t="s">
        <v>26</v>
      </c>
      <c r="G3459" s="53"/>
    </row>
    <row r="3460">
      <c r="A3460" s="49">
        <v>45057.14190459491</v>
      </c>
      <c r="B3460" s="50">
        <v>45057.2668842708</v>
      </c>
      <c r="C3460" s="51">
        <v>1.018</v>
      </c>
      <c r="D3460" s="51">
        <v>64.0</v>
      </c>
      <c r="E3460" s="52" t="s">
        <v>25</v>
      </c>
      <c r="F3460" s="52" t="s">
        <v>26</v>
      </c>
      <c r="G3460" s="53"/>
    </row>
    <row r="3461">
      <c r="A3461" s="49">
        <v>45057.1523381713</v>
      </c>
      <c r="B3461" s="50">
        <v>45057.2773177777</v>
      </c>
      <c r="C3461" s="51">
        <v>1.018</v>
      </c>
      <c r="D3461" s="51">
        <v>64.0</v>
      </c>
      <c r="E3461" s="52" t="s">
        <v>25</v>
      </c>
      <c r="F3461" s="52" t="s">
        <v>26</v>
      </c>
      <c r="G3461" s="53"/>
    </row>
    <row r="3462">
      <c r="A3462" s="49">
        <v>45057.162774641205</v>
      </c>
      <c r="B3462" s="50">
        <v>45057.2877512384</v>
      </c>
      <c r="C3462" s="51">
        <v>1.017</v>
      </c>
      <c r="D3462" s="51">
        <v>64.0</v>
      </c>
      <c r="E3462" s="52" t="s">
        <v>25</v>
      </c>
      <c r="F3462" s="52" t="s">
        <v>26</v>
      </c>
      <c r="G3462" s="53"/>
    </row>
    <row r="3463">
      <c r="A3463" s="49">
        <v>45057.1732028125</v>
      </c>
      <c r="B3463" s="50">
        <v>45057.2981702777</v>
      </c>
      <c r="C3463" s="51">
        <v>1.018</v>
      </c>
      <c r="D3463" s="51">
        <v>64.0</v>
      </c>
      <c r="E3463" s="52" t="s">
        <v>25</v>
      </c>
      <c r="F3463" s="52" t="s">
        <v>26</v>
      </c>
      <c r="G3463" s="53"/>
    </row>
    <row r="3464">
      <c r="A3464" s="49">
        <v>45057.18362063657</v>
      </c>
      <c r="B3464" s="50">
        <v>45057.3085911111</v>
      </c>
      <c r="C3464" s="51">
        <v>1.017</v>
      </c>
      <c r="D3464" s="51">
        <v>64.0</v>
      </c>
      <c r="E3464" s="52" t="s">
        <v>25</v>
      </c>
      <c r="F3464" s="52" t="s">
        <v>26</v>
      </c>
      <c r="G3464" s="53"/>
    </row>
    <row r="3465">
      <c r="A3465" s="49">
        <v>45057.1940584838</v>
      </c>
      <c r="B3465" s="50">
        <v>45057.3190226736</v>
      </c>
      <c r="C3465" s="51">
        <v>1.018</v>
      </c>
      <c r="D3465" s="51">
        <v>64.0</v>
      </c>
      <c r="E3465" s="52" t="s">
        <v>25</v>
      </c>
      <c r="F3465" s="52" t="s">
        <v>26</v>
      </c>
      <c r="G3465" s="53"/>
    </row>
    <row r="3466">
      <c r="A3466" s="49">
        <v>45057.20446087963</v>
      </c>
      <c r="B3466" s="50">
        <v>45057.3294435763</v>
      </c>
      <c r="C3466" s="51">
        <v>1.018</v>
      </c>
      <c r="D3466" s="51">
        <v>64.0</v>
      </c>
      <c r="E3466" s="52" t="s">
        <v>25</v>
      </c>
      <c r="F3466" s="52" t="s">
        <v>26</v>
      </c>
      <c r="G3466" s="53"/>
    </row>
    <row r="3467">
      <c r="A3467" s="49">
        <v>45057.214888206014</v>
      </c>
      <c r="B3467" s="50">
        <v>45057.3398632291</v>
      </c>
      <c r="C3467" s="51">
        <v>1.018</v>
      </c>
      <c r="D3467" s="51">
        <v>64.0</v>
      </c>
      <c r="E3467" s="52" t="s">
        <v>25</v>
      </c>
      <c r="F3467" s="52" t="s">
        <v>26</v>
      </c>
      <c r="G3467" s="53"/>
    </row>
    <row r="3468">
      <c r="A3468" s="49">
        <v>45057.2253146875</v>
      </c>
      <c r="B3468" s="50">
        <v>45057.3502851736</v>
      </c>
      <c r="C3468" s="51">
        <v>1.018</v>
      </c>
      <c r="D3468" s="51">
        <v>64.0</v>
      </c>
      <c r="E3468" s="52" t="s">
        <v>25</v>
      </c>
      <c r="F3468" s="52" t="s">
        <v>26</v>
      </c>
      <c r="G3468" s="53"/>
    </row>
    <row r="3469">
      <c r="A3469" s="49">
        <v>45057.235732546294</v>
      </c>
      <c r="B3469" s="50">
        <v>45057.360706331</v>
      </c>
      <c r="C3469" s="51">
        <v>1.017</v>
      </c>
      <c r="D3469" s="51">
        <v>64.0</v>
      </c>
      <c r="E3469" s="52" t="s">
        <v>25</v>
      </c>
      <c r="F3469" s="52" t="s">
        <v>26</v>
      </c>
      <c r="G3469" s="53"/>
    </row>
    <row r="3470">
      <c r="A3470" s="49">
        <v>45057.246168067126</v>
      </c>
      <c r="B3470" s="50">
        <v>45057.37114</v>
      </c>
      <c r="C3470" s="51">
        <v>1.018</v>
      </c>
      <c r="D3470" s="51">
        <v>64.0</v>
      </c>
      <c r="E3470" s="52" t="s">
        <v>25</v>
      </c>
      <c r="F3470" s="52" t="s">
        <v>26</v>
      </c>
      <c r="G3470" s="53"/>
    </row>
    <row r="3471">
      <c r="A3471" s="49">
        <v>45057.256592025464</v>
      </c>
      <c r="B3471" s="50">
        <v>45057.3815607291</v>
      </c>
      <c r="C3471" s="51">
        <v>1.017</v>
      </c>
      <c r="D3471" s="51">
        <v>64.0</v>
      </c>
      <c r="E3471" s="52" t="s">
        <v>25</v>
      </c>
      <c r="F3471" s="52" t="s">
        <v>26</v>
      </c>
      <c r="G3471" s="53"/>
    </row>
    <row r="3472">
      <c r="A3472" s="49">
        <v>45057.267020266205</v>
      </c>
      <c r="B3472" s="50">
        <v>45057.3919933217</v>
      </c>
      <c r="C3472" s="51">
        <v>1.018</v>
      </c>
      <c r="D3472" s="51">
        <v>64.0</v>
      </c>
      <c r="E3472" s="52" t="s">
        <v>25</v>
      </c>
      <c r="F3472" s="52" t="s">
        <v>26</v>
      </c>
      <c r="G3472" s="53"/>
    </row>
    <row r="3473">
      <c r="A3473" s="49">
        <v>45057.277445370375</v>
      </c>
      <c r="B3473" s="50">
        <v>45057.4024157523</v>
      </c>
      <c r="C3473" s="51">
        <v>1.018</v>
      </c>
      <c r="D3473" s="51">
        <v>64.0</v>
      </c>
      <c r="E3473" s="52" t="s">
        <v>25</v>
      </c>
      <c r="F3473" s="52" t="s">
        <v>26</v>
      </c>
      <c r="G3473" s="53"/>
    </row>
    <row r="3474">
      <c r="A3474" s="49">
        <v>45057.2878591551</v>
      </c>
      <c r="B3474" s="50">
        <v>45057.412836875</v>
      </c>
      <c r="C3474" s="51">
        <v>1.017</v>
      </c>
      <c r="D3474" s="51">
        <v>64.0</v>
      </c>
      <c r="E3474" s="52" t="s">
        <v>25</v>
      </c>
      <c r="F3474" s="52" t="s">
        <v>26</v>
      </c>
      <c r="G3474" s="53"/>
    </row>
    <row r="3475">
      <c r="A3475" s="49">
        <v>45057.29828548611</v>
      </c>
      <c r="B3475" s="50">
        <v>45057.4232545486</v>
      </c>
      <c r="C3475" s="51">
        <v>1.017</v>
      </c>
      <c r="D3475" s="51">
        <v>64.0</v>
      </c>
      <c r="E3475" s="52" t="s">
        <v>25</v>
      </c>
      <c r="F3475" s="52" t="s">
        <v>26</v>
      </c>
      <c r="G3475" s="53"/>
    </row>
    <row r="3476">
      <c r="A3476" s="49">
        <v>45057.308723009264</v>
      </c>
      <c r="B3476" s="50">
        <v>45057.4336992245</v>
      </c>
      <c r="C3476" s="51">
        <v>1.017</v>
      </c>
      <c r="D3476" s="51">
        <v>64.0</v>
      </c>
      <c r="E3476" s="52" t="s">
        <v>25</v>
      </c>
      <c r="F3476" s="52" t="s">
        <v>26</v>
      </c>
      <c r="G3476" s="53"/>
    </row>
    <row r="3477">
      <c r="A3477" s="49">
        <v>45057.31914349537</v>
      </c>
      <c r="B3477" s="50">
        <v>45057.4441216087</v>
      </c>
      <c r="C3477" s="51">
        <v>1.018</v>
      </c>
      <c r="D3477" s="51">
        <v>64.0</v>
      </c>
      <c r="E3477" s="52" t="s">
        <v>25</v>
      </c>
      <c r="F3477" s="52" t="s">
        <v>26</v>
      </c>
      <c r="G3477" s="53"/>
    </row>
    <row r="3478">
      <c r="A3478" s="49">
        <v>45057.32956337963</v>
      </c>
      <c r="B3478" s="50">
        <v>45057.4545421875</v>
      </c>
      <c r="C3478" s="51">
        <v>1.017</v>
      </c>
      <c r="D3478" s="51">
        <v>64.0</v>
      </c>
      <c r="E3478" s="52" t="s">
        <v>25</v>
      </c>
      <c r="F3478" s="52" t="s">
        <v>26</v>
      </c>
      <c r="G3478" s="53"/>
    </row>
    <row r="3479">
      <c r="A3479" s="49">
        <v>45057.339986990744</v>
      </c>
      <c r="B3479" s="50">
        <v>45057.4649642939</v>
      </c>
      <c r="C3479" s="51">
        <v>1.018</v>
      </c>
      <c r="D3479" s="51">
        <v>64.0</v>
      </c>
      <c r="E3479" s="52" t="s">
        <v>25</v>
      </c>
      <c r="F3479" s="52" t="s">
        <v>26</v>
      </c>
      <c r="G3479" s="53"/>
    </row>
    <row r="3480">
      <c r="A3480" s="49">
        <v>45057.350414699074</v>
      </c>
      <c r="B3480" s="50">
        <v>45057.4753865856</v>
      </c>
      <c r="C3480" s="51">
        <v>1.017</v>
      </c>
      <c r="D3480" s="51">
        <v>64.0</v>
      </c>
      <c r="E3480" s="52" t="s">
        <v>25</v>
      </c>
      <c r="F3480" s="52" t="s">
        <v>26</v>
      </c>
      <c r="G3480" s="53"/>
    </row>
    <row r="3481">
      <c r="A3481" s="49">
        <v>45057.3608483912</v>
      </c>
      <c r="B3481" s="50">
        <v>45057.4858195601</v>
      </c>
      <c r="C3481" s="51">
        <v>1.018</v>
      </c>
      <c r="D3481" s="51">
        <v>64.0</v>
      </c>
      <c r="E3481" s="52" t="s">
        <v>25</v>
      </c>
      <c r="F3481" s="52" t="s">
        <v>26</v>
      </c>
      <c r="G3481" s="53"/>
    </row>
    <row r="3482">
      <c r="A3482" s="49">
        <v>45057.371272592594</v>
      </c>
      <c r="B3482" s="50">
        <v>45057.4962430092</v>
      </c>
      <c r="C3482" s="51">
        <v>1.018</v>
      </c>
      <c r="D3482" s="51">
        <v>64.0</v>
      </c>
      <c r="E3482" s="52" t="s">
        <v>25</v>
      </c>
      <c r="F3482" s="52" t="s">
        <v>26</v>
      </c>
      <c r="G3482" s="53"/>
    </row>
    <row r="3483">
      <c r="A3483" s="49">
        <v>45057.38168898148</v>
      </c>
      <c r="B3483" s="50">
        <v>45057.506664537</v>
      </c>
      <c r="C3483" s="51">
        <v>1.018</v>
      </c>
      <c r="D3483" s="51">
        <v>64.0</v>
      </c>
      <c r="E3483" s="52" t="s">
        <v>25</v>
      </c>
      <c r="F3483" s="52" t="s">
        <v>26</v>
      </c>
      <c r="G3483" s="53"/>
    </row>
    <row r="3484">
      <c r="A3484" s="49">
        <v>45057.392107974534</v>
      </c>
      <c r="B3484" s="50">
        <v>45057.5170869791</v>
      </c>
      <c r="C3484" s="51">
        <v>1.018</v>
      </c>
      <c r="D3484" s="51">
        <v>64.0</v>
      </c>
      <c r="E3484" s="52" t="s">
        <v>25</v>
      </c>
      <c r="F3484" s="52" t="s">
        <v>26</v>
      </c>
      <c r="G3484" s="53"/>
    </row>
    <row r="3485">
      <c r="A3485" s="49">
        <v>45057.40254688657</v>
      </c>
      <c r="B3485" s="50">
        <v>45057.5275194212</v>
      </c>
      <c r="C3485" s="51">
        <v>1.017</v>
      </c>
      <c r="D3485" s="51">
        <v>64.0</v>
      </c>
      <c r="E3485" s="52" t="s">
        <v>25</v>
      </c>
      <c r="F3485" s="52" t="s">
        <v>26</v>
      </c>
      <c r="G3485" s="53"/>
    </row>
    <row r="3486">
      <c r="A3486" s="49">
        <v>45057.41296693287</v>
      </c>
      <c r="B3486" s="50">
        <v>45057.5379398726</v>
      </c>
      <c r="C3486" s="51">
        <v>1.017</v>
      </c>
      <c r="D3486" s="51">
        <v>64.0</v>
      </c>
      <c r="E3486" s="52" t="s">
        <v>25</v>
      </c>
      <c r="F3486" s="52" t="s">
        <v>26</v>
      </c>
      <c r="G3486" s="53"/>
    </row>
    <row r="3487">
      <c r="A3487" s="49">
        <v>45057.42338255787</v>
      </c>
      <c r="B3487" s="50">
        <v>45057.5483604976</v>
      </c>
      <c r="C3487" s="51">
        <v>1.017</v>
      </c>
      <c r="D3487" s="51">
        <v>64.0</v>
      </c>
      <c r="E3487" s="52" t="s">
        <v>25</v>
      </c>
      <c r="F3487" s="52" t="s">
        <v>26</v>
      </c>
      <c r="G3487" s="53"/>
    </row>
    <row r="3488">
      <c r="A3488" s="49">
        <v>45057.433824293985</v>
      </c>
      <c r="B3488" s="50">
        <v>45057.5587926041</v>
      </c>
      <c r="C3488" s="51">
        <v>1.017</v>
      </c>
      <c r="D3488" s="51">
        <v>64.0</v>
      </c>
      <c r="E3488" s="52" t="s">
        <v>25</v>
      </c>
      <c r="F3488" s="52" t="s">
        <v>26</v>
      </c>
      <c r="G3488" s="53"/>
    </row>
    <row r="3489">
      <c r="A3489" s="49">
        <v>45057.44424813657</v>
      </c>
      <c r="B3489" s="50">
        <v>45057.5692133101</v>
      </c>
      <c r="C3489" s="51">
        <v>1.017</v>
      </c>
      <c r="D3489" s="51">
        <v>64.0</v>
      </c>
      <c r="E3489" s="52" t="s">
        <v>25</v>
      </c>
      <c r="F3489" s="52" t="s">
        <v>26</v>
      </c>
      <c r="G3489" s="53"/>
    </row>
    <row r="3490">
      <c r="A3490" s="49">
        <v>45057.45465800926</v>
      </c>
      <c r="B3490" s="50">
        <v>45057.5796357638</v>
      </c>
      <c r="C3490" s="51">
        <v>1.018</v>
      </c>
      <c r="D3490" s="51">
        <v>64.0</v>
      </c>
      <c r="E3490" s="52" t="s">
        <v>25</v>
      </c>
      <c r="F3490" s="52" t="s">
        <v>26</v>
      </c>
      <c r="G3490" s="53"/>
    </row>
    <row r="3491">
      <c r="A3491" s="49">
        <v>45057.46507472222</v>
      </c>
      <c r="B3491" s="50">
        <v>45057.5900578009</v>
      </c>
      <c r="C3491" s="51">
        <v>1.018</v>
      </c>
      <c r="D3491" s="51">
        <v>64.0</v>
      </c>
      <c r="E3491" s="52" t="s">
        <v>25</v>
      </c>
      <c r="F3491" s="52" t="s">
        <v>26</v>
      </c>
      <c r="G3491" s="53"/>
    </row>
    <row r="3492">
      <c r="A3492" s="49">
        <v>45057.47551434027</v>
      </c>
      <c r="B3492" s="50">
        <v>45057.6004889351</v>
      </c>
      <c r="C3492" s="51">
        <v>1.018</v>
      </c>
      <c r="D3492" s="51">
        <v>64.0</v>
      </c>
      <c r="E3492" s="52" t="s">
        <v>25</v>
      </c>
      <c r="F3492" s="52" t="s">
        <v>26</v>
      </c>
      <c r="G3492" s="53"/>
    </row>
    <row r="3493">
      <c r="A3493" s="49">
        <v>45057.48593333333</v>
      </c>
      <c r="B3493" s="50">
        <v>45057.6109098842</v>
      </c>
      <c r="C3493" s="51">
        <v>1.017</v>
      </c>
      <c r="D3493" s="51">
        <v>64.0</v>
      </c>
      <c r="E3493" s="52" t="s">
        <v>25</v>
      </c>
      <c r="F3493" s="52" t="s">
        <v>26</v>
      </c>
      <c r="G3493" s="53"/>
    </row>
    <row r="3494">
      <c r="A3494" s="49">
        <v>45057.49635771991</v>
      </c>
      <c r="B3494" s="50">
        <v>45057.6213305671</v>
      </c>
      <c r="C3494" s="51">
        <v>1.018</v>
      </c>
      <c r="D3494" s="51">
        <v>64.0</v>
      </c>
      <c r="E3494" s="52" t="s">
        <v>25</v>
      </c>
      <c r="F3494" s="52" t="s">
        <v>26</v>
      </c>
      <c r="G3494" s="53"/>
    </row>
    <row r="3495">
      <c r="A3495" s="49">
        <v>45057.50677591436</v>
      </c>
      <c r="B3495" s="50">
        <v>45057.6317527199</v>
      </c>
      <c r="C3495" s="51">
        <v>1.017</v>
      </c>
      <c r="D3495" s="51">
        <v>64.0</v>
      </c>
      <c r="E3495" s="52" t="s">
        <v>25</v>
      </c>
      <c r="F3495" s="52" t="s">
        <v>26</v>
      </c>
      <c r="G3495" s="53"/>
    </row>
    <row r="3496">
      <c r="A3496" s="49">
        <v>45057.51720178241</v>
      </c>
      <c r="B3496" s="50">
        <v>45057.6421721875</v>
      </c>
      <c r="C3496" s="51">
        <v>1.017</v>
      </c>
      <c r="D3496" s="51">
        <v>64.0</v>
      </c>
      <c r="E3496" s="52" t="s">
        <v>25</v>
      </c>
      <c r="F3496" s="52" t="s">
        <v>26</v>
      </c>
      <c r="G3496" s="53"/>
    </row>
    <row r="3497">
      <c r="A3497" s="49">
        <v>45057.52761532407</v>
      </c>
      <c r="B3497" s="50">
        <v>45057.6525941435</v>
      </c>
      <c r="C3497" s="51">
        <v>1.017</v>
      </c>
      <c r="D3497" s="51">
        <v>64.0</v>
      </c>
      <c r="E3497" s="52" t="s">
        <v>25</v>
      </c>
      <c r="F3497" s="52" t="s">
        <v>26</v>
      </c>
      <c r="G3497" s="53"/>
    </row>
    <row r="3498">
      <c r="A3498" s="49">
        <v>45057.53803730324</v>
      </c>
      <c r="B3498" s="50">
        <v>45057.6630154166</v>
      </c>
      <c r="C3498" s="51">
        <v>1.017</v>
      </c>
      <c r="D3498" s="51">
        <v>64.0</v>
      </c>
      <c r="E3498" s="52" t="s">
        <v>25</v>
      </c>
      <c r="F3498" s="52" t="s">
        <v>26</v>
      </c>
      <c r="G3498" s="53"/>
    </row>
    <row r="3499">
      <c r="A3499" s="49">
        <v>45057.54845806713</v>
      </c>
      <c r="B3499" s="50">
        <v>45057.6734346296</v>
      </c>
      <c r="C3499" s="51">
        <v>1.017</v>
      </c>
      <c r="D3499" s="51">
        <v>64.0</v>
      </c>
      <c r="E3499" s="52" t="s">
        <v>25</v>
      </c>
      <c r="F3499" s="52" t="s">
        <v>26</v>
      </c>
      <c r="G3499" s="53"/>
    </row>
    <row r="3500">
      <c r="A3500" s="49">
        <v>45057.558894166665</v>
      </c>
      <c r="B3500" s="50">
        <v>45057.6838662268</v>
      </c>
      <c r="C3500" s="51">
        <v>1.017</v>
      </c>
      <c r="D3500" s="51">
        <v>64.0</v>
      </c>
      <c r="E3500" s="52" t="s">
        <v>25</v>
      </c>
      <c r="F3500" s="52" t="s">
        <v>26</v>
      </c>
      <c r="G3500" s="53"/>
    </row>
    <row r="3501">
      <c r="A3501" s="49">
        <v>45057.56930875</v>
      </c>
      <c r="B3501" s="50">
        <v>45057.6942875</v>
      </c>
      <c r="C3501" s="51">
        <v>1.017</v>
      </c>
      <c r="D3501" s="51">
        <v>64.0</v>
      </c>
      <c r="E3501" s="52" t="s">
        <v>25</v>
      </c>
      <c r="F3501" s="52" t="s">
        <v>26</v>
      </c>
      <c r="G3501" s="53"/>
    </row>
    <row r="3502">
      <c r="A3502" s="49">
        <v>45057.57972497685</v>
      </c>
      <c r="B3502" s="50">
        <v>45057.7047074074</v>
      </c>
      <c r="C3502" s="51">
        <v>1.017</v>
      </c>
      <c r="D3502" s="51">
        <v>64.0</v>
      </c>
      <c r="E3502" s="52" t="s">
        <v>25</v>
      </c>
      <c r="F3502" s="52" t="s">
        <v>26</v>
      </c>
      <c r="G3502" s="53"/>
    </row>
    <row r="3503">
      <c r="A3503" s="49">
        <v>45057.59015604167</v>
      </c>
      <c r="B3503" s="50">
        <v>45057.715127581</v>
      </c>
      <c r="C3503" s="51">
        <v>1.017</v>
      </c>
      <c r="D3503" s="51">
        <v>64.0</v>
      </c>
      <c r="E3503" s="52" t="s">
        <v>25</v>
      </c>
      <c r="F3503" s="52" t="s">
        <v>26</v>
      </c>
      <c r="G3503" s="53"/>
    </row>
    <row r="3504">
      <c r="A3504" s="49">
        <v>45057.600570995375</v>
      </c>
      <c r="B3504" s="50">
        <v>45057.7255497338</v>
      </c>
      <c r="C3504" s="51">
        <v>1.017</v>
      </c>
      <c r="D3504" s="51">
        <v>64.0</v>
      </c>
      <c r="E3504" s="52" t="s">
        <v>25</v>
      </c>
      <c r="F3504" s="52" t="s">
        <v>26</v>
      </c>
      <c r="G3504" s="53"/>
    </row>
    <row r="3505">
      <c r="A3505" s="49">
        <v>45057.61100046296</v>
      </c>
      <c r="B3505" s="50">
        <v>45057.7359720717</v>
      </c>
      <c r="C3505" s="51">
        <v>1.017</v>
      </c>
      <c r="D3505" s="51">
        <v>64.0</v>
      </c>
      <c r="E3505" s="52" t="s">
        <v>25</v>
      </c>
      <c r="F3505" s="52" t="s">
        <v>26</v>
      </c>
      <c r="G3505" s="53"/>
    </row>
    <row r="3506">
      <c r="A3506" s="49">
        <v>45057.62140981482</v>
      </c>
      <c r="B3506" s="50">
        <v>45057.7463928356</v>
      </c>
      <c r="C3506" s="51">
        <v>1.017</v>
      </c>
      <c r="D3506" s="51">
        <v>64.0</v>
      </c>
      <c r="E3506" s="52" t="s">
        <v>25</v>
      </c>
      <c r="F3506" s="52" t="s">
        <v>26</v>
      </c>
      <c r="G3506" s="53"/>
    </row>
    <row r="3507">
      <c r="A3507" s="49">
        <v>45057.631849745376</v>
      </c>
      <c r="B3507" s="50">
        <v>45057.7568159606</v>
      </c>
      <c r="C3507" s="51">
        <v>1.017</v>
      </c>
      <c r="D3507" s="51">
        <v>64.0</v>
      </c>
      <c r="E3507" s="52" t="s">
        <v>25</v>
      </c>
      <c r="F3507" s="52" t="s">
        <v>26</v>
      </c>
      <c r="G3507" s="53"/>
    </row>
    <row r="3508">
      <c r="A3508" s="49">
        <v>45057.6422599537</v>
      </c>
      <c r="B3508" s="50">
        <v>45057.7672364467</v>
      </c>
      <c r="C3508" s="51">
        <v>1.017</v>
      </c>
      <c r="D3508" s="51">
        <v>64.0</v>
      </c>
      <c r="E3508" s="52" t="s">
        <v>25</v>
      </c>
      <c r="F3508" s="52" t="s">
        <v>26</v>
      </c>
      <c r="G3508" s="53"/>
    </row>
    <row r="3509">
      <c r="A3509" s="49">
        <v>45057.65268542824</v>
      </c>
      <c r="B3509" s="50">
        <v>45057.7776581365</v>
      </c>
      <c r="C3509" s="51">
        <v>1.017</v>
      </c>
      <c r="D3509" s="51">
        <v>64.0</v>
      </c>
      <c r="E3509" s="52" t="s">
        <v>25</v>
      </c>
      <c r="F3509" s="52" t="s">
        <v>26</v>
      </c>
      <c r="G3509" s="53"/>
    </row>
    <row r="3510">
      <c r="A3510" s="49">
        <v>45057.66311462963</v>
      </c>
      <c r="B3510" s="50">
        <v>45057.7880910416</v>
      </c>
      <c r="C3510" s="51">
        <v>1.017</v>
      </c>
      <c r="D3510" s="51">
        <v>64.0</v>
      </c>
      <c r="E3510" s="52" t="s">
        <v>25</v>
      </c>
      <c r="F3510" s="52" t="s">
        <v>26</v>
      </c>
      <c r="G3510" s="53"/>
    </row>
    <row r="3511">
      <c r="A3511" s="49">
        <v>45057.67354365741</v>
      </c>
      <c r="B3511" s="50">
        <v>45057.7985232291</v>
      </c>
      <c r="C3511" s="51">
        <v>1.018</v>
      </c>
      <c r="D3511" s="51">
        <v>64.0</v>
      </c>
      <c r="E3511" s="52" t="s">
        <v>25</v>
      </c>
      <c r="F3511" s="52" t="s">
        <v>26</v>
      </c>
      <c r="G3511" s="53"/>
    </row>
    <row r="3512">
      <c r="A3512" s="49">
        <v>45057.68396829861</v>
      </c>
      <c r="B3512" s="50">
        <v>45057.8089442939</v>
      </c>
      <c r="C3512" s="51">
        <v>1.017</v>
      </c>
      <c r="D3512" s="51">
        <v>64.0</v>
      </c>
      <c r="E3512" s="52" t="s">
        <v>25</v>
      </c>
      <c r="F3512" s="52" t="s">
        <v>26</v>
      </c>
      <c r="G3512" s="53"/>
    </row>
    <row r="3513">
      <c r="A3513" s="49">
        <v>45057.69440479166</v>
      </c>
      <c r="B3513" s="50">
        <v>45057.8193783564</v>
      </c>
      <c r="C3513" s="51">
        <v>1.017</v>
      </c>
      <c r="D3513" s="51">
        <v>64.0</v>
      </c>
      <c r="E3513" s="52" t="s">
        <v>25</v>
      </c>
      <c r="F3513" s="52" t="s">
        <v>26</v>
      </c>
      <c r="G3513" s="53"/>
    </row>
    <row r="3514">
      <c r="A3514" s="49">
        <v>45057.70482625</v>
      </c>
      <c r="B3514" s="50">
        <v>45057.8298003587</v>
      </c>
      <c r="C3514" s="51">
        <v>1.017</v>
      </c>
      <c r="D3514" s="51">
        <v>64.0</v>
      </c>
      <c r="E3514" s="52" t="s">
        <v>25</v>
      </c>
      <c r="F3514" s="52" t="s">
        <v>26</v>
      </c>
      <c r="G3514" s="53"/>
    </row>
    <row r="3515">
      <c r="A3515" s="49">
        <v>45057.71524788195</v>
      </c>
      <c r="B3515" s="50">
        <v>45057.8402231018</v>
      </c>
      <c r="C3515" s="51">
        <v>1.017</v>
      </c>
      <c r="D3515" s="51">
        <v>64.0</v>
      </c>
      <c r="E3515" s="52" t="s">
        <v>25</v>
      </c>
      <c r="F3515" s="52" t="s">
        <v>26</v>
      </c>
      <c r="G3515" s="53"/>
    </row>
    <row r="3516">
      <c r="A3516" s="49">
        <v>45057.72567024306</v>
      </c>
      <c r="B3516" s="50">
        <v>45057.8506442476</v>
      </c>
      <c r="C3516" s="51">
        <v>1.017</v>
      </c>
      <c r="D3516" s="51">
        <v>64.0</v>
      </c>
      <c r="E3516" s="52" t="s">
        <v>25</v>
      </c>
      <c r="F3516" s="52" t="s">
        <v>26</v>
      </c>
      <c r="G3516" s="53"/>
    </row>
    <row r="3517">
      <c r="A3517" s="49">
        <v>45057.73608587963</v>
      </c>
      <c r="B3517" s="50">
        <v>45057.8610660185</v>
      </c>
      <c r="C3517" s="51">
        <v>1.017</v>
      </c>
      <c r="D3517" s="51">
        <v>64.0</v>
      </c>
      <c r="E3517" s="52" t="s">
        <v>25</v>
      </c>
      <c r="F3517" s="52" t="s">
        <v>26</v>
      </c>
      <c r="G3517" s="53"/>
    </row>
    <row r="3518">
      <c r="A3518" s="49">
        <v>45057.7465344213</v>
      </c>
      <c r="B3518" s="50">
        <v>45057.8715103009</v>
      </c>
      <c r="C3518" s="51">
        <v>1.017</v>
      </c>
      <c r="D3518" s="51">
        <v>64.0</v>
      </c>
      <c r="E3518" s="52" t="s">
        <v>25</v>
      </c>
      <c r="F3518" s="52" t="s">
        <v>26</v>
      </c>
      <c r="G3518" s="53"/>
    </row>
    <row r="3519">
      <c r="A3519" s="49">
        <v>45057.756958611106</v>
      </c>
      <c r="B3519" s="50">
        <v>45057.8819309722</v>
      </c>
      <c r="C3519" s="51">
        <v>1.017</v>
      </c>
      <c r="D3519" s="51">
        <v>64.0</v>
      </c>
      <c r="E3519" s="52" t="s">
        <v>25</v>
      </c>
      <c r="F3519" s="52" t="s">
        <v>26</v>
      </c>
      <c r="G3519" s="53"/>
    </row>
    <row r="3520">
      <c r="A3520" s="49">
        <v>45057.76737497685</v>
      </c>
      <c r="B3520" s="50">
        <v>45057.8923526273</v>
      </c>
      <c r="C3520" s="51">
        <v>1.017</v>
      </c>
      <c r="D3520" s="51">
        <v>64.0</v>
      </c>
      <c r="E3520" s="52" t="s">
        <v>25</v>
      </c>
      <c r="F3520" s="52" t="s">
        <v>26</v>
      </c>
      <c r="G3520" s="53"/>
    </row>
    <row r="3521">
      <c r="A3521" s="49">
        <v>45057.77783747685</v>
      </c>
      <c r="B3521" s="50">
        <v>45057.9028096296</v>
      </c>
      <c r="C3521" s="51">
        <v>1.017</v>
      </c>
      <c r="D3521" s="51">
        <v>64.0</v>
      </c>
      <c r="E3521" s="52" t="s">
        <v>25</v>
      </c>
      <c r="F3521" s="52" t="s">
        <v>26</v>
      </c>
      <c r="G3521" s="53"/>
    </row>
    <row r="3522">
      <c r="A3522" s="49">
        <v>45057.78830017361</v>
      </c>
      <c r="B3522" s="50">
        <v>45057.9132775347</v>
      </c>
      <c r="C3522" s="51">
        <v>1.017</v>
      </c>
      <c r="D3522" s="51">
        <v>64.0</v>
      </c>
      <c r="E3522" s="52" t="s">
        <v>25</v>
      </c>
      <c r="F3522" s="52" t="s">
        <v>26</v>
      </c>
      <c r="G3522" s="53"/>
    </row>
    <row r="3523">
      <c r="A3523" s="49">
        <v>45057.798719189814</v>
      </c>
      <c r="B3523" s="50">
        <v>45057.9236973379</v>
      </c>
      <c r="C3523" s="51">
        <v>1.017</v>
      </c>
      <c r="D3523" s="51">
        <v>64.0</v>
      </c>
      <c r="E3523" s="52" t="s">
        <v>25</v>
      </c>
      <c r="F3523" s="52" t="s">
        <v>26</v>
      </c>
      <c r="G3523" s="53"/>
    </row>
    <row r="3524">
      <c r="A3524" s="49">
        <v>45057.80914164352</v>
      </c>
      <c r="B3524" s="50">
        <v>45057.9341184606</v>
      </c>
      <c r="C3524" s="51">
        <v>1.017</v>
      </c>
      <c r="D3524" s="51">
        <v>64.0</v>
      </c>
      <c r="E3524" s="52" t="s">
        <v>25</v>
      </c>
      <c r="F3524" s="52" t="s">
        <v>26</v>
      </c>
      <c r="G3524" s="53"/>
    </row>
    <row r="3525">
      <c r="A3525" s="49">
        <v>45057.81956340278</v>
      </c>
      <c r="B3525" s="50">
        <v>45057.9445373611</v>
      </c>
      <c r="C3525" s="51">
        <v>1.017</v>
      </c>
      <c r="D3525" s="51">
        <v>64.0</v>
      </c>
      <c r="E3525" s="52" t="s">
        <v>25</v>
      </c>
      <c r="F3525" s="52" t="s">
        <v>26</v>
      </c>
      <c r="G3525" s="53"/>
    </row>
    <row r="3526">
      <c r="A3526" s="49">
        <v>45057.829984780095</v>
      </c>
      <c r="B3526" s="50">
        <v>45057.9549598379</v>
      </c>
      <c r="C3526" s="51">
        <v>1.017</v>
      </c>
      <c r="D3526" s="51">
        <v>64.0</v>
      </c>
      <c r="E3526" s="52" t="s">
        <v>25</v>
      </c>
      <c r="F3526" s="52" t="s">
        <v>26</v>
      </c>
      <c r="G3526" s="53"/>
    </row>
    <row r="3527">
      <c r="A3527" s="49">
        <v>45057.8404040162</v>
      </c>
      <c r="B3527" s="50">
        <v>45057.9653795138</v>
      </c>
      <c r="C3527" s="51">
        <v>1.017</v>
      </c>
      <c r="D3527" s="51">
        <v>64.0</v>
      </c>
      <c r="E3527" s="52" t="s">
        <v>25</v>
      </c>
      <c r="F3527" s="52" t="s">
        <v>26</v>
      </c>
      <c r="G3527" s="53"/>
    </row>
    <row r="3528">
      <c r="A3528" s="49">
        <v>45057.85084704861</v>
      </c>
      <c r="B3528" s="50">
        <v>45057.9758243055</v>
      </c>
      <c r="C3528" s="51">
        <v>1.017</v>
      </c>
      <c r="D3528" s="51">
        <v>64.0</v>
      </c>
      <c r="E3528" s="52" t="s">
        <v>25</v>
      </c>
      <c r="F3528" s="52" t="s">
        <v>26</v>
      </c>
      <c r="G3528" s="53"/>
    </row>
    <row r="3529">
      <c r="A3529" s="49">
        <v>45057.86128815972</v>
      </c>
      <c r="B3529" s="50">
        <v>45057.9862689004</v>
      </c>
      <c r="C3529" s="51">
        <v>1.017</v>
      </c>
      <c r="D3529" s="51">
        <v>64.0</v>
      </c>
      <c r="E3529" s="52" t="s">
        <v>25</v>
      </c>
      <c r="F3529" s="52" t="s">
        <v>26</v>
      </c>
      <c r="G3529" s="53"/>
    </row>
    <row r="3530">
      <c r="A3530" s="49">
        <v>45057.871723344906</v>
      </c>
      <c r="B3530" s="50">
        <v>45057.9967006944</v>
      </c>
      <c r="C3530" s="51">
        <v>1.017</v>
      </c>
      <c r="D3530" s="51">
        <v>64.0</v>
      </c>
      <c r="E3530" s="52" t="s">
        <v>25</v>
      </c>
      <c r="F3530" s="52" t="s">
        <v>26</v>
      </c>
      <c r="G3530" s="53"/>
    </row>
    <row r="3531">
      <c r="A3531" s="49">
        <v>45057.88215103009</v>
      </c>
      <c r="B3531" s="50">
        <v>45058.0071213657</v>
      </c>
      <c r="C3531" s="51">
        <v>1.017</v>
      </c>
      <c r="D3531" s="51">
        <v>64.0</v>
      </c>
      <c r="E3531" s="52" t="s">
        <v>25</v>
      </c>
      <c r="F3531" s="52" t="s">
        <v>26</v>
      </c>
      <c r="G3531" s="53"/>
    </row>
    <row r="3532">
      <c r="A3532" s="49">
        <v>45057.89256494213</v>
      </c>
      <c r="B3532" s="50">
        <v>45058.0175412152</v>
      </c>
      <c r="C3532" s="51">
        <v>1.017</v>
      </c>
      <c r="D3532" s="51">
        <v>64.0</v>
      </c>
      <c r="E3532" s="52" t="s">
        <v>25</v>
      </c>
      <c r="F3532" s="52" t="s">
        <v>26</v>
      </c>
      <c r="G3532" s="53"/>
    </row>
    <row r="3533">
      <c r="A3533" s="49">
        <v>45057.90299025463</v>
      </c>
      <c r="B3533" s="50">
        <v>45058.0279618634</v>
      </c>
      <c r="C3533" s="51">
        <v>1.017</v>
      </c>
      <c r="D3533" s="51">
        <v>64.0</v>
      </c>
      <c r="E3533" s="52" t="s">
        <v>25</v>
      </c>
      <c r="F3533" s="52" t="s">
        <v>26</v>
      </c>
      <c r="G3533" s="53"/>
    </row>
    <row r="3534">
      <c r="A3534" s="49">
        <v>45057.913401412035</v>
      </c>
      <c r="B3534" s="50">
        <v>45058.038382037</v>
      </c>
      <c r="C3534" s="51">
        <v>1.017</v>
      </c>
      <c r="D3534" s="51">
        <v>64.0</v>
      </c>
      <c r="E3534" s="52" t="s">
        <v>25</v>
      </c>
      <c r="F3534" s="52" t="s">
        <v>26</v>
      </c>
      <c r="G3534" s="53"/>
    </row>
    <row r="3535">
      <c r="A3535" s="49">
        <v>45057.92384916666</v>
      </c>
      <c r="B3535" s="50">
        <v>45058.0488164699</v>
      </c>
      <c r="C3535" s="51">
        <v>1.017</v>
      </c>
      <c r="D3535" s="51">
        <v>64.0</v>
      </c>
      <c r="E3535" s="52" t="s">
        <v>25</v>
      </c>
      <c r="F3535" s="52" t="s">
        <v>26</v>
      </c>
      <c r="G3535" s="53"/>
    </row>
    <row r="3536">
      <c r="A3536" s="49">
        <v>45057.93426716435</v>
      </c>
      <c r="B3536" s="50">
        <v>45058.0592380787</v>
      </c>
      <c r="C3536" s="51">
        <v>1.017</v>
      </c>
      <c r="D3536" s="51">
        <v>64.0</v>
      </c>
      <c r="E3536" s="52" t="s">
        <v>25</v>
      </c>
      <c r="F3536" s="52" t="s">
        <v>26</v>
      </c>
      <c r="G3536" s="53"/>
    </row>
    <row r="3537">
      <c r="A3537" s="49">
        <v>45057.94469744213</v>
      </c>
      <c r="B3537" s="50">
        <v>45058.0696704513</v>
      </c>
      <c r="C3537" s="51">
        <v>1.017</v>
      </c>
      <c r="D3537" s="51">
        <v>64.0</v>
      </c>
      <c r="E3537" s="52" t="s">
        <v>25</v>
      </c>
      <c r="F3537" s="52" t="s">
        <v>26</v>
      </c>
      <c r="G3537" s="53"/>
    </row>
    <row r="3538">
      <c r="A3538" s="49">
        <v>45057.95511112269</v>
      </c>
      <c r="B3538" s="50">
        <v>45058.0800922685</v>
      </c>
      <c r="C3538" s="51">
        <v>1.017</v>
      </c>
      <c r="D3538" s="51">
        <v>64.0</v>
      </c>
      <c r="E3538" s="52" t="s">
        <v>25</v>
      </c>
      <c r="F3538" s="52" t="s">
        <v>26</v>
      </c>
      <c r="G3538" s="53"/>
    </row>
    <row r="3539">
      <c r="A3539" s="49">
        <v>45057.965550775465</v>
      </c>
      <c r="B3539" s="50">
        <v>45058.0905257407</v>
      </c>
      <c r="C3539" s="51">
        <v>1.017</v>
      </c>
      <c r="D3539" s="51">
        <v>64.0</v>
      </c>
      <c r="E3539" s="52" t="s">
        <v>25</v>
      </c>
      <c r="F3539" s="52" t="s">
        <v>26</v>
      </c>
      <c r="G3539" s="53"/>
    </row>
    <row r="3540">
      <c r="A3540" s="49">
        <v>45057.97596917824</v>
      </c>
      <c r="B3540" s="50">
        <v>45058.1009454398</v>
      </c>
      <c r="C3540" s="51">
        <v>1.017</v>
      </c>
      <c r="D3540" s="51">
        <v>64.0</v>
      </c>
      <c r="E3540" s="52" t="s">
        <v>25</v>
      </c>
      <c r="F3540" s="52" t="s">
        <v>26</v>
      </c>
      <c r="G3540" s="53"/>
    </row>
    <row r="3541">
      <c r="A3541" s="49">
        <v>45057.98638548611</v>
      </c>
      <c r="B3541" s="50">
        <v>45058.1113662384</v>
      </c>
      <c r="C3541" s="51">
        <v>1.017</v>
      </c>
      <c r="D3541" s="51">
        <v>64.0</v>
      </c>
      <c r="E3541" s="52" t="s">
        <v>25</v>
      </c>
      <c r="F3541" s="52" t="s">
        <v>26</v>
      </c>
      <c r="G3541" s="53"/>
    </row>
    <row r="3542">
      <c r="A3542" s="49">
        <v>45057.99681855324</v>
      </c>
      <c r="B3542" s="50">
        <v>45058.1217860069</v>
      </c>
      <c r="C3542" s="51">
        <v>1.017</v>
      </c>
      <c r="D3542" s="51">
        <v>64.0</v>
      </c>
      <c r="E3542" s="52" t="s">
        <v>25</v>
      </c>
      <c r="F3542" s="52" t="s">
        <v>26</v>
      </c>
      <c r="G3542" s="53"/>
    </row>
    <row r="3543">
      <c r="A3543" s="49">
        <v>45058.00722983797</v>
      </c>
      <c r="B3543" s="50">
        <v>45058.1322058101</v>
      </c>
      <c r="C3543" s="51">
        <v>1.017</v>
      </c>
      <c r="D3543" s="51">
        <v>64.0</v>
      </c>
      <c r="E3543" s="52" t="s">
        <v>25</v>
      </c>
      <c r="F3543" s="52" t="s">
        <v>26</v>
      </c>
      <c r="G3543" s="53"/>
    </row>
    <row r="3544">
      <c r="A3544" s="49">
        <v>45058.017655393516</v>
      </c>
      <c r="B3544" s="50">
        <v>45058.1426267708</v>
      </c>
      <c r="C3544" s="51">
        <v>1.017</v>
      </c>
      <c r="D3544" s="51">
        <v>64.0</v>
      </c>
      <c r="E3544" s="52" t="s">
        <v>25</v>
      </c>
      <c r="F3544" s="52" t="s">
        <v>26</v>
      </c>
      <c r="G3544" s="53"/>
    </row>
    <row r="3545">
      <c r="A3545" s="49">
        <v>45058.0281183912</v>
      </c>
      <c r="B3545" s="50">
        <v>45058.1530944676</v>
      </c>
      <c r="C3545" s="51">
        <v>1.017</v>
      </c>
      <c r="D3545" s="51">
        <v>64.0</v>
      </c>
      <c r="E3545" s="52" t="s">
        <v>25</v>
      </c>
      <c r="F3545" s="52" t="s">
        <v>26</v>
      </c>
      <c r="G3545" s="53"/>
    </row>
    <row r="3546">
      <c r="A3546" s="49">
        <v>45058.038563124996</v>
      </c>
      <c r="B3546" s="50">
        <v>45058.1635268518</v>
      </c>
      <c r="C3546" s="51">
        <v>1.017</v>
      </c>
      <c r="D3546" s="51">
        <v>64.0</v>
      </c>
      <c r="E3546" s="52" t="s">
        <v>25</v>
      </c>
      <c r="F3546" s="52" t="s">
        <v>26</v>
      </c>
      <c r="G3546" s="53"/>
    </row>
    <row r="3547">
      <c r="A3547" s="49">
        <v>45058.048981921296</v>
      </c>
      <c r="B3547" s="50">
        <v>45058.1739601851</v>
      </c>
      <c r="C3547" s="51">
        <v>1.017</v>
      </c>
      <c r="D3547" s="51">
        <v>64.0</v>
      </c>
      <c r="E3547" s="52" t="s">
        <v>25</v>
      </c>
      <c r="F3547" s="52" t="s">
        <v>26</v>
      </c>
      <c r="G3547" s="53"/>
    </row>
    <row r="3548">
      <c r="A3548" s="49">
        <v>45058.05941886574</v>
      </c>
      <c r="B3548" s="50">
        <v>45058.1843937963</v>
      </c>
      <c r="C3548" s="51">
        <v>1.017</v>
      </c>
      <c r="D3548" s="51">
        <v>64.0</v>
      </c>
      <c r="E3548" s="52" t="s">
        <v>25</v>
      </c>
      <c r="F3548" s="52" t="s">
        <v>26</v>
      </c>
      <c r="G3548" s="53"/>
    </row>
    <row r="3549">
      <c r="A3549" s="49">
        <v>45058.06985534722</v>
      </c>
      <c r="B3549" s="50">
        <v>45058.1948271064</v>
      </c>
      <c r="C3549" s="51">
        <v>1.017</v>
      </c>
      <c r="D3549" s="51">
        <v>64.0</v>
      </c>
      <c r="E3549" s="52" t="s">
        <v>25</v>
      </c>
      <c r="F3549" s="52" t="s">
        <v>26</v>
      </c>
      <c r="G3549" s="53"/>
    </row>
    <row r="3550">
      <c r="A3550" s="49">
        <v>45058.08027306713</v>
      </c>
      <c r="B3550" s="50">
        <v>45058.2052494097</v>
      </c>
      <c r="C3550" s="51">
        <v>1.017</v>
      </c>
      <c r="D3550" s="51">
        <v>64.0</v>
      </c>
      <c r="E3550" s="52" t="s">
        <v>25</v>
      </c>
      <c r="F3550" s="52" t="s">
        <v>26</v>
      </c>
      <c r="G3550" s="53"/>
    </row>
    <row r="3551">
      <c r="A3551" s="49">
        <v>45058.09069078704</v>
      </c>
      <c r="B3551" s="50">
        <v>45058.215668206</v>
      </c>
      <c r="C3551" s="51">
        <v>1.017</v>
      </c>
      <c r="D3551" s="51">
        <v>64.0</v>
      </c>
      <c r="E3551" s="52" t="s">
        <v>25</v>
      </c>
      <c r="F3551" s="52" t="s">
        <v>26</v>
      </c>
      <c r="G3551" s="53"/>
    </row>
    <row r="3552">
      <c r="A3552" s="49">
        <v>45058.10114012731</v>
      </c>
      <c r="B3552" s="50">
        <v>45058.2261126851</v>
      </c>
      <c r="C3552" s="51">
        <v>1.017</v>
      </c>
      <c r="D3552" s="51">
        <v>64.0</v>
      </c>
      <c r="E3552" s="52" t="s">
        <v>25</v>
      </c>
      <c r="F3552" s="52" t="s">
        <v>26</v>
      </c>
      <c r="G3552" s="53"/>
    </row>
    <row r="3553">
      <c r="A3553" s="49">
        <v>45058.11156319444</v>
      </c>
      <c r="B3553" s="50">
        <v>45058.2365346412</v>
      </c>
      <c r="C3553" s="51">
        <v>1.017</v>
      </c>
      <c r="D3553" s="51">
        <v>64.0</v>
      </c>
      <c r="E3553" s="52" t="s">
        <v>25</v>
      </c>
      <c r="F3553" s="52" t="s">
        <v>26</v>
      </c>
      <c r="G3553" s="53"/>
    </row>
    <row r="3554">
      <c r="A3554" s="49">
        <v>45058.12197877315</v>
      </c>
      <c r="B3554" s="50">
        <v>45058.2469540509</v>
      </c>
      <c r="C3554" s="51">
        <v>1.017</v>
      </c>
      <c r="D3554" s="51">
        <v>64.0</v>
      </c>
      <c r="E3554" s="52" t="s">
        <v>25</v>
      </c>
      <c r="F3554" s="52" t="s">
        <v>26</v>
      </c>
      <c r="G3554" s="53"/>
    </row>
    <row r="3555">
      <c r="A3555" s="49">
        <v>45058.13240016204</v>
      </c>
      <c r="B3555" s="50">
        <v>45058.257374456</v>
      </c>
      <c r="C3555" s="51">
        <v>1.017</v>
      </c>
      <c r="D3555" s="51">
        <v>64.0</v>
      </c>
      <c r="E3555" s="52" t="s">
        <v>25</v>
      </c>
      <c r="F3555" s="52" t="s">
        <v>26</v>
      </c>
      <c r="G3555" s="53"/>
    </row>
    <row r="3556">
      <c r="A3556" s="49">
        <v>45058.14282576389</v>
      </c>
      <c r="B3556" s="50">
        <v>45058.2677950347</v>
      </c>
      <c r="C3556" s="51">
        <v>1.017</v>
      </c>
      <c r="D3556" s="51">
        <v>64.0</v>
      </c>
      <c r="E3556" s="52" t="s">
        <v>25</v>
      </c>
      <c r="F3556" s="52" t="s">
        <v>26</v>
      </c>
      <c r="G3556" s="53"/>
    </row>
    <row r="3557">
      <c r="A3557" s="49">
        <v>45058.15325939815</v>
      </c>
      <c r="B3557" s="50">
        <v>45058.2782279513</v>
      </c>
      <c r="C3557" s="51">
        <v>1.017</v>
      </c>
      <c r="D3557" s="51">
        <v>64.0</v>
      </c>
      <c r="E3557" s="52" t="s">
        <v>25</v>
      </c>
      <c r="F3557" s="52" t="s">
        <v>26</v>
      </c>
      <c r="G3557" s="53"/>
    </row>
    <row r="3558">
      <c r="A3558" s="49">
        <v>45058.16367432871</v>
      </c>
      <c r="B3558" s="50">
        <v>45058.2886488194</v>
      </c>
      <c r="C3558" s="51">
        <v>1.017</v>
      </c>
      <c r="D3558" s="51">
        <v>64.0</v>
      </c>
      <c r="E3558" s="52" t="s">
        <v>25</v>
      </c>
      <c r="F3558" s="52" t="s">
        <v>26</v>
      </c>
      <c r="G3558" s="53"/>
    </row>
    <row r="3559">
      <c r="A3559" s="49">
        <v>45058.17411451389</v>
      </c>
      <c r="B3559" s="50">
        <v>45058.2990808217</v>
      </c>
      <c r="C3559" s="51">
        <v>1.017</v>
      </c>
      <c r="D3559" s="51">
        <v>64.0</v>
      </c>
      <c r="E3559" s="52" t="s">
        <v>25</v>
      </c>
      <c r="F3559" s="52" t="s">
        <v>26</v>
      </c>
      <c r="G3559" s="53"/>
    </row>
    <row r="3560">
      <c r="A3560" s="49">
        <v>45058.184537905094</v>
      </c>
      <c r="B3560" s="50">
        <v>45058.3095141203</v>
      </c>
      <c r="C3560" s="51">
        <v>1.017</v>
      </c>
      <c r="D3560" s="51">
        <v>64.0</v>
      </c>
      <c r="E3560" s="52" t="s">
        <v>25</v>
      </c>
      <c r="F3560" s="52" t="s">
        <v>26</v>
      </c>
      <c r="G3560" s="53"/>
    </row>
    <row r="3561">
      <c r="A3561" s="49">
        <v>45058.19498490741</v>
      </c>
      <c r="B3561" s="50">
        <v>45058.3199577546</v>
      </c>
      <c r="C3561" s="51">
        <v>1.017</v>
      </c>
      <c r="D3561" s="51">
        <v>64.0</v>
      </c>
      <c r="E3561" s="52" t="s">
        <v>25</v>
      </c>
      <c r="F3561" s="52" t="s">
        <v>26</v>
      </c>
      <c r="G3561" s="53"/>
    </row>
    <row r="3562">
      <c r="A3562" s="49">
        <v>45058.205408009264</v>
      </c>
      <c r="B3562" s="50">
        <v>45058.3303801273</v>
      </c>
      <c r="C3562" s="51">
        <v>1.017</v>
      </c>
      <c r="D3562" s="51">
        <v>64.0</v>
      </c>
      <c r="E3562" s="52" t="s">
        <v>25</v>
      </c>
      <c r="F3562" s="52" t="s">
        <v>26</v>
      </c>
      <c r="G3562" s="53"/>
    </row>
    <row r="3563">
      <c r="A3563" s="49">
        <v>45058.21583850695</v>
      </c>
      <c r="B3563" s="50">
        <v>45058.3408013773</v>
      </c>
      <c r="C3563" s="51">
        <v>1.017</v>
      </c>
      <c r="D3563" s="51">
        <v>64.0</v>
      </c>
      <c r="E3563" s="52" t="s">
        <v>25</v>
      </c>
      <c r="F3563" s="52" t="s">
        <v>26</v>
      </c>
      <c r="G3563" s="53"/>
    </row>
    <row r="3564">
      <c r="A3564" s="49">
        <v>45058.22625228009</v>
      </c>
      <c r="B3564" s="50">
        <v>45058.3512240509</v>
      </c>
      <c r="C3564" s="51">
        <v>1.017</v>
      </c>
      <c r="D3564" s="51">
        <v>64.0</v>
      </c>
      <c r="E3564" s="52" t="s">
        <v>25</v>
      </c>
      <c r="F3564" s="52" t="s">
        <v>26</v>
      </c>
      <c r="G3564" s="53"/>
    </row>
    <row r="3565">
      <c r="A3565" s="49">
        <v>45058.23667229166</v>
      </c>
      <c r="B3565" s="50">
        <v>45058.3616453703</v>
      </c>
      <c r="C3565" s="51">
        <v>1.017</v>
      </c>
      <c r="D3565" s="51">
        <v>64.0</v>
      </c>
      <c r="E3565" s="52" t="s">
        <v>25</v>
      </c>
      <c r="F3565" s="52" t="s">
        <v>26</v>
      </c>
      <c r="G3565" s="53"/>
    </row>
    <row r="3566">
      <c r="A3566" s="49">
        <v>45058.247097858795</v>
      </c>
      <c r="B3566" s="50">
        <v>45058.3720764236</v>
      </c>
      <c r="C3566" s="51">
        <v>1.017</v>
      </c>
      <c r="D3566" s="51">
        <v>64.0</v>
      </c>
      <c r="E3566" s="52" t="s">
        <v>25</v>
      </c>
      <c r="F3566" s="52" t="s">
        <v>26</v>
      </c>
      <c r="G3566" s="53"/>
    </row>
    <row r="3567">
      <c r="A3567" s="49">
        <v>45058.25753861111</v>
      </c>
      <c r="B3567" s="50">
        <v>45058.3824974421</v>
      </c>
      <c r="C3567" s="51">
        <v>1.017</v>
      </c>
      <c r="D3567" s="51">
        <v>64.0</v>
      </c>
      <c r="E3567" s="52" t="s">
        <v>25</v>
      </c>
      <c r="F3567" s="52" t="s">
        <v>26</v>
      </c>
      <c r="G3567" s="53"/>
    </row>
    <row r="3568">
      <c r="A3568" s="49">
        <v>45058.26793851852</v>
      </c>
      <c r="B3568" s="50">
        <v>45058.392917824</v>
      </c>
      <c r="C3568" s="51">
        <v>1.017</v>
      </c>
      <c r="D3568" s="51">
        <v>64.0</v>
      </c>
      <c r="E3568" s="52" t="s">
        <v>25</v>
      </c>
      <c r="F3568" s="52" t="s">
        <v>26</v>
      </c>
      <c r="G3568" s="53"/>
    </row>
    <row r="3569">
      <c r="A3569" s="49">
        <v>45058.27836471065</v>
      </c>
      <c r="B3569" s="50">
        <v>45058.4033382523</v>
      </c>
      <c r="C3569" s="51">
        <v>1.017</v>
      </c>
      <c r="D3569" s="51">
        <v>64.0</v>
      </c>
      <c r="E3569" s="52" t="s">
        <v>25</v>
      </c>
      <c r="F3569" s="52" t="s">
        <v>26</v>
      </c>
      <c r="G3569" s="53"/>
    </row>
    <row r="3570">
      <c r="A3570" s="49">
        <v>45058.28880329861</v>
      </c>
      <c r="B3570" s="50">
        <v>45058.4137708912</v>
      </c>
      <c r="C3570" s="51">
        <v>1.017</v>
      </c>
      <c r="D3570" s="51">
        <v>64.0</v>
      </c>
      <c r="E3570" s="52" t="s">
        <v>25</v>
      </c>
      <c r="F3570" s="52" t="s">
        <v>26</v>
      </c>
      <c r="G3570" s="53"/>
    </row>
    <row r="3571">
      <c r="A3571" s="49">
        <v>45058.299233819445</v>
      </c>
      <c r="B3571" s="50">
        <v>45058.4242032523</v>
      </c>
      <c r="C3571" s="51">
        <v>1.016</v>
      </c>
      <c r="D3571" s="51">
        <v>64.0</v>
      </c>
      <c r="E3571" s="52" t="s">
        <v>25</v>
      </c>
      <c r="F3571" s="52" t="s">
        <v>26</v>
      </c>
      <c r="G3571" s="53"/>
    </row>
    <row r="3572">
      <c r="A3572" s="49">
        <v>45058.30965814815</v>
      </c>
      <c r="B3572" s="50">
        <v>45058.4346254282</v>
      </c>
      <c r="C3572" s="51">
        <v>1.017</v>
      </c>
      <c r="D3572" s="51">
        <v>64.0</v>
      </c>
      <c r="E3572" s="52" t="s">
        <v>25</v>
      </c>
      <c r="F3572" s="52" t="s">
        <v>26</v>
      </c>
      <c r="G3572" s="53"/>
    </row>
    <row r="3573">
      <c r="A3573" s="49">
        <v>45058.32007474537</v>
      </c>
      <c r="B3573" s="50">
        <v>45058.4450478472</v>
      </c>
      <c r="C3573" s="51">
        <v>1.017</v>
      </c>
      <c r="D3573" s="51">
        <v>64.0</v>
      </c>
      <c r="E3573" s="52" t="s">
        <v>25</v>
      </c>
      <c r="F3573" s="52" t="s">
        <v>26</v>
      </c>
      <c r="G3573" s="53"/>
    </row>
    <row r="3574">
      <c r="A3574" s="49">
        <v>45058.33049677083</v>
      </c>
      <c r="B3574" s="50">
        <v>45058.4554687615</v>
      </c>
      <c r="C3574" s="51">
        <v>1.017</v>
      </c>
      <c r="D3574" s="51">
        <v>64.0</v>
      </c>
      <c r="E3574" s="52" t="s">
        <v>25</v>
      </c>
      <c r="F3574" s="52" t="s">
        <v>26</v>
      </c>
      <c r="G3574" s="53"/>
    </row>
    <row r="3575">
      <c r="A3575" s="49">
        <v>45058.34091319444</v>
      </c>
      <c r="B3575" s="50">
        <v>45058.465890706</v>
      </c>
      <c r="C3575" s="51">
        <v>1.017</v>
      </c>
      <c r="D3575" s="51">
        <v>64.0</v>
      </c>
      <c r="E3575" s="52" t="s">
        <v>25</v>
      </c>
      <c r="F3575" s="52" t="s">
        <v>26</v>
      </c>
      <c r="G3575" s="53"/>
    </row>
    <row r="3576">
      <c r="A3576" s="49">
        <v>45058.35139710648</v>
      </c>
      <c r="B3576" s="50">
        <v>45058.4763715277</v>
      </c>
      <c r="C3576" s="51">
        <v>1.017</v>
      </c>
      <c r="D3576" s="51">
        <v>64.0</v>
      </c>
      <c r="E3576" s="52" t="s">
        <v>25</v>
      </c>
      <c r="F3576" s="52" t="s">
        <v>26</v>
      </c>
      <c r="G3576" s="53"/>
    </row>
    <row r="3577">
      <c r="A3577" s="49">
        <v>45058.36182431713</v>
      </c>
      <c r="B3577" s="50">
        <v>45058.4868040856</v>
      </c>
      <c r="C3577" s="51">
        <v>1.017</v>
      </c>
      <c r="D3577" s="51">
        <v>64.0</v>
      </c>
      <c r="E3577" s="52" t="s">
        <v>25</v>
      </c>
      <c r="F3577" s="52" t="s">
        <v>26</v>
      </c>
      <c r="G3577" s="53"/>
    </row>
    <row r="3578">
      <c r="A3578" s="49">
        <v>45058.3722780324</v>
      </c>
      <c r="B3578" s="50">
        <v>45058.4972479282</v>
      </c>
      <c r="C3578" s="51">
        <v>1.017</v>
      </c>
      <c r="D3578" s="51">
        <v>64.0</v>
      </c>
      <c r="E3578" s="52" t="s">
        <v>25</v>
      </c>
      <c r="F3578" s="52" t="s">
        <v>26</v>
      </c>
      <c r="G3578" s="53"/>
    </row>
    <row r="3579">
      <c r="A3579" s="49">
        <v>45058.38270795139</v>
      </c>
      <c r="B3579" s="50">
        <v>45058.5076800925</v>
      </c>
      <c r="C3579" s="51">
        <v>1.017</v>
      </c>
      <c r="D3579" s="51">
        <v>64.0</v>
      </c>
      <c r="E3579" s="52" t="s">
        <v>25</v>
      </c>
      <c r="F3579" s="52" t="s">
        <v>26</v>
      </c>
      <c r="G3579" s="53"/>
    </row>
    <row r="3580">
      <c r="A3580" s="49">
        <v>45058.3931284375</v>
      </c>
      <c r="B3580" s="50">
        <v>45058.5181020949</v>
      </c>
      <c r="C3580" s="51">
        <v>1.017</v>
      </c>
      <c r="D3580" s="51">
        <v>64.0</v>
      </c>
      <c r="E3580" s="52" t="s">
        <v>25</v>
      </c>
      <c r="F3580" s="52" t="s">
        <v>26</v>
      </c>
      <c r="G3580" s="53"/>
    </row>
    <row r="3581">
      <c r="A3581" s="49">
        <v>45058.40355170138</v>
      </c>
      <c r="B3581" s="50">
        <v>45058.5285233912</v>
      </c>
      <c r="C3581" s="51">
        <v>1.017</v>
      </c>
      <c r="D3581" s="51">
        <v>64.0</v>
      </c>
      <c r="E3581" s="52" t="s">
        <v>25</v>
      </c>
      <c r="F3581" s="52" t="s">
        <v>26</v>
      </c>
      <c r="G3581" s="53"/>
    </row>
    <row r="3582">
      <c r="A3582" s="49">
        <v>45058.41397055556</v>
      </c>
      <c r="B3582" s="50">
        <v>45058.5389470254</v>
      </c>
      <c r="C3582" s="51">
        <v>1.017</v>
      </c>
      <c r="D3582" s="51">
        <v>64.0</v>
      </c>
      <c r="E3582" s="52" t="s">
        <v>25</v>
      </c>
      <c r="F3582" s="52" t="s">
        <v>26</v>
      </c>
      <c r="G3582" s="53"/>
    </row>
    <row r="3583">
      <c r="A3583" s="49">
        <v>45058.42439621528</v>
      </c>
      <c r="B3583" s="50">
        <v>45058.5493675694</v>
      </c>
      <c r="C3583" s="51">
        <v>1.017</v>
      </c>
      <c r="D3583" s="51">
        <v>64.0</v>
      </c>
      <c r="E3583" s="52" t="s">
        <v>25</v>
      </c>
      <c r="F3583" s="52" t="s">
        <v>26</v>
      </c>
      <c r="G3583" s="53"/>
    </row>
    <row r="3584">
      <c r="A3584" s="49">
        <v>45058.43482033565</v>
      </c>
      <c r="B3584" s="50">
        <v>45058.5597885648</v>
      </c>
      <c r="C3584" s="51">
        <v>1.017</v>
      </c>
      <c r="D3584" s="51">
        <v>64.0</v>
      </c>
      <c r="E3584" s="52" t="s">
        <v>25</v>
      </c>
      <c r="F3584" s="52" t="s">
        <v>26</v>
      </c>
      <c r="G3584" s="53"/>
    </row>
    <row r="3585">
      <c r="A3585" s="49">
        <v>45058.4452353588</v>
      </c>
      <c r="B3585" s="50">
        <v>45058.5702077199</v>
      </c>
      <c r="C3585" s="51">
        <v>1.017</v>
      </c>
      <c r="D3585" s="51">
        <v>64.0</v>
      </c>
      <c r="E3585" s="52" t="s">
        <v>25</v>
      </c>
      <c r="F3585" s="52" t="s">
        <v>26</v>
      </c>
      <c r="G3585" s="53"/>
    </row>
    <row r="3586">
      <c r="A3586" s="49">
        <v>45058.455655474536</v>
      </c>
      <c r="B3586" s="50">
        <v>45058.5806284027</v>
      </c>
      <c r="C3586" s="51">
        <v>1.017</v>
      </c>
      <c r="D3586" s="51">
        <v>64.0</v>
      </c>
      <c r="E3586" s="52" t="s">
        <v>25</v>
      </c>
      <c r="F3586" s="52" t="s">
        <v>26</v>
      </c>
      <c r="G3586" s="53"/>
    </row>
    <row r="3587">
      <c r="A3587" s="49">
        <v>45058.46619236111</v>
      </c>
      <c r="B3587" s="50">
        <v>45058.5911648726</v>
      </c>
      <c r="C3587" s="51">
        <v>1.017</v>
      </c>
      <c r="D3587" s="51">
        <v>64.0</v>
      </c>
      <c r="E3587" s="52" t="s">
        <v>25</v>
      </c>
      <c r="F3587" s="52" t="s">
        <v>26</v>
      </c>
      <c r="G3587" s="53"/>
    </row>
    <row r="3588">
      <c r="A3588" s="49">
        <v>45058.4766446412</v>
      </c>
      <c r="B3588" s="50">
        <v>45058.601620706</v>
      </c>
      <c r="C3588" s="51">
        <v>1.017</v>
      </c>
      <c r="D3588" s="51">
        <v>64.0</v>
      </c>
      <c r="E3588" s="52" t="s">
        <v>25</v>
      </c>
      <c r="F3588" s="52" t="s">
        <v>26</v>
      </c>
      <c r="G3588" s="53"/>
    </row>
    <row r="3589">
      <c r="A3589" s="49">
        <v>45058.48706649306</v>
      </c>
      <c r="B3589" s="50">
        <v>45058.6120395833</v>
      </c>
      <c r="C3589" s="51">
        <v>1.017</v>
      </c>
      <c r="D3589" s="51">
        <v>64.0</v>
      </c>
      <c r="E3589" s="52" t="s">
        <v>25</v>
      </c>
      <c r="F3589" s="52" t="s">
        <v>26</v>
      </c>
      <c r="G3589" s="53"/>
    </row>
    <row r="3590">
      <c r="A3590" s="49">
        <v>45058.497492256945</v>
      </c>
      <c r="B3590" s="50">
        <v>45058.6224606365</v>
      </c>
      <c r="C3590" s="51">
        <v>1.017</v>
      </c>
      <c r="D3590" s="51">
        <v>64.0</v>
      </c>
      <c r="E3590" s="52" t="s">
        <v>25</v>
      </c>
      <c r="F3590" s="52" t="s">
        <v>26</v>
      </c>
      <c r="G3590" s="53"/>
    </row>
    <row r="3591">
      <c r="A3591" s="49">
        <v>45058.50795023148</v>
      </c>
      <c r="B3591" s="50">
        <v>45058.6329158101</v>
      </c>
      <c r="C3591" s="51">
        <v>1.017</v>
      </c>
      <c r="D3591" s="51">
        <v>64.0</v>
      </c>
      <c r="E3591" s="52" t="s">
        <v>25</v>
      </c>
      <c r="F3591" s="52" t="s">
        <v>26</v>
      </c>
      <c r="G3591" s="53"/>
    </row>
    <row r="3592">
      <c r="A3592" s="49">
        <v>45058.51848221065</v>
      </c>
      <c r="B3592" s="50">
        <v>45058.6434528125</v>
      </c>
      <c r="C3592" s="51">
        <v>1.017</v>
      </c>
      <c r="D3592" s="51">
        <v>64.0</v>
      </c>
      <c r="E3592" s="52" t="s">
        <v>25</v>
      </c>
      <c r="F3592" s="52" t="s">
        <v>26</v>
      </c>
      <c r="G3592" s="53"/>
    </row>
    <row r="3593">
      <c r="A3593" s="49">
        <v>45058.52889644676</v>
      </c>
      <c r="B3593" s="50">
        <v>45058.6538741666</v>
      </c>
      <c r="C3593" s="51">
        <v>1.017</v>
      </c>
      <c r="D3593" s="51">
        <v>64.0</v>
      </c>
      <c r="E3593" s="52" t="s">
        <v>25</v>
      </c>
      <c r="F3593" s="52" t="s">
        <v>26</v>
      </c>
      <c r="G3593" s="53"/>
    </row>
    <row r="3594">
      <c r="A3594" s="49">
        <v>45058.539333402776</v>
      </c>
      <c r="B3594" s="50">
        <v>45058.6643060648</v>
      </c>
      <c r="C3594" s="51">
        <v>1.017</v>
      </c>
      <c r="D3594" s="51">
        <v>64.0</v>
      </c>
      <c r="E3594" s="52" t="s">
        <v>25</v>
      </c>
      <c r="F3594" s="52" t="s">
        <v>26</v>
      </c>
      <c r="G3594" s="53"/>
    </row>
    <row r="3595">
      <c r="A3595" s="49">
        <v>45058.54981325231</v>
      </c>
      <c r="B3595" s="50">
        <v>45058.6747857523</v>
      </c>
      <c r="C3595" s="51">
        <v>1.017</v>
      </c>
      <c r="D3595" s="51">
        <v>64.0</v>
      </c>
      <c r="E3595" s="52" t="s">
        <v>25</v>
      </c>
      <c r="F3595" s="52" t="s">
        <v>26</v>
      </c>
      <c r="G3595" s="53"/>
    </row>
    <row r="3596">
      <c r="A3596" s="49">
        <v>45058.56032359954</v>
      </c>
      <c r="B3596" s="50">
        <v>45058.6852989467</v>
      </c>
      <c r="C3596" s="51">
        <v>1.017</v>
      </c>
      <c r="D3596" s="51">
        <v>64.0</v>
      </c>
      <c r="E3596" s="52" t="s">
        <v>25</v>
      </c>
      <c r="F3596" s="52" t="s">
        <v>26</v>
      </c>
      <c r="G3596" s="53"/>
    </row>
    <row r="3597">
      <c r="A3597" s="49">
        <v>45058.57074440972</v>
      </c>
      <c r="B3597" s="50">
        <v>45058.6957204166</v>
      </c>
      <c r="C3597" s="51">
        <v>1.017</v>
      </c>
      <c r="D3597" s="51">
        <v>64.0</v>
      </c>
      <c r="E3597" s="52" t="s">
        <v>25</v>
      </c>
      <c r="F3597" s="52" t="s">
        <v>26</v>
      </c>
      <c r="G3597" s="53"/>
    </row>
    <row r="3598">
      <c r="A3598" s="49">
        <v>45058.58120269676</v>
      </c>
      <c r="B3598" s="50">
        <v>45058.7061761805</v>
      </c>
      <c r="C3598" s="51">
        <v>1.017</v>
      </c>
      <c r="D3598" s="51">
        <v>64.0</v>
      </c>
      <c r="E3598" s="52" t="s">
        <v>25</v>
      </c>
      <c r="F3598" s="52" t="s">
        <v>26</v>
      </c>
      <c r="G3598" s="53"/>
    </row>
    <row r="3599">
      <c r="A3599" s="49">
        <v>45058.59168789352</v>
      </c>
      <c r="B3599" s="50">
        <v>45058.7166655208</v>
      </c>
      <c r="C3599" s="51">
        <v>1.017</v>
      </c>
      <c r="D3599" s="51">
        <v>64.0</v>
      </c>
      <c r="E3599" s="52" t="s">
        <v>25</v>
      </c>
      <c r="F3599" s="52" t="s">
        <v>26</v>
      </c>
      <c r="G3599" s="53"/>
    </row>
    <row r="3600">
      <c r="A3600" s="49">
        <v>45058.60212225694</v>
      </c>
      <c r="B3600" s="50">
        <v>45058.727097743</v>
      </c>
      <c r="C3600" s="51">
        <v>1.017</v>
      </c>
      <c r="D3600" s="51">
        <v>64.0</v>
      </c>
      <c r="E3600" s="52" t="s">
        <v>25</v>
      </c>
      <c r="F3600" s="52" t="s">
        <v>26</v>
      </c>
      <c r="G3600" s="53"/>
    </row>
    <row r="3601">
      <c r="A3601" s="49">
        <v>45058.61254944444</v>
      </c>
      <c r="B3601" s="50">
        <v>45058.7375184722</v>
      </c>
      <c r="C3601" s="51">
        <v>1.017</v>
      </c>
      <c r="D3601" s="51">
        <v>65.0</v>
      </c>
      <c r="E3601" s="52" t="s">
        <v>25</v>
      </c>
      <c r="F3601" s="52" t="s">
        <v>26</v>
      </c>
      <c r="G3601" s="53"/>
    </row>
    <row r="3602">
      <c r="A3602" s="49">
        <v>45058.62302326389</v>
      </c>
      <c r="B3602" s="50">
        <v>45058.7479988888</v>
      </c>
      <c r="C3602" s="51">
        <v>1.017</v>
      </c>
      <c r="D3602" s="51">
        <v>64.0</v>
      </c>
      <c r="E3602" s="52" t="s">
        <v>25</v>
      </c>
      <c r="F3602" s="52" t="s">
        <v>26</v>
      </c>
      <c r="G3602" s="53"/>
    </row>
    <row r="3603">
      <c r="A3603" s="49">
        <v>45058.63347158565</v>
      </c>
      <c r="B3603" s="50">
        <v>45058.7584422916</v>
      </c>
      <c r="C3603" s="51">
        <v>1.017</v>
      </c>
      <c r="D3603" s="51">
        <v>65.0</v>
      </c>
      <c r="E3603" s="52" t="s">
        <v>25</v>
      </c>
      <c r="F3603" s="52" t="s">
        <v>26</v>
      </c>
      <c r="G3603" s="53"/>
    </row>
    <row r="3604">
      <c r="A3604" s="49">
        <v>45058.64390697917</v>
      </c>
      <c r="B3604" s="50">
        <v>45058.7688869791</v>
      </c>
      <c r="C3604" s="51">
        <v>1.017</v>
      </c>
      <c r="D3604" s="51">
        <v>64.0</v>
      </c>
      <c r="E3604" s="52" t="s">
        <v>25</v>
      </c>
      <c r="F3604" s="52" t="s">
        <v>26</v>
      </c>
      <c r="G3604" s="53"/>
    </row>
    <row r="3605">
      <c r="A3605" s="49">
        <v>45058.65433774306</v>
      </c>
      <c r="B3605" s="50">
        <v>45058.779308125</v>
      </c>
      <c r="C3605" s="51">
        <v>1.017</v>
      </c>
      <c r="D3605" s="51">
        <v>65.0</v>
      </c>
      <c r="E3605" s="52" t="s">
        <v>25</v>
      </c>
      <c r="F3605" s="52" t="s">
        <v>26</v>
      </c>
      <c r="G3605" s="53"/>
    </row>
    <row r="3606">
      <c r="A3606" s="49">
        <v>45058.664796377314</v>
      </c>
      <c r="B3606" s="50">
        <v>45058.7897751967</v>
      </c>
      <c r="C3606" s="51">
        <v>1.017</v>
      </c>
      <c r="D3606" s="51">
        <v>64.0</v>
      </c>
      <c r="E3606" s="52" t="s">
        <v>25</v>
      </c>
      <c r="F3606" s="52" t="s">
        <v>26</v>
      </c>
      <c r="G3606" s="53"/>
    </row>
    <row r="3607">
      <c r="A3607" s="49">
        <v>45058.67526971065</v>
      </c>
      <c r="B3607" s="50">
        <v>45058.8002436458</v>
      </c>
      <c r="C3607" s="51">
        <v>1.017</v>
      </c>
      <c r="D3607" s="51">
        <v>65.0</v>
      </c>
      <c r="E3607" s="52" t="s">
        <v>25</v>
      </c>
      <c r="F3607" s="52" t="s">
        <v>26</v>
      </c>
      <c r="G3607" s="53"/>
    </row>
    <row r="3608">
      <c r="A3608" s="49">
        <v>45058.68572546296</v>
      </c>
      <c r="B3608" s="50">
        <v>45058.8107013657</v>
      </c>
      <c r="C3608" s="51">
        <v>1.017</v>
      </c>
      <c r="D3608" s="51">
        <v>64.0</v>
      </c>
      <c r="E3608" s="52" t="s">
        <v>25</v>
      </c>
      <c r="F3608" s="52" t="s">
        <v>26</v>
      </c>
      <c r="G3608" s="53"/>
    </row>
    <row r="3609">
      <c r="A3609" s="49">
        <v>45058.696145740745</v>
      </c>
      <c r="B3609" s="50">
        <v>45058.8211232523</v>
      </c>
      <c r="C3609" s="51">
        <v>1.017</v>
      </c>
      <c r="D3609" s="51">
        <v>65.0</v>
      </c>
      <c r="E3609" s="52" t="s">
        <v>25</v>
      </c>
      <c r="F3609" s="52" t="s">
        <v>26</v>
      </c>
      <c r="G3609" s="53"/>
    </row>
    <row r="3610">
      <c r="A3610" s="49">
        <v>45058.70660613426</v>
      </c>
      <c r="B3610" s="50">
        <v>45058.8315797916</v>
      </c>
      <c r="C3610" s="51">
        <v>1.017</v>
      </c>
      <c r="D3610" s="51">
        <v>65.0</v>
      </c>
      <c r="E3610" s="52" t="s">
        <v>25</v>
      </c>
      <c r="F3610" s="52" t="s">
        <v>26</v>
      </c>
      <c r="G3610" s="53"/>
    </row>
    <row r="3611">
      <c r="A3611" s="49">
        <v>45058.71704960648</v>
      </c>
      <c r="B3611" s="50">
        <v>45058.8420248842</v>
      </c>
      <c r="C3611" s="51">
        <v>1.017</v>
      </c>
      <c r="D3611" s="51">
        <v>65.0</v>
      </c>
      <c r="E3611" s="52" t="s">
        <v>25</v>
      </c>
      <c r="F3611" s="52" t="s">
        <v>26</v>
      </c>
      <c r="G3611" s="53"/>
    </row>
    <row r="3612">
      <c r="A3612" s="49">
        <v>45058.72749907407</v>
      </c>
      <c r="B3612" s="50">
        <v>45058.85246853</v>
      </c>
      <c r="C3612" s="51">
        <v>1.017</v>
      </c>
      <c r="D3612" s="51">
        <v>65.0</v>
      </c>
      <c r="E3612" s="52" t="s">
        <v>25</v>
      </c>
      <c r="F3612" s="52" t="s">
        <v>26</v>
      </c>
      <c r="G3612" s="53"/>
    </row>
    <row r="3613">
      <c r="A3613" s="49">
        <v>45058.738027997686</v>
      </c>
      <c r="B3613" s="50">
        <v>45058.863005162</v>
      </c>
      <c r="C3613" s="51">
        <v>1.017</v>
      </c>
      <c r="D3613" s="51">
        <v>65.0</v>
      </c>
      <c r="E3613" s="52" t="s">
        <v>25</v>
      </c>
      <c r="F3613" s="52" t="s">
        <v>26</v>
      </c>
      <c r="G3613" s="53"/>
    </row>
    <row r="3614">
      <c r="A3614" s="49">
        <v>45058.74846043982</v>
      </c>
      <c r="B3614" s="50">
        <v>45058.8734256134</v>
      </c>
      <c r="C3614" s="51">
        <v>1.017</v>
      </c>
      <c r="D3614" s="51">
        <v>65.0</v>
      </c>
      <c r="E3614" s="52" t="s">
        <v>25</v>
      </c>
      <c r="F3614" s="52" t="s">
        <v>26</v>
      </c>
      <c r="G3614" s="53"/>
    </row>
    <row r="3615">
      <c r="A3615" s="49">
        <v>45058.75887114584</v>
      </c>
      <c r="B3615" s="50">
        <v>45058.8838471759</v>
      </c>
      <c r="C3615" s="51">
        <v>1.017</v>
      </c>
      <c r="D3615" s="51">
        <v>65.0</v>
      </c>
      <c r="E3615" s="52" t="s">
        <v>25</v>
      </c>
      <c r="F3615" s="52" t="s">
        <v>26</v>
      </c>
      <c r="G3615" s="53"/>
    </row>
    <row r="3616">
      <c r="A3616" s="49">
        <v>45058.76930936343</v>
      </c>
      <c r="B3616" s="50">
        <v>45058.8942804513</v>
      </c>
      <c r="C3616" s="51">
        <v>1.017</v>
      </c>
      <c r="D3616" s="51">
        <v>65.0</v>
      </c>
      <c r="E3616" s="52" t="s">
        <v>25</v>
      </c>
      <c r="F3616" s="52" t="s">
        <v>26</v>
      </c>
      <c r="G3616" s="53"/>
    </row>
    <row r="3617">
      <c r="A3617" s="49">
        <v>45058.77977447917</v>
      </c>
      <c r="B3617" s="50">
        <v>45058.9047468634</v>
      </c>
      <c r="C3617" s="51">
        <v>1.017</v>
      </c>
      <c r="D3617" s="51">
        <v>65.0</v>
      </c>
      <c r="E3617" s="52" t="s">
        <v>25</v>
      </c>
      <c r="F3617" s="52" t="s">
        <v>26</v>
      </c>
      <c r="G3617" s="53"/>
    </row>
    <row r="3618">
      <c r="A3618" s="49">
        <v>45058.79018648148</v>
      </c>
      <c r="B3618" s="50">
        <v>45058.9151683449</v>
      </c>
      <c r="C3618" s="51">
        <v>1.017</v>
      </c>
      <c r="D3618" s="51">
        <v>65.0</v>
      </c>
      <c r="E3618" s="52" t="s">
        <v>25</v>
      </c>
      <c r="F3618" s="52" t="s">
        <v>26</v>
      </c>
      <c r="G3618" s="53"/>
    </row>
    <row r="3619">
      <c r="A3619" s="49">
        <v>45058.80061306713</v>
      </c>
      <c r="B3619" s="50">
        <v>45058.9255873842</v>
      </c>
      <c r="C3619" s="51">
        <v>1.017</v>
      </c>
      <c r="D3619" s="51">
        <v>65.0</v>
      </c>
      <c r="E3619" s="52" t="s">
        <v>25</v>
      </c>
      <c r="F3619" s="52" t="s">
        <v>26</v>
      </c>
      <c r="G3619" s="53"/>
    </row>
    <row r="3620">
      <c r="A3620" s="49">
        <v>45058.811088125</v>
      </c>
      <c r="B3620" s="50">
        <v>45058.9360559259</v>
      </c>
      <c r="C3620" s="51">
        <v>1.016</v>
      </c>
      <c r="D3620" s="51">
        <v>65.0</v>
      </c>
      <c r="E3620" s="52" t="s">
        <v>25</v>
      </c>
      <c r="F3620" s="52" t="s">
        <v>26</v>
      </c>
      <c r="G3620" s="53"/>
    </row>
    <row r="3621">
      <c r="A3621" s="49">
        <v>45058.82152090278</v>
      </c>
      <c r="B3621" s="50">
        <v>45058.9464995949</v>
      </c>
      <c r="C3621" s="51">
        <v>1.017</v>
      </c>
      <c r="D3621" s="51">
        <v>65.0</v>
      </c>
      <c r="E3621" s="52" t="s">
        <v>25</v>
      </c>
      <c r="F3621" s="52" t="s">
        <v>26</v>
      </c>
      <c r="G3621" s="53"/>
    </row>
    <row r="3622">
      <c r="A3622" s="49">
        <v>45058.83197158565</v>
      </c>
      <c r="B3622" s="50">
        <v>45058.95694603</v>
      </c>
      <c r="C3622" s="51">
        <v>1.017</v>
      </c>
      <c r="D3622" s="51">
        <v>65.0</v>
      </c>
      <c r="E3622" s="52" t="s">
        <v>25</v>
      </c>
      <c r="F3622" s="52" t="s">
        <v>26</v>
      </c>
      <c r="G3622" s="53"/>
    </row>
    <row r="3623">
      <c r="A3623" s="49">
        <v>45058.84242497685</v>
      </c>
      <c r="B3623" s="50">
        <v>45058.9674022337</v>
      </c>
      <c r="C3623" s="51">
        <v>1.017</v>
      </c>
      <c r="D3623" s="51">
        <v>65.0</v>
      </c>
      <c r="E3623" s="52" t="s">
        <v>25</v>
      </c>
      <c r="F3623" s="52" t="s">
        <v>26</v>
      </c>
      <c r="G3623" s="53"/>
    </row>
    <row r="3624">
      <c r="A3624" s="49">
        <v>45058.852892407405</v>
      </c>
      <c r="B3624" s="50">
        <v>45058.9778676157</v>
      </c>
      <c r="C3624" s="51">
        <v>1.017</v>
      </c>
      <c r="D3624" s="51">
        <v>65.0</v>
      </c>
      <c r="E3624" s="52" t="s">
        <v>25</v>
      </c>
      <c r="F3624" s="52" t="s">
        <v>26</v>
      </c>
      <c r="G3624" s="53"/>
    </row>
    <row r="3625">
      <c r="A3625" s="49">
        <v>45058.863313622685</v>
      </c>
      <c r="B3625" s="50">
        <v>45058.9882893171</v>
      </c>
      <c r="C3625" s="51">
        <v>1.017</v>
      </c>
      <c r="D3625" s="51">
        <v>65.0</v>
      </c>
      <c r="E3625" s="52" t="s">
        <v>25</v>
      </c>
      <c r="F3625" s="52" t="s">
        <v>26</v>
      </c>
      <c r="G3625" s="53"/>
    </row>
    <row r="3626">
      <c r="A3626" s="49">
        <v>45058.873734050925</v>
      </c>
      <c r="B3626" s="50">
        <v>45058.9987107291</v>
      </c>
      <c r="C3626" s="51">
        <v>1.016</v>
      </c>
      <c r="D3626" s="51">
        <v>65.0</v>
      </c>
      <c r="E3626" s="52" t="s">
        <v>25</v>
      </c>
      <c r="F3626" s="52" t="s">
        <v>26</v>
      </c>
      <c r="G3626" s="53"/>
    </row>
    <row r="3627">
      <c r="A3627" s="49">
        <v>45058.88415707176</v>
      </c>
      <c r="B3627" s="50">
        <v>45059.009132037</v>
      </c>
      <c r="C3627" s="51">
        <v>1.017</v>
      </c>
      <c r="D3627" s="51">
        <v>65.0</v>
      </c>
      <c r="E3627" s="52" t="s">
        <v>25</v>
      </c>
      <c r="F3627" s="52" t="s">
        <v>26</v>
      </c>
      <c r="G3627" s="53"/>
    </row>
    <row r="3628">
      <c r="A3628" s="49">
        <v>45058.89458760417</v>
      </c>
      <c r="B3628" s="50">
        <v>45059.0195612615</v>
      </c>
      <c r="C3628" s="51">
        <v>1.017</v>
      </c>
      <c r="D3628" s="51">
        <v>65.0</v>
      </c>
      <c r="E3628" s="52" t="s">
        <v>25</v>
      </c>
      <c r="F3628" s="52" t="s">
        <v>26</v>
      </c>
      <c r="G3628" s="53"/>
    </row>
    <row r="3629">
      <c r="A3629" s="49">
        <v>45058.90502659722</v>
      </c>
      <c r="B3629" s="50">
        <v>45059.0299965393</v>
      </c>
      <c r="C3629" s="51">
        <v>1.016</v>
      </c>
      <c r="D3629" s="51">
        <v>65.0</v>
      </c>
      <c r="E3629" s="52" t="s">
        <v>25</v>
      </c>
      <c r="F3629" s="52" t="s">
        <v>26</v>
      </c>
      <c r="G3629" s="53"/>
    </row>
    <row r="3630">
      <c r="A3630" s="49">
        <v>45058.91551226852</v>
      </c>
      <c r="B3630" s="50">
        <v>45059.0404876736</v>
      </c>
      <c r="C3630" s="51">
        <v>1.017</v>
      </c>
      <c r="D3630" s="51">
        <v>65.0</v>
      </c>
      <c r="E3630" s="52" t="s">
        <v>25</v>
      </c>
      <c r="F3630" s="52" t="s">
        <v>26</v>
      </c>
      <c r="G3630" s="53"/>
    </row>
    <row r="3631">
      <c r="A3631" s="49">
        <v>45058.92592980324</v>
      </c>
      <c r="B3631" s="50">
        <v>45059.0509076273</v>
      </c>
      <c r="C3631" s="51">
        <v>1.017</v>
      </c>
      <c r="D3631" s="51">
        <v>65.0</v>
      </c>
      <c r="E3631" s="52" t="s">
        <v>25</v>
      </c>
      <c r="F3631" s="52" t="s">
        <v>26</v>
      </c>
      <c r="G3631" s="53"/>
    </row>
    <row r="3632">
      <c r="A3632" s="49">
        <v>45058.936353391204</v>
      </c>
      <c r="B3632" s="50">
        <v>45059.0613294907</v>
      </c>
      <c r="C3632" s="51">
        <v>1.017</v>
      </c>
      <c r="D3632" s="51">
        <v>65.0</v>
      </c>
      <c r="E3632" s="52" t="s">
        <v>25</v>
      </c>
      <c r="F3632" s="52" t="s">
        <v>26</v>
      </c>
      <c r="G3632" s="53"/>
    </row>
    <row r="3633">
      <c r="A3633" s="49">
        <v>45058.94684539352</v>
      </c>
      <c r="B3633" s="50">
        <v>45059.0718204629</v>
      </c>
      <c r="C3633" s="51">
        <v>1.017</v>
      </c>
      <c r="D3633" s="51">
        <v>65.0</v>
      </c>
      <c r="E3633" s="52" t="s">
        <v>25</v>
      </c>
      <c r="F3633" s="52" t="s">
        <v>26</v>
      </c>
      <c r="G3633" s="53"/>
    </row>
    <row r="3634">
      <c r="A3634" s="49">
        <v>45058.957313356485</v>
      </c>
      <c r="B3634" s="50">
        <v>45059.0822869444</v>
      </c>
      <c r="C3634" s="51">
        <v>1.016</v>
      </c>
      <c r="D3634" s="51">
        <v>65.0</v>
      </c>
      <c r="E3634" s="52" t="s">
        <v>25</v>
      </c>
      <c r="F3634" s="52" t="s">
        <v>26</v>
      </c>
      <c r="G3634" s="53"/>
    </row>
    <row r="3635">
      <c r="A3635" s="49">
        <v>45058.9677803125</v>
      </c>
      <c r="B3635" s="50">
        <v>45059.0927430555</v>
      </c>
      <c r="C3635" s="51">
        <v>1.016</v>
      </c>
      <c r="D3635" s="51">
        <v>65.0</v>
      </c>
      <c r="E3635" s="52" t="s">
        <v>25</v>
      </c>
      <c r="F3635" s="52" t="s">
        <v>26</v>
      </c>
      <c r="G3635" s="53"/>
    </row>
    <row r="3636">
      <c r="A3636" s="49">
        <v>45058.97819155092</v>
      </c>
      <c r="B3636" s="50">
        <v>45059.1031612847</v>
      </c>
      <c r="C3636" s="51">
        <v>1.016</v>
      </c>
      <c r="D3636" s="51">
        <v>65.0</v>
      </c>
      <c r="E3636" s="52" t="s">
        <v>25</v>
      </c>
      <c r="F3636" s="52" t="s">
        <v>26</v>
      </c>
      <c r="G3636" s="53"/>
    </row>
    <row r="3637">
      <c r="A3637" s="49">
        <v>45058.98861890046</v>
      </c>
      <c r="B3637" s="50">
        <v>45059.1135937268</v>
      </c>
      <c r="C3637" s="51">
        <v>1.016</v>
      </c>
      <c r="D3637" s="51">
        <v>65.0</v>
      </c>
      <c r="E3637" s="52" t="s">
        <v>25</v>
      </c>
      <c r="F3637" s="52" t="s">
        <v>26</v>
      </c>
      <c r="G3637" s="53"/>
    </row>
    <row r="3638">
      <c r="A3638" s="49">
        <v>45058.99905300926</v>
      </c>
      <c r="B3638" s="50">
        <v>45059.1240372453</v>
      </c>
      <c r="C3638" s="51">
        <v>1.017</v>
      </c>
      <c r="D3638" s="51">
        <v>65.0</v>
      </c>
      <c r="E3638" s="52" t="s">
        <v>25</v>
      </c>
      <c r="F3638" s="52" t="s">
        <v>26</v>
      </c>
      <c r="G3638" s="53"/>
    </row>
    <row r="3639">
      <c r="A3639" s="49">
        <v>45059.009508958334</v>
      </c>
      <c r="B3639" s="50">
        <v>45059.134481875</v>
      </c>
      <c r="C3639" s="51">
        <v>1.016</v>
      </c>
      <c r="D3639" s="51">
        <v>65.0</v>
      </c>
      <c r="E3639" s="52" t="s">
        <v>25</v>
      </c>
      <c r="F3639" s="52" t="s">
        <v>26</v>
      </c>
      <c r="G3639" s="53"/>
    </row>
    <row r="3640">
      <c r="A3640" s="49">
        <v>45059.01997418981</v>
      </c>
      <c r="B3640" s="50">
        <v>45059.1449492129</v>
      </c>
      <c r="C3640" s="51">
        <v>1.017</v>
      </c>
      <c r="D3640" s="51">
        <v>65.0</v>
      </c>
      <c r="E3640" s="52" t="s">
        <v>25</v>
      </c>
      <c r="F3640" s="52" t="s">
        <v>26</v>
      </c>
      <c r="G3640" s="53"/>
    </row>
    <row r="3641">
      <c r="A3641" s="49">
        <v>45059.03042951389</v>
      </c>
      <c r="B3641" s="50">
        <v>45059.1553917592</v>
      </c>
      <c r="C3641" s="51">
        <v>1.017</v>
      </c>
      <c r="D3641" s="51">
        <v>65.0</v>
      </c>
      <c r="E3641" s="52" t="s">
        <v>25</v>
      </c>
      <c r="F3641" s="52" t="s">
        <v>26</v>
      </c>
      <c r="G3641" s="53"/>
    </row>
    <row r="3642">
      <c r="A3642" s="49">
        <v>45059.040878078704</v>
      </c>
      <c r="B3642" s="50">
        <v>45059.1658481713</v>
      </c>
      <c r="C3642" s="51">
        <v>1.016</v>
      </c>
      <c r="D3642" s="51">
        <v>65.0</v>
      </c>
      <c r="E3642" s="52" t="s">
        <v>25</v>
      </c>
      <c r="F3642" s="52" t="s">
        <v>26</v>
      </c>
      <c r="G3642" s="53"/>
    </row>
    <row r="3643">
      <c r="A3643" s="49">
        <v>45059.05130731482</v>
      </c>
      <c r="B3643" s="50">
        <v>45059.1762798379</v>
      </c>
      <c r="C3643" s="51">
        <v>1.016</v>
      </c>
      <c r="D3643" s="51">
        <v>65.0</v>
      </c>
      <c r="E3643" s="52" t="s">
        <v>25</v>
      </c>
      <c r="F3643" s="52" t="s">
        <v>26</v>
      </c>
      <c r="G3643" s="53"/>
    </row>
    <row r="3644">
      <c r="A3644" s="49">
        <v>45059.061772685185</v>
      </c>
      <c r="B3644" s="50">
        <v>45059.1867477199</v>
      </c>
      <c r="C3644" s="51">
        <v>1.016</v>
      </c>
      <c r="D3644" s="51">
        <v>65.0</v>
      </c>
      <c r="E3644" s="52" t="s">
        <v>25</v>
      </c>
      <c r="F3644" s="52" t="s">
        <v>26</v>
      </c>
      <c r="G3644" s="53"/>
    </row>
    <row r="3645">
      <c r="A3645" s="49">
        <v>45059.0722109375</v>
      </c>
      <c r="B3645" s="50">
        <v>45059.1971812152</v>
      </c>
      <c r="C3645" s="51">
        <v>1.016</v>
      </c>
      <c r="D3645" s="51">
        <v>65.0</v>
      </c>
      <c r="E3645" s="52" t="s">
        <v>25</v>
      </c>
      <c r="F3645" s="52" t="s">
        <v>26</v>
      </c>
      <c r="G3645" s="53"/>
    </row>
    <row r="3646">
      <c r="A3646" s="49">
        <v>45059.082629756944</v>
      </c>
      <c r="B3646" s="50">
        <v>45059.2076029166</v>
      </c>
      <c r="C3646" s="51">
        <v>1.016</v>
      </c>
      <c r="D3646" s="51">
        <v>65.0</v>
      </c>
      <c r="E3646" s="52" t="s">
        <v>25</v>
      </c>
      <c r="F3646" s="52" t="s">
        <v>26</v>
      </c>
      <c r="G3646" s="53"/>
    </row>
    <row r="3647">
      <c r="A3647" s="49">
        <v>45059.09305244213</v>
      </c>
      <c r="B3647" s="50">
        <v>45059.2180226851</v>
      </c>
      <c r="C3647" s="51">
        <v>1.016</v>
      </c>
      <c r="D3647" s="51">
        <v>65.0</v>
      </c>
      <c r="E3647" s="52" t="s">
        <v>25</v>
      </c>
      <c r="F3647" s="52" t="s">
        <v>26</v>
      </c>
      <c r="G3647" s="53"/>
    </row>
    <row r="3648">
      <c r="A3648" s="49">
        <v>45059.103494849536</v>
      </c>
      <c r="B3648" s="50">
        <v>45059.2284673379</v>
      </c>
      <c r="C3648" s="51">
        <v>1.016</v>
      </c>
      <c r="D3648" s="51">
        <v>65.0</v>
      </c>
      <c r="E3648" s="52" t="s">
        <v>25</v>
      </c>
      <c r="F3648" s="52" t="s">
        <v>26</v>
      </c>
      <c r="G3648" s="53"/>
    </row>
    <row r="3649">
      <c r="A3649" s="49">
        <v>45059.11391908565</v>
      </c>
      <c r="B3649" s="50">
        <v>45059.2388878472</v>
      </c>
      <c r="C3649" s="51">
        <v>1.017</v>
      </c>
      <c r="D3649" s="51">
        <v>65.0</v>
      </c>
      <c r="E3649" s="52" t="s">
        <v>25</v>
      </c>
      <c r="F3649" s="52" t="s">
        <v>26</v>
      </c>
      <c r="G3649" s="53"/>
    </row>
    <row r="3650">
      <c r="A3650" s="49">
        <v>45059.124336574074</v>
      </c>
      <c r="B3650" s="50">
        <v>45059.2493091203</v>
      </c>
      <c r="C3650" s="51">
        <v>1.016</v>
      </c>
      <c r="D3650" s="51">
        <v>65.0</v>
      </c>
      <c r="E3650" s="52" t="s">
        <v>25</v>
      </c>
      <c r="F3650" s="52" t="s">
        <v>26</v>
      </c>
      <c r="G3650" s="53"/>
    </row>
    <row r="3651">
      <c r="A3651" s="49">
        <v>45059.13480829861</v>
      </c>
      <c r="B3651" s="50">
        <v>45059.2597782175</v>
      </c>
      <c r="C3651" s="51">
        <v>1.016</v>
      </c>
      <c r="D3651" s="51">
        <v>65.0</v>
      </c>
      <c r="E3651" s="52" t="s">
        <v>25</v>
      </c>
      <c r="F3651" s="52" t="s">
        <v>26</v>
      </c>
      <c r="G3651" s="53"/>
    </row>
    <row r="3652">
      <c r="A3652" s="49">
        <v>45059.14522987268</v>
      </c>
      <c r="B3652" s="50">
        <v>45059.2702109953</v>
      </c>
      <c r="C3652" s="51">
        <v>1.016</v>
      </c>
      <c r="D3652" s="51">
        <v>65.0</v>
      </c>
      <c r="E3652" s="52" t="s">
        <v>25</v>
      </c>
      <c r="F3652" s="52" t="s">
        <v>26</v>
      </c>
      <c r="G3652" s="53"/>
    </row>
    <row r="3653">
      <c r="A3653" s="49">
        <v>45059.15566284722</v>
      </c>
      <c r="B3653" s="50">
        <v>45059.2806436226</v>
      </c>
      <c r="C3653" s="51">
        <v>1.017</v>
      </c>
      <c r="D3653" s="51">
        <v>65.0</v>
      </c>
      <c r="E3653" s="52" t="s">
        <v>25</v>
      </c>
      <c r="F3653" s="52" t="s">
        <v>26</v>
      </c>
      <c r="G3653" s="53"/>
    </row>
    <row r="3654">
      <c r="A3654" s="49">
        <v>45059.16609829861</v>
      </c>
      <c r="B3654" s="50">
        <v>45059.2910764004</v>
      </c>
      <c r="C3654" s="51">
        <v>1.016</v>
      </c>
      <c r="D3654" s="51">
        <v>65.0</v>
      </c>
      <c r="E3654" s="52" t="s">
        <v>25</v>
      </c>
      <c r="F3654" s="52" t="s">
        <v>26</v>
      </c>
      <c r="G3654" s="53"/>
    </row>
    <row r="3655">
      <c r="A3655" s="49">
        <v>45059.17662060185</v>
      </c>
      <c r="B3655" s="50">
        <v>45059.3015295486</v>
      </c>
      <c r="C3655" s="51">
        <v>1.016</v>
      </c>
      <c r="D3655" s="51">
        <v>65.0</v>
      </c>
      <c r="E3655" s="52" t="s">
        <v>25</v>
      </c>
      <c r="F3655" s="52" t="s">
        <v>26</v>
      </c>
      <c r="G3655" s="53"/>
    </row>
    <row r="3656">
      <c r="A3656" s="49">
        <v>45059.18698751157</v>
      </c>
      <c r="B3656" s="50">
        <v>45059.3119620486</v>
      </c>
      <c r="C3656" s="51">
        <v>1.016</v>
      </c>
      <c r="D3656" s="51">
        <v>65.0</v>
      </c>
      <c r="E3656" s="52" t="s">
        <v>25</v>
      </c>
      <c r="F3656" s="52" t="s">
        <v>26</v>
      </c>
      <c r="G3656" s="53"/>
    </row>
    <row r="3657">
      <c r="A3657" s="49">
        <v>45059.19743758102</v>
      </c>
      <c r="B3657" s="50">
        <v>45059.3224075115</v>
      </c>
      <c r="C3657" s="51">
        <v>1.016</v>
      </c>
      <c r="D3657" s="51">
        <v>65.0</v>
      </c>
      <c r="E3657" s="52" t="s">
        <v>25</v>
      </c>
      <c r="F3657" s="52" t="s">
        <v>26</v>
      </c>
      <c r="G3657" s="53"/>
    </row>
    <row r="3658">
      <c r="A3658" s="49">
        <v>45059.20787056713</v>
      </c>
      <c r="B3658" s="50">
        <v>45059.332851956</v>
      </c>
      <c r="C3658" s="51">
        <v>1.016</v>
      </c>
      <c r="D3658" s="51">
        <v>65.0</v>
      </c>
      <c r="E3658" s="52" t="s">
        <v>25</v>
      </c>
      <c r="F3658" s="52" t="s">
        <v>26</v>
      </c>
      <c r="G3658" s="53"/>
    </row>
    <row r="3659">
      <c r="A3659" s="49">
        <v>45059.21830659722</v>
      </c>
      <c r="B3659" s="50">
        <v>45059.3432854513</v>
      </c>
      <c r="C3659" s="51">
        <v>1.016</v>
      </c>
      <c r="D3659" s="51">
        <v>65.0</v>
      </c>
      <c r="E3659" s="52" t="s">
        <v>25</v>
      </c>
      <c r="F3659" s="52" t="s">
        <v>26</v>
      </c>
      <c r="G3659" s="53"/>
    </row>
    <row r="3660">
      <c r="A3660" s="49">
        <v>45059.22877799769</v>
      </c>
      <c r="B3660" s="50">
        <v>45059.3537527546</v>
      </c>
      <c r="C3660" s="51">
        <v>1.016</v>
      </c>
      <c r="D3660" s="51">
        <v>65.0</v>
      </c>
      <c r="E3660" s="52" t="s">
        <v>25</v>
      </c>
      <c r="F3660" s="52" t="s">
        <v>26</v>
      </c>
      <c r="G3660" s="53"/>
    </row>
    <row r="3661">
      <c r="A3661" s="49">
        <v>45059.23920163194</v>
      </c>
      <c r="B3661" s="50">
        <v>45059.3641727314</v>
      </c>
      <c r="C3661" s="51">
        <v>1.016</v>
      </c>
      <c r="D3661" s="51">
        <v>65.0</v>
      </c>
      <c r="E3661" s="52" t="s">
        <v>25</v>
      </c>
      <c r="F3661" s="52" t="s">
        <v>26</v>
      </c>
      <c r="G3661" s="53"/>
    </row>
    <row r="3662">
      <c r="A3662" s="49">
        <v>45059.249619780094</v>
      </c>
      <c r="B3662" s="50">
        <v>45059.3745938541</v>
      </c>
      <c r="C3662" s="51">
        <v>1.016</v>
      </c>
      <c r="D3662" s="51">
        <v>65.0</v>
      </c>
      <c r="E3662" s="52" t="s">
        <v>25</v>
      </c>
      <c r="F3662" s="52" t="s">
        <v>26</v>
      </c>
      <c r="G3662" s="53"/>
    </row>
    <row r="3663">
      <c r="A3663" s="49">
        <v>45059.26014370371</v>
      </c>
      <c r="B3663" s="50">
        <v>45059.3851194213</v>
      </c>
      <c r="C3663" s="51">
        <v>1.016</v>
      </c>
      <c r="D3663" s="51">
        <v>65.0</v>
      </c>
      <c r="E3663" s="52" t="s">
        <v>25</v>
      </c>
      <c r="F3663" s="52" t="s">
        <v>26</v>
      </c>
      <c r="G3663" s="53"/>
    </row>
    <row r="3664">
      <c r="A3664" s="49">
        <v>45059.27069723379</v>
      </c>
      <c r="B3664" s="50">
        <v>45059.3956685648</v>
      </c>
      <c r="C3664" s="51">
        <v>1.016</v>
      </c>
      <c r="D3664" s="51">
        <v>65.0</v>
      </c>
      <c r="E3664" s="52" t="s">
        <v>25</v>
      </c>
      <c r="F3664" s="52" t="s">
        <v>26</v>
      </c>
      <c r="G3664" s="53"/>
    </row>
    <row r="3665">
      <c r="A3665" s="49">
        <v>45059.281160370374</v>
      </c>
      <c r="B3665" s="50">
        <v>45059.4061360648</v>
      </c>
      <c r="C3665" s="51">
        <v>1.016</v>
      </c>
      <c r="D3665" s="51">
        <v>65.0</v>
      </c>
      <c r="E3665" s="52" t="s">
        <v>25</v>
      </c>
      <c r="F3665" s="52" t="s">
        <v>26</v>
      </c>
      <c r="G3665" s="53"/>
    </row>
    <row r="3666">
      <c r="A3666" s="49">
        <v>45059.29159732639</v>
      </c>
      <c r="B3666" s="50">
        <v>45059.4165681018</v>
      </c>
      <c r="C3666" s="51">
        <v>1.016</v>
      </c>
      <c r="D3666" s="51">
        <v>65.0</v>
      </c>
      <c r="E3666" s="52" t="s">
        <v>25</v>
      </c>
      <c r="F3666" s="52" t="s">
        <v>26</v>
      </c>
      <c r="G3666" s="53"/>
    </row>
    <row r="3667">
      <c r="A3667" s="49">
        <v>45059.30201180556</v>
      </c>
      <c r="B3667" s="50">
        <v>45059.4269886111</v>
      </c>
      <c r="C3667" s="51">
        <v>1.016</v>
      </c>
      <c r="D3667" s="51">
        <v>65.0</v>
      </c>
      <c r="E3667" s="52" t="s">
        <v>25</v>
      </c>
      <c r="F3667" s="52" t="s">
        <v>26</v>
      </c>
      <c r="G3667" s="53"/>
    </row>
    <row r="3668">
      <c r="A3668" s="49">
        <v>45059.31244395833</v>
      </c>
      <c r="B3668" s="50">
        <v>45059.4374222453</v>
      </c>
      <c r="C3668" s="51">
        <v>1.016</v>
      </c>
      <c r="D3668" s="51">
        <v>65.0</v>
      </c>
      <c r="E3668" s="52" t="s">
        <v>25</v>
      </c>
      <c r="F3668" s="52" t="s">
        <v>26</v>
      </c>
      <c r="G3668" s="53"/>
    </row>
    <row r="3669">
      <c r="A3669" s="49">
        <v>45059.32286511574</v>
      </c>
      <c r="B3669" s="50">
        <v>45059.4478439583</v>
      </c>
      <c r="C3669" s="51">
        <v>1.017</v>
      </c>
      <c r="D3669" s="51">
        <v>65.0</v>
      </c>
      <c r="E3669" s="52" t="s">
        <v>25</v>
      </c>
      <c r="F3669" s="52" t="s">
        <v>26</v>
      </c>
      <c r="G3669" s="53"/>
    </row>
    <row r="3670">
      <c r="A3670" s="49">
        <v>45059.33328993055</v>
      </c>
      <c r="B3670" s="50">
        <v>45059.4582642708</v>
      </c>
      <c r="C3670" s="51">
        <v>1.016</v>
      </c>
      <c r="D3670" s="51">
        <v>65.0</v>
      </c>
      <c r="E3670" s="52" t="s">
        <v>25</v>
      </c>
      <c r="F3670" s="52" t="s">
        <v>26</v>
      </c>
      <c r="G3670" s="53"/>
    </row>
    <row r="3671">
      <c r="A3671" s="49">
        <v>45059.3437092824</v>
      </c>
      <c r="B3671" s="50">
        <v>45059.4686839236</v>
      </c>
      <c r="C3671" s="51">
        <v>1.016</v>
      </c>
      <c r="D3671" s="51">
        <v>65.0</v>
      </c>
      <c r="E3671" s="52" t="s">
        <v>25</v>
      </c>
      <c r="F3671" s="52" t="s">
        <v>26</v>
      </c>
      <c r="G3671" s="53"/>
    </row>
    <row r="3672">
      <c r="A3672" s="49">
        <v>45059.35414065972</v>
      </c>
      <c r="B3672" s="50">
        <v>45059.4791167129</v>
      </c>
      <c r="C3672" s="51">
        <v>1.016</v>
      </c>
      <c r="D3672" s="51">
        <v>65.0</v>
      </c>
      <c r="E3672" s="52" t="s">
        <v>25</v>
      </c>
      <c r="F3672" s="52" t="s">
        <v>26</v>
      </c>
      <c r="G3672" s="53"/>
    </row>
    <row r="3673">
      <c r="A3673" s="49">
        <v>45059.364612233796</v>
      </c>
      <c r="B3673" s="50">
        <v>45059.4895842939</v>
      </c>
      <c r="C3673" s="51">
        <v>1.017</v>
      </c>
      <c r="D3673" s="51">
        <v>65.0</v>
      </c>
      <c r="E3673" s="52" t="s">
        <v>25</v>
      </c>
      <c r="F3673" s="52" t="s">
        <v>26</v>
      </c>
      <c r="G3673" s="53"/>
    </row>
    <row r="3674">
      <c r="A3674" s="49">
        <v>45059.375051944444</v>
      </c>
      <c r="B3674" s="50">
        <v>45059.5000279861</v>
      </c>
      <c r="C3674" s="51">
        <v>1.017</v>
      </c>
      <c r="D3674" s="51">
        <v>65.0</v>
      </c>
      <c r="E3674" s="52" t="s">
        <v>25</v>
      </c>
      <c r="F3674" s="52" t="s">
        <v>26</v>
      </c>
      <c r="G3674" s="53"/>
    </row>
    <row r="3675">
      <c r="A3675" s="49">
        <v>45059.38555452546</v>
      </c>
      <c r="B3675" s="50">
        <v>45059.5105066898</v>
      </c>
      <c r="C3675" s="51">
        <v>1.016</v>
      </c>
      <c r="D3675" s="51">
        <v>65.0</v>
      </c>
      <c r="E3675" s="52" t="s">
        <v>25</v>
      </c>
      <c r="F3675" s="52" t="s">
        <v>26</v>
      </c>
      <c r="G3675" s="53"/>
    </row>
    <row r="3676">
      <c r="A3676" s="49">
        <v>45059.39598861111</v>
      </c>
      <c r="B3676" s="50">
        <v>45059.5209622338</v>
      </c>
      <c r="C3676" s="51">
        <v>1.017</v>
      </c>
      <c r="D3676" s="51">
        <v>65.0</v>
      </c>
      <c r="E3676" s="52" t="s">
        <v>25</v>
      </c>
      <c r="F3676" s="52" t="s">
        <v>26</v>
      </c>
      <c r="G3676" s="53"/>
    </row>
    <row r="3677">
      <c r="A3677" s="49">
        <v>45059.406402974535</v>
      </c>
      <c r="B3677" s="50">
        <v>45059.5313829861</v>
      </c>
      <c r="C3677" s="51">
        <v>1.016</v>
      </c>
      <c r="D3677" s="51">
        <v>65.0</v>
      </c>
      <c r="E3677" s="52" t="s">
        <v>25</v>
      </c>
      <c r="F3677" s="52" t="s">
        <v>26</v>
      </c>
      <c r="G3677" s="53"/>
    </row>
    <row r="3678">
      <c r="A3678" s="49">
        <v>45059.416820162034</v>
      </c>
      <c r="B3678" s="50">
        <v>45059.5418040162</v>
      </c>
      <c r="C3678" s="51">
        <v>1.016</v>
      </c>
      <c r="D3678" s="51">
        <v>65.0</v>
      </c>
      <c r="E3678" s="52" t="s">
        <v>25</v>
      </c>
      <c r="F3678" s="52" t="s">
        <v>26</v>
      </c>
      <c r="G3678" s="53"/>
    </row>
    <row r="3679">
      <c r="A3679" s="49">
        <v>45059.427255925926</v>
      </c>
      <c r="B3679" s="50">
        <v>45059.552237118</v>
      </c>
      <c r="C3679" s="51">
        <v>1.017</v>
      </c>
      <c r="D3679" s="51">
        <v>65.0</v>
      </c>
      <c r="E3679" s="52" t="s">
        <v>25</v>
      </c>
      <c r="F3679" s="52" t="s">
        <v>26</v>
      </c>
      <c r="G3679" s="53"/>
    </row>
    <row r="3680">
      <c r="A3680" s="49">
        <v>45059.437681261574</v>
      </c>
      <c r="B3680" s="50">
        <v>45059.562658993</v>
      </c>
      <c r="C3680" s="51">
        <v>1.017</v>
      </c>
      <c r="D3680" s="51">
        <v>65.0</v>
      </c>
      <c r="E3680" s="52" t="s">
        <v>25</v>
      </c>
      <c r="F3680" s="52" t="s">
        <v>26</v>
      </c>
      <c r="G3680" s="53"/>
    </row>
    <row r="3681">
      <c r="A3681" s="49">
        <v>45059.44811350694</v>
      </c>
      <c r="B3681" s="50">
        <v>45059.5730918402</v>
      </c>
      <c r="C3681" s="51">
        <v>1.017</v>
      </c>
      <c r="D3681" s="51">
        <v>65.0</v>
      </c>
      <c r="E3681" s="52" t="s">
        <v>25</v>
      </c>
      <c r="F3681" s="52" t="s">
        <v>26</v>
      </c>
      <c r="G3681" s="53"/>
    </row>
    <row r="3682">
      <c r="A3682" s="49">
        <v>45059.458538680556</v>
      </c>
      <c r="B3682" s="50">
        <v>45059.5835149421</v>
      </c>
      <c r="C3682" s="51">
        <v>1.016</v>
      </c>
      <c r="D3682" s="51">
        <v>65.0</v>
      </c>
      <c r="E3682" s="52" t="s">
        <v>25</v>
      </c>
      <c r="F3682" s="52" t="s">
        <v>26</v>
      </c>
      <c r="G3682" s="53"/>
    </row>
    <row r="3683">
      <c r="A3683" s="49">
        <v>45059.46897396991</v>
      </c>
      <c r="B3683" s="50">
        <v>45059.5939459143</v>
      </c>
      <c r="C3683" s="51">
        <v>1.016</v>
      </c>
      <c r="D3683" s="51">
        <v>65.0</v>
      </c>
      <c r="E3683" s="52" t="s">
        <v>25</v>
      </c>
      <c r="F3683" s="52" t="s">
        <v>26</v>
      </c>
      <c r="G3683" s="53"/>
    </row>
    <row r="3684">
      <c r="A3684" s="49">
        <v>45059.47943864584</v>
      </c>
      <c r="B3684" s="50">
        <v>45059.6044140625</v>
      </c>
      <c r="C3684" s="51">
        <v>1.017</v>
      </c>
      <c r="D3684" s="51">
        <v>65.0</v>
      </c>
      <c r="E3684" s="52" t="s">
        <v>25</v>
      </c>
      <c r="F3684" s="52" t="s">
        <v>26</v>
      </c>
      <c r="G3684" s="53"/>
    </row>
    <row r="3685">
      <c r="A3685" s="49">
        <v>45059.48990320602</v>
      </c>
      <c r="B3685" s="50">
        <v>45059.6148818634</v>
      </c>
      <c r="C3685" s="51">
        <v>1.016</v>
      </c>
      <c r="D3685" s="51">
        <v>65.0</v>
      </c>
      <c r="E3685" s="52" t="s">
        <v>25</v>
      </c>
      <c r="F3685" s="52" t="s">
        <v>26</v>
      </c>
      <c r="G3685" s="53"/>
    </row>
    <row r="3686">
      <c r="A3686" s="49">
        <v>45059.50035770833</v>
      </c>
      <c r="B3686" s="50">
        <v>45059.6253257523</v>
      </c>
      <c r="C3686" s="51">
        <v>1.016</v>
      </c>
      <c r="D3686" s="51">
        <v>65.0</v>
      </c>
      <c r="E3686" s="52" t="s">
        <v>25</v>
      </c>
      <c r="F3686" s="52" t="s">
        <v>26</v>
      </c>
      <c r="G3686" s="53"/>
    </row>
    <row r="3687">
      <c r="A3687" s="49">
        <v>45059.5108075926</v>
      </c>
      <c r="B3687" s="50">
        <v>45059.6357809259</v>
      </c>
      <c r="C3687" s="51">
        <v>1.016</v>
      </c>
      <c r="D3687" s="51">
        <v>65.0</v>
      </c>
      <c r="E3687" s="52" t="s">
        <v>25</v>
      </c>
      <c r="F3687" s="52" t="s">
        <v>26</v>
      </c>
      <c r="G3687" s="53"/>
    </row>
    <row r="3688">
      <c r="A3688" s="49">
        <v>45059.52122358796</v>
      </c>
      <c r="B3688" s="50">
        <v>45059.6462004398</v>
      </c>
      <c r="C3688" s="51">
        <v>1.016</v>
      </c>
      <c r="D3688" s="51">
        <v>65.0</v>
      </c>
      <c r="E3688" s="52" t="s">
        <v>25</v>
      </c>
      <c r="F3688" s="52" t="s">
        <v>26</v>
      </c>
      <c r="G3688" s="53"/>
    </row>
    <row r="3689">
      <c r="A3689" s="49">
        <v>45059.53167454861</v>
      </c>
      <c r="B3689" s="50">
        <v>45059.6566459143</v>
      </c>
      <c r="C3689" s="51">
        <v>1.017</v>
      </c>
      <c r="D3689" s="51">
        <v>65.0</v>
      </c>
      <c r="E3689" s="52" t="s">
        <v>25</v>
      </c>
      <c r="F3689" s="52" t="s">
        <v>26</v>
      </c>
      <c r="G3689" s="53"/>
    </row>
    <row r="3690">
      <c r="A3690" s="49">
        <v>45059.542150625</v>
      </c>
      <c r="B3690" s="50">
        <v>45059.6671243981</v>
      </c>
      <c r="C3690" s="51">
        <v>1.017</v>
      </c>
      <c r="D3690" s="51">
        <v>65.0</v>
      </c>
      <c r="E3690" s="52" t="s">
        <v>25</v>
      </c>
      <c r="F3690" s="52" t="s">
        <v>26</v>
      </c>
      <c r="G3690" s="53"/>
    </row>
    <row r="3691">
      <c r="A3691" s="49">
        <v>45059.55256113426</v>
      </c>
      <c r="B3691" s="50">
        <v>45059.67754625</v>
      </c>
      <c r="C3691" s="51">
        <v>1.016</v>
      </c>
      <c r="D3691" s="51">
        <v>65.0</v>
      </c>
      <c r="E3691" s="52" t="s">
        <v>25</v>
      </c>
      <c r="F3691" s="52" t="s">
        <v>26</v>
      </c>
      <c r="G3691" s="53"/>
    </row>
    <row r="3692">
      <c r="A3692" s="49">
        <v>45059.56300296297</v>
      </c>
      <c r="B3692" s="50">
        <v>45059.6879790625</v>
      </c>
      <c r="C3692" s="51">
        <v>1.016</v>
      </c>
      <c r="D3692" s="51">
        <v>65.0</v>
      </c>
      <c r="E3692" s="52" t="s">
        <v>25</v>
      </c>
      <c r="F3692" s="52" t="s">
        <v>26</v>
      </c>
      <c r="G3692" s="53"/>
    </row>
    <row r="3693">
      <c r="A3693" s="49">
        <v>45059.57342881944</v>
      </c>
      <c r="B3693" s="50">
        <v>45059.6984000231</v>
      </c>
      <c r="C3693" s="51">
        <v>1.016</v>
      </c>
      <c r="D3693" s="51">
        <v>65.0</v>
      </c>
      <c r="E3693" s="52" t="s">
        <v>25</v>
      </c>
      <c r="F3693" s="52" t="s">
        <v>26</v>
      </c>
      <c r="G3693" s="53"/>
    </row>
    <row r="3694">
      <c r="A3694" s="49">
        <v>45059.583876770834</v>
      </c>
      <c r="B3694" s="50">
        <v>45059.7088569444</v>
      </c>
      <c r="C3694" s="51">
        <v>1.016</v>
      </c>
      <c r="D3694" s="51">
        <v>65.0</v>
      </c>
      <c r="E3694" s="52" t="s">
        <v>25</v>
      </c>
      <c r="F3694" s="52" t="s">
        <v>26</v>
      </c>
      <c r="G3694" s="53"/>
    </row>
    <row r="3695">
      <c r="A3695" s="49">
        <v>45059.59431335648</v>
      </c>
      <c r="B3695" s="50">
        <v>45059.7192891203</v>
      </c>
      <c r="C3695" s="51">
        <v>1.017</v>
      </c>
      <c r="D3695" s="51">
        <v>65.0</v>
      </c>
      <c r="E3695" s="52" t="s">
        <v>25</v>
      </c>
      <c r="F3695" s="52" t="s">
        <v>26</v>
      </c>
      <c r="G3695" s="53"/>
    </row>
    <row r="3696">
      <c r="A3696" s="49">
        <v>45059.604749398146</v>
      </c>
      <c r="B3696" s="50">
        <v>45059.7297198263</v>
      </c>
      <c r="C3696" s="51">
        <v>1.016</v>
      </c>
      <c r="D3696" s="51">
        <v>65.0</v>
      </c>
      <c r="E3696" s="52" t="s">
        <v>25</v>
      </c>
      <c r="F3696" s="52" t="s">
        <v>26</v>
      </c>
      <c r="G3696" s="53"/>
    </row>
    <row r="3697">
      <c r="A3697" s="49">
        <v>45059.61516223379</v>
      </c>
      <c r="B3697" s="50">
        <v>45059.7401380324</v>
      </c>
      <c r="C3697" s="51">
        <v>1.016</v>
      </c>
      <c r="D3697" s="51">
        <v>65.0</v>
      </c>
      <c r="E3697" s="52" t="s">
        <v>25</v>
      </c>
      <c r="F3697" s="52" t="s">
        <v>26</v>
      </c>
      <c r="G3697" s="53"/>
    </row>
    <row r="3698">
      <c r="A3698" s="49">
        <v>45059.62557747685</v>
      </c>
      <c r="B3698" s="50">
        <v>45059.7505596064</v>
      </c>
      <c r="C3698" s="51">
        <v>1.016</v>
      </c>
      <c r="D3698" s="51">
        <v>65.0</v>
      </c>
      <c r="E3698" s="52" t="s">
        <v>25</v>
      </c>
      <c r="F3698" s="52" t="s">
        <v>26</v>
      </c>
      <c r="G3698" s="53"/>
    </row>
    <row r="3699">
      <c r="A3699" s="49">
        <v>45059.63600097223</v>
      </c>
      <c r="B3699" s="50">
        <v>45059.7609797569</v>
      </c>
      <c r="C3699" s="51">
        <v>1.016</v>
      </c>
      <c r="D3699" s="51">
        <v>65.0</v>
      </c>
      <c r="E3699" s="52" t="s">
        <v>25</v>
      </c>
      <c r="F3699" s="52" t="s">
        <v>26</v>
      </c>
      <c r="G3699" s="53"/>
    </row>
    <row r="3700">
      <c r="A3700" s="49">
        <v>45059.64643770833</v>
      </c>
      <c r="B3700" s="50">
        <v>45059.7714111226</v>
      </c>
      <c r="C3700" s="51">
        <v>1.016</v>
      </c>
      <c r="D3700" s="51">
        <v>65.0</v>
      </c>
      <c r="E3700" s="52" t="s">
        <v>25</v>
      </c>
      <c r="F3700" s="52" t="s">
        <v>26</v>
      </c>
      <c r="G3700" s="53"/>
    </row>
    <row r="3701">
      <c r="A3701" s="49">
        <v>45059.65687111111</v>
      </c>
      <c r="B3701" s="50">
        <v>45059.7818436226</v>
      </c>
      <c r="C3701" s="51">
        <v>1.016</v>
      </c>
      <c r="D3701" s="51">
        <v>65.0</v>
      </c>
      <c r="E3701" s="52" t="s">
        <v>25</v>
      </c>
      <c r="F3701" s="52" t="s">
        <v>26</v>
      </c>
      <c r="G3701" s="53"/>
    </row>
    <row r="3702">
      <c r="A3702" s="49">
        <v>45059.6672912037</v>
      </c>
      <c r="B3702" s="50">
        <v>45059.7922637152</v>
      </c>
      <c r="C3702" s="51">
        <v>1.016</v>
      </c>
      <c r="D3702" s="51">
        <v>65.0</v>
      </c>
      <c r="E3702" s="52" t="s">
        <v>25</v>
      </c>
      <c r="F3702" s="52" t="s">
        <v>26</v>
      </c>
      <c r="G3702" s="53"/>
    </row>
    <row r="3703">
      <c r="A3703" s="49">
        <v>45059.677712777775</v>
      </c>
      <c r="B3703" s="50">
        <v>45059.802684699</v>
      </c>
      <c r="C3703" s="51">
        <v>1.017</v>
      </c>
      <c r="D3703" s="51">
        <v>65.0</v>
      </c>
      <c r="E3703" s="52" t="s">
        <v>25</v>
      </c>
      <c r="F3703" s="52" t="s">
        <v>26</v>
      </c>
      <c r="G3703" s="53"/>
    </row>
    <row r="3704">
      <c r="A3704" s="49">
        <v>45059.68821273148</v>
      </c>
      <c r="B3704" s="50">
        <v>45059.8131875694</v>
      </c>
      <c r="C3704" s="51">
        <v>1.016</v>
      </c>
      <c r="D3704" s="51">
        <v>65.0</v>
      </c>
      <c r="E3704" s="52" t="s">
        <v>25</v>
      </c>
      <c r="F3704" s="52" t="s">
        <v>26</v>
      </c>
      <c r="G3704" s="53"/>
    </row>
    <row r="3705">
      <c r="A3705" s="49">
        <v>45059.69866902778</v>
      </c>
      <c r="B3705" s="50">
        <v>45059.8236427199</v>
      </c>
      <c r="C3705" s="51">
        <v>1.017</v>
      </c>
      <c r="D3705" s="51">
        <v>65.0</v>
      </c>
      <c r="E3705" s="52" t="s">
        <v>25</v>
      </c>
      <c r="F3705" s="52" t="s">
        <v>26</v>
      </c>
      <c r="G3705" s="53"/>
    </row>
    <row r="3706">
      <c r="A3706" s="49">
        <v>45059.70911684028</v>
      </c>
      <c r="B3706" s="50">
        <v>45059.8340758217</v>
      </c>
      <c r="C3706" s="51">
        <v>1.016</v>
      </c>
      <c r="D3706" s="51">
        <v>65.0</v>
      </c>
      <c r="E3706" s="52" t="s">
        <v>25</v>
      </c>
      <c r="F3706" s="52" t="s">
        <v>26</v>
      </c>
      <c r="G3706" s="53"/>
    </row>
    <row r="3707">
      <c r="A3707" s="49">
        <v>45059.71958082176</v>
      </c>
      <c r="B3707" s="50">
        <v>45059.8444972453</v>
      </c>
      <c r="C3707" s="51">
        <v>1.016</v>
      </c>
      <c r="D3707" s="51">
        <v>65.0</v>
      </c>
      <c r="E3707" s="52" t="s">
        <v>25</v>
      </c>
      <c r="F3707" s="52" t="s">
        <v>26</v>
      </c>
      <c r="G3707" s="53"/>
    </row>
    <row r="3708">
      <c r="A3708" s="49">
        <v>45059.729944375</v>
      </c>
      <c r="B3708" s="50">
        <v>45059.8549178472</v>
      </c>
      <c r="C3708" s="51">
        <v>1.017</v>
      </c>
      <c r="D3708" s="51">
        <v>65.0</v>
      </c>
      <c r="E3708" s="52" t="s">
        <v>25</v>
      </c>
      <c r="F3708" s="52" t="s">
        <v>26</v>
      </c>
      <c r="G3708" s="53"/>
    </row>
    <row r="3709">
      <c r="A3709" s="49">
        <v>45059.740356979164</v>
      </c>
      <c r="B3709" s="50">
        <v>45059.8653398726</v>
      </c>
      <c r="C3709" s="51">
        <v>1.016</v>
      </c>
      <c r="D3709" s="51">
        <v>65.0</v>
      </c>
      <c r="E3709" s="52" t="s">
        <v>25</v>
      </c>
      <c r="F3709" s="52" t="s">
        <v>26</v>
      </c>
      <c r="G3709" s="53"/>
    </row>
    <row r="3710">
      <c r="A3710" s="49">
        <v>45059.750791238424</v>
      </c>
      <c r="B3710" s="50">
        <v>45059.8757623611</v>
      </c>
      <c r="C3710" s="51">
        <v>1.016</v>
      </c>
      <c r="D3710" s="51">
        <v>65.0</v>
      </c>
      <c r="E3710" s="52" t="s">
        <v>25</v>
      </c>
      <c r="F3710" s="52" t="s">
        <v>26</v>
      </c>
      <c r="G3710" s="53"/>
    </row>
    <row r="3711">
      <c r="A3711" s="49">
        <v>45059.76120678241</v>
      </c>
      <c r="B3711" s="50">
        <v>45059.8861837152</v>
      </c>
      <c r="C3711" s="51">
        <v>1.016</v>
      </c>
      <c r="D3711" s="51">
        <v>65.0</v>
      </c>
      <c r="E3711" s="52" t="s">
        <v>25</v>
      </c>
      <c r="F3711" s="52" t="s">
        <v>26</v>
      </c>
      <c r="G3711" s="53"/>
    </row>
    <row r="3712">
      <c r="A3712" s="49">
        <v>45059.77166856482</v>
      </c>
      <c r="B3712" s="50">
        <v>45059.8966276967</v>
      </c>
      <c r="C3712" s="51">
        <v>1.016</v>
      </c>
      <c r="D3712" s="51">
        <v>65.0</v>
      </c>
      <c r="E3712" s="52" t="s">
        <v>25</v>
      </c>
      <c r="F3712" s="52" t="s">
        <v>26</v>
      </c>
      <c r="G3712" s="53"/>
    </row>
    <row r="3713">
      <c r="A3713" s="49">
        <v>45059.782086493055</v>
      </c>
      <c r="B3713" s="50">
        <v>45059.907060162</v>
      </c>
      <c r="C3713" s="51">
        <v>1.016</v>
      </c>
      <c r="D3713" s="51">
        <v>65.0</v>
      </c>
      <c r="E3713" s="52" t="s">
        <v>25</v>
      </c>
      <c r="F3713" s="52" t="s">
        <v>26</v>
      </c>
      <c r="G3713" s="53"/>
    </row>
    <row r="3714">
      <c r="A3714" s="49">
        <v>45059.79254207176</v>
      </c>
      <c r="B3714" s="50">
        <v>45059.9175154976</v>
      </c>
      <c r="C3714" s="51">
        <v>1.016</v>
      </c>
      <c r="D3714" s="51">
        <v>65.0</v>
      </c>
      <c r="E3714" s="52" t="s">
        <v>25</v>
      </c>
      <c r="F3714" s="52" t="s">
        <v>26</v>
      </c>
      <c r="G3714" s="53"/>
    </row>
    <row r="3715">
      <c r="A3715" s="49">
        <v>45059.80297009259</v>
      </c>
      <c r="B3715" s="50">
        <v>45059.9279498379</v>
      </c>
      <c r="C3715" s="51">
        <v>1.016</v>
      </c>
      <c r="D3715" s="51">
        <v>65.0</v>
      </c>
      <c r="E3715" s="52" t="s">
        <v>25</v>
      </c>
      <c r="F3715" s="52" t="s">
        <v>26</v>
      </c>
      <c r="G3715" s="53"/>
    </row>
    <row r="3716">
      <c r="A3716" s="49">
        <v>45059.81343334491</v>
      </c>
      <c r="B3716" s="50">
        <v>45059.9384045486</v>
      </c>
      <c r="C3716" s="51">
        <v>1.016</v>
      </c>
      <c r="D3716" s="51">
        <v>65.0</v>
      </c>
      <c r="E3716" s="52" t="s">
        <v>25</v>
      </c>
      <c r="F3716" s="52" t="s">
        <v>26</v>
      </c>
      <c r="G3716" s="53"/>
    </row>
    <row r="3717">
      <c r="A3717" s="49">
        <v>45059.823852789355</v>
      </c>
      <c r="B3717" s="50">
        <v>45059.9488235995</v>
      </c>
      <c r="C3717" s="51">
        <v>1.016</v>
      </c>
      <c r="D3717" s="51">
        <v>65.0</v>
      </c>
      <c r="E3717" s="52" t="s">
        <v>25</v>
      </c>
      <c r="F3717" s="52" t="s">
        <v>26</v>
      </c>
      <c r="G3717" s="53"/>
    </row>
    <row r="3718">
      <c r="A3718" s="49">
        <v>45059.83427252315</v>
      </c>
      <c r="B3718" s="50">
        <v>45059.9592452777</v>
      </c>
      <c r="C3718" s="51">
        <v>1.016</v>
      </c>
      <c r="D3718" s="51">
        <v>65.0</v>
      </c>
      <c r="E3718" s="52" t="s">
        <v>25</v>
      </c>
      <c r="F3718" s="52" t="s">
        <v>26</v>
      </c>
      <c r="G3718" s="53"/>
    </row>
    <row r="3719">
      <c r="A3719" s="49">
        <v>45059.84472483797</v>
      </c>
      <c r="B3719" s="50">
        <v>45059.9696993981</v>
      </c>
      <c r="C3719" s="51">
        <v>1.016</v>
      </c>
      <c r="D3719" s="51">
        <v>65.0</v>
      </c>
      <c r="E3719" s="52" t="s">
        <v>25</v>
      </c>
      <c r="F3719" s="52" t="s">
        <v>26</v>
      </c>
      <c r="G3719" s="53"/>
    </row>
    <row r="3720">
      <c r="A3720" s="49">
        <v>45059.85514219907</v>
      </c>
      <c r="B3720" s="50">
        <v>45059.9801194791</v>
      </c>
      <c r="C3720" s="51">
        <v>1.016</v>
      </c>
      <c r="D3720" s="51">
        <v>65.0</v>
      </c>
      <c r="E3720" s="52" t="s">
        <v>25</v>
      </c>
      <c r="F3720" s="52" t="s">
        <v>26</v>
      </c>
      <c r="G3720" s="53"/>
    </row>
    <row r="3721">
      <c r="A3721" s="49">
        <v>45059.865650057865</v>
      </c>
      <c r="B3721" s="50">
        <v>45059.9906220138</v>
      </c>
      <c r="C3721" s="51">
        <v>1.016</v>
      </c>
      <c r="D3721" s="51">
        <v>65.0</v>
      </c>
      <c r="E3721" s="52" t="s">
        <v>25</v>
      </c>
      <c r="F3721" s="52" t="s">
        <v>26</v>
      </c>
      <c r="G3721" s="53"/>
    </row>
    <row r="3722">
      <c r="A3722" s="49">
        <v>45059.87612082176</v>
      </c>
      <c r="B3722" s="50">
        <v>45060.0011033101</v>
      </c>
      <c r="C3722" s="51">
        <v>1.017</v>
      </c>
      <c r="D3722" s="51">
        <v>65.0</v>
      </c>
      <c r="E3722" s="52" t="s">
        <v>25</v>
      </c>
      <c r="F3722" s="52" t="s">
        <v>26</v>
      </c>
      <c r="G3722" s="53"/>
    </row>
    <row r="3723">
      <c r="A3723" s="49">
        <v>45059.88654324074</v>
      </c>
      <c r="B3723" s="50">
        <v>45060.0115254051</v>
      </c>
      <c r="C3723" s="51">
        <v>1.016</v>
      </c>
      <c r="D3723" s="51">
        <v>65.0</v>
      </c>
      <c r="E3723" s="52" t="s">
        <v>25</v>
      </c>
      <c r="F3723" s="52" t="s">
        <v>26</v>
      </c>
      <c r="G3723" s="53"/>
    </row>
    <row r="3724">
      <c r="A3724" s="49">
        <v>45059.89697622685</v>
      </c>
      <c r="B3724" s="50">
        <v>45060.0219575115</v>
      </c>
      <c r="C3724" s="51">
        <v>1.016</v>
      </c>
      <c r="D3724" s="51">
        <v>65.0</v>
      </c>
      <c r="E3724" s="52" t="s">
        <v>25</v>
      </c>
      <c r="F3724" s="52" t="s">
        <v>26</v>
      </c>
      <c r="G3724" s="53"/>
    </row>
    <row r="3725">
      <c r="A3725" s="49">
        <v>45059.90747579861</v>
      </c>
      <c r="B3725" s="50">
        <v>45060.0324485763</v>
      </c>
      <c r="C3725" s="51">
        <v>1.016</v>
      </c>
      <c r="D3725" s="51">
        <v>65.0</v>
      </c>
      <c r="E3725" s="52" t="s">
        <v>25</v>
      </c>
      <c r="F3725" s="52" t="s">
        <v>26</v>
      </c>
      <c r="G3725" s="53"/>
    </row>
    <row r="3726">
      <c r="A3726" s="49">
        <v>45059.91788649306</v>
      </c>
      <c r="B3726" s="50">
        <v>45060.0428699421</v>
      </c>
      <c r="C3726" s="51">
        <v>1.016</v>
      </c>
      <c r="D3726" s="51">
        <v>65.0</v>
      </c>
      <c r="E3726" s="52" t="s">
        <v>25</v>
      </c>
      <c r="F3726" s="52" t="s">
        <v>26</v>
      </c>
      <c r="G3726" s="53"/>
    </row>
    <row r="3727">
      <c r="A3727" s="49">
        <v>45059.92834326389</v>
      </c>
      <c r="B3727" s="50">
        <v>45060.0533256481</v>
      </c>
      <c r="C3727" s="51">
        <v>1.016</v>
      </c>
      <c r="D3727" s="51">
        <v>65.0</v>
      </c>
      <c r="E3727" s="52" t="s">
        <v>25</v>
      </c>
      <c r="F3727" s="52" t="s">
        <v>26</v>
      </c>
      <c r="G3727" s="53"/>
    </row>
    <row r="3728">
      <c r="A3728" s="49">
        <v>45059.938765150466</v>
      </c>
      <c r="B3728" s="50">
        <v>45060.0637461458</v>
      </c>
      <c r="C3728" s="51">
        <v>1.016</v>
      </c>
      <c r="D3728" s="51">
        <v>65.0</v>
      </c>
      <c r="E3728" s="52" t="s">
        <v>25</v>
      </c>
      <c r="F3728" s="52" t="s">
        <v>26</v>
      </c>
      <c r="G3728" s="53"/>
    </row>
    <row r="3729">
      <c r="A3729" s="49">
        <v>45059.94920939815</v>
      </c>
      <c r="B3729" s="50">
        <v>45060.0741908912</v>
      </c>
      <c r="C3729" s="51">
        <v>1.016</v>
      </c>
      <c r="D3729" s="51">
        <v>65.0</v>
      </c>
      <c r="E3729" s="52" t="s">
        <v>25</v>
      </c>
      <c r="F3729" s="52" t="s">
        <v>26</v>
      </c>
      <c r="G3729" s="53"/>
    </row>
    <row r="3730">
      <c r="A3730" s="49">
        <v>45059.95965125</v>
      </c>
      <c r="B3730" s="50">
        <v>45060.0846263541</v>
      </c>
      <c r="C3730" s="51">
        <v>1.016</v>
      </c>
      <c r="D3730" s="51">
        <v>65.0</v>
      </c>
      <c r="E3730" s="52" t="s">
        <v>25</v>
      </c>
      <c r="F3730" s="52" t="s">
        <v>26</v>
      </c>
      <c r="G3730" s="53"/>
    </row>
    <row r="3731">
      <c r="A3731" s="49">
        <v>45059.97007255787</v>
      </c>
      <c r="B3731" s="50">
        <v>45060.0950476504</v>
      </c>
      <c r="C3731" s="51">
        <v>1.016</v>
      </c>
      <c r="D3731" s="51">
        <v>65.0</v>
      </c>
      <c r="E3731" s="52" t="s">
        <v>25</v>
      </c>
      <c r="F3731" s="52" t="s">
        <v>26</v>
      </c>
      <c r="G3731" s="53"/>
    </row>
    <row r="3732">
      <c r="A3732" s="49">
        <v>45059.980504548614</v>
      </c>
      <c r="B3732" s="50">
        <v>45060.1054812615</v>
      </c>
      <c r="C3732" s="51">
        <v>1.016</v>
      </c>
      <c r="D3732" s="51">
        <v>65.0</v>
      </c>
      <c r="E3732" s="52" t="s">
        <v>25</v>
      </c>
      <c r="F3732" s="52" t="s">
        <v>26</v>
      </c>
      <c r="G3732" s="53"/>
    </row>
    <row r="3733">
      <c r="A3733" s="49">
        <v>45059.99091732639</v>
      </c>
      <c r="B3733" s="50">
        <v>45060.1159018171</v>
      </c>
      <c r="C3733" s="51">
        <v>1.016</v>
      </c>
      <c r="D3733" s="51">
        <v>65.0</v>
      </c>
      <c r="E3733" s="52" t="s">
        <v>25</v>
      </c>
      <c r="F3733" s="52" t="s">
        <v>26</v>
      </c>
      <c r="G3733" s="53"/>
    </row>
    <row r="3734">
      <c r="A3734" s="49">
        <v>45060.00133832176</v>
      </c>
      <c r="B3734" s="50">
        <v>45060.1263236342</v>
      </c>
      <c r="C3734" s="51">
        <v>1.016</v>
      </c>
      <c r="D3734" s="51">
        <v>65.0</v>
      </c>
      <c r="E3734" s="52" t="s">
        <v>25</v>
      </c>
      <c r="F3734" s="52" t="s">
        <v>26</v>
      </c>
      <c r="G3734" s="53"/>
    </row>
    <row r="3735">
      <c r="A3735" s="49">
        <v>45060.01176359954</v>
      </c>
      <c r="B3735" s="50">
        <v>45060.1367440625</v>
      </c>
      <c r="C3735" s="51">
        <v>1.016</v>
      </c>
      <c r="D3735" s="51">
        <v>65.0</v>
      </c>
      <c r="E3735" s="52" t="s">
        <v>25</v>
      </c>
      <c r="F3735" s="52" t="s">
        <v>26</v>
      </c>
      <c r="G3735" s="53"/>
    </row>
    <row r="3736">
      <c r="A3736" s="49">
        <v>45060.02219307871</v>
      </c>
      <c r="B3736" s="50">
        <v>45060.1471785995</v>
      </c>
      <c r="C3736" s="51">
        <v>1.016</v>
      </c>
      <c r="D3736" s="51">
        <v>65.0</v>
      </c>
      <c r="E3736" s="52" t="s">
        <v>25</v>
      </c>
      <c r="F3736" s="52" t="s">
        <v>26</v>
      </c>
      <c r="G3736" s="53"/>
    </row>
    <row r="3737">
      <c r="A3737" s="49">
        <v>45060.03271130787</v>
      </c>
      <c r="B3737" s="50">
        <v>45060.1576912152</v>
      </c>
      <c r="C3737" s="51">
        <v>1.016</v>
      </c>
      <c r="D3737" s="51">
        <v>65.0</v>
      </c>
      <c r="E3737" s="52" t="s">
        <v>25</v>
      </c>
      <c r="F3737" s="52" t="s">
        <v>26</v>
      </c>
      <c r="G3737" s="53"/>
    </row>
    <row r="3738">
      <c r="A3738" s="49">
        <v>45060.043156238426</v>
      </c>
      <c r="B3738" s="50">
        <v>45060.168137824</v>
      </c>
      <c r="C3738" s="51">
        <v>1.016</v>
      </c>
      <c r="D3738" s="51">
        <v>65.0</v>
      </c>
      <c r="E3738" s="52" t="s">
        <v>25</v>
      </c>
      <c r="F3738" s="52" t="s">
        <v>26</v>
      </c>
      <c r="G3738" s="53"/>
    </row>
    <row r="3739">
      <c r="A3739" s="49">
        <v>45060.053583009256</v>
      </c>
      <c r="B3739" s="50">
        <v>45060.1785596296</v>
      </c>
      <c r="C3739" s="51">
        <v>1.016</v>
      </c>
      <c r="D3739" s="51">
        <v>65.0</v>
      </c>
      <c r="E3739" s="52" t="s">
        <v>25</v>
      </c>
      <c r="F3739" s="52" t="s">
        <v>26</v>
      </c>
      <c r="G3739" s="53"/>
    </row>
    <row r="3740">
      <c r="A3740" s="49">
        <v>45060.064096145834</v>
      </c>
      <c r="B3740" s="50">
        <v>45060.189075081</v>
      </c>
      <c r="C3740" s="51">
        <v>1.016</v>
      </c>
      <c r="D3740" s="51">
        <v>65.0</v>
      </c>
      <c r="E3740" s="52" t="s">
        <v>25</v>
      </c>
      <c r="F3740" s="52" t="s">
        <v>26</v>
      </c>
      <c r="G3740" s="53"/>
    </row>
    <row r="3741">
      <c r="A3741" s="49">
        <v>45060.07452621528</v>
      </c>
      <c r="B3741" s="50">
        <v>45060.1995052777</v>
      </c>
      <c r="C3741" s="51">
        <v>1.016</v>
      </c>
      <c r="D3741" s="51">
        <v>65.0</v>
      </c>
      <c r="E3741" s="52" t="s">
        <v>25</v>
      </c>
      <c r="F3741" s="52" t="s">
        <v>26</v>
      </c>
      <c r="G3741" s="53"/>
    </row>
    <row r="3742">
      <c r="A3742" s="49">
        <v>45060.08498501158</v>
      </c>
      <c r="B3742" s="50">
        <v>45060.2099630555</v>
      </c>
      <c r="C3742" s="51">
        <v>1.016</v>
      </c>
      <c r="D3742" s="51">
        <v>65.0</v>
      </c>
      <c r="E3742" s="52" t="s">
        <v>25</v>
      </c>
      <c r="F3742" s="52" t="s">
        <v>26</v>
      </c>
      <c r="G3742" s="53"/>
    </row>
    <row r="3743">
      <c r="A3743" s="49">
        <v>45060.0954074537</v>
      </c>
      <c r="B3743" s="50">
        <v>45060.2203836689</v>
      </c>
      <c r="C3743" s="51">
        <v>1.016</v>
      </c>
      <c r="D3743" s="51">
        <v>65.0</v>
      </c>
      <c r="E3743" s="52" t="s">
        <v>25</v>
      </c>
      <c r="F3743" s="52" t="s">
        <v>26</v>
      </c>
      <c r="G3743" s="53"/>
    </row>
    <row r="3744">
      <c r="A3744" s="49">
        <v>45060.105831678244</v>
      </c>
      <c r="B3744" s="50">
        <v>45060.2308048379</v>
      </c>
      <c r="C3744" s="51">
        <v>1.016</v>
      </c>
      <c r="D3744" s="51">
        <v>65.0</v>
      </c>
      <c r="E3744" s="52" t="s">
        <v>25</v>
      </c>
      <c r="F3744" s="52" t="s">
        <v>26</v>
      </c>
      <c r="G3744" s="53"/>
    </row>
    <row r="3745">
      <c r="A3745" s="49">
        <v>45060.11625648148</v>
      </c>
      <c r="B3745" s="50">
        <v>45060.2412389583</v>
      </c>
      <c r="C3745" s="51">
        <v>1.016</v>
      </c>
      <c r="D3745" s="51">
        <v>65.0</v>
      </c>
      <c r="E3745" s="52" t="s">
        <v>25</v>
      </c>
      <c r="F3745" s="52" t="s">
        <v>26</v>
      </c>
      <c r="G3745" s="53"/>
    </row>
    <row r="3746">
      <c r="A3746" s="49">
        <v>45060.12667912037</v>
      </c>
      <c r="B3746" s="50">
        <v>45060.2516599074</v>
      </c>
      <c r="C3746" s="51">
        <v>1.016</v>
      </c>
      <c r="D3746" s="51">
        <v>65.0</v>
      </c>
      <c r="E3746" s="52" t="s">
        <v>25</v>
      </c>
      <c r="F3746" s="52" t="s">
        <v>26</v>
      </c>
      <c r="G3746" s="53"/>
    </row>
    <row r="3747">
      <c r="A3747" s="49">
        <v>45060.13717865741</v>
      </c>
      <c r="B3747" s="50">
        <v>45060.2621513888</v>
      </c>
      <c r="C3747" s="51">
        <v>1.016</v>
      </c>
      <c r="D3747" s="51">
        <v>65.0</v>
      </c>
      <c r="E3747" s="52" t="s">
        <v>25</v>
      </c>
      <c r="F3747" s="52" t="s">
        <v>26</v>
      </c>
      <c r="G3747" s="53"/>
    </row>
    <row r="3748">
      <c r="A3748" s="49">
        <v>45060.1476187963</v>
      </c>
      <c r="B3748" s="50">
        <v>45060.272584456</v>
      </c>
      <c r="C3748" s="51">
        <v>1.016</v>
      </c>
      <c r="D3748" s="51">
        <v>65.0</v>
      </c>
      <c r="E3748" s="52" t="s">
        <v>25</v>
      </c>
      <c r="F3748" s="52" t="s">
        <v>26</v>
      </c>
      <c r="G3748" s="53"/>
    </row>
    <row r="3749">
      <c r="A3749" s="49">
        <v>45060.15803224537</v>
      </c>
      <c r="B3749" s="50">
        <v>45060.2830046064</v>
      </c>
      <c r="C3749" s="51">
        <v>1.016</v>
      </c>
      <c r="D3749" s="51">
        <v>65.0</v>
      </c>
      <c r="E3749" s="52" t="s">
        <v>25</v>
      </c>
      <c r="F3749" s="52" t="s">
        <v>26</v>
      </c>
      <c r="G3749" s="53"/>
    </row>
    <row r="3750">
      <c r="A3750" s="49">
        <v>45060.16845380787</v>
      </c>
      <c r="B3750" s="50">
        <v>45060.2934248611</v>
      </c>
      <c r="C3750" s="51">
        <v>1.016</v>
      </c>
      <c r="D3750" s="51">
        <v>65.0</v>
      </c>
      <c r="E3750" s="52" t="s">
        <v>25</v>
      </c>
      <c r="F3750" s="52" t="s">
        <v>26</v>
      </c>
      <c r="G3750" s="53"/>
    </row>
    <row r="3751">
      <c r="A3751" s="49">
        <v>45060.17890803241</v>
      </c>
      <c r="B3751" s="50">
        <v>45060.303870625</v>
      </c>
      <c r="C3751" s="51">
        <v>1.016</v>
      </c>
      <c r="D3751" s="51">
        <v>65.0</v>
      </c>
      <c r="E3751" s="52" t="s">
        <v>25</v>
      </c>
      <c r="F3751" s="52" t="s">
        <v>26</v>
      </c>
      <c r="G3751" s="53"/>
    </row>
    <row r="3752">
      <c r="A3752" s="49">
        <v>45060.18932564815</v>
      </c>
      <c r="B3752" s="50">
        <v>45060.3142920717</v>
      </c>
      <c r="C3752" s="51">
        <v>1.016</v>
      </c>
      <c r="D3752" s="51">
        <v>65.0</v>
      </c>
      <c r="E3752" s="52" t="s">
        <v>25</v>
      </c>
      <c r="F3752" s="52" t="s">
        <v>26</v>
      </c>
      <c r="G3752" s="53"/>
    </row>
    <row r="3753">
      <c r="A3753" s="49">
        <v>45060.1997531713</v>
      </c>
      <c r="B3753" s="50">
        <v>45060.3247238657</v>
      </c>
      <c r="C3753" s="51">
        <v>1.016</v>
      </c>
      <c r="D3753" s="51">
        <v>65.0</v>
      </c>
      <c r="E3753" s="52" t="s">
        <v>25</v>
      </c>
      <c r="F3753" s="52" t="s">
        <v>26</v>
      </c>
      <c r="G3753" s="53"/>
    </row>
    <row r="3754">
      <c r="A3754" s="49">
        <v>45060.210169143524</v>
      </c>
      <c r="B3754" s="50">
        <v>45060.3351441087</v>
      </c>
      <c r="C3754" s="51">
        <v>1.016</v>
      </c>
      <c r="D3754" s="51">
        <v>65.0</v>
      </c>
      <c r="E3754" s="52" t="s">
        <v>25</v>
      </c>
      <c r="F3754" s="52" t="s">
        <v>26</v>
      </c>
      <c r="G3754" s="53"/>
    </row>
    <row r="3755">
      <c r="A3755" s="49">
        <v>45060.22060094908</v>
      </c>
      <c r="B3755" s="50">
        <v>45060.345579155</v>
      </c>
      <c r="C3755" s="51">
        <v>1.016</v>
      </c>
      <c r="D3755" s="51">
        <v>65.0</v>
      </c>
      <c r="E3755" s="52" t="s">
        <v>25</v>
      </c>
      <c r="F3755" s="52" t="s">
        <v>26</v>
      </c>
      <c r="G3755" s="53"/>
    </row>
    <row r="3756">
      <c r="A3756" s="49">
        <v>45060.23103023148</v>
      </c>
      <c r="B3756" s="50">
        <v>45060.3560114236</v>
      </c>
      <c r="C3756" s="51">
        <v>1.016</v>
      </c>
      <c r="D3756" s="51">
        <v>65.0</v>
      </c>
      <c r="E3756" s="52" t="s">
        <v>25</v>
      </c>
      <c r="F3756" s="52" t="s">
        <v>26</v>
      </c>
      <c r="G3756" s="53"/>
    </row>
    <row r="3757">
      <c r="A3757" s="49">
        <v>45060.241475208335</v>
      </c>
      <c r="B3757" s="50">
        <v>45060.366445</v>
      </c>
      <c r="C3757" s="51">
        <v>1.016</v>
      </c>
      <c r="D3757" s="51">
        <v>65.0</v>
      </c>
      <c r="E3757" s="52" t="s">
        <v>25</v>
      </c>
      <c r="F3757" s="52" t="s">
        <v>26</v>
      </c>
      <c r="G3757" s="53"/>
    </row>
    <row r="3758">
      <c r="A3758" s="49">
        <v>45060.25191371528</v>
      </c>
      <c r="B3758" s="50">
        <v>45060.376874618</v>
      </c>
      <c r="C3758" s="51">
        <v>1.016</v>
      </c>
      <c r="D3758" s="51">
        <v>65.0</v>
      </c>
      <c r="E3758" s="52" t="s">
        <v>25</v>
      </c>
      <c r="F3758" s="52" t="s">
        <v>26</v>
      </c>
      <c r="G3758" s="53"/>
    </row>
    <row r="3759">
      <c r="A3759" s="49">
        <v>45060.262330219906</v>
      </c>
      <c r="B3759" s="50">
        <v>45060.3872973958</v>
      </c>
      <c r="C3759" s="51">
        <v>1.016</v>
      </c>
      <c r="D3759" s="51">
        <v>65.0</v>
      </c>
      <c r="E3759" s="52" t="s">
        <v>25</v>
      </c>
      <c r="F3759" s="52" t="s">
        <v>26</v>
      </c>
      <c r="G3759" s="53"/>
    </row>
    <row r="3760">
      <c r="A3760" s="49">
        <v>45060.27274622685</v>
      </c>
      <c r="B3760" s="50">
        <v>45060.3977200347</v>
      </c>
      <c r="C3760" s="51">
        <v>1.016</v>
      </c>
      <c r="D3760" s="51">
        <v>65.0</v>
      </c>
      <c r="E3760" s="52" t="s">
        <v>25</v>
      </c>
      <c r="F3760" s="52" t="s">
        <v>26</v>
      </c>
      <c r="G3760" s="53"/>
    </row>
    <row r="3761">
      <c r="A3761" s="49">
        <v>45060.283174502314</v>
      </c>
      <c r="B3761" s="50">
        <v>45060.4081418518</v>
      </c>
      <c r="C3761" s="51">
        <v>1.016</v>
      </c>
      <c r="D3761" s="51">
        <v>65.0</v>
      </c>
      <c r="E3761" s="52" t="s">
        <v>25</v>
      </c>
      <c r="F3761" s="52" t="s">
        <v>26</v>
      </c>
      <c r="G3761" s="53"/>
    </row>
    <row r="3762">
      <c r="A3762" s="49">
        <v>45060.29361197917</v>
      </c>
      <c r="B3762" s="50">
        <v>45060.4185856944</v>
      </c>
      <c r="C3762" s="51">
        <v>1.016</v>
      </c>
      <c r="D3762" s="51">
        <v>65.0</v>
      </c>
      <c r="E3762" s="52" t="s">
        <v>25</v>
      </c>
      <c r="F3762" s="52" t="s">
        <v>26</v>
      </c>
      <c r="G3762" s="53"/>
    </row>
    <row r="3763">
      <c r="A3763" s="49">
        <v>45060.304040601855</v>
      </c>
      <c r="B3763" s="50">
        <v>45060.4290053009</v>
      </c>
      <c r="C3763" s="51">
        <v>1.016</v>
      </c>
      <c r="D3763" s="51">
        <v>65.0</v>
      </c>
      <c r="E3763" s="52" t="s">
        <v>25</v>
      </c>
      <c r="F3763" s="52" t="s">
        <v>26</v>
      </c>
      <c r="G3763" s="53"/>
    </row>
    <row r="3764">
      <c r="A3764" s="49">
        <v>45060.31447519676</v>
      </c>
      <c r="B3764" s="50">
        <v>45060.4394498495</v>
      </c>
      <c r="C3764" s="51">
        <v>1.016</v>
      </c>
      <c r="D3764" s="51">
        <v>65.0</v>
      </c>
      <c r="E3764" s="52" t="s">
        <v>25</v>
      </c>
      <c r="F3764" s="52" t="s">
        <v>26</v>
      </c>
      <c r="G3764" s="53"/>
    </row>
    <row r="3765">
      <c r="A3765" s="49">
        <v>45060.324896238424</v>
      </c>
      <c r="B3765" s="50">
        <v>45060.449872581</v>
      </c>
      <c r="C3765" s="51">
        <v>1.016</v>
      </c>
      <c r="D3765" s="51">
        <v>65.0</v>
      </c>
      <c r="E3765" s="52" t="s">
        <v>25</v>
      </c>
      <c r="F3765" s="52" t="s">
        <v>26</v>
      </c>
      <c r="G3765" s="53"/>
    </row>
    <row r="3766">
      <c r="A3766" s="49">
        <v>45060.335319895836</v>
      </c>
      <c r="B3766" s="50">
        <v>45060.460295706</v>
      </c>
      <c r="C3766" s="51">
        <v>1.016</v>
      </c>
      <c r="D3766" s="51">
        <v>65.0</v>
      </c>
      <c r="E3766" s="52" t="s">
        <v>25</v>
      </c>
      <c r="F3766" s="52" t="s">
        <v>26</v>
      </c>
      <c r="G3766" s="53"/>
    </row>
    <row r="3767">
      <c r="A3767" s="49">
        <v>45060.3457802662</v>
      </c>
      <c r="B3767" s="50">
        <v>45060.4707513657</v>
      </c>
      <c r="C3767" s="51">
        <v>1.016</v>
      </c>
      <c r="D3767" s="51">
        <v>65.0</v>
      </c>
      <c r="E3767" s="52" t="s">
        <v>25</v>
      </c>
      <c r="F3767" s="52" t="s">
        <v>26</v>
      </c>
      <c r="G3767" s="53"/>
    </row>
    <row r="3768">
      <c r="A3768" s="49">
        <v>45060.356187673606</v>
      </c>
      <c r="B3768" s="50">
        <v>45060.4811702314</v>
      </c>
      <c r="C3768" s="51">
        <v>1.016</v>
      </c>
      <c r="D3768" s="51">
        <v>65.0</v>
      </c>
      <c r="E3768" s="52" t="s">
        <v>25</v>
      </c>
      <c r="F3768" s="52" t="s">
        <v>26</v>
      </c>
      <c r="G3768" s="53"/>
    </row>
    <row r="3769">
      <c r="A3769" s="49">
        <v>45060.36664332176</v>
      </c>
      <c r="B3769" s="50">
        <v>45060.4916260185</v>
      </c>
      <c r="C3769" s="51">
        <v>1.016</v>
      </c>
      <c r="D3769" s="51">
        <v>65.0</v>
      </c>
      <c r="E3769" s="52" t="s">
        <v>25</v>
      </c>
      <c r="F3769" s="52" t="s">
        <v>26</v>
      </c>
      <c r="G3769" s="53"/>
    </row>
    <row r="3770">
      <c r="A3770" s="49">
        <v>45060.377115509255</v>
      </c>
      <c r="B3770" s="50">
        <v>45060.5020827777</v>
      </c>
      <c r="C3770" s="51">
        <v>1.016</v>
      </c>
      <c r="D3770" s="51">
        <v>65.0</v>
      </c>
      <c r="E3770" s="52" t="s">
        <v>25</v>
      </c>
      <c r="F3770" s="52" t="s">
        <v>26</v>
      </c>
      <c r="G3770" s="53"/>
    </row>
    <row r="3771">
      <c r="A3771" s="49">
        <v>45060.38755380787</v>
      </c>
      <c r="B3771" s="50">
        <v>45060.5125253819</v>
      </c>
      <c r="C3771" s="51">
        <v>1.016</v>
      </c>
      <c r="D3771" s="51">
        <v>65.0</v>
      </c>
      <c r="E3771" s="52" t="s">
        <v>25</v>
      </c>
      <c r="F3771" s="52" t="s">
        <v>26</v>
      </c>
      <c r="G3771" s="53"/>
    </row>
    <row r="3772">
      <c r="A3772" s="49">
        <v>45060.39800112268</v>
      </c>
      <c r="B3772" s="50">
        <v>45060.5229707638</v>
      </c>
      <c r="C3772" s="51">
        <v>1.016</v>
      </c>
      <c r="D3772" s="51">
        <v>65.0</v>
      </c>
      <c r="E3772" s="52" t="s">
        <v>25</v>
      </c>
      <c r="F3772" s="52" t="s">
        <v>26</v>
      </c>
      <c r="G3772" s="53"/>
    </row>
    <row r="3773">
      <c r="A3773" s="49">
        <v>45060.40842496528</v>
      </c>
      <c r="B3773" s="50">
        <v>45060.5334036921</v>
      </c>
      <c r="C3773" s="51">
        <v>1.016</v>
      </c>
      <c r="D3773" s="51">
        <v>65.0</v>
      </c>
      <c r="E3773" s="52" t="s">
        <v>25</v>
      </c>
      <c r="F3773" s="52" t="s">
        <v>26</v>
      </c>
      <c r="G3773" s="53"/>
    </row>
    <row r="3774">
      <c r="A3774" s="49">
        <v>45060.418845810185</v>
      </c>
      <c r="B3774" s="50">
        <v>45060.5438256018</v>
      </c>
      <c r="C3774" s="51">
        <v>1.016</v>
      </c>
      <c r="D3774" s="51">
        <v>65.0</v>
      </c>
      <c r="E3774" s="52" t="s">
        <v>25</v>
      </c>
      <c r="F3774" s="52" t="s">
        <v>26</v>
      </c>
      <c r="G3774" s="53"/>
    </row>
    <row r="3775">
      <c r="A3775" s="49">
        <v>45060.42928143519</v>
      </c>
      <c r="B3775" s="50">
        <v>45060.5542576041</v>
      </c>
      <c r="C3775" s="51">
        <v>1.016</v>
      </c>
      <c r="D3775" s="51">
        <v>65.0</v>
      </c>
      <c r="E3775" s="52" t="s">
        <v>25</v>
      </c>
      <c r="F3775" s="52" t="s">
        <v>26</v>
      </c>
      <c r="G3775" s="53"/>
    </row>
    <row r="3776">
      <c r="A3776" s="49">
        <v>45060.43973412037</v>
      </c>
      <c r="B3776" s="50">
        <v>45060.5647024652</v>
      </c>
      <c r="C3776" s="51">
        <v>1.016</v>
      </c>
      <c r="D3776" s="51">
        <v>65.0</v>
      </c>
      <c r="E3776" s="52" t="s">
        <v>25</v>
      </c>
      <c r="F3776" s="52" t="s">
        <v>26</v>
      </c>
      <c r="G3776" s="53"/>
    </row>
    <row r="3777">
      <c r="A3777" s="49">
        <v>45060.45018284723</v>
      </c>
      <c r="B3777" s="50">
        <v>45060.5751577662</v>
      </c>
      <c r="C3777" s="51">
        <v>1.016</v>
      </c>
      <c r="D3777" s="51">
        <v>65.0</v>
      </c>
      <c r="E3777" s="52" t="s">
        <v>25</v>
      </c>
      <c r="F3777" s="52" t="s">
        <v>26</v>
      </c>
      <c r="G3777" s="53"/>
    </row>
    <row r="3778">
      <c r="A3778" s="49">
        <v>45060.460610752314</v>
      </c>
      <c r="B3778" s="50">
        <v>45060.5855791782</v>
      </c>
      <c r="C3778" s="51">
        <v>1.016</v>
      </c>
      <c r="D3778" s="51">
        <v>65.0</v>
      </c>
      <c r="E3778" s="52" t="s">
        <v>25</v>
      </c>
      <c r="F3778" s="52" t="s">
        <v>26</v>
      </c>
      <c r="G3778" s="53"/>
    </row>
    <row r="3779">
      <c r="A3779" s="49">
        <v>45060.47104138889</v>
      </c>
      <c r="B3779" s="50">
        <v>45060.5960239814</v>
      </c>
      <c r="C3779" s="51">
        <v>1.016</v>
      </c>
      <c r="D3779" s="51">
        <v>65.0</v>
      </c>
      <c r="E3779" s="52" t="s">
        <v>25</v>
      </c>
      <c r="F3779" s="52" t="s">
        <v>26</v>
      </c>
      <c r="G3779" s="53"/>
    </row>
    <row r="3780">
      <c r="A3780" s="49">
        <v>45060.48150064815</v>
      </c>
      <c r="B3780" s="50">
        <v>45060.6064782523</v>
      </c>
      <c r="C3780" s="51">
        <v>1.016</v>
      </c>
      <c r="D3780" s="51">
        <v>66.0</v>
      </c>
      <c r="E3780" s="52" t="s">
        <v>25</v>
      </c>
      <c r="F3780" s="52" t="s">
        <v>26</v>
      </c>
      <c r="G3780" s="53"/>
    </row>
    <row r="3781">
      <c r="A3781" s="49">
        <v>45060.491924375005</v>
      </c>
      <c r="B3781" s="50">
        <v>45060.6169006018</v>
      </c>
      <c r="C3781" s="51">
        <v>1.016</v>
      </c>
      <c r="D3781" s="51">
        <v>65.0</v>
      </c>
      <c r="E3781" s="52" t="s">
        <v>25</v>
      </c>
      <c r="F3781" s="52" t="s">
        <v>26</v>
      </c>
      <c r="G3781" s="53"/>
    </row>
    <row r="3782">
      <c r="A3782" s="49">
        <v>45060.50236349537</v>
      </c>
      <c r="B3782" s="50">
        <v>45060.6273455902</v>
      </c>
      <c r="C3782" s="51">
        <v>1.016</v>
      </c>
      <c r="D3782" s="51">
        <v>65.0</v>
      </c>
      <c r="E3782" s="52" t="s">
        <v>25</v>
      </c>
      <c r="F3782" s="52" t="s">
        <v>26</v>
      </c>
      <c r="G3782" s="53"/>
    </row>
    <row r="3783">
      <c r="A3783" s="49">
        <v>45060.5127978588</v>
      </c>
      <c r="B3783" s="50">
        <v>45060.6377768402</v>
      </c>
      <c r="C3783" s="51">
        <v>1.016</v>
      </c>
      <c r="D3783" s="51">
        <v>65.0</v>
      </c>
      <c r="E3783" s="52" t="s">
        <v>25</v>
      </c>
      <c r="F3783" s="52" t="s">
        <v>26</v>
      </c>
      <c r="G3783" s="53"/>
    </row>
    <row r="3784">
      <c r="A3784" s="49">
        <v>45060.52321680555</v>
      </c>
      <c r="B3784" s="50">
        <v>45060.648197662</v>
      </c>
      <c r="C3784" s="51">
        <v>1.016</v>
      </c>
      <c r="D3784" s="51">
        <v>65.0</v>
      </c>
      <c r="E3784" s="52" t="s">
        <v>25</v>
      </c>
      <c r="F3784" s="52" t="s">
        <v>26</v>
      </c>
      <c r="G3784" s="53"/>
    </row>
    <row r="3785">
      <c r="A3785" s="49">
        <v>45060.533639201385</v>
      </c>
      <c r="B3785" s="50">
        <v>45060.6586169097</v>
      </c>
      <c r="C3785" s="51">
        <v>1.016</v>
      </c>
      <c r="D3785" s="51">
        <v>65.0</v>
      </c>
      <c r="E3785" s="52" t="s">
        <v>25</v>
      </c>
      <c r="F3785" s="52" t="s">
        <v>26</v>
      </c>
      <c r="G3785" s="53"/>
    </row>
    <row r="3786">
      <c r="A3786" s="49">
        <v>45060.544062974535</v>
      </c>
      <c r="B3786" s="50">
        <v>45060.6690386226</v>
      </c>
      <c r="C3786" s="51">
        <v>1.016</v>
      </c>
      <c r="D3786" s="51">
        <v>65.0</v>
      </c>
      <c r="E3786" s="52" t="s">
        <v>25</v>
      </c>
      <c r="F3786" s="52" t="s">
        <v>26</v>
      </c>
      <c r="G3786" s="53"/>
    </row>
    <row r="3787">
      <c r="A3787" s="49">
        <v>45060.55449466435</v>
      </c>
      <c r="B3787" s="50">
        <v>45060.67947125</v>
      </c>
      <c r="C3787" s="51">
        <v>1.016</v>
      </c>
      <c r="D3787" s="51">
        <v>65.0</v>
      </c>
      <c r="E3787" s="52" t="s">
        <v>25</v>
      </c>
      <c r="F3787" s="52" t="s">
        <v>26</v>
      </c>
      <c r="G3787" s="53"/>
    </row>
    <row r="3788">
      <c r="A3788" s="49">
        <v>45060.56492582176</v>
      </c>
      <c r="B3788" s="50">
        <v>45060.6899035648</v>
      </c>
      <c r="C3788" s="51">
        <v>1.016</v>
      </c>
      <c r="D3788" s="51">
        <v>66.0</v>
      </c>
      <c r="E3788" s="52" t="s">
        <v>25</v>
      </c>
      <c r="F3788" s="52" t="s">
        <v>26</v>
      </c>
      <c r="G3788" s="53"/>
    </row>
    <row r="3789">
      <c r="A3789" s="49">
        <v>45060.57537351851</v>
      </c>
      <c r="B3789" s="50">
        <v>45060.7003472685</v>
      </c>
      <c r="C3789" s="51">
        <v>1.016</v>
      </c>
      <c r="D3789" s="51">
        <v>65.0</v>
      </c>
      <c r="E3789" s="52" t="s">
        <v>25</v>
      </c>
      <c r="F3789" s="52" t="s">
        <v>26</v>
      </c>
      <c r="G3789" s="53"/>
    </row>
    <row r="3790">
      <c r="A3790" s="49">
        <v>45060.585794722225</v>
      </c>
      <c r="B3790" s="50">
        <v>45060.7107684606</v>
      </c>
      <c r="C3790" s="51">
        <v>1.016</v>
      </c>
      <c r="D3790" s="51">
        <v>65.0</v>
      </c>
      <c r="E3790" s="52" t="s">
        <v>25</v>
      </c>
      <c r="F3790" s="52" t="s">
        <v>26</v>
      </c>
      <c r="G3790" s="53"/>
    </row>
    <row r="3791">
      <c r="A3791" s="49">
        <v>45060.59622640046</v>
      </c>
      <c r="B3791" s="50">
        <v>45060.7211913541</v>
      </c>
      <c r="C3791" s="51">
        <v>1.016</v>
      </c>
      <c r="D3791" s="51">
        <v>65.0</v>
      </c>
      <c r="E3791" s="52" t="s">
        <v>25</v>
      </c>
      <c r="F3791" s="52" t="s">
        <v>26</v>
      </c>
      <c r="G3791" s="53"/>
    </row>
    <row r="3792">
      <c r="A3792" s="49">
        <v>45060.606634236115</v>
      </c>
      <c r="B3792" s="50">
        <v>45060.7316113541</v>
      </c>
      <c r="C3792" s="51">
        <v>1.016</v>
      </c>
      <c r="D3792" s="51">
        <v>65.0</v>
      </c>
      <c r="E3792" s="52" t="s">
        <v>25</v>
      </c>
      <c r="F3792" s="52" t="s">
        <v>26</v>
      </c>
      <c r="G3792" s="53"/>
    </row>
    <row r="3793">
      <c r="A3793" s="49">
        <v>45060.61707133102</v>
      </c>
      <c r="B3793" s="50">
        <v>45060.7420434722</v>
      </c>
      <c r="C3793" s="51">
        <v>1.016</v>
      </c>
      <c r="D3793" s="51">
        <v>65.0</v>
      </c>
      <c r="E3793" s="52" t="s">
        <v>25</v>
      </c>
      <c r="F3793" s="52" t="s">
        <v>26</v>
      </c>
      <c r="G3793" s="53"/>
    </row>
    <row r="3794">
      <c r="A3794" s="49">
        <v>45060.627507129626</v>
      </c>
      <c r="B3794" s="50">
        <v>45060.7524881828</v>
      </c>
      <c r="C3794" s="51">
        <v>1.016</v>
      </c>
      <c r="D3794" s="51">
        <v>65.0</v>
      </c>
      <c r="E3794" s="52" t="s">
        <v>25</v>
      </c>
      <c r="F3794" s="52" t="s">
        <v>26</v>
      </c>
      <c r="G3794" s="53"/>
    </row>
    <row r="3795">
      <c r="A3795" s="49">
        <v>45060.637959699074</v>
      </c>
      <c r="B3795" s="50">
        <v>45060.7629333217</v>
      </c>
      <c r="C3795" s="51">
        <v>1.016</v>
      </c>
      <c r="D3795" s="51">
        <v>65.0</v>
      </c>
      <c r="E3795" s="52" t="s">
        <v>25</v>
      </c>
      <c r="F3795" s="52" t="s">
        <v>26</v>
      </c>
      <c r="G3795" s="53"/>
    </row>
    <row r="3796">
      <c r="A3796" s="49">
        <v>45060.64839103009</v>
      </c>
      <c r="B3796" s="50">
        <v>45060.7733648263</v>
      </c>
      <c r="C3796" s="51">
        <v>1.016</v>
      </c>
      <c r="D3796" s="51">
        <v>65.0</v>
      </c>
      <c r="E3796" s="52" t="s">
        <v>25</v>
      </c>
      <c r="F3796" s="52" t="s">
        <v>26</v>
      </c>
      <c r="G3796" s="53"/>
    </row>
    <row r="3797">
      <c r="A3797" s="49">
        <v>45060.6588118287</v>
      </c>
      <c r="B3797" s="50">
        <v>45060.7837866666</v>
      </c>
      <c r="C3797" s="51">
        <v>1.016</v>
      </c>
      <c r="D3797" s="51">
        <v>66.0</v>
      </c>
      <c r="E3797" s="52" t="s">
        <v>25</v>
      </c>
      <c r="F3797" s="52" t="s">
        <v>26</v>
      </c>
      <c r="G3797" s="53"/>
    </row>
    <row r="3798">
      <c r="A3798" s="49">
        <v>45060.66925556713</v>
      </c>
      <c r="B3798" s="50">
        <v>45060.7942330092</v>
      </c>
      <c r="C3798" s="51">
        <v>1.016</v>
      </c>
      <c r="D3798" s="51">
        <v>66.0</v>
      </c>
      <c r="E3798" s="52" t="s">
        <v>25</v>
      </c>
      <c r="F3798" s="52" t="s">
        <v>26</v>
      </c>
      <c r="G3798" s="53"/>
    </row>
    <row r="3799">
      <c r="A3799" s="49">
        <v>45060.67968819445</v>
      </c>
      <c r="B3799" s="50">
        <v>45060.8046667361</v>
      </c>
      <c r="C3799" s="51">
        <v>1.016</v>
      </c>
      <c r="D3799" s="51">
        <v>65.0</v>
      </c>
      <c r="E3799" s="52" t="s">
        <v>25</v>
      </c>
      <c r="F3799" s="52" t="s">
        <v>26</v>
      </c>
      <c r="G3799" s="53"/>
    </row>
    <row r="3800">
      <c r="A3800" s="49">
        <v>45060.69013108796</v>
      </c>
      <c r="B3800" s="50">
        <v>45060.815099155</v>
      </c>
      <c r="C3800" s="51">
        <v>1.016</v>
      </c>
      <c r="D3800" s="51">
        <v>65.0</v>
      </c>
      <c r="E3800" s="52" t="s">
        <v>25</v>
      </c>
      <c r="F3800" s="52" t="s">
        <v>26</v>
      </c>
      <c r="G3800" s="53"/>
    </row>
    <row r="3801">
      <c r="A3801" s="49">
        <v>45060.700578125005</v>
      </c>
      <c r="B3801" s="50">
        <v>45060.8255327199</v>
      </c>
      <c r="C3801" s="51">
        <v>1.016</v>
      </c>
      <c r="D3801" s="51">
        <v>65.0</v>
      </c>
      <c r="E3801" s="52" t="s">
        <v>25</v>
      </c>
      <c r="F3801" s="52" t="s">
        <v>26</v>
      </c>
      <c r="G3801" s="53"/>
    </row>
    <row r="3802">
      <c r="A3802" s="49">
        <v>45060.71099340278</v>
      </c>
      <c r="B3802" s="50">
        <v>45060.8359668171</v>
      </c>
      <c r="C3802" s="51">
        <v>1.016</v>
      </c>
      <c r="D3802" s="51">
        <v>66.0</v>
      </c>
      <c r="E3802" s="52" t="s">
        <v>25</v>
      </c>
      <c r="F3802" s="52" t="s">
        <v>26</v>
      </c>
      <c r="G3802" s="53"/>
    </row>
    <row r="3803">
      <c r="A3803" s="49">
        <v>45060.72144271991</v>
      </c>
      <c r="B3803" s="50">
        <v>45060.8464109375</v>
      </c>
      <c r="C3803" s="51">
        <v>1.015</v>
      </c>
      <c r="D3803" s="51">
        <v>66.0</v>
      </c>
      <c r="E3803" s="52" t="s">
        <v>25</v>
      </c>
      <c r="F3803" s="52" t="s">
        <v>26</v>
      </c>
      <c r="G3803" s="53"/>
    </row>
    <row r="3804">
      <c r="A3804" s="49">
        <v>45060.73187045139</v>
      </c>
      <c r="B3804" s="50">
        <v>45060.856844074</v>
      </c>
      <c r="C3804" s="51">
        <v>1.016</v>
      </c>
      <c r="D3804" s="51">
        <v>66.0</v>
      </c>
      <c r="E3804" s="52" t="s">
        <v>25</v>
      </c>
      <c r="F3804" s="52" t="s">
        <v>26</v>
      </c>
      <c r="G3804" s="53"/>
    </row>
    <row r="3805">
      <c r="A3805" s="49">
        <v>45060.74230140046</v>
      </c>
      <c r="B3805" s="50">
        <v>45060.8672760416</v>
      </c>
      <c r="C3805" s="51">
        <v>1.016</v>
      </c>
      <c r="D3805" s="51">
        <v>66.0</v>
      </c>
      <c r="E3805" s="52" t="s">
        <v>25</v>
      </c>
      <c r="F3805" s="52" t="s">
        <v>26</v>
      </c>
      <c r="G3805" s="53"/>
    </row>
    <row r="3806">
      <c r="A3806" s="49">
        <v>45060.75276103009</v>
      </c>
      <c r="B3806" s="50">
        <v>45060.8777193865</v>
      </c>
      <c r="C3806" s="51">
        <v>1.016</v>
      </c>
      <c r="D3806" s="51">
        <v>66.0</v>
      </c>
      <c r="E3806" s="52" t="s">
        <v>25</v>
      </c>
      <c r="F3806" s="52" t="s">
        <v>26</v>
      </c>
      <c r="G3806" s="53"/>
    </row>
    <row r="3807">
      <c r="A3807" s="49">
        <v>45060.76320310185</v>
      </c>
      <c r="B3807" s="50">
        <v>45060.8881530671</v>
      </c>
      <c r="C3807" s="51">
        <v>1.015</v>
      </c>
      <c r="D3807" s="51">
        <v>66.0</v>
      </c>
      <c r="E3807" s="52" t="s">
        <v>25</v>
      </c>
      <c r="F3807" s="52" t="s">
        <v>26</v>
      </c>
      <c r="G3807" s="53"/>
    </row>
    <row r="3808">
      <c r="A3808" s="49">
        <v>45060.77360579861</v>
      </c>
      <c r="B3808" s="50">
        <v>45060.8985731481</v>
      </c>
      <c r="C3808" s="51">
        <v>1.015</v>
      </c>
      <c r="D3808" s="51">
        <v>66.0</v>
      </c>
      <c r="E3808" s="52" t="s">
        <v>25</v>
      </c>
      <c r="F3808" s="52" t="s">
        <v>26</v>
      </c>
      <c r="G3808" s="53"/>
    </row>
    <row r="3809">
      <c r="A3809" s="49">
        <v>45060.78402427083</v>
      </c>
      <c r="B3809" s="50">
        <v>45060.9089946643</v>
      </c>
      <c r="C3809" s="51">
        <v>1.016</v>
      </c>
      <c r="D3809" s="51">
        <v>66.0</v>
      </c>
      <c r="E3809" s="52" t="s">
        <v>25</v>
      </c>
      <c r="F3809" s="52" t="s">
        <v>26</v>
      </c>
      <c r="G3809" s="53"/>
    </row>
    <row r="3810">
      <c r="A3810" s="49">
        <v>45060.79445075231</v>
      </c>
      <c r="B3810" s="50">
        <v>45060.9194267824</v>
      </c>
      <c r="C3810" s="51">
        <v>1.015</v>
      </c>
      <c r="D3810" s="51">
        <v>66.0</v>
      </c>
      <c r="E3810" s="52" t="s">
        <v>25</v>
      </c>
      <c r="F3810" s="52" t="s">
        <v>26</v>
      </c>
      <c r="G3810" s="53"/>
    </row>
    <row r="3811">
      <c r="A3811" s="49">
        <v>45060.804899571755</v>
      </c>
      <c r="B3811" s="50">
        <v>45060.929871574</v>
      </c>
      <c r="C3811" s="51">
        <v>1.016</v>
      </c>
      <c r="D3811" s="51">
        <v>66.0</v>
      </c>
      <c r="E3811" s="52" t="s">
        <v>25</v>
      </c>
      <c r="F3811" s="52" t="s">
        <v>26</v>
      </c>
      <c r="G3811" s="53"/>
    </row>
    <row r="3812">
      <c r="A3812" s="49">
        <v>45060.8153274537</v>
      </c>
      <c r="B3812" s="50">
        <v>45060.9403040972</v>
      </c>
      <c r="C3812" s="51">
        <v>1.016</v>
      </c>
      <c r="D3812" s="51">
        <v>66.0</v>
      </c>
      <c r="E3812" s="52" t="s">
        <v>25</v>
      </c>
      <c r="F3812" s="52" t="s">
        <v>26</v>
      </c>
      <c r="G3812" s="53"/>
    </row>
    <row r="3813">
      <c r="A3813" s="49">
        <v>45060.82575390046</v>
      </c>
      <c r="B3813" s="50">
        <v>45060.9507257407</v>
      </c>
      <c r="C3813" s="51">
        <v>1.016</v>
      </c>
      <c r="D3813" s="51">
        <v>66.0</v>
      </c>
      <c r="E3813" s="52" t="s">
        <v>25</v>
      </c>
      <c r="F3813" s="52" t="s">
        <v>26</v>
      </c>
      <c r="G3813" s="53"/>
    </row>
    <row r="3814">
      <c r="A3814" s="49">
        <v>45060.83623965278</v>
      </c>
      <c r="B3814" s="50">
        <v>45060.9612052777</v>
      </c>
      <c r="C3814" s="51">
        <v>1.016</v>
      </c>
      <c r="D3814" s="51">
        <v>66.0</v>
      </c>
      <c r="E3814" s="52" t="s">
        <v>25</v>
      </c>
      <c r="F3814" s="52" t="s">
        <v>26</v>
      </c>
      <c r="G3814" s="53"/>
    </row>
    <row r="3815">
      <c r="A3815" s="49">
        <v>45060.84666060185</v>
      </c>
      <c r="B3815" s="50">
        <v>45060.9716371064</v>
      </c>
      <c r="C3815" s="51">
        <v>1.015</v>
      </c>
      <c r="D3815" s="51">
        <v>66.0</v>
      </c>
      <c r="E3815" s="52" t="s">
        <v>25</v>
      </c>
      <c r="F3815" s="52" t="s">
        <v>26</v>
      </c>
      <c r="G3815" s="53"/>
    </row>
    <row r="3816">
      <c r="A3816" s="49">
        <v>45060.857095196756</v>
      </c>
      <c r="B3816" s="50">
        <v>45060.9820699074</v>
      </c>
      <c r="C3816" s="51">
        <v>1.015</v>
      </c>
      <c r="D3816" s="51">
        <v>66.0</v>
      </c>
      <c r="E3816" s="52" t="s">
        <v>25</v>
      </c>
      <c r="F3816" s="52" t="s">
        <v>26</v>
      </c>
      <c r="G3816" s="53"/>
    </row>
    <row r="3817">
      <c r="A3817" s="49">
        <v>45060.86753112268</v>
      </c>
      <c r="B3817" s="50">
        <v>45060.9925024652</v>
      </c>
      <c r="C3817" s="51">
        <v>1.016</v>
      </c>
      <c r="D3817" s="51">
        <v>66.0</v>
      </c>
      <c r="E3817" s="52" t="s">
        <v>25</v>
      </c>
      <c r="F3817" s="52" t="s">
        <v>26</v>
      </c>
      <c r="G3817" s="53"/>
    </row>
    <row r="3818">
      <c r="A3818" s="49">
        <v>45060.877982453705</v>
      </c>
      <c r="B3818" s="50">
        <v>45061.0029568287</v>
      </c>
      <c r="C3818" s="51">
        <v>1.016</v>
      </c>
      <c r="D3818" s="51">
        <v>66.0</v>
      </c>
      <c r="E3818" s="52" t="s">
        <v>25</v>
      </c>
      <c r="F3818" s="52" t="s">
        <v>26</v>
      </c>
      <c r="G3818" s="53"/>
    </row>
    <row r="3819">
      <c r="A3819" s="49">
        <v>45060.888474155094</v>
      </c>
      <c r="B3819" s="50">
        <v>45061.0133895717</v>
      </c>
      <c r="C3819" s="51">
        <v>1.015</v>
      </c>
      <c r="D3819" s="51">
        <v>66.0</v>
      </c>
      <c r="E3819" s="52" t="s">
        <v>25</v>
      </c>
      <c r="F3819" s="52" t="s">
        <v>26</v>
      </c>
      <c r="G3819" s="53"/>
    </row>
    <row r="3820">
      <c r="A3820" s="49">
        <v>45060.89883554398</v>
      </c>
      <c r="B3820" s="50">
        <v>45061.023809537</v>
      </c>
      <c r="C3820" s="51">
        <v>1.015</v>
      </c>
      <c r="D3820" s="51">
        <v>66.0</v>
      </c>
      <c r="E3820" s="52" t="s">
        <v>25</v>
      </c>
      <c r="F3820" s="52" t="s">
        <v>26</v>
      </c>
      <c r="G3820" s="53"/>
    </row>
    <row r="3821">
      <c r="A3821" s="49">
        <v>45060.9092643287</v>
      </c>
      <c r="B3821" s="50">
        <v>45061.0342412152</v>
      </c>
      <c r="C3821" s="51">
        <v>1.015</v>
      </c>
      <c r="D3821" s="51">
        <v>66.0</v>
      </c>
      <c r="E3821" s="52" t="s">
        <v>25</v>
      </c>
      <c r="F3821" s="52" t="s">
        <v>26</v>
      </c>
      <c r="G3821" s="53"/>
    </row>
    <row r="3822">
      <c r="A3822" s="49">
        <v>45060.91969927083</v>
      </c>
      <c r="B3822" s="50">
        <v>45061.0446721875</v>
      </c>
      <c r="C3822" s="51">
        <v>1.016</v>
      </c>
      <c r="D3822" s="51">
        <v>66.0</v>
      </c>
      <c r="E3822" s="52" t="s">
        <v>25</v>
      </c>
      <c r="F3822" s="52" t="s">
        <v>26</v>
      </c>
      <c r="G3822" s="53"/>
    </row>
    <row r="3823">
      <c r="A3823" s="49">
        <v>45060.930136400464</v>
      </c>
      <c r="B3823" s="50">
        <v>45061.0551045138</v>
      </c>
      <c r="C3823" s="51">
        <v>1.015</v>
      </c>
      <c r="D3823" s="51">
        <v>66.0</v>
      </c>
      <c r="E3823" s="52" t="s">
        <v>25</v>
      </c>
      <c r="F3823" s="52" t="s">
        <v>26</v>
      </c>
      <c r="G3823" s="53"/>
    </row>
    <row r="3824">
      <c r="A3824" s="49">
        <v>45060.94058724537</v>
      </c>
      <c r="B3824" s="50">
        <v>45061.065560706</v>
      </c>
      <c r="C3824" s="51">
        <v>1.015</v>
      </c>
      <c r="D3824" s="51">
        <v>66.0</v>
      </c>
      <c r="E3824" s="52" t="s">
        <v>25</v>
      </c>
      <c r="F3824" s="52" t="s">
        <v>26</v>
      </c>
      <c r="G3824" s="53"/>
    </row>
    <row r="3825">
      <c r="A3825" s="49">
        <v>45060.951008206015</v>
      </c>
      <c r="B3825" s="50">
        <v>45061.0759808564</v>
      </c>
      <c r="C3825" s="51">
        <v>1.016</v>
      </c>
      <c r="D3825" s="51">
        <v>66.0</v>
      </c>
      <c r="E3825" s="52" t="s">
        <v>25</v>
      </c>
      <c r="F3825" s="52" t="s">
        <v>26</v>
      </c>
      <c r="G3825" s="53"/>
    </row>
    <row r="3826">
      <c r="A3826" s="49">
        <v>45060.961441875</v>
      </c>
      <c r="B3826" s="50">
        <v>45061.086414074</v>
      </c>
      <c r="C3826" s="51">
        <v>1.015</v>
      </c>
      <c r="D3826" s="51">
        <v>66.0</v>
      </c>
      <c r="E3826" s="52" t="s">
        <v>25</v>
      </c>
      <c r="F3826" s="52" t="s">
        <v>26</v>
      </c>
      <c r="G3826" s="53"/>
    </row>
    <row r="3827">
      <c r="A3827" s="49">
        <v>45060.97193142361</v>
      </c>
      <c r="B3827" s="50">
        <v>45061.096846875</v>
      </c>
      <c r="C3827" s="51">
        <v>1.016</v>
      </c>
      <c r="D3827" s="51">
        <v>66.0</v>
      </c>
      <c r="E3827" s="52" t="s">
        <v>25</v>
      </c>
      <c r="F3827" s="52" t="s">
        <v>26</v>
      </c>
      <c r="G3827" s="53"/>
    </row>
    <row r="3828">
      <c r="A3828" s="49">
        <v>45060.982349247686</v>
      </c>
      <c r="B3828" s="50">
        <v>45061.107314456</v>
      </c>
      <c r="C3828" s="51">
        <v>1.015</v>
      </c>
      <c r="D3828" s="51">
        <v>66.0</v>
      </c>
      <c r="E3828" s="52" t="s">
        <v>25</v>
      </c>
      <c r="F3828" s="52" t="s">
        <v>26</v>
      </c>
      <c r="G3828" s="53"/>
    </row>
    <row r="3829">
      <c r="A3829" s="49">
        <v>45060.99276898148</v>
      </c>
      <c r="B3829" s="50">
        <v>45061.1177469907</v>
      </c>
      <c r="C3829" s="51">
        <v>1.015</v>
      </c>
      <c r="D3829" s="51">
        <v>66.0</v>
      </c>
      <c r="E3829" s="52" t="s">
        <v>25</v>
      </c>
      <c r="F3829" s="52" t="s">
        <v>26</v>
      </c>
      <c r="G3829" s="53"/>
    </row>
    <row r="3830">
      <c r="A3830" s="49">
        <v>45061.00319290509</v>
      </c>
      <c r="B3830" s="50">
        <v>45061.1281669675</v>
      </c>
      <c r="C3830" s="51">
        <v>1.015</v>
      </c>
      <c r="D3830" s="51">
        <v>66.0</v>
      </c>
      <c r="E3830" s="52" t="s">
        <v>25</v>
      </c>
      <c r="F3830" s="52" t="s">
        <v>26</v>
      </c>
      <c r="G3830" s="53"/>
    </row>
    <row r="3831">
      <c r="A3831" s="49">
        <v>45061.013635254625</v>
      </c>
      <c r="B3831" s="50">
        <v>45061.1386108449</v>
      </c>
      <c r="C3831" s="51">
        <v>1.015</v>
      </c>
      <c r="D3831" s="51">
        <v>66.0</v>
      </c>
      <c r="E3831" s="52" t="s">
        <v>25</v>
      </c>
      <c r="F3831" s="52" t="s">
        <v>26</v>
      </c>
      <c r="G3831" s="53"/>
    </row>
    <row r="3832">
      <c r="A3832" s="49">
        <v>45061.024067708335</v>
      </c>
      <c r="B3832" s="50">
        <v>45061.1490326157</v>
      </c>
      <c r="C3832" s="51">
        <v>1.015</v>
      </c>
      <c r="D3832" s="51">
        <v>66.0</v>
      </c>
      <c r="E3832" s="52" t="s">
        <v>25</v>
      </c>
      <c r="F3832" s="52" t="s">
        <v>26</v>
      </c>
      <c r="G3832" s="53"/>
    </row>
    <row r="3833">
      <c r="A3833" s="49">
        <v>45061.03451399306</v>
      </c>
      <c r="B3833" s="50">
        <v>45061.1594892013</v>
      </c>
      <c r="C3833" s="51">
        <v>1.015</v>
      </c>
      <c r="D3833" s="51">
        <v>66.0</v>
      </c>
      <c r="E3833" s="52" t="s">
        <v>25</v>
      </c>
      <c r="F3833" s="52" t="s">
        <v>26</v>
      </c>
      <c r="G3833" s="53"/>
    </row>
    <row r="3834">
      <c r="A3834" s="49">
        <v>45061.04493373843</v>
      </c>
      <c r="B3834" s="50">
        <v>45061.1699112384</v>
      </c>
      <c r="C3834" s="51">
        <v>1.015</v>
      </c>
      <c r="D3834" s="51">
        <v>66.0</v>
      </c>
      <c r="E3834" s="52" t="s">
        <v>25</v>
      </c>
      <c r="F3834" s="52" t="s">
        <v>26</v>
      </c>
      <c r="G3834" s="53"/>
    </row>
    <row r="3835">
      <c r="A3835" s="49">
        <v>45061.055378425925</v>
      </c>
      <c r="B3835" s="50">
        <v>45061.1803574421</v>
      </c>
      <c r="C3835" s="51">
        <v>1.015</v>
      </c>
      <c r="D3835" s="51">
        <v>66.0</v>
      </c>
      <c r="E3835" s="52" t="s">
        <v>25</v>
      </c>
      <c r="F3835" s="52" t="s">
        <v>26</v>
      </c>
      <c r="G3835" s="53"/>
    </row>
    <row r="3836">
      <c r="A3836" s="49">
        <v>45061.065807858795</v>
      </c>
      <c r="B3836" s="50">
        <v>45061.1907789351</v>
      </c>
      <c r="C3836" s="51">
        <v>1.015</v>
      </c>
      <c r="D3836" s="51">
        <v>66.0</v>
      </c>
      <c r="E3836" s="52" t="s">
        <v>25</v>
      </c>
      <c r="F3836" s="52" t="s">
        <v>26</v>
      </c>
      <c r="G3836" s="53"/>
    </row>
    <row r="3837">
      <c r="A3837" s="49">
        <v>45061.076244826385</v>
      </c>
      <c r="B3837" s="50">
        <v>45061.201212905</v>
      </c>
      <c r="C3837" s="51">
        <v>1.015</v>
      </c>
      <c r="D3837" s="51">
        <v>66.0</v>
      </c>
      <c r="E3837" s="52" t="s">
        <v>25</v>
      </c>
      <c r="F3837" s="52" t="s">
        <v>26</v>
      </c>
      <c r="G3837" s="53"/>
    </row>
    <row r="3838">
      <c r="A3838" s="49">
        <v>45061.086661863425</v>
      </c>
      <c r="B3838" s="50">
        <v>45061.2116351041</v>
      </c>
      <c r="C3838" s="51">
        <v>1.015</v>
      </c>
      <c r="D3838" s="51">
        <v>66.0</v>
      </c>
      <c r="E3838" s="52" t="s">
        <v>25</v>
      </c>
      <c r="F3838" s="52" t="s">
        <v>26</v>
      </c>
      <c r="G3838" s="53"/>
    </row>
    <row r="3839">
      <c r="A3839" s="49">
        <v>45061.097091180556</v>
      </c>
      <c r="B3839" s="50">
        <v>45061.2220686921</v>
      </c>
      <c r="C3839" s="51">
        <v>1.016</v>
      </c>
      <c r="D3839" s="51">
        <v>66.0</v>
      </c>
      <c r="E3839" s="52" t="s">
        <v>25</v>
      </c>
      <c r="F3839" s="52" t="s">
        <v>26</v>
      </c>
      <c r="G3839" s="53"/>
    </row>
    <row r="3840">
      <c r="A3840" s="49">
        <v>45061.10751219907</v>
      </c>
      <c r="B3840" s="50">
        <v>45061.232490625</v>
      </c>
      <c r="C3840" s="51">
        <v>1.015</v>
      </c>
      <c r="D3840" s="51">
        <v>66.0</v>
      </c>
      <c r="E3840" s="52" t="s">
        <v>25</v>
      </c>
      <c r="F3840" s="52" t="s">
        <v>26</v>
      </c>
      <c r="G3840" s="53"/>
    </row>
    <row r="3841">
      <c r="A3841" s="49">
        <v>45061.11797449074</v>
      </c>
      <c r="B3841" s="50">
        <v>45061.2429455671</v>
      </c>
      <c r="C3841" s="51">
        <v>1.015</v>
      </c>
      <c r="D3841" s="51">
        <v>66.0</v>
      </c>
      <c r="E3841" s="52" t="s">
        <v>25</v>
      </c>
      <c r="F3841" s="52" t="s">
        <v>26</v>
      </c>
      <c r="G3841" s="53"/>
    </row>
    <row r="3842">
      <c r="A3842" s="49">
        <v>45061.12840202547</v>
      </c>
      <c r="B3842" s="50">
        <v>45061.2533651157</v>
      </c>
      <c r="C3842" s="51">
        <v>1.015</v>
      </c>
      <c r="D3842" s="51">
        <v>66.0</v>
      </c>
      <c r="E3842" s="52" t="s">
        <v>25</v>
      </c>
      <c r="F3842" s="52" t="s">
        <v>26</v>
      </c>
      <c r="G3842" s="53"/>
    </row>
    <row r="3843">
      <c r="A3843" s="49">
        <v>45061.138811944445</v>
      </c>
      <c r="B3843" s="50">
        <v>45061.2637865509</v>
      </c>
      <c r="C3843" s="51">
        <v>1.015</v>
      </c>
      <c r="D3843" s="51">
        <v>66.0</v>
      </c>
      <c r="E3843" s="52" t="s">
        <v>25</v>
      </c>
      <c r="F3843" s="52" t="s">
        <v>26</v>
      </c>
      <c r="G3843" s="53"/>
    </row>
    <row r="3844">
      <c r="A3844" s="49">
        <v>45061.14925295139</v>
      </c>
      <c r="B3844" s="50">
        <v>45061.27423125</v>
      </c>
      <c r="C3844" s="51">
        <v>1.015</v>
      </c>
      <c r="D3844" s="51">
        <v>66.0</v>
      </c>
      <c r="E3844" s="52" t="s">
        <v>25</v>
      </c>
      <c r="F3844" s="52" t="s">
        <v>26</v>
      </c>
      <c r="G3844" s="53"/>
    </row>
    <row r="3845">
      <c r="A3845" s="49">
        <v>45061.15967695602</v>
      </c>
      <c r="B3845" s="50">
        <v>45061.2846505671</v>
      </c>
      <c r="C3845" s="51">
        <v>1.015</v>
      </c>
      <c r="D3845" s="51">
        <v>66.0</v>
      </c>
      <c r="E3845" s="52" t="s">
        <v>25</v>
      </c>
      <c r="F3845" s="52" t="s">
        <v>26</v>
      </c>
      <c r="G3845" s="53"/>
    </row>
    <row r="3846">
      <c r="A3846" s="49">
        <v>45061.17012274306</v>
      </c>
      <c r="B3846" s="50">
        <v>45061.2950936111</v>
      </c>
      <c r="C3846" s="51">
        <v>1.015</v>
      </c>
      <c r="D3846" s="51">
        <v>66.0</v>
      </c>
      <c r="E3846" s="52" t="s">
        <v>25</v>
      </c>
      <c r="F3846" s="52" t="s">
        <v>26</v>
      </c>
      <c r="G3846" s="53"/>
    </row>
    <row r="3847">
      <c r="A3847" s="49">
        <v>45061.180540636575</v>
      </c>
      <c r="B3847" s="50">
        <v>45061.3055145138</v>
      </c>
      <c r="C3847" s="51">
        <v>1.015</v>
      </c>
      <c r="D3847" s="51">
        <v>66.0</v>
      </c>
      <c r="E3847" s="52" t="s">
        <v>25</v>
      </c>
      <c r="F3847" s="52" t="s">
        <v>26</v>
      </c>
      <c r="G3847" s="53"/>
    </row>
    <row r="3848">
      <c r="A3848" s="49">
        <v>45061.19096270834</v>
      </c>
      <c r="B3848" s="50">
        <v>45061.3159352662</v>
      </c>
      <c r="C3848" s="51">
        <v>1.015</v>
      </c>
      <c r="D3848" s="51">
        <v>66.0</v>
      </c>
      <c r="E3848" s="52" t="s">
        <v>25</v>
      </c>
      <c r="F3848" s="52" t="s">
        <v>26</v>
      </c>
      <c r="G3848" s="53"/>
    </row>
    <row r="3849">
      <c r="A3849" s="49">
        <v>45061.20138520833</v>
      </c>
      <c r="B3849" s="50">
        <v>45061.3263668402</v>
      </c>
      <c r="C3849" s="51">
        <v>1.015</v>
      </c>
      <c r="D3849" s="51">
        <v>66.0</v>
      </c>
      <c r="E3849" s="52" t="s">
        <v>25</v>
      </c>
      <c r="F3849" s="52" t="s">
        <v>26</v>
      </c>
      <c r="G3849" s="53"/>
    </row>
    <row r="3850">
      <c r="A3850" s="49">
        <v>45061.21184978009</v>
      </c>
      <c r="B3850" s="50">
        <v>45061.3368224421</v>
      </c>
      <c r="C3850" s="51">
        <v>1.015</v>
      </c>
      <c r="D3850" s="51">
        <v>66.0</v>
      </c>
      <c r="E3850" s="52" t="s">
        <v>25</v>
      </c>
      <c r="F3850" s="52" t="s">
        <v>26</v>
      </c>
      <c r="G3850" s="53"/>
    </row>
    <row r="3851">
      <c r="A3851" s="49">
        <v>45061.22229089121</v>
      </c>
      <c r="B3851" s="50">
        <v>45061.347254537</v>
      </c>
      <c r="C3851" s="51">
        <v>1.015</v>
      </c>
      <c r="D3851" s="51">
        <v>66.0</v>
      </c>
      <c r="E3851" s="52" t="s">
        <v>25</v>
      </c>
      <c r="F3851" s="52" t="s">
        <v>26</v>
      </c>
      <c r="G3851" s="53"/>
    </row>
    <row r="3852">
      <c r="A3852" s="49">
        <v>45061.23271403935</v>
      </c>
      <c r="B3852" s="50">
        <v>45061.3576863078</v>
      </c>
      <c r="C3852" s="51">
        <v>1.015</v>
      </c>
      <c r="D3852" s="51">
        <v>66.0</v>
      </c>
      <c r="E3852" s="52" t="s">
        <v>25</v>
      </c>
      <c r="F3852" s="52" t="s">
        <v>26</v>
      </c>
      <c r="G3852" s="53"/>
    </row>
    <row r="3853">
      <c r="A3853" s="49">
        <v>45061.24314925926</v>
      </c>
      <c r="B3853" s="50">
        <v>45061.3681193287</v>
      </c>
      <c r="C3853" s="51">
        <v>1.015</v>
      </c>
      <c r="D3853" s="51">
        <v>66.0</v>
      </c>
      <c r="E3853" s="52" t="s">
        <v>25</v>
      </c>
      <c r="F3853" s="52" t="s">
        <v>26</v>
      </c>
      <c r="G3853" s="53"/>
    </row>
    <row r="3854">
      <c r="A3854" s="49">
        <v>45061.25356909722</v>
      </c>
      <c r="B3854" s="50">
        <v>45061.3785418634</v>
      </c>
      <c r="C3854" s="51">
        <v>1.015</v>
      </c>
      <c r="D3854" s="51">
        <v>66.0</v>
      </c>
      <c r="E3854" s="52" t="s">
        <v>25</v>
      </c>
      <c r="F3854" s="52" t="s">
        <v>26</v>
      </c>
      <c r="G3854" s="53"/>
    </row>
    <row r="3855">
      <c r="A3855" s="49">
        <v>45061.263997789356</v>
      </c>
      <c r="B3855" s="50">
        <v>45061.3889736458</v>
      </c>
      <c r="C3855" s="51">
        <v>1.015</v>
      </c>
      <c r="D3855" s="51">
        <v>66.0</v>
      </c>
      <c r="E3855" s="52" t="s">
        <v>25</v>
      </c>
      <c r="F3855" s="52" t="s">
        <v>26</v>
      </c>
      <c r="G3855" s="53"/>
    </row>
    <row r="3856">
      <c r="A3856" s="49">
        <v>45061.274414189815</v>
      </c>
      <c r="B3856" s="50">
        <v>45061.3993943518</v>
      </c>
      <c r="C3856" s="51">
        <v>1.015</v>
      </c>
      <c r="D3856" s="51">
        <v>66.0</v>
      </c>
      <c r="E3856" s="52" t="s">
        <v>25</v>
      </c>
      <c r="F3856" s="52" t="s">
        <v>26</v>
      </c>
      <c r="G3856" s="53"/>
    </row>
    <row r="3857">
      <c r="A3857" s="49">
        <v>45061.28483640046</v>
      </c>
      <c r="B3857" s="50">
        <v>45061.409815625</v>
      </c>
      <c r="C3857" s="51">
        <v>1.015</v>
      </c>
      <c r="D3857" s="51">
        <v>66.0</v>
      </c>
      <c r="E3857" s="52" t="s">
        <v>25</v>
      </c>
      <c r="F3857" s="52" t="s">
        <v>26</v>
      </c>
      <c r="G3857" s="53"/>
    </row>
    <row r="3858">
      <c r="A3858" s="49">
        <v>45061.295261481486</v>
      </c>
      <c r="B3858" s="50">
        <v>45061.420235324</v>
      </c>
      <c r="C3858" s="51">
        <v>1.015</v>
      </c>
      <c r="D3858" s="51">
        <v>66.0</v>
      </c>
      <c r="E3858" s="52" t="s">
        <v>25</v>
      </c>
      <c r="F3858" s="52" t="s">
        <v>26</v>
      </c>
      <c r="G3858" s="53"/>
    </row>
    <row r="3859">
      <c r="A3859" s="49">
        <v>45061.305678703706</v>
      </c>
      <c r="B3859" s="50">
        <v>45061.4306555208</v>
      </c>
      <c r="C3859" s="51">
        <v>1.015</v>
      </c>
      <c r="D3859" s="51">
        <v>66.0</v>
      </c>
      <c r="E3859" s="52" t="s">
        <v>25</v>
      </c>
      <c r="F3859" s="52" t="s">
        <v>26</v>
      </c>
      <c r="G3859" s="53"/>
    </row>
    <row r="3860">
      <c r="A3860" s="49">
        <v>45061.31618381944</v>
      </c>
      <c r="B3860" s="50">
        <v>45061.4411465046</v>
      </c>
      <c r="C3860" s="51">
        <v>1.015</v>
      </c>
      <c r="D3860" s="51">
        <v>66.0</v>
      </c>
      <c r="E3860" s="52" t="s">
        <v>25</v>
      </c>
      <c r="F3860" s="52" t="s">
        <v>26</v>
      </c>
      <c r="G3860" s="53"/>
    </row>
    <row r="3861">
      <c r="A3861" s="49">
        <v>45061.32663565972</v>
      </c>
      <c r="B3861" s="50">
        <v>45061.451589618</v>
      </c>
      <c r="C3861" s="51">
        <v>1.015</v>
      </c>
      <c r="D3861" s="51">
        <v>66.0</v>
      </c>
      <c r="E3861" s="52" t="s">
        <v>25</v>
      </c>
      <c r="F3861" s="52" t="s">
        <v>26</v>
      </c>
      <c r="G3861" s="53"/>
    </row>
    <row r="3862">
      <c r="A3862" s="49">
        <v>45061.33704621528</v>
      </c>
      <c r="B3862" s="50">
        <v>45061.4620103472</v>
      </c>
      <c r="C3862" s="51">
        <v>1.015</v>
      </c>
      <c r="D3862" s="51">
        <v>66.0</v>
      </c>
      <c r="E3862" s="52" t="s">
        <v>25</v>
      </c>
      <c r="F3862" s="52" t="s">
        <v>26</v>
      </c>
      <c r="G3862" s="53"/>
    </row>
    <row r="3863">
      <c r="A3863" s="49">
        <v>45061.34746290509</v>
      </c>
      <c r="B3863" s="50">
        <v>45061.4724313541</v>
      </c>
      <c r="C3863" s="51">
        <v>1.015</v>
      </c>
      <c r="D3863" s="51">
        <v>66.0</v>
      </c>
      <c r="E3863" s="52" t="s">
        <v>25</v>
      </c>
      <c r="F3863" s="52" t="s">
        <v>26</v>
      </c>
      <c r="G3863" s="53"/>
    </row>
    <row r="3864">
      <c r="A3864" s="49">
        <v>45061.3578799074</v>
      </c>
      <c r="B3864" s="50">
        <v>45061.4828514814</v>
      </c>
      <c r="C3864" s="51">
        <v>1.015</v>
      </c>
      <c r="D3864" s="51">
        <v>66.0</v>
      </c>
      <c r="E3864" s="52" t="s">
        <v>25</v>
      </c>
      <c r="F3864" s="52" t="s">
        <v>26</v>
      </c>
      <c r="G3864" s="53"/>
    </row>
    <row r="3865">
      <c r="A3865" s="49">
        <v>45061.36831153935</v>
      </c>
      <c r="B3865" s="50">
        <v>45061.4932848611</v>
      </c>
      <c r="C3865" s="51">
        <v>1.015</v>
      </c>
      <c r="D3865" s="51">
        <v>66.0</v>
      </c>
      <c r="E3865" s="52" t="s">
        <v>25</v>
      </c>
      <c r="F3865" s="52" t="s">
        <v>26</v>
      </c>
      <c r="G3865" s="53"/>
    </row>
    <row r="3866">
      <c r="A3866" s="49">
        <v>45061.378733136575</v>
      </c>
      <c r="B3866" s="50">
        <v>45061.5037076041</v>
      </c>
      <c r="C3866" s="51">
        <v>1.015</v>
      </c>
      <c r="D3866" s="51">
        <v>66.0</v>
      </c>
      <c r="E3866" s="52" t="s">
        <v>25</v>
      </c>
      <c r="F3866" s="52" t="s">
        <v>26</v>
      </c>
      <c r="G3866" s="53"/>
    </row>
    <row r="3867">
      <c r="A3867" s="49">
        <v>45061.38917318287</v>
      </c>
      <c r="B3867" s="50">
        <v>45061.5141288773</v>
      </c>
      <c r="C3867" s="51">
        <v>1.015</v>
      </c>
      <c r="D3867" s="51">
        <v>66.0</v>
      </c>
      <c r="E3867" s="52" t="s">
        <v>25</v>
      </c>
      <c r="F3867" s="52" t="s">
        <v>26</v>
      </c>
      <c r="G3867" s="53"/>
    </row>
    <row r="3868">
      <c r="A3868" s="49">
        <v>45061.39957679398</v>
      </c>
      <c r="B3868" s="50">
        <v>45061.5245498379</v>
      </c>
      <c r="C3868" s="51">
        <v>1.015</v>
      </c>
      <c r="D3868" s="51">
        <v>66.0</v>
      </c>
      <c r="E3868" s="52" t="s">
        <v>25</v>
      </c>
      <c r="F3868" s="52" t="s">
        <v>26</v>
      </c>
      <c r="G3868" s="53"/>
    </row>
    <row r="3869">
      <c r="A3869" s="49">
        <v>45061.409992615736</v>
      </c>
      <c r="B3869" s="50">
        <v>45061.5349707176</v>
      </c>
      <c r="C3869" s="51">
        <v>1.015</v>
      </c>
      <c r="D3869" s="51">
        <v>66.0</v>
      </c>
      <c r="E3869" s="52" t="s">
        <v>25</v>
      </c>
      <c r="F3869" s="52" t="s">
        <v>26</v>
      </c>
      <c r="G3869" s="53"/>
    </row>
    <row r="3870">
      <c r="A3870" s="49">
        <v>45061.42041466435</v>
      </c>
      <c r="B3870" s="50">
        <v>45061.5453931365</v>
      </c>
      <c r="C3870" s="51">
        <v>1.015</v>
      </c>
      <c r="D3870" s="51">
        <v>66.0</v>
      </c>
      <c r="E3870" s="52" t="s">
        <v>25</v>
      </c>
      <c r="F3870" s="52" t="s">
        <v>26</v>
      </c>
      <c r="G3870" s="53"/>
    </row>
    <row r="3871">
      <c r="A3871" s="49">
        <v>45061.4308450463</v>
      </c>
      <c r="B3871" s="50">
        <v>45061.5558156481</v>
      </c>
      <c r="C3871" s="51">
        <v>1.015</v>
      </c>
      <c r="D3871" s="51">
        <v>66.0</v>
      </c>
      <c r="E3871" s="52" t="s">
        <v>25</v>
      </c>
      <c r="F3871" s="52" t="s">
        <v>26</v>
      </c>
      <c r="G3871" s="53"/>
    </row>
    <row r="3872">
      <c r="A3872" s="49">
        <v>45061.44129207176</v>
      </c>
      <c r="B3872" s="50">
        <v>45061.5662597222</v>
      </c>
      <c r="C3872" s="51">
        <v>1.015</v>
      </c>
      <c r="D3872" s="51">
        <v>66.0</v>
      </c>
      <c r="E3872" s="52" t="s">
        <v>25</v>
      </c>
      <c r="F3872" s="52" t="s">
        <v>26</v>
      </c>
      <c r="G3872" s="53"/>
    </row>
    <row r="3873">
      <c r="A3873" s="49">
        <v>45061.45172253472</v>
      </c>
      <c r="B3873" s="50">
        <v>45061.5766926388</v>
      </c>
      <c r="C3873" s="51">
        <v>1.015</v>
      </c>
      <c r="D3873" s="51">
        <v>66.0</v>
      </c>
      <c r="E3873" s="52" t="s">
        <v>25</v>
      </c>
      <c r="F3873" s="52" t="s">
        <v>26</v>
      </c>
      <c r="G3873" s="53"/>
    </row>
    <row r="3874">
      <c r="A3874" s="49">
        <v>45061.46213299768</v>
      </c>
      <c r="B3874" s="50">
        <v>45061.5871133796</v>
      </c>
      <c r="C3874" s="51">
        <v>1.015</v>
      </c>
      <c r="D3874" s="51">
        <v>66.0</v>
      </c>
      <c r="E3874" s="52" t="s">
        <v>25</v>
      </c>
      <c r="F3874" s="52" t="s">
        <v>26</v>
      </c>
      <c r="G3874" s="53"/>
    </row>
    <row r="3875">
      <c r="A3875" s="49">
        <v>45061.47264865741</v>
      </c>
      <c r="B3875" s="50">
        <v>45061.597615868</v>
      </c>
      <c r="C3875" s="51">
        <v>1.015</v>
      </c>
      <c r="D3875" s="51">
        <v>66.0</v>
      </c>
      <c r="E3875" s="52" t="s">
        <v>25</v>
      </c>
      <c r="F3875" s="52" t="s">
        <v>26</v>
      </c>
      <c r="G3875" s="53"/>
    </row>
    <row r="3876">
      <c r="A3876" s="49">
        <v>45061.48312118056</v>
      </c>
      <c r="B3876" s="50">
        <v>45061.6080954166</v>
      </c>
      <c r="C3876" s="51">
        <v>1.015</v>
      </c>
      <c r="D3876" s="51">
        <v>66.0</v>
      </c>
      <c r="E3876" s="52" t="s">
        <v>25</v>
      </c>
      <c r="F3876" s="52" t="s">
        <v>26</v>
      </c>
      <c r="G3876" s="53"/>
    </row>
    <row r="3877">
      <c r="A3877" s="49">
        <v>45061.493555</v>
      </c>
      <c r="B3877" s="50">
        <v>45061.6185273263</v>
      </c>
      <c r="C3877" s="51">
        <v>1.015</v>
      </c>
      <c r="D3877" s="51">
        <v>66.0</v>
      </c>
      <c r="E3877" s="52" t="s">
        <v>25</v>
      </c>
      <c r="F3877" s="52" t="s">
        <v>26</v>
      </c>
      <c r="G3877" s="53"/>
    </row>
    <row r="3878">
      <c r="A3878" s="49">
        <v>45061.50400826389</v>
      </c>
      <c r="B3878" s="50">
        <v>45061.6289834375</v>
      </c>
      <c r="C3878" s="51">
        <v>1.015</v>
      </c>
      <c r="D3878" s="51">
        <v>66.0</v>
      </c>
      <c r="E3878" s="52" t="s">
        <v>25</v>
      </c>
      <c r="F3878" s="52" t="s">
        <v>26</v>
      </c>
      <c r="G3878" s="53"/>
    </row>
    <row r="3879">
      <c r="A3879" s="49">
        <v>45061.51444099537</v>
      </c>
      <c r="B3879" s="50">
        <v>45061.6394164004</v>
      </c>
      <c r="C3879" s="51">
        <v>1.015</v>
      </c>
      <c r="D3879" s="51">
        <v>66.0</v>
      </c>
      <c r="E3879" s="52" t="s">
        <v>25</v>
      </c>
      <c r="F3879" s="52" t="s">
        <v>26</v>
      </c>
      <c r="G3879" s="53"/>
    </row>
    <row r="3880">
      <c r="A3880" s="49">
        <v>45061.5248606713</v>
      </c>
      <c r="B3880" s="50">
        <v>45061.6498384606</v>
      </c>
      <c r="C3880" s="51">
        <v>1.015</v>
      </c>
      <c r="D3880" s="51">
        <v>66.0</v>
      </c>
      <c r="E3880" s="52" t="s">
        <v>25</v>
      </c>
      <c r="F3880" s="52" t="s">
        <v>26</v>
      </c>
      <c r="G3880" s="53"/>
    </row>
    <row r="3881">
      <c r="A3881" s="49">
        <v>45061.53529960648</v>
      </c>
      <c r="B3881" s="50">
        <v>45061.6602707523</v>
      </c>
      <c r="C3881" s="51">
        <v>1.015</v>
      </c>
      <c r="D3881" s="51">
        <v>66.0</v>
      </c>
      <c r="E3881" s="52" t="s">
        <v>25</v>
      </c>
      <c r="F3881" s="52" t="s">
        <v>26</v>
      </c>
      <c r="G3881" s="53"/>
    </row>
    <row r="3882">
      <c r="A3882" s="49">
        <v>45061.54571694444</v>
      </c>
      <c r="B3882" s="50">
        <v>45061.6706906828</v>
      </c>
      <c r="C3882" s="51">
        <v>1.015</v>
      </c>
      <c r="D3882" s="51">
        <v>66.0</v>
      </c>
      <c r="E3882" s="52" t="s">
        <v>25</v>
      </c>
      <c r="F3882" s="52" t="s">
        <v>26</v>
      </c>
      <c r="G3882" s="53"/>
    </row>
    <row r="3883">
      <c r="A3883" s="49">
        <v>45061.55613434028</v>
      </c>
      <c r="B3883" s="50">
        <v>45061.6811117824</v>
      </c>
      <c r="C3883" s="51">
        <v>1.015</v>
      </c>
      <c r="D3883" s="51">
        <v>66.0</v>
      </c>
      <c r="E3883" s="52" t="s">
        <v>25</v>
      </c>
      <c r="F3883" s="52" t="s">
        <v>26</v>
      </c>
      <c r="G3883" s="53"/>
    </row>
    <row r="3884">
      <c r="A3884" s="49">
        <v>45061.56658024306</v>
      </c>
      <c r="B3884" s="50">
        <v>45061.6915564583</v>
      </c>
      <c r="C3884" s="51">
        <v>1.015</v>
      </c>
      <c r="D3884" s="51">
        <v>66.0</v>
      </c>
      <c r="E3884" s="52" t="s">
        <v>25</v>
      </c>
      <c r="F3884" s="52" t="s">
        <v>26</v>
      </c>
      <c r="G3884" s="53"/>
    </row>
    <row r="3885">
      <c r="A3885" s="49">
        <v>45061.577050266205</v>
      </c>
      <c r="B3885" s="50">
        <v>45061.7020238541</v>
      </c>
      <c r="C3885" s="51">
        <v>1.015</v>
      </c>
      <c r="D3885" s="51">
        <v>66.0</v>
      </c>
      <c r="E3885" s="52" t="s">
        <v>25</v>
      </c>
      <c r="F3885" s="52" t="s">
        <v>26</v>
      </c>
      <c r="G3885" s="53"/>
    </row>
    <row r="3886">
      <c r="A3886" s="49">
        <v>45061.587470625</v>
      </c>
      <c r="B3886" s="50">
        <v>45061.7124456597</v>
      </c>
      <c r="C3886" s="51">
        <v>1.015</v>
      </c>
      <c r="D3886" s="51">
        <v>66.0</v>
      </c>
      <c r="E3886" s="52" t="s">
        <v>25</v>
      </c>
      <c r="F3886" s="52" t="s">
        <v>26</v>
      </c>
      <c r="G3886" s="53"/>
    </row>
    <row r="3887">
      <c r="A3887" s="49">
        <v>45061.597904016206</v>
      </c>
      <c r="B3887" s="50">
        <v>45061.7228783217</v>
      </c>
      <c r="C3887" s="51">
        <v>1.015</v>
      </c>
      <c r="D3887" s="51">
        <v>66.0</v>
      </c>
      <c r="E3887" s="52" t="s">
        <v>25</v>
      </c>
      <c r="F3887" s="52" t="s">
        <v>26</v>
      </c>
      <c r="G3887" s="53"/>
    </row>
    <row r="3888">
      <c r="A3888" s="49">
        <v>45061.608328449074</v>
      </c>
      <c r="B3888" s="50">
        <v>45061.7333001157</v>
      </c>
      <c r="C3888" s="51">
        <v>1.015</v>
      </c>
      <c r="D3888" s="51">
        <v>66.0</v>
      </c>
      <c r="E3888" s="52" t="s">
        <v>25</v>
      </c>
      <c r="F3888" s="52" t="s">
        <v>26</v>
      </c>
      <c r="G3888" s="53"/>
    </row>
    <row r="3889">
      <c r="A3889" s="49">
        <v>45061.6187559838</v>
      </c>
      <c r="B3889" s="50">
        <v>45061.7437327662</v>
      </c>
      <c r="C3889" s="51">
        <v>1.015</v>
      </c>
      <c r="D3889" s="51">
        <v>66.0</v>
      </c>
      <c r="E3889" s="52" t="s">
        <v>25</v>
      </c>
      <c r="F3889" s="52" t="s">
        <v>26</v>
      </c>
      <c r="G3889" s="53"/>
    </row>
    <row r="3890">
      <c r="A3890" s="49">
        <v>45061.62917935185</v>
      </c>
      <c r="B3890" s="50">
        <v>45061.7541532638</v>
      </c>
      <c r="C3890" s="51">
        <v>1.015</v>
      </c>
      <c r="D3890" s="51">
        <v>66.0</v>
      </c>
      <c r="E3890" s="52" t="s">
        <v>25</v>
      </c>
      <c r="F3890" s="52" t="s">
        <v>26</v>
      </c>
      <c r="G3890" s="53"/>
    </row>
    <row r="3891">
      <c r="A3891" s="49">
        <v>45061.63959759259</v>
      </c>
      <c r="B3891" s="50">
        <v>45061.7645740393</v>
      </c>
      <c r="C3891" s="51">
        <v>1.015</v>
      </c>
      <c r="D3891" s="51">
        <v>66.0</v>
      </c>
      <c r="E3891" s="52" t="s">
        <v>25</v>
      </c>
      <c r="F3891" s="52" t="s">
        <v>26</v>
      </c>
      <c r="G3891" s="53"/>
    </row>
    <row r="3892">
      <c r="A3892" s="49">
        <v>45061.65003765046</v>
      </c>
      <c r="B3892" s="50">
        <v>45061.7750068518</v>
      </c>
      <c r="C3892" s="51">
        <v>1.015</v>
      </c>
      <c r="D3892" s="51">
        <v>66.0</v>
      </c>
      <c r="E3892" s="52" t="s">
        <v>25</v>
      </c>
      <c r="F3892" s="52" t="s">
        <v>26</v>
      </c>
      <c r="G3892" s="53"/>
    </row>
    <row r="3893">
      <c r="A3893" s="49">
        <v>45061.66049043981</v>
      </c>
      <c r="B3893" s="50">
        <v>45061.7854623032</v>
      </c>
      <c r="C3893" s="51">
        <v>1.015</v>
      </c>
      <c r="D3893" s="51">
        <v>66.0</v>
      </c>
      <c r="E3893" s="52" t="s">
        <v>25</v>
      </c>
      <c r="F3893" s="52" t="s">
        <v>26</v>
      </c>
      <c r="G3893" s="53"/>
    </row>
    <row r="3894">
      <c r="A3894" s="49">
        <v>45061.67092039352</v>
      </c>
      <c r="B3894" s="50">
        <v>45061.7958942476</v>
      </c>
      <c r="C3894" s="51">
        <v>1.015</v>
      </c>
      <c r="D3894" s="51">
        <v>66.0</v>
      </c>
      <c r="E3894" s="52" t="s">
        <v>25</v>
      </c>
      <c r="F3894" s="52" t="s">
        <v>26</v>
      </c>
      <c r="G3894" s="53"/>
    </row>
    <row r="3895">
      <c r="A3895" s="49">
        <v>45061.681365682874</v>
      </c>
      <c r="B3895" s="50">
        <v>45061.8063382407</v>
      </c>
      <c r="C3895" s="51">
        <v>1.015</v>
      </c>
      <c r="D3895" s="51">
        <v>66.0</v>
      </c>
      <c r="E3895" s="52" t="s">
        <v>25</v>
      </c>
      <c r="F3895" s="52" t="s">
        <v>26</v>
      </c>
      <c r="G3895" s="53"/>
    </row>
    <row r="3896">
      <c r="A3896" s="49">
        <v>45061.69184510417</v>
      </c>
      <c r="B3896" s="50">
        <v>45061.8167587384</v>
      </c>
      <c r="C3896" s="51">
        <v>1.015</v>
      </c>
      <c r="D3896" s="51">
        <v>66.0</v>
      </c>
      <c r="E3896" s="52" t="s">
        <v>25</v>
      </c>
      <c r="F3896" s="52" t="s">
        <v>26</v>
      </c>
      <c r="G3896" s="53"/>
    </row>
    <row r="3897">
      <c r="A3897" s="49">
        <v>45061.70220690972</v>
      </c>
      <c r="B3897" s="50">
        <v>45061.8271785532</v>
      </c>
      <c r="C3897" s="51">
        <v>1.015</v>
      </c>
      <c r="D3897" s="51">
        <v>66.0</v>
      </c>
      <c r="E3897" s="52" t="s">
        <v>25</v>
      </c>
      <c r="F3897" s="52" t="s">
        <v>26</v>
      </c>
      <c r="G3897" s="53"/>
    </row>
    <row r="3898">
      <c r="A3898" s="49">
        <v>45061.71266880787</v>
      </c>
      <c r="B3898" s="50">
        <v>45061.8376460879</v>
      </c>
      <c r="C3898" s="51">
        <v>1.015</v>
      </c>
      <c r="D3898" s="51">
        <v>66.0</v>
      </c>
      <c r="E3898" s="52" t="s">
        <v>25</v>
      </c>
      <c r="F3898" s="52" t="s">
        <v>26</v>
      </c>
      <c r="G3898" s="53"/>
    </row>
    <row r="3899">
      <c r="A3899" s="49">
        <v>45061.72308819444</v>
      </c>
      <c r="B3899" s="50">
        <v>45061.8480669444</v>
      </c>
      <c r="C3899" s="51">
        <v>1.015</v>
      </c>
      <c r="D3899" s="51">
        <v>66.0</v>
      </c>
      <c r="E3899" s="52" t="s">
        <v>25</v>
      </c>
      <c r="F3899" s="52" t="s">
        <v>26</v>
      </c>
      <c r="G3899" s="53"/>
    </row>
    <row r="3900">
      <c r="A3900" s="49">
        <v>45061.733513113424</v>
      </c>
      <c r="B3900" s="50">
        <v>45061.8584879629</v>
      </c>
      <c r="C3900" s="51">
        <v>1.015</v>
      </c>
      <c r="D3900" s="51">
        <v>66.0</v>
      </c>
      <c r="E3900" s="52" t="s">
        <v>25</v>
      </c>
      <c r="F3900" s="52" t="s">
        <v>26</v>
      </c>
      <c r="G3900" s="53"/>
    </row>
    <row r="3901">
      <c r="A3901" s="49">
        <v>45061.74394097222</v>
      </c>
      <c r="B3901" s="50">
        <v>45061.8689214814</v>
      </c>
      <c r="C3901" s="51">
        <v>1.015</v>
      </c>
      <c r="D3901" s="51">
        <v>66.0</v>
      </c>
      <c r="E3901" s="52" t="s">
        <v>25</v>
      </c>
      <c r="F3901" s="52" t="s">
        <v>26</v>
      </c>
      <c r="G3901" s="53"/>
    </row>
    <row r="3902">
      <c r="A3902" s="49">
        <v>45061.754377743055</v>
      </c>
      <c r="B3902" s="50">
        <v>45061.8793440277</v>
      </c>
      <c r="C3902" s="51">
        <v>1.015</v>
      </c>
      <c r="D3902" s="51">
        <v>66.0</v>
      </c>
      <c r="E3902" s="52" t="s">
        <v>25</v>
      </c>
      <c r="F3902" s="52" t="s">
        <v>26</v>
      </c>
      <c r="G3902" s="53"/>
    </row>
    <row r="3903">
      <c r="A3903" s="49">
        <v>45061.76479349537</v>
      </c>
      <c r="B3903" s="50">
        <v>45061.8897663194</v>
      </c>
      <c r="C3903" s="51">
        <v>1.015</v>
      </c>
      <c r="D3903" s="51">
        <v>66.0</v>
      </c>
      <c r="E3903" s="52" t="s">
        <v>25</v>
      </c>
      <c r="F3903" s="52" t="s">
        <v>26</v>
      </c>
      <c r="G3903" s="53"/>
    </row>
    <row r="3904">
      <c r="A3904" s="49">
        <v>45061.77522380787</v>
      </c>
      <c r="B3904" s="50">
        <v>45061.9001990162</v>
      </c>
      <c r="C3904" s="51">
        <v>1.015</v>
      </c>
      <c r="D3904" s="51">
        <v>66.0</v>
      </c>
      <c r="E3904" s="52" t="s">
        <v>25</v>
      </c>
      <c r="F3904" s="52" t="s">
        <v>26</v>
      </c>
      <c r="G3904" s="53"/>
    </row>
    <row r="3905">
      <c r="A3905" s="49">
        <v>45061.7856534375</v>
      </c>
      <c r="B3905" s="50">
        <v>45061.9106204398</v>
      </c>
      <c r="C3905" s="51">
        <v>1.015</v>
      </c>
      <c r="D3905" s="51">
        <v>66.0</v>
      </c>
      <c r="E3905" s="52" t="s">
        <v>25</v>
      </c>
      <c r="F3905" s="52" t="s">
        <v>26</v>
      </c>
      <c r="G3905" s="53"/>
    </row>
    <row r="3906">
      <c r="A3906" s="49">
        <v>45061.796107118054</v>
      </c>
      <c r="B3906" s="50">
        <v>45061.9210767361</v>
      </c>
      <c r="C3906" s="51">
        <v>1.015</v>
      </c>
      <c r="D3906" s="51">
        <v>66.0</v>
      </c>
      <c r="E3906" s="52" t="s">
        <v>25</v>
      </c>
      <c r="F3906" s="52" t="s">
        <v>26</v>
      </c>
      <c r="G3906" s="53"/>
    </row>
    <row r="3907">
      <c r="A3907" s="49">
        <v>45061.80653560185</v>
      </c>
      <c r="B3907" s="50">
        <v>45061.9315111689</v>
      </c>
      <c r="C3907" s="51">
        <v>1.015</v>
      </c>
      <c r="D3907" s="51">
        <v>66.0</v>
      </c>
      <c r="E3907" s="52" t="s">
        <v>25</v>
      </c>
      <c r="F3907" s="52" t="s">
        <v>26</v>
      </c>
      <c r="G3907" s="53"/>
    </row>
    <row r="3908">
      <c r="A3908" s="49">
        <v>45061.81701115741</v>
      </c>
      <c r="B3908" s="50">
        <v>45061.9419672222</v>
      </c>
      <c r="C3908" s="51">
        <v>1.015</v>
      </c>
      <c r="D3908" s="51">
        <v>66.0</v>
      </c>
      <c r="E3908" s="52" t="s">
        <v>25</v>
      </c>
      <c r="F3908" s="52" t="s">
        <v>26</v>
      </c>
      <c r="G3908" s="53"/>
    </row>
    <row r="3909">
      <c r="A3909" s="49">
        <v>45061.82742083333</v>
      </c>
      <c r="B3909" s="50">
        <v>45061.9523893287</v>
      </c>
      <c r="C3909" s="51">
        <v>1.015</v>
      </c>
      <c r="D3909" s="51">
        <v>66.0</v>
      </c>
      <c r="E3909" s="52" t="s">
        <v>25</v>
      </c>
      <c r="F3909" s="52" t="s">
        <v>26</v>
      </c>
      <c r="G3909" s="53"/>
    </row>
    <row r="3910">
      <c r="A3910" s="49">
        <v>45061.83783247686</v>
      </c>
      <c r="B3910" s="50">
        <v>45061.9628117824</v>
      </c>
      <c r="C3910" s="51">
        <v>1.015</v>
      </c>
      <c r="D3910" s="51">
        <v>66.0</v>
      </c>
      <c r="E3910" s="52" t="s">
        <v>25</v>
      </c>
      <c r="F3910" s="52" t="s">
        <v>26</v>
      </c>
      <c r="G3910" s="53"/>
    </row>
    <row r="3911">
      <c r="A3911" s="49">
        <v>45061.84825215278</v>
      </c>
      <c r="B3911" s="50">
        <v>45061.9732320717</v>
      </c>
      <c r="C3911" s="51">
        <v>1.015</v>
      </c>
      <c r="D3911" s="51">
        <v>66.0</v>
      </c>
      <c r="E3911" s="52" t="s">
        <v>25</v>
      </c>
      <c r="F3911" s="52" t="s">
        <v>26</v>
      </c>
      <c r="G3911" s="53"/>
    </row>
    <row r="3912">
      <c r="A3912" s="49">
        <v>45061.85869819444</v>
      </c>
      <c r="B3912" s="50">
        <v>45061.9836649305</v>
      </c>
      <c r="C3912" s="51">
        <v>1.015</v>
      </c>
      <c r="D3912" s="51">
        <v>66.0</v>
      </c>
      <c r="E3912" s="52" t="s">
        <v>25</v>
      </c>
      <c r="F3912" s="52" t="s">
        <v>26</v>
      </c>
      <c r="G3912" s="53"/>
    </row>
    <row r="3913">
      <c r="A3913" s="49">
        <v>45061.86915239583</v>
      </c>
      <c r="B3913" s="50">
        <v>45061.994121956</v>
      </c>
      <c r="C3913" s="51">
        <v>1.015</v>
      </c>
      <c r="D3913" s="51">
        <v>66.0</v>
      </c>
      <c r="E3913" s="52" t="s">
        <v>25</v>
      </c>
      <c r="F3913" s="52" t="s">
        <v>26</v>
      </c>
      <c r="G3913" s="53"/>
    </row>
    <row r="3914">
      <c r="A3914" s="49">
        <v>45061.87958144676</v>
      </c>
      <c r="B3914" s="50">
        <v>45062.0045541088</v>
      </c>
      <c r="C3914" s="51">
        <v>1.015</v>
      </c>
      <c r="D3914" s="51">
        <v>66.0</v>
      </c>
      <c r="E3914" s="52" t="s">
        <v>25</v>
      </c>
      <c r="F3914" s="52" t="s">
        <v>26</v>
      </c>
      <c r="G3914" s="53"/>
    </row>
    <row r="3915">
      <c r="A3915" s="49">
        <v>45061.89001335648</v>
      </c>
      <c r="B3915" s="50">
        <v>45062.0149857175</v>
      </c>
      <c r="C3915" s="51">
        <v>1.015</v>
      </c>
      <c r="D3915" s="51">
        <v>66.0</v>
      </c>
      <c r="E3915" s="52" t="s">
        <v>25</v>
      </c>
      <c r="F3915" s="52" t="s">
        <v>26</v>
      </c>
      <c r="G3915" s="53"/>
    </row>
    <row r="3916">
      <c r="A3916" s="49">
        <v>45061.90044438657</v>
      </c>
      <c r="B3916" s="50">
        <v>45062.0254173032</v>
      </c>
      <c r="C3916" s="51">
        <v>1.015</v>
      </c>
      <c r="D3916" s="51">
        <v>66.0</v>
      </c>
      <c r="E3916" s="52" t="s">
        <v>25</v>
      </c>
      <c r="F3916" s="52" t="s">
        <v>26</v>
      </c>
      <c r="G3916" s="53"/>
    </row>
    <row r="3917">
      <c r="A3917" s="49">
        <v>45061.91087306713</v>
      </c>
      <c r="B3917" s="50">
        <v>45062.0358501388</v>
      </c>
      <c r="C3917" s="51">
        <v>1.015</v>
      </c>
      <c r="D3917" s="51">
        <v>66.0</v>
      </c>
      <c r="E3917" s="52" t="s">
        <v>25</v>
      </c>
      <c r="F3917" s="52" t="s">
        <v>26</v>
      </c>
      <c r="G3917" s="53"/>
    </row>
    <row r="3918">
      <c r="A3918" s="49">
        <v>45061.92129560185</v>
      </c>
      <c r="B3918" s="50">
        <v>45062.0462720949</v>
      </c>
      <c r="C3918" s="51">
        <v>1.015</v>
      </c>
      <c r="D3918" s="51">
        <v>66.0</v>
      </c>
      <c r="E3918" s="52" t="s">
        <v>25</v>
      </c>
      <c r="F3918" s="52" t="s">
        <v>26</v>
      </c>
      <c r="G3918" s="53"/>
    </row>
    <row r="3919">
      <c r="A3919" s="49">
        <v>45061.93171783564</v>
      </c>
      <c r="B3919" s="50">
        <v>45062.056693206</v>
      </c>
      <c r="C3919" s="51">
        <v>1.015</v>
      </c>
      <c r="D3919" s="51">
        <v>66.0</v>
      </c>
      <c r="E3919" s="52" t="s">
        <v>25</v>
      </c>
      <c r="F3919" s="52" t="s">
        <v>26</v>
      </c>
      <c r="G3919" s="53"/>
    </row>
    <row r="3920">
      <c r="A3920" s="49">
        <v>45061.94213497685</v>
      </c>
      <c r="B3920" s="50">
        <v>45062.067115162</v>
      </c>
      <c r="C3920" s="51">
        <v>1.015</v>
      </c>
      <c r="D3920" s="51">
        <v>66.0</v>
      </c>
      <c r="E3920" s="52" t="s">
        <v>25</v>
      </c>
      <c r="F3920" s="52" t="s">
        <v>26</v>
      </c>
      <c r="G3920" s="53"/>
    </row>
    <row r="3921">
      <c r="A3921" s="49">
        <v>45061.95255739584</v>
      </c>
      <c r="B3921" s="50">
        <v>45062.0775366666</v>
      </c>
      <c r="C3921" s="51">
        <v>1.015</v>
      </c>
      <c r="D3921" s="51">
        <v>66.0</v>
      </c>
      <c r="E3921" s="52" t="s">
        <v>25</v>
      </c>
      <c r="F3921" s="52" t="s">
        <v>26</v>
      </c>
      <c r="G3921" s="53"/>
    </row>
    <row r="3922">
      <c r="A3922" s="49">
        <v>45061.9629931713</v>
      </c>
      <c r="B3922" s="50">
        <v>45062.0879583333</v>
      </c>
      <c r="C3922" s="51">
        <v>1.015</v>
      </c>
      <c r="D3922" s="51">
        <v>66.0</v>
      </c>
      <c r="E3922" s="52" t="s">
        <v>25</v>
      </c>
      <c r="F3922" s="52" t="s">
        <v>26</v>
      </c>
      <c r="G3922" s="53"/>
    </row>
    <row r="3923">
      <c r="A3923" s="49">
        <v>45061.97340650463</v>
      </c>
      <c r="B3923" s="50">
        <v>45062.0983786226</v>
      </c>
      <c r="C3923" s="51">
        <v>1.015</v>
      </c>
      <c r="D3923" s="51">
        <v>66.0</v>
      </c>
      <c r="E3923" s="52" t="s">
        <v>25</v>
      </c>
      <c r="F3923" s="52" t="s">
        <v>26</v>
      </c>
      <c r="G3923" s="53"/>
    </row>
    <row r="3924">
      <c r="A3924" s="49">
        <v>45061.98382491898</v>
      </c>
      <c r="B3924" s="50">
        <v>45062.1087993518</v>
      </c>
      <c r="C3924" s="51">
        <v>1.015</v>
      </c>
      <c r="D3924" s="51">
        <v>66.0</v>
      </c>
      <c r="E3924" s="52" t="s">
        <v>25</v>
      </c>
      <c r="F3924" s="52" t="s">
        <v>26</v>
      </c>
      <c r="G3924" s="53"/>
    </row>
    <row r="3925">
      <c r="A3925" s="49">
        <v>45061.994261747685</v>
      </c>
      <c r="B3925" s="50">
        <v>45062.1192324768</v>
      </c>
      <c r="C3925" s="51">
        <v>1.015</v>
      </c>
      <c r="D3925" s="51">
        <v>66.0</v>
      </c>
      <c r="E3925" s="52" t="s">
        <v>25</v>
      </c>
      <c r="F3925" s="52" t="s">
        <v>26</v>
      </c>
      <c r="G3925" s="53"/>
    </row>
    <row r="3926">
      <c r="A3926" s="49">
        <v>45062.004685520835</v>
      </c>
      <c r="B3926" s="50">
        <v>45062.1296538888</v>
      </c>
      <c r="C3926" s="51">
        <v>1.015</v>
      </c>
      <c r="D3926" s="51">
        <v>66.0</v>
      </c>
      <c r="E3926" s="52" t="s">
        <v>25</v>
      </c>
      <c r="F3926" s="52" t="s">
        <v>26</v>
      </c>
      <c r="G3926" s="53"/>
    </row>
    <row r="3927">
      <c r="A3927" s="49">
        <v>45062.01510986111</v>
      </c>
      <c r="B3927" s="50">
        <v>45062.1400851157</v>
      </c>
      <c r="C3927" s="51">
        <v>1.015</v>
      </c>
      <c r="D3927" s="51">
        <v>66.0</v>
      </c>
      <c r="E3927" s="52" t="s">
        <v>25</v>
      </c>
      <c r="F3927" s="52" t="s">
        <v>26</v>
      </c>
      <c r="G3927" s="53"/>
    </row>
    <row r="3928">
      <c r="A3928" s="49">
        <v>45062.02554243055</v>
      </c>
      <c r="B3928" s="50">
        <v>45062.150518449</v>
      </c>
      <c r="C3928" s="51">
        <v>1.015</v>
      </c>
      <c r="D3928" s="51">
        <v>66.0</v>
      </c>
      <c r="E3928" s="52" t="s">
        <v>25</v>
      </c>
      <c r="F3928" s="52" t="s">
        <v>26</v>
      </c>
      <c r="G3928" s="53"/>
    </row>
    <row r="3929">
      <c r="A3929" s="49">
        <v>45062.03600197917</v>
      </c>
      <c r="B3929" s="50">
        <v>45062.1609748842</v>
      </c>
      <c r="C3929" s="51">
        <v>1.015</v>
      </c>
      <c r="D3929" s="51">
        <v>66.0</v>
      </c>
      <c r="E3929" s="52" t="s">
        <v>25</v>
      </c>
      <c r="F3929" s="52" t="s">
        <v>26</v>
      </c>
      <c r="G3929" s="53"/>
    </row>
    <row r="3930">
      <c r="A3930" s="49">
        <v>45062.046416261575</v>
      </c>
      <c r="B3930" s="50">
        <v>45062.171395868</v>
      </c>
      <c r="C3930" s="51">
        <v>1.015</v>
      </c>
      <c r="D3930" s="51">
        <v>66.0</v>
      </c>
      <c r="E3930" s="52" t="s">
        <v>25</v>
      </c>
      <c r="F3930" s="52" t="s">
        <v>26</v>
      </c>
      <c r="G3930" s="53"/>
    </row>
    <row r="3931">
      <c r="A3931" s="49">
        <v>45062.056872581015</v>
      </c>
      <c r="B3931" s="50">
        <v>45062.1818512963</v>
      </c>
      <c r="C3931" s="51">
        <v>1.015</v>
      </c>
      <c r="D3931" s="51">
        <v>66.0</v>
      </c>
      <c r="E3931" s="52" t="s">
        <v>25</v>
      </c>
      <c r="F3931" s="52" t="s">
        <v>26</v>
      </c>
      <c r="G3931" s="53"/>
    </row>
    <row r="3932">
      <c r="A3932" s="49">
        <v>45062.06730476852</v>
      </c>
      <c r="B3932" s="50">
        <v>45062.1922856713</v>
      </c>
      <c r="C3932" s="51">
        <v>1.015</v>
      </c>
      <c r="D3932" s="51">
        <v>66.0</v>
      </c>
      <c r="E3932" s="52" t="s">
        <v>25</v>
      </c>
      <c r="F3932" s="52" t="s">
        <v>26</v>
      </c>
      <c r="G3932" s="53"/>
    </row>
    <row r="3933">
      <c r="A3933" s="49">
        <v>45062.07775457176</v>
      </c>
      <c r="B3933" s="50">
        <v>45062.2027296759</v>
      </c>
      <c r="C3933" s="51">
        <v>1.015</v>
      </c>
      <c r="D3933" s="51">
        <v>66.0</v>
      </c>
      <c r="E3933" s="52" t="s">
        <v>25</v>
      </c>
      <c r="F3933" s="52" t="s">
        <v>26</v>
      </c>
      <c r="G3933" s="53"/>
    </row>
    <row r="3934">
      <c r="A3934" s="49">
        <v>45062.08817806713</v>
      </c>
      <c r="B3934" s="50">
        <v>45062.2131505208</v>
      </c>
      <c r="C3934" s="51">
        <v>1.015</v>
      </c>
      <c r="D3934" s="51">
        <v>66.0</v>
      </c>
      <c r="E3934" s="52" t="s">
        <v>25</v>
      </c>
      <c r="F3934" s="52" t="s">
        <v>26</v>
      </c>
      <c r="G3934" s="53"/>
    </row>
    <row r="3935">
      <c r="A3935" s="49">
        <v>45062.09860111111</v>
      </c>
      <c r="B3935" s="50">
        <v>45062.2235718287</v>
      </c>
      <c r="C3935" s="51">
        <v>1.015</v>
      </c>
      <c r="D3935" s="51">
        <v>66.0</v>
      </c>
      <c r="E3935" s="52" t="s">
        <v>25</v>
      </c>
      <c r="F3935" s="52" t="s">
        <v>26</v>
      </c>
      <c r="G3935" s="53"/>
    </row>
    <row r="3936">
      <c r="A3936" s="49">
        <v>45062.10904513889</v>
      </c>
      <c r="B3936" s="50">
        <v>45062.2340160995</v>
      </c>
      <c r="C3936" s="51">
        <v>1.015</v>
      </c>
      <c r="D3936" s="51">
        <v>66.0</v>
      </c>
      <c r="E3936" s="52" t="s">
        <v>25</v>
      </c>
      <c r="F3936" s="52" t="s">
        <v>26</v>
      </c>
      <c r="G3936" s="53"/>
    </row>
    <row r="3937">
      <c r="A3937" s="49">
        <v>45062.119503553244</v>
      </c>
      <c r="B3937" s="50">
        <v>45062.2444727546</v>
      </c>
      <c r="C3937" s="51">
        <v>1.015</v>
      </c>
      <c r="D3937" s="51">
        <v>66.0</v>
      </c>
      <c r="E3937" s="52" t="s">
        <v>25</v>
      </c>
      <c r="F3937" s="52" t="s">
        <v>26</v>
      </c>
      <c r="G3937" s="53"/>
    </row>
    <row r="3938">
      <c r="A3938" s="49">
        <v>45062.12992289352</v>
      </c>
      <c r="B3938" s="50">
        <v>45062.254894537</v>
      </c>
      <c r="C3938" s="51">
        <v>1.015</v>
      </c>
      <c r="D3938" s="51">
        <v>66.0</v>
      </c>
      <c r="E3938" s="52" t="s">
        <v>25</v>
      </c>
      <c r="F3938" s="52" t="s">
        <v>26</v>
      </c>
      <c r="G3938" s="53"/>
    </row>
    <row r="3939">
      <c r="A3939" s="49">
        <v>45062.14036322916</v>
      </c>
      <c r="B3939" s="50">
        <v>45062.265338449</v>
      </c>
      <c r="C3939" s="51">
        <v>1.015</v>
      </c>
      <c r="D3939" s="51">
        <v>66.0</v>
      </c>
      <c r="E3939" s="52" t="s">
        <v>25</v>
      </c>
      <c r="F3939" s="52" t="s">
        <v>26</v>
      </c>
      <c r="G3939" s="53"/>
    </row>
    <row r="3940">
      <c r="A3940" s="49">
        <v>45062.150794710644</v>
      </c>
      <c r="B3940" s="50">
        <v>45062.2757729282</v>
      </c>
      <c r="C3940" s="51">
        <v>1.015</v>
      </c>
      <c r="D3940" s="51">
        <v>66.0</v>
      </c>
      <c r="E3940" s="52" t="s">
        <v>25</v>
      </c>
      <c r="F3940" s="52" t="s">
        <v>26</v>
      </c>
      <c r="G3940" s="53"/>
    </row>
    <row r="3941">
      <c r="A3941" s="49">
        <v>45062.161243298615</v>
      </c>
      <c r="B3941" s="50">
        <v>45062.2862175115</v>
      </c>
      <c r="C3941" s="51">
        <v>1.015</v>
      </c>
      <c r="D3941" s="51">
        <v>66.0</v>
      </c>
      <c r="E3941" s="52" t="s">
        <v>25</v>
      </c>
      <c r="F3941" s="52" t="s">
        <v>26</v>
      </c>
      <c r="G3941" s="53"/>
    </row>
    <row r="3942">
      <c r="A3942" s="49">
        <v>45062.17166537037</v>
      </c>
      <c r="B3942" s="50">
        <v>45062.296640949</v>
      </c>
      <c r="C3942" s="51">
        <v>1.015</v>
      </c>
      <c r="D3942" s="51">
        <v>66.0</v>
      </c>
      <c r="E3942" s="52" t="s">
        <v>25</v>
      </c>
      <c r="F3942" s="52" t="s">
        <v>26</v>
      </c>
      <c r="G3942" s="53"/>
    </row>
    <row r="3943">
      <c r="A3943" s="49">
        <v>45062.182101805556</v>
      </c>
      <c r="B3943" s="50">
        <v>45062.3070743402</v>
      </c>
      <c r="C3943" s="51">
        <v>1.015</v>
      </c>
      <c r="D3943" s="51">
        <v>66.0</v>
      </c>
      <c r="E3943" s="52" t="s">
        <v>25</v>
      </c>
      <c r="F3943" s="52" t="s">
        <v>26</v>
      </c>
      <c r="G3943" s="53"/>
    </row>
    <row r="3944">
      <c r="A3944" s="49">
        <v>45062.19253075232</v>
      </c>
      <c r="B3944" s="50">
        <v>45062.3175057986</v>
      </c>
      <c r="C3944" s="51">
        <v>1.015</v>
      </c>
      <c r="D3944" s="51">
        <v>66.0</v>
      </c>
      <c r="E3944" s="52" t="s">
        <v>25</v>
      </c>
      <c r="F3944" s="52" t="s">
        <v>26</v>
      </c>
      <c r="G3944" s="53"/>
    </row>
    <row r="3945">
      <c r="A3945" s="49">
        <v>45062.20294942129</v>
      </c>
      <c r="B3945" s="50">
        <v>45062.3279257754</v>
      </c>
      <c r="C3945" s="51">
        <v>1.015</v>
      </c>
      <c r="D3945" s="51">
        <v>66.0</v>
      </c>
      <c r="E3945" s="52" t="s">
        <v>25</v>
      </c>
      <c r="F3945" s="52" t="s">
        <v>26</v>
      </c>
      <c r="G3945" s="53"/>
    </row>
    <row r="3946">
      <c r="A3946" s="49">
        <v>45062.21338130787</v>
      </c>
      <c r="B3946" s="50">
        <v>45062.3383561111</v>
      </c>
      <c r="C3946" s="51">
        <v>1.014</v>
      </c>
      <c r="D3946" s="51">
        <v>66.0</v>
      </c>
      <c r="E3946" s="52" t="s">
        <v>25</v>
      </c>
      <c r="F3946" s="52" t="s">
        <v>26</v>
      </c>
      <c r="G3946" s="53"/>
    </row>
    <row r="3947">
      <c r="A3947" s="49">
        <v>45062.22382806713</v>
      </c>
      <c r="B3947" s="50">
        <v>45062.3488021527</v>
      </c>
      <c r="C3947" s="51">
        <v>1.015</v>
      </c>
      <c r="D3947" s="51">
        <v>66.0</v>
      </c>
      <c r="E3947" s="52" t="s">
        <v>25</v>
      </c>
      <c r="F3947" s="52" t="s">
        <v>26</v>
      </c>
      <c r="G3947" s="53"/>
    </row>
    <row r="3948">
      <c r="A3948" s="49">
        <v>45062.234298854164</v>
      </c>
      <c r="B3948" s="50">
        <v>45062.3592712731</v>
      </c>
      <c r="C3948" s="51">
        <v>1.015</v>
      </c>
      <c r="D3948" s="51">
        <v>66.0</v>
      </c>
      <c r="E3948" s="52" t="s">
        <v>25</v>
      </c>
      <c r="F3948" s="52" t="s">
        <v>26</v>
      </c>
      <c r="G3948" s="53"/>
    </row>
    <row r="3949">
      <c r="A3949" s="49">
        <v>45062.24474653935</v>
      </c>
      <c r="B3949" s="50">
        <v>45062.3697149652</v>
      </c>
      <c r="C3949" s="51">
        <v>1.014</v>
      </c>
      <c r="D3949" s="51">
        <v>66.0</v>
      </c>
      <c r="E3949" s="52" t="s">
        <v>25</v>
      </c>
      <c r="F3949" s="52" t="s">
        <v>26</v>
      </c>
      <c r="G3949" s="53"/>
    </row>
    <row r="3950">
      <c r="A3950" s="49">
        <v>45062.25516435185</v>
      </c>
      <c r="B3950" s="50">
        <v>45062.3801350462</v>
      </c>
      <c r="C3950" s="51">
        <v>1.015</v>
      </c>
      <c r="D3950" s="51">
        <v>66.0</v>
      </c>
      <c r="E3950" s="52" t="s">
        <v>25</v>
      </c>
      <c r="F3950" s="52" t="s">
        <v>26</v>
      </c>
      <c r="G3950" s="53"/>
    </row>
    <row r="3951">
      <c r="A3951" s="49">
        <v>45062.26568907408</v>
      </c>
      <c r="B3951" s="50">
        <v>45062.390660625</v>
      </c>
      <c r="C3951" s="51">
        <v>1.015</v>
      </c>
      <c r="D3951" s="51">
        <v>66.0</v>
      </c>
      <c r="E3951" s="52" t="s">
        <v>25</v>
      </c>
      <c r="F3951" s="52" t="s">
        <v>26</v>
      </c>
      <c r="G3951" s="53"/>
    </row>
    <row r="3952">
      <c r="A3952" s="49">
        <v>45062.276098437505</v>
      </c>
      <c r="B3952" s="50">
        <v>45062.4010790277</v>
      </c>
      <c r="C3952" s="51">
        <v>1.015</v>
      </c>
      <c r="D3952" s="51">
        <v>66.0</v>
      </c>
      <c r="E3952" s="52" t="s">
        <v>25</v>
      </c>
      <c r="F3952" s="52" t="s">
        <v>26</v>
      </c>
      <c r="G3952" s="53"/>
    </row>
    <row r="3953">
      <c r="A3953" s="49">
        <v>45062.286547407406</v>
      </c>
      <c r="B3953" s="50">
        <v>45062.4114992939</v>
      </c>
      <c r="C3953" s="51">
        <v>1.015</v>
      </c>
      <c r="D3953" s="51">
        <v>66.0</v>
      </c>
      <c r="E3953" s="52" t="s">
        <v>25</v>
      </c>
      <c r="F3953" s="52" t="s">
        <v>26</v>
      </c>
      <c r="G3953" s="53"/>
    </row>
    <row r="3954">
      <c r="A3954" s="49">
        <v>45062.296953067125</v>
      </c>
      <c r="B3954" s="50">
        <v>45062.4219216319</v>
      </c>
      <c r="C3954" s="51">
        <v>1.015</v>
      </c>
      <c r="D3954" s="51">
        <v>66.0</v>
      </c>
      <c r="E3954" s="52" t="s">
        <v>25</v>
      </c>
      <c r="F3954" s="52" t="s">
        <v>26</v>
      </c>
      <c r="G3954" s="53"/>
    </row>
    <row r="3955">
      <c r="A3955" s="49">
        <v>45062.307381018516</v>
      </c>
      <c r="B3955" s="50">
        <v>45062.4323557523</v>
      </c>
      <c r="C3955" s="51">
        <v>1.014</v>
      </c>
      <c r="D3955" s="51">
        <v>66.0</v>
      </c>
      <c r="E3955" s="52" t="s">
        <v>25</v>
      </c>
      <c r="F3955" s="52" t="s">
        <v>26</v>
      </c>
      <c r="G3955" s="53"/>
    </row>
    <row r="3956">
      <c r="A3956" s="49">
        <v>45062.31780880787</v>
      </c>
      <c r="B3956" s="50">
        <v>45062.4427758333</v>
      </c>
      <c r="C3956" s="51">
        <v>1.015</v>
      </c>
      <c r="D3956" s="51">
        <v>66.0</v>
      </c>
      <c r="E3956" s="52" t="s">
        <v>25</v>
      </c>
      <c r="F3956" s="52" t="s">
        <v>26</v>
      </c>
      <c r="G3956" s="53"/>
    </row>
    <row r="3957">
      <c r="A3957" s="49">
        <v>45062.32836248842</v>
      </c>
      <c r="B3957" s="50">
        <v>45062.4532658217</v>
      </c>
      <c r="C3957" s="51">
        <v>1.014</v>
      </c>
      <c r="D3957" s="51">
        <v>66.0</v>
      </c>
      <c r="E3957" s="52" t="s">
        <v>25</v>
      </c>
      <c r="F3957" s="52" t="s">
        <v>26</v>
      </c>
      <c r="G3957" s="53"/>
    </row>
    <row r="3958">
      <c r="A3958" s="49">
        <v>45062.33872792824</v>
      </c>
      <c r="B3958" s="50">
        <v>45062.4636988888</v>
      </c>
      <c r="C3958" s="51">
        <v>1.014</v>
      </c>
      <c r="D3958" s="51">
        <v>66.0</v>
      </c>
      <c r="E3958" s="52" t="s">
        <v>25</v>
      </c>
      <c r="F3958" s="52" t="s">
        <v>26</v>
      </c>
      <c r="G3958" s="53"/>
    </row>
    <row r="3959">
      <c r="A3959" s="49">
        <v>45062.34915717592</v>
      </c>
      <c r="B3959" s="50">
        <v>45062.4741309375</v>
      </c>
      <c r="C3959" s="51">
        <v>1.014</v>
      </c>
      <c r="D3959" s="51">
        <v>66.0</v>
      </c>
      <c r="E3959" s="52" t="s">
        <v>25</v>
      </c>
      <c r="F3959" s="52" t="s">
        <v>26</v>
      </c>
      <c r="G3959" s="53"/>
    </row>
    <row r="3960">
      <c r="A3960" s="49">
        <v>45062.35957756944</v>
      </c>
      <c r="B3960" s="50">
        <v>45062.4845525578</v>
      </c>
      <c r="C3960" s="51">
        <v>1.014</v>
      </c>
      <c r="D3960" s="51">
        <v>66.0</v>
      </c>
      <c r="E3960" s="52" t="s">
        <v>25</v>
      </c>
      <c r="F3960" s="52" t="s">
        <v>26</v>
      </c>
      <c r="G3960" s="53"/>
    </row>
    <row r="3961">
      <c r="A3961" s="49">
        <v>45062.370015555556</v>
      </c>
      <c r="B3961" s="50">
        <v>45062.4949846527</v>
      </c>
      <c r="C3961" s="51">
        <v>1.015</v>
      </c>
      <c r="D3961" s="51">
        <v>66.0</v>
      </c>
      <c r="E3961" s="52" t="s">
        <v>25</v>
      </c>
      <c r="F3961" s="52" t="s">
        <v>26</v>
      </c>
      <c r="G3961" s="53"/>
    </row>
    <row r="3962">
      <c r="A3962" s="49">
        <v>45062.38044791667</v>
      </c>
      <c r="B3962" s="50">
        <v>45062.5054173379</v>
      </c>
      <c r="C3962" s="51">
        <v>1.015</v>
      </c>
      <c r="D3962" s="51">
        <v>66.0</v>
      </c>
      <c r="E3962" s="52" t="s">
        <v>25</v>
      </c>
      <c r="F3962" s="52" t="s">
        <v>26</v>
      </c>
      <c r="G3962" s="53"/>
    </row>
    <row r="3963">
      <c r="A3963" s="49">
        <v>45062.39086545139</v>
      </c>
      <c r="B3963" s="50">
        <v>45062.5158405208</v>
      </c>
      <c r="C3963" s="51">
        <v>1.015</v>
      </c>
      <c r="D3963" s="51">
        <v>66.0</v>
      </c>
      <c r="E3963" s="52" t="s">
        <v>25</v>
      </c>
      <c r="F3963" s="52" t="s">
        <v>26</v>
      </c>
      <c r="G3963" s="53"/>
    </row>
    <row r="3964">
      <c r="A3964" s="49">
        <v>45062.40132447917</v>
      </c>
      <c r="B3964" s="50">
        <v>45062.5262966088</v>
      </c>
      <c r="C3964" s="51">
        <v>1.014</v>
      </c>
      <c r="D3964" s="51">
        <v>66.0</v>
      </c>
      <c r="E3964" s="52" t="s">
        <v>25</v>
      </c>
      <c r="F3964" s="52" t="s">
        <v>26</v>
      </c>
      <c r="G3964" s="53"/>
    </row>
    <row r="3965">
      <c r="A3965" s="49">
        <v>45062.41176328703</v>
      </c>
      <c r="B3965" s="50">
        <v>45062.5367322106</v>
      </c>
      <c r="C3965" s="51">
        <v>1.014</v>
      </c>
      <c r="D3965" s="51">
        <v>66.0</v>
      </c>
      <c r="E3965" s="52" t="s">
        <v>25</v>
      </c>
      <c r="F3965" s="52" t="s">
        <v>26</v>
      </c>
      <c r="G3965" s="53"/>
    </row>
    <row r="3966">
      <c r="A3966" s="49">
        <v>45062.4221875463</v>
      </c>
      <c r="B3966" s="50">
        <v>45062.547166574</v>
      </c>
      <c r="C3966" s="51">
        <v>1.015</v>
      </c>
      <c r="D3966" s="51">
        <v>66.0</v>
      </c>
      <c r="E3966" s="52" t="s">
        <v>25</v>
      </c>
      <c r="F3966" s="52" t="s">
        <v>26</v>
      </c>
      <c r="G3966" s="53"/>
    </row>
    <row r="3967">
      <c r="A3967" s="49">
        <v>45062.432674386575</v>
      </c>
      <c r="B3967" s="50">
        <v>45062.5576442129</v>
      </c>
      <c r="C3967" s="51">
        <v>1.015</v>
      </c>
      <c r="D3967" s="51">
        <v>66.0</v>
      </c>
      <c r="E3967" s="52" t="s">
        <v>25</v>
      </c>
      <c r="F3967" s="52" t="s">
        <v>26</v>
      </c>
      <c r="G3967" s="53"/>
    </row>
    <row r="3968">
      <c r="A3968" s="49">
        <v>45062.44311692129</v>
      </c>
      <c r="B3968" s="50">
        <v>45062.5680876504</v>
      </c>
      <c r="C3968" s="51">
        <v>1.015</v>
      </c>
      <c r="D3968" s="51">
        <v>66.0</v>
      </c>
      <c r="E3968" s="52" t="s">
        <v>25</v>
      </c>
      <c r="F3968" s="52" t="s">
        <v>26</v>
      </c>
      <c r="G3968" s="53"/>
    </row>
    <row r="3969">
      <c r="A3969" s="49">
        <v>45062.45353627315</v>
      </c>
      <c r="B3969" s="50">
        <v>45062.578508912</v>
      </c>
      <c r="C3969" s="51">
        <v>1.015</v>
      </c>
      <c r="D3969" s="51">
        <v>66.0</v>
      </c>
      <c r="E3969" s="52" t="s">
        <v>25</v>
      </c>
      <c r="F3969" s="52" t="s">
        <v>26</v>
      </c>
      <c r="G3969" s="53"/>
    </row>
    <row r="3970">
      <c r="A3970" s="49">
        <v>45062.463974756945</v>
      </c>
      <c r="B3970" s="50">
        <v>45062.5889417939</v>
      </c>
      <c r="C3970" s="51">
        <v>1.014</v>
      </c>
      <c r="D3970" s="51">
        <v>66.0</v>
      </c>
      <c r="E3970" s="52" t="s">
        <v>25</v>
      </c>
      <c r="F3970" s="52" t="s">
        <v>26</v>
      </c>
      <c r="G3970" s="53"/>
    </row>
    <row r="3971">
      <c r="A3971" s="49">
        <v>45062.474409664355</v>
      </c>
      <c r="B3971" s="50">
        <v>45062.5993738194</v>
      </c>
      <c r="C3971" s="51">
        <v>1.015</v>
      </c>
      <c r="D3971" s="51">
        <v>66.0</v>
      </c>
      <c r="E3971" s="52" t="s">
        <v>25</v>
      </c>
      <c r="F3971" s="52" t="s">
        <v>26</v>
      </c>
      <c r="G3971" s="53"/>
    </row>
    <row r="3972">
      <c r="A3972" s="49">
        <v>45062.48482961806</v>
      </c>
      <c r="B3972" s="50">
        <v>45062.6097955092</v>
      </c>
      <c r="C3972" s="51">
        <v>1.015</v>
      </c>
      <c r="D3972" s="51">
        <v>66.0</v>
      </c>
      <c r="E3972" s="52" t="s">
        <v>25</v>
      </c>
      <c r="F3972" s="52" t="s">
        <v>26</v>
      </c>
      <c r="G3972" s="53"/>
    </row>
    <row r="3973">
      <c r="A3973" s="49">
        <v>45062.495260752316</v>
      </c>
      <c r="B3973" s="50">
        <v>45062.6202293981</v>
      </c>
      <c r="C3973" s="51">
        <v>1.015</v>
      </c>
      <c r="D3973" s="51">
        <v>66.0</v>
      </c>
      <c r="E3973" s="52" t="s">
        <v>25</v>
      </c>
      <c r="F3973" s="52" t="s">
        <v>26</v>
      </c>
      <c r="G3973" s="53"/>
    </row>
    <row r="3974">
      <c r="A3974" s="49">
        <v>45062.50568410879</v>
      </c>
      <c r="B3974" s="50">
        <v>45062.6306620023</v>
      </c>
      <c r="C3974" s="51">
        <v>1.014</v>
      </c>
      <c r="D3974" s="51">
        <v>66.0</v>
      </c>
      <c r="E3974" s="52" t="s">
        <v>25</v>
      </c>
      <c r="F3974" s="52" t="s">
        <v>26</v>
      </c>
      <c r="G3974" s="53"/>
    </row>
    <row r="3975">
      <c r="A3975" s="49">
        <v>45062.5161129051</v>
      </c>
      <c r="B3975" s="50">
        <v>45062.6410822453</v>
      </c>
      <c r="C3975" s="51">
        <v>1.014</v>
      </c>
      <c r="D3975" s="51">
        <v>66.0</v>
      </c>
      <c r="E3975" s="52" t="s">
        <v>25</v>
      </c>
      <c r="F3975" s="52" t="s">
        <v>26</v>
      </c>
      <c r="G3975" s="53"/>
    </row>
    <row r="3976">
      <c r="A3976" s="49">
        <v>45062.52652814815</v>
      </c>
      <c r="B3976" s="50">
        <v>45062.6515032754</v>
      </c>
      <c r="C3976" s="51">
        <v>1.014</v>
      </c>
      <c r="D3976" s="51">
        <v>66.0</v>
      </c>
      <c r="E3976" s="52" t="s">
        <v>25</v>
      </c>
      <c r="F3976" s="52" t="s">
        <v>26</v>
      </c>
      <c r="G3976" s="53"/>
    </row>
    <row r="3977">
      <c r="A3977" s="49">
        <v>45062.53696653935</v>
      </c>
      <c r="B3977" s="50">
        <v>45062.661935081</v>
      </c>
      <c r="C3977" s="51">
        <v>1.014</v>
      </c>
      <c r="D3977" s="51">
        <v>66.0</v>
      </c>
      <c r="E3977" s="52" t="s">
        <v>25</v>
      </c>
      <c r="F3977" s="52" t="s">
        <v>26</v>
      </c>
      <c r="G3977" s="53"/>
    </row>
    <row r="3978">
      <c r="A3978" s="49">
        <v>45062.54738038195</v>
      </c>
      <c r="B3978" s="50">
        <v>45062.6723558333</v>
      </c>
      <c r="C3978" s="51">
        <v>1.015</v>
      </c>
      <c r="D3978" s="51">
        <v>66.0</v>
      </c>
      <c r="E3978" s="52" t="s">
        <v>25</v>
      </c>
      <c r="F3978" s="52" t="s">
        <v>26</v>
      </c>
      <c r="G3978" s="53"/>
    </row>
    <row r="3979">
      <c r="A3979" s="49">
        <v>45062.55780335648</v>
      </c>
      <c r="B3979" s="50">
        <v>45062.6827770486</v>
      </c>
      <c r="C3979" s="51">
        <v>1.014</v>
      </c>
      <c r="D3979" s="51">
        <v>66.0</v>
      </c>
      <c r="E3979" s="52" t="s">
        <v>25</v>
      </c>
      <c r="F3979" s="52" t="s">
        <v>26</v>
      </c>
      <c r="G3979" s="53"/>
    </row>
    <row r="3980">
      <c r="A3980" s="49">
        <v>45062.56824263889</v>
      </c>
      <c r="B3980" s="50">
        <v>45062.6932207175</v>
      </c>
      <c r="C3980" s="51">
        <v>1.014</v>
      </c>
      <c r="D3980" s="51">
        <v>66.0</v>
      </c>
      <c r="E3980" s="52" t="s">
        <v>25</v>
      </c>
      <c r="F3980" s="52" t="s">
        <v>26</v>
      </c>
      <c r="G3980" s="53"/>
    </row>
    <row r="3981">
      <c r="A3981" s="49">
        <v>45062.57867981482</v>
      </c>
      <c r="B3981" s="50">
        <v>45062.7036541666</v>
      </c>
      <c r="C3981" s="51">
        <v>1.014</v>
      </c>
      <c r="D3981" s="51">
        <v>66.0</v>
      </c>
      <c r="E3981" s="52" t="s">
        <v>25</v>
      </c>
      <c r="F3981" s="52" t="s">
        <v>26</v>
      </c>
      <c r="G3981" s="53"/>
    </row>
    <row r="3982">
      <c r="A3982" s="49">
        <v>45062.58910467592</v>
      </c>
      <c r="B3982" s="50">
        <v>45062.7140756018</v>
      </c>
      <c r="C3982" s="51">
        <v>1.014</v>
      </c>
      <c r="D3982" s="51">
        <v>66.0</v>
      </c>
      <c r="E3982" s="52" t="s">
        <v>25</v>
      </c>
      <c r="F3982" s="52" t="s">
        <v>26</v>
      </c>
      <c r="G3982" s="53"/>
    </row>
    <row r="3983">
      <c r="A3983" s="49">
        <v>45062.59952234954</v>
      </c>
      <c r="B3983" s="50">
        <v>45062.7244978935</v>
      </c>
      <c r="C3983" s="51">
        <v>1.015</v>
      </c>
      <c r="D3983" s="51">
        <v>66.0</v>
      </c>
      <c r="E3983" s="52" t="s">
        <v>25</v>
      </c>
      <c r="F3983" s="52" t="s">
        <v>26</v>
      </c>
      <c r="G3983" s="53"/>
    </row>
    <row r="3984">
      <c r="A3984" s="49">
        <v>45062.60994688657</v>
      </c>
      <c r="B3984" s="50">
        <v>45062.7349197916</v>
      </c>
      <c r="C3984" s="51">
        <v>1.015</v>
      </c>
      <c r="D3984" s="51">
        <v>66.0</v>
      </c>
      <c r="E3984" s="52" t="s">
        <v>25</v>
      </c>
      <c r="F3984" s="52" t="s">
        <v>26</v>
      </c>
      <c r="G3984" s="53"/>
    </row>
    <row r="3985">
      <c r="A3985" s="49">
        <v>45062.62037800926</v>
      </c>
      <c r="B3985" s="50">
        <v>45062.7453424074</v>
      </c>
      <c r="C3985" s="51">
        <v>1.014</v>
      </c>
      <c r="D3985" s="51">
        <v>66.0</v>
      </c>
      <c r="E3985" s="52" t="s">
        <v>25</v>
      </c>
      <c r="F3985" s="52" t="s">
        <v>26</v>
      </c>
      <c r="G3985" s="53"/>
    </row>
    <row r="3986">
      <c r="A3986" s="49">
        <v>45062.630803865744</v>
      </c>
      <c r="B3986" s="50">
        <v>45062.7557752893</v>
      </c>
      <c r="C3986" s="51">
        <v>1.014</v>
      </c>
      <c r="D3986" s="51">
        <v>66.0</v>
      </c>
      <c r="E3986" s="52" t="s">
        <v>25</v>
      </c>
      <c r="F3986" s="52" t="s">
        <v>26</v>
      </c>
      <c r="G3986" s="53"/>
    </row>
    <row r="3987">
      <c r="A3987" s="49">
        <v>45062.64123037037</v>
      </c>
      <c r="B3987" s="50">
        <v>45062.7661959837</v>
      </c>
      <c r="C3987" s="51">
        <v>1.014</v>
      </c>
      <c r="D3987" s="51">
        <v>66.0</v>
      </c>
      <c r="E3987" s="52" t="s">
        <v>25</v>
      </c>
      <c r="F3987" s="52" t="s">
        <v>26</v>
      </c>
      <c r="G3987" s="53"/>
    </row>
    <row r="3988">
      <c r="A3988" s="49">
        <v>45062.65170231482</v>
      </c>
      <c r="B3988" s="50">
        <v>45062.7766176736</v>
      </c>
      <c r="C3988" s="51">
        <v>1.014</v>
      </c>
      <c r="D3988" s="51">
        <v>66.0</v>
      </c>
      <c r="E3988" s="52" t="s">
        <v>25</v>
      </c>
      <c r="F3988" s="52" t="s">
        <v>26</v>
      </c>
      <c r="G3988" s="53"/>
    </row>
    <row r="3989">
      <c r="A3989" s="49">
        <v>45062.66207387732</v>
      </c>
      <c r="B3989" s="50">
        <v>45062.7870385995</v>
      </c>
      <c r="C3989" s="51">
        <v>1.015</v>
      </c>
      <c r="D3989" s="51">
        <v>66.0</v>
      </c>
      <c r="E3989" s="52" t="s">
        <v>25</v>
      </c>
      <c r="F3989" s="52" t="s">
        <v>26</v>
      </c>
      <c r="G3989" s="53"/>
    </row>
    <row r="3990">
      <c r="A3990" s="49">
        <v>45062.67248570602</v>
      </c>
      <c r="B3990" s="50">
        <v>45062.7974603703</v>
      </c>
      <c r="C3990" s="51">
        <v>1.014</v>
      </c>
      <c r="D3990" s="51">
        <v>66.0</v>
      </c>
      <c r="E3990" s="52" t="s">
        <v>25</v>
      </c>
      <c r="F3990" s="52" t="s">
        <v>26</v>
      </c>
      <c r="G3990" s="53"/>
    </row>
    <row r="3991">
      <c r="A3991" s="49">
        <v>45062.68291023148</v>
      </c>
      <c r="B3991" s="50">
        <v>45062.8078811689</v>
      </c>
      <c r="C3991" s="51">
        <v>1.014</v>
      </c>
      <c r="D3991" s="51">
        <v>66.0</v>
      </c>
      <c r="E3991" s="52" t="s">
        <v>25</v>
      </c>
      <c r="F3991" s="52" t="s">
        <v>26</v>
      </c>
      <c r="G3991" s="53"/>
    </row>
    <row r="3992">
      <c r="A3992" s="49">
        <v>45062.693332256946</v>
      </c>
      <c r="B3992" s="50">
        <v>45062.8183091435</v>
      </c>
      <c r="C3992" s="51">
        <v>1.014</v>
      </c>
      <c r="D3992" s="51">
        <v>66.0</v>
      </c>
      <c r="E3992" s="52" t="s">
        <v>25</v>
      </c>
      <c r="F3992" s="52" t="s">
        <v>26</v>
      </c>
      <c r="G3992" s="53"/>
    </row>
    <row r="3993">
      <c r="A3993" s="49">
        <v>45062.7037494213</v>
      </c>
      <c r="B3993" s="50">
        <v>45062.8287290162</v>
      </c>
      <c r="C3993" s="51">
        <v>1.014</v>
      </c>
      <c r="D3993" s="51">
        <v>66.0</v>
      </c>
      <c r="E3993" s="52" t="s">
        <v>25</v>
      </c>
      <c r="F3993" s="52" t="s">
        <v>26</v>
      </c>
      <c r="G3993" s="53"/>
    </row>
    <row r="3994">
      <c r="A3994" s="49">
        <v>45062.71419047454</v>
      </c>
      <c r="B3994" s="50">
        <v>45062.8391636226</v>
      </c>
      <c r="C3994" s="51">
        <v>1.014</v>
      </c>
      <c r="D3994" s="51">
        <v>66.0</v>
      </c>
      <c r="E3994" s="52" t="s">
        <v>25</v>
      </c>
      <c r="F3994" s="52" t="s">
        <v>26</v>
      </c>
      <c r="G3994" s="53"/>
    </row>
    <row r="3995">
      <c r="A3995" s="49">
        <v>45062.72463115741</v>
      </c>
      <c r="B3995" s="50">
        <v>45062.8495970601</v>
      </c>
      <c r="C3995" s="51">
        <v>1.014</v>
      </c>
      <c r="D3995" s="51">
        <v>66.0</v>
      </c>
      <c r="E3995" s="52" t="s">
        <v>25</v>
      </c>
      <c r="F3995" s="52" t="s">
        <v>26</v>
      </c>
      <c r="G3995" s="53"/>
    </row>
    <row r="3996">
      <c r="A3996" s="49">
        <v>45062.73504623843</v>
      </c>
      <c r="B3996" s="50">
        <v>45062.8600191435</v>
      </c>
      <c r="C3996" s="51">
        <v>1.014</v>
      </c>
      <c r="D3996" s="51">
        <v>66.0</v>
      </c>
      <c r="E3996" s="52" t="s">
        <v>25</v>
      </c>
      <c r="F3996" s="52" t="s">
        <v>26</v>
      </c>
      <c r="G3996" s="53"/>
    </row>
    <row r="3997">
      <c r="A3997" s="49">
        <v>45062.74549998842</v>
      </c>
      <c r="B3997" s="50">
        <v>45062.8704754861</v>
      </c>
      <c r="C3997" s="51">
        <v>1.014</v>
      </c>
      <c r="D3997" s="51">
        <v>66.0</v>
      </c>
      <c r="E3997" s="52" t="s">
        <v>25</v>
      </c>
      <c r="F3997" s="52" t="s">
        <v>26</v>
      </c>
      <c r="G3997" s="53"/>
    </row>
    <row r="3998">
      <c r="A3998" s="49">
        <v>45062.755930810185</v>
      </c>
      <c r="B3998" s="50">
        <v>45062.8809093981</v>
      </c>
      <c r="C3998" s="51">
        <v>1.015</v>
      </c>
      <c r="D3998" s="51">
        <v>66.0</v>
      </c>
      <c r="E3998" s="52" t="s">
        <v>25</v>
      </c>
      <c r="F3998" s="52" t="s">
        <v>26</v>
      </c>
      <c r="G3998" s="53"/>
    </row>
    <row r="3999">
      <c r="A3999" s="49">
        <v>45062.766353425926</v>
      </c>
      <c r="B3999" s="50">
        <v>45062.8913297685</v>
      </c>
      <c r="C3999" s="51">
        <v>1.014</v>
      </c>
      <c r="D3999" s="51">
        <v>66.0</v>
      </c>
      <c r="E3999" s="52" t="s">
        <v>25</v>
      </c>
      <c r="F3999" s="52" t="s">
        <v>26</v>
      </c>
      <c r="G3999" s="53"/>
    </row>
    <row r="4000">
      <c r="A4000" s="49">
        <v>45062.77678231482</v>
      </c>
      <c r="B4000" s="50">
        <v>45062.9017515856</v>
      </c>
      <c r="C4000" s="51">
        <v>1.014</v>
      </c>
      <c r="D4000" s="51">
        <v>66.0</v>
      </c>
      <c r="E4000" s="52" t="s">
        <v>25</v>
      </c>
      <c r="F4000" s="52" t="s">
        <v>26</v>
      </c>
      <c r="G4000" s="53"/>
    </row>
    <row r="4001">
      <c r="A4001" s="49">
        <v>45062.787200624996</v>
      </c>
      <c r="B4001" s="50">
        <v>45062.9121722569</v>
      </c>
      <c r="C4001" s="51">
        <v>1.014</v>
      </c>
      <c r="D4001" s="51">
        <v>66.0</v>
      </c>
      <c r="E4001" s="52" t="s">
        <v>25</v>
      </c>
      <c r="F4001" s="52" t="s">
        <v>26</v>
      </c>
      <c r="G4001" s="53"/>
    </row>
    <row r="4002">
      <c r="A4002" s="49">
        <v>45062.79773361111</v>
      </c>
      <c r="B4002" s="50">
        <v>45062.9226048726</v>
      </c>
      <c r="C4002" s="51">
        <v>1.014</v>
      </c>
      <c r="D4002" s="51">
        <v>66.0</v>
      </c>
      <c r="E4002" s="52" t="s">
        <v>25</v>
      </c>
      <c r="F4002" s="52" t="s">
        <v>26</v>
      </c>
      <c r="G4002" s="53"/>
    </row>
    <row r="4003">
      <c r="A4003" s="49">
        <v>45062.808081006944</v>
      </c>
      <c r="B4003" s="50">
        <v>45062.9330501967</v>
      </c>
      <c r="C4003" s="51">
        <v>1.014</v>
      </c>
      <c r="D4003" s="51">
        <v>66.0</v>
      </c>
      <c r="E4003" s="52" t="s">
        <v>25</v>
      </c>
      <c r="F4003" s="52" t="s">
        <v>26</v>
      </c>
      <c r="G4003" s="53"/>
    </row>
    <row r="4004">
      <c r="A4004" s="49">
        <v>45062.81850961805</v>
      </c>
      <c r="B4004" s="50">
        <v>45062.9434710069</v>
      </c>
      <c r="C4004" s="51">
        <v>1.014</v>
      </c>
      <c r="D4004" s="51">
        <v>66.0</v>
      </c>
      <c r="E4004" s="52" t="s">
        <v>25</v>
      </c>
      <c r="F4004" s="52" t="s">
        <v>26</v>
      </c>
      <c r="G4004" s="53"/>
    </row>
    <row r="4005">
      <c r="A4005" s="49">
        <v>45062.828920671294</v>
      </c>
      <c r="B4005" s="50">
        <v>45062.9538917824</v>
      </c>
      <c r="C4005" s="51">
        <v>1.014</v>
      </c>
      <c r="D4005" s="51">
        <v>66.0</v>
      </c>
      <c r="E4005" s="52" t="s">
        <v>25</v>
      </c>
      <c r="F4005" s="52" t="s">
        <v>26</v>
      </c>
      <c r="G4005" s="53"/>
    </row>
    <row r="4006">
      <c r="A4006" s="49">
        <v>45062.839350740745</v>
      </c>
      <c r="B4006" s="50">
        <v>45062.9643248263</v>
      </c>
      <c r="C4006" s="51">
        <v>1.014</v>
      </c>
      <c r="D4006" s="51">
        <v>66.0</v>
      </c>
      <c r="E4006" s="52" t="s">
        <v>25</v>
      </c>
      <c r="F4006" s="52" t="s">
        <v>26</v>
      </c>
      <c r="G4006" s="53"/>
    </row>
    <row r="4007">
      <c r="A4007" s="49">
        <v>45062.849773379625</v>
      </c>
      <c r="B4007" s="50">
        <v>45062.9747441319</v>
      </c>
      <c r="C4007" s="51">
        <v>1.014</v>
      </c>
      <c r="D4007" s="51">
        <v>66.0</v>
      </c>
      <c r="E4007" s="52" t="s">
        <v>25</v>
      </c>
      <c r="F4007" s="52" t="s">
        <v>26</v>
      </c>
      <c r="G4007" s="53"/>
    </row>
    <row r="4008">
      <c r="A4008" s="49">
        <v>45062.860195127316</v>
      </c>
      <c r="B4008" s="50">
        <v>45062.9851764351</v>
      </c>
      <c r="C4008" s="51">
        <v>1.014</v>
      </c>
      <c r="D4008" s="51">
        <v>66.0</v>
      </c>
      <c r="E4008" s="52" t="s">
        <v>25</v>
      </c>
      <c r="F4008" s="52" t="s">
        <v>26</v>
      </c>
      <c r="G4008" s="53"/>
    </row>
    <row r="4009">
      <c r="A4009" s="49">
        <v>45062.870645138886</v>
      </c>
      <c r="B4009" s="50">
        <v>45062.995622581</v>
      </c>
      <c r="C4009" s="51">
        <v>1.014</v>
      </c>
      <c r="D4009" s="51">
        <v>66.0</v>
      </c>
      <c r="E4009" s="52" t="s">
        <v>25</v>
      </c>
      <c r="F4009" s="52" t="s">
        <v>26</v>
      </c>
      <c r="G4009" s="53"/>
    </row>
    <row r="4010">
      <c r="A4010" s="49">
        <v>45062.881096006946</v>
      </c>
      <c r="B4010" s="50">
        <v>45063.0060675462</v>
      </c>
      <c r="C4010" s="51">
        <v>1.014</v>
      </c>
      <c r="D4010" s="51">
        <v>66.0</v>
      </c>
      <c r="E4010" s="52" t="s">
        <v>25</v>
      </c>
      <c r="F4010" s="52" t="s">
        <v>26</v>
      </c>
      <c r="G4010" s="53"/>
    </row>
    <row r="4011">
      <c r="A4011" s="49">
        <v>45062.89154347222</v>
      </c>
      <c r="B4011" s="50">
        <v>45063.0165230208</v>
      </c>
      <c r="C4011" s="51">
        <v>1.014</v>
      </c>
      <c r="D4011" s="51">
        <v>66.0</v>
      </c>
      <c r="E4011" s="52" t="s">
        <v>25</v>
      </c>
      <c r="F4011" s="52" t="s">
        <v>26</v>
      </c>
      <c r="G4011" s="53"/>
    </row>
    <row r="4012">
      <c r="A4012" s="49">
        <v>45062.90198576389</v>
      </c>
      <c r="B4012" s="50">
        <v>45063.0269551041</v>
      </c>
      <c r="C4012" s="51">
        <v>1.014</v>
      </c>
      <c r="D4012" s="51">
        <v>66.0</v>
      </c>
      <c r="E4012" s="52" t="s">
        <v>25</v>
      </c>
      <c r="F4012" s="52" t="s">
        <v>26</v>
      </c>
      <c r="G4012" s="53"/>
    </row>
    <row r="4013">
      <c r="A4013" s="49">
        <v>45062.912405173614</v>
      </c>
      <c r="B4013" s="50">
        <v>45063.0373754745</v>
      </c>
      <c r="C4013" s="51">
        <v>1.014</v>
      </c>
      <c r="D4013" s="51">
        <v>66.0</v>
      </c>
      <c r="E4013" s="52" t="s">
        <v>25</v>
      </c>
      <c r="F4013" s="52" t="s">
        <v>26</v>
      </c>
      <c r="G4013" s="53"/>
    </row>
    <row r="4014">
      <c r="A4014" s="49">
        <v>45062.92281787037</v>
      </c>
      <c r="B4014" s="50">
        <v>45063.0477954398</v>
      </c>
      <c r="C4014" s="51">
        <v>1.014</v>
      </c>
      <c r="D4014" s="51">
        <v>66.0</v>
      </c>
      <c r="E4014" s="52" t="s">
        <v>25</v>
      </c>
      <c r="F4014" s="52" t="s">
        <v>26</v>
      </c>
      <c r="G4014" s="53"/>
    </row>
    <row r="4015">
      <c r="A4015" s="49">
        <v>45062.93329759259</v>
      </c>
      <c r="B4015" s="50">
        <v>45063.0582740856</v>
      </c>
      <c r="C4015" s="51">
        <v>1.014</v>
      </c>
      <c r="D4015" s="51">
        <v>66.0</v>
      </c>
      <c r="E4015" s="52" t="s">
        <v>25</v>
      </c>
      <c r="F4015" s="52" t="s">
        <v>26</v>
      </c>
      <c r="G4015" s="53"/>
    </row>
    <row r="4016">
      <c r="A4016" s="49">
        <v>45062.943790000005</v>
      </c>
      <c r="B4016" s="50">
        <v>45063.068764699</v>
      </c>
      <c r="C4016" s="51">
        <v>1.014</v>
      </c>
      <c r="D4016" s="51">
        <v>66.0</v>
      </c>
      <c r="E4016" s="52" t="s">
        <v>25</v>
      </c>
      <c r="F4016" s="52" t="s">
        <v>26</v>
      </c>
      <c r="G4016" s="53"/>
    </row>
    <row r="4017">
      <c r="A4017" s="49">
        <v>45062.95420905093</v>
      </c>
      <c r="B4017" s="50">
        <v>45063.079185324</v>
      </c>
      <c r="C4017" s="51">
        <v>1.014</v>
      </c>
      <c r="D4017" s="51">
        <v>66.0</v>
      </c>
      <c r="E4017" s="52" t="s">
        <v>25</v>
      </c>
      <c r="F4017" s="52" t="s">
        <v>26</v>
      </c>
      <c r="G4017" s="53"/>
    </row>
    <row r="4018">
      <c r="A4018" s="49">
        <v>45062.96465203704</v>
      </c>
      <c r="B4018" s="50">
        <v>45063.0896316203</v>
      </c>
      <c r="C4018" s="51">
        <v>1.014</v>
      </c>
      <c r="D4018" s="51">
        <v>66.0</v>
      </c>
      <c r="E4018" s="52" t="s">
        <v>25</v>
      </c>
      <c r="F4018" s="52" t="s">
        <v>26</v>
      </c>
      <c r="G4018" s="53"/>
    </row>
    <row r="4019">
      <c r="A4019" s="49">
        <v>45062.97507962963</v>
      </c>
      <c r="B4019" s="50">
        <v>45063.1000529976</v>
      </c>
      <c r="C4019" s="51">
        <v>1.014</v>
      </c>
      <c r="D4019" s="51">
        <v>66.0</v>
      </c>
      <c r="E4019" s="52" t="s">
        <v>25</v>
      </c>
      <c r="F4019" s="52" t="s">
        <v>26</v>
      </c>
      <c r="G4019" s="53"/>
    </row>
    <row r="4020">
      <c r="A4020" s="49">
        <v>45062.985496168985</v>
      </c>
      <c r="B4020" s="50">
        <v>45063.1104722569</v>
      </c>
      <c r="C4020" s="51">
        <v>1.014</v>
      </c>
      <c r="D4020" s="51">
        <v>66.0</v>
      </c>
      <c r="E4020" s="52" t="s">
        <v>25</v>
      </c>
      <c r="F4020" s="52" t="s">
        <v>26</v>
      </c>
      <c r="G4020" s="53"/>
    </row>
    <row r="4021">
      <c r="A4021" s="49">
        <v>45062.99594100694</v>
      </c>
      <c r="B4021" s="50">
        <v>45063.1209060763</v>
      </c>
      <c r="C4021" s="51">
        <v>1.014</v>
      </c>
      <c r="D4021" s="51">
        <v>66.0</v>
      </c>
      <c r="E4021" s="52" t="s">
        <v>25</v>
      </c>
      <c r="F4021" s="52" t="s">
        <v>26</v>
      </c>
      <c r="G4021" s="53"/>
    </row>
    <row r="4022">
      <c r="A4022" s="49">
        <v>45063.00637895834</v>
      </c>
      <c r="B4022" s="50">
        <v>45063.1313615162</v>
      </c>
      <c r="C4022" s="51">
        <v>1.014</v>
      </c>
      <c r="D4022" s="51">
        <v>66.0</v>
      </c>
      <c r="E4022" s="52" t="s">
        <v>25</v>
      </c>
      <c r="F4022" s="52" t="s">
        <v>26</v>
      </c>
      <c r="G4022" s="53"/>
    </row>
    <row r="4023">
      <c r="A4023" s="49">
        <v>45063.01683167824</v>
      </c>
      <c r="B4023" s="50">
        <v>45063.1418043171</v>
      </c>
      <c r="C4023" s="51">
        <v>1.014</v>
      </c>
      <c r="D4023" s="51">
        <v>66.0</v>
      </c>
      <c r="E4023" s="52" t="s">
        <v>25</v>
      </c>
      <c r="F4023" s="52" t="s">
        <v>26</v>
      </c>
      <c r="G4023" s="53"/>
    </row>
    <row r="4024">
      <c r="A4024" s="49">
        <v>45063.027264247685</v>
      </c>
      <c r="B4024" s="50">
        <v>45063.1522266782</v>
      </c>
      <c r="C4024" s="51">
        <v>1.014</v>
      </c>
      <c r="D4024" s="51">
        <v>66.0</v>
      </c>
      <c r="E4024" s="52" t="s">
        <v>25</v>
      </c>
      <c r="F4024" s="52" t="s">
        <v>26</v>
      </c>
      <c r="G4024" s="53"/>
    </row>
    <row r="4025">
      <c r="A4025" s="49">
        <v>45063.03768553241</v>
      </c>
      <c r="B4025" s="50">
        <v>45063.1626602314</v>
      </c>
      <c r="C4025" s="51">
        <v>1.014</v>
      </c>
      <c r="D4025" s="51">
        <v>66.0</v>
      </c>
      <c r="E4025" s="52" t="s">
        <v>25</v>
      </c>
      <c r="F4025" s="52" t="s">
        <v>26</v>
      </c>
      <c r="G4025" s="53"/>
    </row>
    <row r="4026">
      <c r="A4026" s="49">
        <v>45063.048132337964</v>
      </c>
      <c r="B4026" s="50">
        <v>45063.1731035069</v>
      </c>
      <c r="C4026" s="51">
        <v>1.014</v>
      </c>
      <c r="D4026" s="51">
        <v>66.0</v>
      </c>
      <c r="E4026" s="52" t="s">
        <v>25</v>
      </c>
      <c r="F4026" s="52" t="s">
        <v>26</v>
      </c>
      <c r="G4026" s="53"/>
    </row>
    <row r="4027">
      <c r="A4027" s="49">
        <v>45063.05856210648</v>
      </c>
      <c r="B4027" s="50">
        <v>45063.1835355787</v>
      </c>
      <c r="C4027" s="51">
        <v>1.014</v>
      </c>
      <c r="D4027" s="51">
        <v>66.0</v>
      </c>
      <c r="E4027" s="52" t="s">
        <v>25</v>
      </c>
      <c r="F4027" s="52" t="s">
        <v>26</v>
      </c>
      <c r="G4027" s="53"/>
    </row>
    <row r="4028">
      <c r="A4028" s="49">
        <v>45063.069008032406</v>
      </c>
      <c r="B4028" s="50">
        <v>45063.1939795601</v>
      </c>
      <c r="C4028" s="51">
        <v>1.014</v>
      </c>
      <c r="D4028" s="51">
        <v>66.0</v>
      </c>
      <c r="E4028" s="52" t="s">
        <v>25</v>
      </c>
      <c r="F4028" s="52" t="s">
        <v>26</v>
      </c>
      <c r="G4028" s="53"/>
    </row>
    <row r="4029">
      <c r="A4029" s="49">
        <v>45063.07947236111</v>
      </c>
      <c r="B4029" s="50">
        <v>45063.2044482638</v>
      </c>
      <c r="C4029" s="51">
        <v>1.014</v>
      </c>
      <c r="D4029" s="51">
        <v>66.0</v>
      </c>
      <c r="E4029" s="52" t="s">
        <v>25</v>
      </c>
      <c r="F4029" s="52" t="s">
        <v>26</v>
      </c>
      <c r="G4029" s="53"/>
    </row>
    <row r="4030">
      <c r="A4030" s="49">
        <v>45063.089887951384</v>
      </c>
      <c r="B4030" s="50">
        <v>45063.2148696759</v>
      </c>
      <c r="C4030" s="51">
        <v>1.014</v>
      </c>
      <c r="D4030" s="51">
        <v>66.0</v>
      </c>
      <c r="E4030" s="52" t="s">
        <v>25</v>
      </c>
      <c r="F4030" s="52" t="s">
        <v>26</v>
      </c>
      <c r="G4030" s="53"/>
    </row>
    <row r="4031">
      <c r="A4031" s="49">
        <v>45063.10031045139</v>
      </c>
      <c r="B4031" s="50">
        <v>45063.2252909953</v>
      </c>
      <c r="C4031" s="51">
        <v>1.014</v>
      </c>
      <c r="D4031" s="51">
        <v>66.0</v>
      </c>
      <c r="E4031" s="52" t="s">
        <v>25</v>
      </c>
      <c r="F4031" s="52" t="s">
        <v>26</v>
      </c>
      <c r="G4031" s="53"/>
    </row>
    <row r="4032">
      <c r="A4032" s="49">
        <v>45063.11075310185</v>
      </c>
      <c r="B4032" s="50">
        <v>45063.2357235995</v>
      </c>
      <c r="C4032" s="51">
        <v>1.014</v>
      </c>
      <c r="D4032" s="51">
        <v>66.0</v>
      </c>
      <c r="E4032" s="52" t="s">
        <v>25</v>
      </c>
      <c r="F4032" s="52" t="s">
        <v>26</v>
      </c>
      <c r="G4032" s="53"/>
    </row>
    <row r="4033">
      <c r="A4033" s="49">
        <v>45063.12117429398</v>
      </c>
      <c r="B4033" s="50">
        <v>45063.246144375</v>
      </c>
      <c r="C4033" s="51">
        <v>1.014</v>
      </c>
      <c r="D4033" s="51">
        <v>66.0</v>
      </c>
      <c r="E4033" s="52" t="s">
        <v>25</v>
      </c>
      <c r="F4033" s="52" t="s">
        <v>26</v>
      </c>
      <c r="G4033" s="53"/>
    </row>
    <row r="4034">
      <c r="A4034" s="49">
        <v>45063.13160570602</v>
      </c>
      <c r="B4034" s="50">
        <v>45063.2565786805</v>
      </c>
      <c r="C4034" s="51">
        <v>1.014</v>
      </c>
      <c r="D4034" s="51">
        <v>66.0</v>
      </c>
      <c r="E4034" s="52" t="s">
        <v>25</v>
      </c>
      <c r="F4034" s="52" t="s">
        <v>26</v>
      </c>
      <c r="G4034" s="53"/>
    </row>
    <row r="4035">
      <c r="A4035" s="49">
        <v>45063.14203394676</v>
      </c>
      <c r="B4035" s="50">
        <v>45063.2670136458</v>
      </c>
      <c r="C4035" s="51">
        <v>1.014</v>
      </c>
      <c r="D4035" s="51">
        <v>66.0</v>
      </c>
      <c r="E4035" s="52" t="s">
        <v>25</v>
      </c>
      <c r="F4035" s="52" t="s">
        <v>26</v>
      </c>
      <c r="G4035" s="53"/>
    </row>
    <row r="4036">
      <c r="A4036" s="49">
        <v>45063.152500682874</v>
      </c>
      <c r="B4036" s="50">
        <v>45063.2774720833</v>
      </c>
      <c r="C4036" s="51">
        <v>1.014</v>
      </c>
      <c r="D4036" s="51">
        <v>66.0</v>
      </c>
      <c r="E4036" s="52" t="s">
        <v>25</v>
      </c>
      <c r="F4036" s="52" t="s">
        <v>26</v>
      </c>
      <c r="G4036" s="53"/>
    </row>
    <row r="4037">
      <c r="A4037" s="49">
        <v>45063.16292315972</v>
      </c>
      <c r="B4037" s="50">
        <v>45063.2878941898</v>
      </c>
      <c r="C4037" s="51">
        <v>1.014</v>
      </c>
      <c r="D4037" s="51">
        <v>66.0</v>
      </c>
      <c r="E4037" s="52" t="s">
        <v>25</v>
      </c>
      <c r="F4037" s="52" t="s">
        <v>26</v>
      </c>
      <c r="G4037" s="53"/>
    </row>
    <row r="4038">
      <c r="A4038" s="49">
        <v>45063.17335420139</v>
      </c>
      <c r="B4038" s="50">
        <v>45063.2983276157</v>
      </c>
      <c r="C4038" s="51">
        <v>1.014</v>
      </c>
      <c r="D4038" s="51">
        <v>66.0</v>
      </c>
      <c r="E4038" s="52" t="s">
        <v>25</v>
      </c>
      <c r="F4038" s="52" t="s">
        <v>26</v>
      </c>
      <c r="G4038" s="53"/>
    </row>
    <row r="4039">
      <c r="A4039" s="49">
        <v>45063.18382152778</v>
      </c>
      <c r="B4039" s="50">
        <v>45063.3087943865</v>
      </c>
      <c r="C4039" s="51">
        <v>1.014</v>
      </c>
      <c r="D4039" s="51">
        <v>66.0</v>
      </c>
      <c r="E4039" s="52" t="s">
        <v>25</v>
      </c>
      <c r="F4039" s="52" t="s">
        <v>26</v>
      </c>
      <c r="G4039" s="53"/>
    </row>
    <row r="4040">
      <c r="A4040" s="49">
        <v>45063.19426365741</v>
      </c>
      <c r="B4040" s="50">
        <v>45063.3192277777</v>
      </c>
      <c r="C4040" s="51">
        <v>1.014</v>
      </c>
      <c r="D4040" s="51">
        <v>66.0</v>
      </c>
      <c r="E4040" s="52" t="s">
        <v>25</v>
      </c>
      <c r="F4040" s="52" t="s">
        <v>26</v>
      </c>
      <c r="G4040" s="53"/>
    </row>
    <row r="4041">
      <c r="A4041" s="49">
        <v>45063.20469467592</v>
      </c>
      <c r="B4041" s="50">
        <v>45063.3296616319</v>
      </c>
      <c r="C4041" s="51">
        <v>1.014</v>
      </c>
      <c r="D4041" s="51">
        <v>66.0</v>
      </c>
      <c r="E4041" s="52" t="s">
        <v>25</v>
      </c>
      <c r="F4041" s="52" t="s">
        <v>26</v>
      </c>
      <c r="G4041" s="53"/>
    </row>
    <row r="4042">
      <c r="A4042" s="49">
        <v>45063.215110185185</v>
      </c>
      <c r="B4042" s="50">
        <v>45063.3400846643</v>
      </c>
      <c r="C4042" s="51">
        <v>1.014</v>
      </c>
      <c r="D4042" s="51">
        <v>66.0</v>
      </c>
      <c r="E4042" s="52" t="s">
        <v>25</v>
      </c>
      <c r="F4042" s="52" t="s">
        <v>26</v>
      </c>
      <c r="G4042" s="53"/>
    </row>
    <row r="4043">
      <c r="A4043" s="49">
        <v>45063.225535983795</v>
      </c>
      <c r="B4043" s="50">
        <v>45063.3505150926</v>
      </c>
      <c r="C4043" s="51">
        <v>1.014</v>
      </c>
      <c r="D4043" s="51">
        <v>66.0</v>
      </c>
      <c r="E4043" s="52" t="s">
        <v>25</v>
      </c>
      <c r="F4043" s="52" t="s">
        <v>26</v>
      </c>
      <c r="G4043" s="53"/>
    </row>
    <row r="4044">
      <c r="A4044" s="49">
        <v>45063.23595891204</v>
      </c>
      <c r="B4044" s="50">
        <v>45063.3609370833</v>
      </c>
      <c r="C4044" s="51">
        <v>1.014</v>
      </c>
      <c r="D4044" s="51">
        <v>66.0</v>
      </c>
      <c r="E4044" s="52" t="s">
        <v>25</v>
      </c>
      <c r="F4044" s="52" t="s">
        <v>26</v>
      </c>
      <c r="G4044" s="53"/>
    </row>
    <row r="4045">
      <c r="A4045" s="49">
        <v>45063.246375347226</v>
      </c>
      <c r="B4045" s="50">
        <v>45063.3713586226</v>
      </c>
      <c r="C4045" s="51">
        <v>1.014</v>
      </c>
      <c r="D4045" s="51">
        <v>66.0</v>
      </c>
      <c r="E4045" s="52" t="s">
        <v>25</v>
      </c>
      <c r="F4045" s="52" t="s">
        <v>26</v>
      </c>
      <c r="G4045" s="53"/>
    </row>
    <row r="4046">
      <c r="A4046" s="49">
        <v>45063.25686542824</v>
      </c>
      <c r="B4046" s="50">
        <v>45063.3818245949</v>
      </c>
      <c r="C4046" s="51">
        <v>1.014</v>
      </c>
      <c r="D4046" s="51">
        <v>66.0</v>
      </c>
      <c r="E4046" s="52" t="s">
        <v>25</v>
      </c>
      <c r="F4046" s="52" t="s">
        <v>26</v>
      </c>
      <c r="G4046" s="53"/>
    </row>
    <row r="4047">
      <c r="A4047" s="49">
        <v>45063.2673090162</v>
      </c>
      <c r="B4047" s="50">
        <v>45063.3922809143</v>
      </c>
      <c r="C4047" s="51">
        <v>1.014</v>
      </c>
      <c r="D4047" s="51">
        <v>66.0</v>
      </c>
      <c r="E4047" s="52" t="s">
        <v>25</v>
      </c>
      <c r="F4047" s="52" t="s">
        <v>26</v>
      </c>
      <c r="G4047" s="53"/>
    </row>
    <row r="4048">
      <c r="A4048" s="49">
        <v>45063.2777621412</v>
      </c>
      <c r="B4048" s="50">
        <v>45063.4027342129</v>
      </c>
      <c r="C4048" s="51">
        <v>1.014</v>
      </c>
      <c r="D4048" s="51">
        <v>66.0</v>
      </c>
      <c r="E4048" s="52" t="s">
        <v>25</v>
      </c>
      <c r="F4048" s="52" t="s">
        <v>26</v>
      </c>
      <c r="G4048" s="53"/>
    </row>
    <row r="4049">
      <c r="A4049" s="49">
        <v>45063.28818671296</v>
      </c>
      <c r="B4049" s="50">
        <v>45063.4131559838</v>
      </c>
      <c r="C4049" s="51">
        <v>1.014</v>
      </c>
      <c r="D4049" s="51">
        <v>66.0</v>
      </c>
      <c r="E4049" s="52" t="s">
        <v>25</v>
      </c>
      <c r="F4049" s="52" t="s">
        <v>26</v>
      </c>
      <c r="G4049" s="53"/>
    </row>
    <row r="4050">
      <c r="A4050" s="49">
        <v>45063.29859939815</v>
      </c>
      <c r="B4050" s="50">
        <v>45063.4235767013</v>
      </c>
      <c r="C4050" s="51">
        <v>1.014</v>
      </c>
      <c r="D4050" s="51">
        <v>66.0</v>
      </c>
      <c r="E4050" s="52" t="s">
        <v>25</v>
      </c>
      <c r="F4050" s="52" t="s">
        <v>26</v>
      </c>
      <c r="G4050" s="53"/>
    </row>
    <row r="4051">
      <c r="A4051" s="49">
        <v>45063.30975061342</v>
      </c>
      <c r="B4051" s="50">
        <v>45063.434009699</v>
      </c>
      <c r="C4051" s="51">
        <v>1.014</v>
      </c>
      <c r="D4051" s="51">
        <v>66.0</v>
      </c>
      <c r="E4051" s="52" t="s">
        <v>25</v>
      </c>
      <c r="F4051" s="52" t="s">
        <v>26</v>
      </c>
      <c r="G4051" s="53"/>
    </row>
    <row r="4052">
      <c r="A4052" s="49">
        <v>45063.31945934027</v>
      </c>
      <c r="B4052" s="50">
        <v>45063.4444310763</v>
      </c>
      <c r="C4052" s="51">
        <v>1.014</v>
      </c>
      <c r="D4052" s="51">
        <v>66.0</v>
      </c>
      <c r="E4052" s="52" t="s">
        <v>25</v>
      </c>
      <c r="F4052" s="52" t="s">
        <v>26</v>
      </c>
      <c r="G4052" s="53"/>
    </row>
    <row r="4053">
      <c r="A4053" s="49">
        <v>45063.3299008912</v>
      </c>
      <c r="B4053" s="50">
        <v>45063.4548654861</v>
      </c>
      <c r="C4053" s="51">
        <v>1.014</v>
      </c>
      <c r="D4053" s="51">
        <v>66.0</v>
      </c>
      <c r="E4053" s="52" t="s">
        <v>25</v>
      </c>
      <c r="F4053" s="52" t="s">
        <v>26</v>
      </c>
      <c r="G4053" s="53"/>
    </row>
    <row r="4054">
      <c r="A4054" s="49">
        <v>45063.340325196754</v>
      </c>
      <c r="B4054" s="50">
        <v>45063.4652866087</v>
      </c>
      <c r="C4054" s="51">
        <v>1.014</v>
      </c>
      <c r="D4054" s="51">
        <v>66.0</v>
      </c>
      <c r="E4054" s="52" t="s">
        <v>25</v>
      </c>
      <c r="F4054" s="52" t="s">
        <v>26</v>
      </c>
      <c r="G4054" s="53"/>
    </row>
    <row r="4055">
      <c r="A4055" s="49">
        <v>45063.35080975694</v>
      </c>
      <c r="B4055" s="50">
        <v>45063.4757773032</v>
      </c>
      <c r="C4055" s="51">
        <v>1.014</v>
      </c>
      <c r="D4055" s="51">
        <v>66.0</v>
      </c>
      <c r="E4055" s="52" t="s">
        <v>25</v>
      </c>
      <c r="F4055" s="52" t="s">
        <v>26</v>
      </c>
      <c r="G4055" s="53"/>
    </row>
    <row r="4056">
      <c r="A4056" s="49">
        <v>45063.361222719905</v>
      </c>
      <c r="B4056" s="50">
        <v>45063.4861961805</v>
      </c>
      <c r="C4056" s="51">
        <v>1.014</v>
      </c>
      <c r="D4056" s="51">
        <v>66.0</v>
      </c>
      <c r="E4056" s="52" t="s">
        <v>25</v>
      </c>
      <c r="F4056" s="52" t="s">
        <v>26</v>
      </c>
      <c r="G4056" s="53"/>
    </row>
    <row r="4057">
      <c r="A4057" s="49">
        <v>45063.371664074075</v>
      </c>
      <c r="B4057" s="50">
        <v>45063.4966414351</v>
      </c>
      <c r="C4057" s="51">
        <v>1.014</v>
      </c>
      <c r="D4057" s="51">
        <v>66.0</v>
      </c>
      <c r="E4057" s="52" t="s">
        <v>25</v>
      </c>
      <c r="F4057" s="52" t="s">
        <v>26</v>
      </c>
      <c r="G4057" s="53"/>
    </row>
    <row r="4058">
      <c r="A4058" s="49">
        <v>45063.382123703705</v>
      </c>
      <c r="B4058" s="50">
        <v>45063.5070985069</v>
      </c>
      <c r="C4058" s="51">
        <v>1.014</v>
      </c>
      <c r="D4058" s="51">
        <v>66.0</v>
      </c>
      <c r="E4058" s="52" t="s">
        <v>25</v>
      </c>
      <c r="F4058" s="52" t="s">
        <v>26</v>
      </c>
      <c r="G4058" s="53"/>
    </row>
    <row r="4059">
      <c r="A4059" s="49">
        <v>45063.3926059838</v>
      </c>
      <c r="B4059" s="50">
        <v>45063.5175754514</v>
      </c>
      <c r="C4059" s="51">
        <v>1.014</v>
      </c>
      <c r="D4059" s="51">
        <v>66.0</v>
      </c>
      <c r="E4059" s="52" t="s">
        <v>25</v>
      </c>
      <c r="F4059" s="52" t="s">
        <v>26</v>
      </c>
      <c r="G4059" s="53"/>
    </row>
    <row r="4060">
      <c r="A4060" s="49">
        <v>45063.40302765046</v>
      </c>
      <c r="B4060" s="50">
        <v>45063.5279975115</v>
      </c>
      <c r="C4060" s="51">
        <v>1.014</v>
      </c>
      <c r="D4060" s="51">
        <v>66.0</v>
      </c>
      <c r="E4060" s="52" t="s">
        <v>25</v>
      </c>
      <c r="F4060" s="52" t="s">
        <v>26</v>
      </c>
      <c r="G4060" s="53"/>
    </row>
    <row r="4061">
      <c r="A4061" s="49">
        <v>45063.41345072917</v>
      </c>
      <c r="B4061" s="50">
        <v>45063.5384182407</v>
      </c>
      <c r="C4061" s="51">
        <v>1.014</v>
      </c>
      <c r="D4061" s="51">
        <v>66.0</v>
      </c>
      <c r="E4061" s="52" t="s">
        <v>25</v>
      </c>
      <c r="F4061" s="52" t="s">
        <v>26</v>
      </c>
      <c r="G4061" s="53"/>
    </row>
    <row r="4062">
      <c r="A4062" s="49">
        <v>45063.423904826384</v>
      </c>
      <c r="B4062" s="50">
        <v>45063.548849618</v>
      </c>
      <c r="C4062" s="51">
        <v>1.014</v>
      </c>
      <c r="D4062" s="51">
        <v>66.0</v>
      </c>
      <c r="E4062" s="52" t="s">
        <v>25</v>
      </c>
      <c r="F4062" s="52" t="s">
        <v>26</v>
      </c>
      <c r="G4062" s="53"/>
    </row>
    <row r="4063">
      <c r="A4063" s="49">
        <v>45063.434303912036</v>
      </c>
      <c r="B4063" s="50">
        <v>45063.5592709259</v>
      </c>
      <c r="C4063" s="51">
        <v>1.014</v>
      </c>
      <c r="D4063" s="51">
        <v>66.0</v>
      </c>
      <c r="E4063" s="52" t="s">
        <v>25</v>
      </c>
      <c r="F4063" s="52" t="s">
        <v>26</v>
      </c>
      <c r="G4063" s="53"/>
    </row>
    <row r="4064">
      <c r="A4064" s="49">
        <v>45063.44473762732</v>
      </c>
      <c r="B4064" s="50">
        <v>45063.5697032638</v>
      </c>
      <c r="C4064" s="51">
        <v>1.014</v>
      </c>
      <c r="D4064" s="51">
        <v>66.0</v>
      </c>
      <c r="E4064" s="52" t="s">
        <v>25</v>
      </c>
      <c r="F4064" s="52" t="s">
        <v>26</v>
      </c>
      <c r="G4064" s="53"/>
    </row>
    <row r="4065">
      <c r="A4065" s="49">
        <v>45063.45516439815</v>
      </c>
      <c r="B4065" s="50">
        <v>45063.5801357638</v>
      </c>
      <c r="C4065" s="51">
        <v>1.014</v>
      </c>
      <c r="D4065" s="51">
        <v>66.0</v>
      </c>
      <c r="E4065" s="52" t="s">
        <v>25</v>
      </c>
      <c r="F4065" s="52" t="s">
        <v>26</v>
      </c>
      <c r="G4065" s="53"/>
    </row>
    <row r="4066">
      <c r="A4066" s="49">
        <v>45063.465584432866</v>
      </c>
      <c r="B4066" s="50">
        <v>45063.5905578588</v>
      </c>
      <c r="C4066" s="51">
        <v>1.014</v>
      </c>
      <c r="D4066" s="51">
        <v>66.0</v>
      </c>
      <c r="E4066" s="52" t="s">
        <v>25</v>
      </c>
      <c r="F4066" s="52" t="s">
        <v>26</v>
      </c>
      <c r="G4066" s="53"/>
    </row>
    <row r="4067">
      <c r="A4067" s="49">
        <v>45063.47601627315</v>
      </c>
      <c r="B4067" s="50">
        <v>45063.6009915277</v>
      </c>
      <c r="C4067" s="51">
        <v>1.014</v>
      </c>
      <c r="D4067" s="51">
        <v>66.0</v>
      </c>
      <c r="E4067" s="52" t="s">
        <v>25</v>
      </c>
      <c r="F4067" s="52" t="s">
        <v>26</v>
      </c>
      <c r="G4067" s="53"/>
    </row>
    <row r="4068">
      <c r="A4068" s="49">
        <v>45063.48643365741</v>
      </c>
      <c r="B4068" s="50">
        <v>45063.6114117245</v>
      </c>
      <c r="C4068" s="51">
        <v>1.014</v>
      </c>
      <c r="D4068" s="51">
        <v>66.0</v>
      </c>
      <c r="E4068" s="52" t="s">
        <v>25</v>
      </c>
      <c r="F4068" s="52" t="s">
        <v>26</v>
      </c>
      <c r="G4068" s="53"/>
    </row>
    <row r="4069">
      <c r="A4069" s="49">
        <v>45063.49691587963</v>
      </c>
      <c r="B4069" s="50">
        <v>45063.6218782754</v>
      </c>
      <c r="C4069" s="51">
        <v>1.014</v>
      </c>
      <c r="D4069" s="51">
        <v>66.0</v>
      </c>
      <c r="E4069" s="52" t="s">
        <v>25</v>
      </c>
      <c r="F4069" s="52" t="s">
        <v>26</v>
      </c>
      <c r="G4069" s="53"/>
    </row>
    <row r="4070">
      <c r="A4070" s="49">
        <v>45063.50731920139</v>
      </c>
      <c r="B4070" s="50">
        <v>45063.6322980439</v>
      </c>
      <c r="C4070" s="51">
        <v>1.014</v>
      </c>
      <c r="D4070" s="51">
        <v>66.0</v>
      </c>
      <c r="E4070" s="52" t="s">
        <v>25</v>
      </c>
      <c r="F4070" s="52" t="s">
        <v>26</v>
      </c>
      <c r="G4070" s="53"/>
    </row>
    <row r="4071">
      <c r="A4071" s="49">
        <v>45063.51774524305</v>
      </c>
      <c r="B4071" s="50">
        <v>45063.6427206365</v>
      </c>
      <c r="C4071" s="51">
        <v>1.014</v>
      </c>
      <c r="D4071" s="51">
        <v>66.0</v>
      </c>
      <c r="E4071" s="52" t="s">
        <v>25</v>
      </c>
      <c r="F4071" s="52" t="s">
        <v>26</v>
      </c>
      <c r="G4071" s="53"/>
    </row>
    <row r="4072">
      <c r="A4072" s="49">
        <v>45063.528176990745</v>
      </c>
      <c r="B4072" s="50">
        <v>45063.6531532754</v>
      </c>
      <c r="C4072" s="51">
        <v>1.014</v>
      </c>
      <c r="D4072" s="51">
        <v>66.0</v>
      </c>
      <c r="E4072" s="52" t="s">
        <v>25</v>
      </c>
      <c r="F4072" s="52" t="s">
        <v>26</v>
      </c>
      <c r="G4072" s="53"/>
    </row>
    <row r="4073">
      <c r="A4073" s="49">
        <v>45063.53859607639</v>
      </c>
      <c r="B4073" s="50">
        <v>45063.6635748611</v>
      </c>
      <c r="C4073" s="51">
        <v>1.014</v>
      </c>
      <c r="D4073" s="51">
        <v>66.0</v>
      </c>
      <c r="E4073" s="52" t="s">
        <v>25</v>
      </c>
      <c r="F4073" s="52" t="s">
        <v>26</v>
      </c>
      <c r="G4073" s="53"/>
    </row>
    <row r="4074">
      <c r="A4074" s="49">
        <v>45063.54901567129</v>
      </c>
      <c r="B4074" s="50">
        <v>45063.6739962384</v>
      </c>
      <c r="C4074" s="51">
        <v>1.014</v>
      </c>
      <c r="D4074" s="51">
        <v>66.0</v>
      </c>
      <c r="E4074" s="52" t="s">
        <v>25</v>
      </c>
      <c r="F4074" s="52" t="s">
        <v>26</v>
      </c>
      <c r="G4074" s="53"/>
    </row>
    <row r="4075">
      <c r="A4075" s="49">
        <v>45063.55944144676</v>
      </c>
      <c r="B4075" s="50">
        <v>45063.6844181828</v>
      </c>
      <c r="C4075" s="51">
        <v>1.014</v>
      </c>
      <c r="D4075" s="51">
        <v>66.0</v>
      </c>
      <c r="E4075" s="52" t="s">
        <v>25</v>
      </c>
      <c r="F4075" s="52" t="s">
        <v>26</v>
      </c>
      <c r="G4075" s="53"/>
    </row>
    <row r="4076">
      <c r="A4076" s="49">
        <v>45063.56985947917</v>
      </c>
      <c r="B4076" s="50">
        <v>45063.6948386458</v>
      </c>
      <c r="C4076" s="51">
        <v>1.014</v>
      </c>
      <c r="D4076" s="51">
        <v>66.0</v>
      </c>
      <c r="E4076" s="52" t="s">
        <v>25</v>
      </c>
      <c r="F4076" s="52" t="s">
        <v>26</v>
      </c>
      <c r="G4076" s="53"/>
    </row>
    <row r="4077">
      <c r="A4077" s="49">
        <v>45063.58027946759</v>
      </c>
      <c r="B4077" s="50">
        <v>45063.7052581828</v>
      </c>
      <c r="C4077" s="51">
        <v>1.014</v>
      </c>
      <c r="D4077" s="51">
        <v>66.0</v>
      </c>
      <c r="E4077" s="52" t="s">
        <v>25</v>
      </c>
      <c r="F4077" s="52" t="s">
        <v>26</v>
      </c>
      <c r="G4077" s="53"/>
    </row>
    <row r="4078">
      <c r="A4078" s="49">
        <v>45063.59072443287</v>
      </c>
      <c r="B4078" s="50">
        <v>45063.715701412</v>
      </c>
      <c r="C4078" s="51">
        <v>1.014</v>
      </c>
      <c r="D4078" s="51">
        <v>66.0</v>
      </c>
      <c r="E4078" s="52" t="s">
        <v>25</v>
      </c>
      <c r="F4078" s="52" t="s">
        <v>26</v>
      </c>
      <c r="G4078" s="53"/>
    </row>
    <row r="4079">
      <c r="A4079" s="49">
        <v>45063.60118049769</v>
      </c>
      <c r="B4079" s="50">
        <v>45063.7261486458</v>
      </c>
      <c r="C4079" s="51">
        <v>1.014</v>
      </c>
      <c r="D4079" s="51">
        <v>66.0</v>
      </c>
      <c r="E4079" s="52" t="s">
        <v>25</v>
      </c>
      <c r="F4079" s="52" t="s">
        <v>26</v>
      </c>
      <c r="G4079" s="53"/>
    </row>
    <row r="4080">
      <c r="A4080" s="49">
        <v>45063.61163375</v>
      </c>
      <c r="B4080" s="50">
        <v>45063.7365934837</v>
      </c>
      <c r="C4080" s="51">
        <v>1.014</v>
      </c>
      <c r="D4080" s="51">
        <v>66.0</v>
      </c>
      <c r="E4080" s="52" t="s">
        <v>25</v>
      </c>
      <c r="F4080" s="52" t="s">
        <v>26</v>
      </c>
      <c r="G4080" s="53"/>
    </row>
    <row r="4081">
      <c r="A4081" s="49">
        <v>45063.622060740745</v>
      </c>
      <c r="B4081" s="50">
        <v>45063.747036331</v>
      </c>
      <c r="C4081" s="51">
        <v>1.014</v>
      </c>
      <c r="D4081" s="51">
        <v>66.0</v>
      </c>
      <c r="E4081" s="52" t="s">
        <v>25</v>
      </c>
      <c r="F4081" s="52" t="s">
        <v>26</v>
      </c>
      <c r="G4081" s="53"/>
    </row>
    <row r="4082">
      <c r="A4082" s="49">
        <v>45063.63249398148</v>
      </c>
      <c r="B4082" s="50">
        <v>45063.7574559143</v>
      </c>
      <c r="C4082" s="51">
        <v>1.014</v>
      </c>
      <c r="D4082" s="51">
        <v>66.0</v>
      </c>
      <c r="E4082" s="52" t="s">
        <v>25</v>
      </c>
      <c r="F4082" s="52" t="s">
        <v>26</v>
      </c>
      <c r="G4082" s="53"/>
    </row>
    <row r="4083">
      <c r="A4083" s="49">
        <v>45063.64289322917</v>
      </c>
      <c r="B4083" s="50">
        <v>45063.7678743518</v>
      </c>
      <c r="C4083" s="51">
        <v>1.014</v>
      </c>
      <c r="D4083" s="51">
        <v>66.0</v>
      </c>
      <c r="E4083" s="52" t="s">
        <v>25</v>
      </c>
      <c r="F4083" s="52" t="s">
        <v>26</v>
      </c>
      <c r="G4083" s="53"/>
    </row>
    <row r="4084">
      <c r="A4084" s="49">
        <v>45063.653323125</v>
      </c>
      <c r="B4084" s="50">
        <v>45063.778306875</v>
      </c>
      <c r="C4084" s="51">
        <v>1.014</v>
      </c>
      <c r="D4084" s="51">
        <v>66.0</v>
      </c>
      <c r="E4084" s="52" t="s">
        <v>25</v>
      </c>
      <c r="F4084" s="52" t="s">
        <v>26</v>
      </c>
      <c r="G4084" s="53"/>
    </row>
    <row r="4085">
      <c r="A4085" s="49">
        <v>45063.66375590277</v>
      </c>
      <c r="B4085" s="50">
        <v>45063.7887395717</v>
      </c>
      <c r="C4085" s="51">
        <v>1.014</v>
      </c>
      <c r="D4085" s="51">
        <v>66.0</v>
      </c>
      <c r="E4085" s="52" t="s">
        <v>25</v>
      </c>
      <c r="F4085" s="52" t="s">
        <v>26</v>
      </c>
      <c r="G4085" s="53"/>
    </row>
    <row r="4086">
      <c r="A4086" s="49">
        <v>45063.67423377315</v>
      </c>
      <c r="B4086" s="50">
        <v>45063.7992068055</v>
      </c>
      <c r="C4086" s="51">
        <v>1.014</v>
      </c>
      <c r="D4086" s="51">
        <v>66.0</v>
      </c>
      <c r="E4086" s="52" t="s">
        <v>25</v>
      </c>
      <c r="F4086" s="52" t="s">
        <v>26</v>
      </c>
      <c r="G4086" s="53"/>
    </row>
    <row r="4087">
      <c r="A4087" s="49">
        <v>45063.68471030093</v>
      </c>
      <c r="B4087" s="50">
        <v>45063.8096264699</v>
      </c>
      <c r="C4087" s="51">
        <v>1.014</v>
      </c>
      <c r="D4087" s="51">
        <v>66.0</v>
      </c>
      <c r="E4087" s="52" t="s">
        <v>25</v>
      </c>
      <c r="F4087" s="52" t="s">
        <v>26</v>
      </c>
      <c r="G4087" s="53"/>
    </row>
    <row r="4088">
      <c r="A4088" s="49">
        <v>45063.695104548606</v>
      </c>
      <c r="B4088" s="50">
        <v>45063.8200836226</v>
      </c>
      <c r="C4088" s="51">
        <v>1.014</v>
      </c>
      <c r="D4088" s="51">
        <v>66.0</v>
      </c>
      <c r="E4088" s="52" t="s">
        <v>25</v>
      </c>
      <c r="F4088" s="52" t="s">
        <v>26</v>
      </c>
      <c r="G4088" s="53"/>
    </row>
    <row r="4089">
      <c r="A4089" s="49">
        <v>45063.70553707176</v>
      </c>
      <c r="B4089" s="50">
        <v>45063.8305044791</v>
      </c>
      <c r="C4089" s="51">
        <v>1.014</v>
      </c>
      <c r="D4089" s="51">
        <v>66.0</v>
      </c>
      <c r="E4089" s="52" t="s">
        <v>25</v>
      </c>
      <c r="F4089" s="52" t="s">
        <v>26</v>
      </c>
      <c r="G4089" s="53"/>
    </row>
    <row r="4090">
      <c r="A4090" s="49">
        <v>45063.71595603009</v>
      </c>
      <c r="B4090" s="50">
        <v>45063.8409379282</v>
      </c>
      <c r="C4090" s="51">
        <v>1.014</v>
      </c>
      <c r="D4090" s="51">
        <v>66.0</v>
      </c>
      <c r="E4090" s="52" t="s">
        <v>25</v>
      </c>
      <c r="F4090" s="52" t="s">
        <v>26</v>
      </c>
      <c r="G4090" s="53"/>
    </row>
    <row r="4091">
      <c r="A4091" s="49">
        <v>45063.726402037035</v>
      </c>
      <c r="B4091" s="50">
        <v>45063.8513711689</v>
      </c>
      <c r="C4091" s="51">
        <v>1.014</v>
      </c>
      <c r="D4091" s="51">
        <v>66.0</v>
      </c>
      <c r="E4091" s="52" t="s">
        <v>25</v>
      </c>
      <c r="F4091" s="52" t="s">
        <v>26</v>
      </c>
      <c r="G4091" s="53"/>
    </row>
    <row r="4092">
      <c r="A4092" s="49">
        <v>45063.73682708333</v>
      </c>
      <c r="B4092" s="50">
        <v>45063.8617919328</v>
      </c>
      <c r="C4092" s="51">
        <v>1.014</v>
      </c>
      <c r="D4092" s="51">
        <v>66.0</v>
      </c>
      <c r="E4092" s="52" t="s">
        <v>25</v>
      </c>
      <c r="F4092" s="52" t="s">
        <v>26</v>
      </c>
      <c r="G4092" s="53"/>
    </row>
    <row r="4093">
      <c r="A4093" s="49">
        <v>45063.747248761574</v>
      </c>
      <c r="B4093" s="50">
        <v>45063.8722234838</v>
      </c>
      <c r="C4093" s="51">
        <v>1.014</v>
      </c>
      <c r="D4093" s="51">
        <v>66.0</v>
      </c>
      <c r="E4093" s="52" t="s">
        <v>25</v>
      </c>
      <c r="F4093" s="52" t="s">
        <v>26</v>
      </c>
      <c r="G4093" s="53"/>
    </row>
    <row r="4094">
      <c r="A4094" s="49">
        <v>45063.7576806713</v>
      </c>
      <c r="B4094" s="50">
        <v>45063.8826562499</v>
      </c>
      <c r="C4094" s="51">
        <v>1.014</v>
      </c>
      <c r="D4094" s="51">
        <v>66.0</v>
      </c>
      <c r="E4094" s="52" t="s">
        <v>25</v>
      </c>
      <c r="F4094" s="52" t="s">
        <v>26</v>
      </c>
      <c r="G4094" s="53"/>
    </row>
    <row r="4095">
      <c r="A4095" s="49">
        <v>45063.768106250005</v>
      </c>
      <c r="B4095" s="50">
        <v>45063.8930769907</v>
      </c>
      <c r="C4095" s="51">
        <v>1.014</v>
      </c>
      <c r="D4095" s="51">
        <v>66.0</v>
      </c>
      <c r="E4095" s="52" t="s">
        <v>25</v>
      </c>
      <c r="F4095" s="52" t="s">
        <v>26</v>
      </c>
      <c r="G4095" s="53"/>
    </row>
    <row r="4096">
      <c r="A4096" s="49">
        <v>45063.77852902778</v>
      </c>
      <c r="B4096" s="50">
        <v>45063.9034971527</v>
      </c>
      <c r="C4096" s="51">
        <v>1.014</v>
      </c>
      <c r="D4096" s="51">
        <v>66.0</v>
      </c>
      <c r="E4096" s="52" t="s">
        <v>25</v>
      </c>
      <c r="F4096" s="52" t="s">
        <v>26</v>
      </c>
      <c r="G4096" s="53"/>
    </row>
    <row r="4097">
      <c r="A4097" s="49">
        <v>45063.78895428241</v>
      </c>
      <c r="B4097" s="50">
        <v>45063.9139304513</v>
      </c>
      <c r="C4097" s="51">
        <v>1.014</v>
      </c>
      <c r="D4097" s="51">
        <v>66.0</v>
      </c>
      <c r="E4097" s="52" t="s">
        <v>25</v>
      </c>
      <c r="F4097" s="52" t="s">
        <v>26</v>
      </c>
      <c r="G4097" s="53"/>
    </row>
    <row r="4098">
      <c r="A4098" s="49">
        <v>45063.799389259264</v>
      </c>
      <c r="B4098" s="50">
        <v>45063.924362743</v>
      </c>
      <c r="C4098" s="51">
        <v>1.014</v>
      </c>
      <c r="D4098" s="51">
        <v>66.0</v>
      </c>
      <c r="E4098" s="52" t="s">
        <v>25</v>
      </c>
      <c r="F4098" s="52" t="s">
        <v>26</v>
      </c>
      <c r="G4098" s="53"/>
    </row>
    <row r="4099">
      <c r="A4099" s="49">
        <v>45063.80981770833</v>
      </c>
      <c r="B4099" s="50">
        <v>45063.9347841782</v>
      </c>
      <c r="C4099" s="51">
        <v>1.014</v>
      </c>
      <c r="D4099" s="51">
        <v>66.0</v>
      </c>
      <c r="E4099" s="52" t="s">
        <v>25</v>
      </c>
      <c r="F4099" s="52" t="s">
        <v>26</v>
      </c>
      <c r="G4099" s="53"/>
    </row>
    <row r="4100">
      <c r="A4100" s="49">
        <v>45063.820237175925</v>
      </c>
      <c r="B4100" s="50">
        <v>45063.9452061226</v>
      </c>
      <c r="C4100" s="51">
        <v>1.014</v>
      </c>
      <c r="D4100" s="51">
        <v>66.0</v>
      </c>
      <c r="E4100" s="52" t="s">
        <v>25</v>
      </c>
      <c r="F4100" s="52" t="s">
        <v>26</v>
      </c>
      <c r="G4100" s="53"/>
    </row>
    <row r="4101">
      <c r="A4101" s="49">
        <v>45063.83064775463</v>
      </c>
      <c r="B4101" s="50">
        <v>45063.9556260185</v>
      </c>
      <c r="C4101" s="51">
        <v>1.014</v>
      </c>
      <c r="D4101" s="51">
        <v>66.0</v>
      </c>
      <c r="E4101" s="52" t="s">
        <v>25</v>
      </c>
      <c r="F4101" s="52" t="s">
        <v>26</v>
      </c>
      <c r="G4101" s="53"/>
    </row>
    <row r="4102">
      <c r="A4102" s="49">
        <v>45063.84107909723</v>
      </c>
      <c r="B4102" s="50">
        <v>45063.9660587384</v>
      </c>
      <c r="C4102" s="51">
        <v>1.014</v>
      </c>
      <c r="D4102" s="51">
        <v>66.0</v>
      </c>
      <c r="E4102" s="52" t="s">
        <v>25</v>
      </c>
      <c r="F4102" s="52" t="s">
        <v>26</v>
      </c>
      <c r="G4102" s="53"/>
    </row>
    <row r="4103">
      <c r="A4103" s="49">
        <v>45063.85149857639</v>
      </c>
      <c r="B4103" s="50">
        <v>45063.9764794907</v>
      </c>
      <c r="C4103" s="51">
        <v>1.014</v>
      </c>
      <c r="D4103" s="51">
        <v>66.0</v>
      </c>
      <c r="E4103" s="52" t="s">
        <v>25</v>
      </c>
      <c r="F4103" s="52" t="s">
        <v>26</v>
      </c>
      <c r="G4103" s="53"/>
    </row>
    <row r="4104">
      <c r="A4104" s="49">
        <v>45063.861920474534</v>
      </c>
      <c r="B4104" s="50">
        <v>45063.9868998726</v>
      </c>
      <c r="C4104" s="51">
        <v>1.014</v>
      </c>
      <c r="D4104" s="51">
        <v>66.0</v>
      </c>
      <c r="E4104" s="52" t="s">
        <v>25</v>
      </c>
      <c r="F4104" s="52" t="s">
        <v>26</v>
      </c>
      <c r="G4104" s="53"/>
    </row>
    <row r="4105">
      <c r="A4105" s="49">
        <v>45063.87238956019</v>
      </c>
      <c r="B4105" s="50">
        <v>45063.997365787</v>
      </c>
      <c r="C4105" s="51">
        <v>1.014</v>
      </c>
      <c r="D4105" s="51">
        <v>66.0</v>
      </c>
      <c r="E4105" s="52" t="s">
        <v>25</v>
      </c>
      <c r="F4105" s="52" t="s">
        <v>26</v>
      </c>
      <c r="G4105" s="53"/>
    </row>
    <row r="4106">
      <c r="A4106" s="49">
        <v>45063.882812094904</v>
      </c>
      <c r="B4106" s="50">
        <v>45064.0077868287</v>
      </c>
      <c r="C4106" s="51">
        <v>1.014</v>
      </c>
      <c r="D4106" s="51">
        <v>66.0</v>
      </c>
      <c r="E4106" s="52" t="s">
        <v>25</v>
      </c>
      <c r="F4106" s="52" t="s">
        <v>26</v>
      </c>
      <c r="G4106" s="53"/>
    </row>
    <row r="4107">
      <c r="A4107" s="49">
        <v>45063.89323819445</v>
      </c>
      <c r="B4107" s="50">
        <v>45064.0182077662</v>
      </c>
      <c r="C4107" s="51">
        <v>1.014</v>
      </c>
      <c r="D4107" s="51">
        <v>66.0</v>
      </c>
      <c r="E4107" s="52" t="s">
        <v>25</v>
      </c>
      <c r="F4107" s="52" t="s">
        <v>26</v>
      </c>
      <c r="G4107" s="53"/>
    </row>
    <row r="4108">
      <c r="A4108" s="49">
        <v>45063.90365738426</v>
      </c>
      <c r="B4108" s="50">
        <v>45064.0286290856</v>
      </c>
      <c r="C4108" s="51">
        <v>1.014</v>
      </c>
      <c r="D4108" s="51">
        <v>66.0</v>
      </c>
      <c r="E4108" s="52" t="s">
        <v>25</v>
      </c>
      <c r="F4108" s="52" t="s">
        <v>26</v>
      </c>
      <c r="G4108" s="53"/>
    </row>
    <row r="4109">
      <c r="A4109" s="49">
        <v>45063.91408693287</v>
      </c>
      <c r="B4109" s="50">
        <v>45064.0390624305</v>
      </c>
      <c r="C4109" s="51">
        <v>1.014</v>
      </c>
      <c r="D4109" s="51">
        <v>66.0</v>
      </c>
      <c r="E4109" s="52" t="s">
        <v>25</v>
      </c>
      <c r="F4109" s="52" t="s">
        <v>26</v>
      </c>
      <c r="G4109" s="53"/>
    </row>
    <row r="4110">
      <c r="A4110" s="49">
        <v>45063.924564953704</v>
      </c>
      <c r="B4110" s="50">
        <v>45064.0495407638</v>
      </c>
      <c r="C4110" s="51">
        <v>1.014</v>
      </c>
      <c r="D4110" s="51">
        <v>66.0</v>
      </c>
      <c r="E4110" s="52" t="s">
        <v>25</v>
      </c>
      <c r="F4110" s="52" t="s">
        <v>26</v>
      </c>
      <c r="G4110" s="53"/>
    </row>
    <row r="4111">
      <c r="A4111" s="49">
        <v>45063.93500091435</v>
      </c>
      <c r="B4111" s="50">
        <v>45064.05997228</v>
      </c>
      <c r="C4111" s="51">
        <v>1.014</v>
      </c>
      <c r="D4111" s="51">
        <v>66.0</v>
      </c>
      <c r="E4111" s="52" t="s">
        <v>25</v>
      </c>
      <c r="F4111" s="52" t="s">
        <v>26</v>
      </c>
      <c r="G4111" s="53"/>
    </row>
    <row r="4112">
      <c r="A4112" s="49">
        <v>45063.945429976855</v>
      </c>
      <c r="B4112" s="50">
        <v>45064.0704057291</v>
      </c>
      <c r="C4112" s="51">
        <v>1.014</v>
      </c>
      <c r="D4112" s="51">
        <v>66.0</v>
      </c>
      <c r="E4112" s="52" t="s">
        <v>25</v>
      </c>
      <c r="F4112" s="52" t="s">
        <v>26</v>
      </c>
      <c r="G4112" s="53"/>
    </row>
    <row r="4113">
      <c r="A4113" s="49">
        <v>45063.955871342594</v>
      </c>
      <c r="B4113" s="50">
        <v>45064.0808380092</v>
      </c>
      <c r="C4113" s="51">
        <v>1.014</v>
      </c>
      <c r="D4113" s="51">
        <v>66.0</v>
      </c>
      <c r="E4113" s="52" t="s">
        <v>25</v>
      </c>
      <c r="F4113" s="52" t="s">
        <v>26</v>
      </c>
      <c r="G4113" s="53"/>
    </row>
    <row r="4114">
      <c r="A4114" s="49">
        <v>45063.96634159722</v>
      </c>
      <c r="B4114" s="50">
        <v>45064.0912821643</v>
      </c>
      <c r="C4114" s="51">
        <v>1.014</v>
      </c>
      <c r="D4114" s="51">
        <v>66.0</v>
      </c>
      <c r="E4114" s="52" t="s">
        <v>25</v>
      </c>
      <c r="F4114" s="52" t="s">
        <v>26</v>
      </c>
      <c r="G4114" s="53"/>
    </row>
    <row r="4115">
      <c r="A4115" s="49">
        <v>45063.97684103009</v>
      </c>
      <c r="B4115" s="50">
        <v>45064.1017397337</v>
      </c>
      <c r="C4115" s="51">
        <v>1.014</v>
      </c>
      <c r="D4115" s="51">
        <v>66.0</v>
      </c>
      <c r="E4115" s="52" t="s">
        <v>25</v>
      </c>
      <c r="F4115" s="52" t="s">
        <v>26</v>
      </c>
      <c r="G4115" s="53"/>
    </row>
    <row r="4116">
      <c r="A4116" s="49">
        <v>45063.98719002315</v>
      </c>
      <c r="B4116" s="50">
        <v>45064.1121622685</v>
      </c>
      <c r="C4116" s="51">
        <v>1.014</v>
      </c>
      <c r="D4116" s="51">
        <v>66.0</v>
      </c>
      <c r="E4116" s="52" t="s">
        <v>25</v>
      </c>
      <c r="F4116" s="52" t="s">
        <v>26</v>
      </c>
      <c r="G4116" s="53"/>
    </row>
    <row r="4117">
      <c r="A4117" s="49">
        <v>45063.997628125</v>
      </c>
      <c r="B4117" s="50">
        <v>45064.1226072106</v>
      </c>
      <c r="C4117" s="51">
        <v>1.014</v>
      </c>
      <c r="D4117" s="51">
        <v>66.0</v>
      </c>
      <c r="E4117" s="52" t="s">
        <v>25</v>
      </c>
      <c r="F4117" s="52" t="s">
        <v>26</v>
      </c>
      <c r="G4117" s="53"/>
    </row>
    <row r="4118">
      <c r="A4118" s="49">
        <v>45064.008051875004</v>
      </c>
      <c r="B4118" s="50">
        <v>45064.133028831</v>
      </c>
      <c r="C4118" s="51">
        <v>1.014</v>
      </c>
      <c r="D4118" s="51">
        <v>66.0</v>
      </c>
      <c r="E4118" s="52" t="s">
        <v>25</v>
      </c>
      <c r="F4118" s="52" t="s">
        <v>26</v>
      </c>
      <c r="G4118" s="53"/>
    </row>
    <row r="4119">
      <c r="A4119" s="49">
        <v>45064.01851122685</v>
      </c>
      <c r="B4119" s="50">
        <v>45064.1434838078</v>
      </c>
      <c r="C4119" s="51">
        <v>1.014</v>
      </c>
      <c r="D4119" s="51">
        <v>66.0</v>
      </c>
      <c r="E4119" s="52" t="s">
        <v>25</v>
      </c>
      <c r="F4119" s="52" t="s">
        <v>26</v>
      </c>
      <c r="G4119" s="53"/>
    </row>
    <row r="4120">
      <c r="A4120" s="49">
        <v>45064.02893162037</v>
      </c>
      <c r="B4120" s="50">
        <v>45064.1539042708</v>
      </c>
      <c r="C4120" s="51">
        <v>1.014</v>
      </c>
      <c r="D4120" s="51">
        <v>66.0</v>
      </c>
      <c r="E4120" s="52" t="s">
        <v>25</v>
      </c>
      <c r="F4120" s="52" t="s">
        <v>26</v>
      </c>
      <c r="G4120" s="53"/>
    </row>
    <row r="4121">
      <c r="A4121" s="49">
        <v>45064.039364895834</v>
      </c>
      <c r="B4121" s="50">
        <v>45064.1643374884</v>
      </c>
      <c r="C4121" s="51">
        <v>1.014</v>
      </c>
      <c r="D4121" s="51">
        <v>66.0</v>
      </c>
      <c r="E4121" s="52" t="s">
        <v>25</v>
      </c>
      <c r="F4121" s="52" t="s">
        <v>26</v>
      </c>
      <c r="G4121" s="53"/>
    </row>
    <row r="4122">
      <c r="A4122" s="49">
        <v>45064.049808587966</v>
      </c>
      <c r="B4122" s="50">
        <v>45064.1747810069</v>
      </c>
      <c r="C4122" s="51">
        <v>1.014</v>
      </c>
      <c r="D4122" s="51">
        <v>66.0</v>
      </c>
      <c r="E4122" s="52" t="s">
        <v>25</v>
      </c>
      <c r="F4122" s="52" t="s">
        <v>26</v>
      </c>
      <c r="G4122" s="53"/>
    </row>
    <row r="4123">
      <c r="A4123" s="49">
        <v>45064.060232662036</v>
      </c>
      <c r="B4123" s="50">
        <v>45064.1852018402</v>
      </c>
      <c r="C4123" s="51">
        <v>1.014</v>
      </c>
      <c r="D4123" s="51">
        <v>66.0</v>
      </c>
      <c r="E4123" s="52" t="s">
        <v>25</v>
      </c>
      <c r="F4123" s="52" t="s">
        <v>26</v>
      </c>
      <c r="G4123" s="53"/>
    </row>
    <row r="4124">
      <c r="A4124" s="49">
        <v>45064.07066369213</v>
      </c>
      <c r="B4124" s="50">
        <v>45064.1956349884</v>
      </c>
      <c r="C4124" s="51">
        <v>1.014</v>
      </c>
      <c r="D4124" s="51">
        <v>66.0</v>
      </c>
      <c r="E4124" s="52" t="s">
        <v>25</v>
      </c>
      <c r="F4124" s="52" t="s">
        <v>26</v>
      </c>
      <c r="G4124" s="53"/>
    </row>
    <row r="4125">
      <c r="A4125" s="49">
        <v>45064.08109825231</v>
      </c>
      <c r="B4125" s="50">
        <v>45064.2060677893</v>
      </c>
      <c r="C4125" s="51">
        <v>1.014</v>
      </c>
      <c r="D4125" s="51">
        <v>66.0</v>
      </c>
      <c r="E4125" s="52" t="s">
        <v>25</v>
      </c>
      <c r="F4125" s="52" t="s">
        <v>26</v>
      </c>
      <c r="G4125" s="53"/>
    </row>
    <row r="4126">
      <c r="A4126" s="49">
        <v>45064.09152300926</v>
      </c>
      <c r="B4126" s="50">
        <v>45064.2165002199</v>
      </c>
      <c r="C4126" s="51">
        <v>1.014</v>
      </c>
      <c r="D4126" s="51">
        <v>66.0</v>
      </c>
      <c r="E4126" s="52" t="s">
        <v>25</v>
      </c>
      <c r="F4126" s="52" t="s">
        <v>26</v>
      </c>
      <c r="G4126" s="53"/>
    </row>
    <row r="4127">
      <c r="A4127" s="49">
        <v>45064.10196650463</v>
      </c>
      <c r="B4127" s="50">
        <v>45064.2269453472</v>
      </c>
      <c r="C4127" s="51">
        <v>1.014</v>
      </c>
      <c r="D4127" s="51">
        <v>66.0</v>
      </c>
      <c r="E4127" s="52" t="s">
        <v>25</v>
      </c>
      <c r="F4127" s="52" t="s">
        <v>26</v>
      </c>
      <c r="G4127" s="53"/>
    </row>
    <row r="4128">
      <c r="A4128" s="49">
        <v>45064.11239342592</v>
      </c>
      <c r="B4128" s="50">
        <v>45064.2373669097</v>
      </c>
      <c r="C4128" s="51">
        <v>1.014</v>
      </c>
      <c r="D4128" s="51">
        <v>66.0</v>
      </c>
      <c r="E4128" s="52" t="s">
        <v>25</v>
      </c>
      <c r="F4128" s="52" t="s">
        <v>26</v>
      </c>
      <c r="G4128" s="53"/>
    </row>
    <row r="4129">
      <c r="A4129" s="49">
        <v>45064.12281793982</v>
      </c>
      <c r="B4129" s="50">
        <v>45064.2478005902</v>
      </c>
      <c r="C4129" s="51">
        <v>1.014</v>
      </c>
      <c r="D4129" s="51">
        <v>66.0</v>
      </c>
      <c r="E4129" s="52" t="s">
        <v>25</v>
      </c>
      <c r="F4129" s="52" t="s">
        <v>26</v>
      </c>
      <c r="G4129" s="53"/>
    </row>
    <row r="4130">
      <c r="A4130" s="49">
        <v>45064.133265868055</v>
      </c>
      <c r="B4130" s="50">
        <v>45064.2582327199</v>
      </c>
      <c r="C4130" s="51">
        <v>1.014</v>
      </c>
      <c r="D4130" s="51">
        <v>66.0</v>
      </c>
      <c r="E4130" s="52" t="s">
        <v>25</v>
      </c>
      <c r="F4130" s="52" t="s">
        <v>26</v>
      </c>
      <c r="G4130" s="53"/>
    </row>
    <row r="4131">
      <c r="A4131" s="49">
        <v>45064.143703298614</v>
      </c>
      <c r="B4131" s="50">
        <v>45064.2686762731</v>
      </c>
      <c r="C4131" s="51">
        <v>1.014</v>
      </c>
      <c r="D4131" s="51">
        <v>66.0</v>
      </c>
      <c r="E4131" s="52" t="s">
        <v>25</v>
      </c>
      <c r="F4131" s="52" t="s">
        <v>26</v>
      </c>
      <c r="G4131" s="53"/>
    </row>
    <row r="4132">
      <c r="A4132" s="49">
        <v>45064.15413831019</v>
      </c>
      <c r="B4132" s="50">
        <v>45064.2791094676</v>
      </c>
      <c r="C4132" s="51">
        <v>1.014</v>
      </c>
      <c r="D4132" s="51">
        <v>66.0</v>
      </c>
      <c r="E4132" s="52" t="s">
        <v>25</v>
      </c>
      <c r="F4132" s="52" t="s">
        <v>26</v>
      </c>
      <c r="G4132" s="53"/>
    </row>
    <row r="4133">
      <c r="A4133" s="49">
        <v>45064.164570567125</v>
      </c>
      <c r="B4133" s="50">
        <v>45064.2895427546</v>
      </c>
      <c r="C4133" s="51">
        <v>1.014</v>
      </c>
      <c r="D4133" s="51">
        <v>66.0</v>
      </c>
      <c r="E4133" s="52" t="s">
        <v>25</v>
      </c>
      <c r="F4133" s="52" t="s">
        <v>26</v>
      </c>
      <c r="G4133" s="53"/>
    </row>
    <row r="4134">
      <c r="A4134" s="49">
        <v>45064.1749905787</v>
      </c>
      <c r="B4134" s="50">
        <v>45064.2999633333</v>
      </c>
      <c r="C4134" s="51">
        <v>1.014</v>
      </c>
      <c r="D4134" s="51">
        <v>66.0</v>
      </c>
      <c r="E4134" s="52" t="s">
        <v>25</v>
      </c>
      <c r="F4134" s="52" t="s">
        <v>26</v>
      </c>
      <c r="G4134" s="53"/>
    </row>
    <row r="4135">
      <c r="A4135" s="49">
        <v>45064.18541167824</v>
      </c>
      <c r="B4135" s="50">
        <v>45064.3103860185</v>
      </c>
      <c r="C4135" s="51">
        <v>1.014</v>
      </c>
      <c r="D4135" s="51">
        <v>66.0</v>
      </c>
      <c r="E4135" s="52" t="s">
        <v>25</v>
      </c>
      <c r="F4135" s="52" t="s">
        <v>26</v>
      </c>
      <c r="G4135" s="53"/>
    </row>
    <row r="4136">
      <c r="A4136" s="49">
        <v>45064.195842326386</v>
      </c>
      <c r="B4136" s="50">
        <v>45064.3208215277</v>
      </c>
      <c r="C4136" s="51">
        <v>1.014</v>
      </c>
      <c r="D4136" s="51">
        <v>66.0</v>
      </c>
      <c r="E4136" s="52" t="s">
        <v>25</v>
      </c>
      <c r="F4136" s="52" t="s">
        <v>26</v>
      </c>
      <c r="G4136" s="53"/>
    </row>
    <row r="4137">
      <c r="A4137" s="49">
        <v>45064.206279351856</v>
      </c>
      <c r="B4137" s="50">
        <v>45064.3312544097</v>
      </c>
      <c r="C4137" s="51">
        <v>1.014</v>
      </c>
      <c r="D4137" s="51">
        <v>66.0</v>
      </c>
      <c r="E4137" s="52" t="s">
        <v>25</v>
      </c>
      <c r="F4137" s="52" t="s">
        <v>26</v>
      </c>
      <c r="G4137" s="53"/>
    </row>
    <row r="4138">
      <c r="A4138" s="49">
        <v>45064.21674081018</v>
      </c>
      <c r="B4138" s="50">
        <v>45064.3417100925</v>
      </c>
      <c r="C4138" s="51">
        <v>1.014</v>
      </c>
      <c r="D4138" s="51">
        <v>66.0</v>
      </c>
      <c r="E4138" s="52" t="s">
        <v>25</v>
      </c>
      <c r="F4138" s="52" t="s">
        <v>26</v>
      </c>
      <c r="G4138" s="53"/>
    </row>
    <row r="4139">
      <c r="A4139" s="49">
        <v>45064.2271671875</v>
      </c>
      <c r="B4139" s="50">
        <v>45064.3521425347</v>
      </c>
      <c r="C4139" s="51">
        <v>1.014</v>
      </c>
      <c r="D4139" s="51">
        <v>66.0</v>
      </c>
      <c r="E4139" s="52" t="s">
        <v>25</v>
      </c>
      <c r="F4139" s="52" t="s">
        <v>26</v>
      </c>
      <c r="G4139" s="53"/>
    </row>
    <row r="4140">
      <c r="A4140" s="49">
        <v>45064.23764628472</v>
      </c>
      <c r="B4140" s="50">
        <v>45064.3626219791</v>
      </c>
      <c r="C4140" s="51">
        <v>1.014</v>
      </c>
      <c r="D4140" s="51">
        <v>66.0</v>
      </c>
      <c r="E4140" s="52" t="s">
        <v>25</v>
      </c>
      <c r="F4140" s="52" t="s">
        <v>26</v>
      </c>
      <c r="G4140" s="53"/>
    </row>
    <row r="4141">
      <c r="A4141" s="49">
        <v>45064.24808130787</v>
      </c>
      <c r="B4141" s="50">
        <v>45064.3730562384</v>
      </c>
      <c r="C4141" s="51">
        <v>1.014</v>
      </c>
      <c r="D4141" s="51">
        <v>66.0</v>
      </c>
      <c r="E4141" s="52" t="s">
        <v>25</v>
      </c>
      <c r="F4141" s="52" t="s">
        <v>26</v>
      </c>
      <c r="G4141" s="53"/>
    </row>
    <row r="4142">
      <c r="A4142" s="49">
        <v>45064.2585434838</v>
      </c>
      <c r="B4142" s="50">
        <v>45064.3835133101</v>
      </c>
      <c r="C4142" s="51">
        <v>1.014</v>
      </c>
      <c r="D4142" s="51">
        <v>66.0</v>
      </c>
      <c r="E4142" s="52" t="s">
        <v>25</v>
      </c>
      <c r="F4142" s="52" t="s">
        <v>26</v>
      </c>
      <c r="G4142" s="53"/>
    </row>
    <row r="4143">
      <c r="A4143" s="49">
        <v>45064.268993854166</v>
      </c>
      <c r="B4143" s="50">
        <v>45064.3939687847</v>
      </c>
      <c r="C4143" s="51">
        <v>1.014</v>
      </c>
      <c r="D4143" s="51">
        <v>66.0</v>
      </c>
      <c r="E4143" s="52" t="s">
        <v>25</v>
      </c>
      <c r="F4143" s="52" t="s">
        <v>26</v>
      </c>
      <c r="G4143" s="53"/>
    </row>
    <row r="4144">
      <c r="A4144" s="49">
        <v>45064.279440694445</v>
      </c>
      <c r="B4144" s="50">
        <v>45064.4044146527</v>
      </c>
      <c r="C4144" s="51">
        <v>1.014</v>
      </c>
      <c r="D4144" s="51">
        <v>66.0</v>
      </c>
      <c r="E4144" s="52" t="s">
        <v>25</v>
      </c>
      <c r="F4144" s="52" t="s">
        <v>26</v>
      </c>
      <c r="G4144" s="53"/>
    </row>
    <row r="4145">
      <c r="A4145" s="49">
        <v>45064.28991314815</v>
      </c>
      <c r="B4145" s="50">
        <v>45064.4148825578</v>
      </c>
      <c r="C4145" s="51">
        <v>1.014</v>
      </c>
      <c r="D4145" s="51">
        <v>66.0</v>
      </c>
      <c r="E4145" s="52" t="s">
        <v>25</v>
      </c>
      <c r="F4145" s="52" t="s">
        <v>26</v>
      </c>
      <c r="G4145" s="53"/>
    </row>
    <row r="4146">
      <c r="A4146" s="49">
        <v>45064.30033179398</v>
      </c>
      <c r="B4146" s="50">
        <v>45064.4253029166</v>
      </c>
      <c r="C4146" s="51">
        <v>1.014</v>
      </c>
      <c r="D4146" s="51">
        <v>66.0</v>
      </c>
      <c r="E4146" s="52" t="s">
        <v>25</v>
      </c>
      <c r="F4146" s="52" t="s">
        <v>26</v>
      </c>
      <c r="G4146" s="53"/>
    </row>
    <row r="4147">
      <c r="A4147" s="49">
        <v>45064.31078206019</v>
      </c>
      <c r="B4147" s="50">
        <v>45064.4357574074</v>
      </c>
      <c r="C4147" s="51">
        <v>1.014</v>
      </c>
      <c r="D4147" s="51">
        <v>66.0</v>
      </c>
      <c r="E4147" s="52" t="s">
        <v>25</v>
      </c>
      <c r="F4147" s="52" t="s">
        <v>26</v>
      </c>
      <c r="G4147" s="53"/>
    </row>
    <row r="4148">
      <c r="A4148" s="49">
        <v>45064.321205625005</v>
      </c>
      <c r="B4148" s="50">
        <v>45064.4461776041</v>
      </c>
      <c r="C4148" s="51">
        <v>1.014</v>
      </c>
      <c r="D4148" s="51">
        <v>66.0</v>
      </c>
      <c r="E4148" s="52" t="s">
        <v>25</v>
      </c>
      <c r="F4148" s="52" t="s">
        <v>26</v>
      </c>
      <c r="G4148" s="53"/>
    </row>
    <row r="4149">
      <c r="A4149" s="49">
        <v>45064.33162109954</v>
      </c>
      <c r="B4149" s="50">
        <v>45064.4565993287</v>
      </c>
      <c r="C4149" s="51">
        <v>1.014</v>
      </c>
      <c r="D4149" s="51">
        <v>66.0</v>
      </c>
      <c r="E4149" s="52" t="s">
        <v>25</v>
      </c>
      <c r="F4149" s="52" t="s">
        <v>26</v>
      </c>
      <c r="G4149" s="53"/>
    </row>
    <row r="4150">
      <c r="A4150" s="49">
        <v>45064.342040856485</v>
      </c>
      <c r="B4150" s="50">
        <v>45064.4670199421</v>
      </c>
      <c r="C4150" s="51">
        <v>1.014</v>
      </c>
      <c r="D4150" s="51">
        <v>66.0</v>
      </c>
      <c r="E4150" s="52" t="s">
        <v>25</v>
      </c>
      <c r="F4150" s="52" t="s">
        <v>26</v>
      </c>
      <c r="G4150" s="53"/>
    </row>
    <row r="4151">
      <c r="A4151" s="49">
        <v>45064.35247554399</v>
      </c>
      <c r="B4151" s="50">
        <v>45064.4774529745</v>
      </c>
      <c r="C4151" s="51">
        <v>1.014</v>
      </c>
      <c r="D4151" s="51">
        <v>66.0</v>
      </c>
      <c r="E4151" s="52" t="s">
        <v>25</v>
      </c>
      <c r="F4151" s="52" t="s">
        <v>26</v>
      </c>
      <c r="G4151" s="53"/>
    </row>
    <row r="4152">
      <c r="A4152" s="49">
        <v>45064.36289603009</v>
      </c>
      <c r="B4152" s="50">
        <v>45064.4878731134</v>
      </c>
      <c r="C4152" s="51">
        <v>1.014</v>
      </c>
      <c r="D4152" s="51">
        <v>66.0</v>
      </c>
      <c r="E4152" s="52" t="s">
        <v>25</v>
      </c>
      <c r="F4152" s="52" t="s">
        <v>26</v>
      </c>
      <c r="G4152" s="53"/>
    </row>
    <row r="4153">
      <c r="A4153" s="49">
        <v>45064.37331435185</v>
      </c>
      <c r="B4153" s="50">
        <v>45064.4982947569</v>
      </c>
      <c r="C4153" s="51">
        <v>1.014</v>
      </c>
      <c r="D4153" s="51">
        <v>66.0</v>
      </c>
      <c r="E4153" s="52" t="s">
        <v>25</v>
      </c>
      <c r="F4153" s="52" t="s">
        <v>26</v>
      </c>
      <c r="G4153" s="53"/>
    </row>
    <row r="4154">
      <c r="A4154" s="49">
        <v>45064.38373988426</v>
      </c>
      <c r="B4154" s="50">
        <v>45064.5087153819</v>
      </c>
      <c r="C4154" s="51">
        <v>1.014</v>
      </c>
      <c r="D4154" s="51">
        <v>66.0</v>
      </c>
      <c r="E4154" s="52" t="s">
        <v>25</v>
      </c>
      <c r="F4154" s="52" t="s">
        <v>26</v>
      </c>
      <c r="G4154" s="53"/>
    </row>
    <row r="4155">
      <c r="A4155" s="49">
        <v>45064.394166157406</v>
      </c>
      <c r="B4155" s="50">
        <v>45064.5191474537</v>
      </c>
      <c r="C4155" s="51">
        <v>1.014</v>
      </c>
      <c r="D4155" s="51">
        <v>66.0</v>
      </c>
      <c r="E4155" s="52" t="s">
        <v>25</v>
      </c>
      <c r="F4155" s="52" t="s">
        <v>26</v>
      </c>
      <c r="G4155" s="53"/>
    </row>
    <row r="4156">
      <c r="A4156" s="49">
        <v>45064.40459327547</v>
      </c>
      <c r="B4156" s="50">
        <v>45064.5295672453</v>
      </c>
      <c r="C4156" s="51">
        <v>1.014</v>
      </c>
      <c r="D4156" s="51">
        <v>66.0</v>
      </c>
      <c r="E4156" s="52" t="s">
        <v>25</v>
      </c>
      <c r="F4156" s="52" t="s">
        <v>26</v>
      </c>
      <c r="G4156" s="53"/>
    </row>
    <row r="4157">
      <c r="A4157" s="49">
        <v>45064.415043553236</v>
      </c>
      <c r="B4157" s="50">
        <v>45064.5400205092</v>
      </c>
      <c r="C4157" s="51">
        <v>1.014</v>
      </c>
      <c r="D4157" s="51">
        <v>66.0</v>
      </c>
      <c r="E4157" s="52" t="s">
        <v>25</v>
      </c>
      <c r="F4157" s="52" t="s">
        <v>26</v>
      </c>
      <c r="G4157" s="53"/>
    </row>
    <row r="4158">
      <c r="A4158" s="49">
        <v>45064.42546722222</v>
      </c>
      <c r="B4158" s="50">
        <v>45064.5504406134</v>
      </c>
      <c r="C4158" s="51">
        <v>1.014</v>
      </c>
      <c r="D4158" s="51">
        <v>66.0</v>
      </c>
      <c r="E4158" s="52" t="s">
        <v>25</v>
      </c>
      <c r="F4158" s="52" t="s">
        <v>26</v>
      </c>
      <c r="G4158" s="53"/>
    </row>
    <row r="4159">
      <c r="A4159" s="49">
        <v>45064.43593651621</v>
      </c>
      <c r="B4159" s="50">
        <v>45064.5609200463</v>
      </c>
      <c r="C4159" s="51">
        <v>1.014</v>
      </c>
      <c r="D4159" s="51">
        <v>66.0</v>
      </c>
      <c r="E4159" s="52" t="s">
        <v>25</v>
      </c>
      <c r="F4159" s="52" t="s">
        <v>26</v>
      </c>
      <c r="G4159" s="53"/>
    </row>
    <row r="4160">
      <c r="A4160" s="49">
        <v>45064.446373796294</v>
      </c>
      <c r="B4160" s="50">
        <v>45064.5713400231</v>
      </c>
      <c r="C4160" s="51">
        <v>1.014</v>
      </c>
      <c r="D4160" s="51">
        <v>66.0</v>
      </c>
      <c r="E4160" s="52" t="s">
        <v>25</v>
      </c>
      <c r="F4160" s="52" t="s">
        <v>26</v>
      </c>
      <c r="G4160" s="53"/>
    </row>
    <row r="4161">
      <c r="A4161" s="49">
        <v>45064.45679625</v>
      </c>
      <c r="B4161" s="50">
        <v>45064.5817593518</v>
      </c>
      <c r="C4161" s="51">
        <v>1.014</v>
      </c>
      <c r="D4161" s="51">
        <v>66.0</v>
      </c>
      <c r="E4161" s="52" t="s">
        <v>25</v>
      </c>
      <c r="F4161" s="52" t="s">
        <v>26</v>
      </c>
      <c r="G4161" s="53"/>
    </row>
    <row r="4162">
      <c r="A4162" s="49">
        <v>45064.46721315972</v>
      </c>
      <c r="B4162" s="50">
        <v>45064.5921800347</v>
      </c>
      <c r="C4162" s="51">
        <v>1.014</v>
      </c>
      <c r="D4162" s="51">
        <v>66.0</v>
      </c>
      <c r="E4162" s="52" t="s">
        <v>25</v>
      </c>
      <c r="F4162" s="52" t="s">
        <v>26</v>
      </c>
      <c r="G4162" s="53"/>
    </row>
    <row r="4163">
      <c r="A4163" s="49">
        <v>45064.47763149306</v>
      </c>
      <c r="B4163" s="50">
        <v>45064.6026019444</v>
      </c>
      <c r="C4163" s="51">
        <v>1.014</v>
      </c>
      <c r="D4163" s="51">
        <v>66.0</v>
      </c>
      <c r="E4163" s="52" t="s">
        <v>25</v>
      </c>
      <c r="F4163" s="52" t="s">
        <v>26</v>
      </c>
      <c r="G4163" s="53"/>
    </row>
    <row r="4164">
      <c r="A4164" s="49">
        <v>45064.48805425926</v>
      </c>
      <c r="B4164" s="50">
        <v>45064.6130239814</v>
      </c>
      <c r="C4164" s="51">
        <v>1.014</v>
      </c>
      <c r="D4164" s="51">
        <v>66.0</v>
      </c>
      <c r="E4164" s="52" t="s">
        <v>25</v>
      </c>
      <c r="F4164" s="52" t="s">
        <v>26</v>
      </c>
      <c r="G4164" s="53"/>
    </row>
    <row r="4165">
      <c r="A4165" s="49">
        <v>45064.49847131944</v>
      </c>
      <c r="B4165" s="50">
        <v>45064.62344625</v>
      </c>
      <c r="C4165" s="51">
        <v>1.014</v>
      </c>
      <c r="D4165" s="51">
        <v>66.0</v>
      </c>
      <c r="E4165" s="52" t="s">
        <v>25</v>
      </c>
      <c r="F4165" s="52" t="s">
        <v>26</v>
      </c>
      <c r="G4165" s="53"/>
    </row>
    <row r="4166">
      <c r="A4166" s="49">
        <v>45064.50893733796</v>
      </c>
      <c r="B4166" s="50">
        <v>45064.6339146875</v>
      </c>
      <c r="C4166" s="51">
        <v>1.014</v>
      </c>
      <c r="D4166" s="51">
        <v>66.0</v>
      </c>
      <c r="E4166" s="52" t="s">
        <v>25</v>
      </c>
      <c r="F4166" s="52" t="s">
        <v>26</v>
      </c>
      <c r="G4166" s="53"/>
    </row>
    <row r="4167">
      <c r="A4167" s="49">
        <v>45064.51935516203</v>
      </c>
      <c r="B4167" s="50">
        <v>45064.6443347569</v>
      </c>
      <c r="C4167" s="51">
        <v>1.014</v>
      </c>
      <c r="D4167" s="51">
        <v>66.0</v>
      </c>
      <c r="E4167" s="52" t="s">
        <v>25</v>
      </c>
      <c r="F4167" s="52" t="s">
        <v>26</v>
      </c>
      <c r="G4167" s="53"/>
    </row>
    <row r="4168">
      <c r="A4168" s="49">
        <v>45064.52978965278</v>
      </c>
      <c r="B4168" s="50">
        <v>45064.6547690046</v>
      </c>
      <c r="C4168" s="51">
        <v>1.014</v>
      </c>
      <c r="D4168" s="51">
        <v>66.0</v>
      </c>
      <c r="E4168" s="52" t="s">
        <v>25</v>
      </c>
      <c r="F4168" s="52" t="s">
        <v>26</v>
      </c>
      <c r="G4168" s="53"/>
    </row>
    <row r="4169">
      <c r="A4169" s="49">
        <v>45064.54022946759</v>
      </c>
      <c r="B4169" s="50">
        <v>45064.6652011111</v>
      </c>
      <c r="C4169" s="51">
        <v>1.014</v>
      </c>
      <c r="D4169" s="51">
        <v>66.0</v>
      </c>
      <c r="E4169" s="52" t="s">
        <v>25</v>
      </c>
      <c r="F4169" s="52" t="s">
        <v>26</v>
      </c>
      <c r="G4169" s="53"/>
    </row>
    <row r="4170">
      <c r="A4170" s="49">
        <v>45064.55069725694</v>
      </c>
      <c r="B4170" s="50">
        <v>45064.6756691203</v>
      </c>
      <c r="C4170" s="51">
        <v>1.014</v>
      </c>
      <c r="D4170" s="51">
        <v>66.0</v>
      </c>
      <c r="E4170" s="52" t="s">
        <v>25</v>
      </c>
      <c r="F4170" s="52" t="s">
        <v>26</v>
      </c>
      <c r="G4170" s="53"/>
    </row>
    <row r="4171">
      <c r="A4171" s="49">
        <v>45064.56111995371</v>
      </c>
      <c r="B4171" s="50">
        <v>45064.6860902199</v>
      </c>
      <c r="C4171" s="51">
        <v>1.014</v>
      </c>
      <c r="D4171" s="51">
        <v>66.0</v>
      </c>
      <c r="E4171" s="52" t="s">
        <v>25</v>
      </c>
      <c r="F4171" s="52" t="s">
        <v>26</v>
      </c>
      <c r="G4171" s="53"/>
    </row>
    <row r="4172">
      <c r="A4172" s="49">
        <v>45064.571546226856</v>
      </c>
      <c r="B4172" s="50">
        <v>45064.6965242361</v>
      </c>
      <c r="C4172" s="51">
        <v>1.014</v>
      </c>
      <c r="D4172" s="51">
        <v>66.0</v>
      </c>
      <c r="E4172" s="52" t="s">
        <v>25</v>
      </c>
      <c r="F4172" s="52" t="s">
        <v>26</v>
      </c>
      <c r="G4172" s="53"/>
    </row>
    <row r="4173">
      <c r="A4173" s="49">
        <v>45064.58197543981</v>
      </c>
      <c r="B4173" s="50">
        <v>45064.706945162</v>
      </c>
      <c r="C4173" s="51">
        <v>1.014</v>
      </c>
      <c r="D4173" s="51">
        <v>66.0</v>
      </c>
      <c r="E4173" s="52" t="s">
        <v>25</v>
      </c>
      <c r="F4173" s="52" t="s">
        <v>26</v>
      </c>
      <c r="G4173" s="53"/>
    </row>
    <row r="4174">
      <c r="A4174" s="49">
        <v>45064.59240712963</v>
      </c>
      <c r="B4174" s="50">
        <v>45064.7173767129</v>
      </c>
      <c r="C4174" s="51">
        <v>1.014</v>
      </c>
      <c r="D4174" s="51">
        <v>66.0</v>
      </c>
      <c r="E4174" s="52" t="s">
        <v>25</v>
      </c>
      <c r="F4174" s="52" t="s">
        <v>26</v>
      </c>
      <c r="G4174" s="53"/>
    </row>
    <row r="4175">
      <c r="A4175" s="49">
        <v>45064.60283068287</v>
      </c>
      <c r="B4175" s="50">
        <v>45064.7278095023</v>
      </c>
      <c r="C4175" s="51">
        <v>1.014</v>
      </c>
      <c r="D4175" s="51">
        <v>66.0</v>
      </c>
      <c r="E4175" s="52" t="s">
        <v>25</v>
      </c>
      <c r="F4175" s="52" t="s">
        <v>26</v>
      </c>
      <c r="G4175" s="53"/>
    </row>
    <row r="4176">
      <c r="A4176" s="49">
        <v>45064.61326547454</v>
      </c>
      <c r="B4176" s="50">
        <v>45064.7382424537</v>
      </c>
      <c r="C4176" s="51">
        <v>1.014</v>
      </c>
      <c r="D4176" s="51">
        <v>66.0</v>
      </c>
      <c r="E4176" s="52" t="s">
        <v>25</v>
      </c>
      <c r="F4176" s="52" t="s">
        <v>26</v>
      </c>
      <c r="G4176" s="53"/>
    </row>
    <row r="4177">
      <c r="A4177" s="49">
        <v>45064.623695347225</v>
      </c>
      <c r="B4177" s="50">
        <v>45064.7486640509</v>
      </c>
      <c r="C4177" s="51">
        <v>1.014</v>
      </c>
      <c r="D4177" s="51">
        <v>66.0</v>
      </c>
      <c r="E4177" s="52" t="s">
        <v>25</v>
      </c>
      <c r="F4177" s="52" t="s">
        <v>26</v>
      </c>
      <c r="G4177" s="53"/>
    </row>
    <row r="4178">
      <c r="A4178" s="49">
        <v>45064.63411506945</v>
      </c>
      <c r="B4178" s="50">
        <v>45064.7590968981</v>
      </c>
      <c r="C4178" s="51">
        <v>1.014</v>
      </c>
      <c r="D4178" s="51">
        <v>66.0</v>
      </c>
      <c r="E4178" s="52" t="s">
        <v>25</v>
      </c>
      <c r="F4178" s="52" t="s">
        <v>26</v>
      </c>
      <c r="G4178" s="53"/>
    </row>
    <row r="4179">
      <c r="A4179" s="49">
        <v>45064.644549756944</v>
      </c>
      <c r="B4179" s="50">
        <v>45064.7695185532</v>
      </c>
      <c r="C4179" s="51">
        <v>1.014</v>
      </c>
      <c r="D4179" s="51">
        <v>66.0</v>
      </c>
      <c r="E4179" s="52" t="s">
        <v>25</v>
      </c>
      <c r="F4179" s="52" t="s">
        <v>26</v>
      </c>
      <c r="G4179" s="53"/>
    </row>
    <row r="4180">
      <c r="A4180" s="49">
        <v>45064.6549671875</v>
      </c>
      <c r="B4180" s="50">
        <v>45064.7799394444</v>
      </c>
      <c r="C4180" s="51">
        <v>1.014</v>
      </c>
      <c r="D4180" s="51">
        <v>66.0</v>
      </c>
      <c r="E4180" s="52" t="s">
        <v>25</v>
      </c>
      <c r="F4180" s="52" t="s">
        <v>26</v>
      </c>
      <c r="G4180" s="53"/>
    </row>
    <row r="4181">
      <c r="A4181" s="49">
        <v>45064.66542774306</v>
      </c>
      <c r="B4181" s="50">
        <v>45064.7904074884</v>
      </c>
      <c r="C4181" s="51">
        <v>1.014</v>
      </c>
      <c r="D4181" s="51">
        <v>66.0</v>
      </c>
      <c r="E4181" s="52" t="s">
        <v>25</v>
      </c>
      <c r="F4181" s="52" t="s">
        <v>26</v>
      </c>
      <c r="G4181" s="53"/>
    </row>
    <row r="4182">
      <c r="A4182" s="49">
        <v>45064.67592863426</v>
      </c>
      <c r="B4182" s="50">
        <v>45064.8009091087</v>
      </c>
      <c r="C4182" s="51">
        <v>1.013</v>
      </c>
      <c r="D4182" s="51">
        <v>66.0</v>
      </c>
      <c r="E4182" s="52" t="s">
        <v>25</v>
      </c>
      <c r="F4182" s="52" t="s">
        <v>26</v>
      </c>
      <c r="G4182" s="53"/>
    </row>
    <row r="4183">
      <c r="A4183" s="49">
        <v>45064.686373923614</v>
      </c>
      <c r="B4183" s="50">
        <v>45064.8113543171</v>
      </c>
      <c r="C4183" s="51">
        <v>1.014</v>
      </c>
      <c r="D4183" s="51">
        <v>66.0</v>
      </c>
      <c r="E4183" s="52" t="s">
        <v>25</v>
      </c>
      <c r="F4183" s="52" t="s">
        <v>26</v>
      </c>
      <c r="G4183" s="53"/>
    </row>
    <row r="4184">
      <c r="A4184" s="49">
        <v>45064.69680800926</v>
      </c>
      <c r="B4184" s="50">
        <v>45064.821785949</v>
      </c>
      <c r="C4184" s="51">
        <v>1.014</v>
      </c>
      <c r="D4184" s="51">
        <v>66.0</v>
      </c>
      <c r="E4184" s="52" t="s">
        <v>25</v>
      </c>
      <c r="F4184" s="52" t="s">
        <v>26</v>
      </c>
      <c r="G4184" s="53"/>
    </row>
    <row r="4185">
      <c r="A4185" s="49">
        <v>45064.707229120366</v>
      </c>
      <c r="B4185" s="50">
        <v>45064.8322086921</v>
      </c>
      <c r="C4185" s="51">
        <v>1.014</v>
      </c>
      <c r="D4185" s="51">
        <v>66.0</v>
      </c>
      <c r="E4185" s="52" t="s">
        <v>25</v>
      </c>
      <c r="F4185" s="52" t="s">
        <v>26</v>
      </c>
      <c r="G4185" s="53"/>
    </row>
    <row r="4186">
      <c r="A4186" s="49">
        <v>45064.71766174768</v>
      </c>
      <c r="B4186" s="50">
        <v>45064.8426410648</v>
      </c>
      <c r="C4186" s="51">
        <v>1.014</v>
      </c>
      <c r="D4186" s="51">
        <v>66.0</v>
      </c>
      <c r="E4186" s="52" t="s">
        <v>25</v>
      </c>
      <c r="F4186" s="52" t="s">
        <v>26</v>
      </c>
      <c r="G4186" s="53"/>
    </row>
    <row r="4187">
      <c r="A4187" s="49">
        <v>45064.72809304398</v>
      </c>
      <c r="B4187" s="50">
        <v>45064.8530617708</v>
      </c>
      <c r="C4187" s="51">
        <v>1.014</v>
      </c>
      <c r="D4187" s="51">
        <v>66.0</v>
      </c>
      <c r="E4187" s="52" t="s">
        <v>25</v>
      </c>
      <c r="F4187" s="52" t="s">
        <v>26</v>
      </c>
      <c r="G4187" s="53"/>
    </row>
    <row r="4188">
      <c r="A4188" s="49">
        <v>45064.73852346065</v>
      </c>
      <c r="B4188" s="50">
        <v>45064.8634951041</v>
      </c>
      <c r="C4188" s="51">
        <v>1.014</v>
      </c>
      <c r="D4188" s="51">
        <v>66.0</v>
      </c>
      <c r="E4188" s="52" t="s">
        <v>25</v>
      </c>
      <c r="F4188" s="52" t="s">
        <v>26</v>
      </c>
      <c r="G4188" s="53"/>
    </row>
    <row r="4189">
      <c r="A4189" s="49">
        <v>45064.748949155095</v>
      </c>
      <c r="B4189" s="50">
        <v>45064.8739258333</v>
      </c>
      <c r="C4189" s="51">
        <v>1.014</v>
      </c>
      <c r="D4189" s="51">
        <v>66.0</v>
      </c>
      <c r="E4189" s="52" t="s">
        <v>25</v>
      </c>
      <c r="F4189" s="52" t="s">
        <v>26</v>
      </c>
      <c r="G4189" s="53"/>
    </row>
    <row r="4190">
      <c r="A4190" s="49">
        <v>45064.75939065972</v>
      </c>
      <c r="B4190" s="50">
        <v>45064.8843571412</v>
      </c>
      <c r="C4190" s="51">
        <v>1.014</v>
      </c>
      <c r="D4190" s="51">
        <v>66.0</v>
      </c>
      <c r="E4190" s="52" t="s">
        <v>25</v>
      </c>
      <c r="F4190" s="52" t="s">
        <v>26</v>
      </c>
      <c r="G4190" s="53"/>
    </row>
    <row r="4191">
      <c r="A4191" s="49">
        <v>45064.76979936342</v>
      </c>
      <c r="B4191" s="50">
        <v>45064.8947778356</v>
      </c>
      <c r="C4191" s="51">
        <v>1.014</v>
      </c>
      <c r="D4191" s="51">
        <v>66.0</v>
      </c>
      <c r="E4191" s="52" t="s">
        <v>25</v>
      </c>
      <c r="F4191" s="52" t="s">
        <v>26</v>
      </c>
      <c r="G4191" s="53"/>
    </row>
    <row r="4192">
      <c r="A4192" s="49">
        <v>45064.78022724537</v>
      </c>
      <c r="B4192" s="50">
        <v>45064.9051992361</v>
      </c>
      <c r="C4192" s="51">
        <v>1.014</v>
      </c>
      <c r="D4192" s="51">
        <v>66.0</v>
      </c>
      <c r="E4192" s="52" t="s">
        <v>25</v>
      </c>
      <c r="F4192" s="52" t="s">
        <v>26</v>
      </c>
      <c r="G4192" s="53"/>
    </row>
    <row r="4193">
      <c r="A4193" s="49">
        <v>45064.79064851852</v>
      </c>
      <c r="B4193" s="50">
        <v>45064.9156211574</v>
      </c>
      <c r="C4193" s="51">
        <v>1.014</v>
      </c>
      <c r="D4193" s="51">
        <v>66.0</v>
      </c>
      <c r="E4193" s="52" t="s">
        <v>25</v>
      </c>
      <c r="F4193" s="52" t="s">
        <v>26</v>
      </c>
      <c r="G4193" s="53"/>
    </row>
    <row r="4194">
      <c r="A4194" s="49">
        <v>45064.80106894676</v>
      </c>
      <c r="B4194" s="50">
        <v>45064.9260417129</v>
      </c>
      <c r="C4194" s="51">
        <v>1.014</v>
      </c>
      <c r="D4194" s="51">
        <v>66.0</v>
      </c>
      <c r="E4194" s="52" t="s">
        <v>25</v>
      </c>
      <c r="F4194" s="52" t="s">
        <v>26</v>
      </c>
      <c r="G4194" s="53"/>
    </row>
    <row r="4195">
      <c r="A4195" s="49">
        <v>45064.81147822917</v>
      </c>
      <c r="B4195" s="50">
        <v>45064.9364618634</v>
      </c>
      <c r="C4195" s="51">
        <v>1.014</v>
      </c>
      <c r="D4195" s="51">
        <v>66.0</v>
      </c>
      <c r="E4195" s="52" t="s">
        <v>25</v>
      </c>
      <c r="F4195" s="52" t="s">
        <v>26</v>
      </c>
      <c r="G4195" s="53"/>
    </row>
    <row r="4196">
      <c r="A4196" s="49">
        <v>45064.82193670139</v>
      </c>
      <c r="B4196" s="50">
        <v>45064.9469067824</v>
      </c>
      <c r="C4196" s="51">
        <v>1.014</v>
      </c>
      <c r="D4196" s="51">
        <v>66.0</v>
      </c>
      <c r="E4196" s="52" t="s">
        <v>25</v>
      </c>
      <c r="F4196" s="52" t="s">
        <v>26</v>
      </c>
      <c r="G4196" s="53"/>
    </row>
    <row r="4197">
      <c r="A4197" s="49">
        <v>45064.83236645833</v>
      </c>
      <c r="B4197" s="50">
        <v>45064.9573387962</v>
      </c>
      <c r="C4197" s="51">
        <v>1.014</v>
      </c>
      <c r="D4197" s="51">
        <v>66.0</v>
      </c>
      <c r="E4197" s="52" t="s">
        <v>25</v>
      </c>
      <c r="F4197" s="52" t="s">
        <v>26</v>
      </c>
      <c r="G4197" s="53"/>
    </row>
    <row r="4198">
      <c r="A4198" s="49">
        <v>45064.842778819446</v>
      </c>
      <c r="B4198" s="50">
        <v>45064.967759699</v>
      </c>
      <c r="C4198" s="51">
        <v>1.014</v>
      </c>
      <c r="D4198" s="51">
        <v>66.0</v>
      </c>
      <c r="E4198" s="52" t="s">
        <v>25</v>
      </c>
      <c r="F4198" s="52" t="s">
        <v>26</v>
      </c>
      <c r="G4198" s="53"/>
    </row>
    <row r="4199">
      <c r="A4199" s="49">
        <v>45064.85322094907</v>
      </c>
      <c r="B4199" s="50">
        <v>45064.978193206</v>
      </c>
      <c r="C4199" s="51">
        <v>1.014</v>
      </c>
      <c r="D4199" s="51">
        <v>66.0</v>
      </c>
      <c r="E4199" s="52" t="s">
        <v>25</v>
      </c>
      <c r="F4199" s="52" t="s">
        <v>26</v>
      </c>
      <c r="G4199" s="53"/>
    </row>
    <row r="4200">
      <c r="A4200" s="49">
        <v>45064.8636452662</v>
      </c>
      <c r="B4200" s="50">
        <v>45064.988615324</v>
      </c>
      <c r="C4200" s="51">
        <v>1.014</v>
      </c>
      <c r="D4200" s="51">
        <v>66.0</v>
      </c>
      <c r="E4200" s="52" t="s">
        <v>25</v>
      </c>
      <c r="F4200" s="52" t="s">
        <v>26</v>
      </c>
      <c r="G4200" s="53"/>
    </row>
    <row r="4201">
      <c r="A4201" s="49">
        <v>45064.874093148144</v>
      </c>
      <c r="B4201" s="50">
        <v>45064.9990701504</v>
      </c>
      <c r="C4201" s="51">
        <v>1.014</v>
      </c>
      <c r="D4201" s="51">
        <v>66.0</v>
      </c>
      <c r="E4201" s="52" t="s">
        <v>25</v>
      </c>
      <c r="F4201" s="52" t="s">
        <v>26</v>
      </c>
      <c r="G4201" s="53"/>
    </row>
    <row r="4202">
      <c r="A4202" s="49">
        <v>45064.88454092592</v>
      </c>
      <c r="B4202" s="50">
        <v>45065.0095149652</v>
      </c>
      <c r="C4202" s="51">
        <v>1.014</v>
      </c>
      <c r="D4202" s="51">
        <v>66.0</v>
      </c>
      <c r="E4202" s="52" t="s">
        <v>25</v>
      </c>
      <c r="F4202" s="52" t="s">
        <v>26</v>
      </c>
      <c r="G4202" s="53"/>
    </row>
    <row r="4203">
      <c r="A4203" s="49">
        <v>45064.894973703704</v>
      </c>
      <c r="B4203" s="50">
        <v>45065.0199464583</v>
      </c>
      <c r="C4203" s="51">
        <v>1.013</v>
      </c>
      <c r="D4203" s="51">
        <v>66.0</v>
      </c>
      <c r="E4203" s="52" t="s">
        <v>25</v>
      </c>
      <c r="F4203" s="52" t="s">
        <v>26</v>
      </c>
      <c r="G4203" s="53"/>
    </row>
    <row r="4204">
      <c r="A4204" s="49">
        <v>45064.90539854167</v>
      </c>
      <c r="B4204" s="50">
        <v>45065.0303696064</v>
      </c>
      <c r="C4204" s="51">
        <v>1.014</v>
      </c>
      <c r="D4204" s="51">
        <v>66.0</v>
      </c>
      <c r="E4204" s="52" t="s">
        <v>25</v>
      </c>
      <c r="F4204" s="52" t="s">
        <v>26</v>
      </c>
      <c r="G4204" s="53"/>
    </row>
    <row r="4205">
      <c r="A4205" s="49">
        <v>45064.915833217594</v>
      </c>
      <c r="B4205" s="50">
        <v>45065.0408038541</v>
      </c>
      <c r="C4205" s="51">
        <v>1.014</v>
      </c>
      <c r="D4205" s="51">
        <v>66.0</v>
      </c>
      <c r="E4205" s="52" t="s">
        <v>25</v>
      </c>
      <c r="F4205" s="52" t="s">
        <v>26</v>
      </c>
      <c r="G4205" s="53"/>
    </row>
    <row r="4206">
      <c r="A4206" s="49">
        <v>45064.92625258102</v>
      </c>
      <c r="B4206" s="50">
        <v>45065.0512234027</v>
      </c>
      <c r="C4206" s="51">
        <v>1.013</v>
      </c>
      <c r="D4206" s="51">
        <v>66.0</v>
      </c>
      <c r="E4206" s="52" t="s">
        <v>25</v>
      </c>
      <c r="F4206" s="52" t="s">
        <v>26</v>
      </c>
      <c r="G4206" s="53"/>
    </row>
    <row r="4207">
      <c r="A4207" s="49">
        <v>45064.936709201385</v>
      </c>
      <c r="B4207" s="50">
        <v>45065.0616792476</v>
      </c>
      <c r="C4207" s="51">
        <v>1.013</v>
      </c>
      <c r="D4207" s="51">
        <v>66.0</v>
      </c>
      <c r="E4207" s="52" t="s">
        <v>25</v>
      </c>
      <c r="F4207" s="52" t="s">
        <v>26</v>
      </c>
      <c r="G4207" s="53"/>
    </row>
    <row r="4208">
      <c r="A4208" s="49">
        <v>45064.94712538194</v>
      </c>
      <c r="B4208" s="50">
        <v>45065.0721009953</v>
      </c>
      <c r="C4208" s="51">
        <v>1.013</v>
      </c>
      <c r="D4208" s="51">
        <v>66.0</v>
      </c>
      <c r="E4208" s="52" t="s">
        <v>25</v>
      </c>
      <c r="F4208" s="52" t="s">
        <v>26</v>
      </c>
      <c r="G4208" s="53"/>
    </row>
    <row r="4209">
      <c r="A4209" s="49">
        <v>45064.95756271991</v>
      </c>
      <c r="B4209" s="50">
        <v>45065.0825320138</v>
      </c>
      <c r="C4209" s="51">
        <v>1.014</v>
      </c>
      <c r="D4209" s="51">
        <v>66.0</v>
      </c>
      <c r="E4209" s="52" t="s">
        <v>25</v>
      </c>
      <c r="F4209" s="52" t="s">
        <v>26</v>
      </c>
      <c r="G4209" s="53"/>
    </row>
    <row r="4210">
      <c r="A4210" s="49">
        <v>45064.967992708334</v>
      </c>
      <c r="B4210" s="50">
        <v>45065.0929753472</v>
      </c>
      <c r="C4210" s="51">
        <v>1.013</v>
      </c>
      <c r="D4210" s="51">
        <v>66.0</v>
      </c>
      <c r="E4210" s="52" t="s">
        <v>25</v>
      </c>
      <c r="F4210" s="52" t="s">
        <v>26</v>
      </c>
      <c r="G4210" s="53"/>
    </row>
    <row r="4211">
      <c r="A4211" s="49">
        <v>45064.97841520833</v>
      </c>
      <c r="B4211" s="50">
        <v>45065.1033970023</v>
      </c>
      <c r="C4211" s="51">
        <v>1.014</v>
      </c>
      <c r="D4211" s="51">
        <v>66.0</v>
      </c>
      <c r="E4211" s="52" t="s">
        <v>25</v>
      </c>
      <c r="F4211" s="52" t="s">
        <v>26</v>
      </c>
      <c r="G4211" s="53"/>
    </row>
    <row r="4212">
      <c r="A4212" s="49">
        <v>45064.988841620376</v>
      </c>
      <c r="B4212" s="50">
        <v>45065.1138192361</v>
      </c>
      <c r="C4212" s="51">
        <v>1.013</v>
      </c>
      <c r="D4212" s="51">
        <v>66.0</v>
      </c>
      <c r="E4212" s="52" t="s">
        <v>25</v>
      </c>
      <c r="F4212" s="52" t="s">
        <v>26</v>
      </c>
      <c r="G4212" s="53"/>
    </row>
    <row r="4213">
      <c r="A4213" s="49">
        <v>45064.99931385416</v>
      </c>
      <c r="B4213" s="50">
        <v>45065.1242857638</v>
      </c>
      <c r="C4213" s="51">
        <v>1.014</v>
      </c>
      <c r="D4213" s="51">
        <v>66.0</v>
      </c>
      <c r="E4213" s="52" t="s">
        <v>25</v>
      </c>
      <c r="F4213" s="52" t="s">
        <v>26</v>
      </c>
      <c r="G4213" s="53"/>
    </row>
    <row r="4214">
      <c r="A4214" s="49">
        <v>45065.00977266204</v>
      </c>
      <c r="B4214" s="50">
        <v>45065.134752824</v>
      </c>
      <c r="C4214" s="51">
        <v>1.014</v>
      </c>
      <c r="D4214" s="51">
        <v>66.0</v>
      </c>
      <c r="E4214" s="52" t="s">
        <v>25</v>
      </c>
      <c r="F4214" s="52" t="s">
        <v>26</v>
      </c>
      <c r="G4214" s="53"/>
    </row>
    <row r="4215">
      <c r="A4215" s="49">
        <v>45065.020236261575</v>
      </c>
      <c r="B4215" s="50">
        <v>45065.1452197338</v>
      </c>
      <c r="C4215" s="51">
        <v>1.014</v>
      </c>
      <c r="D4215" s="51">
        <v>66.0</v>
      </c>
      <c r="E4215" s="52" t="s">
        <v>25</v>
      </c>
      <c r="F4215" s="52" t="s">
        <v>26</v>
      </c>
      <c r="G4215" s="53"/>
    </row>
    <row r="4216">
      <c r="A4216" s="49">
        <v>45065.03066875</v>
      </c>
      <c r="B4216" s="50">
        <v>45065.1556410069</v>
      </c>
      <c r="C4216" s="51">
        <v>1.014</v>
      </c>
      <c r="D4216" s="51">
        <v>66.0</v>
      </c>
      <c r="E4216" s="52" t="s">
        <v>25</v>
      </c>
      <c r="F4216" s="52" t="s">
        <v>26</v>
      </c>
      <c r="G4216" s="53"/>
    </row>
    <row r="4217">
      <c r="A4217" s="49">
        <v>45065.04115747685</v>
      </c>
      <c r="B4217" s="50">
        <v>45065.1661329282</v>
      </c>
      <c r="C4217" s="51">
        <v>1.013</v>
      </c>
      <c r="D4217" s="51">
        <v>66.0</v>
      </c>
      <c r="E4217" s="52" t="s">
        <v>25</v>
      </c>
      <c r="F4217" s="52" t="s">
        <v>26</v>
      </c>
      <c r="G4217" s="53"/>
    </row>
    <row r="4218">
      <c r="A4218" s="49">
        <v>45065.0515791088</v>
      </c>
      <c r="B4218" s="50">
        <v>45065.1765535763</v>
      </c>
      <c r="C4218" s="51">
        <v>1.014</v>
      </c>
      <c r="D4218" s="51">
        <v>66.0</v>
      </c>
      <c r="E4218" s="52" t="s">
        <v>25</v>
      </c>
      <c r="F4218" s="52" t="s">
        <v>26</v>
      </c>
      <c r="G4218" s="53"/>
    </row>
    <row r="4219">
      <c r="A4219" s="49">
        <v>45065.06202297454</v>
      </c>
      <c r="B4219" s="50">
        <v>45065.1869982754</v>
      </c>
      <c r="C4219" s="51">
        <v>1.014</v>
      </c>
      <c r="D4219" s="51">
        <v>66.0</v>
      </c>
      <c r="E4219" s="52" t="s">
        <v>25</v>
      </c>
      <c r="F4219" s="52" t="s">
        <v>26</v>
      </c>
      <c r="G4219" s="53"/>
    </row>
    <row r="4220">
      <c r="A4220" s="49">
        <v>45065.07246927083</v>
      </c>
      <c r="B4220" s="50">
        <v>45065.1974425578</v>
      </c>
      <c r="C4220" s="51">
        <v>1.014</v>
      </c>
      <c r="D4220" s="51">
        <v>66.0</v>
      </c>
      <c r="E4220" s="52" t="s">
        <v>25</v>
      </c>
      <c r="F4220" s="52" t="s">
        <v>26</v>
      </c>
      <c r="G4220" s="53"/>
    </row>
    <row r="4221">
      <c r="A4221" s="49">
        <v>45065.08289078704</v>
      </c>
      <c r="B4221" s="50">
        <v>45065.2078648842</v>
      </c>
      <c r="C4221" s="51">
        <v>1.014</v>
      </c>
      <c r="D4221" s="51">
        <v>66.0</v>
      </c>
      <c r="E4221" s="52" t="s">
        <v>25</v>
      </c>
      <c r="F4221" s="52" t="s">
        <v>26</v>
      </c>
      <c r="G4221" s="53"/>
    </row>
    <row r="4222">
      <c r="A4222" s="49">
        <v>45065.09336287037</v>
      </c>
      <c r="B4222" s="50">
        <v>45065.2183312037</v>
      </c>
      <c r="C4222" s="51">
        <v>1.013</v>
      </c>
      <c r="D4222" s="51">
        <v>66.0</v>
      </c>
      <c r="E4222" s="52" t="s">
        <v>25</v>
      </c>
      <c r="F4222" s="52" t="s">
        <v>26</v>
      </c>
      <c r="G4222" s="53"/>
    </row>
    <row r="4223">
      <c r="A4223" s="49">
        <v>45065.10377119213</v>
      </c>
      <c r="B4223" s="50">
        <v>45065.2287510995</v>
      </c>
      <c r="C4223" s="51">
        <v>1.014</v>
      </c>
      <c r="D4223" s="51">
        <v>66.0</v>
      </c>
      <c r="E4223" s="52" t="s">
        <v>25</v>
      </c>
      <c r="F4223" s="52" t="s">
        <v>26</v>
      </c>
      <c r="G4223" s="53"/>
    </row>
    <row r="4224">
      <c r="A4224" s="49">
        <v>45065.114205659724</v>
      </c>
      <c r="B4224" s="50">
        <v>45065.2391831597</v>
      </c>
      <c r="C4224" s="51">
        <v>1.013</v>
      </c>
      <c r="D4224" s="51">
        <v>66.0</v>
      </c>
      <c r="E4224" s="52" t="s">
        <v>25</v>
      </c>
      <c r="F4224" s="52" t="s">
        <v>26</v>
      </c>
      <c r="G4224" s="53"/>
    </row>
    <row r="4225">
      <c r="A4225" s="49">
        <v>45065.124624606484</v>
      </c>
      <c r="B4225" s="50">
        <v>45065.2496029861</v>
      </c>
      <c r="C4225" s="51">
        <v>1.013</v>
      </c>
      <c r="D4225" s="51">
        <v>66.0</v>
      </c>
      <c r="E4225" s="52" t="s">
        <v>25</v>
      </c>
      <c r="F4225" s="52" t="s">
        <v>26</v>
      </c>
      <c r="G4225" s="53"/>
    </row>
    <row r="4226">
      <c r="A4226" s="49">
        <v>45065.1350691088</v>
      </c>
      <c r="B4226" s="50">
        <v>45065.2600367476</v>
      </c>
      <c r="C4226" s="51">
        <v>1.014</v>
      </c>
      <c r="D4226" s="51">
        <v>66.0</v>
      </c>
      <c r="E4226" s="52" t="s">
        <v>25</v>
      </c>
      <c r="F4226" s="52" t="s">
        <v>26</v>
      </c>
      <c r="G4226" s="53"/>
    </row>
    <row r="4227">
      <c r="A4227" s="49">
        <v>45065.14554229166</v>
      </c>
      <c r="B4227" s="50">
        <v>45065.2704598032</v>
      </c>
      <c r="C4227" s="51">
        <v>1.014</v>
      </c>
      <c r="D4227" s="51">
        <v>66.0</v>
      </c>
      <c r="E4227" s="52" t="s">
        <v>25</v>
      </c>
      <c r="F4227" s="52" t="s">
        <v>26</v>
      </c>
      <c r="G4227" s="53"/>
    </row>
    <row r="4228">
      <c r="A4228" s="49">
        <v>45065.155915763884</v>
      </c>
      <c r="B4228" s="50">
        <v>45065.280892662</v>
      </c>
      <c r="C4228" s="51">
        <v>1.014</v>
      </c>
      <c r="D4228" s="51">
        <v>66.0</v>
      </c>
      <c r="E4228" s="52" t="s">
        <v>25</v>
      </c>
      <c r="F4228" s="52" t="s">
        <v>26</v>
      </c>
      <c r="G4228" s="53"/>
    </row>
    <row r="4229">
      <c r="A4229" s="49">
        <v>45065.16633453703</v>
      </c>
      <c r="B4229" s="50">
        <v>45065.2913153819</v>
      </c>
      <c r="C4229" s="51">
        <v>1.013</v>
      </c>
      <c r="D4229" s="51">
        <v>65.0</v>
      </c>
      <c r="E4229" s="52" t="s">
        <v>25</v>
      </c>
      <c r="F4229" s="52" t="s">
        <v>26</v>
      </c>
      <c r="G4229" s="53"/>
    </row>
    <row r="4230">
      <c r="A4230" s="49">
        <v>45065.17675608797</v>
      </c>
      <c r="B4230" s="50">
        <v>45065.3017378819</v>
      </c>
      <c r="C4230" s="51">
        <v>1.014</v>
      </c>
      <c r="D4230" s="51">
        <v>65.0</v>
      </c>
      <c r="E4230" s="52" t="s">
        <v>25</v>
      </c>
      <c r="F4230" s="52" t="s">
        <v>26</v>
      </c>
      <c r="G4230" s="53"/>
    </row>
    <row r="4231">
      <c r="A4231" s="49">
        <v>45065.18718144676</v>
      </c>
      <c r="B4231" s="50">
        <v>45065.3121604282</v>
      </c>
      <c r="C4231" s="51">
        <v>1.013</v>
      </c>
      <c r="D4231" s="51">
        <v>66.0</v>
      </c>
      <c r="E4231" s="52" t="s">
        <v>25</v>
      </c>
      <c r="F4231" s="52" t="s">
        <v>26</v>
      </c>
      <c r="G4231" s="53"/>
    </row>
    <row r="4232">
      <c r="A4232" s="49">
        <v>45065.197603368055</v>
      </c>
      <c r="B4232" s="50">
        <v>45065.3225835185</v>
      </c>
      <c r="C4232" s="51">
        <v>1.013</v>
      </c>
      <c r="D4232" s="51">
        <v>65.0</v>
      </c>
      <c r="E4232" s="52" t="s">
        <v>25</v>
      </c>
      <c r="F4232" s="52" t="s">
        <v>26</v>
      </c>
      <c r="G4232" s="53"/>
    </row>
    <row r="4233">
      <c r="A4233" s="49">
        <v>45065.20803309028</v>
      </c>
      <c r="B4233" s="50">
        <v>45065.333005162</v>
      </c>
      <c r="C4233" s="51">
        <v>1.013</v>
      </c>
      <c r="D4233" s="51">
        <v>66.0</v>
      </c>
      <c r="E4233" s="52" t="s">
        <v>25</v>
      </c>
      <c r="F4233" s="52" t="s">
        <v>26</v>
      </c>
      <c r="G4233" s="53"/>
    </row>
    <row r="4234">
      <c r="A4234" s="49">
        <v>45065.21845642361</v>
      </c>
      <c r="B4234" s="50">
        <v>45065.3434267013</v>
      </c>
      <c r="C4234" s="51">
        <v>1.013</v>
      </c>
      <c r="D4234" s="51">
        <v>66.0</v>
      </c>
      <c r="E4234" s="52" t="s">
        <v>25</v>
      </c>
      <c r="F4234" s="52" t="s">
        <v>26</v>
      </c>
      <c r="G4234" s="53"/>
    </row>
    <row r="4235">
      <c r="A4235" s="49">
        <v>45065.22888898148</v>
      </c>
      <c r="B4235" s="50">
        <v>45065.353860405</v>
      </c>
      <c r="C4235" s="51">
        <v>1.013</v>
      </c>
      <c r="D4235" s="51">
        <v>65.0</v>
      </c>
      <c r="E4235" s="52" t="s">
        <v>25</v>
      </c>
      <c r="F4235" s="52" t="s">
        <v>26</v>
      </c>
      <c r="G4235" s="53"/>
    </row>
    <row r="4236">
      <c r="A4236" s="49">
        <v>45065.23931430555</v>
      </c>
      <c r="B4236" s="50">
        <v>45065.3642920486</v>
      </c>
      <c r="C4236" s="51">
        <v>1.014</v>
      </c>
      <c r="D4236" s="51">
        <v>65.0</v>
      </c>
      <c r="E4236" s="52" t="s">
        <v>25</v>
      </c>
      <c r="F4236" s="52" t="s">
        <v>26</v>
      </c>
      <c r="G4236" s="53"/>
    </row>
    <row r="4237">
      <c r="A4237" s="49">
        <v>45065.24979239583</v>
      </c>
      <c r="B4237" s="50">
        <v>45065.3747388425</v>
      </c>
      <c r="C4237" s="51">
        <v>1.014</v>
      </c>
      <c r="D4237" s="51">
        <v>66.0</v>
      </c>
      <c r="E4237" s="52" t="s">
        <v>25</v>
      </c>
      <c r="F4237" s="52" t="s">
        <v>26</v>
      </c>
      <c r="G4237" s="53"/>
    </row>
    <row r="4238">
      <c r="A4238" s="49">
        <v>45065.260201770834</v>
      </c>
      <c r="B4238" s="50">
        <v>45065.3851706828</v>
      </c>
      <c r="C4238" s="51">
        <v>1.014</v>
      </c>
      <c r="D4238" s="51">
        <v>65.0</v>
      </c>
      <c r="E4238" s="52" t="s">
        <v>25</v>
      </c>
      <c r="F4238" s="52" t="s">
        <v>26</v>
      </c>
      <c r="G4238" s="53"/>
    </row>
    <row r="4239">
      <c r="A4239" s="49">
        <v>45065.27064570602</v>
      </c>
      <c r="B4239" s="50">
        <v>45065.395625405</v>
      </c>
      <c r="C4239" s="51">
        <v>1.014</v>
      </c>
      <c r="D4239" s="51">
        <v>65.0</v>
      </c>
      <c r="E4239" s="52" t="s">
        <v>25</v>
      </c>
      <c r="F4239" s="52" t="s">
        <v>26</v>
      </c>
      <c r="G4239" s="53"/>
    </row>
    <row r="4240">
      <c r="A4240" s="49">
        <v>45065.281074212966</v>
      </c>
      <c r="B4240" s="50">
        <v>45065.4060467939</v>
      </c>
      <c r="C4240" s="51">
        <v>1.013</v>
      </c>
      <c r="D4240" s="51">
        <v>65.0</v>
      </c>
      <c r="E4240" s="52" t="s">
        <v>25</v>
      </c>
      <c r="F4240" s="52" t="s">
        <v>26</v>
      </c>
      <c r="G4240" s="53"/>
    </row>
    <row r="4241">
      <c r="A4241" s="49">
        <v>45065.29150013889</v>
      </c>
      <c r="B4241" s="50">
        <v>45065.4164689351</v>
      </c>
      <c r="C4241" s="51">
        <v>1.014</v>
      </c>
      <c r="D4241" s="51">
        <v>65.0</v>
      </c>
      <c r="E4241" s="52" t="s">
        <v>25</v>
      </c>
      <c r="F4241" s="52" t="s">
        <v>26</v>
      </c>
      <c r="G4241" s="53"/>
    </row>
    <row r="4242">
      <c r="A4242" s="49">
        <v>45065.30191505787</v>
      </c>
      <c r="B4242" s="50">
        <v>45065.4268896643</v>
      </c>
      <c r="C4242" s="51">
        <v>1.014</v>
      </c>
      <c r="D4242" s="51">
        <v>65.0</v>
      </c>
      <c r="E4242" s="52" t="s">
        <v>25</v>
      </c>
      <c r="F4242" s="52" t="s">
        <v>26</v>
      </c>
      <c r="G4242" s="53"/>
    </row>
    <row r="4243">
      <c r="A4243" s="49">
        <v>45065.31233689815</v>
      </c>
      <c r="B4243" s="50">
        <v>45065.4373120486</v>
      </c>
      <c r="C4243" s="51">
        <v>1.013</v>
      </c>
      <c r="D4243" s="51">
        <v>65.0</v>
      </c>
      <c r="E4243" s="52" t="s">
        <v>25</v>
      </c>
      <c r="F4243" s="52" t="s">
        <v>26</v>
      </c>
      <c r="G4243" s="53"/>
    </row>
    <row r="4244">
      <c r="A4244" s="49">
        <v>45065.32280734954</v>
      </c>
      <c r="B4244" s="50">
        <v>45065.4477678009</v>
      </c>
      <c r="C4244" s="51">
        <v>1.013</v>
      </c>
      <c r="D4244" s="51">
        <v>65.0</v>
      </c>
      <c r="E4244" s="52" t="s">
        <v>25</v>
      </c>
      <c r="F4244" s="52" t="s">
        <v>26</v>
      </c>
      <c r="G4244" s="53"/>
    </row>
    <row r="4245">
      <c r="A4245" s="49">
        <v>45065.33323631945</v>
      </c>
      <c r="B4245" s="50">
        <v>45065.4582123958</v>
      </c>
      <c r="C4245" s="51">
        <v>1.014</v>
      </c>
      <c r="D4245" s="51">
        <v>65.0</v>
      </c>
      <c r="E4245" s="52" t="s">
        <v>25</v>
      </c>
      <c r="F4245" s="52" t="s">
        <v>26</v>
      </c>
      <c r="G4245" s="53"/>
    </row>
    <row r="4246">
      <c r="A4246" s="49">
        <v>45065.34369084491</v>
      </c>
      <c r="B4246" s="50">
        <v>45065.4686693981</v>
      </c>
      <c r="C4246" s="51">
        <v>1.013</v>
      </c>
      <c r="D4246" s="51">
        <v>65.0</v>
      </c>
      <c r="E4246" s="52" t="s">
        <v>25</v>
      </c>
      <c r="F4246" s="52" t="s">
        <v>26</v>
      </c>
      <c r="G4246" s="53"/>
    </row>
    <row r="4247">
      <c r="A4247" s="49">
        <v>45065.35414778935</v>
      </c>
      <c r="B4247" s="50">
        <v>45065.4791145833</v>
      </c>
      <c r="C4247" s="51">
        <v>1.013</v>
      </c>
      <c r="D4247" s="51">
        <v>65.0</v>
      </c>
      <c r="E4247" s="52" t="s">
        <v>25</v>
      </c>
      <c r="F4247" s="52" t="s">
        <v>26</v>
      </c>
      <c r="G4247" s="53"/>
    </row>
    <row r="4248">
      <c r="A4248" s="49">
        <v>45065.36457391204</v>
      </c>
      <c r="B4248" s="50">
        <v>45065.4895477199</v>
      </c>
      <c r="C4248" s="51">
        <v>1.014</v>
      </c>
      <c r="D4248" s="51">
        <v>65.0</v>
      </c>
      <c r="E4248" s="52" t="s">
        <v>25</v>
      </c>
      <c r="F4248" s="52" t="s">
        <v>26</v>
      </c>
      <c r="G4248" s="53"/>
    </row>
    <row r="4249">
      <c r="A4249" s="49">
        <v>45065.37501429398</v>
      </c>
      <c r="B4249" s="50">
        <v>45065.4999922685</v>
      </c>
      <c r="C4249" s="51">
        <v>1.014</v>
      </c>
      <c r="D4249" s="51">
        <v>65.0</v>
      </c>
      <c r="E4249" s="52" t="s">
        <v>25</v>
      </c>
      <c r="F4249" s="52" t="s">
        <v>26</v>
      </c>
      <c r="G4249" s="53"/>
    </row>
    <row r="4250">
      <c r="A4250" s="49">
        <v>45065.38543385417</v>
      </c>
      <c r="B4250" s="50">
        <v>45065.5104135995</v>
      </c>
      <c r="C4250" s="51">
        <v>1.013</v>
      </c>
      <c r="D4250" s="51">
        <v>65.0</v>
      </c>
      <c r="E4250" s="52" t="s">
        <v>25</v>
      </c>
      <c r="F4250" s="52" t="s">
        <v>26</v>
      </c>
      <c r="G4250" s="53"/>
    </row>
    <row r="4251">
      <c r="A4251" s="49">
        <v>45065.39586765046</v>
      </c>
      <c r="B4251" s="50">
        <v>45065.5208344907</v>
      </c>
      <c r="C4251" s="51">
        <v>1.013</v>
      </c>
      <c r="D4251" s="51">
        <v>65.0</v>
      </c>
      <c r="E4251" s="52" t="s">
        <v>25</v>
      </c>
      <c r="F4251" s="52" t="s">
        <v>26</v>
      </c>
      <c r="G4251" s="53"/>
    </row>
    <row r="4252">
      <c r="A4252" s="49">
        <v>45065.40629421297</v>
      </c>
      <c r="B4252" s="50">
        <v>45065.5312656365</v>
      </c>
      <c r="C4252" s="51">
        <v>1.013</v>
      </c>
      <c r="D4252" s="51">
        <v>65.0</v>
      </c>
      <c r="E4252" s="52" t="s">
        <v>25</v>
      </c>
      <c r="F4252" s="52" t="s">
        <v>26</v>
      </c>
      <c r="G4252" s="53"/>
    </row>
    <row r="4253">
      <c r="A4253" s="49">
        <v>45065.41671310185</v>
      </c>
      <c r="B4253" s="50">
        <v>45065.5416870717</v>
      </c>
      <c r="C4253" s="51">
        <v>1.013</v>
      </c>
      <c r="D4253" s="51">
        <v>65.0</v>
      </c>
      <c r="E4253" s="52" t="s">
        <v>25</v>
      </c>
      <c r="F4253" s="52" t="s">
        <v>26</v>
      </c>
      <c r="G4253" s="53"/>
    </row>
    <row r="4254">
      <c r="A4254" s="49">
        <v>45065.42716782408</v>
      </c>
      <c r="B4254" s="50">
        <v>45065.5521326851</v>
      </c>
      <c r="C4254" s="51">
        <v>1.013</v>
      </c>
      <c r="D4254" s="51">
        <v>65.0</v>
      </c>
      <c r="E4254" s="52" t="s">
        <v>25</v>
      </c>
      <c r="F4254" s="52" t="s">
        <v>26</v>
      </c>
      <c r="G4254" s="53"/>
    </row>
    <row r="4255">
      <c r="A4255" s="49">
        <v>45065.43758534722</v>
      </c>
      <c r="B4255" s="50">
        <v>45065.5625653819</v>
      </c>
      <c r="C4255" s="51">
        <v>1.013</v>
      </c>
      <c r="D4255" s="51">
        <v>65.0</v>
      </c>
      <c r="E4255" s="52" t="s">
        <v>25</v>
      </c>
      <c r="F4255" s="52" t="s">
        <v>26</v>
      </c>
      <c r="G4255" s="53"/>
    </row>
    <row r="4256">
      <c r="A4256" s="49">
        <v>45065.44801965277</v>
      </c>
      <c r="B4256" s="50">
        <v>45065.5729866666</v>
      </c>
      <c r="C4256" s="51">
        <v>1.013</v>
      </c>
      <c r="D4256" s="51">
        <v>65.0</v>
      </c>
      <c r="E4256" s="52" t="s">
        <v>25</v>
      </c>
      <c r="F4256" s="52" t="s">
        <v>26</v>
      </c>
      <c r="G4256" s="53"/>
    </row>
    <row r="4257">
      <c r="A4257" s="49">
        <v>45065.458450844904</v>
      </c>
      <c r="B4257" s="50">
        <v>45065.5834200231</v>
      </c>
      <c r="C4257" s="51">
        <v>1.013</v>
      </c>
      <c r="D4257" s="51">
        <v>65.0</v>
      </c>
      <c r="E4257" s="52" t="s">
        <v>25</v>
      </c>
      <c r="F4257" s="52" t="s">
        <v>26</v>
      </c>
      <c r="G4257" s="53"/>
    </row>
    <row r="4258">
      <c r="A4258" s="49">
        <v>45065.46888167824</v>
      </c>
      <c r="B4258" s="50">
        <v>45065.5938529976</v>
      </c>
      <c r="C4258" s="51">
        <v>1.014</v>
      </c>
      <c r="D4258" s="51">
        <v>65.0</v>
      </c>
      <c r="E4258" s="52" t="s">
        <v>25</v>
      </c>
      <c r="F4258" s="52" t="s">
        <v>26</v>
      </c>
      <c r="G4258" s="53"/>
    </row>
    <row r="4259">
      <c r="A4259" s="49">
        <v>45065.47930131944</v>
      </c>
      <c r="B4259" s="50">
        <v>45065.6042742476</v>
      </c>
      <c r="C4259" s="51">
        <v>1.013</v>
      </c>
      <c r="D4259" s="51">
        <v>65.0</v>
      </c>
      <c r="E4259" s="52" t="s">
        <v>25</v>
      </c>
      <c r="F4259" s="52" t="s">
        <v>26</v>
      </c>
      <c r="G4259" s="53"/>
    </row>
    <row r="4260">
      <c r="A4260" s="49">
        <v>45065.48980040509</v>
      </c>
      <c r="B4260" s="50">
        <v>45065.6147747453</v>
      </c>
      <c r="C4260" s="51">
        <v>1.013</v>
      </c>
      <c r="D4260" s="51">
        <v>65.0</v>
      </c>
      <c r="E4260" s="52" t="s">
        <v>25</v>
      </c>
      <c r="F4260" s="52" t="s">
        <v>26</v>
      </c>
      <c r="G4260" s="53"/>
    </row>
    <row r="4261">
      <c r="A4261" s="49">
        <v>45065.50024878472</v>
      </c>
      <c r="B4261" s="50">
        <v>45065.6252181018</v>
      </c>
      <c r="C4261" s="51">
        <v>1.013</v>
      </c>
      <c r="D4261" s="51">
        <v>65.0</v>
      </c>
      <c r="E4261" s="52" t="s">
        <v>25</v>
      </c>
      <c r="F4261" s="52" t="s">
        <v>26</v>
      </c>
      <c r="G4261" s="53"/>
    </row>
    <row r="4262">
      <c r="A4262" s="49">
        <v>45065.51067056713</v>
      </c>
      <c r="B4262" s="50">
        <v>45065.6356494328</v>
      </c>
      <c r="C4262" s="51">
        <v>1.014</v>
      </c>
      <c r="D4262" s="51">
        <v>65.0</v>
      </c>
      <c r="E4262" s="52" t="s">
        <v>25</v>
      </c>
      <c r="F4262" s="52" t="s">
        <v>26</v>
      </c>
      <c r="G4262" s="53"/>
    </row>
    <row r="4263">
      <c r="A4263" s="49">
        <v>45065.52109256944</v>
      </c>
      <c r="B4263" s="50">
        <v>45065.6460710069</v>
      </c>
      <c r="C4263" s="51">
        <v>1.013</v>
      </c>
      <c r="D4263" s="51">
        <v>65.0</v>
      </c>
      <c r="E4263" s="52" t="s">
        <v>25</v>
      </c>
      <c r="F4263" s="52" t="s">
        <v>26</v>
      </c>
      <c r="G4263" s="53"/>
    </row>
    <row r="4264">
      <c r="A4264" s="49">
        <v>45065.531511967594</v>
      </c>
      <c r="B4264" s="50">
        <v>45065.6564915277</v>
      </c>
      <c r="C4264" s="51">
        <v>1.013</v>
      </c>
      <c r="D4264" s="51">
        <v>65.0</v>
      </c>
      <c r="E4264" s="52" t="s">
        <v>25</v>
      </c>
      <c r="F4264" s="52" t="s">
        <v>26</v>
      </c>
      <c r="G4264" s="53"/>
    </row>
    <row r="4265">
      <c r="A4265" s="49">
        <v>45065.54195436343</v>
      </c>
      <c r="B4265" s="50">
        <v>45065.6669237847</v>
      </c>
      <c r="C4265" s="51">
        <v>1.013</v>
      </c>
      <c r="D4265" s="51">
        <v>65.0</v>
      </c>
      <c r="E4265" s="52" t="s">
        <v>25</v>
      </c>
      <c r="F4265" s="52" t="s">
        <v>26</v>
      </c>
      <c r="G4265" s="53"/>
    </row>
    <row r="4266">
      <c r="A4266" s="49">
        <v>45065.55237878472</v>
      </c>
      <c r="B4266" s="50">
        <v>45065.6773440046</v>
      </c>
      <c r="C4266" s="51">
        <v>1.013</v>
      </c>
      <c r="D4266" s="51">
        <v>65.0</v>
      </c>
      <c r="E4266" s="52" t="s">
        <v>25</v>
      </c>
      <c r="F4266" s="52" t="s">
        <v>26</v>
      </c>
      <c r="G4266" s="53"/>
    </row>
    <row r="4267">
      <c r="A4267" s="49">
        <v>45065.562790625</v>
      </c>
      <c r="B4267" s="50">
        <v>45065.6877639699</v>
      </c>
      <c r="C4267" s="51">
        <v>1.013</v>
      </c>
      <c r="D4267" s="51">
        <v>65.0</v>
      </c>
      <c r="E4267" s="52" t="s">
        <v>25</v>
      </c>
      <c r="F4267" s="52" t="s">
        <v>26</v>
      </c>
      <c r="G4267" s="53"/>
    </row>
    <row r="4268">
      <c r="A4268" s="49">
        <v>45065.57322697916</v>
      </c>
      <c r="B4268" s="50">
        <v>45065.6981970717</v>
      </c>
      <c r="C4268" s="51">
        <v>1.013</v>
      </c>
      <c r="D4268" s="51">
        <v>65.0</v>
      </c>
      <c r="E4268" s="52" t="s">
        <v>25</v>
      </c>
      <c r="F4268" s="52" t="s">
        <v>26</v>
      </c>
      <c r="G4268" s="53"/>
    </row>
    <row r="4269">
      <c r="A4269" s="49">
        <v>45065.583674699075</v>
      </c>
      <c r="B4269" s="50">
        <v>45065.7086537847</v>
      </c>
      <c r="C4269" s="51">
        <v>1.013</v>
      </c>
      <c r="D4269" s="51">
        <v>65.0</v>
      </c>
      <c r="E4269" s="52" t="s">
        <v>25</v>
      </c>
      <c r="F4269" s="52" t="s">
        <v>26</v>
      </c>
      <c r="G4269" s="53"/>
    </row>
    <row r="4270">
      <c r="A4270" s="49">
        <v>45065.59410740741</v>
      </c>
      <c r="B4270" s="50">
        <v>45065.7190751273</v>
      </c>
      <c r="C4270" s="51">
        <v>1.014</v>
      </c>
      <c r="D4270" s="51">
        <v>65.0</v>
      </c>
      <c r="E4270" s="52" t="s">
        <v>25</v>
      </c>
      <c r="F4270" s="52" t="s">
        <v>26</v>
      </c>
      <c r="G4270" s="53"/>
    </row>
    <row r="4271">
      <c r="A4271" s="49">
        <v>45065.60453592593</v>
      </c>
      <c r="B4271" s="50">
        <v>45065.7295086342</v>
      </c>
      <c r="C4271" s="51">
        <v>1.013</v>
      </c>
      <c r="D4271" s="51">
        <v>65.0</v>
      </c>
      <c r="E4271" s="52" t="s">
        <v>25</v>
      </c>
      <c r="F4271" s="52" t="s">
        <v>26</v>
      </c>
      <c r="G4271" s="53"/>
    </row>
    <row r="4272">
      <c r="A4272" s="49">
        <v>45065.61495560185</v>
      </c>
      <c r="B4272" s="50">
        <v>45065.7399288888</v>
      </c>
      <c r="C4272" s="51">
        <v>1.013</v>
      </c>
      <c r="D4272" s="51">
        <v>65.0</v>
      </c>
      <c r="E4272" s="52" t="s">
        <v>25</v>
      </c>
      <c r="F4272" s="52" t="s">
        <v>26</v>
      </c>
      <c r="G4272" s="53"/>
    </row>
    <row r="4273">
      <c r="A4273" s="49">
        <v>45065.62537392361</v>
      </c>
      <c r="B4273" s="50">
        <v>45065.7503492708</v>
      </c>
      <c r="C4273" s="51">
        <v>1.013</v>
      </c>
      <c r="D4273" s="51">
        <v>65.0</v>
      </c>
      <c r="E4273" s="52" t="s">
        <v>25</v>
      </c>
      <c r="F4273" s="52" t="s">
        <v>26</v>
      </c>
      <c r="G4273" s="53"/>
    </row>
    <row r="4274">
      <c r="A4274" s="49">
        <v>45065.635808182866</v>
      </c>
      <c r="B4274" s="50">
        <v>45065.7607807407</v>
      </c>
      <c r="C4274" s="51">
        <v>1.013</v>
      </c>
      <c r="D4274" s="51">
        <v>65.0</v>
      </c>
      <c r="E4274" s="52" t="s">
        <v>25</v>
      </c>
      <c r="F4274" s="52" t="s">
        <v>26</v>
      </c>
      <c r="G4274" s="53"/>
    </row>
    <row r="4275">
      <c r="A4275" s="49">
        <v>45065.64622299769</v>
      </c>
      <c r="B4275" s="50">
        <v>45065.7712012731</v>
      </c>
      <c r="C4275" s="51">
        <v>1.013</v>
      </c>
      <c r="D4275" s="51">
        <v>65.0</v>
      </c>
      <c r="E4275" s="52" t="s">
        <v>25</v>
      </c>
      <c r="F4275" s="52" t="s">
        <v>26</v>
      </c>
      <c r="G4275" s="53"/>
    </row>
    <row r="4276">
      <c r="A4276" s="49">
        <v>45065.656671296296</v>
      </c>
      <c r="B4276" s="50">
        <v>45065.7816465046</v>
      </c>
      <c r="C4276" s="51">
        <v>1.013</v>
      </c>
      <c r="D4276" s="51">
        <v>65.0</v>
      </c>
      <c r="E4276" s="52" t="s">
        <v>25</v>
      </c>
      <c r="F4276" s="52" t="s">
        <v>26</v>
      </c>
      <c r="G4276" s="53"/>
    </row>
    <row r="4277">
      <c r="A4277" s="49">
        <v>45065.66709574074</v>
      </c>
      <c r="B4277" s="50">
        <v>45065.7920685879</v>
      </c>
      <c r="C4277" s="51">
        <v>1.013</v>
      </c>
      <c r="D4277" s="51">
        <v>65.0</v>
      </c>
      <c r="E4277" s="52" t="s">
        <v>25</v>
      </c>
      <c r="F4277" s="52" t="s">
        <v>26</v>
      </c>
      <c r="G4277" s="53"/>
    </row>
    <row r="4278">
      <c r="A4278" s="49">
        <v>45065.67751247685</v>
      </c>
      <c r="B4278" s="50">
        <v>45065.8024912037</v>
      </c>
      <c r="C4278" s="51">
        <v>1.013</v>
      </c>
      <c r="D4278" s="51">
        <v>65.0</v>
      </c>
      <c r="E4278" s="52" t="s">
        <v>25</v>
      </c>
      <c r="F4278" s="52" t="s">
        <v>26</v>
      </c>
      <c r="G4278" s="53"/>
    </row>
    <row r="4279">
      <c r="A4279" s="49">
        <v>45065.687962372685</v>
      </c>
      <c r="B4279" s="50">
        <v>45065.8129371064</v>
      </c>
      <c r="C4279" s="51">
        <v>1.013</v>
      </c>
      <c r="D4279" s="51">
        <v>65.0</v>
      </c>
      <c r="E4279" s="52" t="s">
        <v>25</v>
      </c>
      <c r="F4279" s="52" t="s">
        <v>26</v>
      </c>
      <c r="G4279" s="53"/>
    </row>
    <row r="4280">
      <c r="A4280" s="49">
        <v>45065.698382835646</v>
      </c>
      <c r="B4280" s="50">
        <v>45065.8233581944</v>
      </c>
      <c r="C4280" s="51">
        <v>1.013</v>
      </c>
      <c r="D4280" s="51">
        <v>65.0</v>
      </c>
      <c r="E4280" s="52" t="s">
        <v>25</v>
      </c>
      <c r="F4280" s="52" t="s">
        <v>26</v>
      </c>
      <c r="G4280" s="53"/>
    </row>
    <row r="4281">
      <c r="A4281" s="49">
        <v>45065.708819374995</v>
      </c>
      <c r="B4281" s="50">
        <v>45065.8337917824</v>
      </c>
      <c r="C4281" s="51">
        <v>1.013</v>
      </c>
      <c r="D4281" s="51">
        <v>65.0</v>
      </c>
      <c r="E4281" s="52" t="s">
        <v>25</v>
      </c>
      <c r="F4281" s="52" t="s">
        <v>26</v>
      </c>
      <c r="G4281" s="53"/>
    </row>
    <row r="4282">
      <c r="A4282" s="49">
        <v>45065.71923869213</v>
      </c>
      <c r="B4282" s="50">
        <v>45065.8442124768</v>
      </c>
      <c r="C4282" s="51">
        <v>1.013</v>
      </c>
      <c r="D4282" s="51">
        <v>65.0</v>
      </c>
      <c r="E4282" s="52" t="s">
        <v>25</v>
      </c>
      <c r="F4282" s="52" t="s">
        <v>26</v>
      </c>
      <c r="G4282" s="53"/>
    </row>
    <row r="4283">
      <c r="A4283" s="49">
        <v>45065.729660902776</v>
      </c>
      <c r="B4283" s="50">
        <v>45065.8546343171</v>
      </c>
      <c r="C4283" s="51">
        <v>1.013</v>
      </c>
      <c r="D4283" s="51">
        <v>65.0</v>
      </c>
      <c r="E4283" s="52" t="s">
        <v>25</v>
      </c>
      <c r="F4283" s="52" t="s">
        <v>26</v>
      </c>
      <c r="G4283" s="53"/>
    </row>
    <row r="4284">
      <c r="A4284" s="49">
        <v>45065.74007798611</v>
      </c>
      <c r="B4284" s="50">
        <v>45065.8650541087</v>
      </c>
      <c r="C4284" s="51">
        <v>1.013</v>
      </c>
      <c r="D4284" s="51">
        <v>65.0</v>
      </c>
      <c r="E4284" s="52" t="s">
        <v>25</v>
      </c>
      <c r="F4284" s="52" t="s">
        <v>26</v>
      </c>
      <c r="G4284" s="53"/>
    </row>
    <row r="4285">
      <c r="A4285" s="49">
        <v>45065.75050248843</v>
      </c>
      <c r="B4285" s="50">
        <v>45065.8754746875</v>
      </c>
      <c r="C4285" s="51">
        <v>1.013</v>
      </c>
      <c r="D4285" s="51">
        <v>65.0</v>
      </c>
      <c r="E4285" s="52" t="s">
        <v>25</v>
      </c>
      <c r="F4285" s="52" t="s">
        <v>26</v>
      </c>
      <c r="G4285" s="53"/>
    </row>
    <row r="4286">
      <c r="A4286" s="49">
        <v>45065.760925486116</v>
      </c>
      <c r="B4286" s="50">
        <v>45065.8858954629</v>
      </c>
      <c r="C4286" s="51">
        <v>1.013</v>
      </c>
      <c r="D4286" s="51">
        <v>65.0</v>
      </c>
      <c r="E4286" s="52" t="s">
        <v>25</v>
      </c>
      <c r="F4286" s="52" t="s">
        <v>26</v>
      </c>
      <c r="G4286" s="53"/>
    </row>
    <row r="4287">
      <c r="A4287" s="49">
        <v>45065.771368553236</v>
      </c>
      <c r="B4287" s="50">
        <v>45065.8963510879</v>
      </c>
      <c r="C4287" s="51">
        <v>1.013</v>
      </c>
      <c r="D4287" s="51">
        <v>65.0</v>
      </c>
      <c r="E4287" s="52" t="s">
        <v>25</v>
      </c>
      <c r="F4287" s="52" t="s">
        <v>26</v>
      </c>
      <c r="G4287" s="53"/>
    </row>
    <row r="4288">
      <c r="A4288" s="49">
        <v>45065.781793622686</v>
      </c>
      <c r="B4288" s="50">
        <v>45065.9067719907</v>
      </c>
      <c r="C4288" s="51">
        <v>1.013</v>
      </c>
      <c r="D4288" s="51">
        <v>65.0</v>
      </c>
      <c r="E4288" s="52" t="s">
        <v>25</v>
      </c>
      <c r="F4288" s="52" t="s">
        <v>26</v>
      </c>
      <c r="G4288" s="53"/>
    </row>
    <row r="4289">
      <c r="A4289" s="49">
        <v>45065.792218449074</v>
      </c>
      <c r="B4289" s="50">
        <v>45065.9171926157</v>
      </c>
      <c r="C4289" s="51">
        <v>1.013</v>
      </c>
      <c r="D4289" s="51">
        <v>65.0</v>
      </c>
      <c r="E4289" s="52" t="s">
        <v>25</v>
      </c>
      <c r="F4289" s="52" t="s">
        <v>26</v>
      </c>
      <c r="G4289" s="53"/>
    </row>
    <row r="4290">
      <c r="A4290" s="49">
        <v>45065.80262903935</v>
      </c>
      <c r="B4290" s="50">
        <v>45065.9276136574</v>
      </c>
      <c r="C4290" s="51">
        <v>1.013</v>
      </c>
      <c r="D4290" s="51">
        <v>65.0</v>
      </c>
      <c r="E4290" s="52" t="s">
        <v>25</v>
      </c>
      <c r="F4290" s="52" t="s">
        <v>26</v>
      </c>
      <c r="G4290" s="53"/>
    </row>
    <row r="4291">
      <c r="A4291" s="49">
        <v>45065.813063344904</v>
      </c>
      <c r="B4291" s="50">
        <v>45065.938036331</v>
      </c>
      <c r="C4291" s="51">
        <v>1.013</v>
      </c>
      <c r="D4291" s="51">
        <v>65.0</v>
      </c>
      <c r="E4291" s="52" t="s">
        <v>25</v>
      </c>
      <c r="F4291" s="52" t="s">
        <v>26</v>
      </c>
      <c r="G4291" s="53"/>
    </row>
    <row r="4292">
      <c r="A4292" s="49">
        <v>45065.82348417824</v>
      </c>
      <c r="B4292" s="50">
        <v>45065.9484584606</v>
      </c>
      <c r="C4292" s="51">
        <v>1.013</v>
      </c>
      <c r="D4292" s="51">
        <v>65.0</v>
      </c>
      <c r="E4292" s="52" t="s">
        <v>25</v>
      </c>
      <c r="F4292" s="52" t="s">
        <v>26</v>
      </c>
      <c r="G4292" s="53"/>
    </row>
    <row r="4293">
      <c r="A4293" s="49">
        <v>45065.833920081015</v>
      </c>
      <c r="B4293" s="50">
        <v>45065.9588907638</v>
      </c>
      <c r="C4293" s="51">
        <v>1.013</v>
      </c>
      <c r="D4293" s="51">
        <v>65.0</v>
      </c>
      <c r="E4293" s="52" t="s">
        <v>25</v>
      </c>
      <c r="F4293" s="52" t="s">
        <v>26</v>
      </c>
      <c r="G4293" s="53"/>
    </row>
    <row r="4294">
      <c r="A4294" s="49">
        <v>45065.84433460648</v>
      </c>
      <c r="B4294" s="50">
        <v>45065.9693119791</v>
      </c>
      <c r="C4294" s="51">
        <v>1.013</v>
      </c>
      <c r="D4294" s="51">
        <v>65.0</v>
      </c>
      <c r="E4294" s="52" t="s">
        <v>25</v>
      </c>
      <c r="F4294" s="52" t="s">
        <v>26</v>
      </c>
      <c r="G4294" s="53"/>
    </row>
    <row r="4295">
      <c r="A4295" s="49">
        <v>45065.854793101855</v>
      </c>
      <c r="B4295" s="50">
        <v>45065.9797682754</v>
      </c>
      <c r="C4295" s="51">
        <v>1.013</v>
      </c>
      <c r="D4295" s="51">
        <v>65.0</v>
      </c>
      <c r="E4295" s="52" t="s">
        <v>25</v>
      </c>
      <c r="F4295" s="52" t="s">
        <v>26</v>
      </c>
      <c r="G4295" s="53"/>
    </row>
    <row r="4296">
      <c r="A4296" s="49">
        <v>45065.86522474537</v>
      </c>
      <c r="B4296" s="50">
        <v>45065.9901990972</v>
      </c>
      <c r="C4296" s="51">
        <v>1.013</v>
      </c>
      <c r="D4296" s="51">
        <v>65.0</v>
      </c>
      <c r="E4296" s="52" t="s">
        <v>25</v>
      </c>
      <c r="F4296" s="52" t="s">
        <v>26</v>
      </c>
      <c r="G4296" s="53"/>
    </row>
    <row r="4297">
      <c r="A4297" s="49">
        <v>45065.8756394213</v>
      </c>
      <c r="B4297" s="50">
        <v>45066.0006203356</v>
      </c>
      <c r="C4297" s="51">
        <v>1.013</v>
      </c>
      <c r="D4297" s="51">
        <v>65.0</v>
      </c>
      <c r="E4297" s="52" t="s">
        <v>25</v>
      </c>
      <c r="F4297" s="52" t="s">
        <v>26</v>
      </c>
      <c r="G4297" s="53"/>
    </row>
    <row r="4298">
      <c r="A4298" s="49">
        <v>45065.886091493056</v>
      </c>
      <c r="B4298" s="50">
        <v>45066.0110651504</v>
      </c>
      <c r="C4298" s="51">
        <v>1.013</v>
      </c>
      <c r="D4298" s="51">
        <v>65.0</v>
      </c>
      <c r="E4298" s="52" t="s">
        <v>25</v>
      </c>
      <c r="F4298" s="52" t="s">
        <v>26</v>
      </c>
      <c r="G4298" s="53"/>
    </row>
    <row r="4299">
      <c r="A4299" s="49">
        <v>45065.89652704861</v>
      </c>
      <c r="B4299" s="50">
        <v>45066.0215003819</v>
      </c>
      <c r="C4299" s="51">
        <v>1.013</v>
      </c>
      <c r="D4299" s="51">
        <v>65.0</v>
      </c>
      <c r="E4299" s="52" t="s">
        <v>25</v>
      </c>
      <c r="F4299" s="52" t="s">
        <v>26</v>
      </c>
      <c r="G4299" s="53"/>
    </row>
    <row r="4300">
      <c r="A4300" s="49">
        <v>45065.9069746412</v>
      </c>
      <c r="B4300" s="50">
        <v>45066.0319429861</v>
      </c>
      <c r="C4300" s="51">
        <v>1.013</v>
      </c>
      <c r="D4300" s="51">
        <v>65.0</v>
      </c>
      <c r="E4300" s="52" t="s">
        <v>25</v>
      </c>
      <c r="F4300" s="52" t="s">
        <v>26</v>
      </c>
      <c r="G4300" s="53"/>
    </row>
    <row r="4301">
      <c r="A4301" s="49">
        <v>45065.917392766205</v>
      </c>
      <c r="B4301" s="50">
        <v>45066.042363206</v>
      </c>
      <c r="C4301" s="51">
        <v>1.013</v>
      </c>
      <c r="D4301" s="51">
        <v>65.0</v>
      </c>
      <c r="E4301" s="52" t="s">
        <v>25</v>
      </c>
      <c r="F4301" s="52" t="s">
        <v>26</v>
      </c>
      <c r="G4301" s="53"/>
    </row>
    <row r="4302">
      <c r="A4302" s="49">
        <v>45065.92781193287</v>
      </c>
      <c r="B4302" s="50">
        <v>45066.0527861226</v>
      </c>
      <c r="C4302" s="51">
        <v>1.013</v>
      </c>
      <c r="D4302" s="51">
        <v>65.0</v>
      </c>
      <c r="E4302" s="52" t="s">
        <v>25</v>
      </c>
      <c r="F4302" s="52" t="s">
        <v>26</v>
      </c>
      <c r="G4302" s="53"/>
    </row>
    <row r="4303">
      <c r="A4303" s="49">
        <v>45065.93823373843</v>
      </c>
      <c r="B4303" s="50">
        <v>45066.0632075115</v>
      </c>
      <c r="C4303" s="51">
        <v>1.013</v>
      </c>
      <c r="D4303" s="51">
        <v>65.0</v>
      </c>
      <c r="E4303" s="52" t="s">
        <v>25</v>
      </c>
      <c r="F4303" s="52" t="s">
        <v>26</v>
      </c>
      <c r="G4303" s="53"/>
    </row>
    <row r="4304">
      <c r="A4304" s="49">
        <v>45065.94865150463</v>
      </c>
      <c r="B4304" s="50">
        <v>45066.0736276041</v>
      </c>
      <c r="C4304" s="51">
        <v>1.013</v>
      </c>
      <c r="D4304" s="51">
        <v>65.0</v>
      </c>
      <c r="E4304" s="52" t="s">
        <v>25</v>
      </c>
      <c r="F4304" s="52" t="s">
        <v>26</v>
      </c>
      <c r="G4304" s="53"/>
    </row>
    <row r="4305">
      <c r="A4305" s="49">
        <v>45065.95908105324</v>
      </c>
      <c r="B4305" s="50">
        <v>45066.0840487268</v>
      </c>
      <c r="C4305" s="51">
        <v>1.013</v>
      </c>
      <c r="D4305" s="51">
        <v>65.0</v>
      </c>
      <c r="E4305" s="52" t="s">
        <v>25</v>
      </c>
      <c r="F4305" s="52" t="s">
        <v>26</v>
      </c>
      <c r="G4305" s="53"/>
    </row>
    <row r="4306">
      <c r="A4306" s="49">
        <v>45065.96949771991</v>
      </c>
      <c r="B4306" s="50">
        <v>45066.0944713425</v>
      </c>
      <c r="C4306" s="51">
        <v>1.013</v>
      </c>
      <c r="D4306" s="51">
        <v>65.0</v>
      </c>
      <c r="E4306" s="52" t="s">
        <v>25</v>
      </c>
      <c r="F4306" s="52" t="s">
        <v>26</v>
      </c>
      <c r="G4306" s="53"/>
    </row>
    <row r="4307">
      <c r="A4307" s="49">
        <v>45065.979944618055</v>
      </c>
      <c r="B4307" s="50">
        <v>45066.1049160416</v>
      </c>
      <c r="C4307" s="51">
        <v>1.013</v>
      </c>
      <c r="D4307" s="51">
        <v>65.0</v>
      </c>
      <c r="E4307" s="52" t="s">
        <v>25</v>
      </c>
      <c r="F4307" s="52" t="s">
        <v>26</v>
      </c>
      <c r="G4307" s="53"/>
    </row>
    <row r="4308">
      <c r="A4308" s="49">
        <v>45065.99039944445</v>
      </c>
      <c r="B4308" s="50">
        <v>45066.1153721527</v>
      </c>
      <c r="C4308" s="51">
        <v>1.013</v>
      </c>
      <c r="D4308" s="51">
        <v>65.0</v>
      </c>
      <c r="E4308" s="52" t="s">
        <v>25</v>
      </c>
      <c r="F4308" s="52" t="s">
        <v>26</v>
      </c>
      <c r="G4308" s="53"/>
    </row>
    <row r="4309">
      <c r="A4309" s="49">
        <v>45066.00081583334</v>
      </c>
      <c r="B4309" s="50">
        <v>45066.1257937152</v>
      </c>
      <c r="C4309" s="51">
        <v>1.013</v>
      </c>
      <c r="D4309" s="51">
        <v>65.0</v>
      </c>
      <c r="E4309" s="52" t="s">
        <v>25</v>
      </c>
      <c r="F4309" s="52" t="s">
        <v>26</v>
      </c>
      <c r="G4309" s="53"/>
    </row>
    <row r="4310">
      <c r="A4310" s="49">
        <v>45066.01126127315</v>
      </c>
      <c r="B4310" s="50">
        <v>45066.1362370949</v>
      </c>
      <c r="C4310" s="51">
        <v>1.013</v>
      </c>
      <c r="D4310" s="51">
        <v>65.0</v>
      </c>
      <c r="E4310" s="52" t="s">
        <v>25</v>
      </c>
      <c r="F4310" s="52" t="s">
        <v>26</v>
      </c>
      <c r="G4310" s="53"/>
    </row>
    <row r="4311">
      <c r="A4311" s="49">
        <v>45066.02168053241</v>
      </c>
      <c r="B4311" s="50">
        <v>45066.1466580092</v>
      </c>
      <c r="C4311" s="51">
        <v>1.013</v>
      </c>
      <c r="D4311" s="51">
        <v>65.0</v>
      </c>
      <c r="E4311" s="52" t="s">
        <v>25</v>
      </c>
      <c r="F4311" s="52" t="s">
        <v>26</v>
      </c>
      <c r="G4311" s="53"/>
    </row>
    <row r="4312">
      <c r="A4312" s="49">
        <v>45066.032107743056</v>
      </c>
      <c r="B4312" s="50">
        <v>45066.1570805208</v>
      </c>
      <c r="C4312" s="51">
        <v>1.013</v>
      </c>
      <c r="D4312" s="51">
        <v>65.0</v>
      </c>
      <c r="E4312" s="52" t="s">
        <v>25</v>
      </c>
      <c r="F4312" s="52" t="s">
        <v>26</v>
      </c>
      <c r="G4312" s="53"/>
    </row>
    <row r="4313">
      <c r="A4313" s="49">
        <v>45066.042572997685</v>
      </c>
      <c r="B4313" s="50">
        <v>45066.1675498611</v>
      </c>
      <c r="C4313" s="51">
        <v>1.013</v>
      </c>
      <c r="D4313" s="51">
        <v>65.0</v>
      </c>
      <c r="E4313" s="52" t="s">
        <v>25</v>
      </c>
      <c r="F4313" s="52" t="s">
        <v>26</v>
      </c>
      <c r="G4313" s="53"/>
    </row>
    <row r="4314">
      <c r="A4314" s="49">
        <v>45066.05299677083</v>
      </c>
      <c r="B4314" s="50">
        <v>45066.1779733796</v>
      </c>
      <c r="C4314" s="51">
        <v>1.013</v>
      </c>
      <c r="D4314" s="51">
        <v>65.0</v>
      </c>
      <c r="E4314" s="52" t="s">
        <v>25</v>
      </c>
      <c r="F4314" s="52" t="s">
        <v>26</v>
      </c>
      <c r="G4314" s="53"/>
    </row>
    <row r="4315">
      <c r="A4315" s="49">
        <v>45066.06342280093</v>
      </c>
      <c r="B4315" s="50">
        <v>45066.1883952777</v>
      </c>
      <c r="C4315" s="51">
        <v>1.013</v>
      </c>
      <c r="D4315" s="51">
        <v>65.0</v>
      </c>
      <c r="E4315" s="52" t="s">
        <v>25</v>
      </c>
      <c r="F4315" s="52" t="s">
        <v>26</v>
      </c>
      <c r="G4315" s="53"/>
    </row>
    <row r="4316">
      <c r="A4316" s="49">
        <v>45066.073852650465</v>
      </c>
      <c r="B4316" s="50">
        <v>45066.1988268402</v>
      </c>
      <c r="C4316" s="51">
        <v>1.013</v>
      </c>
      <c r="D4316" s="51">
        <v>65.0</v>
      </c>
      <c r="E4316" s="52" t="s">
        <v>25</v>
      </c>
      <c r="F4316" s="52" t="s">
        <v>26</v>
      </c>
      <c r="G4316" s="53"/>
    </row>
    <row r="4317">
      <c r="A4317" s="49">
        <v>45066.08427260417</v>
      </c>
      <c r="B4317" s="50">
        <v>45066.2092479861</v>
      </c>
      <c r="C4317" s="51">
        <v>1.013</v>
      </c>
      <c r="D4317" s="51">
        <v>65.0</v>
      </c>
      <c r="E4317" s="52" t="s">
        <v>25</v>
      </c>
      <c r="F4317" s="52" t="s">
        <v>26</v>
      </c>
      <c r="G4317" s="53"/>
    </row>
    <row r="4318">
      <c r="A4318" s="49">
        <v>45066.09469091435</v>
      </c>
      <c r="B4318" s="50">
        <v>45066.2196694328</v>
      </c>
      <c r="C4318" s="51">
        <v>1.013</v>
      </c>
      <c r="D4318" s="51">
        <v>65.0</v>
      </c>
      <c r="E4318" s="52" t="s">
        <v>25</v>
      </c>
      <c r="F4318" s="52" t="s">
        <v>26</v>
      </c>
      <c r="G4318" s="53"/>
    </row>
    <row r="4319">
      <c r="A4319" s="49">
        <v>45066.105111446755</v>
      </c>
      <c r="B4319" s="50">
        <v>45066.2300907291</v>
      </c>
      <c r="C4319" s="51">
        <v>1.013</v>
      </c>
      <c r="D4319" s="51">
        <v>65.0</v>
      </c>
      <c r="E4319" s="52" t="s">
        <v>25</v>
      </c>
      <c r="F4319" s="52" t="s">
        <v>26</v>
      </c>
      <c r="G4319" s="53"/>
    </row>
    <row r="4320">
      <c r="A4320" s="49">
        <v>45066.11553054398</v>
      </c>
      <c r="B4320" s="50">
        <v>45066.2405112963</v>
      </c>
      <c r="C4320" s="51">
        <v>1.013</v>
      </c>
      <c r="D4320" s="51">
        <v>65.0</v>
      </c>
      <c r="E4320" s="52" t="s">
        <v>25</v>
      </c>
      <c r="F4320" s="52" t="s">
        <v>26</v>
      </c>
      <c r="G4320" s="53"/>
    </row>
    <row r="4321">
      <c r="A4321" s="49">
        <v>45066.125954456016</v>
      </c>
      <c r="B4321" s="50">
        <v>45066.2509307407</v>
      </c>
      <c r="C4321" s="51">
        <v>1.013</v>
      </c>
      <c r="D4321" s="51">
        <v>65.0</v>
      </c>
      <c r="E4321" s="52" t="s">
        <v>25</v>
      </c>
      <c r="F4321" s="52" t="s">
        <v>26</v>
      </c>
      <c r="G4321" s="53"/>
    </row>
    <row r="4322">
      <c r="A4322" s="49">
        <v>45066.13637065972</v>
      </c>
      <c r="B4322" s="50">
        <v>45066.2613522222</v>
      </c>
      <c r="C4322" s="51">
        <v>1.013</v>
      </c>
      <c r="D4322" s="51">
        <v>65.0</v>
      </c>
      <c r="E4322" s="52" t="s">
        <v>25</v>
      </c>
      <c r="F4322" s="52" t="s">
        <v>26</v>
      </c>
      <c r="G4322" s="53"/>
    </row>
    <row r="4323">
      <c r="A4323" s="49">
        <v>45066.14689459491</v>
      </c>
      <c r="B4323" s="50">
        <v>45066.2718319444</v>
      </c>
      <c r="C4323" s="51">
        <v>1.013</v>
      </c>
      <c r="D4323" s="51">
        <v>65.0</v>
      </c>
      <c r="E4323" s="52" t="s">
        <v>25</v>
      </c>
      <c r="F4323" s="52" t="s">
        <v>26</v>
      </c>
      <c r="G4323" s="53"/>
    </row>
    <row r="4324">
      <c r="A4324" s="49">
        <v>45066.15732438657</v>
      </c>
      <c r="B4324" s="50">
        <v>45066.2822993287</v>
      </c>
      <c r="C4324" s="51">
        <v>1.013</v>
      </c>
      <c r="D4324" s="51">
        <v>65.0</v>
      </c>
      <c r="E4324" s="52" t="s">
        <v>25</v>
      </c>
      <c r="F4324" s="52" t="s">
        <v>26</v>
      </c>
      <c r="G4324" s="53"/>
    </row>
    <row r="4325">
      <c r="A4325" s="49">
        <v>45066.167771354165</v>
      </c>
      <c r="B4325" s="50">
        <v>45066.2927435879</v>
      </c>
      <c r="C4325" s="51">
        <v>1.013</v>
      </c>
      <c r="D4325" s="51">
        <v>65.0</v>
      </c>
      <c r="E4325" s="52" t="s">
        <v>25</v>
      </c>
      <c r="F4325" s="52" t="s">
        <v>26</v>
      </c>
      <c r="G4325" s="53"/>
    </row>
    <row r="4326">
      <c r="A4326" s="49">
        <v>45066.178189872684</v>
      </c>
      <c r="B4326" s="50">
        <v>45066.30316353</v>
      </c>
      <c r="C4326" s="51">
        <v>1.013</v>
      </c>
      <c r="D4326" s="51">
        <v>65.0</v>
      </c>
      <c r="E4326" s="52" t="s">
        <v>25</v>
      </c>
      <c r="F4326" s="52" t="s">
        <v>26</v>
      </c>
      <c r="G4326" s="53"/>
    </row>
    <row r="4327">
      <c r="A4327" s="49">
        <v>45066.18861135417</v>
      </c>
      <c r="B4327" s="50">
        <v>45066.3135855555</v>
      </c>
      <c r="C4327" s="51">
        <v>1.013</v>
      </c>
      <c r="D4327" s="51">
        <v>65.0</v>
      </c>
      <c r="E4327" s="52" t="s">
        <v>25</v>
      </c>
      <c r="F4327" s="52" t="s">
        <v>26</v>
      </c>
      <c r="G4327" s="53"/>
    </row>
    <row r="4328">
      <c r="A4328" s="49">
        <v>45066.19905685185</v>
      </c>
      <c r="B4328" s="50">
        <v>45066.3240302777</v>
      </c>
      <c r="C4328" s="51">
        <v>1.013</v>
      </c>
      <c r="D4328" s="51">
        <v>65.0</v>
      </c>
      <c r="E4328" s="52" t="s">
        <v>25</v>
      </c>
      <c r="F4328" s="52" t="s">
        <v>26</v>
      </c>
      <c r="G4328" s="53"/>
    </row>
    <row r="4329">
      <c r="A4329" s="49">
        <v>45066.20947741898</v>
      </c>
      <c r="B4329" s="50">
        <v>45066.3344505439</v>
      </c>
      <c r="C4329" s="51">
        <v>1.013</v>
      </c>
      <c r="D4329" s="51">
        <v>65.0</v>
      </c>
      <c r="E4329" s="52" t="s">
        <v>25</v>
      </c>
      <c r="F4329" s="52" t="s">
        <v>26</v>
      </c>
      <c r="G4329" s="53"/>
    </row>
    <row r="4330">
      <c r="A4330" s="49">
        <v>45066.219909293985</v>
      </c>
      <c r="B4330" s="50">
        <v>45066.3448850231</v>
      </c>
      <c r="C4330" s="51">
        <v>1.013</v>
      </c>
      <c r="D4330" s="51">
        <v>65.0</v>
      </c>
      <c r="E4330" s="52" t="s">
        <v>25</v>
      </c>
      <c r="F4330" s="52" t="s">
        <v>26</v>
      </c>
      <c r="G4330" s="53"/>
    </row>
    <row r="4331">
      <c r="A4331" s="49">
        <v>45066.230337615736</v>
      </c>
      <c r="B4331" s="50">
        <v>45066.3553056018</v>
      </c>
      <c r="C4331" s="51">
        <v>1.013</v>
      </c>
      <c r="D4331" s="51">
        <v>65.0</v>
      </c>
      <c r="E4331" s="52" t="s">
        <v>25</v>
      </c>
      <c r="F4331" s="52" t="s">
        <v>26</v>
      </c>
      <c r="G4331" s="53"/>
    </row>
    <row r="4332">
      <c r="A4332" s="49">
        <v>45066.24076503472</v>
      </c>
      <c r="B4332" s="50">
        <v>45066.3657363425</v>
      </c>
      <c r="C4332" s="51">
        <v>1.013</v>
      </c>
      <c r="D4332" s="51">
        <v>65.0</v>
      </c>
      <c r="E4332" s="52" t="s">
        <v>25</v>
      </c>
      <c r="F4332" s="52" t="s">
        <v>26</v>
      </c>
      <c r="G4332" s="53"/>
    </row>
    <row r="4333">
      <c r="A4333" s="49">
        <v>45066.25119606481</v>
      </c>
      <c r="B4333" s="50">
        <v>45066.3761689467</v>
      </c>
      <c r="C4333" s="51">
        <v>1.013</v>
      </c>
      <c r="D4333" s="51">
        <v>65.0</v>
      </c>
      <c r="E4333" s="52" t="s">
        <v>25</v>
      </c>
      <c r="F4333" s="52" t="s">
        <v>26</v>
      </c>
      <c r="G4333" s="53"/>
    </row>
    <row r="4334">
      <c r="A4334" s="49">
        <v>45066.26162121528</v>
      </c>
      <c r="B4334" s="50">
        <v>45066.3866013541</v>
      </c>
      <c r="C4334" s="51">
        <v>1.013</v>
      </c>
      <c r="D4334" s="51">
        <v>65.0</v>
      </c>
      <c r="E4334" s="52" t="s">
        <v>25</v>
      </c>
      <c r="F4334" s="52" t="s">
        <v>26</v>
      </c>
      <c r="G4334" s="53"/>
    </row>
    <row r="4335">
      <c r="A4335" s="49">
        <v>45066.27204862269</v>
      </c>
      <c r="B4335" s="50">
        <v>45066.3970230787</v>
      </c>
      <c r="C4335" s="51">
        <v>1.013</v>
      </c>
      <c r="D4335" s="51">
        <v>65.0</v>
      </c>
      <c r="E4335" s="52" t="s">
        <v>25</v>
      </c>
      <c r="F4335" s="52" t="s">
        <v>26</v>
      </c>
      <c r="G4335" s="53"/>
    </row>
    <row r="4336">
      <c r="A4336" s="49">
        <v>45066.28248142361</v>
      </c>
      <c r="B4336" s="50">
        <v>45066.4074554166</v>
      </c>
      <c r="C4336" s="51">
        <v>1.013</v>
      </c>
      <c r="D4336" s="51">
        <v>65.0</v>
      </c>
      <c r="E4336" s="52" t="s">
        <v>25</v>
      </c>
      <c r="F4336" s="52" t="s">
        <v>26</v>
      </c>
      <c r="G4336" s="53"/>
    </row>
    <row r="4337">
      <c r="A4337" s="49">
        <v>45066.29290803241</v>
      </c>
      <c r="B4337" s="50">
        <v>45066.4178882407</v>
      </c>
      <c r="C4337" s="51">
        <v>1.013</v>
      </c>
      <c r="D4337" s="51">
        <v>65.0</v>
      </c>
      <c r="E4337" s="52" t="s">
        <v>25</v>
      </c>
      <c r="F4337" s="52" t="s">
        <v>26</v>
      </c>
      <c r="G4337" s="53"/>
    </row>
    <row r="4338">
      <c r="A4338" s="49">
        <v>45066.30333361111</v>
      </c>
      <c r="B4338" s="50">
        <v>45066.4283092824</v>
      </c>
      <c r="C4338" s="51">
        <v>1.013</v>
      </c>
      <c r="D4338" s="51">
        <v>65.0</v>
      </c>
      <c r="E4338" s="52" t="s">
        <v>25</v>
      </c>
      <c r="F4338" s="52" t="s">
        <v>26</v>
      </c>
      <c r="G4338" s="53"/>
    </row>
    <row r="4339">
      <c r="A4339" s="49">
        <v>45066.313755613424</v>
      </c>
      <c r="B4339" s="50">
        <v>45066.4387293518</v>
      </c>
      <c r="C4339" s="51">
        <v>1.013</v>
      </c>
      <c r="D4339" s="51">
        <v>65.0</v>
      </c>
      <c r="E4339" s="52" t="s">
        <v>25</v>
      </c>
      <c r="F4339" s="52" t="s">
        <v>26</v>
      </c>
      <c r="G4339" s="53"/>
    </row>
    <row r="4340">
      <c r="A4340" s="49">
        <v>45066.324170057866</v>
      </c>
      <c r="B4340" s="50">
        <v>45066.4491486805</v>
      </c>
      <c r="C4340" s="51">
        <v>1.013</v>
      </c>
      <c r="D4340" s="51">
        <v>65.0</v>
      </c>
      <c r="E4340" s="52" t="s">
        <v>25</v>
      </c>
      <c r="F4340" s="52" t="s">
        <v>26</v>
      </c>
      <c r="G4340" s="53"/>
    </row>
    <row r="4341">
      <c r="A4341" s="49">
        <v>45066.33462940972</v>
      </c>
      <c r="B4341" s="50">
        <v>45066.4596044213</v>
      </c>
      <c r="C4341" s="51">
        <v>1.013</v>
      </c>
      <c r="D4341" s="51">
        <v>65.0</v>
      </c>
      <c r="E4341" s="52" t="s">
        <v>25</v>
      </c>
      <c r="F4341" s="52" t="s">
        <v>26</v>
      </c>
      <c r="G4341" s="53"/>
    </row>
    <row r="4342">
      <c r="A4342" s="49">
        <v>45066.34505962963</v>
      </c>
      <c r="B4342" s="50">
        <v>45066.4700354166</v>
      </c>
      <c r="C4342" s="51">
        <v>1.013</v>
      </c>
      <c r="D4342" s="51">
        <v>65.0</v>
      </c>
      <c r="E4342" s="52" t="s">
        <v>25</v>
      </c>
      <c r="F4342" s="52" t="s">
        <v>26</v>
      </c>
      <c r="G4342" s="53"/>
    </row>
    <row r="4343">
      <c r="A4343" s="49">
        <v>45066.355548935186</v>
      </c>
      <c r="B4343" s="50">
        <v>45066.4805265972</v>
      </c>
      <c r="C4343" s="51">
        <v>1.013</v>
      </c>
      <c r="D4343" s="51">
        <v>65.0</v>
      </c>
      <c r="E4343" s="52" t="s">
        <v>25</v>
      </c>
      <c r="F4343" s="52" t="s">
        <v>26</v>
      </c>
      <c r="G4343" s="53"/>
    </row>
    <row r="4344">
      <c r="A4344" s="49">
        <v>45066.36596560186</v>
      </c>
      <c r="B4344" s="50">
        <v>45066.4909465625</v>
      </c>
      <c r="C4344" s="51">
        <v>1.013</v>
      </c>
      <c r="D4344" s="51">
        <v>65.0</v>
      </c>
      <c r="E4344" s="52" t="s">
        <v>25</v>
      </c>
      <c r="F4344" s="52" t="s">
        <v>26</v>
      </c>
      <c r="G4344" s="53"/>
    </row>
    <row r="4345">
      <c r="A4345" s="49">
        <v>45066.376412743055</v>
      </c>
      <c r="B4345" s="50">
        <v>45066.5013915509</v>
      </c>
      <c r="C4345" s="51">
        <v>1.013</v>
      </c>
      <c r="D4345" s="51">
        <v>65.0</v>
      </c>
      <c r="E4345" s="52" t="s">
        <v>25</v>
      </c>
      <c r="F4345" s="52" t="s">
        <v>26</v>
      </c>
      <c r="G4345" s="53"/>
    </row>
    <row r="4346">
      <c r="A4346" s="49">
        <v>45066.38683870371</v>
      </c>
      <c r="B4346" s="50">
        <v>45066.5118113773</v>
      </c>
      <c r="C4346" s="51">
        <v>1.013</v>
      </c>
      <c r="D4346" s="51">
        <v>65.0</v>
      </c>
      <c r="E4346" s="52" t="s">
        <v>25</v>
      </c>
      <c r="F4346" s="52" t="s">
        <v>26</v>
      </c>
      <c r="G4346" s="53"/>
    </row>
    <row r="4347">
      <c r="A4347" s="49">
        <v>45066.39726409722</v>
      </c>
      <c r="B4347" s="50">
        <v>45066.5222324074</v>
      </c>
      <c r="C4347" s="51">
        <v>1.013</v>
      </c>
      <c r="D4347" s="51">
        <v>65.0</v>
      </c>
      <c r="E4347" s="52" t="s">
        <v>25</v>
      </c>
      <c r="F4347" s="52" t="s">
        <v>26</v>
      </c>
      <c r="G4347" s="53"/>
    </row>
    <row r="4348">
      <c r="A4348" s="49">
        <v>45066.40767810185</v>
      </c>
      <c r="B4348" s="50">
        <v>45066.5326539814</v>
      </c>
      <c r="C4348" s="51">
        <v>1.013</v>
      </c>
      <c r="D4348" s="51">
        <v>65.0</v>
      </c>
      <c r="E4348" s="52" t="s">
        <v>25</v>
      </c>
      <c r="F4348" s="52" t="s">
        <v>26</v>
      </c>
      <c r="G4348" s="53"/>
    </row>
    <row r="4349">
      <c r="A4349" s="49">
        <v>45066.41810256944</v>
      </c>
      <c r="B4349" s="50">
        <v>45066.5430735879</v>
      </c>
      <c r="C4349" s="51">
        <v>1.013</v>
      </c>
      <c r="D4349" s="51">
        <v>65.0</v>
      </c>
      <c r="E4349" s="52" t="s">
        <v>25</v>
      </c>
      <c r="F4349" s="52" t="s">
        <v>26</v>
      </c>
      <c r="G4349" s="53"/>
    </row>
    <row r="4350">
      <c r="A4350" s="49">
        <v>45066.42852724537</v>
      </c>
      <c r="B4350" s="50">
        <v>45066.5535071643</v>
      </c>
      <c r="C4350" s="51">
        <v>1.013</v>
      </c>
      <c r="D4350" s="51">
        <v>65.0</v>
      </c>
      <c r="E4350" s="52" t="s">
        <v>25</v>
      </c>
      <c r="F4350" s="52" t="s">
        <v>26</v>
      </c>
      <c r="G4350" s="53"/>
    </row>
    <row r="4351">
      <c r="A4351" s="49">
        <v>45066.43895239584</v>
      </c>
      <c r="B4351" s="50">
        <v>45066.5639282638</v>
      </c>
      <c r="C4351" s="51">
        <v>1.013</v>
      </c>
      <c r="D4351" s="51">
        <v>65.0</v>
      </c>
      <c r="E4351" s="52" t="s">
        <v>25</v>
      </c>
      <c r="F4351" s="52" t="s">
        <v>26</v>
      </c>
      <c r="G4351" s="53"/>
    </row>
    <row r="4352">
      <c r="A4352" s="49">
        <v>45066.44948840278</v>
      </c>
      <c r="B4352" s="50">
        <v>45066.5744652662</v>
      </c>
      <c r="C4352" s="51">
        <v>1.013</v>
      </c>
      <c r="D4352" s="51">
        <v>65.0</v>
      </c>
      <c r="E4352" s="52" t="s">
        <v>25</v>
      </c>
      <c r="F4352" s="52" t="s">
        <v>26</v>
      </c>
      <c r="G4352" s="53"/>
    </row>
    <row r="4353">
      <c r="A4353" s="49">
        <v>45066.45992516204</v>
      </c>
      <c r="B4353" s="50">
        <v>45066.5848986458</v>
      </c>
      <c r="C4353" s="51">
        <v>1.013</v>
      </c>
      <c r="D4353" s="51">
        <v>65.0</v>
      </c>
      <c r="E4353" s="52" t="s">
        <v>25</v>
      </c>
      <c r="F4353" s="52" t="s">
        <v>26</v>
      </c>
      <c r="G4353" s="53"/>
    </row>
    <row r="4354">
      <c r="A4354" s="49">
        <v>45066.47034005787</v>
      </c>
      <c r="B4354" s="50">
        <v>45066.5953174652</v>
      </c>
      <c r="C4354" s="51">
        <v>1.013</v>
      </c>
      <c r="D4354" s="51">
        <v>65.0</v>
      </c>
      <c r="E4354" s="52" t="s">
        <v>25</v>
      </c>
      <c r="F4354" s="52" t="s">
        <v>26</v>
      </c>
      <c r="G4354" s="53"/>
    </row>
    <row r="4355">
      <c r="A4355" s="49">
        <v>45066.480774270836</v>
      </c>
      <c r="B4355" s="50">
        <v>45066.6057507638</v>
      </c>
      <c r="C4355" s="51">
        <v>1.013</v>
      </c>
      <c r="D4355" s="51">
        <v>65.0</v>
      </c>
      <c r="E4355" s="52" t="s">
        <v>25</v>
      </c>
      <c r="F4355" s="52" t="s">
        <v>26</v>
      </c>
      <c r="G4355" s="53"/>
    </row>
    <row r="4356">
      <c r="A4356" s="49">
        <v>45066.49120512731</v>
      </c>
      <c r="B4356" s="50">
        <v>45066.6161815162</v>
      </c>
      <c r="C4356" s="51">
        <v>1.013</v>
      </c>
      <c r="D4356" s="51">
        <v>65.0</v>
      </c>
      <c r="E4356" s="52" t="s">
        <v>25</v>
      </c>
      <c r="F4356" s="52" t="s">
        <v>26</v>
      </c>
      <c r="G4356" s="53"/>
    </row>
    <row r="4357">
      <c r="A4357" s="49">
        <v>45066.501640092596</v>
      </c>
      <c r="B4357" s="50">
        <v>45066.6266127777</v>
      </c>
      <c r="C4357" s="51">
        <v>1.013</v>
      </c>
      <c r="D4357" s="51">
        <v>65.0</v>
      </c>
      <c r="E4357" s="52" t="s">
        <v>25</v>
      </c>
      <c r="F4357" s="52" t="s">
        <v>26</v>
      </c>
      <c r="G4357" s="53"/>
    </row>
    <row r="4358">
      <c r="A4358" s="49">
        <v>45066.51205914352</v>
      </c>
      <c r="B4358" s="50">
        <v>45066.6370348032</v>
      </c>
      <c r="C4358" s="51">
        <v>1.013</v>
      </c>
      <c r="D4358" s="51">
        <v>65.0</v>
      </c>
      <c r="E4358" s="52" t="s">
        <v>25</v>
      </c>
      <c r="F4358" s="52" t="s">
        <v>26</v>
      </c>
      <c r="G4358" s="53"/>
    </row>
    <row r="4359">
      <c r="A4359" s="49">
        <v>45066.52248300926</v>
      </c>
      <c r="B4359" s="50">
        <v>45066.6474540856</v>
      </c>
      <c r="C4359" s="51">
        <v>1.013</v>
      </c>
      <c r="D4359" s="51">
        <v>65.0</v>
      </c>
      <c r="E4359" s="52" t="s">
        <v>25</v>
      </c>
      <c r="F4359" s="52" t="s">
        <v>26</v>
      </c>
      <c r="G4359" s="53"/>
    </row>
    <row r="4360">
      <c r="A4360" s="49">
        <v>45066.53289822917</v>
      </c>
      <c r="B4360" s="50">
        <v>45066.6578752314</v>
      </c>
      <c r="C4360" s="51">
        <v>1.013</v>
      </c>
      <c r="D4360" s="51">
        <v>65.0</v>
      </c>
      <c r="E4360" s="52" t="s">
        <v>25</v>
      </c>
      <c r="F4360" s="52" t="s">
        <v>26</v>
      </c>
      <c r="G4360" s="53"/>
    </row>
    <row r="4361">
      <c r="A4361" s="49">
        <v>45066.54333163194</v>
      </c>
      <c r="B4361" s="50">
        <v>45066.6683093865</v>
      </c>
      <c r="C4361" s="51">
        <v>1.013</v>
      </c>
      <c r="D4361" s="51">
        <v>65.0</v>
      </c>
      <c r="E4361" s="52" t="s">
        <v>25</v>
      </c>
      <c r="F4361" s="52" t="s">
        <v>26</v>
      </c>
      <c r="G4361" s="53"/>
    </row>
    <row r="4362">
      <c r="A4362" s="49">
        <v>45066.55374765046</v>
      </c>
      <c r="B4362" s="50">
        <v>45066.678730162</v>
      </c>
      <c r="C4362" s="51">
        <v>1.013</v>
      </c>
      <c r="D4362" s="51">
        <v>65.0</v>
      </c>
      <c r="E4362" s="52" t="s">
        <v>25</v>
      </c>
      <c r="F4362" s="52" t="s">
        <v>26</v>
      </c>
      <c r="G4362" s="53"/>
    </row>
    <row r="4363">
      <c r="A4363" s="49">
        <v>45066.56417028935</v>
      </c>
      <c r="B4363" s="50">
        <v>45066.6891519097</v>
      </c>
      <c r="C4363" s="51">
        <v>1.013</v>
      </c>
      <c r="D4363" s="51">
        <v>65.0</v>
      </c>
      <c r="E4363" s="52" t="s">
        <v>25</v>
      </c>
      <c r="F4363" s="52" t="s">
        <v>26</v>
      </c>
      <c r="G4363" s="53"/>
    </row>
    <row r="4364">
      <c r="A4364" s="49">
        <v>45066.574590833334</v>
      </c>
      <c r="B4364" s="50">
        <v>45066.6995720717</v>
      </c>
      <c r="C4364" s="51">
        <v>1.013</v>
      </c>
      <c r="D4364" s="51">
        <v>65.0</v>
      </c>
      <c r="E4364" s="52" t="s">
        <v>25</v>
      </c>
      <c r="F4364" s="52" t="s">
        <v>26</v>
      </c>
      <c r="G4364" s="53"/>
    </row>
    <row r="4365">
      <c r="A4365" s="49">
        <v>45066.58504295139</v>
      </c>
      <c r="B4365" s="50">
        <v>45066.7100172685</v>
      </c>
      <c r="C4365" s="51">
        <v>1.013</v>
      </c>
      <c r="D4365" s="51">
        <v>65.0</v>
      </c>
      <c r="E4365" s="52" t="s">
        <v>25</v>
      </c>
      <c r="F4365" s="52" t="s">
        <v>26</v>
      </c>
      <c r="G4365" s="53"/>
    </row>
    <row r="4366">
      <c r="A4366" s="49">
        <v>45066.5954928125</v>
      </c>
      <c r="B4366" s="50">
        <v>45066.7204629976</v>
      </c>
      <c r="C4366" s="51">
        <v>1.013</v>
      </c>
      <c r="D4366" s="51">
        <v>65.0</v>
      </c>
      <c r="E4366" s="52" t="s">
        <v>25</v>
      </c>
      <c r="F4366" s="52" t="s">
        <v>26</v>
      </c>
      <c r="G4366" s="53"/>
    </row>
    <row r="4367">
      <c r="A4367" s="49">
        <v>45066.605915057866</v>
      </c>
      <c r="B4367" s="50">
        <v>45066.7308857754</v>
      </c>
      <c r="C4367" s="51">
        <v>1.013</v>
      </c>
      <c r="D4367" s="51">
        <v>65.0</v>
      </c>
      <c r="E4367" s="52" t="s">
        <v>25</v>
      </c>
      <c r="F4367" s="52" t="s">
        <v>26</v>
      </c>
      <c r="G4367" s="53"/>
    </row>
    <row r="4368">
      <c r="A4368" s="49">
        <v>45066.61636855324</v>
      </c>
      <c r="B4368" s="50">
        <v>45066.7413419907</v>
      </c>
      <c r="C4368" s="51">
        <v>1.013</v>
      </c>
      <c r="D4368" s="51">
        <v>65.0</v>
      </c>
      <c r="E4368" s="52" t="s">
        <v>25</v>
      </c>
      <c r="F4368" s="52" t="s">
        <v>26</v>
      </c>
      <c r="G4368" s="53"/>
    </row>
    <row r="4369">
      <c r="A4369" s="49">
        <v>45066.626786608795</v>
      </c>
      <c r="B4369" s="50">
        <v>45066.7517654861</v>
      </c>
      <c r="C4369" s="51">
        <v>1.013</v>
      </c>
      <c r="D4369" s="51">
        <v>65.0</v>
      </c>
      <c r="E4369" s="52" t="s">
        <v>25</v>
      </c>
      <c r="F4369" s="52" t="s">
        <v>26</v>
      </c>
      <c r="G4369" s="53"/>
    </row>
    <row r="4370">
      <c r="A4370" s="49">
        <v>45066.63720300926</v>
      </c>
      <c r="B4370" s="50">
        <v>45066.7621873726</v>
      </c>
      <c r="C4370" s="51">
        <v>1.013</v>
      </c>
      <c r="D4370" s="51">
        <v>65.0</v>
      </c>
      <c r="E4370" s="52" t="s">
        <v>25</v>
      </c>
      <c r="F4370" s="52" t="s">
        <v>26</v>
      </c>
      <c r="G4370" s="53"/>
    </row>
    <row r="4371">
      <c r="A4371" s="49">
        <v>45066.64762592592</v>
      </c>
      <c r="B4371" s="50">
        <v>45066.7726082175</v>
      </c>
      <c r="C4371" s="51">
        <v>1.013</v>
      </c>
      <c r="D4371" s="51">
        <v>65.0</v>
      </c>
      <c r="E4371" s="52" t="s">
        <v>25</v>
      </c>
      <c r="F4371" s="52" t="s">
        <v>26</v>
      </c>
      <c r="G4371" s="53"/>
    </row>
    <row r="4372">
      <c r="A4372" s="49">
        <v>45066.65805975694</v>
      </c>
      <c r="B4372" s="50">
        <v>45066.7830299768</v>
      </c>
      <c r="C4372" s="51">
        <v>1.013</v>
      </c>
      <c r="D4372" s="51">
        <v>65.0</v>
      </c>
      <c r="E4372" s="52" t="s">
        <v>25</v>
      </c>
      <c r="F4372" s="52" t="s">
        <v>26</v>
      </c>
      <c r="G4372" s="53"/>
    </row>
    <row r="4373">
      <c r="A4373" s="49">
        <v>45066.668501747685</v>
      </c>
      <c r="B4373" s="50">
        <v>45066.7934834838</v>
      </c>
      <c r="C4373" s="51">
        <v>1.013</v>
      </c>
      <c r="D4373" s="51">
        <v>65.0</v>
      </c>
      <c r="E4373" s="52" t="s">
        <v>25</v>
      </c>
      <c r="F4373" s="52" t="s">
        <v>26</v>
      </c>
      <c r="G4373" s="53"/>
    </row>
    <row r="4374">
      <c r="A4374" s="49">
        <v>45066.67893751158</v>
      </c>
      <c r="B4374" s="50">
        <v>45066.8039163425</v>
      </c>
      <c r="C4374" s="51">
        <v>1.013</v>
      </c>
      <c r="D4374" s="51">
        <v>65.0</v>
      </c>
      <c r="E4374" s="52" t="s">
        <v>25</v>
      </c>
      <c r="F4374" s="52" t="s">
        <v>26</v>
      </c>
      <c r="G4374" s="53"/>
    </row>
    <row r="4375">
      <c r="A4375" s="49">
        <v>45066.68936222223</v>
      </c>
      <c r="B4375" s="50">
        <v>45066.8143378935</v>
      </c>
      <c r="C4375" s="51">
        <v>1.013</v>
      </c>
      <c r="D4375" s="51">
        <v>65.0</v>
      </c>
      <c r="E4375" s="52" t="s">
        <v>25</v>
      </c>
      <c r="F4375" s="52" t="s">
        <v>26</v>
      </c>
      <c r="G4375" s="53"/>
    </row>
    <row r="4376">
      <c r="A4376" s="49">
        <v>45066.69977710648</v>
      </c>
      <c r="B4376" s="50">
        <v>45066.8247612847</v>
      </c>
      <c r="C4376" s="51">
        <v>1.013</v>
      </c>
      <c r="D4376" s="51">
        <v>65.0</v>
      </c>
      <c r="E4376" s="52" t="s">
        <v>25</v>
      </c>
      <c r="F4376" s="52" t="s">
        <v>26</v>
      </c>
      <c r="G4376" s="53"/>
    </row>
    <row r="4377">
      <c r="A4377" s="49">
        <v>45066.7102109375</v>
      </c>
      <c r="B4377" s="50">
        <v>45066.8351822916</v>
      </c>
      <c r="C4377" s="51">
        <v>1.013</v>
      </c>
      <c r="D4377" s="51">
        <v>65.0</v>
      </c>
      <c r="E4377" s="52" t="s">
        <v>25</v>
      </c>
      <c r="F4377" s="52" t="s">
        <v>26</v>
      </c>
      <c r="G4377" s="53"/>
    </row>
    <row r="4378">
      <c r="A4378" s="49">
        <v>45066.72066395833</v>
      </c>
      <c r="B4378" s="50">
        <v>45066.8456381828</v>
      </c>
      <c r="C4378" s="51">
        <v>1.013</v>
      </c>
      <c r="D4378" s="51">
        <v>65.0</v>
      </c>
      <c r="E4378" s="52" t="s">
        <v>25</v>
      </c>
      <c r="F4378" s="52" t="s">
        <v>26</v>
      </c>
      <c r="G4378" s="53"/>
    </row>
    <row r="4379">
      <c r="A4379" s="49">
        <v>45066.731128831016</v>
      </c>
      <c r="B4379" s="50">
        <v>45066.856104456</v>
      </c>
      <c r="C4379" s="51">
        <v>1.013</v>
      </c>
      <c r="D4379" s="51">
        <v>65.0</v>
      </c>
      <c r="E4379" s="52" t="s">
        <v>25</v>
      </c>
      <c r="F4379" s="52" t="s">
        <v>26</v>
      </c>
      <c r="G4379" s="53"/>
    </row>
    <row r="4380">
      <c r="A4380" s="49">
        <v>45066.74155769676</v>
      </c>
      <c r="B4380" s="50">
        <v>45066.8665264699</v>
      </c>
      <c r="C4380" s="51">
        <v>1.013</v>
      </c>
      <c r="D4380" s="51">
        <v>65.0</v>
      </c>
      <c r="E4380" s="52" t="s">
        <v>25</v>
      </c>
      <c r="F4380" s="52" t="s">
        <v>26</v>
      </c>
      <c r="G4380" s="53"/>
    </row>
    <row r="4381">
      <c r="A4381" s="49">
        <v>45066.7519758912</v>
      </c>
      <c r="B4381" s="50">
        <v>45066.8769473148</v>
      </c>
      <c r="C4381" s="51">
        <v>1.013</v>
      </c>
      <c r="D4381" s="51">
        <v>65.0</v>
      </c>
      <c r="E4381" s="52" t="s">
        <v>25</v>
      </c>
      <c r="F4381" s="52" t="s">
        <v>26</v>
      </c>
      <c r="G4381" s="53"/>
    </row>
    <row r="4382">
      <c r="A4382" s="49">
        <v>45066.76239259259</v>
      </c>
      <c r="B4382" s="50">
        <v>45066.8873692245</v>
      </c>
      <c r="C4382" s="51">
        <v>1.013</v>
      </c>
      <c r="D4382" s="51">
        <v>65.0</v>
      </c>
      <c r="E4382" s="52" t="s">
        <v>25</v>
      </c>
      <c r="F4382" s="52" t="s">
        <v>26</v>
      </c>
      <c r="G4382" s="53"/>
    </row>
    <row r="4383">
      <c r="A4383" s="49">
        <v>45066.772813981486</v>
      </c>
      <c r="B4383" s="50">
        <v>45066.8977909143</v>
      </c>
      <c r="C4383" s="51">
        <v>1.013</v>
      </c>
      <c r="D4383" s="51">
        <v>65.0</v>
      </c>
      <c r="E4383" s="52" t="s">
        <v>25</v>
      </c>
      <c r="F4383" s="52" t="s">
        <v>26</v>
      </c>
      <c r="G4383" s="53"/>
    </row>
    <row r="4384">
      <c r="A4384" s="49">
        <v>45066.783239282406</v>
      </c>
      <c r="B4384" s="50">
        <v>45066.9082127662</v>
      </c>
      <c r="C4384" s="51">
        <v>1.013</v>
      </c>
      <c r="D4384" s="51">
        <v>65.0</v>
      </c>
      <c r="E4384" s="52" t="s">
        <v>25</v>
      </c>
      <c r="F4384" s="52" t="s">
        <v>26</v>
      </c>
      <c r="G4384" s="53"/>
    </row>
    <row r="4385">
      <c r="A4385" s="49">
        <v>45066.79365450231</v>
      </c>
      <c r="B4385" s="50">
        <v>45066.918633368</v>
      </c>
      <c r="C4385" s="51">
        <v>1.013</v>
      </c>
      <c r="D4385" s="51">
        <v>65.0</v>
      </c>
      <c r="E4385" s="52" t="s">
        <v>25</v>
      </c>
      <c r="F4385" s="52" t="s">
        <v>26</v>
      </c>
      <c r="G4385" s="53"/>
    </row>
    <row r="4386">
      <c r="A4386" s="49">
        <v>45066.804088564815</v>
      </c>
      <c r="B4386" s="50">
        <v>45066.9290647106</v>
      </c>
      <c r="C4386" s="51">
        <v>1.013</v>
      </c>
      <c r="D4386" s="51">
        <v>65.0</v>
      </c>
      <c r="E4386" s="52" t="s">
        <v>25</v>
      </c>
      <c r="F4386" s="52" t="s">
        <v>26</v>
      </c>
      <c r="G4386" s="53"/>
    </row>
    <row r="4387">
      <c r="A4387" s="49">
        <v>45066.81453</v>
      </c>
      <c r="B4387" s="50">
        <v>45066.93949728</v>
      </c>
      <c r="C4387" s="51">
        <v>1.013</v>
      </c>
      <c r="D4387" s="51">
        <v>65.0</v>
      </c>
      <c r="E4387" s="52" t="s">
        <v>25</v>
      </c>
      <c r="F4387" s="52" t="s">
        <v>26</v>
      </c>
      <c r="G4387" s="53"/>
    </row>
    <row r="4388">
      <c r="A4388" s="49">
        <v>45066.82496081019</v>
      </c>
      <c r="B4388" s="50">
        <v>45066.9499313078</v>
      </c>
      <c r="C4388" s="51">
        <v>1.013</v>
      </c>
      <c r="D4388" s="51">
        <v>65.0</v>
      </c>
      <c r="E4388" s="52" t="s">
        <v>25</v>
      </c>
      <c r="F4388" s="52" t="s">
        <v>26</v>
      </c>
      <c r="G4388" s="53"/>
    </row>
    <row r="4389">
      <c r="A4389" s="49">
        <v>45066.835379386575</v>
      </c>
      <c r="B4389" s="50">
        <v>45066.9603526273</v>
      </c>
      <c r="C4389" s="51">
        <v>1.013</v>
      </c>
      <c r="D4389" s="51">
        <v>65.0</v>
      </c>
      <c r="E4389" s="52" t="s">
        <v>25</v>
      </c>
      <c r="F4389" s="52" t="s">
        <v>26</v>
      </c>
      <c r="G4389" s="53"/>
    </row>
    <row r="4390">
      <c r="A4390" s="49">
        <v>45066.84581077546</v>
      </c>
      <c r="B4390" s="50">
        <v>45066.9707845486</v>
      </c>
      <c r="C4390" s="51">
        <v>1.013</v>
      </c>
      <c r="D4390" s="51">
        <v>65.0</v>
      </c>
      <c r="E4390" s="52" t="s">
        <v>25</v>
      </c>
      <c r="F4390" s="52" t="s">
        <v>26</v>
      </c>
      <c r="G4390" s="53"/>
    </row>
    <row r="4391">
      <c r="A4391" s="49">
        <v>45066.856228495366</v>
      </c>
      <c r="B4391" s="50">
        <v>45066.9812053588</v>
      </c>
      <c r="C4391" s="51">
        <v>1.013</v>
      </c>
      <c r="D4391" s="51">
        <v>65.0</v>
      </c>
      <c r="E4391" s="52" t="s">
        <v>25</v>
      </c>
      <c r="F4391" s="52" t="s">
        <v>26</v>
      </c>
      <c r="G4391" s="53"/>
    </row>
    <row r="4392">
      <c r="A4392" s="49">
        <v>45066.86665726852</v>
      </c>
      <c r="B4392" s="50">
        <v>45066.9916385763</v>
      </c>
      <c r="C4392" s="51">
        <v>1.013</v>
      </c>
      <c r="D4392" s="51">
        <v>66.0</v>
      </c>
      <c r="E4392" s="52" t="s">
        <v>25</v>
      </c>
      <c r="F4392" s="52" t="s">
        <v>26</v>
      </c>
      <c r="G4392" s="53"/>
    </row>
    <row r="4393">
      <c r="A4393" s="49">
        <v>45066.877079328704</v>
      </c>
      <c r="B4393" s="50">
        <v>45067.0020572685</v>
      </c>
      <c r="C4393" s="51">
        <v>1.013</v>
      </c>
      <c r="D4393" s="51">
        <v>65.0</v>
      </c>
      <c r="E4393" s="52" t="s">
        <v>25</v>
      </c>
      <c r="F4393" s="52" t="s">
        <v>26</v>
      </c>
      <c r="G4393" s="53"/>
    </row>
    <row r="4394">
      <c r="A4394" s="49">
        <v>45066.887523935184</v>
      </c>
      <c r="B4394" s="50">
        <v>45067.0125014467</v>
      </c>
      <c r="C4394" s="51">
        <v>1.013</v>
      </c>
      <c r="D4394" s="51">
        <v>65.0</v>
      </c>
      <c r="E4394" s="52" t="s">
        <v>25</v>
      </c>
      <c r="F4394" s="52" t="s">
        <v>26</v>
      </c>
      <c r="G4394" s="53"/>
    </row>
    <row r="4395">
      <c r="A4395" s="49">
        <v>45066.8979424537</v>
      </c>
      <c r="B4395" s="50">
        <v>45067.0229231944</v>
      </c>
      <c r="C4395" s="51">
        <v>1.013</v>
      </c>
      <c r="D4395" s="51">
        <v>66.0</v>
      </c>
      <c r="E4395" s="52" t="s">
        <v>25</v>
      </c>
      <c r="F4395" s="52" t="s">
        <v>26</v>
      </c>
      <c r="G4395" s="53"/>
    </row>
    <row r="4396">
      <c r="A4396" s="49">
        <v>45066.90838584491</v>
      </c>
      <c r="B4396" s="50">
        <v>45067.0333576504</v>
      </c>
      <c r="C4396" s="51">
        <v>1.013</v>
      </c>
      <c r="D4396" s="51">
        <v>65.0</v>
      </c>
      <c r="E4396" s="52" t="s">
        <v>25</v>
      </c>
      <c r="F4396" s="52" t="s">
        <v>26</v>
      </c>
      <c r="G4396" s="53"/>
    </row>
    <row r="4397">
      <c r="A4397" s="49">
        <v>45066.91882027777</v>
      </c>
      <c r="B4397" s="50">
        <v>45067.0438027662</v>
      </c>
      <c r="C4397" s="51">
        <v>1.013</v>
      </c>
      <c r="D4397" s="51">
        <v>65.0</v>
      </c>
      <c r="E4397" s="52" t="s">
        <v>25</v>
      </c>
      <c r="F4397" s="52" t="s">
        <v>26</v>
      </c>
      <c r="G4397" s="53"/>
    </row>
    <row r="4398">
      <c r="A4398" s="49">
        <v>45066.9292965162</v>
      </c>
      <c r="B4398" s="50">
        <v>45067.0542712384</v>
      </c>
      <c r="C4398" s="51">
        <v>1.013</v>
      </c>
      <c r="D4398" s="51">
        <v>66.0</v>
      </c>
      <c r="E4398" s="52" t="s">
        <v>25</v>
      </c>
      <c r="F4398" s="52" t="s">
        <v>26</v>
      </c>
      <c r="G4398" s="53"/>
    </row>
    <row r="4399">
      <c r="A4399" s="49">
        <v>45066.939722615745</v>
      </c>
      <c r="B4399" s="50">
        <v>45067.0647048611</v>
      </c>
      <c r="C4399" s="51">
        <v>1.013</v>
      </c>
      <c r="D4399" s="51">
        <v>66.0</v>
      </c>
      <c r="E4399" s="52" t="s">
        <v>25</v>
      </c>
      <c r="F4399" s="52" t="s">
        <v>26</v>
      </c>
      <c r="G4399" s="53"/>
    </row>
    <row r="4400">
      <c r="A4400" s="49">
        <v>45066.950177210645</v>
      </c>
      <c r="B4400" s="50">
        <v>45067.0751499189</v>
      </c>
      <c r="C4400" s="51">
        <v>1.013</v>
      </c>
      <c r="D4400" s="51">
        <v>66.0</v>
      </c>
      <c r="E4400" s="52" t="s">
        <v>25</v>
      </c>
      <c r="F4400" s="52" t="s">
        <v>26</v>
      </c>
      <c r="G4400" s="53"/>
    </row>
    <row r="4401">
      <c r="A4401" s="49">
        <v>45066.96058825232</v>
      </c>
      <c r="B4401" s="50">
        <v>45067.0855700115</v>
      </c>
      <c r="C4401" s="51">
        <v>1.013</v>
      </c>
      <c r="D4401" s="51">
        <v>66.0</v>
      </c>
      <c r="E4401" s="52" t="s">
        <v>25</v>
      </c>
      <c r="F4401" s="52" t="s">
        <v>26</v>
      </c>
      <c r="G4401" s="53"/>
    </row>
    <row r="4402">
      <c r="A4402" s="49">
        <v>45066.97101425926</v>
      </c>
      <c r="B4402" s="50">
        <v>45067.0959911805</v>
      </c>
      <c r="C4402" s="51">
        <v>1.013</v>
      </c>
      <c r="D4402" s="51">
        <v>66.0</v>
      </c>
      <c r="E4402" s="52" t="s">
        <v>25</v>
      </c>
      <c r="F4402" s="52" t="s">
        <v>26</v>
      </c>
      <c r="G4402" s="53"/>
    </row>
    <row r="4403">
      <c r="A4403" s="49">
        <v>45066.98144725694</v>
      </c>
      <c r="B4403" s="50">
        <v>45067.1064253009</v>
      </c>
      <c r="C4403" s="51">
        <v>1.013</v>
      </c>
      <c r="D4403" s="51">
        <v>66.0</v>
      </c>
      <c r="E4403" s="52" t="s">
        <v>25</v>
      </c>
      <c r="F4403" s="52" t="s">
        <v>26</v>
      </c>
      <c r="G4403" s="53"/>
    </row>
    <row r="4404">
      <c r="A4404" s="49">
        <v>45066.991882002316</v>
      </c>
      <c r="B4404" s="50">
        <v>45067.1168570833</v>
      </c>
      <c r="C4404" s="51">
        <v>1.013</v>
      </c>
      <c r="D4404" s="51">
        <v>66.0</v>
      </c>
      <c r="E4404" s="52" t="s">
        <v>25</v>
      </c>
      <c r="F4404" s="52" t="s">
        <v>26</v>
      </c>
      <c r="G4404" s="53"/>
    </row>
    <row r="4405">
      <c r="A4405" s="49">
        <v>45067.00230417824</v>
      </c>
      <c r="B4405" s="50">
        <v>45067.1272785995</v>
      </c>
      <c r="C4405" s="51">
        <v>1.013</v>
      </c>
      <c r="D4405" s="51">
        <v>66.0</v>
      </c>
      <c r="E4405" s="52" t="s">
        <v>25</v>
      </c>
      <c r="F4405" s="52" t="s">
        <v>26</v>
      </c>
      <c r="G4405" s="53"/>
    </row>
    <row r="4406">
      <c r="A4406" s="49">
        <v>45067.01275895833</v>
      </c>
      <c r="B4406" s="50">
        <v>45067.1377352199</v>
      </c>
      <c r="C4406" s="51">
        <v>1.013</v>
      </c>
      <c r="D4406" s="51">
        <v>66.0</v>
      </c>
      <c r="E4406" s="52" t="s">
        <v>25</v>
      </c>
      <c r="F4406" s="52" t="s">
        <v>26</v>
      </c>
      <c r="G4406" s="53"/>
    </row>
    <row r="4407">
      <c r="A4407" s="49">
        <v>45067.023193553236</v>
      </c>
      <c r="B4407" s="50">
        <v>45067.1481669328</v>
      </c>
      <c r="C4407" s="51">
        <v>1.013</v>
      </c>
      <c r="D4407" s="51">
        <v>66.0</v>
      </c>
      <c r="E4407" s="52" t="s">
        <v>25</v>
      </c>
      <c r="F4407" s="52" t="s">
        <v>26</v>
      </c>
      <c r="G4407" s="53"/>
    </row>
    <row r="4408">
      <c r="A4408" s="49">
        <v>45067.03361423611</v>
      </c>
      <c r="B4408" s="50">
        <v>45067.1585882639</v>
      </c>
      <c r="C4408" s="51">
        <v>1.013</v>
      </c>
      <c r="D4408" s="51">
        <v>66.0</v>
      </c>
      <c r="E4408" s="52" t="s">
        <v>25</v>
      </c>
      <c r="F4408" s="52" t="s">
        <v>26</v>
      </c>
      <c r="G4408" s="53"/>
    </row>
    <row r="4409">
      <c r="A4409" s="49">
        <v>45067.044075949074</v>
      </c>
      <c r="B4409" s="50">
        <v>45067.1690441203</v>
      </c>
      <c r="C4409" s="51">
        <v>1.013</v>
      </c>
      <c r="D4409" s="51">
        <v>66.0</v>
      </c>
      <c r="E4409" s="52" t="s">
        <v>25</v>
      </c>
      <c r="F4409" s="52" t="s">
        <v>26</v>
      </c>
      <c r="G4409" s="53"/>
    </row>
    <row r="4410">
      <c r="A4410" s="49">
        <v>45067.054496006946</v>
      </c>
      <c r="B4410" s="50">
        <v>45067.1794653356</v>
      </c>
      <c r="C4410" s="51">
        <v>1.013</v>
      </c>
      <c r="D4410" s="51">
        <v>66.0</v>
      </c>
      <c r="E4410" s="52" t="s">
        <v>25</v>
      </c>
      <c r="F4410" s="52" t="s">
        <v>26</v>
      </c>
      <c r="G4410" s="53"/>
    </row>
    <row r="4411">
      <c r="A4411" s="49">
        <v>45067.06490914352</v>
      </c>
      <c r="B4411" s="50">
        <v>45067.189887037</v>
      </c>
      <c r="C4411" s="51">
        <v>1.013</v>
      </c>
      <c r="D4411" s="51">
        <v>66.0</v>
      </c>
      <c r="E4411" s="52" t="s">
        <v>25</v>
      </c>
      <c r="F4411" s="52" t="s">
        <v>26</v>
      </c>
      <c r="G4411" s="53"/>
    </row>
    <row r="4412">
      <c r="A4412" s="49">
        <v>45067.075343530094</v>
      </c>
      <c r="B4412" s="50">
        <v>45067.2003190972</v>
      </c>
      <c r="C4412" s="51">
        <v>1.013</v>
      </c>
      <c r="D4412" s="51">
        <v>66.0</v>
      </c>
      <c r="E4412" s="52" t="s">
        <v>25</v>
      </c>
      <c r="F4412" s="52" t="s">
        <v>26</v>
      </c>
      <c r="G4412" s="53"/>
    </row>
    <row r="4413">
      <c r="A4413" s="49">
        <v>45067.08576998842</v>
      </c>
      <c r="B4413" s="50">
        <v>45067.2107516203</v>
      </c>
      <c r="C4413" s="51">
        <v>1.013</v>
      </c>
      <c r="D4413" s="51">
        <v>66.0</v>
      </c>
      <c r="E4413" s="52" t="s">
        <v>25</v>
      </c>
      <c r="F4413" s="52" t="s">
        <v>26</v>
      </c>
      <c r="G4413" s="53"/>
    </row>
    <row r="4414">
      <c r="A4414" s="49">
        <v>45067.09620856481</v>
      </c>
      <c r="B4414" s="50">
        <v>45067.2211721759</v>
      </c>
      <c r="C4414" s="51">
        <v>1.013</v>
      </c>
      <c r="D4414" s="51">
        <v>66.0</v>
      </c>
      <c r="E4414" s="52" t="s">
        <v>25</v>
      </c>
      <c r="F4414" s="52" t="s">
        <v>26</v>
      </c>
      <c r="G4414" s="53"/>
    </row>
    <row r="4415">
      <c r="A4415" s="49">
        <v>45067.106617048616</v>
      </c>
      <c r="B4415" s="50">
        <v>45067.2315931828</v>
      </c>
      <c r="C4415" s="51">
        <v>1.013</v>
      </c>
      <c r="D4415" s="51">
        <v>66.0</v>
      </c>
      <c r="E4415" s="52" t="s">
        <v>25</v>
      </c>
      <c r="F4415" s="52" t="s">
        <v>26</v>
      </c>
      <c r="G4415" s="53"/>
    </row>
    <row r="4416">
      <c r="A4416" s="49">
        <v>45067.117046631945</v>
      </c>
      <c r="B4416" s="50">
        <v>45067.2420261921</v>
      </c>
      <c r="C4416" s="51">
        <v>1.013</v>
      </c>
      <c r="D4416" s="51">
        <v>66.0</v>
      </c>
      <c r="E4416" s="52" t="s">
        <v>25</v>
      </c>
      <c r="F4416" s="52" t="s">
        <v>26</v>
      </c>
      <c r="G4416" s="53"/>
    </row>
    <row r="4417">
      <c r="A4417" s="49">
        <v>45067.1274871412</v>
      </c>
      <c r="B4417" s="50">
        <v>45067.2524588657</v>
      </c>
      <c r="C4417" s="51">
        <v>1.013</v>
      </c>
      <c r="D4417" s="51">
        <v>66.0</v>
      </c>
      <c r="E4417" s="52" t="s">
        <v>25</v>
      </c>
      <c r="F4417" s="52" t="s">
        <v>26</v>
      </c>
      <c r="G4417" s="53"/>
    </row>
    <row r="4418">
      <c r="A4418" s="49">
        <v>45067.137911990736</v>
      </c>
      <c r="B4418" s="50">
        <v>45067.2628924884</v>
      </c>
      <c r="C4418" s="51">
        <v>1.013</v>
      </c>
      <c r="D4418" s="51">
        <v>66.0</v>
      </c>
      <c r="E4418" s="52" t="s">
        <v>25</v>
      </c>
      <c r="F4418" s="52" t="s">
        <v>26</v>
      </c>
      <c r="G4418" s="53"/>
    </row>
    <row r="4419">
      <c r="A4419" s="49">
        <v>45067.14834375</v>
      </c>
      <c r="B4419" s="50">
        <v>45067.2733153125</v>
      </c>
      <c r="C4419" s="51">
        <v>1.013</v>
      </c>
      <c r="D4419" s="51">
        <v>66.0</v>
      </c>
      <c r="E4419" s="52" t="s">
        <v>25</v>
      </c>
      <c r="F4419" s="52" t="s">
        <v>26</v>
      </c>
      <c r="G4419" s="53"/>
    </row>
    <row r="4420">
      <c r="A4420" s="49">
        <v>45067.158804293984</v>
      </c>
      <c r="B4420" s="50">
        <v>45067.2837828935</v>
      </c>
      <c r="C4420" s="51">
        <v>1.013</v>
      </c>
      <c r="D4420" s="51">
        <v>66.0</v>
      </c>
      <c r="E4420" s="52" t="s">
        <v>25</v>
      </c>
      <c r="F4420" s="52" t="s">
        <v>26</v>
      </c>
      <c r="G4420" s="53"/>
    </row>
    <row r="4421">
      <c r="A4421" s="49">
        <v>45067.16922258102</v>
      </c>
      <c r="B4421" s="50">
        <v>45067.2942046527</v>
      </c>
      <c r="C4421" s="51">
        <v>1.013</v>
      </c>
      <c r="D4421" s="51">
        <v>66.0</v>
      </c>
      <c r="E4421" s="52" t="s">
        <v>25</v>
      </c>
      <c r="F4421" s="52" t="s">
        <v>26</v>
      </c>
      <c r="G4421" s="53"/>
    </row>
    <row r="4422">
      <c r="A4422" s="49">
        <v>45067.17965681713</v>
      </c>
      <c r="B4422" s="50">
        <v>45067.3046367939</v>
      </c>
      <c r="C4422" s="51">
        <v>1.013</v>
      </c>
      <c r="D4422" s="51">
        <v>66.0</v>
      </c>
      <c r="E4422" s="52" t="s">
        <v>25</v>
      </c>
      <c r="F4422" s="52" t="s">
        <v>26</v>
      </c>
      <c r="G4422" s="53"/>
    </row>
    <row r="4423">
      <c r="A4423" s="49">
        <v>45067.19009899306</v>
      </c>
      <c r="B4423" s="50">
        <v>45067.315070625</v>
      </c>
      <c r="C4423" s="51">
        <v>1.012</v>
      </c>
      <c r="D4423" s="51">
        <v>66.0</v>
      </c>
      <c r="E4423" s="52" t="s">
        <v>25</v>
      </c>
      <c r="F4423" s="52" t="s">
        <v>26</v>
      </c>
      <c r="G4423" s="53"/>
    </row>
    <row r="4424">
      <c r="A4424" s="49">
        <v>45067.20054056713</v>
      </c>
      <c r="B4424" s="50">
        <v>45067.3255151041</v>
      </c>
      <c r="C4424" s="51">
        <v>1.012</v>
      </c>
      <c r="D4424" s="51">
        <v>66.0</v>
      </c>
      <c r="E4424" s="52" t="s">
        <v>25</v>
      </c>
      <c r="F4424" s="52" t="s">
        <v>26</v>
      </c>
      <c r="G4424" s="53"/>
    </row>
    <row r="4425">
      <c r="A4425" s="49">
        <v>45067.21095579861</v>
      </c>
      <c r="B4425" s="50">
        <v>45067.3359357638</v>
      </c>
      <c r="C4425" s="51">
        <v>1.013</v>
      </c>
      <c r="D4425" s="51">
        <v>66.0</v>
      </c>
      <c r="E4425" s="52" t="s">
        <v>25</v>
      </c>
      <c r="F4425" s="52" t="s">
        <v>26</v>
      </c>
      <c r="G4425" s="53"/>
    </row>
    <row r="4426">
      <c r="A4426" s="49">
        <v>45067.221388356484</v>
      </c>
      <c r="B4426" s="50">
        <v>45067.3463676157</v>
      </c>
      <c r="C4426" s="51">
        <v>1.013</v>
      </c>
      <c r="D4426" s="51">
        <v>66.0</v>
      </c>
      <c r="E4426" s="52" t="s">
        <v>25</v>
      </c>
      <c r="F4426" s="52" t="s">
        <v>26</v>
      </c>
      <c r="G4426" s="53"/>
    </row>
    <row r="4427">
      <c r="A4427" s="49">
        <v>45067.23180491898</v>
      </c>
      <c r="B4427" s="50">
        <v>45067.3567893518</v>
      </c>
      <c r="C4427" s="51">
        <v>1.013</v>
      </c>
      <c r="D4427" s="51">
        <v>66.0</v>
      </c>
      <c r="E4427" s="52" t="s">
        <v>25</v>
      </c>
      <c r="F4427" s="52" t="s">
        <v>26</v>
      </c>
      <c r="G4427" s="53"/>
    </row>
    <row r="4428">
      <c r="A4428" s="49">
        <v>45067.24240888889</v>
      </c>
      <c r="B4428" s="50">
        <v>45067.3672320601</v>
      </c>
      <c r="C4428" s="51">
        <v>1.012</v>
      </c>
      <c r="D4428" s="51">
        <v>66.0</v>
      </c>
      <c r="E4428" s="52" t="s">
        <v>25</v>
      </c>
      <c r="F4428" s="52" t="s">
        <v>26</v>
      </c>
      <c r="G4428" s="53"/>
    </row>
    <row r="4429">
      <c r="A4429" s="49">
        <v>45067.252691608795</v>
      </c>
      <c r="B4429" s="50">
        <v>45067.3776661111</v>
      </c>
      <c r="C4429" s="51">
        <v>1.013</v>
      </c>
      <c r="D4429" s="51">
        <v>66.0</v>
      </c>
      <c r="E4429" s="52" t="s">
        <v>25</v>
      </c>
      <c r="F4429" s="52" t="s">
        <v>26</v>
      </c>
      <c r="G4429" s="53"/>
    </row>
    <row r="4430">
      <c r="A4430" s="49">
        <v>45067.26313387731</v>
      </c>
      <c r="B4430" s="50">
        <v>45067.3881098032</v>
      </c>
      <c r="C4430" s="51">
        <v>1.013</v>
      </c>
      <c r="D4430" s="51">
        <v>66.0</v>
      </c>
      <c r="E4430" s="52" t="s">
        <v>25</v>
      </c>
      <c r="F4430" s="52" t="s">
        <v>26</v>
      </c>
      <c r="G4430" s="53"/>
    </row>
    <row r="4431">
      <c r="A4431" s="49">
        <v>45067.27356342593</v>
      </c>
      <c r="B4431" s="50">
        <v>45067.3985432176</v>
      </c>
      <c r="C4431" s="51">
        <v>1.013</v>
      </c>
      <c r="D4431" s="51">
        <v>66.0</v>
      </c>
      <c r="E4431" s="52" t="s">
        <v>25</v>
      </c>
      <c r="F4431" s="52" t="s">
        <v>26</v>
      </c>
      <c r="G4431" s="53"/>
    </row>
    <row r="4432">
      <c r="A4432" s="49">
        <v>45067.28400922454</v>
      </c>
      <c r="B4432" s="50">
        <v>45067.4089869675</v>
      </c>
      <c r="C4432" s="51">
        <v>1.013</v>
      </c>
      <c r="D4432" s="51">
        <v>66.0</v>
      </c>
      <c r="E4432" s="52" t="s">
        <v>25</v>
      </c>
      <c r="F4432" s="52" t="s">
        <v>26</v>
      </c>
      <c r="G4432" s="53"/>
    </row>
    <row r="4433">
      <c r="A4433" s="49">
        <v>45067.29445113426</v>
      </c>
      <c r="B4433" s="50">
        <v>45067.4194227893</v>
      </c>
      <c r="C4433" s="51">
        <v>1.013</v>
      </c>
      <c r="D4433" s="51">
        <v>66.0</v>
      </c>
      <c r="E4433" s="52" t="s">
        <v>25</v>
      </c>
      <c r="F4433" s="52" t="s">
        <v>26</v>
      </c>
      <c r="G4433" s="53"/>
    </row>
    <row r="4434">
      <c r="A4434" s="49">
        <v>45067.304866446764</v>
      </c>
      <c r="B4434" s="50">
        <v>45067.4298417592</v>
      </c>
      <c r="C4434" s="51">
        <v>1.013</v>
      </c>
      <c r="D4434" s="51">
        <v>66.0</v>
      </c>
      <c r="E4434" s="52" t="s">
        <v>25</v>
      </c>
      <c r="F4434" s="52" t="s">
        <v>26</v>
      </c>
      <c r="G4434" s="53"/>
    </row>
    <row r="4435">
      <c r="A4435" s="49">
        <v>45067.31530054398</v>
      </c>
      <c r="B4435" s="50">
        <v>45067.4402728703</v>
      </c>
      <c r="C4435" s="51">
        <v>1.012</v>
      </c>
      <c r="D4435" s="51">
        <v>66.0</v>
      </c>
      <c r="E4435" s="52" t="s">
        <v>25</v>
      </c>
      <c r="F4435" s="52" t="s">
        <v>26</v>
      </c>
      <c r="G4435" s="53"/>
    </row>
    <row r="4436">
      <c r="A4436" s="49">
        <v>45067.325722291665</v>
      </c>
      <c r="B4436" s="50">
        <v>45067.4506951388</v>
      </c>
      <c r="C4436" s="51">
        <v>1.013</v>
      </c>
      <c r="D4436" s="51">
        <v>66.0</v>
      </c>
      <c r="E4436" s="52" t="s">
        <v>25</v>
      </c>
      <c r="F4436" s="52" t="s">
        <v>26</v>
      </c>
      <c r="G4436" s="53"/>
    </row>
    <row r="4437">
      <c r="A4437" s="49">
        <v>45067.336178240745</v>
      </c>
      <c r="B4437" s="50">
        <v>45067.4611510069</v>
      </c>
      <c r="C4437" s="51">
        <v>1.013</v>
      </c>
      <c r="D4437" s="51">
        <v>66.0</v>
      </c>
      <c r="E4437" s="52" t="s">
        <v>25</v>
      </c>
      <c r="F4437" s="52" t="s">
        <v>26</v>
      </c>
      <c r="G4437" s="53"/>
    </row>
    <row r="4438">
      <c r="A4438" s="49">
        <v>45067.34662979167</v>
      </c>
      <c r="B4438" s="50">
        <v>45067.4716071643</v>
      </c>
      <c r="C4438" s="51">
        <v>1.012</v>
      </c>
      <c r="D4438" s="51">
        <v>66.0</v>
      </c>
      <c r="E4438" s="52" t="s">
        <v>25</v>
      </c>
      <c r="F4438" s="52" t="s">
        <v>26</v>
      </c>
      <c r="G4438" s="53"/>
    </row>
    <row r="4439">
      <c r="A4439" s="49">
        <v>45067.35707204861</v>
      </c>
      <c r="B4439" s="50">
        <v>45067.4820512384</v>
      </c>
      <c r="C4439" s="51">
        <v>1.012</v>
      </c>
      <c r="D4439" s="51">
        <v>66.0</v>
      </c>
      <c r="E4439" s="52" t="s">
        <v>25</v>
      </c>
      <c r="F4439" s="52" t="s">
        <v>26</v>
      </c>
      <c r="G4439" s="53"/>
    </row>
    <row r="4440">
      <c r="A4440" s="49">
        <v>45067.367505277776</v>
      </c>
      <c r="B4440" s="50">
        <v>45067.4924815856</v>
      </c>
      <c r="C4440" s="51">
        <v>1.013</v>
      </c>
      <c r="D4440" s="51">
        <v>66.0</v>
      </c>
      <c r="E4440" s="52" t="s">
        <v>25</v>
      </c>
      <c r="F4440" s="52" t="s">
        <v>26</v>
      </c>
      <c r="G4440" s="53"/>
    </row>
    <row r="4441">
      <c r="A4441" s="49">
        <v>45067.37792291667</v>
      </c>
      <c r="B4441" s="50">
        <v>45067.5029032175</v>
      </c>
      <c r="C4441" s="51">
        <v>1.012</v>
      </c>
      <c r="D4441" s="51">
        <v>66.0</v>
      </c>
      <c r="E4441" s="52" t="s">
        <v>25</v>
      </c>
      <c r="F4441" s="52" t="s">
        <v>26</v>
      </c>
      <c r="G4441" s="53"/>
    </row>
    <row r="4442">
      <c r="A4442" s="49">
        <v>45067.38835516204</v>
      </c>
      <c r="B4442" s="50">
        <v>45067.5133364814</v>
      </c>
      <c r="C4442" s="51">
        <v>1.012</v>
      </c>
      <c r="D4442" s="51">
        <v>66.0</v>
      </c>
      <c r="E4442" s="52" t="s">
        <v>25</v>
      </c>
      <c r="F4442" s="52" t="s">
        <v>26</v>
      </c>
      <c r="G4442" s="53"/>
    </row>
    <row r="4443">
      <c r="A4443" s="49">
        <v>45067.39878708334</v>
      </c>
      <c r="B4443" s="50">
        <v>45067.523758368</v>
      </c>
      <c r="C4443" s="51">
        <v>1.012</v>
      </c>
      <c r="D4443" s="51">
        <v>66.0</v>
      </c>
      <c r="E4443" s="52" t="s">
        <v>25</v>
      </c>
      <c r="F4443" s="52" t="s">
        <v>26</v>
      </c>
      <c r="G4443" s="53"/>
    </row>
    <row r="4444">
      <c r="A4444" s="49">
        <v>45067.409197280096</v>
      </c>
      <c r="B4444" s="50">
        <v>45067.5341791666</v>
      </c>
      <c r="C4444" s="51">
        <v>1.013</v>
      </c>
      <c r="D4444" s="51">
        <v>66.0</v>
      </c>
      <c r="E4444" s="52" t="s">
        <v>25</v>
      </c>
      <c r="F4444" s="52" t="s">
        <v>26</v>
      </c>
      <c r="G4444" s="53"/>
    </row>
    <row r="4445">
      <c r="A4445" s="49">
        <v>45067.41963625</v>
      </c>
      <c r="B4445" s="50">
        <v>45067.5446106365</v>
      </c>
      <c r="C4445" s="51">
        <v>1.012</v>
      </c>
      <c r="D4445" s="51">
        <v>66.0</v>
      </c>
      <c r="E4445" s="52" t="s">
        <v>25</v>
      </c>
      <c r="F4445" s="52" t="s">
        <v>26</v>
      </c>
      <c r="G4445" s="53"/>
    </row>
    <row r="4446">
      <c r="A4446" s="49">
        <v>45067.43008010417</v>
      </c>
      <c r="B4446" s="50">
        <v>45067.5550559606</v>
      </c>
      <c r="C4446" s="51">
        <v>1.013</v>
      </c>
      <c r="D4446" s="51">
        <v>66.0</v>
      </c>
      <c r="E4446" s="52" t="s">
        <v>25</v>
      </c>
      <c r="F4446" s="52" t="s">
        <v>26</v>
      </c>
      <c r="G4446" s="53"/>
    </row>
    <row r="4447">
      <c r="A4447" s="49">
        <v>45067.44051712963</v>
      </c>
      <c r="B4447" s="50">
        <v>45067.5654994097</v>
      </c>
      <c r="C4447" s="51">
        <v>1.013</v>
      </c>
      <c r="D4447" s="51">
        <v>66.0</v>
      </c>
      <c r="E4447" s="52" t="s">
        <v>25</v>
      </c>
      <c r="F4447" s="52" t="s">
        <v>26</v>
      </c>
      <c r="G4447" s="53"/>
    </row>
    <row r="4448">
      <c r="A4448" s="49">
        <v>45067.450999189816</v>
      </c>
      <c r="B4448" s="50">
        <v>45067.5759219791</v>
      </c>
      <c r="C4448" s="51">
        <v>1.012</v>
      </c>
      <c r="D4448" s="51">
        <v>66.0</v>
      </c>
      <c r="E4448" s="52" t="s">
        <v>25</v>
      </c>
      <c r="F4448" s="52" t="s">
        <v>26</v>
      </c>
      <c r="G4448" s="53"/>
    </row>
    <row r="4449">
      <c r="A4449" s="49">
        <v>45067.461368310185</v>
      </c>
      <c r="B4449" s="50">
        <v>45067.5863436111</v>
      </c>
      <c r="C4449" s="51">
        <v>1.013</v>
      </c>
      <c r="D4449" s="51">
        <v>66.0</v>
      </c>
      <c r="E4449" s="52" t="s">
        <v>25</v>
      </c>
      <c r="F4449" s="52" t="s">
        <v>26</v>
      </c>
      <c r="G4449" s="53"/>
    </row>
    <row r="4450">
      <c r="A4450" s="49">
        <v>45067.47182702547</v>
      </c>
      <c r="B4450" s="50">
        <v>45067.5967988078</v>
      </c>
      <c r="C4450" s="51">
        <v>1.012</v>
      </c>
      <c r="D4450" s="51">
        <v>66.0</v>
      </c>
      <c r="E4450" s="52" t="s">
        <v>25</v>
      </c>
      <c r="F4450" s="52" t="s">
        <v>26</v>
      </c>
      <c r="G4450" s="53"/>
    </row>
    <row r="4451">
      <c r="A4451" s="49">
        <v>45067.48229714121</v>
      </c>
      <c r="B4451" s="50">
        <v>45067.6072658564</v>
      </c>
      <c r="C4451" s="51">
        <v>1.013</v>
      </c>
      <c r="D4451" s="51">
        <v>66.0</v>
      </c>
      <c r="E4451" s="52" t="s">
        <v>25</v>
      </c>
      <c r="F4451" s="52" t="s">
        <v>26</v>
      </c>
      <c r="G4451" s="53"/>
    </row>
    <row r="4452">
      <c r="A4452" s="49">
        <v>45067.49274581019</v>
      </c>
      <c r="B4452" s="50">
        <v>45067.6177095023</v>
      </c>
      <c r="C4452" s="51">
        <v>1.013</v>
      </c>
      <c r="D4452" s="51">
        <v>66.0</v>
      </c>
      <c r="E4452" s="52" t="s">
        <v>25</v>
      </c>
      <c r="F4452" s="52" t="s">
        <v>26</v>
      </c>
      <c r="G4452" s="53"/>
    </row>
    <row r="4453">
      <c r="A4453" s="49">
        <v>45067.503163229165</v>
      </c>
      <c r="B4453" s="50">
        <v>45067.6281417013</v>
      </c>
      <c r="C4453" s="51">
        <v>1.013</v>
      </c>
      <c r="D4453" s="51">
        <v>66.0</v>
      </c>
      <c r="E4453" s="52" t="s">
        <v>25</v>
      </c>
      <c r="F4453" s="52" t="s">
        <v>26</v>
      </c>
      <c r="G4453" s="53"/>
    </row>
    <row r="4454">
      <c r="A4454" s="49">
        <v>45067.51359016204</v>
      </c>
      <c r="B4454" s="50">
        <v>45067.6385625115</v>
      </c>
      <c r="C4454" s="51">
        <v>1.012</v>
      </c>
      <c r="D4454" s="51">
        <v>66.0</v>
      </c>
      <c r="E4454" s="52" t="s">
        <v>25</v>
      </c>
      <c r="F4454" s="52" t="s">
        <v>26</v>
      </c>
      <c r="G4454" s="53"/>
    </row>
    <row r="4455">
      <c r="A4455" s="49">
        <v>45067.5240122338</v>
      </c>
      <c r="B4455" s="50">
        <v>45067.6489822685</v>
      </c>
      <c r="C4455" s="51">
        <v>1.012</v>
      </c>
      <c r="D4455" s="51">
        <v>66.0</v>
      </c>
      <c r="E4455" s="52" t="s">
        <v>25</v>
      </c>
      <c r="F4455" s="52" t="s">
        <v>26</v>
      </c>
      <c r="G4455" s="53"/>
    </row>
    <row r="4456">
      <c r="A4456" s="49">
        <v>45067.5344284375</v>
      </c>
      <c r="B4456" s="50">
        <v>45067.6594019213</v>
      </c>
      <c r="C4456" s="51">
        <v>1.012</v>
      </c>
      <c r="D4456" s="51">
        <v>66.0</v>
      </c>
      <c r="E4456" s="52" t="s">
        <v>25</v>
      </c>
      <c r="F4456" s="52" t="s">
        <v>26</v>
      </c>
      <c r="G4456" s="53"/>
    </row>
    <row r="4457">
      <c r="A4457" s="49">
        <v>45067.54486072916</v>
      </c>
      <c r="B4457" s="50">
        <v>45067.669835706</v>
      </c>
      <c r="C4457" s="51">
        <v>1.013</v>
      </c>
      <c r="D4457" s="51">
        <v>66.0</v>
      </c>
      <c r="E4457" s="52" t="s">
        <v>25</v>
      </c>
      <c r="F4457" s="52" t="s">
        <v>26</v>
      </c>
      <c r="G4457" s="53"/>
    </row>
    <row r="4458">
      <c r="A4458" s="49">
        <v>45067.555277824074</v>
      </c>
      <c r="B4458" s="50">
        <v>45067.6802562152</v>
      </c>
      <c r="C4458" s="51">
        <v>1.013</v>
      </c>
      <c r="D4458" s="51">
        <v>66.0</v>
      </c>
      <c r="E4458" s="52" t="s">
        <v>25</v>
      </c>
      <c r="F4458" s="52" t="s">
        <v>26</v>
      </c>
      <c r="G4458" s="53"/>
    </row>
    <row r="4459">
      <c r="A4459" s="49">
        <v>45067.5657091551</v>
      </c>
      <c r="B4459" s="50">
        <v>45067.6906891551</v>
      </c>
      <c r="C4459" s="51">
        <v>1.013</v>
      </c>
      <c r="D4459" s="51">
        <v>66.0</v>
      </c>
      <c r="E4459" s="52" t="s">
        <v>25</v>
      </c>
      <c r="F4459" s="52" t="s">
        <v>26</v>
      </c>
      <c r="G4459" s="53"/>
    </row>
    <row r="4460">
      <c r="A4460" s="49">
        <v>45067.57612431713</v>
      </c>
      <c r="B4460" s="50">
        <v>45067.7011096527</v>
      </c>
      <c r="C4460" s="51">
        <v>1.012</v>
      </c>
      <c r="D4460" s="51">
        <v>66.0</v>
      </c>
      <c r="E4460" s="52" t="s">
        <v>25</v>
      </c>
      <c r="F4460" s="52" t="s">
        <v>26</v>
      </c>
      <c r="G4460" s="53"/>
    </row>
    <row r="4461">
      <c r="A4461" s="49">
        <v>45067.586556979164</v>
      </c>
      <c r="B4461" s="50">
        <v>45067.7115403935</v>
      </c>
      <c r="C4461" s="51">
        <v>1.012</v>
      </c>
      <c r="D4461" s="51">
        <v>66.0</v>
      </c>
      <c r="E4461" s="52" t="s">
        <v>25</v>
      </c>
      <c r="F4461" s="52" t="s">
        <v>26</v>
      </c>
      <c r="G4461" s="53"/>
    </row>
    <row r="4462">
      <c r="A4462" s="49">
        <v>45067.59699351852</v>
      </c>
      <c r="B4462" s="50">
        <v>45067.721973206</v>
      </c>
      <c r="C4462" s="51">
        <v>1.012</v>
      </c>
      <c r="D4462" s="51">
        <v>66.0</v>
      </c>
      <c r="E4462" s="52" t="s">
        <v>25</v>
      </c>
      <c r="F4462" s="52" t="s">
        <v>26</v>
      </c>
      <c r="G4462" s="53"/>
    </row>
    <row r="4463">
      <c r="A4463" s="49">
        <v>45067.60742892361</v>
      </c>
      <c r="B4463" s="50">
        <v>45067.7324043634</v>
      </c>
      <c r="C4463" s="51">
        <v>1.012</v>
      </c>
      <c r="D4463" s="51">
        <v>66.0</v>
      </c>
      <c r="E4463" s="52" t="s">
        <v>25</v>
      </c>
      <c r="F4463" s="52" t="s">
        <v>26</v>
      </c>
      <c r="G4463" s="53"/>
    </row>
    <row r="4464">
      <c r="A4464" s="49">
        <v>45067.61784847222</v>
      </c>
      <c r="B4464" s="50">
        <v>45067.7428250115</v>
      </c>
      <c r="C4464" s="51">
        <v>1.012</v>
      </c>
      <c r="D4464" s="51">
        <v>66.0</v>
      </c>
      <c r="E4464" s="52" t="s">
        <v>25</v>
      </c>
      <c r="F4464" s="52" t="s">
        <v>26</v>
      </c>
      <c r="G4464" s="53"/>
    </row>
    <row r="4465">
      <c r="A4465" s="49">
        <v>45067.62827084491</v>
      </c>
      <c r="B4465" s="50">
        <v>45067.7532482986</v>
      </c>
      <c r="C4465" s="51">
        <v>1.013</v>
      </c>
      <c r="D4465" s="51">
        <v>66.0</v>
      </c>
      <c r="E4465" s="52" t="s">
        <v>25</v>
      </c>
      <c r="F4465" s="52" t="s">
        <v>26</v>
      </c>
      <c r="G4465" s="53"/>
    </row>
    <row r="4466">
      <c r="A4466" s="49">
        <v>45067.638771087964</v>
      </c>
      <c r="B4466" s="50">
        <v>45067.76375</v>
      </c>
      <c r="C4466" s="51">
        <v>1.012</v>
      </c>
      <c r="D4466" s="51">
        <v>66.0</v>
      </c>
      <c r="E4466" s="52" t="s">
        <v>25</v>
      </c>
      <c r="F4466" s="52" t="s">
        <v>26</v>
      </c>
      <c r="G4466" s="53"/>
    </row>
    <row r="4467">
      <c r="A4467" s="49">
        <v>45067.649195370366</v>
      </c>
      <c r="B4467" s="50">
        <v>45067.7741719213</v>
      </c>
      <c r="C4467" s="51">
        <v>1.012</v>
      </c>
      <c r="D4467" s="51">
        <v>66.0</v>
      </c>
      <c r="E4467" s="52" t="s">
        <v>25</v>
      </c>
      <c r="F4467" s="52" t="s">
        <v>26</v>
      </c>
      <c r="G4467" s="53"/>
    </row>
    <row r="4468">
      <c r="A4468" s="49">
        <v>45067.65961293981</v>
      </c>
      <c r="B4468" s="50">
        <v>45067.7845915856</v>
      </c>
      <c r="C4468" s="51">
        <v>1.012</v>
      </c>
      <c r="D4468" s="51">
        <v>66.0</v>
      </c>
      <c r="E4468" s="52" t="s">
        <v>25</v>
      </c>
      <c r="F4468" s="52" t="s">
        <v>26</v>
      </c>
      <c r="G4468" s="53"/>
    </row>
    <row r="4469">
      <c r="A4469" s="49">
        <v>45067.670035462965</v>
      </c>
      <c r="B4469" s="50">
        <v>45067.7950134027</v>
      </c>
      <c r="C4469" s="51">
        <v>1.012</v>
      </c>
      <c r="D4469" s="51">
        <v>66.0</v>
      </c>
      <c r="E4469" s="52" t="s">
        <v>25</v>
      </c>
      <c r="F4469" s="52" t="s">
        <v>26</v>
      </c>
      <c r="G4469" s="53"/>
    </row>
    <row r="4470">
      <c r="A4470" s="49">
        <v>45067.6804727662</v>
      </c>
      <c r="B4470" s="50">
        <v>45067.8054462037</v>
      </c>
      <c r="C4470" s="51">
        <v>1.013</v>
      </c>
      <c r="D4470" s="51">
        <v>66.0</v>
      </c>
      <c r="E4470" s="52" t="s">
        <v>25</v>
      </c>
      <c r="F4470" s="52" t="s">
        <v>26</v>
      </c>
      <c r="G4470" s="53"/>
    </row>
    <row r="4471">
      <c r="A4471" s="49">
        <v>45067.69090519676</v>
      </c>
      <c r="B4471" s="50">
        <v>45067.8158783912</v>
      </c>
      <c r="C4471" s="51">
        <v>1.012</v>
      </c>
      <c r="D4471" s="51">
        <v>66.0</v>
      </c>
      <c r="E4471" s="52" t="s">
        <v>25</v>
      </c>
      <c r="F4471" s="52" t="s">
        <v>26</v>
      </c>
      <c r="G4471" s="53"/>
    </row>
    <row r="4472">
      <c r="A4472" s="49">
        <v>45067.70137217593</v>
      </c>
      <c r="B4472" s="50">
        <v>45067.8263463425</v>
      </c>
      <c r="C4472" s="51">
        <v>1.013</v>
      </c>
      <c r="D4472" s="51">
        <v>66.0</v>
      </c>
      <c r="E4472" s="52" t="s">
        <v>25</v>
      </c>
      <c r="F4472" s="52" t="s">
        <v>26</v>
      </c>
      <c r="G4472" s="53"/>
    </row>
    <row r="4473">
      <c r="A4473" s="49">
        <v>45067.71180020833</v>
      </c>
      <c r="B4473" s="50">
        <v>45067.8367786805</v>
      </c>
      <c r="C4473" s="51">
        <v>1.012</v>
      </c>
      <c r="D4473" s="51">
        <v>66.0</v>
      </c>
      <c r="E4473" s="52" t="s">
        <v>25</v>
      </c>
      <c r="F4473" s="52" t="s">
        <v>26</v>
      </c>
      <c r="G4473" s="53"/>
    </row>
    <row r="4474">
      <c r="A4474" s="49">
        <v>45067.722294039355</v>
      </c>
      <c r="B4474" s="50">
        <v>45067.8472705092</v>
      </c>
      <c r="C4474" s="51">
        <v>1.012</v>
      </c>
      <c r="D4474" s="51">
        <v>66.0</v>
      </c>
      <c r="E4474" s="52" t="s">
        <v>25</v>
      </c>
      <c r="F4474" s="52" t="s">
        <v>26</v>
      </c>
      <c r="G4474" s="53"/>
    </row>
    <row r="4475">
      <c r="A4475" s="49">
        <v>45067.732724270834</v>
      </c>
      <c r="B4475" s="50">
        <v>45067.8577027314</v>
      </c>
      <c r="C4475" s="51">
        <v>1.012</v>
      </c>
      <c r="D4475" s="51">
        <v>66.0</v>
      </c>
      <c r="E4475" s="52" t="s">
        <v>25</v>
      </c>
      <c r="F4475" s="52" t="s">
        <v>26</v>
      </c>
      <c r="G4475" s="53"/>
    </row>
    <row r="4476">
      <c r="A4476" s="49">
        <v>45067.743189988425</v>
      </c>
      <c r="B4476" s="50">
        <v>45067.8681590277</v>
      </c>
      <c r="C4476" s="51">
        <v>1.013</v>
      </c>
      <c r="D4476" s="51">
        <v>66.0</v>
      </c>
      <c r="E4476" s="52" t="s">
        <v>25</v>
      </c>
      <c r="F4476" s="52" t="s">
        <v>26</v>
      </c>
      <c r="G4476" s="53"/>
    </row>
    <row r="4477">
      <c r="A4477" s="49">
        <v>45067.753627847225</v>
      </c>
      <c r="B4477" s="50">
        <v>45067.8786036805</v>
      </c>
      <c r="C4477" s="51">
        <v>1.013</v>
      </c>
      <c r="D4477" s="51">
        <v>66.0</v>
      </c>
      <c r="E4477" s="52" t="s">
        <v>25</v>
      </c>
      <c r="F4477" s="52" t="s">
        <v>26</v>
      </c>
      <c r="G4477" s="53"/>
    </row>
    <row r="4478">
      <c r="A4478" s="49">
        <v>45067.76405128472</v>
      </c>
      <c r="B4478" s="50">
        <v>45067.8890235532</v>
      </c>
      <c r="C4478" s="51">
        <v>1.012</v>
      </c>
      <c r="D4478" s="51">
        <v>66.0</v>
      </c>
      <c r="E4478" s="52" t="s">
        <v>25</v>
      </c>
      <c r="F4478" s="52" t="s">
        <v>26</v>
      </c>
      <c r="G4478" s="53"/>
    </row>
    <row r="4479">
      <c r="A4479" s="49">
        <v>45067.774527835645</v>
      </c>
      <c r="B4479" s="50">
        <v>45067.8995016435</v>
      </c>
      <c r="C4479" s="51">
        <v>1.012</v>
      </c>
      <c r="D4479" s="51">
        <v>66.0</v>
      </c>
      <c r="E4479" s="52" t="s">
        <v>25</v>
      </c>
      <c r="F4479" s="52" t="s">
        <v>26</v>
      </c>
      <c r="G4479" s="53"/>
    </row>
    <row r="4480">
      <c r="A4480" s="49">
        <v>45067.784971354165</v>
      </c>
      <c r="B4480" s="50">
        <v>45067.9099453703</v>
      </c>
      <c r="C4480" s="51">
        <v>1.012</v>
      </c>
      <c r="D4480" s="51">
        <v>66.0</v>
      </c>
      <c r="E4480" s="52" t="s">
        <v>25</v>
      </c>
      <c r="F4480" s="52" t="s">
        <v>26</v>
      </c>
      <c r="G4480" s="53"/>
    </row>
    <row r="4481">
      <c r="A4481" s="49">
        <v>45067.79539196759</v>
      </c>
      <c r="B4481" s="50">
        <v>45067.9203665625</v>
      </c>
      <c r="C4481" s="51">
        <v>1.012</v>
      </c>
      <c r="D4481" s="51">
        <v>66.0</v>
      </c>
      <c r="E4481" s="52" t="s">
        <v>25</v>
      </c>
      <c r="F4481" s="52" t="s">
        <v>26</v>
      </c>
      <c r="G4481" s="53"/>
    </row>
    <row r="4482">
      <c r="A4482" s="49">
        <v>45067.805814189815</v>
      </c>
      <c r="B4482" s="50">
        <v>45067.9307865393</v>
      </c>
      <c r="C4482" s="51">
        <v>1.013</v>
      </c>
      <c r="D4482" s="51">
        <v>66.0</v>
      </c>
      <c r="E4482" s="52" t="s">
        <v>25</v>
      </c>
      <c r="F4482" s="52" t="s">
        <v>26</v>
      </c>
      <c r="G4482" s="53"/>
    </row>
    <row r="4483">
      <c r="A4483" s="49">
        <v>45067.81623577546</v>
      </c>
      <c r="B4483" s="50">
        <v>45067.9412174074</v>
      </c>
      <c r="C4483" s="51">
        <v>1.012</v>
      </c>
      <c r="D4483" s="51">
        <v>66.0</v>
      </c>
      <c r="E4483" s="52" t="s">
        <v>25</v>
      </c>
      <c r="F4483" s="52" t="s">
        <v>26</v>
      </c>
      <c r="G4483" s="53"/>
    </row>
    <row r="4484">
      <c r="A4484" s="49">
        <v>45067.8266994213</v>
      </c>
      <c r="B4484" s="50">
        <v>45067.9516721412</v>
      </c>
      <c r="C4484" s="51">
        <v>1.012</v>
      </c>
      <c r="D4484" s="51">
        <v>66.0</v>
      </c>
      <c r="E4484" s="52" t="s">
        <v>25</v>
      </c>
      <c r="F4484" s="52" t="s">
        <v>26</v>
      </c>
      <c r="G4484" s="53"/>
    </row>
    <row r="4485">
      <c r="A4485" s="49">
        <v>45067.83711662037</v>
      </c>
      <c r="B4485" s="50">
        <v>45067.9620915856</v>
      </c>
      <c r="C4485" s="51">
        <v>1.012</v>
      </c>
      <c r="D4485" s="51">
        <v>66.0</v>
      </c>
      <c r="E4485" s="52" t="s">
        <v>25</v>
      </c>
      <c r="F4485" s="52" t="s">
        <v>26</v>
      </c>
      <c r="G4485" s="53"/>
    </row>
    <row r="4486">
      <c r="A4486" s="49">
        <v>45067.84753813657</v>
      </c>
      <c r="B4486" s="50">
        <v>45067.9725129166</v>
      </c>
      <c r="C4486" s="51">
        <v>1.013</v>
      </c>
      <c r="D4486" s="51">
        <v>66.0</v>
      </c>
      <c r="E4486" s="52" t="s">
        <v>25</v>
      </c>
      <c r="F4486" s="52" t="s">
        <v>26</v>
      </c>
      <c r="G4486" s="53"/>
    </row>
    <row r="4487">
      <c r="A4487" s="49">
        <v>45067.85797315973</v>
      </c>
      <c r="B4487" s="50">
        <v>45067.9829565277</v>
      </c>
      <c r="C4487" s="51">
        <v>1.012</v>
      </c>
      <c r="D4487" s="51">
        <v>66.0</v>
      </c>
      <c r="E4487" s="52" t="s">
        <v>25</v>
      </c>
      <c r="F4487" s="52" t="s">
        <v>26</v>
      </c>
      <c r="G4487" s="53"/>
    </row>
    <row r="4488">
      <c r="A4488" s="49">
        <v>45067.86841633102</v>
      </c>
      <c r="B4488" s="50">
        <v>45067.9933896759</v>
      </c>
      <c r="C4488" s="51">
        <v>1.012</v>
      </c>
      <c r="D4488" s="51">
        <v>66.0</v>
      </c>
      <c r="E4488" s="52" t="s">
        <v>25</v>
      </c>
      <c r="F4488" s="52" t="s">
        <v>26</v>
      </c>
      <c r="G4488" s="53"/>
    </row>
    <row r="4489">
      <c r="A4489" s="49">
        <v>45067.878839745375</v>
      </c>
      <c r="B4489" s="50">
        <v>45068.0038229513</v>
      </c>
      <c r="C4489" s="51">
        <v>1.012</v>
      </c>
      <c r="D4489" s="51">
        <v>66.0</v>
      </c>
      <c r="E4489" s="52" t="s">
        <v>25</v>
      </c>
      <c r="F4489" s="52" t="s">
        <v>26</v>
      </c>
      <c r="G4489" s="53"/>
    </row>
    <row r="4490">
      <c r="A4490" s="49">
        <v>45067.889345567135</v>
      </c>
      <c r="B4490" s="50">
        <v>45068.0142569907</v>
      </c>
      <c r="C4490" s="51">
        <v>1.012</v>
      </c>
      <c r="D4490" s="51">
        <v>66.0</v>
      </c>
      <c r="E4490" s="52" t="s">
        <v>25</v>
      </c>
      <c r="F4490" s="52" t="s">
        <v>26</v>
      </c>
      <c r="G4490" s="53"/>
    </row>
    <row r="4491">
      <c r="A4491" s="49">
        <v>45067.89972590278</v>
      </c>
      <c r="B4491" s="50">
        <v>45068.024703368</v>
      </c>
      <c r="C4491" s="51">
        <v>1.012</v>
      </c>
      <c r="D4491" s="51">
        <v>66.0</v>
      </c>
      <c r="E4491" s="52" t="s">
        <v>25</v>
      </c>
      <c r="F4491" s="52" t="s">
        <v>26</v>
      </c>
      <c r="G4491" s="53"/>
    </row>
    <row r="4492">
      <c r="A4492" s="49">
        <v>45067.910155046295</v>
      </c>
      <c r="B4492" s="50">
        <v>45068.0351364699</v>
      </c>
      <c r="C4492" s="51">
        <v>1.012</v>
      </c>
      <c r="D4492" s="51">
        <v>66.0</v>
      </c>
      <c r="E4492" s="52" t="s">
        <v>25</v>
      </c>
      <c r="F4492" s="52" t="s">
        <v>26</v>
      </c>
      <c r="G4492" s="53"/>
    </row>
    <row r="4493">
      <c r="A4493" s="49">
        <v>45067.92060267361</v>
      </c>
      <c r="B4493" s="50">
        <v>45068.0455804282</v>
      </c>
      <c r="C4493" s="51">
        <v>1.012</v>
      </c>
      <c r="D4493" s="51">
        <v>66.0</v>
      </c>
      <c r="E4493" s="52" t="s">
        <v>25</v>
      </c>
      <c r="F4493" s="52" t="s">
        <v>26</v>
      </c>
      <c r="G4493" s="53"/>
    </row>
    <row r="4494">
      <c r="A4494" s="49">
        <v>45067.93102615741</v>
      </c>
      <c r="B4494" s="50">
        <v>45068.0560005208</v>
      </c>
      <c r="C4494" s="51">
        <v>1.012</v>
      </c>
      <c r="D4494" s="51">
        <v>66.0</v>
      </c>
      <c r="E4494" s="52" t="s">
        <v>25</v>
      </c>
      <c r="F4494" s="52" t="s">
        <v>26</v>
      </c>
      <c r="G4494" s="53"/>
    </row>
    <row r="4495">
      <c r="A4495" s="49">
        <v>45067.941445081015</v>
      </c>
      <c r="B4495" s="50">
        <v>45068.0664208796</v>
      </c>
      <c r="C4495" s="51">
        <v>1.012</v>
      </c>
      <c r="D4495" s="51">
        <v>66.0</v>
      </c>
      <c r="E4495" s="52" t="s">
        <v>25</v>
      </c>
      <c r="F4495" s="52" t="s">
        <v>26</v>
      </c>
      <c r="G4495" s="53"/>
    </row>
    <row r="4496">
      <c r="A4496" s="49">
        <v>45067.95187525463</v>
      </c>
      <c r="B4496" s="50">
        <v>45068.0768534027</v>
      </c>
      <c r="C4496" s="51">
        <v>1.012</v>
      </c>
      <c r="D4496" s="51">
        <v>66.0</v>
      </c>
      <c r="E4496" s="52" t="s">
        <v>25</v>
      </c>
      <c r="F4496" s="52" t="s">
        <v>26</v>
      </c>
      <c r="G4496" s="53"/>
    </row>
    <row r="4497">
      <c r="A4497" s="49">
        <v>45067.96232133102</v>
      </c>
      <c r="B4497" s="50">
        <v>45068.0872989236</v>
      </c>
      <c r="C4497" s="51">
        <v>1.012</v>
      </c>
      <c r="D4497" s="51">
        <v>66.0</v>
      </c>
      <c r="E4497" s="52" t="s">
        <v>25</v>
      </c>
      <c r="F4497" s="52" t="s">
        <v>26</v>
      </c>
      <c r="G4497" s="53"/>
    </row>
    <row r="4498">
      <c r="A4498" s="49">
        <v>45067.97275616898</v>
      </c>
      <c r="B4498" s="50">
        <v>45068.0977206597</v>
      </c>
      <c r="C4498" s="51">
        <v>1.012</v>
      </c>
      <c r="D4498" s="51">
        <v>66.0</v>
      </c>
      <c r="E4498" s="52" t="s">
        <v>25</v>
      </c>
      <c r="F4498" s="52" t="s">
        <v>26</v>
      </c>
      <c r="G4498" s="53"/>
    </row>
    <row r="4499">
      <c r="A4499" s="49">
        <v>45067.983190300925</v>
      </c>
      <c r="B4499" s="50">
        <v>45068.108163993</v>
      </c>
      <c r="C4499" s="51">
        <v>1.012</v>
      </c>
      <c r="D4499" s="51">
        <v>66.0</v>
      </c>
      <c r="E4499" s="52" t="s">
        <v>25</v>
      </c>
      <c r="F4499" s="52" t="s">
        <v>26</v>
      </c>
      <c r="G4499" s="53"/>
    </row>
    <row r="4500">
      <c r="A4500" s="49">
        <v>45067.99361172454</v>
      </c>
      <c r="B4500" s="50">
        <v>45068.1185857291</v>
      </c>
      <c r="C4500" s="51">
        <v>1.012</v>
      </c>
      <c r="D4500" s="51">
        <v>66.0</v>
      </c>
      <c r="E4500" s="52" t="s">
        <v>25</v>
      </c>
      <c r="F4500" s="52" t="s">
        <v>26</v>
      </c>
      <c r="G4500" s="53"/>
    </row>
    <row r="4501">
      <c r="A4501" s="49">
        <v>45068.00404028935</v>
      </c>
      <c r="B4501" s="50">
        <v>45068.1290064351</v>
      </c>
      <c r="C4501" s="51">
        <v>1.012</v>
      </c>
      <c r="D4501" s="51">
        <v>66.0</v>
      </c>
      <c r="E4501" s="52" t="s">
        <v>25</v>
      </c>
      <c r="F4501" s="52" t="s">
        <v>26</v>
      </c>
      <c r="G4501" s="53"/>
    </row>
    <row r="4502">
      <c r="A4502" s="49">
        <v>45068.01447722223</v>
      </c>
      <c r="B4502" s="50">
        <v>45068.1394512268</v>
      </c>
      <c r="C4502" s="51">
        <v>1.012</v>
      </c>
      <c r="D4502" s="51">
        <v>66.0</v>
      </c>
      <c r="E4502" s="52" t="s">
        <v>25</v>
      </c>
      <c r="F4502" s="52" t="s">
        <v>26</v>
      </c>
      <c r="G4502" s="53"/>
    </row>
    <row r="4503">
      <c r="A4503" s="49">
        <v>45068.0249119213</v>
      </c>
      <c r="B4503" s="50">
        <v>45068.1498847338</v>
      </c>
      <c r="C4503" s="51">
        <v>1.013</v>
      </c>
      <c r="D4503" s="51">
        <v>66.0</v>
      </c>
      <c r="E4503" s="52" t="s">
        <v>25</v>
      </c>
      <c r="F4503" s="52" t="s">
        <v>26</v>
      </c>
      <c r="G4503" s="53"/>
    </row>
    <row r="4504">
      <c r="A4504" s="49">
        <v>45068.03534553241</v>
      </c>
      <c r="B4504" s="50">
        <v>45068.1603189351</v>
      </c>
      <c r="C4504" s="51">
        <v>1.012</v>
      </c>
      <c r="D4504" s="51">
        <v>66.0</v>
      </c>
      <c r="E4504" s="52" t="s">
        <v>25</v>
      </c>
      <c r="F4504" s="52" t="s">
        <v>26</v>
      </c>
      <c r="G4504" s="53"/>
    </row>
    <row r="4505">
      <c r="A4505" s="49">
        <v>45068.04578501158</v>
      </c>
      <c r="B4505" s="50">
        <v>45068.1707649421</v>
      </c>
      <c r="C4505" s="51">
        <v>1.012</v>
      </c>
      <c r="D4505" s="51">
        <v>66.0</v>
      </c>
      <c r="E4505" s="52" t="s">
        <v>25</v>
      </c>
      <c r="F4505" s="52" t="s">
        <v>26</v>
      </c>
      <c r="G4505" s="53"/>
    </row>
    <row r="4506">
      <c r="A4506" s="49">
        <v>45068.05620990741</v>
      </c>
      <c r="B4506" s="50">
        <v>45068.181186493</v>
      </c>
      <c r="C4506" s="51">
        <v>1.012</v>
      </c>
      <c r="D4506" s="51">
        <v>66.0</v>
      </c>
      <c r="E4506" s="52" t="s">
        <v>25</v>
      </c>
      <c r="F4506" s="52" t="s">
        <v>26</v>
      </c>
      <c r="G4506" s="53"/>
    </row>
    <row r="4507">
      <c r="A4507" s="49">
        <v>45068.066624907406</v>
      </c>
      <c r="B4507" s="50">
        <v>45068.1916090509</v>
      </c>
      <c r="C4507" s="51">
        <v>1.012</v>
      </c>
      <c r="D4507" s="51">
        <v>66.0</v>
      </c>
      <c r="E4507" s="52" t="s">
        <v>25</v>
      </c>
      <c r="F4507" s="52" t="s">
        <v>26</v>
      </c>
      <c r="G4507" s="53"/>
    </row>
    <row r="4508">
      <c r="A4508" s="49">
        <v>45068.07706585648</v>
      </c>
      <c r="B4508" s="50">
        <v>45068.2020424884</v>
      </c>
      <c r="C4508" s="51">
        <v>1.012</v>
      </c>
      <c r="D4508" s="51">
        <v>66.0</v>
      </c>
      <c r="E4508" s="52" t="s">
        <v>25</v>
      </c>
      <c r="F4508" s="52" t="s">
        <v>26</v>
      </c>
      <c r="G4508" s="53"/>
    </row>
    <row r="4509">
      <c r="A4509" s="49">
        <v>45068.08750533564</v>
      </c>
      <c r="B4509" s="50">
        <v>45068.2124751967</v>
      </c>
      <c r="C4509" s="51">
        <v>1.012</v>
      </c>
      <c r="D4509" s="51">
        <v>66.0</v>
      </c>
      <c r="E4509" s="52" t="s">
        <v>25</v>
      </c>
      <c r="F4509" s="52" t="s">
        <v>26</v>
      </c>
      <c r="G4509" s="53"/>
    </row>
    <row r="4510">
      <c r="A4510" s="49">
        <v>45068.097924664355</v>
      </c>
      <c r="B4510" s="50">
        <v>45068.2228961805</v>
      </c>
      <c r="C4510" s="51">
        <v>1.012</v>
      </c>
      <c r="D4510" s="51">
        <v>66.0</v>
      </c>
      <c r="E4510" s="52" t="s">
        <v>25</v>
      </c>
      <c r="F4510" s="52" t="s">
        <v>26</v>
      </c>
      <c r="G4510" s="53"/>
    </row>
    <row r="4511">
      <c r="A4511" s="49">
        <v>45068.10834230324</v>
      </c>
      <c r="B4511" s="50">
        <v>45068.2333180324</v>
      </c>
      <c r="C4511" s="51">
        <v>1.012</v>
      </c>
      <c r="D4511" s="51">
        <v>66.0</v>
      </c>
      <c r="E4511" s="52" t="s">
        <v>25</v>
      </c>
      <c r="F4511" s="52" t="s">
        <v>26</v>
      </c>
      <c r="G4511" s="53"/>
    </row>
    <row r="4512">
      <c r="A4512" s="49">
        <v>45068.118770416666</v>
      </c>
      <c r="B4512" s="50">
        <v>45068.24373978</v>
      </c>
      <c r="C4512" s="51">
        <v>1.012</v>
      </c>
      <c r="D4512" s="51">
        <v>66.0</v>
      </c>
      <c r="E4512" s="52" t="s">
        <v>25</v>
      </c>
      <c r="F4512" s="52" t="s">
        <v>26</v>
      </c>
      <c r="G4512" s="53"/>
    </row>
    <row r="4513">
      <c r="A4513" s="49">
        <v>45068.12921092592</v>
      </c>
      <c r="B4513" s="50">
        <v>45068.2541955092</v>
      </c>
      <c r="C4513" s="51">
        <v>1.012</v>
      </c>
      <c r="D4513" s="51">
        <v>66.0</v>
      </c>
      <c r="E4513" s="52" t="s">
        <v>25</v>
      </c>
      <c r="F4513" s="52" t="s">
        <v>26</v>
      </c>
      <c r="G4513" s="53"/>
    </row>
    <row r="4514">
      <c r="A4514" s="49">
        <v>45068.13965386574</v>
      </c>
      <c r="B4514" s="50">
        <v>45068.2646280324</v>
      </c>
      <c r="C4514" s="51">
        <v>1.012</v>
      </c>
      <c r="D4514" s="51">
        <v>66.0</v>
      </c>
      <c r="E4514" s="52" t="s">
        <v>25</v>
      </c>
      <c r="F4514" s="52" t="s">
        <v>26</v>
      </c>
      <c r="G4514" s="53"/>
    </row>
    <row r="4515">
      <c r="A4515" s="49">
        <v>45068.150078437495</v>
      </c>
      <c r="B4515" s="50">
        <v>45068.2750492708</v>
      </c>
      <c r="C4515" s="51">
        <v>1.012</v>
      </c>
      <c r="D4515" s="51">
        <v>66.0</v>
      </c>
      <c r="E4515" s="52" t="s">
        <v>25</v>
      </c>
      <c r="F4515" s="52" t="s">
        <v>26</v>
      </c>
      <c r="G4515" s="53"/>
    </row>
    <row r="4516">
      <c r="A4516" s="49">
        <v>45068.16049712963</v>
      </c>
      <c r="B4516" s="50">
        <v>45068.2854705324</v>
      </c>
      <c r="C4516" s="51">
        <v>1.012</v>
      </c>
      <c r="D4516" s="51">
        <v>66.0</v>
      </c>
      <c r="E4516" s="52" t="s">
        <v>25</v>
      </c>
      <c r="F4516" s="52" t="s">
        <v>26</v>
      </c>
      <c r="G4516" s="53"/>
    </row>
    <row r="4517">
      <c r="A4517" s="49">
        <v>45068.17094116898</v>
      </c>
      <c r="B4517" s="50">
        <v>45068.2959142476</v>
      </c>
      <c r="C4517" s="51">
        <v>1.012</v>
      </c>
      <c r="D4517" s="51">
        <v>66.0</v>
      </c>
      <c r="E4517" s="52" t="s">
        <v>25</v>
      </c>
      <c r="F4517" s="52" t="s">
        <v>26</v>
      </c>
      <c r="G4517" s="53"/>
    </row>
    <row r="4518">
      <c r="A4518" s="49">
        <v>45068.18138751158</v>
      </c>
      <c r="B4518" s="50">
        <v>45068.30635875</v>
      </c>
      <c r="C4518" s="51">
        <v>1.012</v>
      </c>
      <c r="D4518" s="51">
        <v>66.0</v>
      </c>
      <c r="E4518" s="52" t="s">
        <v>25</v>
      </c>
      <c r="F4518" s="52" t="s">
        <v>26</v>
      </c>
      <c r="G4518" s="53"/>
    </row>
    <row r="4519">
      <c r="A4519" s="49">
        <v>45068.19182910879</v>
      </c>
      <c r="B4519" s="50">
        <v>45068.3168025</v>
      </c>
      <c r="C4519" s="51">
        <v>1.012</v>
      </c>
      <c r="D4519" s="51">
        <v>66.0</v>
      </c>
      <c r="E4519" s="52" t="s">
        <v>25</v>
      </c>
      <c r="F4519" s="52" t="s">
        <v>26</v>
      </c>
      <c r="G4519" s="53"/>
    </row>
    <row r="4520">
      <c r="A4520" s="49">
        <v>45068.202252731484</v>
      </c>
      <c r="B4520" s="50">
        <v>45068.3272232638</v>
      </c>
      <c r="C4520" s="51">
        <v>1.012</v>
      </c>
      <c r="D4520" s="51">
        <v>66.0</v>
      </c>
      <c r="E4520" s="52" t="s">
        <v>25</v>
      </c>
      <c r="F4520" s="52" t="s">
        <v>26</v>
      </c>
      <c r="G4520" s="53"/>
    </row>
    <row r="4521">
      <c r="A4521" s="49">
        <v>45068.21267234954</v>
      </c>
      <c r="B4521" s="50">
        <v>45068.3376441088</v>
      </c>
      <c r="C4521" s="51">
        <v>1.012</v>
      </c>
      <c r="D4521" s="51">
        <v>66.0</v>
      </c>
      <c r="E4521" s="52" t="s">
        <v>25</v>
      </c>
      <c r="F4521" s="52" t="s">
        <v>26</v>
      </c>
      <c r="G4521" s="53"/>
    </row>
    <row r="4522">
      <c r="A4522" s="49">
        <v>45068.22309939815</v>
      </c>
      <c r="B4522" s="50">
        <v>45068.3480643287</v>
      </c>
      <c r="C4522" s="51">
        <v>1.012</v>
      </c>
      <c r="D4522" s="51">
        <v>66.0</v>
      </c>
      <c r="E4522" s="52" t="s">
        <v>25</v>
      </c>
      <c r="F4522" s="52" t="s">
        <v>26</v>
      </c>
      <c r="G4522" s="53"/>
    </row>
    <row r="4523">
      <c r="A4523" s="49">
        <v>45068.2335109375</v>
      </c>
      <c r="B4523" s="50">
        <v>45068.3584860185</v>
      </c>
      <c r="C4523" s="51">
        <v>1.012</v>
      </c>
      <c r="D4523" s="51">
        <v>66.0</v>
      </c>
      <c r="E4523" s="52" t="s">
        <v>25</v>
      </c>
      <c r="F4523" s="52" t="s">
        <v>26</v>
      </c>
      <c r="G4523" s="53"/>
    </row>
    <row r="4524">
      <c r="A4524" s="49">
        <v>45068.243943043984</v>
      </c>
      <c r="B4524" s="50">
        <v>45068.3689193287</v>
      </c>
      <c r="C4524" s="51">
        <v>1.013</v>
      </c>
      <c r="D4524" s="51">
        <v>66.0</v>
      </c>
      <c r="E4524" s="52" t="s">
        <v>25</v>
      </c>
      <c r="F4524" s="52" t="s">
        <v>26</v>
      </c>
      <c r="G4524" s="53"/>
    </row>
    <row r="4525">
      <c r="A4525" s="49">
        <v>45068.2543622338</v>
      </c>
      <c r="B4525" s="50">
        <v>45068.3793392361</v>
      </c>
      <c r="C4525" s="51">
        <v>1.012</v>
      </c>
      <c r="D4525" s="51">
        <v>66.0</v>
      </c>
      <c r="E4525" s="52" t="s">
        <v>25</v>
      </c>
      <c r="F4525" s="52" t="s">
        <v>26</v>
      </c>
      <c r="G4525" s="53"/>
    </row>
    <row r="4526">
      <c r="A4526" s="49">
        <v>45068.26479202547</v>
      </c>
      <c r="B4526" s="50">
        <v>45068.3897606018</v>
      </c>
      <c r="C4526" s="51">
        <v>1.012</v>
      </c>
      <c r="D4526" s="51">
        <v>66.0</v>
      </c>
      <c r="E4526" s="52" t="s">
        <v>25</v>
      </c>
      <c r="F4526" s="52" t="s">
        <v>26</v>
      </c>
      <c r="G4526" s="53"/>
    </row>
    <row r="4527">
      <c r="A4527" s="49">
        <v>45068.27523385416</v>
      </c>
      <c r="B4527" s="50">
        <v>45068.4002057986</v>
      </c>
      <c r="C4527" s="51">
        <v>1.012</v>
      </c>
      <c r="D4527" s="51">
        <v>66.0</v>
      </c>
      <c r="E4527" s="52" t="s">
        <v>25</v>
      </c>
      <c r="F4527" s="52" t="s">
        <v>26</v>
      </c>
      <c r="G4527" s="53"/>
    </row>
    <row r="4528">
      <c r="A4528" s="49">
        <v>45068.28568509259</v>
      </c>
      <c r="B4528" s="50">
        <v>45068.410649618</v>
      </c>
      <c r="C4528" s="51">
        <v>1.012</v>
      </c>
      <c r="D4528" s="51">
        <v>66.0</v>
      </c>
      <c r="E4528" s="52" t="s">
        <v>25</v>
      </c>
      <c r="F4528" s="52" t="s">
        <v>26</v>
      </c>
      <c r="G4528" s="53"/>
    </row>
    <row r="4529">
      <c r="A4529" s="49">
        <v>45068.29612690972</v>
      </c>
      <c r="B4529" s="50">
        <v>45068.4211070254</v>
      </c>
      <c r="C4529" s="51">
        <v>1.012</v>
      </c>
      <c r="D4529" s="51">
        <v>66.0</v>
      </c>
      <c r="E4529" s="52" t="s">
        <v>25</v>
      </c>
      <c r="F4529" s="52" t="s">
        <v>26</v>
      </c>
      <c r="G4529" s="53"/>
    </row>
    <row r="4530">
      <c r="A4530" s="49">
        <v>45068.30655715278</v>
      </c>
      <c r="B4530" s="50">
        <v>45068.4315287268</v>
      </c>
      <c r="C4530" s="51">
        <v>1.012</v>
      </c>
      <c r="D4530" s="51">
        <v>66.0</v>
      </c>
      <c r="E4530" s="52" t="s">
        <v>25</v>
      </c>
      <c r="F4530" s="52" t="s">
        <v>26</v>
      </c>
      <c r="G4530" s="53"/>
    </row>
    <row r="4531">
      <c r="A4531" s="49">
        <v>45068.31702829861</v>
      </c>
      <c r="B4531" s="50">
        <v>45068.4420094097</v>
      </c>
      <c r="C4531" s="51">
        <v>1.012</v>
      </c>
      <c r="D4531" s="51">
        <v>66.0</v>
      </c>
      <c r="E4531" s="52" t="s">
        <v>25</v>
      </c>
      <c r="F4531" s="52" t="s">
        <v>26</v>
      </c>
      <c r="G4531" s="53"/>
    </row>
    <row r="4532">
      <c r="A4532" s="49">
        <v>45068.32745586806</v>
      </c>
      <c r="B4532" s="50">
        <v>45068.4524310995</v>
      </c>
      <c r="C4532" s="51">
        <v>1.012</v>
      </c>
      <c r="D4532" s="51">
        <v>66.0</v>
      </c>
      <c r="E4532" s="52" t="s">
        <v>25</v>
      </c>
      <c r="F4532" s="52" t="s">
        <v>26</v>
      </c>
      <c r="G4532" s="53"/>
    </row>
    <row r="4533">
      <c r="A4533" s="49">
        <v>45068.337881388885</v>
      </c>
      <c r="B4533" s="50">
        <v>45068.4628515277</v>
      </c>
      <c r="C4533" s="51">
        <v>1.012</v>
      </c>
      <c r="D4533" s="51">
        <v>66.0</v>
      </c>
      <c r="E4533" s="52" t="s">
        <v>25</v>
      </c>
      <c r="F4533" s="52" t="s">
        <v>26</v>
      </c>
      <c r="G4533" s="53"/>
    </row>
    <row r="4534">
      <c r="A4534" s="49">
        <v>45068.348295497686</v>
      </c>
      <c r="B4534" s="50">
        <v>45068.4732719444</v>
      </c>
      <c r="C4534" s="51">
        <v>1.012</v>
      </c>
      <c r="D4534" s="51">
        <v>66.0</v>
      </c>
      <c r="E4534" s="52" t="s">
        <v>25</v>
      </c>
      <c r="F4534" s="52" t="s">
        <v>26</v>
      </c>
      <c r="G4534" s="53"/>
    </row>
    <row r="4535">
      <c r="A4535" s="49">
        <v>45068.35872153935</v>
      </c>
      <c r="B4535" s="50">
        <v>45068.4836928819</v>
      </c>
      <c r="C4535" s="51">
        <v>1.012</v>
      </c>
      <c r="D4535" s="51">
        <v>66.0</v>
      </c>
      <c r="E4535" s="52" t="s">
        <v>25</v>
      </c>
      <c r="F4535" s="52" t="s">
        <v>26</v>
      </c>
      <c r="G4535" s="53"/>
    </row>
    <row r="4536">
      <c r="A4536" s="49">
        <v>45068.36914501157</v>
      </c>
      <c r="B4536" s="50">
        <v>45068.4941248842</v>
      </c>
      <c r="C4536" s="51">
        <v>1.012</v>
      </c>
      <c r="D4536" s="51">
        <v>66.0</v>
      </c>
      <c r="E4536" s="52" t="s">
        <v>25</v>
      </c>
      <c r="F4536" s="52" t="s">
        <v>26</v>
      </c>
      <c r="G4536" s="53"/>
    </row>
    <row r="4537">
      <c r="A4537" s="49">
        <v>45068.37959340277</v>
      </c>
      <c r="B4537" s="50">
        <v>45068.5045697569</v>
      </c>
      <c r="C4537" s="51">
        <v>1.012</v>
      </c>
      <c r="D4537" s="51">
        <v>66.0</v>
      </c>
      <c r="E4537" s="52" t="s">
        <v>25</v>
      </c>
      <c r="F4537" s="52" t="s">
        <v>26</v>
      </c>
      <c r="G4537" s="53"/>
    </row>
    <row r="4538">
      <c r="A4538" s="49">
        <v>45068.39001447917</v>
      </c>
      <c r="B4538" s="50">
        <v>45068.5149919097</v>
      </c>
      <c r="C4538" s="51">
        <v>1.012</v>
      </c>
      <c r="D4538" s="51">
        <v>66.0</v>
      </c>
      <c r="E4538" s="52" t="s">
        <v>25</v>
      </c>
      <c r="F4538" s="52" t="s">
        <v>26</v>
      </c>
      <c r="G4538" s="53"/>
    </row>
    <row r="4539">
      <c r="A4539" s="49">
        <v>45068.40043487269</v>
      </c>
      <c r="B4539" s="50">
        <v>45068.5254140972</v>
      </c>
      <c r="C4539" s="51">
        <v>1.012</v>
      </c>
      <c r="D4539" s="51">
        <v>66.0</v>
      </c>
      <c r="E4539" s="52" t="s">
        <v>25</v>
      </c>
      <c r="F4539" s="52" t="s">
        <v>26</v>
      </c>
      <c r="G4539" s="53"/>
    </row>
    <row r="4540">
      <c r="A4540" s="49">
        <v>45068.410869722225</v>
      </c>
      <c r="B4540" s="50">
        <v>45068.5358457523</v>
      </c>
      <c r="C4540" s="51">
        <v>1.012</v>
      </c>
      <c r="D4540" s="51">
        <v>66.0</v>
      </c>
      <c r="E4540" s="52" t="s">
        <v>25</v>
      </c>
      <c r="F4540" s="52" t="s">
        <v>26</v>
      </c>
      <c r="G4540" s="53"/>
    </row>
    <row r="4541">
      <c r="A4541" s="49">
        <v>45068.42129329861</v>
      </c>
      <c r="B4541" s="50">
        <v>45068.5462651157</v>
      </c>
      <c r="C4541" s="51">
        <v>1.012</v>
      </c>
      <c r="D4541" s="51">
        <v>66.0</v>
      </c>
      <c r="E4541" s="52" t="s">
        <v>25</v>
      </c>
      <c r="F4541" s="52" t="s">
        <v>26</v>
      </c>
      <c r="G4541" s="53"/>
    </row>
    <row r="4542">
      <c r="A4542" s="49">
        <v>45068.43171414352</v>
      </c>
      <c r="B4542" s="50">
        <v>45068.5566876273</v>
      </c>
      <c r="C4542" s="51">
        <v>1.012</v>
      </c>
      <c r="D4542" s="51">
        <v>66.0</v>
      </c>
      <c r="E4542" s="52" t="s">
        <v>25</v>
      </c>
      <c r="F4542" s="52" t="s">
        <v>26</v>
      </c>
      <c r="G4542" s="53"/>
    </row>
    <row r="4543">
      <c r="A4543" s="49">
        <v>45068.442151678246</v>
      </c>
      <c r="B4543" s="50">
        <v>45068.5671304745</v>
      </c>
      <c r="C4543" s="51">
        <v>1.012</v>
      </c>
      <c r="D4543" s="51">
        <v>66.0</v>
      </c>
      <c r="E4543" s="52" t="s">
        <v>25</v>
      </c>
      <c r="F4543" s="52" t="s">
        <v>26</v>
      </c>
      <c r="G4543" s="53"/>
    </row>
    <row r="4544">
      <c r="A4544" s="49">
        <v>45068.45258123842</v>
      </c>
      <c r="B4544" s="50">
        <v>45068.5775516319</v>
      </c>
      <c r="C4544" s="51">
        <v>1.012</v>
      </c>
      <c r="D4544" s="51">
        <v>66.0</v>
      </c>
      <c r="E4544" s="52" t="s">
        <v>25</v>
      </c>
      <c r="F4544" s="52" t="s">
        <v>26</v>
      </c>
      <c r="G4544" s="53"/>
    </row>
    <row r="4545">
      <c r="A4545" s="49">
        <v>45068.46299424769</v>
      </c>
      <c r="B4545" s="50">
        <v>45068.5879715509</v>
      </c>
      <c r="C4545" s="51">
        <v>1.012</v>
      </c>
      <c r="D4545" s="51">
        <v>66.0</v>
      </c>
      <c r="E4545" s="52" t="s">
        <v>25</v>
      </c>
      <c r="F4545" s="52" t="s">
        <v>26</v>
      </c>
      <c r="G4545" s="53"/>
    </row>
    <row r="4546">
      <c r="A4546" s="49">
        <v>45068.47345284722</v>
      </c>
      <c r="B4546" s="50">
        <v>45068.5984161458</v>
      </c>
      <c r="C4546" s="51">
        <v>1.012</v>
      </c>
      <c r="D4546" s="51">
        <v>66.0</v>
      </c>
      <c r="E4546" s="52" t="s">
        <v>25</v>
      </c>
      <c r="F4546" s="52" t="s">
        <v>26</v>
      </c>
      <c r="G4546" s="53"/>
    </row>
    <row r="4547">
      <c r="A4547" s="49">
        <v>45068.48386943287</v>
      </c>
      <c r="B4547" s="50">
        <v>45068.6088364351</v>
      </c>
      <c r="C4547" s="51">
        <v>1.012</v>
      </c>
      <c r="D4547" s="51">
        <v>66.0</v>
      </c>
      <c r="E4547" s="52" t="s">
        <v>25</v>
      </c>
      <c r="F4547" s="52" t="s">
        <v>26</v>
      </c>
      <c r="G4547" s="53"/>
    </row>
    <row r="4548">
      <c r="A4548" s="49">
        <v>45068.4942996412</v>
      </c>
      <c r="B4548" s="50">
        <v>45068.6192697685</v>
      </c>
      <c r="C4548" s="51">
        <v>1.012</v>
      </c>
      <c r="D4548" s="51">
        <v>66.0</v>
      </c>
      <c r="E4548" s="52" t="s">
        <v>25</v>
      </c>
      <c r="F4548" s="52" t="s">
        <v>26</v>
      </c>
      <c r="G4548" s="53"/>
    </row>
    <row r="4549">
      <c r="A4549" s="49">
        <v>45068.51515490741</v>
      </c>
      <c r="B4549" s="50">
        <v>45068.6401245949</v>
      </c>
      <c r="C4549" s="51">
        <v>1.012</v>
      </c>
      <c r="D4549" s="51">
        <v>66.0</v>
      </c>
      <c r="E4549" s="52" t="s">
        <v>25</v>
      </c>
      <c r="F4549" s="52" t="s">
        <v>26</v>
      </c>
      <c r="G4549" s="53"/>
    </row>
    <row r="4550">
      <c r="A4550" s="49">
        <v>45068.52556574074</v>
      </c>
      <c r="B4550" s="50">
        <v>45068.6505454282</v>
      </c>
      <c r="C4550" s="51">
        <v>1.012</v>
      </c>
      <c r="D4550" s="51">
        <v>66.0</v>
      </c>
      <c r="E4550" s="52" t="s">
        <v>25</v>
      </c>
      <c r="F4550" s="52" t="s">
        <v>26</v>
      </c>
      <c r="G4550" s="53"/>
    </row>
    <row r="4551">
      <c r="A4551" s="49">
        <v>45068.536000775464</v>
      </c>
      <c r="B4551" s="50">
        <v>45068.6609673379</v>
      </c>
      <c r="C4551" s="51">
        <v>1.012</v>
      </c>
      <c r="D4551" s="51">
        <v>66.0</v>
      </c>
      <c r="E4551" s="52" t="s">
        <v>25</v>
      </c>
      <c r="F4551" s="52" t="s">
        <v>26</v>
      </c>
      <c r="G4551" s="53"/>
    </row>
    <row r="4552">
      <c r="A4552" s="49">
        <v>45068.546410740746</v>
      </c>
      <c r="B4552" s="50">
        <v>45068.6713890856</v>
      </c>
      <c r="C4552" s="51">
        <v>1.012</v>
      </c>
      <c r="D4552" s="51">
        <v>66.0</v>
      </c>
      <c r="E4552" s="52" t="s">
        <v>25</v>
      </c>
      <c r="F4552" s="52" t="s">
        <v>26</v>
      </c>
      <c r="G4552" s="53"/>
    </row>
    <row r="4553">
      <c r="A4553" s="49">
        <v>45068.55683636574</v>
      </c>
      <c r="B4553" s="50">
        <v>45068.6818107176</v>
      </c>
      <c r="C4553" s="51">
        <v>1.012</v>
      </c>
      <c r="D4553" s="51">
        <v>66.0</v>
      </c>
      <c r="E4553" s="52" t="s">
        <v>25</v>
      </c>
      <c r="F4553" s="52" t="s">
        <v>26</v>
      </c>
      <c r="G4553" s="53"/>
    </row>
    <row r="4554">
      <c r="A4554" s="49">
        <v>45068.567262337965</v>
      </c>
      <c r="B4554" s="50">
        <v>45068.6922318402</v>
      </c>
      <c r="C4554" s="51">
        <v>1.012</v>
      </c>
      <c r="D4554" s="51">
        <v>66.0</v>
      </c>
      <c r="E4554" s="52" t="s">
        <v>25</v>
      </c>
      <c r="F4554" s="52" t="s">
        <v>26</v>
      </c>
      <c r="G4554" s="53"/>
    </row>
    <row r="4555">
      <c r="A4555" s="49">
        <v>45068.57768425926</v>
      </c>
      <c r="B4555" s="50">
        <v>45068.7026540277</v>
      </c>
      <c r="C4555" s="51">
        <v>1.012</v>
      </c>
      <c r="D4555" s="51">
        <v>66.0</v>
      </c>
      <c r="E4555" s="52" t="s">
        <v>25</v>
      </c>
      <c r="F4555" s="52" t="s">
        <v>26</v>
      </c>
      <c r="G4555" s="53"/>
    </row>
    <row r="4556">
      <c r="A4556" s="49">
        <v>45068.588559606476</v>
      </c>
      <c r="B4556" s="50">
        <v>45068.713096956</v>
      </c>
      <c r="C4556" s="51">
        <v>1.012</v>
      </c>
      <c r="D4556" s="51">
        <v>66.0</v>
      </c>
      <c r="E4556" s="52" t="s">
        <v>25</v>
      </c>
      <c r="F4556" s="52" t="s">
        <v>26</v>
      </c>
      <c r="G4556" s="53"/>
    </row>
    <row r="4557">
      <c r="A4557" s="49">
        <v>45068.59854850694</v>
      </c>
      <c r="B4557" s="50">
        <v>45068.7235187152</v>
      </c>
      <c r="C4557" s="51">
        <v>1.012</v>
      </c>
      <c r="D4557" s="51">
        <v>66.0</v>
      </c>
      <c r="E4557" s="52" t="s">
        <v>25</v>
      </c>
      <c r="F4557" s="52" t="s">
        <v>26</v>
      </c>
      <c r="G4557" s="53"/>
    </row>
    <row r="4558">
      <c r="A4558" s="49">
        <v>45068.60897434028</v>
      </c>
      <c r="B4558" s="50">
        <v>45068.7339511458</v>
      </c>
      <c r="C4558" s="51">
        <v>1.012</v>
      </c>
      <c r="D4558" s="51">
        <v>66.0</v>
      </c>
      <c r="E4558" s="52" t="s">
        <v>25</v>
      </c>
      <c r="F4558" s="52" t="s">
        <v>26</v>
      </c>
      <c r="G4558" s="53"/>
    </row>
    <row r="4559">
      <c r="A4559" s="49">
        <v>45068.61939900463</v>
      </c>
      <c r="B4559" s="50">
        <v>45068.7443728588</v>
      </c>
      <c r="C4559" s="51">
        <v>1.012</v>
      </c>
      <c r="D4559" s="51">
        <v>66.0</v>
      </c>
      <c r="E4559" s="52" t="s">
        <v>25</v>
      </c>
      <c r="F4559" s="52" t="s">
        <v>26</v>
      </c>
      <c r="G4559" s="53"/>
    </row>
    <row r="4560">
      <c r="A4560" s="49">
        <v>45068.62983549769</v>
      </c>
      <c r="B4560" s="50">
        <v>45068.7548048263</v>
      </c>
      <c r="C4560" s="51">
        <v>1.012</v>
      </c>
      <c r="D4560" s="51">
        <v>66.0</v>
      </c>
      <c r="E4560" s="52" t="s">
        <v>25</v>
      </c>
      <c r="F4560" s="52" t="s">
        <v>26</v>
      </c>
      <c r="G4560" s="53"/>
    </row>
    <row r="4561">
      <c r="A4561" s="49">
        <v>45068.640245138886</v>
      </c>
      <c r="B4561" s="50">
        <v>45068.7652243634</v>
      </c>
      <c r="C4561" s="51">
        <v>1.012</v>
      </c>
      <c r="D4561" s="51">
        <v>66.0</v>
      </c>
      <c r="E4561" s="52" t="s">
        <v>25</v>
      </c>
      <c r="F4561" s="52" t="s">
        <v>26</v>
      </c>
      <c r="G4561" s="53"/>
    </row>
    <row r="4562">
      <c r="A4562" s="49">
        <v>45068.65068025463</v>
      </c>
      <c r="B4562" s="50">
        <v>45068.7756592361</v>
      </c>
      <c r="C4562" s="51">
        <v>1.012</v>
      </c>
      <c r="D4562" s="51">
        <v>66.0</v>
      </c>
      <c r="E4562" s="52" t="s">
        <v>25</v>
      </c>
      <c r="F4562" s="52" t="s">
        <v>26</v>
      </c>
      <c r="G4562" s="53"/>
    </row>
    <row r="4563">
      <c r="A4563" s="49">
        <v>45068.66111126158</v>
      </c>
      <c r="B4563" s="50">
        <v>45068.7860802083</v>
      </c>
      <c r="C4563" s="51">
        <v>1.012</v>
      </c>
      <c r="D4563" s="51">
        <v>66.0</v>
      </c>
      <c r="E4563" s="52" t="s">
        <v>25</v>
      </c>
      <c r="F4563" s="52" t="s">
        <v>26</v>
      </c>
      <c r="G4563" s="53"/>
    </row>
    <row r="4564">
      <c r="A4564" s="49">
        <v>45068.67153064815</v>
      </c>
      <c r="B4564" s="50">
        <v>45068.7965025</v>
      </c>
      <c r="C4564" s="51">
        <v>1.012</v>
      </c>
      <c r="D4564" s="51">
        <v>66.0</v>
      </c>
      <c r="E4564" s="52" t="s">
        <v>25</v>
      </c>
      <c r="F4564" s="52" t="s">
        <v>26</v>
      </c>
      <c r="G4564" s="53"/>
    </row>
    <row r="4565">
      <c r="A4565" s="49">
        <v>45068.6819796875</v>
      </c>
      <c r="B4565" s="50">
        <v>45068.8069576967</v>
      </c>
      <c r="C4565" s="51">
        <v>1.012</v>
      </c>
      <c r="D4565" s="51">
        <v>66.0</v>
      </c>
      <c r="E4565" s="52" t="s">
        <v>25</v>
      </c>
      <c r="F4565" s="52" t="s">
        <v>26</v>
      </c>
      <c r="G4565" s="53"/>
    </row>
    <row r="4566">
      <c r="A4566" s="49">
        <v>45068.702890659726</v>
      </c>
      <c r="B4566" s="50">
        <v>45068.8278571296</v>
      </c>
      <c r="C4566" s="51">
        <v>1.012</v>
      </c>
      <c r="D4566" s="51">
        <v>66.0</v>
      </c>
      <c r="E4566" s="52" t="s">
        <v>25</v>
      </c>
      <c r="F4566" s="52" t="s">
        <v>26</v>
      </c>
      <c r="G4566" s="53"/>
    </row>
    <row r="4567">
      <c r="A4567" s="49">
        <v>45068.71331118056</v>
      </c>
      <c r="B4567" s="50">
        <v>45068.8382772338</v>
      </c>
      <c r="C4567" s="51">
        <v>1.012</v>
      </c>
      <c r="D4567" s="51">
        <v>66.0</v>
      </c>
      <c r="E4567" s="52" t="s">
        <v>25</v>
      </c>
      <c r="F4567" s="52" t="s">
        <v>26</v>
      </c>
      <c r="G4567" s="53"/>
    </row>
    <row r="4568">
      <c r="A4568" s="49">
        <v>45068.72374701389</v>
      </c>
      <c r="B4568" s="50">
        <v>45068.8487227546</v>
      </c>
      <c r="C4568" s="51">
        <v>1.012</v>
      </c>
      <c r="D4568" s="51">
        <v>66.0</v>
      </c>
      <c r="E4568" s="52" t="s">
        <v>25</v>
      </c>
      <c r="F4568" s="52" t="s">
        <v>26</v>
      </c>
      <c r="G4568" s="53"/>
    </row>
    <row r="4569">
      <c r="A4569" s="49">
        <v>45068.73417309028</v>
      </c>
      <c r="B4569" s="50">
        <v>45068.8591454051</v>
      </c>
      <c r="C4569" s="51">
        <v>1.012</v>
      </c>
      <c r="D4569" s="51">
        <v>66.0</v>
      </c>
      <c r="E4569" s="52" t="s">
        <v>25</v>
      </c>
      <c r="F4569" s="52" t="s">
        <v>26</v>
      </c>
      <c r="G4569" s="53"/>
    </row>
    <row r="4570">
      <c r="A4570" s="49">
        <v>45068.74460293981</v>
      </c>
      <c r="B4570" s="50">
        <v>45068.8695661342</v>
      </c>
      <c r="C4570" s="51">
        <v>1.012</v>
      </c>
      <c r="D4570" s="51">
        <v>66.0</v>
      </c>
      <c r="E4570" s="52" t="s">
        <v>25</v>
      </c>
      <c r="F4570" s="52" t="s">
        <v>26</v>
      </c>
      <c r="G4570" s="53"/>
    </row>
    <row r="4571">
      <c r="A4571" s="49">
        <v>45068.75502570602</v>
      </c>
      <c r="B4571" s="50">
        <v>45068.879999456</v>
      </c>
      <c r="C4571" s="51">
        <v>1.012</v>
      </c>
      <c r="D4571" s="51">
        <v>66.0</v>
      </c>
      <c r="E4571" s="52" t="s">
        <v>25</v>
      </c>
      <c r="F4571" s="52" t="s">
        <v>26</v>
      </c>
      <c r="G4571" s="53"/>
    </row>
    <row r="4572">
      <c r="A4572" s="49">
        <v>45068.7654649537</v>
      </c>
      <c r="B4572" s="50">
        <v>45068.8904318634</v>
      </c>
      <c r="C4572" s="51">
        <v>1.012</v>
      </c>
      <c r="D4572" s="51">
        <v>66.0</v>
      </c>
      <c r="E4572" s="52" t="s">
        <v>25</v>
      </c>
      <c r="F4572" s="52" t="s">
        <v>26</v>
      </c>
      <c r="G4572" s="53"/>
    </row>
    <row r="4573">
      <c r="A4573" s="49">
        <v>45068.775874942134</v>
      </c>
      <c r="B4573" s="50">
        <v>45068.9008519097</v>
      </c>
      <c r="C4573" s="51">
        <v>1.012</v>
      </c>
      <c r="D4573" s="51">
        <v>66.0</v>
      </c>
      <c r="E4573" s="52" t="s">
        <v>25</v>
      </c>
      <c r="F4573" s="52" t="s">
        <v>26</v>
      </c>
      <c r="G4573" s="53"/>
    </row>
    <row r="4574">
      <c r="A4574" s="49">
        <v>45068.78597524305</v>
      </c>
      <c r="B4574" s="50">
        <v>45068.8961334606</v>
      </c>
      <c r="C4574" s="51">
        <v>1.012</v>
      </c>
      <c r="D4574" s="51">
        <v>66.0</v>
      </c>
      <c r="E4574" s="52" t="s">
        <v>25</v>
      </c>
      <c r="F4574" s="52" t="s">
        <v>26</v>
      </c>
      <c r="G4574" s="53"/>
    </row>
    <row r="4575">
      <c r="A4575" s="49">
        <v>45068.78614113426</v>
      </c>
      <c r="B4575" s="50">
        <v>45068.9111219097</v>
      </c>
      <c r="C4575" s="51">
        <v>1.012</v>
      </c>
      <c r="D4575" s="51">
        <v>66.0</v>
      </c>
      <c r="E4575" s="52" t="s">
        <v>25</v>
      </c>
      <c r="F4575" s="52" t="s">
        <v>26</v>
      </c>
      <c r="G4575" s="53"/>
    </row>
    <row r="4576">
      <c r="A4576" s="49">
        <v>45068.796571099534</v>
      </c>
      <c r="B4576" s="50">
        <v>45068.9215422337</v>
      </c>
      <c r="C4576" s="51">
        <v>1.012</v>
      </c>
      <c r="D4576" s="51">
        <v>66.0</v>
      </c>
      <c r="E4576" s="52" t="s">
        <v>25</v>
      </c>
      <c r="F4576" s="52" t="s">
        <v>26</v>
      </c>
      <c r="G4576" s="53"/>
    </row>
    <row r="4577">
      <c r="A4577" s="49">
        <v>45068.802303125005</v>
      </c>
      <c r="B4577" s="50">
        <v>45068.9261357407</v>
      </c>
      <c r="C4577" s="51">
        <v>1.012</v>
      </c>
      <c r="D4577" s="51">
        <v>66.0</v>
      </c>
      <c r="E4577" s="52" t="s">
        <v>25</v>
      </c>
      <c r="F4577" s="52" t="s">
        <v>26</v>
      </c>
      <c r="G4577" s="53"/>
    </row>
    <row r="4578">
      <c r="A4578" s="49">
        <v>45068.811584537034</v>
      </c>
      <c r="B4578" s="50">
        <v>45068.936556412</v>
      </c>
      <c r="C4578" s="51">
        <v>1.012</v>
      </c>
      <c r="D4578" s="51">
        <v>66.0</v>
      </c>
      <c r="E4578" s="52" t="s">
        <v>25</v>
      </c>
      <c r="F4578" s="52" t="s">
        <v>26</v>
      </c>
      <c r="G4578" s="53"/>
    </row>
    <row r="4579">
      <c r="A4579" s="49">
        <v>45068.82200050926</v>
      </c>
      <c r="B4579" s="50">
        <v>45068.9469780902</v>
      </c>
      <c r="C4579" s="51">
        <v>1.012</v>
      </c>
      <c r="D4579" s="51">
        <v>66.0</v>
      </c>
      <c r="E4579" s="52" t="s">
        <v>25</v>
      </c>
      <c r="F4579" s="52" t="s">
        <v>26</v>
      </c>
      <c r="G4579" s="53"/>
    </row>
    <row r="4580">
      <c r="A4580" s="49">
        <v>45068.83243797453</v>
      </c>
      <c r="B4580" s="50">
        <v>45068.9574091088</v>
      </c>
      <c r="C4580" s="51">
        <v>1.012</v>
      </c>
      <c r="D4580" s="51">
        <v>66.0</v>
      </c>
      <c r="E4580" s="52" t="s">
        <v>25</v>
      </c>
      <c r="F4580" s="52" t="s">
        <v>26</v>
      </c>
      <c r="G4580" s="53"/>
    </row>
    <row r="4581">
      <c r="A4581" s="49">
        <v>45068.84285055556</v>
      </c>
      <c r="B4581" s="50">
        <v>45068.9678288657</v>
      </c>
      <c r="C4581" s="51">
        <v>1.012</v>
      </c>
      <c r="D4581" s="51">
        <v>66.0</v>
      </c>
      <c r="E4581" s="52" t="s">
        <v>25</v>
      </c>
      <c r="F4581" s="52" t="s">
        <v>26</v>
      </c>
      <c r="G4581" s="53"/>
    </row>
    <row r="4582">
      <c r="A4582" s="49">
        <v>45068.85327744213</v>
      </c>
      <c r="B4582" s="50">
        <v>45068.9782509606</v>
      </c>
      <c r="C4582" s="51">
        <v>1.012</v>
      </c>
      <c r="D4582" s="51">
        <v>66.0</v>
      </c>
      <c r="E4582" s="52" t="s">
        <v>25</v>
      </c>
      <c r="F4582" s="52" t="s">
        <v>26</v>
      </c>
      <c r="G4582" s="53"/>
    </row>
    <row r="4583">
      <c r="A4583" s="49">
        <v>45068.86370365741</v>
      </c>
      <c r="B4583" s="50">
        <v>45068.9886733912</v>
      </c>
      <c r="C4583" s="51">
        <v>1.012</v>
      </c>
      <c r="D4583" s="51">
        <v>66.0</v>
      </c>
      <c r="E4583" s="52" t="s">
        <v>25</v>
      </c>
      <c r="F4583" s="52" t="s">
        <v>26</v>
      </c>
      <c r="G4583" s="53"/>
    </row>
    <row r="4584">
      <c r="A4584" s="49">
        <v>45068.87411260417</v>
      </c>
      <c r="B4584" s="50">
        <v>45068.9990933796</v>
      </c>
      <c r="C4584" s="51">
        <v>1.012</v>
      </c>
      <c r="D4584" s="51">
        <v>66.0</v>
      </c>
      <c r="E4584" s="52" t="s">
        <v>25</v>
      </c>
      <c r="F4584" s="52" t="s">
        <v>26</v>
      </c>
      <c r="G4584" s="53"/>
    </row>
    <row r="4585">
      <c r="A4585" s="49">
        <v>45068.88453797453</v>
      </c>
      <c r="B4585" s="50">
        <v>45069.0095154398</v>
      </c>
      <c r="C4585" s="51">
        <v>1.012</v>
      </c>
      <c r="D4585" s="51">
        <v>66.0</v>
      </c>
      <c r="E4585" s="52" t="s">
        <v>25</v>
      </c>
      <c r="F4585" s="52" t="s">
        <v>26</v>
      </c>
      <c r="G4585" s="53"/>
    </row>
    <row r="4586">
      <c r="A4586" s="49">
        <v>45068.89496855324</v>
      </c>
      <c r="B4586" s="50">
        <v>45069.0199369097</v>
      </c>
      <c r="C4586" s="51">
        <v>1.012</v>
      </c>
      <c r="D4586" s="51">
        <v>66.0</v>
      </c>
      <c r="E4586" s="52" t="s">
        <v>25</v>
      </c>
      <c r="F4586" s="52" t="s">
        <v>26</v>
      </c>
      <c r="G4586" s="53"/>
    </row>
    <row r="4587">
      <c r="A4587" s="49">
        <v>45068.90541348379</v>
      </c>
      <c r="B4587" s="50">
        <v>45069.0303577199</v>
      </c>
      <c r="C4587" s="51">
        <v>1.012</v>
      </c>
      <c r="D4587" s="51">
        <v>66.0</v>
      </c>
      <c r="E4587" s="52" t="s">
        <v>25</v>
      </c>
      <c r="F4587" s="52" t="s">
        <v>26</v>
      </c>
      <c r="G4587" s="53"/>
    </row>
    <row r="4588">
      <c r="A4588" s="49">
        <v>45068.91580689815</v>
      </c>
      <c r="B4588" s="50">
        <v>45069.040779618</v>
      </c>
      <c r="C4588" s="51">
        <v>1.012</v>
      </c>
      <c r="D4588" s="51">
        <v>66.0</v>
      </c>
      <c r="E4588" s="52" t="s">
        <v>25</v>
      </c>
      <c r="F4588" s="52" t="s">
        <v>26</v>
      </c>
      <c r="G4588" s="53"/>
    </row>
    <row r="4589">
      <c r="A4589" s="49">
        <v>45068.926223773145</v>
      </c>
      <c r="B4589" s="50">
        <v>45069.0511999768</v>
      </c>
      <c r="C4589" s="51">
        <v>1.012</v>
      </c>
      <c r="D4589" s="51">
        <v>66.0</v>
      </c>
      <c r="E4589" s="52" t="s">
        <v>25</v>
      </c>
      <c r="F4589" s="52" t="s">
        <v>26</v>
      </c>
      <c r="G4589" s="53"/>
    </row>
    <row r="4590">
      <c r="A4590" s="49">
        <v>45068.93664537037</v>
      </c>
      <c r="B4590" s="50">
        <v>45069.0616215856</v>
      </c>
      <c r="C4590" s="51">
        <v>1.012</v>
      </c>
      <c r="D4590" s="51">
        <v>66.0</v>
      </c>
      <c r="E4590" s="52" t="s">
        <v>25</v>
      </c>
      <c r="F4590" s="52" t="s">
        <v>26</v>
      </c>
      <c r="G4590" s="53"/>
    </row>
    <row r="4591">
      <c r="A4591" s="49">
        <v>45068.94706760417</v>
      </c>
      <c r="B4591" s="50">
        <v>45069.0720418634</v>
      </c>
      <c r="C4591" s="51">
        <v>1.012</v>
      </c>
      <c r="D4591" s="51">
        <v>66.0</v>
      </c>
      <c r="E4591" s="52" t="s">
        <v>25</v>
      </c>
      <c r="F4591" s="52" t="s">
        <v>26</v>
      </c>
      <c r="G4591" s="53"/>
    </row>
    <row r="4592">
      <c r="A4592" s="49">
        <v>45068.95749987269</v>
      </c>
      <c r="B4592" s="50">
        <v>45069.0824752662</v>
      </c>
      <c r="C4592" s="51">
        <v>1.012</v>
      </c>
      <c r="D4592" s="51">
        <v>66.0</v>
      </c>
      <c r="E4592" s="52" t="s">
        <v>25</v>
      </c>
      <c r="F4592" s="52" t="s">
        <v>26</v>
      </c>
      <c r="G4592" s="53"/>
    </row>
    <row r="4593">
      <c r="A4593" s="49">
        <v>45068.96792111111</v>
      </c>
      <c r="B4593" s="50">
        <v>45069.0928965046</v>
      </c>
      <c r="C4593" s="51">
        <v>1.012</v>
      </c>
      <c r="D4593" s="51">
        <v>66.0</v>
      </c>
      <c r="E4593" s="52" t="s">
        <v>25</v>
      </c>
      <c r="F4593" s="52" t="s">
        <v>26</v>
      </c>
      <c r="G4593" s="53"/>
    </row>
    <row r="4594">
      <c r="A4594" s="49">
        <v>45068.978348564815</v>
      </c>
      <c r="B4594" s="50">
        <v>45069.1033183333</v>
      </c>
      <c r="C4594" s="51">
        <v>1.012</v>
      </c>
      <c r="D4594" s="51">
        <v>66.0</v>
      </c>
      <c r="E4594" s="52" t="s">
        <v>25</v>
      </c>
      <c r="F4594" s="52" t="s">
        <v>26</v>
      </c>
      <c r="G4594" s="53"/>
    </row>
    <row r="4595">
      <c r="A4595" s="49">
        <v>45068.98876761574</v>
      </c>
      <c r="B4595" s="50">
        <v>45069.1137388425</v>
      </c>
      <c r="C4595" s="51">
        <v>1.012</v>
      </c>
      <c r="D4595" s="51">
        <v>66.0</v>
      </c>
      <c r="E4595" s="52" t="s">
        <v>25</v>
      </c>
      <c r="F4595" s="52" t="s">
        <v>26</v>
      </c>
      <c r="G4595" s="53"/>
    </row>
    <row r="4596">
      <c r="A4596" s="49">
        <v>45068.999189062495</v>
      </c>
      <c r="B4596" s="50">
        <v>45069.1241605902</v>
      </c>
      <c r="C4596" s="51">
        <v>1.012</v>
      </c>
      <c r="D4596" s="51">
        <v>66.0</v>
      </c>
      <c r="E4596" s="52" t="s">
        <v>25</v>
      </c>
      <c r="F4596" s="52" t="s">
        <v>26</v>
      </c>
      <c r="G4596" s="53"/>
    </row>
    <row r="4597">
      <c r="A4597" s="49">
        <v>45069.009606377316</v>
      </c>
      <c r="B4597" s="50">
        <v>45069.1345826851</v>
      </c>
      <c r="C4597" s="51">
        <v>1.012</v>
      </c>
      <c r="D4597" s="51">
        <v>66.0</v>
      </c>
      <c r="E4597" s="52" t="s">
        <v>25</v>
      </c>
      <c r="F4597" s="52" t="s">
        <v>26</v>
      </c>
      <c r="G4597" s="53"/>
    </row>
    <row r="4598">
      <c r="A4598" s="49">
        <v>45069.02002939815</v>
      </c>
      <c r="B4598" s="50">
        <v>45069.1450032754</v>
      </c>
      <c r="C4598" s="51">
        <v>1.012</v>
      </c>
      <c r="D4598" s="51">
        <v>66.0</v>
      </c>
      <c r="E4598" s="52" t="s">
        <v>25</v>
      </c>
      <c r="F4598" s="52" t="s">
        <v>26</v>
      </c>
      <c r="G4598" s="53"/>
    </row>
    <row r="4599">
      <c r="A4599" s="49">
        <v>45069.030460891205</v>
      </c>
      <c r="B4599" s="50">
        <v>45069.1554375115</v>
      </c>
      <c r="C4599" s="51">
        <v>1.012</v>
      </c>
      <c r="D4599" s="51">
        <v>66.0</v>
      </c>
      <c r="E4599" s="52" t="s">
        <v>25</v>
      </c>
      <c r="F4599" s="52" t="s">
        <v>26</v>
      </c>
      <c r="G4599" s="53"/>
    </row>
    <row r="4600">
      <c r="A4600" s="49">
        <v>45069.040884999995</v>
      </c>
      <c r="B4600" s="50">
        <v>45069.1658589351</v>
      </c>
      <c r="C4600" s="51">
        <v>1.012</v>
      </c>
      <c r="D4600" s="51">
        <v>66.0</v>
      </c>
      <c r="E4600" s="52" t="s">
        <v>25</v>
      </c>
      <c r="F4600" s="52" t="s">
        <v>26</v>
      </c>
      <c r="G4600" s="53"/>
    </row>
    <row r="4601">
      <c r="A4601" s="49">
        <v>45069.05132113426</v>
      </c>
      <c r="B4601" s="50">
        <v>45069.1762912847</v>
      </c>
      <c r="C4601" s="51">
        <v>1.012</v>
      </c>
      <c r="D4601" s="51">
        <v>66.0</v>
      </c>
      <c r="E4601" s="52" t="s">
        <v>25</v>
      </c>
      <c r="F4601" s="52" t="s">
        <v>26</v>
      </c>
      <c r="G4601" s="53"/>
    </row>
    <row r="4602">
      <c r="A4602" s="49">
        <v>45069.06174579861</v>
      </c>
      <c r="B4602" s="50">
        <v>45069.1867129745</v>
      </c>
      <c r="C4602" s="51">
        <v>1.012</v>
      </c>
      <c r="D4602" s="51">
        <v>66.0</v>
      </c>
      <c r="E4602" s="52" t="s">
        <v>25</v>
      </c>
      <c r="F4602" s="52" t="s">
        <v>26</v>
      </c>
      <c r="G4602" s="53"/>
    </row>
    <row r="4603">
      <c r="A4603" s="49">
        <v>45069.07216418981</v>
      </c>
      <c r="B4603" s="50">
        <v>45069.1971335069</v>
      </c>
      <c r="C4603" s="51">
        <v>1.012</v>
      </c>
      <c r="D4603" s="51">
        <v>66.0</v>
      </c>
      <c r="E4603" s="52" t="s">
        <v>25</v>
      </c>
      <c r="F4603" s="52" t="s">
        <v>26</v>
      </c>
      <c r="G4603" s="53"/>
    </row>
    <row r="4604">
      <c r="A4604" s="49">
        <v>45069.08260684028</v>
      </c>
      <c r="B4604" s="50">
        <v>45069.2075778125</v>
      </c>
      <c r="C4604" s="51">
        <v>1.012</v>
      </c>
      <c r="D4604" s="51">
        <v>66.0</v>
      </c>
      <c r="E4604" s="52" t="s">
        <v>25</v>
      </c>
      <c r="F4604" s="52" t="s">
        <v>26</v>
      </c>
      <c r="G4604" s="53"/>
    </row>
    <row r="4605">
      <c r="A4605" s="49">
        <v>45069.09303798611</v>
      </c>
      <c r="B4605" s="50">
        <v>45069.218010243</v>
      </c>
      <c r="C4605" s="51">
        <v>1.012</v>
      </c>
      <c r="D4605" s="51">
        <v>66.0</v>
      </c>
      <c r="E4605" s="52" t="s">
        <v>25</v>
      </c>
      <c r="F4605" s="52" t="s">
        <v>26</v>
      </c>
      <c r="G4605" s="53"/>
    </row>
    <row r="4606">
      <c r="A4606" s="49">
        <v>45069.103462743056</v>
      </c>
      <c r="B4606" s="50">
        <v>45069.2284414467</v>
      </c>
      <c r="C4606" s="51">
        <v>1.012</v>
      </c>
      <c r="D4606" s="51">
        <v>66.0</v>
      </c>
      <c r="E4606" s="52" t="s">
        <v>25</v>
      </c>
      <c r="F4606" s="52" t="s">
        <v>26</v>
      </c>
      <c r="G4606" s="53"/>
    </row>
    <row r="4607">
      <c r="A4607" s="49">
        <v>45069.11390240741</v>
      </c>
      <c r="B4607" s="50">
        <v>45069.2388748495</v>
      </c>
      <c r="C4607" s="51">
        <v>1.012</v>
      </c>
      <c r="D4607" s="51">
        <v>66.0</v>
      </c>
      <c r="E4607" s="52" t="s">
        <v>25</v>
      </c>
      <c r="F4607" s="52" t="s">
        <v>26</v>
      </c>
      <c r="G4607" s="53"/>
    </row>
    <row r="4608">
      <c r="A4608" s="49">
        <v>45069.124360347225</v>
      </c>
      <c r="B4608" s="50">
        <v>45069.2493193634</v>
      </c>
      <c r="C4608" s="51">
        <v>1.012</v>
      </c>
      <c r="D4608" s="51">
        <v>66.0</v>
      </c>
      <c r="E4608" s="52" t="s">
        <v>25</v>
      </c>
      <c r="F4608" s="52" t="s">
        <v>26</v>
      </c>
      <c r="G4608" s="53"/>
    </row>
    <row r="4609">
      <c r="A4609" s="49">
        <v>45069.13477047454</v>
      </c>
      <c r="B4609" s="50">
        <v>45069.2597395486</v>
      </c>
      <c r="C4609" s="51">
        <v>1.012</v>
      </c>
      <c r="D4609" s="51">
        <v>66.0</v>
      </c>
      <c r="E4609" s="52" t="s">
        <v>25</v>
      </c>
      <c r="F4609" s="52" t="s">
        <v>26</v>
      </c>
      <c r="G4609" s="53"/>
    </row>
    <row r="4610">
      <c r="A4610" s="49">
        <v>45069.14518644676</v>
      </c>
      <c r="B4610" s="50">
        <v>45069.2701613194</v>
      </c>
      <c r="C4610" s="51">
        <v>1.012</v>
      </c>
      <c r="D4610" s="51">
        <v>66.0</v>
      </c>
      <c r="E4610" s="52" t="s">
        <v>25</v>
      </c>
      <c r="F4610" s="52" t="s">
        <v>26</v>
      </c>
      <c r="G4610" s="53"/>
    </row>
    <row r="4611">
      <c r="A4611" s="49">
        <v>45069.15560395834</v>
      </c>
      <c r="B4611" s="50">
        <v>45069.2805827777</v>
      </c>
      <c r="C4611" s="51">
        <v>1.012</v>
      </c>
      <c r="D4611" s="51">
        <v>66.0</v>
      </c>
      <c r="E4611" s="52" t="s">
        <v>25</v>
      </c>
      <c r="F4611" s="52" t="s">
        <v>26</v>
      </c>
      <c r="G4611" s="53"/>
    </row>
    <row r="4612">
      <c r="A4612" s="49">
        <v>45069.16606206019</v>
      </c>
      <c r="B4612" s="50">
        <v>45069.2910266551</v>
      </c>
      <c r="C4612" s="51">
        <v>1.012</v>
      </c>
      <c r="D4612" s="51">
        <v>66.0</v>
      </c>
      <c r="E4612" s="52" t="s">
        <v>25</v>
      </c>
      <c r="F4612" s="52" t="s">
        <v>26</v>
      </c>
      <c r="G4612" s="53"/>
    </row>
    <row r="4613">
      <c r="A4613" s="49">
        <v>45069.17647261574</v>
      </c>
      <c r="B4613" s="50">
        <v>45069.3014474537</v>
      </c>
      <c r="C4613" s="51">
        <v>1.012</v>
      </c>
      <c r="D4613" s="51">
        <v>66.0</v>
      </c>
      <c r="E4613" s="52" t="s">
        <v>25</v>
      </c>
      <c r="F4613" s="52" t="s">
        <v>26</v>
      </c>
      <c r="G4613" s="53"/>
    </row>
    <row r="4614">
      <c r="A4614" s="49">
        <v>45069.18692622685</v>
      </c>
      <c r="B4614" s="50">
        <v>45069.3118682291</v>
      </c>
      <c r="C4614" s="51">
        <v>1.012</v>
      </c>
      <c r="D4614" s="51">
        <v>66.0</v>
      </c>
      <c r="E4614" s="52" t="s">
        <v>25</v>
      </c>
      <c r="F4614" s="52" t="s">
        <v>26</v>
      </c>
      <c r="G4614" s="53"/>
    </row>
    <row r="4615">
      <c r="A4615" s="49">
        <v>45069.19730662037</v>
      </c>
      <c r="B4615" s="50">
        <v>45069.3222888773</v>
      </c>
      <c r="C4615" s="51">
        <v>1.012</v>
      </c>
      <c r="D4615" s="51">
        <v>66.0</v>
      </c>
      <c r="E4615" s="52" t="s">
        <v>25</v>
      </c>
      <c r="F4615" s="52" t="s">
        <v>26</v>
      </c>
      <c r="G4615" s="53"/>
    </row>
    <row r="4616">
      <c r="A4616" s="49">
        <v>45069.2077569213</v>
      </c>
      <c r="B4616" s="50">
        <v>45069.3327217013</v>
      </c>
      <c r="C4616" s="51">
        <v>1.012</v>
      </c>
      <c r="D4616" s="51">
        <v>66.0</v>
      </c>
      <c r="E4616" s="52" t="s">
        <v>25</v>
      </c>
      <c r="F4616" s="52" t="s">
        <v>26</v>
      </c>
      <c r="G4616" s="53"/>
    </row>
    <row r="4617">
      <c r="A4617" s="49">
        <v>45069.218181840275</v>
      </c>
      <c r="B4617" s="50">
        <v>45069.3431531134</v>
      </c>
      <c r="C4617" s="51">
        <v>1.012</v>
      </c>
      <c r="D4617" s="51">
        <v>66.0</v>
      </c>
      <c r="E4617" s="52" t="s">
        <v>25</v>
      </c>
      <c r="F4617" s="52" t="s">
        <v>26</v>
      </c>
      <c r="G4617" s="53"/>
    </row>
    <row r="4618">
      <c r="A4618" s="49">
        <v>45069.228598946764</v>
      </c>
      <c r="B4618" s="50">
        <v>45069.3535730555</v>
      </c>
      <c r="C4618" s="51">
        <v>1.012</v>
      </c>
      <c r="D4618" s="51">
        <v>66.0</v>
      </c>
      <c r="E4618" s="52" t="s">
        <v>25</v>
      </c>
      <c r="F4618" s="52" t="s">
        <v>26</v>
      </c>
      <c r="G4618" s="53"/>
    </row>
    <row r="4619">
      <c r="A4619" s="49">
        <v>45069.23902390046</v>
      </c>
      <c r="B4619" s="50">
        <v>45069.3639934027</v>
      </c>
      <c r="C4619" s="51">
        <v>1.012</v>
      </c>
      <c r="D4619" s="51">
        <v>66.0</v>
      </c>
      <c r="E4619" s="52" t="s">
        <v>25</v>
      </c>
      <c r="F4619" s="52" t="s">
        <v>26</v>
      </c>
      <c r="G4619" s="53"/>
    </row>
    <row r="4620">
      <c r="A4620" s="49">
        <v>45069.24945555556</v>
      </c>
      <c r="B4620" s="50">
        <v>45069.3744261111</v>
      </c>
      <c r="C4620" s="51">
        <v>1.012</v>
      </c>
      <c r="D4620" s="51">
        <v>66.0</v>
      </c>
      <c r="E4620" s="52" t="s">
        <v>25</v>
      </c>
      <c r="F4620" s="52" t="s">
        <v>26</v>
      </c>
      <c r="G4620" s="53"/>
    </row>
    <row r="4621">
      <c r="A4621" s="49">
        <v>45069.25989444445</v>
      </c>
      <c r="B4621" s="50">
        <v>45069.3848596527</v>
      </c>
      <c r="C4621" s="51">
        <v>1.012</v>
      </c>
      <c r="D4621" s="51">
        <v>66.0</v>
      </c>
      <c r="E4621" s="52" t="s">
        <v>25</v>
      </c>
      <c r="F4621" s="52" t="s">
        <v>26</v>
      </c>
      <c r="G4621" s="53"/>
    </row>
    <row r="4622">
      <c r="A4622" s="49">
        <v>45069.28075846065</v>
      </c>
      <c r="B4622" s="50">
        <v>45069.4057222916</v>
      </c>
      <c r="C4622" s="51">
        <v>1.012</v>
      </c>
      <c r="D4622" s="51">
        <v>66.0</v>
      </c>
      <c r="E4622" s="52" t="s">
        <v>25</v>
      </c>
      <c r="F4622" s="52" t="s">
        <v>26</v>
      </c>
      <c r="G4622" s="53"/>
    </row>
    <row r="4623">
      <c r="A4623" s="49">
        <v>45069.291186180555</v>
      </c>
      <c r="B4623" s="50">
        <v>45069.4161530439</v>
      </c>
      <c r="C4623" s="51">
        <v>1.012</v>
      </c>
      <c r="D4623" s="51">
        <v>66.0</v>
      </c>
      <c r="E4623" s="52" t="s">
        <v>25</v>
      </c>
      <c r="F4623" s="52" t="s">
        <v>26</v>
      </c>
      <c r="G4623" s="53"/>
    </row>
    <row r="4624">
      <c r="A4624" s="49">
        <v>45069.301613159725</v>
      </c>
      <c r="B4624" s="50">
        <v>45069.4265732986</v>
      </c>
      <c r="C4624" s="51">
        <v>1.012</v>
      </c>
      <c r="D4624" s="51">
        <v>66.0</v>
      </c>
      <c r="E4624" s="52" t="s">
        <v>25</v>
      </c>
      <c r="F4624" s="52" t="s">
        <v>26</v>
      </c>
      <c r="G4624" s="53"/>
    </row>
    <row r="4625">
      <c r="A4625" s="49">
        <v>45069.31203850695</v>
      </c>
      <c r="B4625" s="50">
        <v>45069.4370065393</v>
      </c>
      <c r="C4625" s="51">
        <v>1.012</v>
      </c>
      <c r="D4625" s="51">
        <v>66.0</v>
      </c>
      <c r="E4625" s="52" t="s">
        <v>25</v>
      </c>
      <c r="F4625" s="52" t="s">
        <v>26</v>
      </c>
      <c r="G4625" s="53"/>
    </row>
    <row r="4626">
      <c r="A4626" s="49">
        <v>45069.32245472222</v>
      </c>
      <c r="B4626" s="50">
        <v>45069.4474282523</v>
      </c>
      <c r="C4626" s="51">
        <v>1.012</v>
      </c>
      <c r="D4626" s="51">
        <v>66.0</v>
      </c>
      <c r="E4626" s="52" t="s">
        <v>25</v>
      </c>
      <c r="F4626" s="52" t="s">
        <v>26</v>
      </c>
      <c r="G4626" s="53"/>
    </row>
    <row r="4627">
      <c r="A4627" s="49">
        <v>45069.33287209491</v>
      </c>
      <c r="B4627" s="50">
        <v>45069.4578494907</v>
      </c>
      <c r="C4627" s="51">
        <v>1.012</v>
      </c>
      <c r="D4627" s="51">
        <v>66.0</v>
      </c>
      <c r="E4627" s="52" t="s">
        <v>25</v>
      </c>
      <c r="F4627" s="52" t="s">
        <v>26</v>
      </c>
      <c r="G4627" s="53"/>
    </row>
    <row r="4628">
      <c r="A4628" s="49">
        <v>45069.3433061574</v>
      </c>
      <c r="B4628" s="50">
        <v>45069.4682823495</v>
      </c>
      <c r="C4628" s="51">
        <v>1.012</v>
      </c>
      <c r="D4628" s="51">
        <v>66.0</v>
      </c>
      <c r="E4628" s="52" t="s">
        <v>25</v>
      </c>
      <c r="F4628" s="52" t="s">
        <v>26</v>
      </c>
      <c r="G4628" s="53"/>
    </row>
    <row r="4629">
      <c r="A4629" s="49">
        <v>45069.35373541666</v>
      </c>
      <c r="B4629" s="50">
        <v>45069.4787027546</v>
      </c>
      <c r="C4629" s="51">
        <v>1.012</v>
      </c>
      <c r="D4629" s="51">
        <v>66.0</v>
      </c>
      <c r="E4629" s="52" t="s">
        <v>25</v>
      </c>
      <c r="F4629" s="52" t="s">
        <v>26</v>
      </c>
      <c r="G4629" s="53"/>
    </row>
    <row r="4630">
      <c r="A4630" s="49">
        <v>45069.36416210648</v>
      </c>
      <c r="B4630" s="50">
        <v>45069.4891361574</v>
      </c>
      <c r="C4630" s="51">
        <v>1.012</v>
      </c>
      <c r="D4630" s="51">
        <v>66.0</v>
      </c>
      <c r="E4630" s="52" t="s">
        <v>25</v>
      </c>
      <c r="F4630" s="52" t="s">
        <v>26</v>
      </c>
      <c r="G4630" s="53"/>
    </row>
    <row r="4631">
      <c r="A4631" s="49">
        <v>45069.374582916666</v>
      </c>
      <c r="B4631" s="50">
        <v>45069.4995545717</v>
      </c>
      <c r="C4631" s="51">
        <v>1.012</v>
      </c>
      <c r="D4631" s="51">
        <v>66.0</v>
      </c>
      <c r="E4631" s="52" t="s">
        <v>25</v>
      </c>
      <c r="F4631" s="52" t="s">
        <v>26</v>
      </c>
      <c r="G4631" s="53"/>
    </row>
    <row r="4632">
      <c r="A4632" s="49">
        <v>45069.385017187495</v>
      </c>
      <c r="B4632" s="50">
        <v>45069.5099874074</v>
      </c>
      <c r="C4632" s="51">
        <v>1.012</v>
      </c>
      <c r="D4632" s="51">
        <v>66.0</v>
      </c>
      <c r="E4632" s="52" t="s">
        <v>25</v>
      </c>
      <c r="F4632" s="52" t="s">
        <v>26</v>
      </c>
      <c r="G4632" s="53"/>
    </row>
    <row r="4633">
      <c r="A4633" s="49">
        <v>45069.39548947917</v>
      </c>
      <c r="B4633" s="50">
        <v>45069.5204304745</v>
      </c>
      <c r="C4633" s="51">
        <v>1.012</v>
      </c>
      <c r="D4633" s="51">
        <v>66.0</v>
      </c>
      <c r="E4633" s="52" t="s">
        <v>25</v>
      </c>
      <c r="F4633" s="52" t="s">
        <v>26</v>
      </c>
      <c r="G4633" s="53"/>
    </row>
    <row r="4634">
      <c r="A4634" s="49">
        <v>45069.40592774306</v>
      </c>
      <c r="B4634" s="50">
        <v>45069.530851655</v>
      </c>
      <c r="C4634" s="51">
        <v>1.012</v>
      </c>
      <c r="D4634" s="51">
        <v>66.0</v>
      </c>
      <c r="E4634" s="52" t="s">
        <v>25</v>
      </c>
      <c r="F4634" s="52" t="s">
        <v>26</v>
      </c>
      <c r="G4634" s="53"/>
    </row>
    <row r="4635">
      <c r="A4635" s="49">
        <v>45069.41634398148</v>
      </c>
      <c r="B4635" s="50">
        <v>45069.5412857407</v>
      </c>
      <c r="C4635" s="51">
        <v>1.012</v>
      </c>
      <c r="D4635" s="51">
        <v>66.0</v>
      </c>
      <c r="E4635" s="52" t="s">
        <v>25</v>
      </c>
      <c r="F4635" s="52" t="s">
        <v>26</v>
      </c>
      <c r="G4635" s="53"/>
    </row>
    <row r="4636">
      <c r="A4636" s="49">
        <v>45069.42677578704</v>
      </c>
      <c r="B4636" s="50">
        <v>45069.5517181365</v>
      </c>
      <c r="C4636" s="51">
        <v>1.012</v>
      </c>
      <c r="D4636" s="51">
        <v>66.0</v>
      </c>
      <c r="E4636" s="52" t="s">
        <v>25</v>
      </c>
      <c r="F4636" s="52" t="s">
        <v>26</v>
      </c>
      <c r="G4636" s="53"/>
    </row>
    <row r="4637">
      <c r="A4637" s="49">
        <v>45069.43719861111</v>
      </c>
      <c r="B4637" s="50">
        <v>45069.5621369907</v>
      </c>
      <c r="C4637" s="51">
        <v>1.012</v>
      </c>
      <c r="D4637" s="51">
        <v>66.0</v>
      </c>
      <c r="E4637" s="52" t="s">
        <v>25</v>
      </c>
      <c r="F4637" s="52" t="s">
        <v>26</v>
      </c>
      <c r="G4637" s="53"/>
    </row>
    <row r="4638">
      <c r="A4638" s="49">
        <v>45069.447616018515</v>
      </c>
      <c r="B4638" s="50">
        <v>45069.5725816666</v>
      </c>
      <c r="C4638" s="51">
        <v>1.012</v>
      </c>
      <c r="D4638" s="51">
        <v>66.0</v>
      </c>
      <c r="E4638" s="52" t="s">
        <v>25</v>
      </c>
      <c r="F4638" s="52" t="s">
        <v>26</v>
      </c>
      <c r="G4638" s="53"/>
    </row>
    <row r="4639">
      <c r="A4639" s="49">
        <v>45069.45804405093</v>
      </c>
      <c r="B4639" s="50">
        <v>45069.5830148726</v>
      </c>
      <c r="C4639" s="51">
        <v>1.012</v>
      </c>
      <c r="D4639" s="51">
        <v>66.0</v>
      </c>
      <c r="E4639" s="52" t="s">
        <v>25</v>
      </c>
      <c r="F4639" s="52" t="s">
        <v>26</v>
      </c>
      <c r="G4639" s="53"/>
    </row>
    <row r="4640">
      <c r="A4640" s="49">
        <v>45069.46848524305</v>
      </c>
      <c r="B4640" s="50">
        <v>45069.5934360995</v>
      </c>
      <c r="C4640" s="51">
        <v>1.012</v>
      </c>
      <c r="D4640" s="51">
        <v>66.0</v>
      </c>
      <c r="E4640" s="52" t="s">
        <v>25</v>
      </c>
      <c r="F4640" s="52" t="s">
        <v>26</v>
      </c>
      <c r="G4640" s="53"/>
    </row>
    <row r="4641">
      <c r="A4641" s="49">
        <v>45069.478910844904</v>
      </c>
      <c r="B4641" s="50">
        <v>45069.6038595138</v>
      </c>
      <c r="C4641" s="51">
        <v>1.012</v>
      </c>
      <c r="D4641" s="51">
        <v>66.0</v>
      </c>
      <c r="E4641" s="52" t="s">
        <v>25</v>
      </c>
      <c r="F4641" s="52" t="s">
        <v>26</v>
      </c>
      <c r="G4641" s="53"/>
    </row>
    <row r="4642">
      <c r="A4642" s="49">
        <v>45069.48934328704</v>
      </c>
      <c r="B4642" s="50">
        <v>45069.6142911574</v>
      </c>
      <c r="C4642" s="51">
        <v>1.012</v>
      </c>
      <c r="D4642" s="51">
        <v>66.0</v>
      </c>
      <c r="E4642" s="52" t="s">
        <v>25</v>
      </c>
      <c r="F4642" s="52" t="s">
        <v>26</v>
      </c>
      <c r="G4642" s="53"/>
    </row>
    <row r="4643">
      <c r="A4643" s="49">
        <v>45069.49977912037</v>
      </c>
      <c r="B4643" s="50">
        <v>45069.6247120833</v>
      </c>
      <c r="C4643" s="51">
        <v>1.012</v>
      </c>
      <c r="D4643" s="51">
        <v>66.0</v>
      </c>
      <c r="E4643" s="52" t="s">
        <v>25</v>
      </c>
      <c r="F4643" s="52" t="s">
        <v>26</v>
      </c>
      <c r="G4643" s="53"/>
    </row>
    <row r="4644">
      <c r="A4644" s="49">
        <v>45069.510191458336</v>
      </c>
      <c r="B4644" s="50">
        <v>45069.6351346527</v>
      </c>
      <c r="C4644" s="51">
        <v>1.012</v>
      </c>
      <c r="D4644" s="51">
        <v>66.0</v>
      </c>
      <c r="E4644" s="52" t="s">
        <v>25</v>
      </c>
      <c r="F4644" s="52" t="s">
        <v>26</v>
      </c>
      <c r="G4644" s="53"/>
    </row>
    <row r="4645">
      <c r="A4645" s="49">
        <v>45069.52060912037</v>
      </c>
      <c r="B4645" s="50">
        <v>45069.6455676967</v>
      </c>
      <c r="C4645" s="51">
        <v>1.012</v>
      </c>
      <c r="D4645" s="51">
        <v>66.0</v>
      </c>
      <c r="E4645" s="52" t="s">
        <v>25</v>
      </c>
      <c r="F4645" s="52" t="s">
        <v>26</v>
      </c>
      <c r="G4645" s="53"/>
    </row>
    <row r="4646">
      <c r="A4646" s="49">
        <v>45069.53104450231</v>
      </c>
      <c r="B4646" s="50">
        <v>45069.6559893518</v>
      </c>
      <c r="C4646" s="51">
        <v>1.012</v>
      </c>
      <c r="D4646" s="51">
        <v>66.0</v>
      </c>
      <c r="E4646" s="52" t="s">
        <v>25</v>
      </c>
      <c r="F4646" s="52" t="s">
        <v>26</v>
      </c>
      <c r="G4646" s="53"/>
    </row>
    <row r="4647">
      <c r="A4647" s="49">
        <v>45069.54148696759</v>
      </c>
      <c r="B4647" s="50">
        <v>45069.6664102777</v>
      </c>
      <c r="C4647" s="51">
        <v>1.012</v>
      </c>
      <c r="D4647" s="51">
        <v>66.0</v>
      </c>
      <c r="E4647" s="52" t="s">
        <v>25</v>
      </c>
      <c r="F4647" s="52" t="s">
        <v>26</v>
      </c>
      <c r="G4647" s="53"/>
    </row>
    <row r="4648">
      <c r="A4648" s="49">
        <v>45069.55189002315</v>
      </c>
      <c r="B4648" s="50">
        <v>45069.6768321875</v>
      </c>
      <c r="C4648" s="51">
        <v>1.012</v>
      </c>
      <c r="D4648" s="51">
        <v>66.0</v>
      </c>
      <c r="E4648" s="52" t="s">
        <v>25</v>
      </c>
      <c r="F4648" s="52" t="s">
        <v>26</v>
      </c>
      <c r="G4648" s="53"/>
    </row>
    <row r="4649">
      <c r="A4649" s="49">
        <v>45069.56230420139</v>
      </c>
      <c r="B4649" s="50">
        <v>45069.6872525925</v>
      </c>
      <c r="C4649" s="51">
        <v>1.012</v>
      </c>
      <c r="D4649" s="51">
        <v>66.0</v>
      </c>
      <c r="E4649" s="52" t="s">
        <v>25</v>
      </c>
      <c r="F4649" s="52" t="s">
        <v>26</v>
      </c>
      <c r="G4649" s="53"/>
    </row>
    <row r="4650">
      <c r="A4650" s="49">
        <v>45069.57273579861</v>
      </c>
      <c r="B4650" s="50">
        <v>45069.6976856365</v>
      </c>
      <c r="C4650" s="51">
        <v>1.012</v>
      </c>
      <c r="D4650" s="51">
        <v>66.0</v>
      </c>
      <c r="E4650" s="52" t="s">
        <v>25</v>
      </c>
      <c r="F4650" s="52" t="s">
        <v>26</v>
      </c>
      <c r="G4650" s="53"/>
    </row>
    <row r="4651">
      <c r="A4651" s="49">
        <v>45069.58315356482</v>
      </c>
      <c r="B4651" s="50">
        <v>45069.7081286342</v>
      </c>
      <c r="C4651" s="51">
        <v>1.012</v>
      </c>
      <c r="D4651" s="51">
        <v>66.0</v>
      </c>
      <c r="E4651" s="52" t="s">
        <v>25</v>
      </c>
      <c r="F4651" s="52" t="s">
        <v>26</v>
      </c>
      <c r="G4651" s="53"/>
    </row>
    <row r="4652">
      <c r="A4652" s="49">
        <v>45069.614435613425</v>
      </c>
      <c r="B4652" s="50">
        <v>45069.739404699</v>
      </c>
      <c r="C4652" s="51">
        <v>1.012</v>
      </c>
      <c r="D4652" s="51">
        <v>66.0</v>
      </c>
      <c r="E4652" s="52" t="s">
        <v>25</v>
      </c>
      <c r="F4652" s="52" t="s">
        <v>26</v>
      </c>
      <c r="G4652" s="53"/>
    </row>
    <row r="4653">
      <c r="A4653" s="49">
        <v>45069.62486318287</v>
      </c>
      <c r="B4653" s="50">
        <v>45069.7498242013</v>
      </c>
      <c r="C4653" s="51">
        <v>1.012</v>
      </c>
      <c r="D4653" s="51">
        <v>66.0</v>
      </c>
      <c r="E4653" s="52" t="s">
        <v>25</v>
      </c>
      <c r="F4653" s="52" t="s">
        <v>26</v>
      </c>
      <c r="G4653" s="53"/>
    </row>
    <row r="4654">
      <c r="A4654" s="49">
        <v>45069.63529046296</v>
      </c>
      <c r="B4654" s="50">
        <v>45069.7602581134</v>
      </c>
      <c r="C4654" s="51">
        <v>1.012</v>
      </c>
      <c r="D4654" s="51">
        <v>66.0</v>
      </c>
      <c r="E4654" s="52" t="s">
        <v>25</v>
      </c>
      <c r="F4654" s="52" t="s">
        <v>26</v>
      </c>
      <c r="G4654" s="53"/>
    </row>
    <row r="4655">
      <c r="A4655" s="49">
        <v>45069.645711261575</v>
      </c>
      <c r="B4655" s="50">
        <v>45069.7706760879</v>
      </c>
      <c r="C4655" s="51">
        <v>1.012</v>
      </c>
      <c r="D4655" s="51">
        <v>66.0</v>
      </c>
      <c r="E4655" s="52" t="s">
        <v>25</v>
      </c>
      <c r="F4655" s="52" t="s">
        <v>26</v>
      </c>
      <c r="G4655" s="53"/>
    </row>
    <row r="4656">
      <c r="A4656" s="49">
        <v>45069.65613771991</v>
      </c>
      <c r="B4656" s="50">
        <v>45069.7810965277</v>
      </c>
      <c r="C4656" s="51">
        <v>1.012</v>
      </c>
      <c r="D4656" s="51">
        <v>66.0</v>
      </c>
      <c r="E4656" s="52" t="s">
        <v>25</v>
      </c>
      <c r="F4656" s="52" t="s">
        <v>26</v>
      </c>
      <c r="G4656" s="53"/>
    </row>
    <row r="4657">
      <c r="A4657" s="49">
        <v>45069.666558171295</v>
      </c>
      <c r="B4657" s="50">
        <v>45069.7915309838</v>
      </c>
      <c r="C4657" s="51">
        <v>1.012</v>
      </c>
      <c r="D4657" s="51">
        <v>66.0</v>
      </c>
      <c r="E4657" s="52" t="s">
        <v>25</v>
      </c>
      <c r="F4657" s="52" t="s">
        <v>26</v>
      </c>
      <c r="G4657" s="53"/>
    </row>
    <row r="4658">
      <c r="A4658" s="49">
        <v>45069.67699403936</v>
      </c>
      <c r="B4658" s="50">
        <v>45069.8019509838</v>
      </c>
      <c r="C4658" s="51">
        <v>1.012</v>
      </c>
      <c r="D4658" s="51">
        <v>66.0</v>
      </c>
      <c r="E4658" s="52" t="s">
        <v>25</v>
      </c>
      <c r="F4658" s="52" t="s">
        <v>26</v>
      </c>
      <c r="G4658" s="53"/>
    </row>
    <row r="4659">
      <c r="A4659" s="49">
        <v>45069.68741951389</v>
      </c>
      <c r="B4659" s="50">
        <v>45069.8123840509</v>
      </c>
      <c r="C4659" s="51">
        <v>1.012</v>
      </c>
      <c r="D4659" s="51">
        <v>66.0</v>
      </c>
      <c r="E4659" s="52" t="s">
        <v>25</v>
      </c>
      <c r="F4659" s="52" t="s">
        <v>26</v>
      </c>
      <c r="G4659" s="53"/>
    </row>
    <row r="4660">
      <c r="A4660" s="49">
        <v>45069.6978446875</v>
      </c>
      <c r="B4660" s="50">
        <v>45069.8228167013</v>
      </c>
      <c r="C4660" s="51">
        <v>1.012</v>
      </c>
      <c r="D4660" s="51">
        <v>66.0</v>
      </c>
      <c r="E4660" s="52" t="s">
        <v>25</v>
      </c>
      <c r="F4660" s="52" t="s">
        <v>26</v>
      </c>
      <c r="G4660" s="53"/>
    </row>
    <row r="4661">
      <c r="A4661" s="49">
        <v>45069.7082568287</v>
      </c>
      <c r="B4661" s="50">
        <v>45069.8332379629</v>
      </c>
      <c r="C4661" s="51">
        <v>1.012</v>
      </c>
      <c r="D4661" s="51">
        <v>66.0</v>
      </c>
      <c r="E4661" s="52" t="s">
        <v>25</v>
      </c>
      <c r="F4661" s="52" t="s">
        <v>26</v>
      </c>
      <c r="G4661" s="53"/>
    </row>
    <row r="4662">
      <c r="A4662" s="49">
        <v>45069.729107719904</v>
      </c>
      <c r="B4662" s="50">
        <v>45069.854079618</v>
      </c>
      <c r="C4662" s="51">
        <v>1.012</v>
      </c>
      <c r="D4662" s="51">
        <v>66.0</v>
      </c>
      <c r="E4662" s="52" t="s">
        <v>25</v>
      </c>
      <c r="F4662" s="52" t="s">
        <v>26</v>
      </c>
      <c r="G4662" s="53"/>
    </row>
    <row r="4663">
      <c r="A4663" s="49">
        <v>45069.73952565972</v>
      </c>
      <c r="B4663" s="50">
        <v>45069.8645006365</v>
      </c>
      <c r="C4663" s="51">
        <v>1.012</v>
      </c>
      <c r="D4663" s="51">
        <v>66.0</v>
      </c>
      <c r="E4663" s="52" t="s">
        <v>25</v>
      </c>
      <c r="F4663" s="52" t="s">
        <v>26</v>
      </c>
      <c r="G4663" s="53"/>
    </row>
    <row r="4664">
      <c r="A4664" s="49">
        <v>45069.74995565972</v>
      </c>
      <c r="B4664" s="50">
        <v>45069.8749215046</v>
      </c>
      <c r="C4664" s="51">
        <v>1.012</v>
      </c>
      <c r="D4664" s="51">
        <v>66.0</v>
      </c>
      <c r="E4664" s="52" t="s">
        <v>25</v>
      </c>
      <c r="F4664" s="52" t="s">
        <v>26</v>
      </c>
      <c r="G4664" s="53"/>
    </row>
    <row r="4665">
      <c r="A4665" s="49">
        <v>45069.760369930555</v>
      </c>
      <c r="B4665" s="50">
        <v>45069.8853398842</v>
      </c>
      <c r="C4665" s="51">
        <v>1.012</v>
      </c>
      <c r="D4665" s="51">
        <v>66.0</v>
      </c>
      <c r="E4665" s="52" t="s">
        <v>25</v>
      </c>
      <c r="F4665" s="52" t="s">
        <v>26</v>
      </c>
      <c r="G4665" s="53"/>
    </row>
    <row r="4666">
      <c r="A4666" s="49">
        <v>45069.77078954861</v>
      </c>
      <c r="B4666" s="50">
        <v>45069.8957617013</v>
      </c>
      <c r="C4666" s="51">
        <v>1.012</v>
      </c>
      <c r="D4666" s="51">
        <v>66.0</v>
      </c>
      <c r="E4666" s="52" t="s">
        <v>25</v>
      </c>
      <c r="F4666" s="52" t="s">
        <v>26</v>
      </c>
      <c r="G4666" s="53"/>
    </row>
    <row r="4667">
      <c r="A4667" s="49">
        <v>45069.78121803241</v>
      </c>
      <c r="B4667" s="50">
        <v>45069.9061830439</v>
      </c>
      <c r="C4667" s="51">
        <v>1.012</v>
      </c>
      <c r="D4667" s="51">
        <v>66.0</v>
      </c>
      <c r="E4667" s="52" t="s">
        <v>25</v>
      </c>
      <c r="F4667" s="52" t="s">
        <v>26</v>
      </c>
      <c r="G4667" s="53"/>
    </row>
    <row r="4668">
      <c r="A4668" s="49">
        <v>45069.79163774305</v>
      </c>
      <c r="B4668" s="50">
        <v>45069.916604375</v>
      </c>
      <c r="C4668" s="51">
        <v>1.012</v>
      </c>
      <c r="D4668" s="51">
        <v>66.0</v>
      </c>
      <c r="E4668" s="52" t="s">
        <v>25</v>
      </c>
      <c r="F4668" s="52" t="s">
        <v>26</v>
      </c>
      <c r="G4668" s="53"/>
    </row>
    <row r="4669">
      <c r="A4669" s="49">
        <v>45069.80205403935</v>
      </c>
      <c r="B4669" s="50">
        <v>45069.9270266782</v>
      </c>
      <c r="C4669" s="51">
        <v>1.012</v>
      </c>
      <c r="D4669" s="51">
        <v>66.0</v>
      </c>
      <c r="E4669" s="52" t="s">
        <v>25</v>
      </c>
      <c r="F4669" s="52" t="s">
        <v>26</v>
      </c>
      <c r="G4669" s="53"/>
    </row>
    <row r="4670">
      <c r="A4670" s="49">
        <v>45069.81248460648</v>
      </c>
      <c r="B4670" s="50">
        <v>45069.9374601273</v>
      </c>
      <c r="C4670" s="51">
        <v>1.012</v>
      </c>
      <c r="D4670" s="51">
        <v>66.0</v>
      </c>
      <c r="E4670" s="52" t="s">
        <v>25</v>
      </c>
      <c r="F4670" s="52" t="s">
        <v>26</v>
      </c>
      <c r="G4670" s="53"/>
    </row>
    <row r="4671">
      <c r="A4671" s="49">
        <v>45069.82297789352</v>
      </c>
      <c r="B4671" s="50">
        <v>45069.9479048842</v>
      </c>
      <c r="C4671" s="51">
        <v>1.012</v>
      </c>
      <c r="D4671" s="51">
        <v>66.0</v>
      </c>
      <c r="E4671" s="52" t="s">
        <v>25</v>
      </c>
      <c r="F4671" s="52" t="s">
        <v>26</v>
      </c>
      <c r="G4671" s="53"/>
    </row>
    <row r="4672">
      <c r="A4672" s="49">
        <v>45069.83334574074</v>
      </c>
      <c r="B4672" s="50">
        <v>45069.9583247569</v>
      </c>
      <c r="C4672" s="51">
        <v>1.012</v>
      </c>
      <c r="D4672" s="51">
        <v>66.0</v>
      </c>
      <c r="E4672" s="52" t="s">
        <v>25</v>
      </c>
      <c r="F4672" s="52" t="s">
        <v>26</v>
      </c>
      <c r="G4672" s="53"/>
    </row>
    <row r="4673">
      <c r="A4673" s="49">
        <v>45069.84382675926</v>
      </c>
      <c r="B4673" s="50">
        <v>45069.9687451851</v>
      </c>
      <c r="C4673" s="51">
        <v>1.012</v>
      </c>
      <c r="D4673" s="51">
        <v>66.0</v>
      </c>
      <c r="E4673" s="52" t="s">
        <v>25</v>
      </c>
      <c r="F4673" s="52" t="s">
        <v>26</v>
      </c>
      <c r="G4673" s="53"/>
    </row>
    <row r="4674">
      <c r="A4674" s="49">
        <v>45069.8541925926</v>
      </c>
      <c r="B4674" s="50">
        <v>45069.9791660185</v>
      </c>
      <c r="C4674" s="51">
        <v>1.012</v>
      </c>
      <c r="D4674" s="51">
        <v>66.0</v>
      </c>
      <c r="E4674" s="52" t="s">
        <v>25</v>
      </c>
      <c r="F4674" s="52" t="s">
        <v>26</v>
      </c>
      <c r="G4674" s="53"/>
    </row>
    <row r="4675">
      <c r="A4675" s="49">
        <v>45069.87502910879</v>
      </c>
      <c r="B4675" s="50">
        <v>45070.0000043055</v>
      </c>
      <c r="C4675" s="51">
        <v>1.012</v>
      </c>
      <c r="D4675" s="51">
        <v>66.0</v>
      </c>
      <c r="E4675" s="52" t="s">
        <v>25</v>
      </c>
      <c r="F4675" s="52" t="s">
        <v>26</v>
      </c>
      <c r="G4675" s="53"/>
    </row>
    <row r="4676">
      <c r="A4676" s="49">
        <v>45069.88547925926</v>
      </c>
      <c r="B4676" s="50">
        <v>45070.010426412</v>
      </c>
      <c r="C4676" s="51">
        <v>1.012</v>
      </c>
      <c r="D4676" s="51">
        <v>66.0</v>
      </c>
      <c r="E4676" s="52" t="s">
        <v>25</v>
      </c>
      <c r="F4676" s="52" t="s">
        <v>26</v>
      </c>
      <c r="G4676" s="53"/>
    </row>
    <row r="4677">
      <c r="A4677" s="49">
        <v>45069.89587449074</v>
      </c>
      <c r="B4677" s="50">
        <v>45070.0208491319</v>
      </c>
      <c r="C4677" s="51">
        <v>1.012</v>
      </c>
      <c r="D4677" s="51">
        <v>66.0</v>
      </c>
      <c r="E4677" s="52" t="s">
        <v>25</v>
      </c>
      <c r="F4677" s="52" t="s">
        <v>26</v>
      </c>
      <c r="G4677" s="53"/>
    </row>
    <row r="4678">
      <c r="A4678" s="49">
        <v>45069.906311203704</v>
      </c>
      <c r="B4678" s="50">
        <v>45070.0312822569</v>
      </c>
      <c r="C4678" s="51">
        <v>1.012</v>
      </c>
      <c r="D4678" s="51">
        <v>66.0</v>
      </c>
      <c r="E4678" s="52" t="s">
        <v>25</v>
      </c>
      <c r="F4678" s="52" t="s">
        <v>26</v>
      </c>
      <c r="G4678" s="53"/>
    </row>
    <row r="4679">
      <c r="A4679" s="49">
        <v>45069.91673013889</v>
      </c>
      <c r="B4679" s="50">
        <v>45070.0417029282</v>
      </c>
      <c r="C4679" s="51">
        <v>1.012</v>
      </c>
      <c r="D4679" s="51">
        <v>66.0</v>
      </c>
      <c r="E4679" s="52" t="s">
        <v>25</v>
      </c>
      <c r="F4679" s="52" t="s">
        <v>26</v>
      </c>
      <c r="G4679" s="53"/>
    </row>
    <row r="4680">
      <c r="A4680" s="49">
        <v>45069.92716361111</v>
      </c>
      <c r="B4680" s="50">
        <v>45070.0521366666</v>
      </c>
      <c r="C4680" s="51">
        <v>1.012</v>
      </c>
      <c r="D4680" s="51">
        <v>66.0</v>
      </c>
      <c r="E4680" s="52" t="s">
        <v>25</v>
      </c>
      <c r="F4680" s="52" t="s">
        <v>26</v>
      </c>
      <c r="G4680" s="53"/>
    </row>
    <row r="4681">
      <c r="A4681" s="49">
        <v>45069.94801371528</v>
      </c>
      <c r="B4681" s="50">
        <v>45070.0729901851</v>
      </c>
      <c r="C4681" s="51">
        <v>1.012</v>
      </c>
      <c r="D4681" s="51">
        <v>66.0</v>
      </c>
      <c r="E4681" s="52" t="s">
        <v>25</v>
      </c>
      <c r="F4681" s="52" t="s">
        <v>26</v>
      </c>
      <c r="G4681" s="53"/>
    </row>
    <row r="4682">
      <c r="A4682" s="49">
        <v>45069.95844043982</v>
      </c>
      <c r="B4682" s="50">
        <v>45070.0834109027</v>
      </c>
      <c r="C4682" s="51">
        <v>1.012</v>
      </c>
      <c r="D4682" s="51">
        <v>66.0</v>
      </c>
      <c r="E4682" s="52" t="s">
        <v>25</v>
      </c>
      <c r="F4682" s="52" t="s">
        <v>26</v>
      </c>
      <c r="G4682" s="53"/>
    </row>
    <row r="4683">
      <c r="A4683" s="49">
        <v>45069.968857291664</v>
      </c>
      <c r="B4683" s="50">
        <v>45070.0938322106</v>
      </c>
      <c r="C4683" s="51">
        <v>1.012</v>
      </c>
      <c r="D4683" s="51">
        <v>66.0</v>
      </c>
      <c r="E4683" s="52" t="s">
        <v>25</v>
      </c>
      <c r="F4683" s="52" t="s">
        <v>26</v>
      </c>
      <c r="G4683" s="53"/>
    </row>
    <row r="4684">
      <c r="A4684" s="49">
        <v>45069.97929689815</v>
      </c>
      <c r="B4684" s="50">
        <v>45070.1042545486</v>
      </c>
      <c r="C4684" s="51">
        <v>1.012</v>
      </c>
      <c r="D4684" s="51">
        <v>66.0</v>
      </c>
      <c r="E4684" s="52" t="s">
        <v>25</v>
      </c>
      <c r="F4684" s="52" t="s">
        <v>26</v>
      </c>
      <c r="G4684" s="53"/>
    </row>
    <row r="4685">
      <c r="A4685" s="49">
        <v>45069.98975104166</v>
      </c>
      <c r="B4685" s="50">
        <v>45070.114676412</v>
      </c>
      <c r="C4685" s="51">
        <v>1.012</v>
      </c>
      <c r="D4685" s="51">
        <v>66.0</v>
      </c>
      <c r="E4685" s="52" t="s">
        <v>25</v>
      </c>
      <c r="F4685" s="52" t="s">
        <v>26</v>
      </c>
      <c r="G4685" s="53"/>
    </row>
    <row r="4686">
      <c r="A4686" s="49">
        <v>45070.00014145834</v>
      </c>
      <c r="B4686" s="50">
        <v>45070.1250981828</v>
      </c>
      <c r="C4686" s="51">
        <v>1.012</v>
      </c>
      <c r="D4686" s="51">
        <v>66.0</v>
      </c>
      <c r="E4686" s="52" t="s">
        <v>25</v>
      </c>
      <c r="F4686" s="52" t="s">
        <v>26</v>
      </c>
      <c r="G4686" s="53"/>
    </row>
    <row r="4687">
      <c r="A4687" s="49">
        <v>45070.01055304398</v>
      </c>
      <c r="B4687" s="50">
        <v>45070.1355303472</v>
      </c>
      <c r="C4687" s="51">
        <v>1.012</v>
      </c>
      <c r="D4687" s="51">
        <v>66.0</v>
      </c>
      <c r="E4687" s="52" t="s">
        <v>25</v>
      </c>
      <c r="F4687" s="52" t="s">
        <v>26</v>
      </c>
      <c r="G4687" s="53"/>
    </row>
    <row r="4688">
      <c r="A4688" s="49">
        <v>45070.02099960648</v>
      </c>
      <c r="B4688" s="50">
        <v>45070.1459759837</v>
      </c>
      <c r="C4688" s="51">
        <v>1.012</v>
      </c>
      <c r="D4688" s="51">
        <v>66.0</v>
      </c>
      <c r="E4688" s="52" t="s">
        <v>25</v>
      </c>
      <c r="F4688" s="52" t="s">
        <v>26</v>
      </c>
      <c r="G4688" s="53"/>
    </row>
    <row r="4689">
      <c r="A4689" s="49">
        <v>45070.03142642361</v>
      </c>
      <c r="B4689" s="50">
        <v>45070.156395868</v>
      </c>
      <c r="C4689" s="51">
        <v>1.012</v>
      </c>
      <c r="D4689" s="51">
        <v>66.0</v>
      </c>
      <c r="E4689" s="52" t="s">
        <v>25</v>
      </c>
      <c r="F4689" s="52" t="s">
        <v>26</v>
      </c>
      <c r="G4689" s="53"/>
    </row>
    <row r="4690">
      <c r="A4690" s="49">
        <v>45070.041844872685</v>
      </c>
      <c r="B4690" s="50">
        <v>45070.1668165393</v>
      </c>
      <c r="C4690" s="51">
        <v>1.012</v>
      </c>
      <c r="D4690" s="51">
        <v>66.0</v>
      </c>
      <c r="E4690" s="52" t="s">
        <v>25</v>
      </c>
      <c r="F4690" s="52" t="s">
        <v>26</v>
      </c>
      <c r="G4690" s="53"/>
    </row>
    <row r="4691">
      <c r="A4691" s="49">
        <v>45070.05226790509</v>
      </c>
      <c r="B4691" s="50">
        <v>45070.1772372916</v>
      </c>
      <c r="C4691" s="51">
        <v>1.012</v>
      </c>
      <c r="D4691" s="51">
        <v>66.0</v>
      </c>
      <c r="E4691" s="52" t="s">
        <v>25</v>
      </c>
      <c r="F4691" s="52" t="s">
        <v>26</v>
      </c>
      <c r="G4691" s="53"/>
    </row>
    <row r="4692">
      <c r="A4692" s="49">
        <v>45070.06269947917</v>
      </c>
      <c r="B4692" s="50">
        <v>45070.187670324</v>
      </c>
      <c r="C4692" s="51">
        <v>1.012</v>
      </c>
      <c r="D4692" s="51">
        <v>66.0</v>
      </c>
      <c r="E4692" s="52" t="s">
        <v>25</v>
      </c>
      <c r="F4692" s="52" t="s">
        <v>26</v>
      </c>
      <c r="G4692" s="53"/>
    </row>
    <row r="4693">
      <c r="A4693" s="49">
        <v>45070.07311679398</v>
      </c>
      <c r="B4693" s="50">
        <v>45070.1980904398</v>
      </c>
      <c r="C4693" s="51">
        <v>1.012</v>
      </c>
      <c r="D4693" s="51">
        <v>66.0</v>
      </c>
      <c r="E4693" s="52" t="s">
        <v>25</v>
      </c>
      <c r="F4693" s="52" t="s">
        <v>26</v>
      </c>
      <c r="G4693" s="53"/>
    </row>
    <row r="4694">
      <c r="A4694" s="49">
        <v>45070.08355163195</v>
      </c>
      <c r="B4694" s="50">
        <v>45070.2085215856</v>
      </c>
      <c r="C4694" s="51">
        <v>1.012</v>
      </c>
      <c r="D4694" s="51">
        <v>66.0</v>
      </c>
      <c r="E4694" s="52" t="s">
        <v>25</v>
      </c>
      <c r="F4694" s="52" t="s">
        <v>26</v>
      </c>
      <c r="G4694" s="53"/>
    </row>
    <row r="4695">
      <c r="A4695" s="49">
        <v>45070.09398875</v>
      </c>
      <c r="B4695" s="50">
        <v>45070.218941956</v>
      </c>
      <c r="C4695" s="51">
        <v>1.012</v>
      </c>
      <c r="D4695" s="51">
        <v>66.0</v>
      </c>
      <c r="E4695" s="52" t="s">
        <v>25</v>
      </c>
      <c r="F4695" s="52" t="s">
        <v>26</v>
      </c>
      <c r="G4695" s="53"/>
    </row>
    <row r="4696">
      <c r="A4696" s="49">
        <v>45070.10440950231</v>
      </c>
      <c r="B4696" s="50">
        <v>45070.2293625</v>
      </c>
      <c r="C4696" s="51">
        <v>1.012</v>
      </c>
      <c r="D4696" s="51">
        <v>66.0</v>
      </c>
      <c r="E4696" s="52" t="s">
        <v>25</v>
      </c>
      <c r="F4696" s="52" t="s">
        <v>26</v>
      </c>
      <c r="G4696" s="53"/>
    </row>
    <row r="4697">
      <c r="A4697" s="49">
        <v>45070.1148384838</v>
      </c>
      <c r="B4697" s="50">
        <v>45070.2398076504</v>
      </c>
      <c r="C4697" s="51">
        <v>1.012</v>
      </c>
      <c r="D4697" s="51">
        <v>66.0</v>
      </c>
      <c r="E4697" s="52" t="s">
        <v>25</v>
      </c>
      <c r="F4697" s="52" t="s">
        <v>26</v>
      </c>
      <c r="G4697" s="53"/>
    </row>
    <row r="4698">
      <c r="A4698" s="49">
        <v>45070.125256307874</v>
      </c>
      <c r="B4698" s="50">
        <v>45070.2502295138</v>
      </c>
      <c r="C4698" s="51">
        <v>1.012</v>
      </c>
      <c r="D4698" s="51">
        <v>66.0</v>
      </c>
      <c r="E4698" s="52" t="s">
        <v>25</v>
      </c>
      <c r="F4698" s="52" t="s">
        <v>26</v>
      </c>
      <c r="G4698" s="53"/>
    </row>
    <row r="4699">
      <c r="A4699" s="49">
        <v>45070.135676122685</v>
      </c>
      <c r="B4699" s="50">
        <v>45070.2606490277</v>
      </c>
      <c r="C4699" s="51">
        <v>1.012</v>
      </c>
      <c r="D4699" s="51">
        <v>66.0</v>
      </c>
      <c r="E4699" s="52" t="s">
        <v>25</v>
      </c>
      <c r="F4699" s="52" t="s">
        <v>26</v>
      </c>
      <c r="G4699" s="53"/>
    </row>
    <row r="4700">
      <c r="A4700" s="49">
        <v>45070.14612119213</v>
      </c>
      <c r="B4700" s="50">
        <v>45070.2710932175</v>
      </c>
      <c r="C4700" s="51">
        <v>1.012</v>
      </c>
      <c r="D4700" s="51">
        <v>66.0</v>
      </c>
      <c r="E4700" s="52" t="s">
        <v>25</v>
      </c>
      <c r="F4700" s="52" t="s">
        <v>26</v>
      </c>
      <c r="G4700" s="53"/>
    </row>
    <row r="4701">
      <c r="A4701" s="49">
        <v>45070.15654967593</v>
      </c>
      <c r="B4701" s="50">
        <v>45070.2815255092</v>
      </c>
      <c r="C4701" s="51">
        <v>1.012</v>
      </c>
      <c r="D4701" s="51">
        <v>66.0</v>
      </c>
      <c r="E4701" s="52" t="s">
        <v>25</v>
      </c>
      <c r="F4701" s="52" t="s">
        <v>26</v>
      </c>
      <c r="G4701" s="53"/>
    </row>
    <row r="4702">
      <c r="A4702" s="49">
        <v>45070.166973784726</v>
      </c>
      <c r="B4702" s="50">
        <v>45070.2919455671</v>
      </c>
      <c r="C4702" s="51">
        <v>1.012</v>
      </c>
      <c r="D4702" s="51">
        <v>66.0</v>
      </c>
      <c r="E4702" s="52" t="s">
        <v>25</v>
      </c>
      <c r="F4702" s="52" t="s">
        <v>26</v>
      </c>
      <c r="G4702" s="53"/>
    </row>
    <row r="4703">
      <c r="A4703" s="49">
        <v>45070.17739383102</v>
      </c>
      <c r="B4703" s="50">
        <v>45070.3023673611</v>
      </c>
      <c r="C4703" s="51">
        <v>1.012</v>
      </c>
      <c r="D4703" s="51">
        <v>66.0</v>
      </c>
      <c r="E4703" s="52" t="s">
        <v>25</v>
      </c>
      <c r="F4703" s="52" t="s">
        <v>26</v>
      </c>
      <c r="G4703" s="53"/>
    </row>
    <row r="4704">
      <c r="A4704" s="49">
        <v>45070.18783430556</v>
      </c>
      <c r="B4704" s="50">
        <v>45070.3127992592</v>
      </c>
      <c r="C4704" s="51">
        <v>1.012</v>
      </c>
      <c r="D4704" s="51">
        <v>66.0</v>
      </c>
      <c r="E4704" s="52" t="s">
        <v>25</v>
      </c>
      <c r="F4704" s="52" t="s">
        <v>26</v>
      </c>
      <c r="G4704" s="53"/>
    </row>
    <row r="4705">
      <c r="A4705" s="49">
        <v>45070.19824769676</v>
      </c>
      <c r="B4705" s="50">
        <v>45070.3232199884</v>
      </c>
      <c r="C4705" s="51">
        <v>1.011</v>
      </c>
      <c r="D4705" s="51">
        <v>66.0</v>
      </c>
      <c r="E4705" s="52" t="s">
        <v>25</v>
      </c>
      <c r="F4705" s="52" t="s">
        <v>26</v>
      </c>
      <c r="G4705" s="53"/>
    </row>
    <row r="4706">
      <c r="A4706" s="49">
        <v>45070.20867136574</v>
      </c>
      <c r="B4706" s="50">
        <v>45070.3336389467</v>
      </c>
      <c r="C4706" s="51">
        <v>1.012</v>
      </c>
      <c r="D4706" s="51">
        <v>66.0</v>
      </c>
      <c r="E4706" s="52" t="s">
        <v>25</v>
      </c>
      <c r="F4706" s="52" t="s">
        <v>26</v>
      </c>
      <c r="G4706" s="53"/>
    </row>
    <row r="4707">
      <c r="A4707" s="49">
        <v>45070.219101400464</v>
      </c>
      <c r="B4707" s="50">
        <v>45070.3440710879</v>
      </c>
      <c r="C4707" s="51">
        <v>1.012</v>
      </c>
      <c r="D4707" s="51">
        <v>66.0</v>
      </c>
      <c r="E4707" s="52" t="s">
        <v>25</v>
      </c>
      <c r="F4707" s="52" t="s">
        <v>26</v>
      </c>
      <c r="G4707" s="53"/>
    </row>
    <row r="4708">
      <c r="A4708" s="49">
        <v>45070.22952085648</v>
      </c>
      <c r="B4708" s="50">
        <v>45070.3544910069</v>
      </c>
      <c r="C4708" s="51">
        <v>1.012</v>
      </c>
      <c r="D4708" s="51">
        <v>66.0</v>
      </c>
      <c r="E4708" s="52" t="s">
        <v>25</v>
      </c>
      <c r="F4708" s="52" t="s">
        <v>26</v>
      </c>
      <c r="G4708" s="53"/>
    </row>
    <row r="4709">
      <c r="A4709" s="49">
        <v>45070.239945995374</v>
      </c>
      <c r="B4709" s="50">
        <v>45070.3649113194</v>
      </c>
      <c r="C4709" s="51">
        <v>1.012</v>
      </c>
      <c r="D4709" s="51">
        <v>66.0</v>
      </c>
      <c r="E4709" s="52" t="s">
        <v>25</v>
      </c>
      <c r="F4709" s="52" t="s">
        <v>26</v>
      </c>
      <c r="G4709" s="53"/>
    </row>
    <row r="4710">
      <c r="A4710" s="49">
        <v>45070.250426087965</v>
      </c>
      <c r="B4710" s="50">
        <v>45070.3753315509</v>
      </c>
      <c r="C4710" s="51">
        <v>1.012</v>
      </c>
      <c r="D4710" s="51">
        <v>66.0</v>
      </c>
      <c r="E4710" s="52" t="s">
        <v>25</v>
      </c>
      <c r="F4710" s="52" t="s">
        <v>26</v>
      </c>
      <c r="G4710" s="53"/>
    </row>
    <row r="4711">
      <c r="A4711" s="49">
        <v>45070.260804722224</v>
      </c>
      <c r="B4711" s="50">
        <v>45070.3857521064</v>
      </c>
      <c r="C4711" s="51">
        <v>1.011</v>
      </c>
      <c r="D4711" s="51">
        <v>66.0</v>
      </c>
      <c r="E4711" s="52" t="s">
        <v>25</v>
      </c>
      <c r="F4711" s="52" t="s">
        <v>26</v>
      </c>
      <c r="G4711" s="53"/>
    </row>
    <row r="4712">
      <c r="A4712" s="49">
        <v>45070.27123108796</v>
      </c>
      <c r="B4712" s="50">
        <v>45070.3961846296</v>
      </c>
      <c r="C4712" s="51">
        <v>1.012</v>
      </c>
      <c r="D4712" s="51">
        <v>66.0</v>
      </c>
      <c r="E4712" s="52" t="s">
        <v>25</v>
      </c>
      <c r="F4712" s="52" t="s">
        <v>26</v>
      </c>
      <c r="G4712" s="53"/>
    </row>
    <row r="4713">
      <c r="A4713" s="49">
        <v>45070.28164701389</v>
      </c>
      <c r="B4713" s="50">
        <v>45070.4066065509</v>
      </c>
      <c r="C4713" s="51">
        <v>1.011</v>
      </c>
      <c r="D4713" s="51">
        <v>66.0</v>
      </c>
      <c r="E4713" s="52" t="s">
        <v>25</v>
      </c>
      <c r="F4713" s="52" t="s">
        <v>26</v>
      </c>
      <c r="G4713" s="53"/>
    </row>
    <row r="4714">
      <c r="A4714" s="49">
        <v>45070.292158032404</v>
      </c>
      <c r="B4714" s="50">
        <v>45070.4170292939</v>
      </c>
      <c r="C4714" s="51">
        <v>1.012</v>
      </c>
      <c r="D4714" s="51">
        <v>66.0</v>
      </c>
      <c r="E4714" s="52" t="s">
        <v>25</v>
      </c>
      <c r="F4714" s="52" t="s">
        <v>26</v>
      </c>
      <c r="G4714" s="53"/>
    </row>
    <row r="4715">
      <c r="A4715" s="49">
        <v>45070.302483761574</v>
      </c>
      <c r="B4715" s="50">
        <v>45070.4274515393</v>
      </c>
      <c r="C4715" s="51">
        <v>1.012</v>
      </c>
      <c r="D4715" s="51">
        <v>66.0</v>
      </c>
      <c r="E4715" s="52" t="s">
        <v>25</v>
      </c>
      <c r="F4715" s="52" t="s">
        <v>26</v>
      </c>
      <c r="G4715" s="53"/>
    </row>
    <row r="4716">
      <c r="A4716" s="49">
        <v>45070.312944074074</v>
      </c>
      <c r="B4716" s="50">
        <v>45070.4378713888</v>
      </c>
      <c r="C4716" s="51">
        <v>1.012</v>
      </c>
      <c r="D4716" s="51">
        <v>66.0</v>
      </c>
      <c r="E4716" s="52" t="s">
        <v>25</v>
      </c>
      <c r="F4716" s="52" t="s">
        <v>26</v>
      </c>
      <c r="G4716" s="53"/>
    </row>
    <row r="4717">
      <c r="A4717" s="49">
        <v>45070.323318877316</v>
      </c>
      <c r="B4717" s="50">
        <v>45070.4482935995</v>
      </c>
      <c r="C4717" s="51">
        <v>1.012</v>
      </c>
      <c r="D4717" s="51">
        <v>66.0</v>
      </c>
      <c r="E4717" s="52" t="s">
        <v>25</v>
      </c>
      <c r="F4717" s="52" t="s">
        <v>26</v>
      </c>
      <c r="G4717" s="53"/>
    </row>
    <row r="4718">
      <c r="A4718" s="49">
        <v>45070.33373770834</v>
      </c>
      <c r="B4718" s="50">
        <v>45070.4587154976</v>
      </c>
      <c r="C4718" s="51">
        <v>1.012</v>
      </c>
      <c r="D4718" s="51">
        <v>66.0</v>
      </c>
      <c r="E4718" s="52" t="s">
        <v>25</v>
      </c>
      <c r="F4718" s="52" t="s">
        <v>26</v>
      </c>
      <c r="G4718" s="53"/>
    </row>
    <row r="4719">
      <c r="A4719" s="49">
        <v>45070.344178125</v>
      </c>
      <c r="B4719" s="50">
        <v>45070.4691369907</v>
      </c>
      <c r="C4719" s="51">
        <v>1.011</v>
      </c>
      <c r="D4719" s="51">
        <v>66.0</v>
      </c>
      <c r="E4719" s="52" t="s">
        <v>25</v>
      </c>
      <c r="F4719" s="52" t="s">
        <v>26</v>
      </c>
      <c r="G4719" s="53"/>
    </row>
    <row r="4720">
      <c r="A4720" s="49">
        <v>45070.35458857639</v>
      </c>
      <c r="B4720" s="50">
        <v>45070.4795581713</v>
      </c>
      <c r="C4720" s="51">
        <v>1.012</v>
      </c>
      <c r="D4720" s="51">
        <v>66.0</v>
      </c>
      <c r="E4720" s="52" t="s">
        <v>25</v>
      </c>
      <c r="F4720" s="52" t="s">
        <v>26</v>
      </c>
      <c r="G4720" s="53"/>
    </row>
    <row r="4721">
      <c r="A4721" s="49">
        <v>45070.36507435185</v>
      </c>
      <c r="B4721" s="50">
        <v>45070.4899915509</v>
      </c>
      <c r="C4721" s="51">
        <v>1.012</v>
      </c>
      <c r="D4721" s="51">
        <v>66.0</v>
      </c>
      <c r="E4721" s="52" t="s">
        <v>25</v>
      </c>
      <c r="F4721" s="52" t="s">
        <v>26</v>
      </c>
      <c r="G4721" s="53"/>
    </row>
    <row r="4722">
      <c r="A4722" s="49">
        <v>45070.37549351851</v>
      </c>
      <c r="B4722" s="50">
        <v>45070.5004475231</v>
      </c>
      <c r="C4722" s="51">
        <v>1.012</v>
      </c>
      <c r="D4722" s="51">
        <v>66.0</v>
      </c>
      <c r="E4722" s="52" t="s">
        <v>25</v>
      </c>
      <c r="F4722" s="52" t="s">
        <v>26</v>
      </c>
      <c r="G4722" s="53"/>
    </row>
    <row r="4723">
      <c r="A4723" s="49">
        <v>45070.38592388888</v>
      </c>
      <c r="B4723" s="50">
        <v>45070.5108907986</v>
      </c>
      <c r="C4723" s="51">
        <v>1.012</v>
      </c>
      <c r="D4723" s="51">
        <v>66.0</v>
      </c>
      <c r="E4723" s="52" t="s">
        <v>25</v>
      </c>
      <c r="F4723" s="52" t="s">
        <v>26</v>
      </c>
      <c r="G4723" s="53"/>
    </row>
    <row r="4724">
      <c r="A4724" s="49">
        <v>45070.39636780093</v>
      </c>
      <c r="B4724" s="50">
        <v>45070.5213117129</v>
      </c>
      <c r="C4724" s="51">
        <v>1.012</v>
      </c>
      <c r="D4724" s="51">
        <v>66.0</v>
      </c>
      <c r="E4724" s="52" t="s">
        <v>25</v>
      </c>
      <c r="F4724" s="52" t="s">
        <v>26</v>
      </c>
      <c r="G4724" s="53"/>
    </row>
    <row r="4725">
      <c r="A4725" s="49">
        <v>45070.40677608796</v>
      </c>
      <c r="B4725" s="50">
        <v>45070.5317331018</v>
      </c>
      <c r="C4725" s="51">
        <v>1.012</v>
      </c>
      <c r="D4725" s="51">
        <v>66.0</v>
      </c>
      <c r="E4725" s="52" t="s">
        <v>25</v>
      </c>
      <c r="F4725" s="52" t="s">
        <v>26</v>
      </c>
      <c r="G4725" s="53"/>
    </row>
    <row r="4726">
      <c r="A4726" s="49">
        <v>45070.41719489583</v>
      </c>
      <c r="B4726" s="50">
        <v>45070.5421546064</v>
      </c>
      <c r="C4726" s="51">
        <v>1.012</v>
      </c>
      <c r="D4726" s="51">
        <v>66.0</v>
      </c>
      <c r="E4726" s="52" t="s">
        <v>25</v>
      </c>
      <c r="F4726" s="52" t="s">
        <v>26</v>
      </c>
      <c r="G4726" s="53"/>
    </row>
    <row r="4727">
      <c r="A4727" s="49">
        <v>45070.42762104167</v>
      </c>
      <c r="B4727" s="50">
        <v>45070.5525998148</v>
      </c>
      <c r="C4727" s="51">
        <v>1.012</v>
      </c>
      <c r="D4727" s="51">
        <v>66.0</v>
      </c>
      <c r="E4727" s="52" t="s">
        <v>25</v>
      </c>
      <c r="F4727" s="52" t="s">
        <v>26</v>
      </c>
      <c r="G4727" s="53"/>
    </row>
    <row r="4728">
      <c r="A4728" s="49">
        <v>45070.43806409722</v>
      </c>
      <c r="B4728" s="50">
        <v>45070.5630324421</v>
      </c>
      <c r="C4728" s="51">
        <v>1.012</v>
      </c>
      <c r="D4728" s="51">
        <v>66.0</v>
      </c>
      <c r="E4728" s="52" t="s">
        <v>25</v>
      </c>
      <c r="F4728" s="52" t="s">
        <v>26</v>
      </c>
      <c r="G4728" s="53"/>
    </row>
    <row r="4729">
      <c r="A4729" s="49">
        <v>45070.44848450231</v>
      </c>
      <c r="B4729" s="50">
        <v>45070.5734531713</v>
      </c>
      <c r="C4729" s="51">
        <v>1.012</v>
      </c>
      <c r="D4729" s="51">
        <v>66.0</v>
      </c>
      <c r="E4729" s="52" t="s">
        <v>25</v>
      </c>
      <c r="F4729" s="52" t="s">
        <v>26</v>
      </c>
      <c r="G4729" s="53"/>
    </row>
    <row r="4730">
      <c r="A4730" s="49">
        <v>45070.45890770834</v>
      </c>
      <c r="B4730" s="50">
        <v>45070.5838737731</v>
      </c>
      <c r="C4730" s="51">
        <v>1.012</v>
      </c>
      <c r="D4730" s="51">
        <v>66.0</v>
      </c>
      <c r="E4730" s="52" t="s">
        <v>25</v>
      </c>
      <c r="F4730" s="52" t="s">
        <v>26</v>
      </c>
      <c r="G4730" s="53"/>
    </row>
    <row r="4731">
      <c r="A4731" s="49">
        <v>45070.469324571764</v>
      </c>
      <c r="B4731" s="50">
        <v>45070.5942950578</v>
      </c>
      <c r="C4731" s="51">
        <v>1.012</v>
      </c>
      <c r="D4731" s="51">
        <v>66.0</v>
      </c>
      <c r="E4731" s="52" t="s">
        <v>25</v>
      </c>
      <c r="F4731" s="52" t="s">
        <v>26</v>
      </c>
      <c r="G4731" s="53"/>
    </row>
    <row r="4732">
      <c r="A4732" s="49">
        <v>45070.47973980324</v>
      </c>
      <c r="B4732" s="50">
        <v>45070.6047158912</v>
      </c>
      <c r="C4732" s="51">
        <v>1.012</v>
      </c>
      <c r="D4732" s="51">
        <v>66.0</v>
      </c>
      <c r="E4732" s="52" t="s">
        <v>25</v>
      </c>
      <c r="F4732" s="52" t="s">
        <v>26</v>
      </c>
      <c r="G4732" s="53"/>
    </row>
    <row r="4733">
      <c r="A4733" s="49">
        <v>45070.49016519676</v>
      </c>
      <c r="B4733" s="50">
        <v>45070.6151359838</v>
      </c>
      <c r="C4733" s="51">
        <v>1.012</v>
      </c>
      <c r="D4733" s="51">
        <v>66.0</v>
      </c>
      <c r="E4733" s="52" t="s">
        <v>25</v>
      </c>
      <c r="F4733" s="52" t="s">
        <v>26</v>
      </c>
      <c r="G4733" s="53"/>
    </row>
    <row r="4734">
      <c r="A4734" s="49">
        <v>45070.511012731484</v>
      </c>
      <c r="B4734" s="50">
        <v>45070.6359772338</v>
      </c>
      <c r="C4734" s="51">
        <v>1.012</v>
      </c>
      <c r="D4734" s="51">
        <v>66.0</v>
      </c>
      <c r="E4734" s="52" t="s">
        <v>25</v>
      </c>
      <c r="F4734" s="52" t="s">
        <v>26</v>
      </c>
      <c r="G4734" s="53"/>
    </row>
    <row r="4735">
      <c r="A4735" s="49">
        <v>45070.52143165509</v>
      </c>
      <c r="B4735" s="50">
        <v>45070.6463974652</v>
      </c>
      <c r="C4735" s="51">
        <v>1.012</v>
      </c>
      <c r="D4735" s="51">
        <v>66.0</v>
      </c>
      <c r="E4735" s="52" t="s">
        <v>25</v>
      </c>
      <c r="F4735" s="52" t="s">
        <v>26</v>
      </c>
      <c r="G4735" s="53"/>
    </row>
    <row r="4736">
      <c r="A4736" s="49">
        <v>45070.53185190972</v>
      </c>
      <c r="B4736" s="50">
        <v>45070.65683103</v>
      </c>
      <c r="C4736" s="51">
        <v>1.012</v>
      </c>
      <c r="D4736" s="51">
        <v>66.0</v>
      </c>
      <c r="E4736" s="52" t="s">
        <v>25</v>
      </c>
      <c r="F4736" s="52" t="s">
        <v>26</v>
      </c>
      <c r="G4736" s="53"/>
    </row>
    <row r="4737">
      <c r="A4737" s="49">
        <v>45070.54227518519</v>
      </c>
      <c r="B4737" s="50">
        <v>45070.6672514004</v>
      </c>
      <c r="C4737" s="51">
        <v>1.011</v>
      </c>
      <c r="D4737" s="51">
        <v>66.0</v>
      </c>
      <c r="E4737" s="52" t="s">
        <v>25</v>
      </c>
      <c r="F4737" s="52" t="s">
        <v>26</v>
      </c>
      <c r="G4737" s="53"/>
    </row>
    <row r="4738">
      <c r="A4738" s="49">
        <v>45070.552702870365</v>
      </c>
      <c r="B4738" s="50">
        <v>45070.6776826967</v>
      </c>
      <c r="C4738" s="51">
        <v>1.012</v>
      </c>
      <c r="D4738" s="51">
        <v>66.0</v>
      </c>
      <c r="E4738" s="52" t="s">
        <v>25</v>
      </c>
      <c r="F4738" s="52" t="s">
        <v>26</v>
      </c>
      <c r="G4738" s="53"/>
    </row>
    <row r="4739">
      <c r="A4739" s="49">
        <v>45070.56313216435</v>
      </c>
      <c r="B4739" s="50">
        <v>45070.6881052083</v>
      </c>
      <c r="C4739" s="51">
        <v>1.011</v>
      </c>
      <c r="D4739" s="51">
        <v>66.0</v>
      </c>
      <c r="E4739" s="52" t="s">
        <v>25</v>
      </c>
      <c r="F4739" s="52" t="s">
        <v>26</v>
      </c>
      <c r="G4739" s="53"/>
    </row>
    <row r="4740">
      <c r="A4740" s="49">
        <v>45070.57354763889</v>
      </c>
      <c r="B4740" s="50">
        <v>45070.6985264699</v>
      </c>
      <c r="C4740" s="51">
        <v>1.012</v>
      </c>
      <c r="D4740" s="51">
        <v>66.0</v>
      </c>
      <c r="E4740" s="52" t="s">
        <v>25</v>
      </c>
      <c r="F4740" s="52" t="s">
        <v>26</v>
      </c>
      <c r="G4740" s="53"/>
    </row>
    <row r="4741">
      <c r="A4741" s="49">
        <v>45070.58403229166</v>
      </c>
      <c r="B4741" s="50">
        <v>45070.7089466435</v>
      </c>
      <c r="C4741" s="51">
        <v>1.012</v>
      </c>
      <c r="D4741" s="51">
        <v>66.0</v>
      </c>
      <c r="E4741" s="52" t="s">
        <v>25</v>
      </c>
      <c r="F4741" s="52" t="s">
        <v>26</v>
      </c>
      <c r="G4741" s="53"/>
    </row>
    <row r="4742">
      <c r="A4742" s="49">
        <v>45070.594397106484</v>
      </c>
      <c r="B4742" s="50">
        <v>45070.7193653703</v>
      </c>
      <c r="C4742" s="51">
        <v>1.012</v>
      </c>
      <c r="D4742" s="51">
        <v>66.0</v>
      </c>
      <c r="E4742" s="52" t="s">
        <v>25</v>
      </c>
      <c r="F4742" s="52" t="s">
        <v>26</v>
      </c>
      <c r="G4742" s="53"/>
    </row>
    <row r="4743">
      <c r="A4743" s="49">
        <v>45070.60481605324</v>
      </c>
      <c r="B4743" s="50">
        <v>45070.7297866898</v>
      </c>
      <c r="C4743" s="51">
        <v>1.012</v>
      </c>
      <c r="D4743" s="51">
        <v>66.0</v>
      </c>
      <c r="E4743" s="52" t="s">
        <v>25</v>
      </c>
      <c r="F4743" s="52" t="s">
        <v>26</v>
      </c>
      <c r="G4743" s="53"/>
    </row>
    <row r="4744">
      <c r="A4744" s="49">
        <v>45070.615285567124</v>
      </c>
      <c r="B4744" s="50">
        <v>45070.740220324</v>
      </c>
      <c r="C4744" s="51">
        <v>1.012</v>
      </c>
      <c r="D4744" s="51">
        <v>66.0</v>
      </c>
      <c r="E4744" s="52" t="s">
        <v>25</v>
      </c>
      <c r="F4744" s="52" t="s">
        <v>26</v>
      </c>
      <c r="G4744" s="53"/>
    </row>
    <row r="4745">
      <c r="A4745" s="49">
        <v>45070.62570229167</v>
      </c>
      <c r="B4745" s="50">
        <v>45070.7506764814</v>
      </c>
      <c r="C4745" s="51">
        <v>1.012</v>
      </c>
      <c r="D4745" s="51">
        <v>66.0</v>
      </c>
      <c r="E4745" s="52" t="s">
        <v>25</v>
      </c>
      <c r="F4745" s="52" t="s">
        <v>26</v>
      </c>
      <c r="G4745" s="53"/>
    </row>
    <row r="4746">
      <c r="A4746" s="49">
        <v>45070.63613309027</v>
      </c>
      <c r="B4746" s="50">
        <v>45070.7611086111</v>
      </c>
      <c r="C4746" s="51">
        <v>1.011</v>
      </c>
      <c r="D4746" s="51">
        <v>66.0</v>
      </c>
      <c r="E4746" s="52" t="s">
        <v>25</v>
      </c>
      <c r="F4746" s="52" t="s">
        <v>26</v>
      </c>
      <c r="G4746" s="53"/>
    </row>
    <row r="4747">
      <c r="A4747" s="49">
        <v>45070.6465530787</v>
      </c>
      <c r="B4747" s="50">
        <v>45070.771528206</v>
      </c>
      <c r="C4747" s="51">
        <v>1.012</v>
      </c>
      <c r="D4747" s="51">
        <v>66.0</v>
      </c>
      <c r="E4747" s="52" t="s">
        <v>25</v>
      </c>
      <c r="F4747" s="52" t="s">
        <v>26</v>
      </c>
      <c r="G4747" s="53"/>
    </row>
    <row r="4748">
      <c r="A4748" s="49">
        <v>45070.65697606481</v>
      </c>
      <c r="B4748" s="50">
        <v>45070.7819481597</v>
      </c>
      <c r="C4748" s="51">
        <v>1.012</v>
      </c>
      <c r="D4748" s="51">
        <v>66.0</v>
      </c>
      <c r="E4748" s="52" t="s">
        <v>25</v>
      </c>
      <c r="F4748" s="52" t="s">
        <v>26</v>
      </c>
      <c r="G4748" s="53"/>
    </row>
    <row r="4749">
      <c r="A4749" s="49">
        <v>45070.66739001157</v>
      </c>
      <c r="B4749" s="50">
        <v>45070.7923700231</v>
      </c>
      <c r="C4749" s="51">
        <v>1.012</v>
      </c>
      <c r="D4749" s="51">
        <v>66.0</v>
      </c>
      <c r="E4749" s="52" t="s">
        <v>25</v>
      </c>
      <c r="F4749" s="52" t="s">
        <v>26</v>
      </c>
      <c r="G4749" s="53"/>
    </row>
    <row r="4750">
      <c r="A4750" s="49">
        <v>45070.67781333333</v>
      </c>
      <c r="B4750" s="50">
        <v>45070.802790324</v>
      </c>
      <c r="C4750" s="51">
        <v>1.012</v>
      </c>
      <c r="D4750" s="51">
        <v>66.0</v>
      </c>
      <c r="E4750" s="52" t="s">
        <v>25</v>
      </c>
      <c r="F4750" s="52" t="s">
        <v>26</v>
      </c>
      <c r="G4750" s="53"/>
    </row>
    <row r="4751">
      <c r="A4751" s="49">
        <v>45070.69865440972</v>
      </c>
      <c r="B4751" s="50">
        <v>45070.8236304629</v>
      </c>
      <c r="C4751" s="51">
        <v>1.011</v>
      </c>
      <c r="D4751" s="51">
        <v>66.0</v>
      </c>
      <c r="E4751" s="52" t="s">
        <v>25</v>
      </c>
      <c r="F4751" s="52" t="s">
        <v>26</v>
      </c>
      <c r="G4751" s="53"/>
    </row>
    <row r="4752">
      <c r="A4752" s="49">
        <v>45070.70908393519</v>
      </c>
      <c r="B4752" s="50">
        <v>45070.8340500694</v>
      </c>
      <c r="C4752" s="51">
        <v>1.012</v>
      </c>
      <c r="D4752" s="51">
        <v>66.0</v>
      </c>
      <c r="E4752" s="52" t="s">
        <v>25</v>
      </c>
      <c r="F4752" s="52" t="s">
        <v>26</v>
      </c>
      <c r="G4752" s="53"/>
    </row>
    <row r="4753">
      <c r="A4753" s="49">
        <v>45070.719501921296</v>
      </c>
      <c r="B4753" s="50">
        <v>45070.8444717824</v>
      </c>
      <c r="C4753" s="51">
        <v>1.012</v>
      </c>
      <c r="D4753" s="51">
        <v>66.0</v>
      </c>
      <c r="E4753" s="52" t="s">
        <v>25</v>
      </c>
      <c r="F4753" s="52" t="s">
        <v>26</v>
      </c>
      <c r="G4753" s="53"/>
    </row>
    <row r="4754">
      <c r="A4754" s="49">
        <v>45070.72992232638</v>
      </c>
      <c r="B4754" s="50">
        <v>45070.8548929398</v>
      </c>
      <c r="C4754" s="51">
        <v>1.012</v>
      </c>
      <c r="D4754" s="51">
        <v>66.0</v>
      </c>
      <c r="E4754" s="52" t="s">
        <v>25</v>
      </c>
      <c r="F4754" s="52" t="s">
        <v>26</v>
      </c>
      <c r="G4754" s="53"/>
    </row>
    <row r="4755">
      <c r="A4755" s="49">
        <v>45070.740344895836</v>
      </c>
      <c r="B4755" s="50">
        <v>45070.8653171064</v>
      </c>
      <c r="C4755" s="51">
        <v>1.012</v>
      </c>
      <c r="D4755" s="51">
        <v>66.0</v>
      </c>
      <c r="E4755" s="52" t="s">
        <v>25</v>
      </c>
      <c r="F4755" s="52" t="s">
        <v>26</v>
      </c>
      <c r="G4755" s="53"/>
    </row>
    <row r="4756">
      <c r="A4756" s="49">
        <v>45070.750765868055</v>
      </c>
      <c r="B4756" s="50">
        <v>45070.8757374074</v>
      </c>
      <c r="C4756" s="51">
        <v>1.011</v>
      </c>
      <c r="D4756" s="51">
        <v>66.0</v>
      </c>
      <c r="E4756" s="52" t="s">
        <v>25</v>
      </c>
      <c r="F4756" s="52" t="s">
        <v>26</v>
      </c>
      <c r="G4756" s="53"/>
    </row>
    <row r="4757">
      <c r="A4757" s="49">
        <v>45070.76118990741</v>
      </c>
      <c r="B4757" s="50">
        <v>45070.8861596296</v>
      </c>
      <c r="C4757" s="51">
        <v>1.012</v>
      </c>
      <c r="D4757" s="51">
        <v>66.0</v>
      </c>
      <c r="E4757" s="52" t="s">
        <v>25</v>
      </c>
      <c r="F4757" s="52" t="s">
        <v>26</v>
      </c>
      <c r="G4757" s="53"/>
    </row>
    <row r="4758">
      <c r="A4758" s="49">
        <v>45070.77163516203</v>
      </c>
      <c r="B4758" s="50">
        <v>45070.8966049305</v>
      </c>
      <c r="C4758" s="51">
        <v>1.012</v>
      </c>
      <c r="D4758" s="51">
        <v>66.0</v>
      </c>
      <c r="E4758" s="52" t="s">
        <v>25</v>
      </c>
      <c r="F4758" s="52" t="s">
        <v>26</v>
      </c>
      <c r="G4758" s="53"/>
    </row>
    <row r="4759">
      <c r="A4759" s="49">
        <v>45070.79249994213</v>
      </c>
      <c r="B4759" s="50">
        <v>45070.9174703009</v>
      </c>
      <c r="C4759" s="51">
        <v>1.011</v>
      </c>
      <c r="D4759" s="51">
        <v>66.0</v>
      </c>
      <c r="E4759" s="52" t="s">
        <v>25</v>
      </c>
      <c r="F4759" s="52" t="s">
        <v>26</v>
      </c>
      <c r="G4759" s="53"/>
    </row>
    <row r="4760">
      <c r="A4760" s="49">
        <v>45070.802917673616</v>
      </c>
      <c r="B4760" s="50">
        <v>45070.9278911574</v>
      </c>
      <c r="C4760" s="51">
        <v>1.012</v>
      </c>
      <c r="D4760" s="51">
        <v>66.0</v>
      </c>
      <c r="E4760" s="52" t="s">
        <v>25</v>
      </c>
      <c r="F4760" s="52" t="s">
        <v>26</v>
      </c>
      <c r="G4760" s="53"/>
    </row>
    <row r="4761">
      <c r="A4761" s="49">
        <v>45070.81333950232</v>
      </c>
      <c r="B4761" s="50">
        <v>45070.9383120949</v>
      </c>
      <c r="C4761" s="51">
        <v>1.012</v>
      </c>
      <c r="D4761" s="51">
        <v>66.0</v>
      </c>
      <c r="E4761" s="52" t="s">
        <v>25</v>
      </c>
      <c r="F4761" s="52" t="s">
        <v>26</v>
      </c>
      <c r="G4761" s="53"/>
    </row>
    <row r="4762">
      <c r="A4762" s="49">
        <v>45070.82376696759</v>
      </c>
      <c r="B4762" s="50">
        <v>45070.9487335648</v>
      </c>
      <c r="C4762" s="51">
        <v>1.012</v>
      </c>
      <c r="D4762" s="51">
        <v>66.0</v>
      </c>
      <c r="E4762" s="52" t="s">
        <v>25</v>
      </c>
      <c r="F4762" s="52" t="s">
        <v>26</v>
      </c>
      <c r="G4762" s="53"/>
    </row>
    <row r="4763">
      <c r="A4763" s="49">
        <v>45070.83420030093</v>
      </c>
      <c r="B4763" s="50">
        <v>45070.9591544212</v>
      </c>
      <c r="C4763" s="51">
        <v>1.011</v>
      </c>
      <c r="D4763" s="51">
        <v>66.0</v>
      </c>
      <c r="E4763" s="52" t="s">
        <v>25</v>
      </c>
      <c r="F4763" s="52" t="s">
        <v>26</v>
      </c>
      <c r="G4763" s="53"/>
    </row>
    <row r="4764">
      <c r="A4764" s="49">
        <v>45070.8446215625</v>
      </c>
      <c r="B4764" s="50">
        <v>45070.9695751504</v>
      </c>
      <c r="C4764" s="51">
        <v>1.012</v>
      </c>
      <c r="D4764" s="51">
        <v>66.0</v>
      </c>
      <c r="E4764" s="52" t="s">
        <v>25</v>
      </c>
      <c r="F4764" s="52" t="s">
        <v>26</v>
      </c>
      <c r="G4764" s="53"/>
    </row>
    <row r="4765">
      <c r="A4765" s="49">
        <v>45070.85503910879</v>
      </c>
      <c r="B4765" s="50">
        <v>45070.9799963773</v>
      </c>
      <c r="C4765" s="51">
        <v>1.012</v>
      </c>
      <c r="D4765" s="51">
        <v>66.0</v>
      </c>
      <c r="E4765" s="52" t="s">
        <v>25</v>
      </c>
      <c r="F4765" s="52" t="s">
        <v>26</v>
      </c>
      <c r="G4765" s="53"/>
    </row>
    <row r="4766">
      <c r="A4766" s="49">
        <v>45070.86545755787</v>
      </c>
      <c r="B4766" s="50">
        <v>45070.9904202546</v>
      </c>
      <c r="C4766" s="51">
        <v>1.011</v>
      </c>
      <c r="D4766" s="51">
        <v>66.0</v>
      </c>
      <c r="E4766" s="52" t="s">
        <v>25</v>
      </c>
      <c r="F4766" s="52" t="s">
        <v>26</v>
      </c>
      <c r="G4766" s="53"/>
    </row>
    <row r="4767">
      <c r="A4767" s="49">
        <v>45070.8759069213</v>
      </c>
      <c r="B4767" s="50">
        <v>45071.0008405208</v>
      </c>
      <c r="C4767" s="51">
        <v>1.011</v>
      </c>
      <c r="D4767" s="51">
        <v>66.0</v>
      </c>
      <c r="E4767" s="52" t="s">
        <v>25</v>
      </c>
      <c r="F4767" s="52" t="s">
        <v>26</v>
      </c>
      <c r="G4767" s="53"/>
    </row>
    <row r="4768">
      <c r="A4768" s="49">
        <v>45070.886327395834</v>
      </c>
      <c r="B4768" s="50">
        <v>45071.0112619676</v>
      </c>
      <c r="C4768" s="51">
        <v>1.012</v>
      </c>
      <c r="D4768" s="51">
        <v>66.0</v>
      </c>
      <c r="E4768" s="52" t="s">
        <v>25</v>
      </c>
      <c r="F4768" s="52" t="s">
        <v>26</v>
      </c>
      <c r="G4768" s="53"/>
    </row>
    <row r="4769">
      <c r="A4769" s="49">
        <v>45070.89674614584</v>
      </c>
      <c r="B4769" s="50">
        <v>45071.0216833796</v>
      </c>
      <c r="C4769" s="51">
        <v>1.011</v>
      </c>
      <c r="D4769" s="51">
        <v>66.0</v>
      </c>
      <c r="E4769" s="52" t="s">
        <v>25</v>
      </c>
      <c r="F4769" s="52" t="s">
        <v>26</v>
      </c>
      <c r="G4769" s="53"/>
    </row>
    <row r="4770">
      <c r="A4770" s="49">
        <v>45070.90717626158</v>
      </c>
      <c r="B4770" s="50">
        <v>45071.0321044444</v>
      </c>
      <c r="C4770" s="51">
        <v>1.012</v>
      </c>
      <c r="D4770" s="51">
        <v>66.0</v>
      </c>
      <c r="E4770" s="52" t="s">
        <v>25</v>
      </c>
      <c r="F4770" s="52" t="s">
        <v>26</v>
      </c>
      <c r="G4770" s="53"/>
    </row>
    <row r="4771">
      <c r="A4771" s="49">
        <v>45070.91758981481</v>
      </c>
      <c r="B4771" s="50">
        <v>45071.042525949</v>
      </c>
      <c r="C4771" s="51">
        <v>1.012</v>
      </c>
      <c r="D4771" s="51">
        <v>66.0</v>
      </c>
      <c r="E4771" s="52" t="s">
        <v>25</v>
      </c>
      <c r="F4771" s="52" t="s">
        <v>26</v>
      </c>
      <c r="G4771" s="53"/>
    </row>
    <row r="4772">
      <c r="A4772" s="49">
        <v>45070.928021886575</v>
      </c>
      <c r="B4772" s="50">
        <v>45071.0529695486</v>
      </c>
      <c r="C4772" s="51">
        <v>1.011</v>
      </c>
      <c r="D4772" s="51">
        <v>66.0</v>
      </c>
      <c r="E4772" s="52" t="s">
        <v>25</v>
      </c>
      <c r="F4772" s="52" t="s">
        <v>26</v>
      </c>
      <c r="G4772" s="53"/>
    </row>
    <row r="4773">
      <c r="A4773" s="49">
        <v>45070.93845530093</v>
      </c>
      <c r="B4773" s="50">
        <v>45071.0633901967</v>
      </c>
      <c r="C4773" s="51">
        <v>1.012</v>
      </c>
      <c r="D4773" s="51">
        <v>66.0</v>
      </c>
      <c r="E4773" s="52" t="s">
        <v>25</v>
      </c>
      <c r="F4773" s="52" t="s">
        <v>26</v>
      </c>
      <c r="G4773" s="53"/>
    </row>
    <row r="4774">
      <c r="A4774" s="49">
        <v>45070.948875208334</v>
      </c>
      <c r="B4774" s="50">
        <v>45071.0738097569</v>
      </c>
      <c r="C4774" s="51">
        <v>1.012</v>
      </c>
      <c r="D4774" s="51">
        <v>66.0</v>
      </c>
      <c r="E4774" s="52" t="s">
        <v>25</v>
      </c>
      <c r="F4774" s="52" t="s">
        <v>26</v>
      </c>
      <c r="G4774" s="53"/>
    </row>
    <row r="4775">
      <c r="A4775" s="49">
        <v>45070.969710370366</v>
      </c>
      <c r="B4775" s="50">
        <v>45071.0946530439</v>
      </c>
      <c r="C4775" s="51">
        <v>1.012</v>
      </c>
      <c r="D4775" s="51">
        <v>66.0</v>
      </c>
      <c r="E4775" s="52" t="s">
        <v>25</v>
      </c>
      <c r="F4775" s="52" t="s">
        <v>26</v>
      </c>
      <c r="G4775" s="53"/>
    </row>
    <row r="4776">
      <c r="A4776" s="49">
        <v>45070.98013335648</v>
      </c>
      <c r="B4776" s="50">
        <v>45071.1050734375</v>
      </c>
      <c r="C4776" s="51">
        <v>1.011</v>
      </c>
      <c r="D4776" s="51">
        <v>66.0</v>
      </c>
      <c r="E4776" s="52" t="s">
        <v>25</v>
      </c>
      <c r="F4776" s="52" t="s">
        <v>26</v>
      </c>
      <c r="G4776" s="53"/>
    </row>
    <row r="4777">
      <c r="A4777" s="49">
        <v>45070.990552407406</v>
      </c>
      <c r="B4777" s="50">
        <v>45071.1154959837</v>
      </c>
      <c r="C4777" s="51">
        <v>1.011</v>
      </c>
      <c r="D4777" s="51">
        <v>66.0</v>
      </c>
      <c r="E4777" s="52" t="s">
        <v>25</v>
      </c>
      <c r="F4777" s="52" t="s">
        <v>26</v>
      </c>
      <c r="G4777" s="53"/>
    </row>
    <row r="4778">
      <c r="A4778" s="49">
        <v>45071.00096784723</v>
      </c>
      <c r="B4778" s="50">
        <v>45071.1259291666</v>
      </c>
      <c r="C4778" s="51">
        <v>1.011</v>
      </c>
      <c r="D4778" s="51">
        <v>66.0</v>
      </c>
      <c r="E4778" s="52" t="s">
        <v>25</v>
      </c>
      <c r="F4778" s="52" t="s">
        <v>26</v>
      </c>
      <c r="G4778" s="53"/>
    </row>
    <row r="4779">
      <c r="A4779" s="49">
        <v>45071.01139458333</v>
      </c>
      <c r="B4779" s="50">
        <v>45071.136351875</v>
      </c>
      <c r="C4779" s="51">
        <v>1.012</v>
      </c>
      <c r="D4779" s="51">
        <v>66.0</v>
      </c>
      <c r="E4779" s="52" t="s">
        <v>25</v>
      </c>
      <c r="F4779" s="52" t="s">
        <v>26</v>
      </c>
      <c r="G4779" s="53"/>
    </row>
    <row r="4780">
      <c r="A4780" s="49">
        <v>45071.02181539352</v>
      </c>
      <c r="B4780" s="50">
        <v>45071.1467746875</v>
      </c>
      <c r="C4780" s="51">
        <v>1.012</v>
      </c>
      <c r="D4780" s="51">
        <v>66.0</v>
      </c>
      <c r="E4780" s="52" t="s">
        <v>25</v>
      </c>
      <c r="F4780" s="52" t="s">
        <v>26</v>
      </c>
      <c r="G4780" s="53"/>
    </row>
    <row r="4781">
      <c r="A4781" s="49">
        <v>45071.032238935186</v>
      </c>
      <c r="B4781" s="50">
        <v>45071.1571972685</v>
      </c>
      <c r="C4781" s="51">
        <v>1.011</v>
      </c>
      <c r="D4781" s="51">
        <v>66.0</v>
      </c>
      <c r="E4781" s="52" t="s">
        <v>25</v>
      </c>
      <c r="F4781" s="52" t="s">
        <v>26</v>
      </c>
      <c r="G4781" s="53"/>
    </row>
    <row r="4782">
      <c r="A4782" s="49">
        <v>45071.04264991898</v>
      </c>
      <c r="B4782" s="50">
        <v>45071.1676182754</v>
      </c>
      <c r="C4782" s="51">
        <v>1.012</v>
      </c>
      <c r="D4782" s="51">
        <v>66.0</v>
      </c>
      <c r="E4782" s="52" t="s">
        <v>25</v>
      </c>
      <c r="F4782" s="52" t="s">
        <v>26</v>
      </c>
      <c r="G4782" s="53"/>
    </row>
    <row r="4783">
      <c r="A4783" s="49">
        <v>45071.053067581015</v>
      </c>
      <c r="B4783" s="50">
        <v>45071.1780398611</v>
      </c>
      <c r="C4783" s="51">
        <v>1.012</v>
      </c>
      <c r="D4783" s="51">
        <v>66.0</v>
      </c>
      <c r="E4783" s="52" t="s">
        <v>25</v>
      </c>
      <c r="F4783" s="52" t="s">
        <v>26</v>
      </c>
      <c r="G4783" s="53"/>
    </row>
    <row r="4784">
      <c r="A4784" s="49">
        <v>45071.06350872685</v>
      </c>
      <c r="B4784" s="50">
        <v>45071.188483831</v>
      </c>
      <c r="C4784" s="51">
        <v>1.011</v>
      </c>
      <c r="D4784" s="51">
        <v>66.0</v>
      </c>
      <c r="E4784" s="52" t="s">
        <v>25</v>
      </c>
      <c r="F4784" s="52" t="s">
        <v>26</v>
      </c>
      <c r="G4784" s="53"/>
    </row>
    <row r="4785">
      <c r="A4785" s="49">
        <v>45071.07393047454</v>
      </c>
      <c r="B4785" s="50">
        <v>45071.1989048842</v>
      </c>
      <c r="C4785" s="51">
        <v>1.011</v>
      </c>
      <c r="D4785" s="51">
        <v>66.0</v>
      </c>
      <c r="E4785" s="52" t="s">
        <v>25</v>
      </c>
      <c r="F4785" s="52" t="s">
        <v>26</v>
      </c>
      <c r="G4785" s="53"/>
    </row>
    <row r="4786">
      <c r="A4786" s="49">
        <v>45071.0843528588</v>
      </c>
      <c r="B4786" s="50">
        <v>45071.2093261458</v>
      </c>
      <c r="C4786" s="51">
        <v>1.012</v>
      </c>
      <c r="D4786" s="51">
        <v>66.0</v>
      </c>
      <c r="E4786" s="52" t="s">
        <v>25</v>
      </c>
      <c r="F4786" s="52" t="s">
        <v>26</v>
      </c>
      <c r="G4786" s="53"/>
    </row>
    <row r="4787">
      <c r="A4787" s="49">
        <v>45071.094782500004</v>
      </c>
      <c r="B4787" s="50">
        <v>45071.2197595833</v>
      </c>
      <c r="C4787" s="51">
        <v>1.011</v>
      </c>
      <c r="D4787" s="51">
        <v>66.0</v>
      </c>
      <c r="E4787" s="52" t="s">
        <v>25</v>
      </c>
      <c r="F4787" s="52" t="s">
        <v>26</v>
      </c>
      <c r="G4787" s="53"/>
    </row>
    <row r="4788">
      <c r="A4788" s="49">
        <v>45071.105217743054</v>
      </c>
      <c r="B4788" s="50">
        <v>45071.2301796643</v>
      </c>
      <c r="C4788" s="51">
        <v>1.012</v>
      </c>
      <c r="D4788" s="51">
        <v>66.0</v>
      </c>
      <c r="E4788" s="52" t="s">
        <v>25</v>
      </c>
      <c r="F4788" s="52" t="s">
        <v>26</v>
      </c>
      <c r="G4788" s="53"/>
    </row>
    <row r="4789">
      <c r="A4789" s="49">
        <v>45071.115641689816</v>
      </c>
      <c r="B4789" s="50">
        <v>45071.2406134606</v>
      </c>
      <c r="C4789" s="51">
        <v>1.012</v>
      </c>
      <c r="D4789" s="51">
        <v>66.0</v>
      </c>
      <c r="E4789" s="52" t="s">
        <v>25</v>
      </c>
      <c r="F4789" s="52" t="s">
        <v>26</v>
      </c>
      <c r="G4789" s="53"/>
    </row>
    <row r="4790">
      <c r="A4790" s="49">
        <v>45071.126061793984</v>
      </c>
      <c r="B4790" s="50">
        <v>45071.2510333333</v>
      </c>
      <c r="C4790" s="51">
        <v>1.012</v>
      </c>
      <c r="D4790" s="51">
        <v>66.0</v>
      </c>
      <c r="E4790" s="52" t="s">
        <v>25</v>
      </c>
      <c r="F4790" s="52" t="s">
        <v>26</v>
      </c>
      <c r="G4790" s="53"/>
    </row>
    <row r="4791">
      <c r="A4791" s="49">
        <v>45071.136493611106</v>
      </c>
      <c r="B4791" s="50">
        <v>45071.2614674305</v>
      </c>
      <c r="C4791" s="51">
        <v>1.012</v>
      </c>
      <c r="D4791" s="51">
        <v>66.0</v>
      </c>
      <c r="E4791" s="52" t="s">
        <v>25</v>
      </c>
      <c r="F4791" s="52" t="s">
        <v>26</v>
      </c>
      <c r="G4791" s="53"/>
    </row>
    <row r="4792">
      <c r="A4792" s="49">
        <v>45071.146930208335</v>
      </c>
      <c r="B4792" s="50">
        <v>45071.2719017129</v>
      </c>
      <c r="C4792" s="51">
        <v>1.012</v>
      </c>
      <c r="D4792" s="51">
        <v>66.0</v>
      </c>
      <c r="E4792" s="52" t="s">
        <v>25</v>
      </c>
      <c r="F4792" s="52" t="s">
        <v>26</v>
      </c>
      <c r="G4792" s="53"/>
    </row>
    <row r="4793">
      <c r="A4793" s="49">
        <v>45071.1573503588</v>
      </c>
      <c r="B4793" s="50">
        <v>45071.2823235416</v>
      </c>
      <c r="C4793" s="51">
        <v>1.011</v>
      </c>
      <c r="D4793" s="51">
        <v>66.0</v>
      </c>
      <c r="E4793" s="52" t="s">
        <v>25</v>
      </c>
      <c r="F4793" s="52" t="s">
        <v>26</v>
      </c>
      <c r="G4793" s="53"/>
    </row>
    <row r="4794">
      <c r="A4794" s="49">
        <v>45071.167766805556</v>
      </c>
      <c r="B4794" s="50">
        <v>45071.2927445601</v>
      </c>
      <c r="C4794" s="51">
        <v>1.012</v>
      </c>
      <c r="D4794" s="51">
        <v>66.0</v>
      </c>
      <c r="E4794" s="52" t="s">
        <v>25</v>
      </c>
      <c r="F4794" s="52" t="s">
        <v>26</v>
      </c>
      <c r="G4794" s="53"/>
    </row>
    <row r="4795">
      <c r="A4795" s="49">
        <v>45071.178195451386</v>
      </c>
      <c r="B4795" s="50">
        <v>45071.3031666088</v>
      </c>
      <c r="C4795" s="51">
        <v>1.011</v>
      </c>
      <c r="D4795" s="51">
        <v>66.0</v>
      </c>
      <c r="E4795" s="52" t="s">
        <v>25</v>
      </c>
      <c r="F4795" s="52" t="s">
        <v>26</v>
      </c>
      <c r="G4795" s="53"/>
    </row>
    <row r="4796">
      <c r="A4796" s="49">
        <v>45071.18861395834</v>
      </c>
      <c r="B4796" s="50">
        <v>45071.313588287</v>
      </c>
      <c r="C4796" s="51">
        <v>1.012</v>
      </c>
      <c r="D4796" s="51">
        <v>66.0</v>
      </c>
      <c r="E4796" s="52" t="s">
        <v>25</v>
      </c>
      <c r="F4796" s="52" t="s">
        <v>26</v>
      </c>
      <c r="G4796" s="53"/>
    </row>
    <row r="4797">
      <c r="A4797" s="49">
        <v>45071.199065532404</v>
      </c>
      <c r="B4797" s="50">
        <v>45071.324045787</v>
      </c>
      <c r="C4797" s="51">
        <v>1.011</v>
      </c>
      <c r="D4797" s="51">
        <v>66.0</v>
      </c>
      <c r="E4797" s="52" t="s">
        <v>25</v>
      </c>
      <c r="F4797" s="52" t="s">
        <v>26</v>
      </c>
      <c r="G4797" s="53"/>
    </row>
    <row r="4798">
      <c r="A4798" s="49">
        <v>45071.20950512731</v>
      </c>
      <c r="B4798" s="50">
        <v>45071.3344780555</v>
      </c>
      <c r="C4798" s="51">
        <v>1.012</v>
      </c>
      <c r="D4798" s="51">
        <v>66.0</v>
      </c>
      <c r="E4798" s="52" t="s">
        <v>25</v>
      </c>
      <c r="F4798" s="52" t="s">
        <v>26</v>
      </c>
      <c r="G4798" s="53"/>
    </row>
    <row r="4799">
      <c r="A4799" s="49">
        <v>45071.21992711806</v>
      </c>
      <c r="B4799" s="50">
        <v>45071.3449112963</v>
      </c>
      <c r="C4799" s="51">
        <v>1.011</v>
      </c>
      <c r="D4799" s="51">
        <v>66.0</v>
      </c>
      <c r="E4799" s="52" t="s">
        <v>25</v>
      </c>
      <c r="F4799" s="52" t="s">
        <v>26</v>
      </c>
      <c r="G4799" s="53"/>
    </row>
    <row r="4800">
      <c r="A4800" s="49">
        <v>45071.23035678241</v>
      </c>
      <c r="B4800" s="50">
        <v>45071.3553336574</v>
      </c>
      <c r="C4800" s="51">
        <v>1.011</v>
      </c>
      <c r="D4800" s="51">
        <v>66.0</v>
      </c>
      <c r="E4800" s="52" t="s">
        <v>25</v>
      </c>
      <c r="F4800" s="52" t="s">
        <v>26</v>
      </c>
      <c r="G4800" s="53"/>
    </row>
    <row r="4801">
      <c r="A4801" s="49">
        <v>45071.24078871528</v>
      </c>
      <c r="B4801" s="50">
        <v>45071.3657663194</v>
      </c>
      <c r="C4801" s="51">
        <v>1.012</v>
      </c>
      <c r="D4801" s="51">
        <v>66.0</v>
      </c>
      <c r="E4801" s="52" t="s">
        <v>25</v>
      </c>
      <c r="F4801" s="52" t="s">
        <v>26</v>
      </c>
      <c r="G4801" s="53"/>
    </row>
    <row r="4802">
      <c r="A4802" s="49">
        <v>45071.251214930555</v>
      </c>
      <c r="B4802" s="50">
        <v>45071.3761881481</v>
      </c>
      <c r="C4802" s="51">
        <v>1.011</v>
      </c>
      <c r="D4802" s="51">
        <v>66.0</v>
      </c>
      <c r="E4802" s="52" t="s">
        <v>25</v>
      </c>
      <c r="F4802" s="52" t="s">
        <v>26</v>
      </c>
      <c r="G4802" s="53"/>
    </row>
    <row r="4803">
      <c r="A4803" s="49">
        <v>45071.27206297454</v>
      </c>
      <c r="B4803" s="50">
        <v>45071.3970433564</v>
      </c>
      <c r="C4803" s="51">
        <v>1.012</v>
      </c>
      <c r="D4803" s="51">
        <v>66.0</v>
      </c>
      <c r="E4803" s="52" t="s">
        <v>25</v>
      </c>
      <c r="F4803" s="52" t="s">
        <v>26</v>
      </c>
      <c r="G4803" s="53"/>
    </row>
    <row r="4804">
      <c r="A4804" s="49">
        <v>45071.282508715274</v>
      </c>
      <c r="B4804" s="50">
        <v>45071.4074765625</v>
      </c>
      <c r="C4804" s="51">
        <v>1.012</v>
      </c>
      <c r="D4804" s="51">
        <v>66.0</v>
      </c>
      <c r="E4804" s="52" t="s">
        <v>25</v>
      </c>
      <c r="F4804" s="52" t="s">
        <v>26</v>
      </c>
      <c r="G4804" s="53"/>
    </row>
    <row r="4805">
      <c r="A4805" s="49">
        <v>45071.303345821754</v>
      </c>
      <c r="B4805" s="50">
        <v>45071.4283186458</v>
      </c>
      <c r="C4805" s="51">
        <v>1.011</v>
      </c>
      <c r="D4805" s="51">
        <v>66.0</v>
      </c>
      <c r="E4805" s="52" t="s">
        <v>25</v>
      </c>
      <c r="F4805" s="52" t="s">
        <v>26</v>
      </c>
      <c r="G4805" s="53"/>
    </row>
    <row r="4806">
      <c r="A4806" s="49">
        <v>45071.31376685185</v>
      </c>
      <c r="B4806" s="50">
        <v>45071.4387394791</v>
      </c>
      <c r="C4806" s="51">
        <v>1.012</v>
      </c>
      <c r="D4806" s="51">
        <v>66.0</v>
      </c>
      <c r="E4806" s="52" t="s">
        <v>25</v>
      </c>
      <c r="F4806" s="52" t="s">
        <v>26</v>
      </c>
      <c r="G4806" s="53"/>
    </row>
    <row r="4807">
      <c r="A4807" s="49">
        <v>45071.324193692126</v>
      </c>
      <c r="B4807" s="50">
        <v>45071.449161956</v>
      </c>
      <c r="C4807" s="51">
        <v>1.012</v>
      </c>
      <c r="D4807" s="51">
        <v>66.0</v>
      </c>
      <c r="E4807" s="52" t="s">
        <v>25</v>
      </c>
      <c r="F4807" s="52" t="s">
        <v>26</v>
      </c>
      <c r="G4807" s="53"/>
    </row>
    <row r="4808">
      <c r="A4808" s="49">
        <v>45071.334632928236</v>
      </c>
      <c r="B4808" s="50">
        <v>45071.4596068287</v>
      </c>
      <c r="C4808" s="51">
        <v>1.012</v>
      </c>
      <c r="D4808" s="51">
        <v>66.0</v>
      </c>
      <c r="E4808" s="52" t="s">
        <v>25</v>
      </c>
      <c r="F4808" s="52" t="s">
        <v>26</v>
      </c>
      <c r="G4808" s="53"/>
    </row>
    <row r="4809">
      <c r="A4809" s="49">
        <v>45071.34507836806</v>
      </c>
      <c r="B4809" s="50">
        <v>45071.4700285301</v>
      </c>
      <c r="C4809" s="51">
        <v>1.011</v>
      </c>
      <c r="D4809" s="51">
        <v>66.0</v>
      </c>
      <c r="E4809" s="52" t="s">
        <v>25</v>
      </c>
      <c r="F4809" s="52" t="s">
        <v>26</v>
      </c>
      <c r="G4809" s="53"/>
    </row>
    <row r="4810">
      <c r="A4810" s="49">
        <v>45071.365912928246</v>
      </c>
      <c r="B4810" s="50">
        <v>45071.4908831828</v>
      </c>
      <c r="C4810" s="51">
        <v>1.012</v>
      </c>
      <c r="D4810" s="51">
        <v>66.0</v>
      </c>
      <c r="E4810" s="52" t="s">
        <v>25</v>
      </c>
      <c r="F4810" s="52" t="s">
        <v>26</v>
      </c>
      <c r="G4810" s="53"/>
    </row>
    <row r="4811">
      <c r="A4811" s="49">
        <v>45071.37632984953</v>
      </c>
      <c r="B4811" s="50">
        <v>45071.5013054513</v>
      </c>
      <c r="C4811" s="51">
        <v>1.011</v>
      </c>
      <c r="D4811" s="51">
        <v>66.0</v>
      </c>
      <c r="E4811" s="52" t="s">
        <v>25</v>
      </c>
      <c r="F4811" s="52" t="s">
        <v>26</v>
      </c>
      <c r="G4811" s="53"/>
    </row>
    <row r="4812">
      <c r="A4812" s="49">
        <v>45071.38674611111</v>
      </c>
      <c r="B4812" s="50">
        <v>45071.5117252546</v>
      </c>
      <c r="C4812" s="51">
        <v>1.011</v>
      </c>
      <c r="D4812" s="51">
        <v>66.0</v>
      </c>
      <c r="E4812" s="52" t="s">
        <v>25</v>
      </c>
      <c r="F4812" s="52" t="s">
        <v>26</v>
      </c>
      <c r="G4812" s="53"/>
    </row>
    <row r="4813">
      <c r="A4813" s="49">
        <v>45071.39717914352</v>
      </c>
      <c r="B4813" s="50">
        <v>45071.5221457754</v>
      </c>
      <c r="C4813" s="51">
        <v>1.011</v>
      </c>
      <c r="D4813" s="51">
        <v>66.0</v>
      </c>
      <c r="E4813" s="52" t="s">
        <v>25</v>
      </c>
      <c r="F4813" s="52" t="s">
        <v>26</v>
      </c>
      <c r="G4813" s="53"/>
    </row>
    <row r="4814">
      <c r="A4814" s="49">
        <v>45071.407604479165</v>
      </c>
      <c r="B4814" s="50">
        <v>45071.532578287</v>
      </c>
      <c r="C4814" s="51">
        <v>1.011</v>
      </c>
      <c r="D4814" s="51">
        <v>66.0</v>
      </c>
      <c r="E4814" s="52" t="s">
        <v>25</v>
      </c>
      <c r="F4814" s="52" t="s">
        <v>26</v>
      </c>
      <c r="G4814" s="53"/>
    </row>
    <row r="4815">
      <c r="A4815" s="49">
        <v>45071.41802116898</v>
      </c>
      <c r="B4815" s="50">
        <v>45071.5430002083</v>
      </c>
      <c r="C4815" s="51">
        <v>1.012</v>
      </c>
      <c r="D4815" s="51">
        <v>66.0</v>
      </c>
      <c r="E4815" s="52" t="s">
        <v>25</v>
      </c>
      <c r="F4815" s="52" t="s">
        <v>26</v>
      </c>
      <c r="G4815" s="53"/>
    </row>
    <row r="4816">
      <c r="A4816" s="49">
        <v>45071.43886537037</v>
      </c>
      <c r="B4816" s="50">
        <v>45071.5638453703</v>
      </c>
      <c r="C4816" s="51">
        <v>1.011</v>
      </c>
      <c r="D4816" s="51">
        <v>66.0</v>
      </c>
      <c r="E4816" s="52" t="s">
        <v>25</v>
      </c>
      <c r="F4816" s="52" t="s">
        <v>26</v>
      </c>
      <c r="G4816" s="53"/>
    </row>
    <row r="4817">
      <c r="A4817" s="49">
        <v>45071.449303263886</v>
      </c>
      <c r="B4817" s="50">
        <v>45071.574279074</v>
      </c>
      <c r="C4817" s="51">
        <v>1.011</v>
      </c>
      <c r="D4817" s="51">
        <v>66.0</v>
      </c>
      <c r="E4817" s="52" t="s">
        <v>25</v>
      </c>
      <c r="F4817" s="52" t="s">
        <v>26</v>
      </c>
      <c r="G4817" s="53"/>
    </row>
    <row r="4818">
      <c r="A4818" s="49">
        <v>45071.45973127315</v>
      </c>
      <c r="B4818" s="50">
        <v>45071.5847018402</v>
      </c>
      <c r="C4818" s="51">
        <v>1.011</v>
      </c>
      <c r="D4818" s="51">
        <v>66.0</v>
      </c>
      <c r="E4818" s="52" t="s">
        <v>25</v>
      </c>
      <c r="F4818" s="52" t="s">
        <v>26</v>
      </c>
      <c r="G4818" s="53"/>
    </row>
    <row r="4819">
      <c r="A4819" s="49">
        <v>45071.47014954861</v>
      </c>
      <c r="B4819" s="50">
        <v>45071.5951249652</v>
      </c>
      <c r="C4819" s="51">
        <v>1.012</v>
      </c>
      <c r="D4819" s="51">
        <v>66.0</v>
      </c>
      <c r="E4819" s="52" t="s">
        <v>25</v>
      </c>
      <c r="F4819" s="52" t="s">
        <v>26</v>
      </c>
      <c r="G4819" s="53"/>
    </row>
    <row r="4820">
      <c r="A4820" s="49">
        <v>45071.48057537037</v>
      </c>
      <c r="B4820" s="50">
        <v>45071.6055466551</v>
      </c>
      <c r="C4820" s="51">
        <v>1.012</v>
      </c>
      <c r="D4820" s="51">
        <v>66.0</v>
      </c>
      <c r="E4820" s="52" t="s">
        <v>25</v>
      </c>
      <c r="F4820" s="52" t="s">
        <v>26</v>
      </c>
      <c r="G4820" s="53"/>
    </row>
    <row r="4821">
      <c r="A4821" s="49">
        <v>45071.49099340278</v>
      </c>
      <c r="B4821" s="50">
        <v>45071.6159698958</v>
      </c>
      <c r="C4821" s="51">
        <v>1.011</v>
      </c>
      <c r="D4821" s="51">
        <v>66.0</v>
      </c>
      <c r="E4821" s="52" t="s">
        <v>25</v>
      </c>
      <c r="F4821" s="52" t="s">
        <v>26</v>
      </c>
      <c r="G4821" s="53"/>
    </row>
    <row r="4822">
      <c r="A4822" s="49">
        <v>45071.50147908565</v>
      </c>
      <c r="B4822" s="50">
        <v>45071.6264017245</v>
      </c>
      <c r="C4822" s="51">
        <v>1.012</v>
      </c>
      <c r="D4822" s="51">
        <v>66.0</v>
      </c>
      <c r="E4822" s="52" t="s">
        <v>25</v>
      </c>
      <c r="F4822" s="52" t="s">
        <v>26</v>
      </c>
      <c r="G4822" s="53"/>
    </row>
    <row r="4823">
      <c r="A4823" s="49">
        <v>45071.51185480324</v>
      </c>
      <c r="B4823" s="50">
        <v>45071.6368233796</v>
      </c>
      <c r="C4823" s="51">
        <v>1.011</v>
      </c>
      <c r="D4823" s="51">
        <v>66.0</v>
      </c>
      <c r="E4823" s="52" t="s">
        <v>25</v>
      </c>
      <c r="F4823" s="52" t="s">
        <v>26</v>
      </c>
      <c r="G4823" s="53"/>
    </row>
    <row r="4824">
      <c r="A4824" s="49">
        <v>45071.52226854167</v>
      </c>
      <c r="B4824" s="50">
        <v>45071.6472454861</v>
      </c>
      <c r="C4824" s="51">
        <v>1.011</v>
      </c>
      <c r="D4824" s="51">
        <v>66.0</v>
      </c>
      <c r="E4824" s="52" t="s">
        <v>25</v>
      </c>
      <c r="F4824" s="52" t="s">
        <v>26</v>
      </c>
      <c r="G4824" s="53"/>
    </row>
    <row r="4825">
      <c r="A4825" s="49">
        <v>45071.532698043986</v>
      </c>
      <c r="B4825" s="50">
        <v>45071.6576663773</v>
      </c>
      <c r="C4825" s="51">
        <v>1.011</v>
      </c>
      <c r="D4825" s="51">
        <v>66.0</v>
      </c>
      <c r="E4825" s="52" t="s">
        <v>25</v>
      </c>
      <c r="F4825" s="52" t="s">
        <v>26</v>
      </c>
      <c r="G4825" s="53"/>
    </row>
    <row r="4826">
      <c r="A4826" s="49">
        <v>45071.543130266204</v>
      </c>
      <c r="B4826" s="50">
        <v>45071.6681000463</v>
      </c>
      <c r="C4826" s="51">
        <v>1.011</v>
      </c>
      <c r="D4826" s="51">
        <v>66.0</v>
      </c>
      <c r="E4826" s="52" t="s">
        <v>25</v>
      </c>
      <c r="F4826" s="52" t="s">
        <v>26</v>
      </c>
      <c r="G4826" s="53"/>
    </row>
    <row r="4827">
      <c r="A4827" s="49">
        <v>45071.55356186343</v>
      </c>
      <c r="B4827" s="50">
        <v>45071.6785332986</v>
      </c>
      <c r="C4827" s="51">
        <v>1.012</v>
      </c>
      <c r="D4827" s="51">
        <v>66.0</v>
      </c>
      <c r="E4827" s="52" t="s">
        <v>25</v>
      </c>
      <c r="F4827" s="52" t="s">
        <v>26</v>
      </c>
      <c r="G4827" s="53"/>
    </row>
    <row r="4828">
      <c r="A4828" s="49">
        <v>45071.56398064815</v>
      </c>
      <c r="B4828" s="50">
        <v>45071.6889544328</v>
      </c>
      <c r="C4828" s="51">
        <v>1.011</v>
      </c>
      <c r="D4828" s="51">
        <v>66.0</v>
      </c>
      <c r="E4828" s="52" t="s">
        <v>25</v>
      </c>
      <c r="F4828" s="52" t="s">
        <v>26</v>
      </c>
      <c r="G4828" s="53"/>
    </row>
    <row r="4829">
      <c r="A4829" s="49">
        <v>45071.574401631944</v>
      </c>
      <c r="B4829" s="50">
        <v>45071.6993753819</v>
      </c>
      <c r="C4829" s="51">
        <v>1.011</v>
      </c>
      <c r="D4829" s="51">
        <v>66.0</v>
      </c>
      <c r="E4829" s="52" t="s">
        <v>25</v>
      </c>
      <c r="F4829" s="52" t="s">
        <v>26</v>
      </c>
      <c r="G4829" s="53"/>
    </row>
    <row r="4830">
      <c r="A4830" s="49">
        <v>45071.59525708333</v>
      </c>
      <c r="B4830" s="50">
        <v>45071.7202297916</v>
      </c>
      <c r="C4830" s="51">
        <v>1.011</v>
      </c>
      <c r="D4830" s="51">
        <v>66.0</v>
      </c>
      <c r="E4830" s="52" t="s">
        <v>25</v>
      </c>
      <c r="F4830" s="52" t="s">
        <v>26</v>
      </c>
      <c r="G4830" s="53"/>
    </row>
    <row r="4831">
      <c r="A4831" s="49">
        <v>45071.60567700231</v>
      </c>
      <c r="B4831" s="50">
        <v>45071.7306508101</v>
      </c>
      <c r="C4831" s="51">
        <v>1.011</v>
      </c>
      <c r="D4831" s="51">
        <v>66.0</v>
      </c>
      <c r="E4831" s="52" t="s">
        <v>25</v>
      </c>
      <c r="F4831" s="52" t="s">
        <v>26</v>
      </c>
      <c r="G4831" s="53"/>
    </row>
    <row r="4832">
      <c r="A4832" s="49">
        <v>45071.61612127315</v>
      </c>
      <c r="B4832" s="50">
        <v>45071.741095243</v>
      </c>
      <c r="C4832" s="51">
        <v>1.011</v>
      </c>
      <c r="D4832" s="51">
        <v>66.0</v>
      </c>
      <c r="E4832" s="52" t="s">
        <v>25</v>
      </c>
      <c r="F4832" s="52" t="s">
        <v>26</v>
      </c>
      <c r="G4832" s="53"/>
    </row>
    <row r="4833">
      <c r="A4833" s="49">
        <v>45071.626547673615</v>
      </c>
      <c r="B4833" s="50">
        <v>45071.7515156481</v>
      </c>
      <c r="C4833" s="51">
        <v>1.011</v>
      </c>
      <c r="D4833" s="51">
        <v>66.0</v>
      </c>
      <c r="E4833" s="52" t="s">
        <v>25</v>
      </c>
      <c r="F4833" s="52" t="s">
        <v>26</v>
      </c>
      <c r="G4833" s="53"/>
    </row>
    <row r="4834">
      <c r="A4834" s="49">
        <v>45071.63698111111</v>
      </c>
      <c r="B4834" s="50">
        <v>45071.7619477314</v>
      </c>
      <c r="C4834" s="51">
        <v>1.011</v>
      </c>
      <c r="D4834" s="51">
        <v>66.0</v>
      </c>
      <c r="E4834" s="52" t="s">
        <v>25</v>
      </c>
      <c r="F4834" s="52" t="s">
        <v>26</v>
      </c>
      <c r="G4834" s="53"/>
    </row>
    <row r="4835">
      <c r="A4835" s="49">
        <v>45071.64739680555</v>
      </c>
      <c r="B4835" s="50">
        <v>45071.772369155</v>
      </c>
      <c r="C4835" s="51">
        <v>1.011</v>
      </c>
      <c r="D4835" s="51">
        <v>66.0</v>
      </c>
      <c r="E4835" s="52" t="s">
        <v>25</v>
      </c>
      <c r="F4835" s="52" t="s">
        <v>26</v>
      </c>
      <c r="G4835" s="53"/>
    </row>
    <row r="4836">
      <c r="A4836" s="49">
        <v>45071.657863333334</v>
      </c>
      <c r="B4836" s="50">
        <v>45071.7828369444</v>
      </c>
      <c r="C4836" s="51">
        <v>1.011</v>
      </c>
      <c r="D4836" s="51">
        <v>66.0</v>
      </c>
      <c r="E4836" s="52" t="s">
        <v>25</v>
      </c>
      <c r="F4836" s="52" t="s">
        <v>26</v>
      </c>
      <c r="G4836" s="53"/>
    </row>
    <row r="4837">
      <c r="A4837" s="49">
        <v>45071.66829797454</v>
      </c>
      <c r="B4837" s="50">
        <v>45071.7932679398</v>
      </c>
      <c r="C4837" s="51">
        <v>1.011</v>
      </c>
      <c r="D4837" s="51">
        <v>66.0</v>
      </c>
      <c r="E4837" s="52" t="s">
        <v>25</v>
      </c>
      <c r="F4837" s="52" t="s">
        <v>26</v>
      </c>
      <c r="G4837" s="53"/>
    </row>
    <row r="4838">
      <c r="A4838" s="49">
        <v>45071.67871296297</v>
      </c>
      <c r="B4838" s="50">
        <v>45071.8036895486</v>
      </c>
      <c r="C4838" s="51">
        <v>1.011</v>
      </c>
      <c r="D4838" s="51">
        <v>66.0</v>
      </c>
      <c r="E4838" s="52" t="s">
        <v>25</v>
      </c>
      <c r="F4838" s="52" t="s">
        <v>26</v>
      </c>
      <c r="G4838" s="53"/>
    </row>
    <row r="4839">
      <c r="A4839" s="49">
        <v>45071.68914332176</v>
      </c>
      <c r="B4839" s="50">
        <v>45071.8141124884</v>
      </c>
      <c r="C4839" s="51">
        <v>1.011</v>
      </c>
      <c r="D4839" s="51">
        <v>66.0</v>
      </c>
      <c r="E4839" s="52" t="s">
        <v>25</v>
      </c>
      <c r="F4839" s="52" t="s">
        <v>26</v>
      </c>
      <c r="G4839" s="53"/>
    </row>
    <row r="4840">
      <c r="A4840" s="49">
        <v>45071.699562326394</v>
      </c>
      <c r="B4840" s="50">
        <v>45071.824532199</v>
      </c>
      <c r="C4840" s="51">
        <v>1.011</v>
      </c>
      <c r="D4840" s="51">
        <v>66.0</v>
      </c>
      <c r="E4840" s="52" t="s">
        <v>25</v>
      </c>
      <c r="F4840" s="52" t="s">
        <v>26</v>
      </c>
      <c r="G4840" s="53"/>
    </row>
    <row r="4841">
      <c r="A4841" s="49">
        <v>45071.709981168984</v>
      </c>
      <c r="B4841" s="50">
        <v>45071.8349541203</v>
      </c>
      <c r="C4841" s="51">
        <v>1.011</v>
      </c>
      <c r="D4841" s="51">
        <v>66.0</v>
      </c>
      <c r="E4841" s="52" t="s">
        <v>25</v>
      </c>
      <c r="F4841" s="52" t="s">
        <v>26</v>
      </c>
      <c r="G4841" s="53"/>
    </row>
    <row r="4842">
      <c r="A4842" s="49">
        <v>45071.7204022338</v>
      </c>
      <c r="B4842" s="50">
        <v>45071.8453754513</v>
      </c>
      <c r="C4842" s="51">
        <v>1.011</v>
      </c>
      <c r="D4842" s="51">
        <v>66.0</v>
      </c>
      <c r="E4842" s="52" t="s">
        <v>25</v>
      </c>
      <c r="F4842" s="52" t="s">
        <v>26</v>
      </c>
      <c r="G4842" s="53"/>
    </row>
    <row r="4843">
      <c r="A4843" s="49">
        <v>45071.73082596065</v>
      </c>
      <c r="B4843" s="50">
        <v>45071.855797037</v>
      </c>
      <c r="C4843" s="51">
        <v>1.011</v>
      </c>
      <c r="D4843" s="51">
        <v>66.0</v>
      </c>
      <c r="E4843" s="52" t="s">
        <v>25</v>
      </c>
      <c r="F4843" s="52" t="s">
        <v>26</v>
      </c>
      <c r="G4843" s="53"/>
    </row>
    <row r="4844">
      <c r="A4844" s="49">
        <v>45071.741238449074</v>
      </c>
      <c r="B4844" s="50">
        <v>45071.8662182523</v>
      </c>
      <c r="C4844" s="51">
        <v>1.011</v>
      </c>
      <c r="D4844" s="51">
        <v>66.0</v>
      </c>
      <c r="E4844" s="52" t="s">
        <v>25</v>
      </c>
      <c r="F4844" s="52" t="s">
        <v>26</v>
      </c>
      <c r="G4844" s="53"/>
    </row>
    <row r="4845">
      <c r="A4845" s="49">
        <v>45071.75167578703</v>
      </c>
      <c r="B4845" s="50">
        <v>45071.8766502314</v>
      </c>
      <c r="C4845" s="51">
        <v>1.011</v>
      </c>
      <c r="D4845" s="51">
        <v>66.0</v>
      </c>
      <c r="E4845" s="52" t="s">
        <v>25</v>
      </c>
      <c r="F4845" s="52" t="s">
        <v>26</v>
      </c>
      <c r="G4845" s="53"/>
    </row>
    <row r="4846">
      <c r="A4846" s="49">
        <v>45071.762112233795</v>
      </c>
      <c r="B4846" s="50">
        <v>45071.8870824884</v>
      </c>
      <c r="C4846" s="51">
        <v>1.011</v>
      </c>
      <c r="D4846" s="51">
        <v>66.0</v>
      </c>
      <c r="E4846" s="52" t="s">
        <v>25</v>
      </c>
      <c r="F4846" s="52" t="s">
        <v>26</v>
      </c>
      <c r="G4846" s="53"/>
    </row>
    <row r="4847">
      <c r="A4847" s="49">
        <v>45071.77254497685</v>
      </c>
      <c r="B4847" s="50">
        <v>45071.8975148958</v>
      </c>
      <c r="C4847" s="51">
        <v>1.012</v>
      </c>
      <c r="D4847" s="51">
        <v>66.0</v>
      </c>
      <c r="E4847" s="52" t="s">
        <v>25</v>
      </c>
      <c r="F4847" s="52" t="s">
        <v>26</v>
      </c>
      <c r="G4847" s="53"/>
    </row>
    <row r="4848">
      <c r="A4848" s="49">
        <v>45071.78295458334</v>
      </c>
      <c r="B4848" s="50">
        <v>45071.9079364004</v>
      </c>
      <c r="C4848" s="51">
        <v>1.011</v>
      </c>
      <c r="D4848" s="51">
        <v>66.0</v>
      </c>
      <c r="E4848" s="52" t="s">
        <v>25</v>
      </c>
      <c r="F4848" s="52" t="s">
        <v>26</v>
      </c>
      <c r="G4848" s="53"/>
    </row>
    <row r="4849">
      <c r="A4849" s="49">
        <v>45071.79341280092</v>
      </c>
      <c r="B4849" s="50">
        <v>45071.9183934027</v>
      </c>
      <c r="C4849" s="51">
        <v>1.012</v>
      </c>
      <c r="D4849" s="51">
        <v>66.0</v>
      </c>
      <c r="E4849" s="52" t="s">
        <v>25</v>
      </c>
      <c r="F4849" s="52" t="s">
        <v>26</v>
      </c>
      <c r="G4849" s="53"/>
    </row>
    <row r="4850">
      <c r="A4850" s="49">
        <v>45071.80384649306</v>
      </c>
      <c r="B4850" s="50">
        <v>45071.9288235185</v>
      </c>
      <c r="C4850" s="51">
        <v>1.011</v>
      </c>
      <c r="D4850" s="51">
        <v>66.0</v>
      </c>
      <c r="E4850" s="52" t="s">
        <v>25</v>
      </c>
      <c r="F4850" s="52" t="s">
        <v>26</v>
      </c>
      <c r="G4850" s="53"/>
    </row>
    <row r="4851">
      <c r="A4851" s="49">
        <v>45071.814269421295</v>
      </c>
      <c r="B4851" s="50">
        <v>45071.9392441088</v>
      </c>
      <c r="C4851" s="51">
        <v>1.011</v>
      </c>
      <c r="D4851" s="51">
        <v>66.0</v>
      </c>
      <c r="E4851" s="52" t="s">
        <v>25</v>
      </c>
      <c r="F4851" s="52" t="s">
        <v>26</v>
      </c>
      <c r="G4851" s="53"/>
    </row>
    <row r="4852">
      <c r="A4852" s="49">
        <v>45071.82468847222</v>
      </c>
      <c r="B4852" s="50">
        <v>45071.9496659259</v>
      </c>
      <c r="C4852" s="51">
        <v>1.011</v>
      </c>
      <c r="D4852" s="51">
        <v>66.0</v>
      </c>
      <c r="E4852" s="52" t="s">
        <v>25</v>
      </c>
      <c r="F4852" s="52" t="s">
        <v>26</v>
      </c>
      <c r="G4852" s="53"/>
    </row>
    <row r="4853">
      <c r="A4853" s="49">
        <v>45071.835124317135</v>
      </c>
      <c r="B4853" s="50">
        <v>45071.960086331</v>
      </c>
      <c r="C4853" s="51">
        <v>1.011</v>
      </c>
      <c r="D4853" s="51">
        <v>66.0</v>
      </c>
      <c r="E4853" s="52" t="s">
        <v>25</v>
      </c>
      <c r="F4853" s="52" t="s">
        <v>26</v>
      </c>
      <c r="G4853" s="53"/>
    </row>
    <row r="4854">
      <c r="A4854" s="49">
        <v>45071.84553431713</v>
      </c>
      <c r="B4854" s="50">
        <v>45071.9705074768</v>
      </c>
      <c r="C4854" s="51">
        <v>1.011</v>
      </c>
      <c r="D4854" s="51">
        <v>66.0</v>
      </c>
      <c r="E4854" s="52" t="s">
        <v>25</v>
      </c>
      <c r="F4854" s="52" t="s">
        <v>26</v>
      </c>
      <c r="G4854" s="53"/>
    </row>
    <row r="4855">
      <c r="A4855" s="49">
        <v>45071.855966550924</v>
      </c>
      <c r="B4855" s="50">
        <v>45071.9809291435</v>
      </c>
      <c r="C4855" s="51">
        <v>1.011</v>
      </c>
      <c r="D4855" s="51">
        <v>66.0</v>
      </c>
      <c r="E4855" s="52" t="s">
        <v>25</v>
      </c>
      <c r="F4855" s="52" t="s">
        <v>26</v>
      </c>
      <c r="G4855" s="53"/>
    </row>
    <row r="4856">
      <c r="A4856" s="49">
        <v>45071.86637804398</v>
      </c>
      <c r="B4856" s="50">
        <v>45071.991351331</v>
      </c>
      <c r="C4856" s="51">
        <v>1.011</v>
      </c>
      <c r="D4856" s="51">
        <v>66.0</v>
      </c>
      <c r="E4856" s="52" t="s">
        <v>25</v>
      </c>
      <c r="F4856" s="52" t="s">
        <v>26</v>
      </c>
      <c r="G4856" s="53"/>
    </row>
    <row r="4857">
      <c r="A4857" s="49">
        <v>45071.8767984838</v>
      </c>
      <c r="B4857" s="50">
        <v>45072.0017719444</v>
      </c>
      <c r="C4857" s="51">
        <v>1.011</v>
      </c>
      <c r="D4857" s="51">
        <v>66.0</v>
      </c>
      <c r="E4857" s="52" t="s">
        <v>25</v>
      </c>
      <c r="F4857" s="52" t="s">
        <v>26</v>
      </c>
      <c r="G4857" s="53"/>
    </row>
    <row r="4858">
      <c r="A4858" s="49">
        <v>45071.88722841435</v>
      </c>
      <c r="B4858" s="50">
        <v>45072.0121937847</v>
      </c>
      <c r="C4858" s="51">
        <v>1.011</v>
      </c>
      <c r="D4858" s="51">
        <v>66.0</v>
      </c>
      <c r="E4858" s="52" t="s">
        <v>25</v>
      </c>
      <c r="F4858" s="52" t="s">
        <v>26</v>
      </c>
      <c r="G4858" s="53"/>
    </row>
    <row r="4859">
      <c r="A4859" s="49">
        <v>45071.89763663194</v>
      </c>
      <c r="B4859" s="50">
        <v>45072.0226138773</v>
      </c>
      <c r="C4859" s="51">
        <v>1.011</v>
      </c>
      <c r="D4859" s="51">
        <v>66.0</v>
      </c>
      <c r="E4859" s="52" t="s">
        <v>25</v>
      </c>
      <c r="F4859" s="52" t="s">
        <v>26</v>
      </c>
      <c r="G4859" s="53"/>
    </row>
    <row r="4860">
      <c r="A4860" s="49">
        <v>45071.90806440973</v>
      </c>
      <c r="B4860" s="50">
        <v>45072.0330334606</v>
      </c>
      <c r="C4860" s="51">
        <v>1.012</v>
      </c>
      <c r="D4860" s="51">
        <v>66.0</v>
      </c>
      <c r="E4860" s="52" t="s">
        <v>25</v>
      </c>
      <c r="F4860" s="52" t="s">
        <v>26</v>
      </c>
      <c r="G4860" s="53"/>
    </row>
    <row r="4861">
      <c r="A4861" s="49">
        <v>45071.91848258102</v>
      </c>
      <c r="B4861" s="50">
        <v>45072.0434552546</v>
      </c>
      <c r="C4861" s="51">
        <v>1.011</v>
      </c>
      <c r="D4861" s="51">
        <v>66.0</v>
      </c>
      <c r="E4861" s="52" t="s">
        <v>25</v>
      </c>
      <c r="F4861" s="52" t="s">
        <v>26</v>
      </c>
      <c r="G4861" s="53"/>
    </row>
    <row r="4862">
      <c r="A4862" s="49">
        <v>45071.928907118054</v>
      </c>
      <c r="B4862" s="50">
        <v>45072.0538770138</v>
      </c>
      <c r="C4862" s="51">
        <v>1.011</v>
      </c>
      <c r="D4862" s="51">
        <v>66.0</v>
      </c>
      <c r="E4862" s="52" t="s">
        <v>25</v>
      </c>
      <c r="F4862" s="52" t="s">
        <v>26</v>
      </c>
      <c r="G4862" s="53"/>
    </row>
    <row r="4863">
      <c r="A4863" s="49">
        <v>45071.93934737268</v>
      </c>
      <c r="B4863" s="50">
        <v>45072.0643213541</v>
      </c>
      <c r="C4863" s="51">
        <v>1.011</v>
      </c>
      <c r="D4863" s="51">
        <v>66.0</v>
      </c>
      <c r="E4863" s="52" t="s">
        <v>25</v>
      </c>
      <c r="F4863" s="52" t="s">
        <v>26</v>
      </c>
      <c r="G4863" s="53"/>
    </row>
    <row r="4864">
      <c r="A4864" s="49">
        <v>45071.94978902778</v>
      </c>
      <c r="B4864" s="50">
        <v>45072.0747433333</v>
      </c>
      <c r="C4864" s="51">
        <v>1.011</v>
      </c>
      <c r="D4864" s="51">
        <v>66.0</v>
      </c>
      <c r="E4864" s="52" t="s">
        <v>25</v>
      </c>
      <c r="F4864" s="52" t="s">
        <v>26</v>
      </c>
      <c r="G4864" s="53"/>
    </row>
    <row r="4865">
      <c r="A4865" s="49">
        <v>45071.960195694446</v>
      </c>
      <c r="B4865" s="50">
        <v>45072.0851625347</v>
      </c>
      <c r="C4865" s="51">
        <v>1.011</v>
      </c>
      <c r="D4865" s="51">
        <v>66.0</v>
      </c>
      <c r="E4865" s="52" t="s">
        <v>25</v>
      </c>
      <c r="F4865" s="52" t="s">
        <v>26</v>
      </c>
      <c r="G4865" s="53"/>
    </row>
    <row r="4866">
      <c r="A4866" s="49">
        <v>45071.97061131944</v>
      </c>
      <c r="B4866" s="50">
        <v>45072.0955831944</v>
      </c>
      <c r="C4866" s="51">
        <v>1.011</v>
      </c>
      <c r="D4866" s="51">
        <v>66.0</v>
      </c>
      <c r="E4866" s="52" t="s">
        <v>25</v>
      </c>
      <c r="F4866" s="52" t="s">
        <v>26</v>
      </c>
      <c r="G4866" s="53"/>
    </row>
    <row r="4867">
      <c r="A4867" s="49">
        <v>45071.981042037034</v>
      </c>
      <c r="B4867" s="50">
        <v>45072.1060146064</v>
      </c>
      <c r="C4867" s="51">
        <v>1.011</v>
      </c>
      <c r="D4867" s="51">
        <v>66.0</v>
      </c>
      <c r="E4867" s="52" t="s">
        <v>25</v>
      </c>
      <c r="F4867" s="52" t="s">
        <v>26</v>
      </c>
      <c r="G4867" s="53"/>
    </row>
    <row r="4868">
      <c r="A4868" s="49">
        <v>45071.991461365746</v>
      </c>
      <c r="B4868" s="50">
        <v>45072.1164346296</v>
      </c>
      <c r="C4868" s="51">
        <v>1.011</v>
      </c>
      <c r="D4868" s="51">
        <v>66.0</v>
      </c>
      <c r="E4868" s="52" t="s">
        <v>25</v>
      </c>
      <c r="F4868" s="52" t="s">
        <v>26</v>
      </c>
      <c r="G4868" s="53"/>
    </row>
    <row r="4869">
      <c r="A4869" s="49">
        <v>45072.00188293982</v>
      </c>
      <c r="B4869" s="50">
        <v>45072.1268562731</v>
      </c>
      <c r="C4869" s="51">
        <v>1.011</v>
      </c>
      <c r="D4869" s="51">
        <v>66.0</v>
      </c>
      <c r="E4869" s="52" t="s">
        <v>25</v>
      </c>
      <c r="F4869" s="52" t="s">
        <v>26</v>
      </c>
      <c r="G4869" s="53"/>
    </row>
    <row r="4870">
      <c r="A4870" s="49">
        <v>45072.01230170139</v>
      </c>
      <c r="B4870" s="50">
        <v>45072.137276412</v>
      </c>
      <c r="C4870" s="51">
        <v>1.011</v>
      </c>
      <c r="D4870" s="51">
        <v>66.0</v>
      </c>
      <c r="E4870" s="52" t="s">
        <v>25</v>
      </c>
      <c r="F4870" s="52" t="s">
        <v>26</v>
      </c>
      <c r="G4870" s="53"/>
    </row>
    <row r="4871">
      <c r="A4871" s="49">
        <v>45072.022721863425</v>
      </c>
      <c r="B4871" s="50">
        <v>45072.1476985069</v>
      </c>
      <c r="C4871" s="51">
        <v>1.011</v>
      </c>
      <c r="D4871" s="51">
        <v>66.0</v>
      </c>
      <c r="E4871" s="52" t="s">
        <v>25</v>
      </c>
      <c r="F4871" s="52" t="s">
        <v>26</v>
      </c>
      <c r="G4871" s="53"/>
    </row>
    <row r="4872">
      <c r="A4872" s="49">
        <v>45072.03314972222</v>
      </c>
      <c r="B4872" s="50">
        <v>45072.1581203587</v>
      </c>
      <c r="C4872" s="51">
        <v>1.011</v>
      </c>
      <c r="D4872" s="51">
        <v>66.0</v>
      </c>
      <c r="E4872" s="52" t="s">
        <v>25</v>
      </c>
      <c r="F4872" s="52" t="s">
        <v>26</v>
      </c>
      <c r="G4872" s="53"/>
    </row>
    <row r="4873">
      <c r="A4873" s="49">
        <v>45072.043580937505</v>
      </c>
      <c r="B4873" s="50">
        <v>45072.1685539236</v>
      </c>
      <c r="C4873" s="51">
        <v>1.011</v>
      </c>
      <c r="D4873" s="51">
        <v>66.0</v>
      </c>
      <c r="E4873" s="52" t="s">
        <v>25</v>
      </c>
      <c r="F4873" s="52" t="s">
        <v>26</v>
      </c>
      <c r="G4873" s="53"/>
    </row>
    <row r="4874">
      <c r="A4874" s="49">
        <v>45072.053999791664</v>
      </c>
      <c r="B4874" s="50">
        <v>45072.1789760416</v>
      </c>
      <c r="C4874" s="51">
        <v>1.011</v>
      </c>
      <c r="D4874" s="51">
        <v>66.0</v>
      </c>
      <c r="E4874" s="52" t="s">
        <v>25</v>
      </c>
      <c r="F4874" s="52" t="s">
        <v>26</v>
      </c>
      <c r="G4874" s="53"/>
    </row>
    <row r="4875">
      <c r="A4875" s="49">
        <v>45072.06442196759</v>
      </c>
      <c r="B4875" s="50">
        <v>45072.1893967939</v>
      </c>
      <c r="C4875" s="51">
        <v>1.011</v>
      </c>
      <c r="D4875" s="51">
        <v>66.0</v>
      </c>
      <c r="E4875" s="52" t="s">
        <v>25</v>
      </c>
      <c r="F4875" s="52" t="s">
        <v>26</v>
      </c>
      <c r="G4875" s="53"/>
    </row>
    <row r="4876">
      <c r="A4876" s="49">
        <v>45072.07485163194</v>
      </c>
      <c r="B4876" s="50">
        <v>45072.199818993</v>
      </c>
      <c r="C4876" s="51">
        <v>1.011</v>
      </c>
      <c r="D4876" s="51">
        <v>66.0</v>
      </c>
      <c r="E4876" s="52" t="s">
        <v>25</v>
      </c>
      <c r="F4876" s="52" t="s">
        <v>26</v>
      </c>
      <c r="G4876" s="53"/>
    </row>
    <row r="4877">
      <c r="A4877" s="49">
        <v>45072.08526391204</v>
      </c>
      <c r="B4877" s="50">
        <v>45072.2102396875</v>
      </c>
      <c r="C4877" s="51">
        <v>1.011</v>
      </c>
      <c r="D4877" s="51">
        <v>66.0</v>
      </c>
      <c r="E4877" s="52" t="s">
        <v>25</v>
      </c>
      <c r="F4877" s="52" t="s">
        <v>26</v>
      </c>
      <c r="G4877" s="53"/>
    </row>
    <row r="4878">
      <c r="A4878" s="49">
        <v>45072.095676412035</v>
      </c>
      <c r="B4878" s="50">
        <v>45072.2206598611</v>
      </c>
      <c r="C4878" s="51">
        <v>1.011</v>
      </c>
      <c r="D4878" s="51">
        <v>66.0</v>
      </c>
      <c r="E4878" s="52" t="s">
        <v>25</v>
      </c>
      <c r="F4878" s="52" t="s">
        <v>26</v>
      </c>
      <c r="G4878" s="53"/>
    </row>
    <row r="4879">
      <c r="A4879" s="49">
        <v>45072.10610704861</v>
      </c>
      <c r="B4879" s="50">
        <v>45072.2310812384</v>
      </c>
      <c r="C4879" s="51">
        <v>1.011</v>
      </c>
      <c r="D4879" s="51">
        <v>66.0</v>
      </c>
      <c r="E4879" s="52" t="s">
        <v>25</v>
      </c>
      <c r="F4879" s="52" t="s">
        <v>26</v>
      </c>
      <c r="G4879" s="53"/>
    </row>
    <row r="4880">
      <c r="A4880" s="49">
        <v>45072.11652800926</v>
      </c>
      <c r="B4880" s="50">
        <v>45072.2415012615</v>
      </c>
      <c r="C4880" s="51">
        <v>1.011</v>
      </c>
      <c r="D4880" s="51">
        <v>66.0</v>
      </c>
      <c r="E4880" s="52" t="s">
        <v>25</v>
      </c>
      <c r="F4880" s="52" t="s">
        <v>26</v>
      </c>
      <c r="G4880" s="53"/>
    </row>
    <row r="4881">
      <c r="A4881" s="49">
        <v>45072.12694628473</v>
      </c>
      <c r="B4881" s="50">
        <v>45072.2519207986</v>
      </c>
      <c r="C4881" s="51">
        <v>1.011</v>
      </c>
      <c r="D4881" s="51">
        <v>66.0</v>
      </c>
      <c r="E4881" s="52" t="s">
        <v>25</v>
      </c>
      <c r="F4881" s="52" t="s">
        <v>26</v>
      </c>
      <c r="G4881" s="53"/>
    </row>
    <row r="4882">
      <c r="A4882" s="49">
        <v>45072.137362939815</v>
      </c>
      <c r="B4882" s="50">
        <v>45072.2623430092</v>
      </c>
      <c r="C4882" s="51">
        <v>1.011</v>
      </c>
      <c r="D4882" s="51">
        <v>66.0</v>
      </c>
      <c r="E4882" s="52" t="s">
        <v>25</v>
      </c>
      <c r="F4882" s="52" t="s">
        <v>26</v>
      </c>
      <c r="G4882" s="53"/>
    </row>
    <row r="4883">
      <c r="A4883" s="49">
        <v>45072.14779274305</v>
      </c>
      <c r="B4883" s="50">
        <v>45072.2727640625</v>
      </c>
      <c r="C4883" s="51">
        <v>1.011</v>
      </c>
      <c r="D4883" s="51">
        <v>66.0</v>
      </c>
      <c r="E4883" s="52" t="s">
        <v>25</v>
      </c>
      <c r="F4883" s="52" t="s">
        <v>26</v>
      </c>
      <c r="G4883" s="53"/>
    </row>
    <row r="4884">
      <c r="A4884" s="49">
        <v>45072.15820708333</v>
      </c>
      <c r="B4884" s="50">
        <v>45072.2831853472</v>
      </c>
      <c r="C4884" s="51">
        <v>1.011</v>
      </c>
      <c r="D4884" s="51">
        <v>66.0</v>
      </c>
      <c r="E4884" s="52" t="s">
        <v>25</v>
      </c>
      <c r="F4884" s="52" t="s">
        <v>26</v>
      </c>
      <c r="G4884" s="53"/>
    </row>
    <row r="4885">
      <c r="A4885" s="49">
        <v>45072.16863252315</v>
      </c>
      <c r="B4885" s="50">
        <v>45072.2936068865</v>
      </c>
      <c r="C4885" s="51">
        <v>1.011</v>
      </c>
      <c r="D4885" s="51">
        <v>66.0</v>
      </c>
      <c r="E4885" s="52" t="s">
        <v>25</v>
      </c>
      <c r="F4885" s="52" t="s">
        <v>26</v>
      </c>
      <c r="G4885" s="53"/>
    </row>
    <row r="4886">
      <c r="A4886" s="49">
        <v>45072.179054189815</v>
      </c>
      <c r="B4886" s="50">
        <v>45072.3040284375</v>
      </c>
      <c r="C4886" s="51">
        <v>1.011</v>
      </c>
      <c r="D4886" s="51">
        <v>66.0</v>
      </c>
      <c r="E4886" s="52" t="s">
        <v>25</v>
      </c>
      <c r="F4886" s="52" t="s">
        <v>26</v>
      </c>
      <c r="G4886" s="53"/>
    </row>
    <row r="4887">
      <c r="A4887" s="49">
        <v>45072.18948052083</v>
      </c>
      <c r="B4887" s="50">
        <v>45072.3144516898</v>
      </c>
      <c r="C4887" s="51">
        <v>1.011</v>
      </c>
      <c r="D4887" s="51">
        <v>66.0</v>
      </c>
      <c r="E4887" s="52" t="s">
        <v>25</v>
      </c>
      <c r="F4887" s="52" t="s">
        <v>26</v>
      </c>
      <c r="G4887" s="53"/>
    </row>
    <row r="4888">
      <c r="A4888" s="49">
        <v>45072.1999333912</v>
      </c>
      <c r="B4888" s="50">
        <v>45072.32487353</v>
      </c>
      <c r="C4888" s="51">
        <v>1.011</v>
      </c>
      <c r="D4888" s="51">
        <v>66.0</v>
      </c>
      <c r="E4888" s="52" t="s">
        <v>25</v>
      </c>
      <c r="F4888" s="52" t="s">
        <v>26</v>
      </c>
      <c r="G4888" s="53"/>
    </row>
    <row r="4889">
      <c r="A4889" s="49">
        <v>45072.210310173614</v>
      </c>
      <c r="B4889" s="50">
        <v>45072.3352949768</v>
      </c>
      <c r="C4889" s="51">
        <v>1.011</v>
      </c>
      <c r="D4889" s="51">
        <v>66.0</v>
      </c>
      <c r="E4889" s="52" t="s">
        <v>25</v>
      </c>
      <c r="F4889" s="52" t="s">
        <v>26</v>
      </c>
      <c r="G4889" s="53"/>
    </row>
    <row r="4890">
      <c r="A4890" s="49">
        <v>45072.22075525463</v>
      </c>
      <c r="B4890" s="50">
        <v>45072.3457271759</v>
      </c>
      <c r="C4890" s="51">
        <v>1.011</v>
      </c>
      <c r="D4890" s="51">
        <v>66.0</v>
      </c>
      <c r="E4890" s="52" t="s">
        <v>25</v>
      </c>
      <c r="F4890" s="52" t="s">
        <v>26</v>
      </c>
      <c r="G4890" s="53"/>
    </row>
    <row r="4891">
      <c r="A4891" s="49">
        <v>45072.231187453704</v>
      </c>
      <c r="B4891" s="50">
        <v>45072.3561605671</v>
      </c>
      <c r="C4891" s="51">
        <v>1.011</v>
      </c>
      <c r="D4891" s="51">
        <v>66.0</v>
      </c>
      <c r="E4891" s="52" t="s">
        <v>25</v>
      </c>
      <c r="F4891" s="52" t="s">
        <v>26</v>
      </c>
      <c r="G4891" s="53"/>
    </row>
    <row r="4892">
      <c r="A4892" s="49">
        <v>45072.24160738426</v>
      </c>
      <c r="B4892" s="50">
        <v>45072.3665807986</v>
      </c>
      <c r="C4892" s="51">
        <v>1.011</v>
      </c>
      <c r="D4892" s="51">
        <v>66.0</v>
      </c>
      <c r="E4892" s="52" t="s">
        <v>25</v>
      </c>
      <c r="F4892" s="52" t="s">
        <v>26</v>
      </c>
      <c r="G4892" s="53"/>
    </row>
    <row r="4893">
      <c r="A4893" s="49">
        <v>45072.2520263426</v>
      </c>
      <c r="B4893" s="50">
        <v>45072.3770013194</v>
      </c>
      <c r="C4893" s="51">
        <v>1.011</v>
      </c>
      <c r="D4893" s="51">
        <v>66.0</v>
      </c>
      <c r="E4893" s="52" t="s">
        <v>25</v>
      </c>
      <c r="F4893" s="52" t="s">
        <v>26</v>
      </c>
      <c r="G4893" s="53"/>
    </row>
    <row r="4894">
      <c r="A4894" s="49">
        <v>45072.26247091436</v>
      </c>
      <c r="B4894" s="50">
        <v>45072.3874334606</v>
      </c>
      <c r="C4894" s="51">
        <v>1.011</v>
      </c>
      <c r="D4894" s="51">
        <v>66.0</v>
      </c>
      <c r="E4894" s="52" t="s">
        <v>25</v>
      </c>
      <c r="F4894" s="52" t="s">
        <v>26</v>
      </c>
      <c r="G4894" s="53"/>
    </row>
    <row r="4895">
      <c r="A4895" s="49">
        <v>45072.27288040509</v>
      </c>
      <c r="B4895" s="50">
        <v>45072.3978542939</v>
      </c>
      <c r="C4895" s="51">
        <v>1.011</v>
      </c>
      <c r="D4895" s="51">
        <v>66.0</v>
      </c>
      <c r="E4895" s="52" t="s">
        <v>25</v>
      </c>
      <c r="F4895" s="52" t="s">
        <v>26</v>
      </c>
      <c r="G4895" s="53"/>
    </row>
    <row r="4896">
      <c r="A4896" s="49">
        <v>45072.28330015046</v>
      </c>
      <c r="B4896" s="50">
        <v>45072.4082757291</v>
      </c>
      <c r="C4896" s="51">
        <v>1.011</v>
      </c>
      <c r="D4896" s="51">
        <v>66.0</v>
      </c>
      <c r="E4896" s="52" t="s">
        <v>25</v>
      </c>
      <c r="F4896" s="52" t="s">
        <v>26</v>
      </c>
      <c r="G4896" s="53"/>
    </row>
    <row r="4897">
      <c r="A4897" s="49">
        <v>45072.2937519213</v>
      </c>
      <c r="B4897" s="50">
        <v>45072.41871978</v>
      </c>
      <c r="C4897" s="51">
        <v>1.011</v>
      </c>
      <c r="D4897" s="51">
        <v>66.0</v>
      </c>
      <c r="E4897" s="52" t="s">
        <v>25</v>
      </c>
      <c r="F4897" s="52" t="s">
        <v>26</v>
      </c>
      <c r="G4897" s="53"/>
    </row>
    <row r="4898">
      <c r="A4898" s="49">
        <v>45072.304165243055</v>
      </c>
      <c r="B4898" s="50">
        <v>45072.429140949</v>
      </c>
      <c r="C4898" s="51">
        <v>1.011</v>
      </c>
      <c r="D4898" s="51">
        <v>66.0</v>
      </c>
      <c r="E4898" s="52" t="s">
        <v>25</v>
      </c>
      <c r="F4898" s="52" t="s">
        <v>26</v>
      </c>
      <c r="G4898" s="53"/>
    </row>
    <row r="4899">
      <c r="A4899" s="49">
        <v>45072.3145853125</v>
      </c>
      <c r="B4899" s="50">
        <v>45072.439562824</v>
      </c>
      <c r="C4899" s="51">
        <v>1.011</v>
      </c>
      <c r="D4899" s="51">
        <v>66.0</v>
      </c>
      <c r="E4899" s="52" t="s">
        <v>25</v>
      </c>
      <c r="F4899" s="52" t="s">
        <v>26</v>
      </c>
      <c r="G4899" s="53"/>
    </row>
    <row r="4900">
      <c r="A4900" s="49">
        <v>45072.325013298614</v>
      </c>
      <c r="B4900" s="50">
        <v>45072.449983449</v>
      </c>
      <c r="C4900" s="51">
        <v>1.011</v>
      </c>
      <c r="D4900" s="51">
        <v>66.0</v>
      </c>
      <c r="E4900" s="52" t="s">
        <v>25</v>
      </c>
      <c r="F4900" s="52" t="s">
        <v>26</v>
      </c>
      <c r="G4900" s="53"/>
    </row>
    <row r="4901">
      <c r="A4901" s="49">
        <v>45072.33543042824</v>
      </c>
      <c r="B4901" s="50">
        <v>45072.4604059837</v>
      </c>
      <c r="C4901" s="51">
        <v>1.011</v>
      </c>
      <c r="D4901" s="51">
        <v>66.0</v>
      </c>
      <c r="E4901" s="52" t="s">
        <v>25</v>
      </c>
      <c r="F4901" s="52" t="s">
        <v>26</v>
      </c>
      <c r="G4901" s="53"/>
    </row>
    <row r="4902">
      <c r="A4902" s="49">
        <v>45072.345861469905</v>
      </c>
      <c r="B4902" s="50">
        <v>45072.4708380787</v>
      </c>
      <c r="C4902" s="51">
        <v>1.011</v>
      </c>
      <c r="D4902" s="51">
        <v>66.0</v>
      </c>
      <c r="E4902" s="52" t="s">
        <v>25</v>
      </c>
      <c r="F4902" s="52" t="s">
        <v>26</v>
      </c>
      <c r="G4902" s="53"/>
    </row>
    <row r="4903">
      <c r="A4903" s="49">
        <v>45072.35630417824</v>
      </c>
      <c r="B4903" s="50">
        <v>45072.481284618</v>
      </c>
      <c r="C4903" s="51">
        <v>1.011</v>
      </c>
      <c r="D4903" s="51">
        <v>66.0</v>
      </c>
      <c r="E4903" s="52" t="s">
        <v>25</v>
      </c>
      <c r="F4903" s="52" t="s">
        <v>26</v>
      </c>
      <c r="G4903" s="53"/>
    </row>
    <row r="4904">
      <c r="A4904" s="49">
        <v>45072.366749988425</v>
      </c>
      <c r="B4904" s="50">
        <v>45072.491705243</v>
      </c>
      <c r="C4904" s="51">
        <v>1.011</v>
      </c>
      <c r="D4904" s="51">
        <v>66.0</v>
      </c>
      <c r="E4904" s="52" t="s">
        <v>25</v>
      </c>
      <c r="F4904" s="52" t="s">
        <v>26</v>
      </c>
      <c r="G4904" s="53"/>
    </row>
    <row r="4905">
      <c r="A4905" s="49">
        <v>45072.37714759259</v>
      </c>
      <c r="B4905" s="50">
        <v>45072.5021220023</v>
      </c>
      <c r="C4905" s="51">
        <v>1.011</v>
      </c>
      <c r="D4905" s="51">
        <v>66.0</v>
      </c>
      <c r="E4905" s="52" t="s">
        <v>25</v>
      </c>
      <c r="F4905" s="52" t="s">
        <v>26</v>
      </c>
      <c r="G4905" s="53"/>
    </row>
    <row r="4906">
      <c r="A4906" s="49">
        <v>45072.38757954861</v>
      </c>
      <c r="B4906" s="50">
        <v>45072.5125544328</v>
      </c>
      <c r="C4906" s="51">
        <v>1.011</v>
      </c>
      <c r="D4906" s="51">
        <v>66.0</v>
      </c>
      <c r="E4906" s="52" t="s">
        <v>25</v>
      </c>
      <c r="F4906" s="52" t="s">
        <v>26</v>
      </c>
      <c r="G4906" s="53"/>
    </row>
    <row r="4907">
      <c r="A4907" s="49">
        <v>45072.39800890046</v>
      </c>
      <c r="B4907" s="50">
        <v>45072.5229879513</v>
      </c>
      <c r="C4907" s="51">
        <v>1.011</v>
      </c>
      <c r="D4907" s="51">
        <v>66.0</v>
      </c>
      <c r="E4907" s="52" t="s">
        <v>25</v>
      </c>
      <c r="F4907" s="52" t="s">
        <v>26</v>
      </c>
      <c r="G4907" s="53"/>
    </row>
    <row r="4908">
      <c r="A4908" s="49">
        <v>45072.40843008102</v>
      </c>
      <c r="B4908" s="50">
        <v>45072.5334098495</v>
      </c>
      <c r="C4908" s="51">
        <v>1.011</v>
      </c>
      <c r="D4908" s="51">
        <v>66.0</v>
      </c>
      <c r="E4908" s="52" t="s">
        <v>25</v>
      </c>
      <c r="F4908" s="52" t="s">
        <v>26</v>
      </c>
      <c r="G4908" s="53"/>
    </row>
    <row r="4909">
      <c r="A4909" s="49">
        <v>45072.41884982639</v>
      </c>
      <c r="B4909" s="50">
        <v>45072.5438302083</v>
      </c>
      <c r="C4909" s="51">
        <v>1.011</v>
      </c>
      <c r="D4909" s="51">
        <v>66.0</v>
      </c>
      <c r="E4909" s="52" t="s">
        <v>25</v>
      </c>
      <c r="F4909" s="52" t="s">
        <v>26</v>
      </c>
      <c r="G4909" s="53"/>
    </row>
    <row r="4910">
      <c r="A4910" s="49">
        <v>45072.429280324075</v>
      </c>
      <c r="B4910" s="50">
        <v>45072.5542515856</v>
      </c>
      <c r="C4910" s="51">
        <v>1.011</v>
      </c>
      <c r="D4910" s="51">
        <v>66.0</v>
      </c>
      <c r="E4910" s="52" t="s">
        <v>25</v>
      </c>
      <c r="F4910" s="52" t="s">
        <v>26</v>
      </c>
      <c r="G4910" s="53"/>
    </row>
    <row r="4911">
      <c r="A4911" s="49">
        <v>45072.43971332176</v>
      </c>
      <c r="B4911" s="50">
        <v>45072.5646861111</v>
      </c>
      <c r="C4911" s="51">
        <v>1.011</v>
      </c>
      <c r="D4911" s="51">
        <v>66.0</v>
      </c>
      <c r="E4911" s="52" t="s">
        <v>25</v>
      </c>
      <c r="F4911" s="52" t="s">
        <v>26</v>
      </c>
      <c r="G4911" s="53"/>
    </row>
    <row r="4912">
      <c r="A4912" s="49">
        <v>45072.450129641205</v>
      </c>
      <c r="B4912" s="50">
        <v>45072.5751080208</v>
      </c>
      <c r="C4912" s="51">
        <v>1.011</v>
      </c>
      <c r="D4912" s="51">
        <v>66.0</v>
      </c>
      <c r="E4912" s="52" t="s">
        <v>25</v>
      </c>
      <c r="F4912" s="52" t="s">
        <v>26</v>
      </c>
      <c r="G4912" s="53"/>
    </row>
    <row r="4913">
      <c r="A4913" s="49">
        <v>45072.46056157407</v>
      </c>
      <c r="B4913" s="50">
        <v>45072.5855403703</v>
      </c>
      <c r="C4913" s="51">
        <v>1.011</v>
      </c>
      <c r="D4913" s="51">
        <v>66.0</v>
      </c>
      <c r="E4913" s="52" t="s">
        <v>25</v>
      </c>
      <c r="F4913" s="52" t="s">
        <v>26</v>
      </c>
      <c r="G4913" s="53"/>
    </row>
    <row r="4914">
      <c r="A4914" s="49">
        <v>45072.47099155093</v>
      </c>
      <c r="B4914" s="50">
        <v>45072.5959729398</v>
      </c>
      <c r="C4914" s="51">
        <v>1.011</v>
      </c>
      <c r="D4914" s="51">
        <v>66.0</v>
      </c>
      <c r="E4914" s="52" t="s">
        <v>25</v>
      </c>
      <c r="F4914" s="52" t="s">
        <v>26</v>
      </c>
      <c r="G4914" s="53"/>
    </row>
    <row r="4915">
      <c r="A4915" s="49">
        <v>45072.48144</v>
      </c>
      <c r="B4915" s="50">
        <v>45072.6064163541</v>
      </c>
      <c r="C4915" s="51">
        <v>1.011</v>
      </c>
      <c r="D4915" s="51">
        <v>66.0</v>
      </c>
      <c r="E4915" s="52" t="s">
        <v>25</v>
      </c>
      <c r="F4915" s="52" t="s">
        <v>26</v>
      </c>
      <c r="G4915" s="53"/>
    </row>
    <row r="4916">
      <c r="A4916" s="49">
        <v>45072.49186879629</v>
      </c>
      <c r="B4916" s="50">
        <v>45072.6168371527</v>
      </c>
      <c r="C4916" s="51">
        <v>1.011</v>
      </c>
      <c r="D4916" s="51">
        <v>66.0</v>
      </c>
      <c r="E4916" s="52" t="s">
        <v>25</v>
      </c>
      <c r="F4916" s="52" t="s">
        <v>26</v>
      </c>
      <c r="G4916" s="53"/>
    </row>
    <row r="4917">
      <c r="A4917" s="49">
        <v>45072.502295555554</v>
      </c>
      <c r="B4917" s="50">
        <v>45072.6272581713</v>
      </c>
      <c r="C4917" s="51">
        <v>1.011</v>
      </c>
      <c r="D4917" s="51">
        <v>66.0</v>
      </c>
      <c r="E4917" s="52" t="s">
        <v>25</v>
      </c>
      <c r="F4917" s="52" t="s">
        <v>26</v>
      </c>
      <c r="G4917" s="53"/>
    </row>
    <row r="4918">
      <c r="A4918" s="49">
        <v>45072.512706203706</v>
      </c>
      <c r="B4918" s="50">
        <v>45072.6376804282</v>
      </c>
      <c r="C4918" s="51">
        <v>1.011</v>
      </c>
      <c r="D4918" s="51">
        <v>66.0</v>
      </c>
      <c r="E4918" s="52" t="s">
        <v>25</v>
      </c>
      <c r="F4918" s="52" t="s">
        <v>26</v>
      </c>
      <c r="G4918" s="53"/>
    </row>
    <row r="4919">
      <c r="A4919" s="49">
        <v>45072.52313015047</v>
      </c>
      <c r="B4919" s="50">
        <v>45072.6481039351</v>
      </c>
      <c r="C4919" s="51">
        <v>1.011</v>
      </c>
      <c r="D4919" s="51">
        <v>66.0</v>
      </c>
      <c r="E4919" s="52" t="s">
        <v>25</v>
      </c>
      <c r="F4919" s="52" t="s">
        <v>26</v>
      </c>
      <c r="G4919" s="53"/>
    </row>
    <row r="4920">
      <c r="A4920" s="49">
        <v>45072.53355445602</v>
      </c>
      <c r="B4920" s="50">
        <v>45072.6585266203</v>
      </c>
      <c r="C4920" s="51">
        <v>1.011</v>
      </c>
      <c r="D4920" s="51">
        <v>66.0</v>
      </c>
      <c r="E4920" s="52" t="s">
        <v>25</v>
      </c>
      <c r="F4920" s="52" t="s">
        <v>26</v>
      </c>
      <c r="G4920" s="53"/>
    </row>
    <row r="4921">
      <c r="A4921" s="49">
        <v>45072.54396802084</v>
      </c>
      <c r="B4921" s="50">
        <v>45072.668948206</v>
      </c>
      <c r="C4921" s="51">
        <v>1.011</v>
      </c>
      <c r="D4921" s="51">
        <v>66.0</v>
      </c>
      <c r="E4921" s="52" t="s">
        <v>25</v>
      </c>
      <c r="F4921" s="52" t="s">
        <v>26</v>
      </c>
      <c r="G4921" s="53"/>
    </row>
    <row r="4922">
      <c r="A4922" s="49">
        <v>45072.55439928241</v>
      </c>
      <c r="B4922" s="50">
        <v>45072.6793695486</v>
      </c>
      <c r="C4922" s="51">
        <v>1.011</v>
      </c>
      <c r="D4922" s="51">
        <v>66.0</v>
      </c>
      <c r="E4922" s="52" t="s">
        <v>25</v>
      </c>
      <c r="F4922" s="52" t="s">
        <v>26</v>
      </c>
      <c r="G4922" s="53"/>
    </row>
    <row r="4923">
      <c r="A4923" s="49">
        <v>45072.56482180556</v>
      </c>
      <c r="B4923" s="50">
        <v>45072.6898035185</v>
      </c>
      <c r="C4923" s="51">
        <v>1.011</v>
      </c>
      <c r="D4923" s="51">
        <v>66.0</v>
      </c>
      <c r="E4923" s="52" t="s">
        <v>25</v>
      </c>
      <c r="F4923" s="52" t="s">
        <v>26</v>
      </c>
      <c r="G4923" s="53"/>
    </row>
    <row r="4924">
      <c r="A4924" s="49">
        <v>45072.57525380787</v>
      </c>
      <c r="B4924" s="50">
        <v>45072.7002352662</v>
      </c>
      <c r="C4924" s="51">
        <v>1.011</v>
      </c>
      <c r="D4924" s="51">
        <v>66.0</v>
      </c>
      <c r="E4924" s="52" t="s">
        <v>25</v>
      </c>
      <c r="F4924" s="52" t="s">
        <v>26</v>
      </c>
      <c r="G4924" s="53"/>
    </row>
    <row r="4925">
      <c r="A4925" s="49">
        <v>45072.585716898146</v>
      </c>
      <c r="B4925" s="50">
        <v>45072.7106902893</v>
      </c>
      <c r="C4925" s="51">
        <v>1.011</v>
      </c>
      <c r="D4925" s="51">
        <v>66.0</v>
      </c>
      <c r="E4925" s="52" t="s">
        <v>25</v>
      </c>
      <c r="F4925" s="52" t="s">
        <v>26</v>
      </c>
      <c r="G4925" s="53"/>
    </row>
    <row r="4926">
      <c r="A4926" s="49">
        <v>45072.59616053241</v>
      </c>
      <c r="B4926" s="50">
        <v>45072.721135243</v>
      </c>
      <c r="C4926" s="51">
        <v>1.011</v>
      </c>
      <c r="D4926" s="51">
        <v>66.0</v>
      </c>
      <c r="E4926" s="52" t="s">
        <v>25</v>
      </c>
      <c r="F4926" s="52" t="s">
        <v>26</v>
      </c>
      <c r="G4926" s="53"/>
    </row>
    <row r="4927">
      <c r="A4927" s="49">
        <v>45072.606583368055</v>
      </c>
      <c r="B4927" s="50">
        <v>45072.7315561921</v>
      </c>
      <c r="C4927" s="51">
        <v>1.011</v>
      </c>
      <c r="D4927" s="51">
        <v>66.0</v>
      </c>
      <c r="E4927" s="52" t="s">
        <v>25</v>
      </c>
      <c r="F4927" s="52" t="s">
        <v>26</v>
      </c>
      <c r="G4927" s="53"/>
    </row>
    <row r="4928">
      <c r="A4928" s="49">
        <v>45072.616999074075</v>
      </c>
      <c r="B4928" s="50">
        <v>45072.7419785416</v>
      </c>
      <c r="C4928" s="51">
        <v>1.011</v>
      </c>
      <c r="D4928" s="51">
        <v>66.0</v>
      </c>
      <c r="E4928" s="52" t="s">
        <v>25</v>
      </c>
      <c r="F4928" s="52" t="s">
        <v>26</v>
      </c>
      <c r="G4928" s="53"/>
    </row>
    <row r="4929">
      <c r="A4929" s="49">
        <v>45072.62742984954</v>
      </c>
      <c r="B4929" s="50">
        <v>45072.7523993287</v>
      </c>
      <c r="C4929" s="51">
        <v>1.011</v>
      </c>
      <c r="D4929" s="51">
        <v>66.0</v>
      </c>
      <c r="E4929" s="52" t="s">
        <v>25</v>
      </c>
      <c r="F4929" s="52" t="s">
        <v>26</v>
      </c>
      <c r="G4929" s="53"/>
    </row>
    <row r="4930">
      <c r="A4930" s="49">
        <v>45072.63784081019</v>
      </c>
      <c r="B4930" s="50">
        <v>45072.7628219213</v>
      </c>
      <c r="C4930" s="51">
        <v>1.011</v>
      </c>
      <c r="D4930" s="51">
        <v>66.0</v>
      </c>
      <c r="E4930" s="52" t="s">
        <v>25</v>
      </c>
      <c r="F4930" s="52" t="s">
        <v>26</v>
      </c>
      <c r="G4930" s="53"/>
    </row>
    <row r="4931">
      <c r="A4931" s="49">
        <v>45072.64826702546</v>
      </c>
      <c r="B4931" s="50">
        <v>45072.7732447106</v>
      </c>
      <c r="C4931" s="51">
        <v>1.011</v>
      </c>
      <c r="D4931" s="51">
        <v>66.0</v>
      </c>
      <c r="E4931" s="52" t="s">
        <v>25</v>
      </c>
      <c r="F4931" s="52" t="s">
        <v>26</v>
      </c>
      <c r="G4931" s="53"/>
    </row>
    <row r="4932">
      <c r="A4932" s="49">
        <v>45072.65869662037</v>
      </c>
      <c r="B4932" s="50">
        <v>45072.7836768518</v>
      </c>
      <c r="C4932" s="51">
        <v>1.011</v>
      </c>
      <c r="D4932" s="51">
        <v>66.0</v>
      </c>
      <c r="E4932" s="52" t="s">
        <v>25</v>
      </c>
      <c r="F4932" s="52" t="s">
        <v>26</v>
      </c>
      <c r="G4932" s="53"/>
    </row>
    <row r="4933">
      <c r="A4933" s="49">
        <v>45072.66911740741</v>
      </c>
      <c r="B4933" s="50">
        <v>45072.7940975</v>
      </c>
      <c r="C4933" s="51">
        <v>1.011</v>
      </c>
      <c r="D4933" s="51">
        <v>66.0</v>
      </c>
      <c r="E4933" s="52" t="s">
        <v>25</v>
      </c>
      <c r="F4933" s="52" t="s">
        <v>26</v>
      </c>
      <c r="G4933" s="53"/>
    </row>
    <row r="4934">
      <c r="A4934" s="49">
        <v>45072.67954672454</v>
      </c>
      <c r="B4934" s="50">
        <v>45072.804516574</v>
      </c>
      <c r="C4934" s="51">
        <v>1.011</v>
      </c>
      <c r="D4934" s="51">
        <v>66.0</v>
      </c>
      <c r="E4934" s="52" t="s">
        <v>25</v>
      </c>
      <c r="F4934" s="52" t="s">
        <v>26</v>
      </c>
      <c r="G4934" s="53"/>
    </row>
    <row r="4935">
      <c r="A4935" s="49">
        <v>45072.68996914352</v>
      </c>
      <c r="B4935" s="50">
        <v>45072.8149499074</v>
      </c>
      <c r="C4935" s="51">
        <v>1.011</v>
      </c>
      <c r="D4935" s="51">
        <v>66.0</v>
      </c>
      <c r="E4935" s="52" t="s">
        <v>25</v>
      </c>
      <c r="F4935" s="52" t="s">
        <v>26</v>
      </c>
      <c r="G4935" s="53"/>
    </row>
    <row r="4936">
      <c r="A4936" s="49">
        <v>45072.70041012732</v>
      </c>
      <c r="B4936" s="50">
        <v>45072.8253846759</v>
      </c>
      <c r="C4936" s="51">
        <v>1.011</v>
      </c>
      <c r="D4936" s="51">
        <v>66.0</v>
      </c>
      <c r="E4936" s="52" t="s">
        <v>25</v>
      </c>
      <c r="F4936" s="52" t="s">
        <v>26</v>
      </c>
      <c r="G4936" s="53"/>
    </row>
    <row r="4937">
      <c r="A4937" s="49">
        <v>45072.71082315972</v>
      </c>
      <c r="B4937" s="50">
        <v>45072.8358066782</v>
      </c>
      <c r="C4937" s="51">
        <v>1.011</v>
      </c>
      <c r="D4937" s="51">
        <v>66.0</v>
      </c>
      <c r="E4937" s="52" t="s">
        <v>25</v>
      </c>
      <c r="F4937" s="52" t="s">
        <v>26</v>
      </c>
      <c r="G4937" s="53"/>
    </row>
    <row r="4938">
      <c r="A4938" s="49">
        <v>45072.721251678246</v>
      </c>
      <c r="B4938" s="50">
        <v>45072.8462289351</v>
      </c>
      <c r="C4938" s="51">
        <v>1.011</v>
      </c>
      <c r="D4938" s="51">
        <v>66.0</v>
      </c>
      <c r="E4938" s="52" t="s">
        <v>25</v>
      </c>
      <c r="F4938" s="52" t="s">
        <v>26</v>
      </c>
      <c r="G4938" s="53"/>
    </row>
    <row r="4939">
      <c r="A4939" s="49">
        <v>45072.731679641205</v>
      </c>
      <c r="B4939" s="50">
        <v>45072.8566503819</v>
      </c>
      <c r="C4939" s="51">
        <v>1.011</v>
      </c>
      <c r="D4939" s="51">
        <v>66.0</v>
      </c>
      <c r="E4939" s="52" t="s">
        <v>25</v>
      </c>
      <c r="F4939" s="52" t="s">
        <v>26</v>
      </c>
      <c r="G4939" s="53"/>
    </row>
    <row r="4940">
      <c r="A4940" s="49">
        <v>45072.74209518518</v>
      </c>
      <c r="B4940" s="50">
        <v>45072.8670696643</v>
      </c>
      <c r="C4940" s="51">
        <v>1.011</v>
      </c>
      <c r="D4940" s="51">
        <v>66.0</v>
      </c>
      <c r="E4940" s="52" t="s">
        <v>25</v>
      </c>
      <c r="F4940" s="52" t="s">
        <v>26</v>
      </c>
      <c r="G4940" s="53"/>
    </row>
    <row r="4941">
      <c r="A4941" s="49">
        <v>45072.75257586806</v>
      </c>
      <c r="B4941" s="50">
        <v>45072.8774903125</v>
      </c>
      <c r="C4941" s="51">
        <v>1.011</v>
      </c>
      <c r="D4941" s="51">
        <v>66.0</v>
      </c>
      <c r="E4941" s="52" t="s">
        <v>25</v>
      </c>
      <c r="F4941" s="52" t="s">
        <v>26</v>
      </c>
      <c r="G4941" s="53"/>
    </row>
    <row r="4942">
      <c r="A4942" s="49">
        <v>45072.76294480324</v>
      </c>
      <c r="B4942" s="50">
        <v>45072.8879141319</v>
      </c>
      <c r="C4942" s="51">
        <v>1.011</v>
      </c>
      <c r="D4942" s="51">
        <v>66.0</v>
      </c>
      <c r="E4942" s="52" t="s">
        <v>25</v>
      </c>
      <c r="F4942" s="52" t="s">
        <v>26</v>
      </c>
      <c r="G4942" s="53"/>
    </row>
    <row r="4943">
      <c r="A4943" s="49">
        <v>45072.77336253472</v>
      </c>
      <c r="B4943" s="50">
        <v>45072.8983353703</v>
      </c>
      <c r="C4943" s="51">
        <v>1.011</v>
      </c>
      <c r="D4943" s="51">
        <v>66.0</v>
      </c>
      <c r="E4943" s="52" t="s">
        <v>25</v>
      </c>
      <c r="F4943" s="52" t="s">
        <v>26</v>
      </c>
      <c r="G4943" s="53"/>
    </row>
    <row r="4944">
      <c r="A4944" s="49">
        <v>45072.78377770833</v>
      </c>
      <c r="B4944" s="50">
        <v>45072.9087568055</v>
      </c>
      <c r="C4944" s="51">
        <v>1.011</v>
      </c>
      <c r="D4944" s="51">
        <v>66.0</v>
      </c>
      <c r="E4944" s="52" t="s">
        <v>25</v>
      </c>
      <c r="F4944" s="52" t="s">
        <v>26</v>
      </c>
      <c r="G4944" s="53"/>
    </row>
    <row r="4945">
      <c r="A4945" s="49">
        <v>45072.79426496528</v>
      </c>
      <c r="B4945" s="50">
        <v>45072.9192351504</v>
      </c>
      <c r="C4945" s="51">
        <v>1.011</v>
      </c>
      <c r="D4945" s="51">
        <v>66.0</v>
      </c>
      <c r="E4945" s="52" t="s">
        <v>25</v>
      </c>
      <c r="F4945" s="52" t="s">
        <v>26</v>
      </c>
      <c r="G4945" s="53"/>
    </row>
    <row r="4946">
      <c r="A4946" s="49">
        <v>45072.80468216435</v>
      </c>
      <c r="B4946" s="50">
        <v>45072.9296604629</v>
      </c>
      <c r="C4946" s="51">
        <v>1.011</v>
      </c>
      <c r="D4946" s="51">
        <v>66.0</v>
      </c>
      <c r="E4946" s="52" t="s">
        <v>25</v>
      </c>
      <c r="F4946" s="52" t="s">
        <v>26</v>
      </c>
      <c r="G4946" s="53"/>
    </row>
    <row r="4947">
      <c r="A4947" s="49">
        <v>45072.81510295139</v>
      </c>
      <c r="B4947" s="50">
        <v>45072.9400813773</v>
      </c>
      <c r="C4947" s="51">
        <v>1.011</v>
      </c>
      <c r="D4947" s="51">
        <v>66.0</v>
      </c>
      <c r="E4947" s="52" t="s">
        <v>25</v>
      </c>
      <c r="F4947" s="52" t="s">
        <v>26</v>
      </c>
      <c r="G4947" s="53"/>
    </row>
    <row r="4948">
      <c r="A4948" s="49">
        <v>45072.82554101852</v>
      </c>
      <c r="B4948" s="50">
        <v>45072.950515162</v>
      </c>
      <c r="C4948" s="51">
        <v>1.011</v>
      </c>
      <c r="D4948" s="51">
        <v>66.0</v>
      </c>
      <c r="E4948" s="52" t="s">
        <v>25</v>
      </c>
      <c r="F4948" s="52" t="s">
        <v>26</v>
      </c>
      <c r="G4948" s="53"/>
    </row>
    <row r="4949">
      <c r="A4949" s="49">
        <v>45072.83596203703</v>
      </c>
      <c r="B4949" s="50">
        <v>45072.960935787</v>
      </c>
      <c r="C4949" s="51">
        <v>1.011</v>
      </c>
      <c r="D4949" s="51">
        <v>66.0</v>
      </c>
      <c r="E4949" s="52" t="s">
        <v>25</v>
      </c>
      <c r="F4949" s="52" t="s">
        <v>26</v>
      </c>
      <c r="G4949" s="53"/>
    </row>
    <row r="4950">
      <c r="A4950" s="49">
        <v>45072.84638480324</v>
      </c>
      <c r="B4950" s="50">
        <v>45072.9713687963</v>
      </c>
      <c r="C4950" s="51">
        <v>1.011</v>
      </c>
      <c r="D4950" s="51">
        <v>66.0</v>
      </c>
      <c r="E4950" s="52" t="s">
        <v>25</v>
      </c>
      <c r="F4950" s="52" t="s">
        <v>26</v>
      </c>
      <c r="G4950" s="53"/>
    </row>
    <row r="4951">
      <c r="A4951" s="49">
        <v>45072.856819039356</v>
      </c>
      <c r="B4951" s="50">
        <v>45072.9817891319</v>
      </c>
      <c r="C4951" s="51">
        <v>1.011</v>
      </c>
      <c r="D4951" s="51">
        <v>66.0</v>
      </c>
      <c r="E4951" s="52" t="s">
        <v>25</v>
      </c>
      <c r="F4951" s="52" t="s">
        <v>26</v>
      </c>
      <c r="G4951" s="53"/>
    </row>
    <row r="4952">
      <c r="A4952" s="49">
        <v>45072.8672275</v>
      </c>
      <c r="B4952" s="50">
        <v>45072.9922093055</v>
      </c>
      <c r="C4952" s="51">
        <v>1.011</v>
      </c>
      <c r="D4952" s="51">
        <v>66.0</v>
      </c>
      <c r="E4952" s="52" t="s">
        <v>25</v>
      </c>
      <c r="F4952" s="52" t="s">
        <v>26</v>
      </c>
      <c r="G4952" s="53"/>
    </row>
    <row r="4953">
      <c r="A4953" s="49">
        <v>45072.877649131944</v>
      </c>
      <c r="B4953" s="50">
        <v>45073.0026318981</v>
      </c>
      <c r="C4953" s="51">
        <v>1.011</v>
      </c>
      <c r="D4953" s="51">
        <v>66.0</v>
      </c>
      <c r="E4953" s="52" t="s">
        <v>25</v>
      </c>
      <c r="F4953" s="52" t="s">
        <v>26</v>
      </c>
      <c r="G4953" s="53"/>
    </row>
    <row r="4954">
      <c r="A4954" s="49">
        <v>45072.88809364583</v>
      </c>
      <c r="B4954" s="50">
        <v>45073.0130637152</v>
      </c>
      <c r="C4954" s="51">
        <v>1.011</v>
      </c>
      <c r="D4954" s="51">
        <v>66.0</v>
      </c>
      <c r="E4954" s="52" t="s">
        <v>25</v>
      </c>
      <c r="F4954" s="52" t="s">
        <v>26</v>
      </c>
      <c r="G4954" s="53"/>
    </row>
    <row r="4955">
      <c r="A4955" s="49">
        <v>45072.89851377315</v>
      </c>
      <c r="B4955" s="50">
        <v>45073.023484074</v>
      </c>
      <c r="C4955" s="51">
        <v>1.011</v>
      </c>
      <c r="D4955" s="51">
        <v>66.0</v>
      </c>
      <c r="E4955" s="52" t="s">
        <v>25</v>
      </c>
      <c r="F4955" s="52" t="s">
        <v>26</v>
      </c>
      <c r="G4955" s="53"/>
    </row>
    <row r="4956">
      <c r="A4956" s="49">
        <v>45072.908926979166</v>
      </c>
      <c r="B4956" s="50">
        <v>45073.033906331</v>
      </c>
      <c r="C4956" s="51">
        <v>1.011</v>
      </c>
      <c r="D4956" s="51">
        <v>66.0</v>
      </c>
      <c r="E4956" s="52" t="s">
        <v>25</v>
      </c>
      <c r="F4956" s="52" t="s">
        <v>26</v>
      </c>
      <c r="G4956" s="53"/>
    </row>
    <row r="4957">
      <c r="A4957" s="49">
        <v>45072.91934609954</v>
      </c>
      <c r="B4957" s="50">
        <v>45073.0443270949</v>
      </c>
      <c r="C4957" s="51">
        <v>1.011</v>
      </c>
      <c r="D4957" s="51">
        <v>66.0</v>
      </c>
      <c r="E4957" s="52" t="s">
        <v>25</v>
      </c>
      <c r="F4957" s="52" t="s">
        <v>26</v>
      </c>
      <c r="G4957" s="53"/>
    </row>
    <row r="4958">
      <c r="A4958" s="49">
        <v>45072.92977625</v>
      </c>
      <c r="B4958" s="50">
        <v>45073.0547487384</v>
      </c>
      <c r="C4958" s="51">
        <v>1.011</v>
      </c>
      <c r="D4958" s="51">
        <v>66.0</v>
      </c>
      <c r="E4958" s="52" t="s">
        <v>25</v>
      </c>
      <c r="F4958" s="52" t="s">
        <v>26</v>
      </c>
      <c r="G4958" s="53"/>
    </row>
    <row r="4959">
      <c r="A4959" s="49">
        <v>45072.94019346064</v>
      </c>
      <c r="B4959" s="50">
        <v>45073.0651709838</v>
      </c>
      <c r="C4959" s="51">
        <v>1.011</v>
      </c>
      <c r="D4959" s="51">
        <v>66.0</v>
      </c>
      <c r="E4959" s="52" t="s">
        <v>25</v>
      </c>
      <c r="F4959" s="52" t="s">
        <v>26</v>
      </c>
      <c r="G4959" s="53"/>
    </row>
    <row r="4960">
      <c r="A4960" s="49">
        <v>45072.95061717593</v>
      </c>
      <c r="B4960" s="50">
        <v>45073.0755940509</v>
      </c>
      <c r="C4960" s="51">
        <v>1.011</v>
      </c>
      <c r="D4960" s="51">
        <v>66.0</v>
      </c>
      <c r="E4960" s="52" t="s">
        <v>25</v>
      </c>
      <c r="F4960" s="52" t="s">
        <v>26</v>
      </c>
      <c r="G4960" s="53"/>
    </row>
    <row r="4961">
      <c r="A4961" s="49">
        <v>45072.96104094907</v>
      </c>
      <c r="B4961" s="50">
        <v>45073.0860165162</v>
      </c>
      <c r="C4961" s="51">
        <v>1.011</v>
      </c>
      <c r="D4961" s="51">
        <v>66.0</v>
      </c>
      <c r="E4961" s="52" t="s">
        <v>25</v>
      </c>
      <c r="F4961" s="52" t="s">
        <v>26</v>
      </c>
      <c r="G4961" s="53"/>
    </row>
    <row r="4962">
      <c r="A4962" s="49">
        <v>45072.97146534722</v>
      </c>
      <c r="B4962" s="50">
        <v>45073.0964377662</v>
      </c>
      <c r="C4962" s="51">
        <v>1.011</v>
      </c>
      <c r="D4962" s="51">
        <v>66.0</v>
      </c>
      <c r="E4962" s="52" t="s">
        <v>25</v>
      </c>
      <c r="F4962" s="52" t="s">
        <v>26</v>
      </c>
      <c r="G4962" s="53"/>
    </row>
    <row r="4963">
      <c r="A4963" s="49">
        <v>45072.981876377315</v>
      </c>
      <c r="B4963" s="50">
        <v>45073.1068599305</v>
      </c>
      <c r="C4963" s="51">
        <v>1.011</v>
      </c>
      <c r="D4963" s="51">
        <v>66.0</v>
      </c>
      <c r="E4963" s="52" t="s">
        <v>25</v>
      </c>
      <c r="F4963" s="52" t="s">
        <v>26</v>
      </c>
      <c r="G4963" s="53"/>
    </row>
    <row r="4964">
      <c r="A4964" s="49">
        <v>45072.992298530095</v>
      </c>
      <c r="B4964" s="50">
        <v>45073.1172803356</v>
      </c>
      <c r="C4964" s="51">
        <v>1.011</v>
      </c>
      <c r="D4964" s="51">
        <v>66.0</v>
      </c>
      <c r="E4964" s="52" t="s">
        <v>25</v>
      </c>
      <c r="F4964" s="52" t="s">
        <v>26</v>
      </c>
      <c r="G4964" s="53"/>
    </row>
    <row r="4965">
      <c r="A4965" s="49">
        <v>45073.00275008102</v>
      </c>
      <c r="B4965" s="50">
        <v>45073.1277229398</v>
      </c>
      <c r="C4965" s="51">
        <v>1.011</v>
      </c>
      <c r="D4965" s="51">
        <v>66.0</v>
      </c>
      <c r="E4965" s="52" t="s">
        <v>25</v>
      </c>
      <c r="F4965" s="52" t="s">
        <v>26</v>
      </c>
      <c r="G4965" s="53"/>
    </row>
    <row r="4966">
      <c r="A4966" s="49">
        <v>45073.01322840278</v>
      </c>
      <c r="B4966" s="50">
        <v>45073.1382013773</v>
      </c>
      <c r="C4966" s="51">
        <v>1.011</v>
      </c>
      <c r="D4966" s="51">
        <v>66.0</v>
      </c>
      <c r="E4966" s="52" t="s">
        <v>25</v>
      </c>
      <c r="F4966" s="52" t="s">
        <v>26</v>
      </c>
      <c r="G4966" s="53"/>
    </row>
    <row r="4967">
      <c r="A4967" s="49">
        <v>45073.02366371528</v>
      </c>
      <c r="B4967" s="50">
        <v>45073.1486454745</v>
      </c>
      <c r="C4967" s="51">
        <v>1.011</v>
      </c>
      <c r="D4967" s="51">
        <v>66.0</v>
      </c>
      <c r="E4967" s="52" t="s">
        <v>25</v>
      </c>
      <c r="F4967" s="52" t="s">
        <v>26</v>
      </c>
      <c r="G4967" s="53"/>
    </row>
    <row r="4968">
      <c r="A4968" s="49">
        <v>45073.034089374996</v>
      </c>
      <c r="B4968" s="50">
        <v>45073.1590667361</v>
      </c>
      <c r="C4968" s="51">
        <v>1.011</v>
      </c>
      <c r="D4968" s="51">
        <v>66.0</v>
      </c>
      <c r="E4968" s="52" t="s">
        <v>25</v>
      </c>
      <c r="F4968" s="52" t="s">
        <v>26</v>
      </c>
      <c r="G4968" s="53"/>
    </row>
    <row r="4969">
      <c r="A4969" s="49">
        <v>45073.0445399537</v>
      </c>
      <c r="B4969" s="50">
        <v>45073.1695122685</v>
      </c>
      <c r="C4969" s="51">
        <v>1.011</v>
      </c>
      <c r="D4969" s="51">
        <v>66.0</v>
      </c>
      <c r="E4969" s="52" t="s">
        <v>25</v>
      </c>
      <c r="F4969" s="52" t="s">
        <v>26</v>
      </c>
      <c r="G4969" s="53"/>
    </row>
    <row r="4970">
      <c r="A4970" s="49">
        <v>45073.05496486111</v>
      </c>
      <c r="B4970" s="50">
        <v>45073.179933449</v>
      </c>
      <c r="C4970" s="51">
        <v>1.011</v>
      </c>
      <c r="D4970" s="51">
        <v>66.0</v>
      </c>
      <c r="E4970" s="52" t="s">
        <v>25</v>
      </c>
      <c r="F4970" s="52" t="s">
        <v>26</v>
      </c>
      <c r="G4970" s="53"/>
    </row>
    <row r="4971">
      <c r="A4971" s="49">
        <v>45073.065397708335</v>
      </c>
      <c r="B4971" s="50">
        <v>45073.1903548263</v>
      </c>
      <c r="C4971" s="51">
        <v>1.011</v>
      </c>
      <c r="D4971" s="51">
        <v>66.0</v>
      </c>
      <c r="E4971" s="52" t="s">
        <v>25</v>
      </c>
      <c r="F4971" s="52" t="s">
        <v>26</v>
      </c>
      <c r="G4971" s="53"/>
    </row>
    <row r="4972">
      <c r="A4972" s="49">
        <v>45073.075802928244</v>
      </c>
      <c r="B4972" s="50">
        <v>45073.2007778009</v>
      </c>
      <c r="C4972" s="51">
        <v>1.011</v>
      </c>
      <c r="D4972" s="51">
        <v>66.0</v>
      </c>
      <c r="E4972" s="52" t="s">
        <v>25</v>
      </c>
      <c r="F4972" s="52" t="s">
        <v>26</v>
      </c>
      <c r="G4972" s="53"/>
    </row>
    <row r="4973">
      <c r="A4973" s="49">
        <v>45073.08621835648</v>
      </c>
      <c r="B4973" s="50">
        <v>45073.21119875</v>
      </c>
      <c r="C4973" s="51">
        <v>1.011</v>
      </c>
      <c r="D4973" s="51">
        <v>66.0</v>
      </c>
      <c r="E4973" s="52" t="s">
        <v>25</v>
      </c>
      <c r="F4973" s="52" t="s">
        <v>26</v>
      </c>
      <c r="G4973" s="53"/>
    </row>
    <row r="4974">
      <c r="A4974" s="49">
        <v>45073.096637546296</v>
      </c>
      <c r="B4974" s="50">
        <v>45073.2216180324</v>
      </c>
      <c r="C4974" s="51">
        <v>1.011</v>
      </c>
      <c r="D4974" s="51">
        <v>66.0</v>
      </c>
      <c r="E4974" s="52" t="s">
        <v>25</v>
      </c>
      <c r="F4974" s="52" t="s">
        <v>26</v>
      </c>
      <c r="G4974" s="53"/>
    </row>
    <row r="4975">
      <c r="A4975" s="49">
        <v>45073.107076458335</v>
      </c>
      <c r="B4975" s="50">
        <v>45073.2320510879</v>
      </c>
      <c r="C4975" s="51">
        <v>1.011</v>
      </c>
      <c r="D4975" s="51">
        <v>66.0</v>
      </c>
      <c r="E4975" s="52" t="s">
        <v>25</v>
      </c>
      <c r="F4975" s="52" t="s">
        <v>26</v>
      </c>
      <c r="G4975" s="53"/>
    </row>
    <row r="4976">
      <c r="A4976" s="49">
        <v>45073.117498113425</v>
      </c>
      <c r="B4976" s="50">
        <v>45073.2424734143</v>
      </c>
      <c r="C4976" s="51">
        <v>1.011</v>
      </c>
      <c r="D4976" s="51">
        <v>66.0</v>
      </c>
      <c r="E4976" s="52" t="s">
        <v>25</v>
      </c>
      <c r="F4976" s="52" t="s">
        <v>26</v>
      </c>
      <c r="G4976" s="53"/>
    </row>
    <row r="4977">
      <c r="A4977" s="49">
        <v>45073.12793207176</v>
      </c>
      <c r="B4977" s="50">
        <v>45073.2529054745</v>
      </c>
      <c r="C4977" s="51">
        <v>1.011</v>
      </c>
      <c r="D4977" s="51">
        <v>66.0</v>
      </c>
      <c r="E4977" s="52" t="s">
        <v>25</v>
      </c>
      <c r="F4977" s="52" t="s">
        <v>26</v>
      </c>
      <c r="G4977" s="53"/>
    </row>
    <row r="4978">
      <c r="A4978" s="49">
        <v>45073.13836254629</v>
      </c>
      <c r="B4978" s="50">
        <v>45073.2633255555</v>
      </c>
      <c r="C4978" s="51">
        <v>1.011</v>
      </c>
      <c r="D4978" s="51">
        <v>66.0</v>
      </c>
      <c r="E4978" s="52" t="s">
        <v>25</v>
      </c>
      <c r="F4978" s="52" t="s">
        <v>26</v>
      </c>
      <c r="G4978" s="53"/>
    </row>
    <row r="4979">
      <c r="A4979" s="49">
        <v>45073.1487668287</v>
      </c>
      <c r="B4979" s="50">
        <v>45073.2737472338</v>
      </c>
      <c r="C4979" s="51">
        <v>1.011</v>
      </c>
      <c r="D4979" s="51">
        <v>66.0</v>
      </c>
      <c r="E4979" s="52" t="s">
        <v>25</v>
      </c>
      <c r="F4979" s="52" t="s">
        <v>26</v>
      </c>
      <c r="G4979" s="53"/>
    </row>
    <row r="4980">
      <c r="A4980" s="49">
        <v>45073.15919515047</v>
      </c>
      <c r="B4980" s="50">
        <v>45073.2841688657</v>
      </c>
      <c r="C4980" s="51">
        <v>1.011</v>
      </c>
      <c r="D4980" s="51">
        <v>66.0</v>
      </c>
      <c r="E4980" s="52" t="s">
        <v>25</v>
      </c>
      <c r="F4980" s="52" t="s">
        <v>26</v>
      </c>
      <c r="G4980" s="53"/>
    </row>
    <row r="4981">
      <c r="A4981" s="49">
        <v>45073.16963193287</v>
      </c>
      <c r="B4981" s="50">
        <v>45073.2946132986</v>
      </c>
      <c r="C4981" s="51">
        <v>1.011</v>
      </c>
      <c r="D4981" s="51">
        <v>66.0</v>
      </c>
      <c r="E4981" s="52" t="s">
        <v>25</v>
      </c>
      <c r="F4981" s="52" t="s">
        <v>26</v>
      </c>
      <c r="G4981" s="53"/>
    </row>
    <row r="4982">
      <c r="A4982" s="49">
        <v>45073.180052094904</v>
      </c>
      <c r="B4982" s="50">
        <v>45073.305031956</v>
      </c>
      <c r="C4982" s="51">
        <v>1.011</v>
      </c>
      <c r="D4982" s="51">
        <v>66.0</v>
      </c>
      <c r="E4982" s="52" t="s">
        <v>25</v>
      </c>
      <c r="F4982" s="52" t="s">
        <v>26</v>
      </c>
      <c r="G4982" s="53"/>
    </row>
    <row r="4983">
      <c r="A4983" s="49">
        <v>45073.190498599535</v>
      </c>
      <c r="B4983" s="50">
        <v>45073.3154624074</v>
      </c>
      <c r="C4983" s="51">
        <v>1.011</v>
      </c>
      <c r="D4983" s="51">
        <v>66.0</v>
      </c>
      <c r="E4983" s="52" t="s">
        <v>25</v>
      </c>
      <c r="F4983" s="52" t="s">
        <v>26</v>
      </c>
      <c r="G4983" s="53"/>
    </row>
    <row r="4984">
      <c r="A4984" s="49">
        <v>45073.200908645835</v>
      </c>
      <c r="B4984" s="50">
        <v>45073.3258840856</v>
      </c>
      <c r="C4984" s="51">
        <v>1.011</v>
      </c>
      <c r="D4984" s="51">
        <v>66.0</v>
      </c>
      <c r="E4984" s="52" t="s">
        <v>25</v>
      </c>
      <c r="F4984" s="52" t="s">
        <v>26</v>
      </c>
      <c r="G4984" s="53"/>
    </row>
    <row r="4985">
      <c r="A4985" s="49">
        <v>45073.21133283565</v>
      </c>
      <c r="B4985" s="50">
        <v>45073.3363054861</v>
      </c>
      <c r="C4985" s="51">
        <v>1.011</v>
      </c>
      <c r="D4985" s="51">
        <v>66.0</v>
      </c>
      <c r="E4985" s="52" t="s">
        <v>25</v>
      </c>
      <c r="F4985" s="52" t="s">
        <v>26</v>
      </c>
      <c r="G4985" s="53"/>
    </row>
    <row r="4986">
      <c r="A4986" s="49">
        <v>45073.22175552083</v>
      </c>
      <c r="B4986" s="50">
        <v>45073.3467274884</v>
      </c>
      <c r="C4986" s="51">
        <v>1.01</v>
      </c>
      <c r="D4986" s="51">
        <v>66.0</v>
      </c>
      <c r="E4986" s="52" t="s">
        <v>25</v>
      </c>
      <c r="F4986" s="52" t="s">
        <v>26</v>
      </c>
      <c r="G4986" s="53"/>
    </row>
    <row r="4987">
      <c r="A4987" s="49">
        <v>45073.23217403935</v>
      </c>
      <c r="B4987" s="50">
        <v>45073.357146875</v>
      </c>
      <c r="C4987" s="51">
        <v>1.011</v>
      </c>
      <c r="D4987" s="51">
        <v>66.0</v>
      </c>
      <c r="E4987" s="52" t="s">
        <v>25</v>
      </c>
      <c r="F4987" s="52" t="s">
        <v>26</v>
      </c>
      <c r="G4987" s="53"/>
    </row>
    <row r="4988">
      <c r="A4988" s="49">
        <v>45073.24259458334</v>
      </c>
      <c r="B4988" s="50">
        <v>45073.3675698726</v>
      </c>
      <c r="C4988" s="51">
        <v>1.011</v>
      </c>
      <c r="D4988" s="51">
        <v>66.0</v>
      </c>
      <c r="E4988" s="52" t="s">
        <v>25</v>
      </c>
      <c r="F4988" s="52" t="s">
        <v>26</v>
      </c>
      <c r="G4988" s="53"/>
    </row>
    <row r="4989">
      <c r="A4989" s="49">
        <v>45073.25302701389</v>
      </c>
      <c r="B4989" s="50">
        <v>45073.3780020138</v>
      </c>
      <c r="C4989" s="51">
        <v>1.011</v>
      </c>
      <c r="D4989" s="51">
        <v>66.0</v>
      </c>
      <c r="E4989" s="52" t="s">
        <v>25</v>
      </c>
      <c r="F4989" s="52" t="s">
        <v>26</v>
      </c>
      <c r="G4989" s="53"/>
    </row>
    <row r="4990">
      <c r="A4990" s="49">
        <v>45073.26344552083</v>
      </c>
      <c r="B4990" s="50">
        <v>45073.3884243865</v>
      </c>
      <c r="C4990" s="51">
        <v>1.011</v>
      </c>
      <c r="D4990" s="51">
        <v>66.0</v>
      </c>
      <c r="E4990" s="52" t="s">
        <v>25</v>
      </c>
      <c r="F4990" s="52" t="s">
        <v>26</v>
      </c>
      <c r="G4990" s="53"/>
    </row>
    <row r="4991">
      <c r="A4991" s="49">
        <v>45073.273871620375</v>
      </c>
      <c r="B4991" s="50">
        <v>45073.3988451851</v>
      </c>
      <c r="C4991" s="51">
        <v>1.011</v>
      </c>
      <c r="D4991" s="51">
        <v>66.0</v>
      </c>
      <c r="E4991" s="52" t="s">
        <v>25</v>
      </c>
      <c r="F4991" s="52" t="s">
        <v>26</v>
      </c>
      <c r="G4991" s="53"/>
    </row>
    <row r="4992">
      <c r="A4992" s="49">
        <v>45073.28429009259</v>
      </c>
      <c r="B4992" s="50">
        <v>45073.4092675231</v>
      </c>
      <c r="C4992" s="51">
        <v>1.011</v>
      </c>
      <c r="D4992" s="51">
        <v>66.0</v>
      </c>
      <c r="E4992" s="52" t="s">
        <v>25</v>
      </c>
      <c r="F4992" s="52" t="s">
        <v>26</v>
      </c>
      <c r="G4992" s="53"/>
    </row>
    <row r="4993">
      <c r="A4993" s="49">
        <v>45073.294715972224</v>
      </c>
      <c r="B4993" s="50">
        <v>45073.419690243</v>
      </c>
      <c r="C4993" s="51">
        <v>1.011</v>
      </c>
      <c r="D4993" s="51">
        <v>66.0</v>
      </c>
      <c r="E4993" s="52" t="s">
        <v>25</v>
      </c>
      <c r="F4993" s="52" t="s">
        <v>26</v>
      </c>
      <c r="G4993" s="53"/>
    </row>
    <row r="4994">
      <c r="A4994" s="49">
        <v>45073.305128321765</v>
      </c>
      <c r="B4994" s="50">
        <v>45073.4301135301</v>
      </c>
      <c r="C4994" s="51">
        <v>1.011</v>
      </c>
      <c r="D4994" s="51">
        <v>66.0</v>
      </c>
      <c r="E4994" s="52" t="s">
        <v>25</v>
      </c>
      <c r="F4994" s="52" t="s">
        <v>26</v>
      </c>
      <c r="G4994" s="53"/>
    </row>
    <row r="4995">
      <c r="A4995" s="49">
        <v>45073.315574016204</v>
      </c>
      <c r="B4995" s="50">
        <v>45073.4405471064</v>
      </c>
      <c r="C4995" s="51">
        <v>1.011</v>
      </c>
      <c r="D4995" s="51">
        <v>66.0</v>
      </c>
      <c r="E4995" s="52" t="s">
        <v>25</v>
      </c>
      <c r="F4995" s="52" t="s">
        <v>26</v>
      </c>
      <c r="G4995" s="53"/>
    </row>
    <row r="4996">
      <c r="A4996" s="49">
        <v>45073.32601643518</v>
      </c>
      <c r="B4996" s="50">
        <v>45073.4509895486</v>
      </c>
      <c r="C4996" s="51">
        <v>1.011</v>
      </c>
      <c r="D4996" s="51">
        <v>66.0</v>
      </c>
      <c r="E4996" s="52" t="s">
        <v>25</v>
      </c>
      <c r="F4996" s="52" t="s">
        <v>26</v>
      </c>
      <c r="G4996" s="53"/>
    </row>
    <row r="4997">
      <c r="A4997" s="49">
        <v>45073.33644954861</v>
      </c>
      <c r="B4997" s="50">
        <v>45073.4614225578</v>
      </c>
      <c r="C4997" s="51">
        <v>1.011</v>
      </c>
      <c r="D4997" s="51">
        <v>66.0</v>
      </c>
      <c r="E4997" s="52" t="s">
        <v>25</v>
      </c>
      <c r="F4997" s="52" t="s">
        <v>26</v>
      </c>
      <c r="G4997" s="53"/>
    </row>
    <row r="4998">
      <c r="A4998" s="49">
        <v>45073.34692806713</v>
      </c>
      <c r="B4998" s="50">
        <v>45073.4718420486</v>
      </c>
      <c r="C4998" s="51">
        <v>1.011</v>
      </c>
      <c r="D4998" s="51">
        <v>66.0</v>
      </c>
      <c r="E4998" s="52" t="s">
        <v>25</v>
      </c>
      <c r="F4998" s="52" t="s">
        <v>26</v>
      </c>
      <c r="G4998" s="53"/>
    </row>
    <row r="4999">
      <c r="A4999" s="49">
        <v>45073.35731453703</v>
      </c>
      <c r="B4999" s="50">
        <v>45073.4822870486</v>
      </c>
      <c r="C4999" s="51">
        <v>1.011</v>
      </c>
      <c r="D4999" s="51">
        <v>66.0</v>
      </c>
      <c r="E4999" s="52" t="s">
        <v>25</v>
      </c>
      <c r="F4999" s="52" t="s">
        <v>26</v>
      </c>
      <c r="G4999" s="53"/>
    </row>
    <row r="5000">
      <c r="A5000" s="49">
        <v>45073.367750590274</v>
      </c>
      <c r="B5000" s="50">
        <v>45073.4927210532</v>
      </c>
      <c r="C5000" s="51">
        <v>1.011</v>
      </c>
      <c r="D5000" s="51">
        <v>66.0</v>
      </c>
      <c r="E5000" s="52" t="s">
        <v>25</v>
      </c>
      <c r="F5000" s="52" t="s">
        <v>26</v>
      </c>
      <c r="G5000" s="53"/>
    </row>
    <row r="5001">
      <c r="A5001" s="49">
        <v>45073.37824291667</v>
      </c>
      <c r="B5001" s="50">
        <v>45073.5031785648</v>
      </c>
      <c r="C5001" s="51">
        <v>1.011</v>
      </c>
      <c r="D5001" s="51">
        <v>66.0</v>
      </c>
      <c r="E5001" s="52" t="s">
        <v>25</v>
      </c>
      <c r="F5001" s="52" t="s">
        <v>26</v>
      </c>
      <c r="G5001" s="53"/>
    </row>
    <row r="5002">
      <c r="A5002" s="49">
        <v>45073.38864737269</v>
      </c>
      <c r="B5002" s="50">
        <v>45073.5136237962</v>
      </c>
      <c r="C5002" s="51">
        <v>1.011</v>
      </c>
      <c r="D5002" s="51">
        <v>66.0</v>
      </c>
      <c r="E5002" s="52" t="s">
        <v>25</v>
      </c>
      <c r="F5002" s="52" t="s">
        <v>26</v>
      </c>
      <c r="G5002" s="53"/>
    </row>
    <row r="5003">
      <c r="A5003" s="49">
        <v>45073.39907107639</v>
      </c>
      <c r="B5003" s="50">
        <v>45073.5240462037</v>
      </c>
      <c r="C5003" s="51">
        <v>1.011</v>
      </c>
      <c r="D5003" s="51">
        <v>66.0</v>
      </c>
      <c r="E5003" s="52" t="s">
        <v>25</v>
      </c>
      <c r="F5003" s="52" t="s">
        <v>26</v>
      </c>
      <c r="G5003" s="53"/>
    </row>
    <row r="5004">
      <c r="A5004" s="49">
        <v>45073.4095046875</v>
      </c>
      <c r="B5004" s="50">
        <v>45073.5344770949</v>
      </c>
      <c r="C5004" s="51">
        <v>1.011</v>
      </c>
      <c r="D5004" s="51">
        <v>66.0</v>
      </c>
      <c r="E5004" s="52" t="s">
        <v>25</v>
      </c>
      <c r="F5004" s="52" t="s">
        <v>26</v>
      </c>
      <c r="G5004" s="53"/>
    </row>
    <row r="5005">
      <c r="A5005" s="49">
        <v>45073.41992112268</v>
      </c>
      <c r="B5005" s="50">
        <v>45073.5448987384</v>
      </c>
      <c r="C5005" s="51">
        <v>1.011</v>
      </c>
      <c r="D5005" s="51">
        <v>66.0</v>
      </c>
      <c r="E5005" s="52" t="s">
        <v>25</v>
      </c>
      <c r="F5005" s="52" t="s">
        <v>26</v>
      </c>
      <c r="G5005" s="53"/>
    </row>
    <row r="5006">
      <c r="A5006" s="49">
        <v>45073.4303371875</v>
      </c>
      <c r="B5006" s="50">
        <v>45073.555321412</v>
      </c>
      <c r="C5006" s="51">
        <v>1.011</v>
      </c>
      <c r="D5006" s="51">
        <v>66.0</v>
      </c>
      <c r="E5006" s="52" t="s">
        <v>25</v>
      </c>
      <c r="F5006" s="52" t="s">
        <v>26</v>
      </c>
      <c r="G5006" s="53"/>
    </row>
    <row r="5007">
      <c r="A5007" s="49">
        <v>45073.440768437504</v>
      </c>
      <c r="B5007" s="50">
        <v>45073.5657414699</v>
      </c>
      <c r="C5007" s="51">
        <v>1.011</v>
      </c>
      <c r="D5007" s="51">
        <v>66.0</v>
      </c>
      <c r="E5007" s="52" t="s">
        <v>25</v>
      </c>
      <c r="F5007" s="52" t="s">
        <v>26</v>
      </c>
      <c r="G5007" s="53"/>
    </row>
    <row r="5008">
      <c r="A5008" s="49">
        <v>45073.45118740741</v>
      </c>
      <c r="B5008" s="50">
        <v>45073.5761629282</v>
      </c>
      <c r="C5008" s="51">
        <v>1.011</v>
      </c>
      <c r="D5008" s="51">
        <v>66.0</v>
      </c>
      <c r="E5008" s="52" t="s">
        <v>25</v>
      </c>
      <c r="F5008" s="52" t="s">
        <v>26</v>
      </c>
      <c r="G5008" s="53"/>
    </row>
    <row r="5009">
      <c r="A5009" s="49">
        <v>45073.461616875</v>
      </c>
      <c r="B5009" s="50">
        <v>45073.5865972106</v>
      </c>
      <c r="C5009" s="51">
        <v>1.011</v>
      </c>
      <c r="D5009" s="51">
        <v>66.0</v>
      </c>
      <c r="E5009" s="52" t="s">
        <v>25</v>
      </c>
      <c r="F5009" s="52" t="s">
        <v>26</v>
      </c>
      <c r="G5009" s="53"/>
    </row>
    <row r="5010">
      <c r="A5010" s="49">
        <v>45073.472046574076</v>
      </c>
      <c r="B5010" s="50">
        <v>45073.5970197569</v>
      </c>
      <c r="C5010" s="51">
        <v>1.011</v>
      </c>
      <c r="D5010" s="51">
        <v>66.0</v>
      </c>
      <c r="E5010" s="52" t="s">
        <v>25</v>
      </c>
      <c r="F5010" s="52" t="s">
        <v>26</v>
      </c>
      <c r="G5010" s="53"/>
    </row>
    <row r="5011">
      <c r="A5011" s="49">
        <v>45073.48246277778</v>
      </c>
      <c r="B5011" s="50">
        <v>45073.6074392361</v>
      </c>
      <c r="C5011" s="51">
        <v>1.011</v>
      </c>
      <c r="D5011" s="51">
        <v>66.0</v>
      </c>
      <c r="E5011" s="52" t="s">
        <v>25</v>
      </c>
      <c r="F5011" s="52" t="s">
        <v>26</v>
      </c>
      <c r="G5011" s="53"/>
    </row>
    <row r="5012">
      <c r="A5012" s="49">
        <v>45073.492895937496</v>
      </c>
      <c r="B5012" s="50">
        <v>45073.6178698263</v>
      </c>
      <c r="C5012" s="51">
        <v>1.01</v>
      </c>
      <c r="D5012" s="51">
        <v>66.0</v>
      </c>
      <c r="E5012" s="52" t="s">
        <v>25</v>
      </c>
      <c r="F5012" s="52" t="s">
        <v>26</v>
      </c>
      <c r="G5012" s="53"/>
    </row>
    <row r="5013">
      <c r="A5013" s="49">
        <v>45073.503313611116</v>
      </c>
      <c r="B5013" s="50">
        <v>45073.6282904282</v>
      </c>
      <c r="C5013" s="51">
        <v>1.011</v>
      </c>
      <c r="D5013" s="51">
        <v>66.0</v>
      </c>
      <c r="E5013" s="52" t="s">
        <v>25</v>
      </c>
      <c r="F5013" s="52" t="s">
        <v>26</v>
      </c>
      <c r="G5013" s="53"/>
    </row>
    <row r="5014">
      <c r="A5014" s="49">
        <v>45073.51373288194</v>
      </c>
      <c r="B5014" s="50">
        <v>45073.638712199</v>
      </c>
      <c r="C5014" s="51">
        <v>1.011</v>
      </c>
      <c r="D5014" s="51">
        <v>66.0</v>
      </c>
      <c r="E5014" s="52" t="s">
        <v>25</v>
      </c>
      <c r="F5014" s="52" t="s">
        <v>26</v>
      </c>
      <c r="G5014" s="53"/>
    </row>
    <row r="5015">
      <c r="A5015" s="49">
        <v>45073.52416042824</v>
      </c>
      <c r="B5015" s="50">
        <v>45073.6491449537</v>
      </c>
      <c r="C5015" s="51">
        <v>1.011</v>
      </c>
      <c r="D5015" s="51">
        <v>66.0</v>
      </c>
      <c r="E5015" s="52" t="s">
        <v>25</v>
      </c>
      <c r="F5015" s="52" t="s">
        <v>26</v>
      </c>
      <c r="G5015" s="53"/>
    </row>
    <row r="5016">
      <c r="A5016" s="49">
        <v>45073.53459082176</v>
      </c>
      <c r="B5016" s="50">
        <v>45073.6595669213</v>
      </c>
      <c r="C5016" s="51">
        <v>1.011</v>
      </c>
      <c r="D5016" s="51">
        <v>66.0</v>
      </c>
      <c r="E5016" s="52" t="s">
        <v>25</v>
      </c>
      <c r="F5016" s="52" t="s">
        <v>26</v>
      </c>
      <c r="G5016" s="53"/>
    </row>
    <row r="5017">
      <c r="A5017" s="49">
        <v>45073.54502726852</v>
      </c>
      <c r="B5017" s="50">
        <v>45073.6699875115</v>
      </c>
      <c r="C5017" s="51">
        <v>1.01</v>
      </c>
      <c r="D5017" s="51">
        <v>66.0</v>
      </c>
      <c r="E5017" s="52" t="s">
        <v>25</v>
      </c>
      <c r="F5017" s="52" t="s">
        <v>26</v>
      </c>
      <c r="G5017" s="53"/>
    </row>
    <row r="5018">
      <c r="A5018" s="49">
        <v>45073.55545363426</v>
      </c>
      <c r="B5018" s="50">
        <v>45073.6804206828</v>
      </c>
      <c r="C5018" s="51">
        <v>1.01</v>
      </c>
      <c r="D5018" s="51">
        <v>66.0</v>
      </c>
      <c r="E5018" s="52" t="s">
        <v>25</v>
      </c>
      <c r="F5018" s="52" t="s">
        <v>26</v>
      </c>
      <c r="G5018" s="53"/>
    </row>
    <row r="5019">
      <c r="A5019" s="49">
        <v>45073.56586952547</v>
      </c>
      <c r="B5019" s="50">
        <v>45073.6908417824</v>
      </c>
      <c r="C5019" s="51">
        <v>1.01</v>
      </c>
      <c r="D5019" s="51">
        <v>66.0</v>
      </c>
      <c r="E5019" s="52" t="s">
        <v>25</v>
      </c>
      <c r="F5019" s="52" t="s">
        <v>26</v>
      </c>
      <c r="G5019" s="53"/>
    </row>
    <row r="5020">
      <c r="A5020" s="49">
        <v>45073.57630586806</v>
      </c>
      <c r="B5020" s="50">
        <v>45073.7012754976</v>
      </c>
      <c r="C5020" s="51">
        <v>1.011</v>
      </c>
      <c r="D5020" s="51">
        <v>66.0</v>
      </c>
      <c r="E5020" s="52" t="s">
        <v>25</v>
      </c>
      <c r="F5020" s="52" t="s">
        <v>26</v>
      </c>
      <c r="G5020" s="53"/>
    </row>
    <row r="5021">
      <c r="A5021" s="49">
        <v>45073.586720543986</v>
      </c>
      <c r="B5021" s="50">
        <v>45073.7116961689</v>
      </c>
      <c r="C5021" s="51">
        <v>1.01</v>
      </c>
      <c r="D5021" s="51">
        <v>66.0</v>
      </c>
      <c r="E5021" s="52" t="s">
        <v>25</v>
      </c>
      <c r="F5021" s="52" t="s">
        <v>26</v>
      </c>
      <c r="G5021" s="53"/>
    </row>
    <row r="5022">
      <c r="A5022" s="49">
        <v>45073.59715410879</v>
      </c>
      <c r="B5022" s="50">
        <v>45073.7221302777</v>
      </c>
      <c r="C5022" s="51">
        <v>1.011</v>
      </c>
      <c r="D5022" s="51">
        <v>66.0</v>
      </c>
      <c r="E5022" s="52" t="s">
        <v>25</v>
      </c>
      <c r="F5022" s="52" t="s">
        <v>26</v>
      </c>
      <c r="G5022" s="53"/>
    </row>
    <row r="5023">
      <c r="A5023" s="49">
        <v>45073.607569178246</v>
      </c>
      <c r="B5023" s="50">
        <v>45073.7325517476</v>
      </c>
      <c r="C5023" s="51">
        <v>1.01</v>
      </c>
      <c r="D5023" s="51">
        <v>66.0</v>
      </c>
      <c r="E5023" s="52" t="s">
        <v>25</v>
      </c>
      <c r="F5023" s="52" t="s">
        <v>26</v>
      </c>
      <c r="G5023" s="53"/>
    </row>
    <row r="5024">
      <c r="A5024" s="49">
        <v>45073.618019918984</v>
      </c>
      <c r="B5024" s="50">
        <v>45073.742997037</v>
      </c>
      <c r="C5024" s="51">
        <v>1.01</v>
      </c>
      <c r="D5024" s="51">
        <v>66.0</v>
      </c>
      <c r="E5024" s="52" t="s">
        <v>25</v>
      </c>
      <c r="F5024" s="52" t="s">
        <v>26</v>
      </c>
      <c r="G5024" s="53"/>
    </row>
    <row r="5025">
      <c r="A5025" s="49">
        <v>45073.628444120375</v>
      </c>
      <c r="B5025" s="50">
        <v>45073.7534181365</v>
      </c>
      <c r="C5025" s="51">
        <v>1.01</v>
      </c>
      <c r="D5025" s="51">
        <v>66.0</v>
      </c>
      <c r="E5025" s="52" t="s">
        <v>25</v>
      </c>
      <c r="F5025" s="52" t="s">
        <v>26</v>
      </c>
      <c r="G5025" s="53"/>
    </row>
    <row r="5026">
      <c r="A5026" s="49">
        <v>45073.63886375</v>
      </c>
      <c r="B5026" s="50">
        <v>45073.7638394907</v>
      </c>
      <c r="C5026" s="51">
        <v>1.01</v>
      </c>
      <c r="D5026" s="51">
        <v>66.0</v>
      </c>
      <c r="E5026" s="52" t="s">
        <v>25</v>
      </c>
      <c r="F5026" s="52" t="s">
        <v>26</v>
      </c>
      <c r="G5026" s="53"/>
    </row>
    <row r="5027">
      <c r="A5027" s="49">
        <v>45073.649286087966</v>
      </c>
      <c r="B5027" s="50">
        <v>45073.7742603819</v>
      </c>
      <c r="C5027" s="51">
        <v>1.01</v>
      </c>
      <c r="D5027" s="51">
        <v>66.0</v>
      </c>
      <c r="E5027" s="52" t="s">
        <v>25</v>
      </c>
      <c r="F5027" s="52" t="s">
        <v>26</v>
      </c>
      <c r="G5027" s="53"/>
    </row>
    <row r="5028">
      <c r="A5028" s="49">
        <v>45073.65970224537</v>
      </c>
      <c r="B5028" s="50">
        <v>45073.7846794328</v>
      </c>
      <c r="C5028" s="51">
        <v>1.01</v>
      </c>
      <c r="D5028" s="51">
        <v>66.0</v>
      </c>
      <c r="E5028" s="52" t="s">
        <v>25</v>
      </c>
      <c r="F5028" s="52" t="s">
        <v>26</v>
      </c>
      <c r="G5028" s="53"/>
    </row>
    <row r="5029">
      <c r="A5029" s="49">
        <v>45073.67012576389</v>
      </c>
      <c r="B5029" s="50">
        <v>45073.7951005208</v>
      </c>
      <c r="C5029" s="51">
        <v>1.01</v>
      </c>
      <c r="D5029" s="51">
        <v>66.0</v>
      </c>
      <c r="E5029" s="52" t="s">
        <v>25</v>
      </c>
      <c r="F5029" s="52" t="s">
        <v>26</v>
      </c>
      <c r="G5029" s="53"/>
    </row>
    <row r="5030">
      <c r="A5030" s="49">
        <v>45073.68056266203</v>
      </c>
      <c r="B5030" s="50">
        <v>45073.8055333217</v>
      </c>
      <c r="C5030" s="51">
        <v>1.011</v>
      </c>
      <c r="D5030" s="51">
        <v>66.0</v>
      </c>
      <c r="E5030" s="52" t="s">
        <v>25</v>
      </c>
      <c r="F5030" s="52" t="s">
        <v>26</v>
      </c>
      <c r="G5030" s="53"/>
    </row>
    <row r="5031">
      <c r="A5031" s="49">
        <v>45073.69100572917</v>
      </c>
      <c r="B5031" s="50">
        <v>45073.8159776736</v>
      </c>
      <c r="C5031" s="51">
        <v>1.01</v>
      </c>
      <c r="D5031" s="51">
        <v>66.0</v>
      </c>
      <c r="E5031" s="52" t="s">
        <v>25</v>
      </c>
      <c r="F5031" s="52" t="s">
        <v>26</v>
      </c>
      <c r="G5031" s="53"/>
    </row>
    <row r="5032">
      <c r="A5032" s="49">
        <v>45073.701433194445</v>
      </c>
      <c r="B5032" s="50">
        <v>45073.8264097569</v>
      </c>
      <c r="C5032" s="51">
        <v>1.01</v>
      </c>
      <c r="D5032" s="51">
        <v>66.0</v>
      </c>
      <c r="E5032" s="52" t="s">
        <v>25</v>
      </c>
      <c r="F5032" s="52" t="s">
        <v>26</v>
      </c>
      <c r="G5032" s="53"/>
    </row>
    <row r="5033">
      <c r="A5033" s="49">
        <v>45073.711850381944</v>
      </c>
      <c r="B5033" s="50">
        <v>45073.8368303009</v>
      </c>
      <c r="C5033" s="51">
        <v>1.011</v>
      </c>
      <c r="D5033" s="51">
        <v>66.0</v>
      </c>
      <c r="E5033" s="52" t="s">
        <v>25</v>
      </c>
      <c r="F5033" s="52" t="s">
        <v>26</v>
      </c>
      <c r="G5033" s="53"/>
    </row>
    <row r="5034">
      <c r="A5034" s="49">
        <v>45073.72227221065</v>
      </c>
      <c r="B5034" s="50">
        <v>45073.8472516088</v>
      </c>
      <c r="C5034" s="51">
        <v>1.011</v>
      </c>
      <c r="D5034" s="51">
        <v>66.0</v>
      </c>
      <c r="E5034" s="52" t="s">
        <v>25</v>
      </c>
      <c r="F5034" s="52" t="s">
        <v>26</v>
      </c>
      <c r="G5034" s="53"/>
    </row>
    <row r="5035">
      <c r="A5035" s="49">
        <v>45073.732692164354</v>
      </c>
      <c r="B5035" s="50">
        <v>45073.857671412</v>
      </c>
      <c r="C5035" s="51">
        <v>1.011</v>
      </c>
      <c r="D5035" s="51">
        <v>66.0</v>
      </c>
      <c r="E5035" s="52" t="s">
        <v>25</v>
      </c>
      <c r="F5035" s="52" t="s">
        <v>26</v>
      </c>
      <c r="G5035" s="53"/>
    </row>
    <row r="5036">
      <c r="A5036" s="49">
        <v>45073.743120370375</v>
      </c>
      <c r="B5036" s="50">
        <v>45073.8680939467</v>
      </c>
      <c r="C5036" s="51">
        <v>1.01</v>
      </c>
      <c r="D5036" s="51">
        <v>66.0</v>
      </c>
      <c r="E5036" s="52" t="s">
        <v>25</v>
      </c>
      <c r="F5036" s="52" t="s">
        <v>26</v>
      </c>
      <c r="G5036" s="53"/>
    </row>
    <row r="5037">
      <c r="A5037" s="49">
        <v>45073.75354355324</v>
      </c>
      <c r="B5037" s="50">
        <v>45073.8785134143</v>
      </c>
      <c r="C5037" s="51">
        <v>1.011</v>
      </c>
      <c r="D5037" s="51">
        <v>66.0</v>
      </c>
      <c r="E5037" s="52" t="s">
        <v>25</v>
      </c>
      <c r="F5037" s="52" t="s">
        <v>26</v>
      </c>
      <c r="G5037" s="53"/>
    </row>
    <row r="5038">
      <c r="A5038" s="49">
        <v>45073.76396024306</v>
      </c>
      <c r="B5038" s="50">
        <v>45073.8889344791</v>
      </c>
      <c r="C5038" s="51">
        <v>1.011</v>
      </c>
      <c r="D5038" s="51">
        <v>66.0</v>
      </c>
      <c r="E5038" s="52" t="s">
        <v>25</v>
      </c>
      <c r="F5038" s="52" t="s">
        <v>26</v>
      </c>
      <c r="G5038" s="53"/>
    </row>
    <row r="5039">
      <c r="A5039" s="49">
        <v>45073.77438690972</v>
      </c>
      <c r="B5039" s="50">
        <v>45073.899365706</v>
      </c>
      <c r="C5039" s="51">
        <v>1.01</v>
      </c>
      <c r="D5039" s="51">
        <v>66.0</v>
      </c>
      <c r="E5039" s="52" t="s">
        <v>25</v>
      </c>
      <c r="F5039" s="52" t="s">
        <v>26</v>
      </c>
      <c r="G5039" s="53"/>
    </row>
    <row r="5040">
      <c r="A5040" s="49">
        <v>45073.784809432866</v>
      </c>
      <c r="B5040" s="50">
        <v>45073.9097873263</v>
      </c>
      <c r="C5040" s="51">
        <v>1.01</v>
      </c>
      <c r="D5040" s="51">
        <v>66.0</v>
      </c>
      <c r="E5040" s="52" t="s">
        <v>25</v>
      </c>
      <c r="F5040" s="52" t="s">
        <v>26</v>
      </c>
      <c r="G5040" s="53"/>
    </row>
    <row r="5041">
      <c r="A5041" s="49">
        <v>45073.79524020833</v>
      </c>
      <c r="B5041" s="50">
        <v>45073.9202194791</v>
      </c>
      <c r="C5041" s="51">
        <v>1.01</v>
      </c>
      <c r="D5041" s="51">
        <v>66.0</v>
      </c>
      <c r="E5041" s="52" t="s">
        <v>25</v>
      </c>
      <c r="F5041" s="52" t="s">
        <v>26</v>
      </c>
      <c r="G5041" s="53"/>
    </row>
    <row r="5042">
      <c r="A5042" s="49">
        <v>45073.805662025465</v>
      </c>
      <c r="B5042" s="50">
        <v>45073.9306403935</v>
      </c>
      <c r="C5042" s="51">
        <v>1.01</v>
      </c>
      <c r="D5042" s="51">
        <v>66.0</v>
      </c>
      <c r="E5042" s="52" t="s">
        <v>25</v>
      </c>
      <c r="F5042" s="52" t="s">
        <v>26</v>
      </c>
      <c r="G5042" s="53"/>
    </row>
    <row r="5043">
      <c r="A5043" s="49">
        <v>45073.81608787037</v>
      </c>
      <c r="B5043" s="50">
        <v>45073.9410624537</v>
      </c>
      <c r="C5043" s="51">
        <v>1.01</v>
      </c>
      <c r="D5043" s="51">
        <v>66.0</v>
      </c>
      <c r="E5043" s="52" t="s">
        <v>25</v>
      </c>
      <c r="F5043" s="52" t="s">
        <v>26</v>
      </c>
      <c r="G5043" s="53"/>
    </row>
    <row r="5044">
      <c r="A5044" s="49">
        <v>45073.826515787034</v>
      </c>
      <c r="B5044" s="50">
        <v>45073.9514967939</v>
      </c>
      <c r="C5044" s="51">
        <v>1.01</v>
      </c>
      <c r="D5044" s="51">
        <v>66.0</v>
      </c>
      <c r="E5044" s="52" t="s">
        <v>25</v>
      </c>
      <c r="F5044" s="52" t="s">
        <v>26</v>
      </c>
      <c r="G5044" s="53"/>
    </row>
    <row r="5045">
      <c r="A5045" s="49">
        <v>45073.83694685185</v>
      </c>
      <c r="B5045" s="50">
        <v>45073.9619308217</v>
      </c>
      <c r="C5045" s="51">
        <v>1.011</v>
      </c>
      <c r="D5045" s="51">
        <v>66.0</v>
      </c>
      <c r="E5045" s="52" t="s">
        <v>25</v>
      </c>
      <c r="F5045" s="52" t="s">
        <v>26</v>
      </c>
      <c r="G5045" s="53"/>
    </row>
    <row r="5046">
      <c r="A5046" s="49">
        <v>45073.84737993055</v>
      </c>
      <c r="B5046" s="50">
        <v>45073.9723525463</v>
      </c>
      <c r="C5046" s="51">
        <v>1.01</v>
      </c>
      <c r="D5046" s="51">
        <v>66.0</v>
      </c>
      <c r="E5046" s="52" t="s">
        <v>25</v>
      </c>
      <c r="F5046" s="52" t="s">
        <v>26</v>
      </c>
      <c r="G5046" s="53"/>
    </row>
    <row r="5047">
      <c r="A5047" s="49">
        <v>45073.857792106486</v>
      </c>
      <c r="B5047" s="50">
        <v>45073.9827732638</v>
      </c>
      <c r="C5047" s="51">
        <v>1.01</v>
      </c>
      <c r="D5047" s="51">
        <v>66.0</v>
      </c>
      <c r="E5047" s="52" t="s">
        <v>25</v>
      </c>
      <c r="F5047" s="52" t="s">
        <v>26</v>
      </c>
      <c r="G5047" s="53"/>
    </row>
    <row r="5048">
      <c r="A5048" s="49">
        <v>45073.86821393519</v>
      </c>
      <c r="B5048" s="50">
        <v>45073.9931950694</v>
      </c>
      <c r="C5048" s="51">
        <v>1.01</v>
      </c>
      <c r="D5048" s="51">
        <v>66.0</v>
      </c>
      <c r="E5048" s="52" t="s">
        <v>25</v>
      </c>
      <c r="F5048" s="52" t="s">
        <v>26</v>
      </c>
      <c r="G5048" s="53"/>
    </row>
    <row r="5049">
      <c r="A5049" s="49">
        <v>45073.878636168985</v>
      </c>
      <c r="B5049" s="50">
        <v>45074.0036151273</v>
      </c>
      <c r="C5049" s="51">
        <v>1.01</v>
      </c>
      <c r="D5049" s="51">
        <v>66.0</v>
      </c>
      <c r="E5049" s="52" t="s">
        <v>25</v>
      </c>
      <c r="F5049" s="52" t="s">
        <v>26</v>
      </c>
      <c r="G5049" s="53"/>
    </row>
    <row r="5050">
      <c r="A5050" s="49">
        <v>45073.889065509255</v>
      </c>
      <c r="B5050" s="50">
        <v>45074.0140480324</v>
      </c>
      <c r="C5050" s="51">
        <v>1.01</v>
      </c>
      <c r="D5050" s="51">
        <v>66.0</v>
      </c>
      <c r="E5050" s="52" t="s">
        <v>25</v>
      </c>
      <c r="F5050" s="52" t="s">
        <v>26</v>
      </c>
      <c r="G5050" s="53"/>
    </row>
    <row r="5051">
      <c r="A5051" s="49">
        <v>45073.899498009254</v>
      </c>
      <c r="B5051" s="50">
        <v>45074.0244690509</v>
      </c>
      <c r="C5051" s="51">
        <v>1.01</v>
      </c>
      <c r="D5051" s="51">
        <v>66.0</v>
      </c>
      <c r="E5051" s="52" t="s">
        <v>25</v>
      </c>
      <c r="F5051" s="52" t="s">
        <v>26</v>
      </c>
      <c r="G5051" s="53"/>
    </row>
    <row r="5052">
      <c r="A5052" s="49">
        <v>45073.909926319444</v>
      </c>
      <c r="B5052" s="50">
        <v>45074.0349004976</v>
      </c>
      <c r="C5052" s="51">
        <v>1.01</v>
      </c>
      <c r="D5052" s="51">
        <v>66.0</v>
      </c>
      <c r="E5052" s="52" t="s">
        <v>25</v>
      </c>
      <c r="F5052" s="52" t="s">
        <v>26</v>
      </c>
      <c r="G5052" s="53"/>
    </row>
    <row r="5053">
      <c r="A5053" s="49">
        <v>45073.92035152778</v>
      </c>
      <c r="B5053" s="50">
        <v>45074.0453229166</v>
      </c>
      <c r="C5053" s="51">
        <v>1.01</v>
      </c>
      <c r="D5053" s="51">
        <v>66.0</v>
      </c>
      <c r="E5053" s="52" t="s">
        <v>25</v>
      </c>
      <c r="F5053" s="52" t="s">
        <v>26</v>
      </c>
      <c r="G5053" s="53"/>
    </row>
    <row r="5054">
      <c r="A5054" s="49">
        <v>45073.930761875</v>
      </c>
      <c r="B5054" s="50">
        <v>45074.0557439814</v>
      </c>
      <c r="C5054" s="51">
        <v>1.01</v>
      </c>
      <c r="D5054" s="51">
        <v>66.0</v>
      </c>
      <c r="E5054" s="52" t="s">
        <v>25</v>
      </c>
      <c r="F5054" s="52" t="s">
        <v>26</v>
      </c>
      <c r="G5054" s="53"/>
    </row>
    <row r="5055">
      <c r="A5055" s="49">
        <v>45073.94118898148</v>
      </c>
      <c r="B5055" s="50">
        <v>45074.0661641203</v>
      </c>
      <c r="C5055" s="51">
        <v>1.01</v>
      </c>
      <c r="D5055" s="51">
        <v>66.0</v>
      </c>
      <c r="E5055" s="52" t="s">
        <v>25</v>
      </c>
      <c r="F5055" s="52" t="s">
        <v>26</v>
      </c>
      <c r="G5055" s="53"/>
    </row>
    <row r="5056">
      <c r="A5056" s="49">
        <v>45073.95162112269</v>
      </c>
      <c r="B5056" s="50">
        <v>45074.0765965856</v>
      </c>
      <c r="C5056" s="51">
        <v>1.01</v>
      </c>
      <c r="D5056" s="51">
        <v>66.0</v>
      </c>
      <c r="E5056" s="52" t="s">
        <v>25</v>
      </c>
      <c r="F5056" s="52" t="s">
        <v>26</v>
      </c>
      <c r="G5056" s="53"/>
    </row>
    <row r="5057">
      <c r="A5057" s="49">
        <v>45073.962041770836</v>
      </c>
      <c r="B5057" s="50">
        <v>45074.0870188773</v>
      </c>
      <c r="C5057" s="51">
        <v>1.011</v>
      </c>
      <c r="D5057" s="51">
        <v>66.0</v>
      </c>
      <c r="E5057" s="52" t="s">
        <v>25</v>
      </c>
      <c r="F5057" s="52" t="s">
        <v>26</v>
      </c>
      <c r="G5057" s="53"/>
    </row>
    <row r="5058">
      <c r="A5058" s="49">
        <v>45073.97245560185</v>
      </c>
      <c r="B5058" s="50">
        <v>45074.0974395138</v>
      </c>
      <c r="C5058" s="51">
        <v>1.011</v>
      </c>
      <c r="D5058" s="51">
        <v>66.0</v>
      </c>
      <c r="E5058" s="52" t="s">
        <v>25</v>
      </c>
      <c r="F5058" s="52" t="s">
        <v>26</v>
      </c>
      <c r="G5058" s="53"/>
    </row>
    <row r="5059">
      <c r="A5059" s="49">
        <v>45073.98288652778</v>
      </c>
      <c r="B5059" s="50">
        <v>45074.1078619097</v>
      </c>
      <c r="C5059" s="51">
        <v>1.01</v>
      </c>
      <c r="D5059" s="51">
        <v>66.0</v>
      </c>
      <c r="E5059" s="52" t="s">
        <v>25</v>
      </c>
      <c r="F5059" s="52" t="s">
        <v>26</v>
      </c>
      <c r="G5059" s="53"/>
    </row>
    <row r="5060">
      <c r="A5060" s="49">
        <v>45073.993313784726</v>
      </c>
      <c r="B5060" s="50">
        <v>45074.1182959606</v>
      </c>
      <c r="C5060" s="51">
        <v>1.011</v>
      </c>
      <c r="D5060" s="51">
        <v>66.0</v>
      </c>
      <c r="E5060" s="52" t="s">
        <v>25</v>
      </c>
      <c r="F5060" s="52" t="s">
        <v>26</v>
      </c>
      <c r="G5060" s="53"/>
    </row>
    <row r="5061">
      <c r="A5061" s="49">
        <v>45074.00374357639</v>
      </c>
      <c r="B5061" s="50">
        <v>45074.1287173958</v>
      </c>
      <c r="C5061" s="51">
        <v>1.01</v>
      </c>
      <c r="D5061" s="51">
        <v>66.0</v>
      </c>
      <c r="E5061" s="52" t="s">
        <v>25</v>
      </c>
      <c r="F5061" s="52" t="s">
        <v>26</v>
      </c>
      <c r="G5061" s="53"/>
    </row>
    <row r="5062">
      <c r="A5062" s="49">
        <v>45074.01417439815</v>
      </c>
      <c r="B5062" s="50">
        <v>45074.1391480208</v>
      </c>
      <c r="C5062" s="51">
        <v>1.011</v>
      </c>
      <c r="D5062" s="51">
        <v>66.0</v>
      </c>
      <c r="E5062" s="52" t="s">
        <v>25</v>
      </c>
      <c r="F5062" s="52" t="s">
        <v>26</v>
      </c>
      <c r="G5062" s="53"/>
    </row>
    <row r="5063">
      <c r="A5063" s="49">
        <v>45074.02459725694</v>
      </c>
      <c r="B5063" s="50">
        <v>45074.149569699</v>
      </c>
      <c r="C5063" s="51">
        <v>1.011</v>
      </c>
      <c r="D5063" s="51">
        <v>66.0</v>
      </c>
      <c r="E5063" s="52" t="s">
        <v>25</v>
      </c>
      <c r="F5063" s="52" t="s">
        <v>26</v>
      </c>
      <c r="G5063" s="53"/>
    </row>
    <row r="5064">
      <c r="A5064" s="49">
        <v>45074.035016574075</v>
      </c>
      <c r="B5064" s="50">
        <v>45074.1599896643</v>
      </c>
      <c r="C5064" s="51">
        <v>1.011</v>
      </c>
      <c r="D5064" s="51">
        <v>66.0</v>
      </c>
      <c r="E5064" s="52" t="s">
        <v>25</v>
      </c>
      <c r="F5064" s="52" t="s">
        <v>26</v>
      </c>
      <c r="G5064" s="53"/>
    </row>
    <row r="5065">
      <c r="A5065" s="49">
        <v>45074.04545065972</v>
      </c>
      <c r="B5065" s="50">
        <v>45074.1704219444</v>
      </c>
      <c r="C5065" s="51">
        <v>1.01</v>
      </c>
      <c r="D5065" s="51">
        <v>66.0</v>
      </c>
      <c r="E5065" s="52" t="s">
        <v>25</v>
      </c>
      <c r="F5065" s="52" t="s">
        <v>26</v>
      </c>
      <c r="G5065" s="53"/>
    </row>
    <row r="5066">
      <c r="A5066" s="49">
        <v>45074.0558693287</v>
      </c>
      <c r="B5066" s="50">
        <v>45074.1808428588</v>
      </c>
      <c r="C5066" s="51">
        <v>1.01</v>
      </c>
      <c r="D5066" s="51">
        <v>66.0</v>
      </c>
      <c r="E5066" s="52" t="s">
        <v>25</v>
      </c>
      <c r="F5066" s="52" t="s">
        <v>26</v>
      </c>
      <c r="G5066" s="53"/>
    </row>
    <row r="5067">
      <c r="A5067" s="49">
        <v>45074.06628846065</v>
      </c>
      <c r="B5067" s="50">
        <v>45074.1912645023</v>
      </c>
      <c r="C5067" s="51">
        <v>1.01</v>
      </c>
      <c r="D5067" s="51">
        <v>66.0</v>
      </c>
      <c r="E5067" s="52" t="s">
        <v>25</v>
      </c>
      <c r="F5067" s="52" t="s">
        <v>26</v>
      </c>
      <c r="G5067" s="53"/>
    </row>
    <row r="5068">
      <c r="A5068" s="49">
        <v>45074.07671075231</v>
      </c>
      <c r="B5068" s="50">
        <v>45074.2016874652</v>
      </c>
      <c r="C5068" s="51">
        <v>1.011</v>
      </c>
      <c r="D5068" s="51">
        <v>66.0</v>
      </c>
      <c r="E5068" s="52" t="s">
        <v>25</v>
      </c>
      <c r="F5068" s="52" t="s">
        <v>26</v>
      </c>
      <c r="G5068" s="53"/>
    </row>
    <row r="5069">
      <c r="A5069" s="49">
        <v>45074.08717313658</v>
      </c>
      <c r="B5069" s="50">
        <v>45074.2121439467</v>
      </c>
      <c r="C5069" s="51">
        <v>1.01</v>
      </c>
      <c r="D5069" s="51">
        <v>66.0</v>
      </c>
      <c r="E5069" s="52" t="s">
        <v>25</v>
      </c>
      <c r="F5069" s="52" t="s">
        <v>26</v>
      </c>
      <c r="G5069" s="53"/>
    </row>
    <row r="5070">
      <c r="A5070" s="49">
        <v>45074.09760824074</v>
      </c>
      <c r="B5070" s="50">
        <v>45074.2225760879</v>
      </c>
      <c r="C5070" s="51">
        <v>1.01</v>
      </c>
      <c r="D5070" s="51">
        <v>66.0</v>
      </c>
      <c r="E5070" s="52" t="s">
        <v>25</v>
      </c>
      <c r="F5070" s="52" t="s">
        <v>26</v>
      </c>
      <c r="G5070" s="53"/>
    </row>
    <row r="5071">
      <c r="A5071" s="49">
        <v>45074.10802321759</v>
      </c>
      <c r="B5071" s="50">
        <v>45074.2329977893</v>
      </c>
      <c r="C5071" s="51">
        <v>1.01</v>
      </c>
      <c r="D5071" s="51">
        <v>66.0</v>
      </c>
      <c r="E5071" s="52" t="s">
        <v>25</v>
      </c>
      <c r="F5071" s="52" t="s">
        <v>26</v>
      </c>
      <c r="G5071" s="53"/>
    </row>
    <row r="5072">
      <c r="A5072" s="49">
        <v>45074.118445775464</v>
      </c>
      <c r="B5072" s="50">
        <v>45074.2434209375</v>
      </c>
      <c r="C5072" s="51">
        <v>1.01</v>
      </c>
      <c r="D5072" s="51">
        <v>66.0</v>
      </c>
      <c r="E5072" s="52" t="s">
        <v>25</v>
      </c>
      <c r="F5072" s="52" t="s">
        <v>26</v>
      </c>
      <c r="G5072" s="53"/>
    </row>
    <row r="5073">
      <c r="A5073" s="49">
        <v>45074.12887645833</v>
      </c>
      <c r="B5073" s="50">
        <v>45074.2538544907</v>
      </c>
      <c r="C5073" s="51">
        <v>1.011</v>
      </c>
      <c r="D5073" s="51">
        <v>66.0</v>
      </c>
      <c r="E5073" s="52" t="s">
        <v>25</v>
      </c>
      <c r="F5073" s="52" t="s">
        <v>26</v>
      </c>
      <c r="G5073" s="53"/>
    </row>
    <row r="5074">
      <c r="A5074" s="49">
        <v>45074.1393009375</v>
      </c>
      <c r="B5074" s="50">
        <v>45074.2642764583</v>
      </c>
      <c r="C5074" s="51">
        <v>1.01</v>
      </c>
      <c r="D5074" s="51">
        <v>66.0</v>
      </c>
      <c r="E5074" s="52" t="s">
        <v>25</v>
      </c>
      <c r="F5074" s="52" t="s">
        <v>26</v>
      </c>
      <c r="G5074" s="53"/>
    </row>
    <row r="5075">
      <c r="A5075" s="49">
        <v>45074.14972630787</v>
      </c>
      <c r="B5075" s="50">
        <v>45074.2746975115</v>
      </c>
      <c r="C5075" s="51">
        <v>1.01</v>
      </c>
      <c r="D5075" s="51">
        <v>66.0</v>
      </c>
      <c r="E5075" s="52" t="s">
        <v>25</v>
      </c>
      <c r="F5075" s="52" t="s">
        <v>26</v>
      </c>
      <c r="G5075" s="53"/>
    </row>
    <row r="5076">
      <c r="A5076" s="49">
        <v>45074.160137349536</v>
      </c>
      <c r="B5076" s="50">
        <v>45074.2851188773</v>
      </c>
      <c r="C5076" s="51">
        <v>1.01</v>
      </c>
      <c r="D5076" s="51">
        <v>66.0</v>
      </c>
      <c r="E5076" s="52" t="s">
        <v>25</v>
      </c>
      <c r="F5076" s="52" t="s">
        <v>26</v>
      </c>
      <c r="G5076" s="53"/>
    </row>
    <row r="5077">
      <c r="A5077" s="49">
        <v>45074.17055956018</v>
      </c>
      <c r="B5077" s="50">
        <v>45074.2955398842</v>
      </c>
      <c r="C5077" s="51">
        <v>1.01</v>
      </c>
      <c r="D5077" s="51">
        <v>66.0</v>
      </c>
      <c r="E5077" s="52" t="s">
        <v>25</v>
      </c>
      <c r="F5077" s="52" t="s">
        <v>26</v>
      </c>
      <c r="G5077" s="53"/>
    </row>
    <row r="5078">
      <c r="A5078" s="49">
        <v>45074.18100966435</v>
      </c>
      <c r="B5078" s="50">
        <v>45074.30598375</v>
      </c>
      <c r="C5078" s="51">
        <v>1.01</v>
      </c>
      <c r="D5078" s="51">
        <v>66.0</v>
      </c>
      <c r="E5078" s="52" t="s">
        <v>25</v>
      </c>
      <c r="F5078" s="52" t="s">
        <v>26</v>
      </c>
      <c r="G5078" s="53"/>
    </row>
    <row r="5079">
      <c r="A5079" s="49">
        <v>45074.19143313657</v>
      </c>
      <c r="B5079" s="50">
        <v>45074.3164045949</v>
      </c>
      <c r="C5079" s="51">
        <v>1.01</v>
      </c>
      <c r="D5079" s="51">
        <v>66.0</v>
      </c>
      <c r="E5079" s="52" t="s">
        <v>25</v>
      </c>
      <c r="F5079" s="52" t="s">
        <v>26</v>
      </c>
      <c r="G5079" s="53"/>
    </row>
    <row r="5080">
      <c r="A5080" s="49">
        <v>45074.21226672454</v>
      </c>
      <c r="B5080" s="50">
        <v>45074.3372461689</v>
      </c>
      <c r="C5080" s="51">
        <v>1.01</v>
      </c>
      <c r="D5080" s="51">
        <v>66.0</v>
      </c>
      <c r="E5080" s="52" t="s">
        <v>25</v>
      </c>
      <c r="F5080" s="52" t="s">
        <v>26</v>
      </c>
      <c r="G5080" s="53"/>
    </row>
    <row r="5081">
      <c r="A5081" s="49">
        <v>45074.22270356481</v>
      </c>
      <c r="B5081" s="50">
        <v>45074.347677743</v>
      </c>
      <c r="C5081" s="51">
        <v>1.01</v>
      </c>
      <c r="D5081" s="51">
        <v>66.0</v>
      </c>
      <c r="E5081" s="52" t="s">
        <v>25</v>
      </c>
      <c r="F5081" s="52" t="s">
        <v>26</v>
      </c>
      <c r="G5081" s="53"/>
    </row>
    <row r="5082">
      <c r="A5082" s="49">
        <v>45074.23312616898</v>
      </c>
      <c r="B5082" s="50">
        <v>45074.3580993287</v>
      </c>
      <c r="C5082" s="51">
        <v>1.01</v>
      </c>
      <c r="D5082" s="51">
        <v>66.0</v>
      </c>
      <c r="E5082" s="52" t="s">
        <v>25</v>
      </c>
      <c r="F5082" s="52" t="s">
        <v>26</v>
      </c>
      <c r="G5082" s="53"/>
    </row>
    <row r="5083">
      <c r="A5083" s="49">
        <v>45074.24356190972</v>
      </c>
      <c r="B5083" s="50">
        <v>45074.3685320833</v>
      </c>
      <c r="C5083" s="51">
        <v>1.01</v>
      </c>
      <c r="D5083" s="51">
        <v>66.0</v>
      </c>
      <c r="E5083" s="52" t="s">
        <v>25</v>
      </c>
      <c r="F5083" s="52" t="s">
        <v>26</v>
      </c>
      <c r="G5083" s="53"/>
    </row>
    <row r="5084">
      <c r="A5084" s="49">
        <v>45074.254009502314</v>
      </c>
      <c r="B5084" s="50">
        <v>45074.3789535185</v>
      </c>
      <c r="C5084" s="51">
        <v>1.01</v>
      </c>
      <c r="D5084" s="51">
        <v>66.0</v>
      </c>
      <c r="E5084" s="52" t="s">
        <v>25</v>
      </c>
      <c r="F5084" s="52" t="s">
        <v>26</v>
      </c>
      <c r="G5084" s="53"/>
    </row>
    <row r="5085">
      <c r="A5085" s="49">
        <v>45074.264402835644</v>
      </c>
      <c r="B5085" s="50">
        <v>45074.3893736805</v>
      </c>
      <c r="C5085" s="51">
        <v>1.01</v>
      </c>
      <c r="D5085" s="51">
        <v>66.0</v>
      </c>
      <c r="E5085" s="52" t="s">
        <v>25</v>
      </c>
      <c r="F5085" s="52" t="s">
        <v>26</v>
      </c>
      <c r="G5085" s="53"/>
    </row>
    <row r="5086">
      <c r="A5086" s="49">
        <v>45074.27482092593</v>
      </c>
      <c r="B5086" s="50">
        <v>45074.3997952083</v>
      </c>
      <c r="C5086" s="51">
        <v>1.01</v>
      </c>
      <c r="D5086" s="51">
        <v>66.0</v>
      </c>
      <c r="E5086" s="52" t="s">
        <v>25</v>
      </c>
      <c r="F5086" s="52" t="s">
        <v>26</v>
      </c>
      <c r="G5086" s="53"/>
    </row>
    <row r="5087">
      <c r="A5087" s="49">
        <v>45074.285241377314</v>
      </c>
      <c r="B5087" s="50">
        <v>45074.4102182754</v>
      </c>
      <c r="C5087" s="51">
        <v>1.01</v>
      </c>
      <c r="D5087" s="51">
        <v>66.0</v>
      </c>
      <c r="E5087" s="52" t="s">
        <v>25</v>
      </c>
      <c r="F5087" s="52" t="s">
        <v>26</v>
      </c>
      <c r="G5087" s="53"/>
    </row>
    <row r="5088">
      <c r="A5088" s="49">
        <v>45074.295691666666</v>
      </c>
      <c r="B5088" s="50">
        <v>45074.4206635416</v>
      </c>
      <c r="C5088" s="51">
        <v>1.01</v>
      </c>
      <c r="D5088" s="51">
        <v>66.0</v>
      </c>
      <c r="E5088" s="52" t="s">
        <v>25</v>
      </c>
      <c r="F5088" s="52" t="s">
        <v>26</v>
      </c>
      <c r="G5088" s="53"/>
    </row>
    <row r="5089">
      <c r="A5089" s="49">
        <v>45074.30612068287</v>
      </c>
      <c r="B5089" s="50">
        <v>45074.4310952546</v>
      </c>
      <c r="C5089" s="51">
        <v>1.01</v>
      </c>
      <c r="D5089" s="51">
        <v>66.0</v>
      </c>
      <c r="E5089" s="52" t="s">
        <v>25</v>
      </c>
      <c r="F5089" s="52" t="s">
        <v>26</v>
      </c>
      <c r="G5089" s="53"/>
    </row>
    <row r="5090">
      <c r="A5090" s="49">
        <v>45074.316539872685</v>
      </c>
      <c r="B5090" s="50">
        <v>45074.44151625</v>
      </c>
      <c r="C5090" s="51">
        <v>1.01</v>
      </c>
      <c r="D5090" s="51">
        <v>66.0</v>
      </c>
      <c r="E5090" s="52" t="s">
        <v>25</v>
      </c>
      <c r="F5090" s="52" t="s">
        <v>26</v>
      </c>
      <c r="G5090" s="53"/>
    </row>
    <row r="5091">
      <c r="A5091" s="49">
        <v>45074.32695927084</v>
      </c>
      <c r="B5091" s="50">
        <v>45074.4519374421</v>
      </c>
      <c r="C5091" s="51">
        <v>1.01</v>
      </c>
      <c r="D5091" s="51">
        <v>66.0</v>
      </c>
      <c r="E5091" s="52" t="s">
        <v>25</v>
      </c>
      <c r="F5091" s="52" t="s">
        <v>26</v>
      </c>
      <c r="G5091" s="53"/>
    </row>
    <row r="5092">
      <c r="A5092" s="49">
        <v>45074.337406631945</v>
      </c>
      <c r="B5092" s="50">
        <v>45074.4623817129</v>
      </c>
      <c r="C5092" s="51">
        <v>1.01</v>
      </c>
      <c r="D5092" s="51">
        <v>66.0</v>
      </c>
      <c r="E5092" s="52" t="s">
        <v>25</v>
      </c>
      <c r="F5092" s="52" t="s">
        <v>26</v>
      </c>
      <c r="G5092" s="53"/>
    </row>
    <row r="5093">
      <c r="A5093" s="49">
        <v>45074.347835023145</v>
      </c>
      <c r="B5093" s="50">
        <v>45074.4728140856</v>
      </c>
      <c r="C5093" s="51">
        <v>1.01</v>
      </c>
      <c r="D5093" s="51">
        <v>66.0</v>
      </c>
      <c r="E5093" s="52" t="s">
        <v>25</v>
      </c>
      <c r="F5093" s="52" t="s">
        <v>26</v>
      </c>
      <c r="G5093" s="53"/>
    </row>
    <row r="5094">
      <c r="A5094" s="49">
        <v>45074.35826530092</v>
      </c>
      <c r="B5094" s="50">
        <v>45074.4832368634</v>
      </c>
      <c r="C5094" s="51">
        <v>1.01</v>
      </c>
      <c r="D5094" s="51">
        <v>66.0</v>
      </c>
      <c r="E5094" s="52" t="s">
        <v>25</v>
      </c>
      <c r="F5094" s="52" t="s">
        <v>26</v>
      </c>
      <c r="G5094" s="53"/>
    </row>
    <row r="5095">
      <c r="A5095" s="49">
        <v>45074.36868364584</v>
      </c>
      <c r="B5095" s="50">
        <v>45074.4936575347</v>
      </c>
      <c r="C5095" s="51">
        <v>1.01</v>
      </c>
      <c r="D5095" s="51">
        <v>66.0</v>
      </c>
      <c r="E5095" s="52" t="s">
        <v>25</v>
      </c>
      <c r="F5095" s="52" t="s">
        <v>26</v>
      </c>
      <c r="G5095" s="53"/>
    </row>
    <row r="5096">
      <c r="A5096" s="49">
        <v>45074.37910131944</v>
      </c>
      <c r="B5096" s="50">
        <v>45074.5040799305</v>
      </c>
      <c r="C5096" s="51">
        <v>1.01</v>
      </c>
      <c r="D5096" s="51">
        <v>66.0</v>
      </c>
      <c r="E5096" s="52" t="s">
        <v>25</v>
      </c>
      <c r="F5096" s="52" t="s">
        <v>26</v>
      </c>
      <c r="G5096" s="53"/>
    </row>
    <row r="5097">
      <c r="A5097" s="49">
        <v>45074.38953210648</v>
      </c>
      <c r="B5097" s="50">
        <v>45074.5145139814</v>
      </c>
      <c r="C5097" s="51">
        <v>1.01</v>
      </c>
      <c r="D5097" s="51">
        <v>66.0</v>
      </c>
      <c r="E5097" s="52" t="s">
        <v>25</v>
      </c>
      <c r="F5097" s="52" t="s">
        <v>26</v>
      </c>
      <c r="G5097" s="53"/>
    </row>
    <row r="5098">
      <c r="A5098" s="49">
        <v>45074.39996415509</v>
      </c>
      <c r="B5098" s="50">
        <v>45074.524934699</v>
      </c>
      <c r="C5098" s="51">
        <v>1.01</v>
      </c>
      <c r="D5098" s="51">
        <v>66.0</v>
      </c>
      <c r="E5098" s="52" t="s">
        <v>25</v>
      </c>
      <c r="F5098" s="52" t="s">
        <v>26</v>
      </c>
      <c r="G5098" s="53"/>
    </row>
    <row r="5099">
      <c r="A5099" s="49">
        <v>45074.410379594905</v>
      </c>
      <c r="B5099" s="50">
        <v>45074.5353581365</v>
      </c>
      <c r="C5099" s="51">
        <v>1.01</v>
      </c>
      <c r="D5099" s="51">
        <v>66.0</v>
      </c>
      <c r="E5099" s="52" t="s">
        <v>25</v>
      </c>
      <c r="F5099" s="52" t="s">
        <v>26</v>
      </c>
      <c r="G5099" s="53"/>
    </row>
    <row r="5100">
      <c r="A5100" s="49">
        <v>45074.420803587964</v>
      </c>
      <c r="B5100" s="50">
        <v>45074.545779618</v>
      </c>
      <c r="C5100" s="51">
        <v>1.01</v>
      </c>
      <c r="D5100" s="51">
        <v>66.0</v>
      </c>
      <c r="E5100" s="52" t="s">
        <v>25</v>
      </c>
      <c r="F5100" s="52" t="s">
        <v>26</v>
      </c>
      <c r="G5100" s="53"/>
    </row>
    <row r="5101">
      <c r="A5101" s="49">
        <v>45074.43126548611</v>
      </c>
      <c r="B5101" s="50">
        <v>45074.5562469907</v>
      </c>
      <c r="C5101" s="51">
        <v>1.01</v>
      </c>
      <c r="D5101" s="51">
        <v>66.0</v>
      </c>
      <c r="E5101" s="52" t="s">
        <v>25</v>
      </c>
      <c r="F5101" s="52" t="s">
        <v>26</v>
      </c>
      <c r="G5101" s="53"/>
    </row>
    <row r="5102">
      <c r="A5102" s="49">
        <v>45074.44169467593</v>
      </c>
      <c r="B5102" s="50">
        <v>45074.566667581</v>
      </c>
      <c r="C5102" s="51">
        <v>1.01</v>
      </c>
      <c r="D5102" s="51">
        <v>66.0</v>
      </c>
      <c r="E5102" s="52" t="s">
        <v>25</v>
      </c>
      <c r="F5102" s="52" t="s">
        <v>26</v>
      </c>
      <c r="G5102" s="53"/>
    </row>
    <row r="5103">
      <c r="A5103" s="49">
        <v>45074.45211775463</v>
      </c>
      <c r="B5103" s="50">
        <v>45074.577089699</v>
      </c>
      <c r="C5103" s="51">
        <v>1.01</v>
      </c>
      <c r="D5103" s="51">
        <v>66.0</v>
      </c>
      <c r="E5103" s="52" t="s">
        <v>25</v>
      </c>
      <c r="F5103" s="52" t="s">
        <v>26</v>
      </c>
      <c r="G5103" s="53"/>
    </row>
    <row r="5104">
      <c r="A5104" s="49">
        <v>45074.462569745374</v>
      </c>
      <c r="B5104" s="50">
        <v>45074.5875354629</v>
      </c>
      <c r="C5104" s="51">
        <v>1.01</v>
      </c>
      <c r="D5104" s="51">
        <v>66.0</v>
      </c>
      <c r="E5104" s="52" t="s">
        <v>25</v>
      </c>
      <c r="F5104" s="52" t="s">
        <v>26</v>
      </c>
      <c r="G5104" s="53"/>
    </row>
    <row r="5105">
      <c r="A5105" s="49">
        <v>45074.472978969905</v>
      </c>
      <c r="B5105" s="50">
        <v>45074.5979575231</v>
      </c>
      <c r="C5105" s="51">
        <v>1.01</v>
      </c>
      <c r="D5105" s="51">
        <v>66.0</v>
      </c>
      <c r="E5105" s="52" t="s">
        <v>25</v>
      </c>
      <c r="F5105" s="52" t="s">
        <v>26</v>
      </c>
      <c r="G5105" s="53"/>
    </row>
    <row r="5106">
      <c r="A5106" s="49">
        <v>45074.48340428241</v>
      </c>
      <c r="B5106" s="50">
        <v>45074.6083782986</v>
      </c>
      <c r="C5106" s="51">
        <v>1.01</v>
      </c>
      <c r="D5106" s="51">
        <v>66.0</v>
      </c>
      <c r="E5106" s="52" t="s">
        <v>25</v>
      </c>
      <c r="F5106" s="52" t="s">
        <v>26</v>
      </c>
      <c r="G5106" s="53"/>
    </row>
    <row r="5107">
      <c r="A5107" s="49">
        <v>45074.49382802083</v>
      </c>
      <c r="B5107" s="50">
        <v>45074.6187997916</v>
      </c>
      <c r="C5107" s="51">
        <v>1.01</v>
      </c>
      <c r="D5107" s="51">
        <v>66.0</v>
      </c>
      <c r="E5107" s="52" t="s">
        <v>25</v>
      </c>
      <c r="F5107" s="52" t="s">
        <v>26</v>
      </c>
      <c r="G5107" s="53"/>
    </row>
    <row r="5108">
      <c r="A5108" s="49">
        <v>45074.50424866898</v>
      </c>
      <c r="B5108" s="50">
        <v>45074.629222037</v>
      </c>
      <c r="C5108" s="51">
        <v>1.01</v>
      </c>
      <c r="D5108" s="51">
        <v>66.0</v>
      </c>
      <c r="E5108" s="52" t="s">
        <v>25</v>
      </c>
      <c r="F5108" s="52" t="s">
        <v>26</v>
      </c>
      <c r="G5108" s="53"/>
    </row>
    <row r="5109">
      <c r="A5109" s="49">
        <v>45074.51466920139</v>
      </c>
      <c r="B5109" s="50">
        <v>45074.6396426157</v>
      </c>
      <c r="C5109" s="51">
        <v>1.01</v>
      </c>
      <c r="D5109" s="51">
        <v>66.0</v>
      </c>
      <c r="E5109" s="52" t="s">
        <v>25</v>
      </c>
      <c r="F5109" s="52" t="s">
        <v>26</v>
      </c>
      <c r="G5109" s="53"/>
    </row>
    <row r="5110">
      <c r="A5110" s="49">
        <v>45074.525093449076</v>
      </c>
      <c r="B5110" s="50">
        <v>45074.6500635185</v>
      </c>
      <c r="C5110" s="51">
        <v>1.01</v>
      </c>
      <c r="D5110" s="51">
        <v>66.0</v>
      </c>
      <c r="E5110" s="52" t="s">
        <v>25</v>
      </c>
      <c r="F5110" s="52" t="s">
        <v>26</v>
      </c>
      <c r="G5110" s="53"/>
    </row>
    <row r="5111">
      <c r="A5111" s="49">
        <v>45074.53551192129</v>
      </c>
      <c r="B5111" s="50">
        <v>45074.6604845254</v>
      </c>
      <c r="C5111" s="51">
        <v>1.01</v>
      </c>
      <c r="D5111" s="51">
        <v>66.0</v>
      </c>
      <c r="E5111" s="52" t="s">
        <v>25</v>
      </c>
      <c r="F5111" s="52" t="s">
        <v>26</v>
      </c>
      <c r="G5111" s="53"/>
    </row>
    <row r="5112">
      <c r="A5112" s="49">
        <v>45074.5459346875</v>
      </c>
      <c r="B5112" s="50">
        <v>45074.6709059606</v>
      </c>
      <c r="C5112" s="51">
        <v>1.01</v>
      </c>
      <c r="D5112" s="51">
        <v>66.0</v>
      </c>
      <c r="E5112" s="52" t="s">
        <v>25</v>
      </c>
      <c r="F5112" s="52" t="s">
        <v>26</v>
      </c>
      <c r="G5112" s="53"/>
    </row>
    <row r="5113">
      <c r="A5113" s="49">
        <v>45074.55635474537</v>
      </c>
      <c r="B5113" s="50">
        <v>45074.6813277083</v>
      </c>
      <c r="C5113" s="51">
        <v>1.01</v>
      </c>
      <c r="D5113" s="51">
        <v>66.0</v>
      </c>
      <c r="E5113" s="52" t="s">
        <v>25</v>
      </c>
      <c r="F5113" s="52" t="s">
        <v>26</v>
      </c>
      <c r="G5113" s="53"/>
    </row>
    <row r="5114">
      <c r="A5114" s="49">
        <v>45074.566774942126</v>
      </c>
      <c r="B5114" s="50">
        <v>45074.6917501273</v>
      </c>
      <c r="C5114" s="51">
        <v>1.01</v>
      </c>
      <c r="D5114" s="51">
        <v>66.0</v>
      </c>
      <c r="E5114" s="52" t="s">
        <v>25</v>
      </c>
      <c r="F5114" s="52" t="s">
        <v>26</v>
      </c>
      <c r="G5114" s="53"/>
    </row>
    <row r="5115">
      <c r="A5115" s="49">
        <v>45074.57719759259</v>
      </c>
      <c r="B5115" s="50">
        <v>45074.7021712268</v>
      </c>
      <c r="C5115" s="51">
        <v>1.01</v>
      </c>
      <c r="D5115" s="51">
        <v>66.0</v>
      </c>
      <c r="E5115" s="52" t="s">
        <v>25</v>
      </c>
      <c r="F5115" s="52" t="s">
        <v>26</v>
      </c>
      <c r="G5115" s="53"/>
    </row>
    <row r="5116">
      <c r="A5116" s="49">
        <v>45074.58761269676</v>
      </c>
      <c r="B5116" s="50">
        <v>45074.7125939351</v>
      </c>
      <c r="C5116" s="51">
        <v>1.01</v>
      </c>
      <c r="D5116" s="51">
        <v>66.0</v>
      </c>
      <c r="E5116" s="52" t="s">
        <v>25</v>
      </c>
      <c r="F5116" s="52" t="s">
        <v>26</v>
      </c>
      <c r="G5116" s="53"/>
    </row>
    <row r="5117">
      <c r="A5117" s="49">
        <v>45074.598036192125</v>
      </c>
      <c r="B5117" s="50">
        <v>45074.7230137731</v>
      </c>
      <c r="C5117" s="51">
        <v>1.01</v>
      </c>
      <c r="D5117" s="51">
        <v>66.0</v>
      </c>
      <c r="E5117" s="52" t="s">
        <v>25</v>
      </c>
      <c r="F5117" s="52" t="s">
        <v>26</v>
      </c>
      <c r="G5117" s="53"/>
    </row>
    <row r="5118">
      <c r="A5118" s="49">
        <v>45074.60845575231</v>
      </c>
      <c r="B5118" s="50">
        <v>45074.7334351157</v>
      </c>
      <c r="C5118" s="51">
        <v>1.01</v>
      </c>
      <c r="D5118" s="51">
        <v>66.0</v>
      </c>
      <c r="E5118" s="52" t="s">
        <v>25</v>
      </c>
      <c r="F5118" s="52" t="s">
        <v>26</v>
      </c>
      <c r="G5118" s="53"/>
    </row>
    <row r="5119">
      <c r="A5119" s="49">
        <v>45074.61887578704</v>
      </c>
      <c r="B5119" s="50">
        <v>45074.7438567939</v>
      </c>
      <c r="C5119" s="51">
        <v>1.01</v>
      </c>
      <c r="D5119" s="51">
        <v>66.0</v>
      </c>
      <c r="E5119" s="52" t="s">
        <v>25</v>
      </c>
      <c r="F5119" s="52" t="s">
        <v>26</v>
      </c>
      <c r="G5119" s="53"/>
    </row>
    <row r="5120">
      <c r="A5120" s="49">
        <v>45074.62931152778</v>
      </c>
      <c r="B5120" s="50">
        <v>45074.7542778472</v>
      </c>
      <c r="C5120" s="51">
        <v>1.01</v>
      </c>
      <c r="D5120" s="51">
        <v>66.0</v>
      </c>
      <c r="E5120" s="52" t="s">
        <v>25</v>
      </c>
      <c r="F5120" s="52" t="s">
        <v>26</v>
      </c>
      <c r="G5120" s="53"/>
    </row>
    <row r="5121">
      <c r="A5121" s="49">
        <v>45074.639729999995</v>
      </c>
      <c r="B5121" s="50">
        <v>45074.7646988194</v>
      </c>
      <c r="C5121" s="51">
        <v>1.01</v>
      </c>
      <c r="D5121" s="51">
        <v>66.0</v>
      </c>
      <c r="E5121" s="52" t="s">
        <v>25</v>
      </c>
      <c r="F5121" s="52" t="s">
        <v>26</v>
      </c>
      <c r="G5121" s="53"/>
    </row>
    <row r="5122">
      <c r="A5122" s="49">
        <v>45074.650161111116</v>
      </c>
      <c r="B5122" s="50">
        <v>45074.7751307291</v>
      </c>
      <c r="C5122" s="51">
        <v>1.01</v>
      </c>
      <c r="D5122" s="51">
        <v>66.0</v>
      </c>
      <c r="E5122" s="52" t="s">
        <v>25</v>
      </c>
      <c r="F5122" s="52" t="s">
        <v>26</v>
      </c>
      <c r="G5122" s="53"/>
    </row>
    <row r="5123">
      <c r="A5123" s="49">
        <v>45074.66058001158</v>
      </c>
      <c r="B5123" s="50">
        <v>45074.785550081</v>
      </c>
      <c r="C5123" s="51">
        <v>1.01</v>
      </c>
      <c r="D5123" s="51">
        <v>66.0</v>
      </c>
      <c r="E5123" s="52" t="s">
        <v>25</v>
      </c>
      <c r="F5123" s="52" t="s">
        <v>26</v>
      </c>
      <c r="G5123" s="53"/>
    </row>
    <row r="5124">
      <c r="A5124" s="49">
        <v>45074.670995243054</v>
      </c>
      <c r="B5124" s="50">
        <v>45074.7959694328</v>
      </c>
      <c r="C5124" s="51">
        <v>1.01</v>
      </c>
      <c r="D5124" s="51">
        <v>66.0</v>
      </c>
      <c r="E5124" s="52" t="s">
        <v>25</v>
      </c>
      <c r="F5124" s="52" t="s">
        <v>26</v>
      </c>
      <c r="G5124" s="53"/>
    </row>
    <row r="5125">
      <c r="A5125" s="49">
        <v>45074.68140951389</v>
      </c>
      <c r="B5125" s="50">
        <v>45074.8063910416</v>
      </c>
      <c r="C5125" s="51">
        <v>1.01</v>
      </c>
      <c r="D5125" s="51">
        <v>66.0</v>
      </c>
      <c r="E5125" s="52" t="s">
        <v>25</v>
      </c>
      <c r="F5125" s="52" t="s">
        <v>26</v>
      </c>
      <c r="G5125" s="53"/>
    </row>
    <row r="5126">
      <c r="A5126" s="49">
        <v>45074.69182784722</v>
      </c>
      <c r="B5126" s="50">
        <v>45074.8168129051</v>
      </c>
      <c r="C5126" s="51">
        <v>1.01</v>
      </c>
      <c r="D5126" s="51">
        <v>66.0</v>
      </c>
      <c r="E5126" s="52" t="s">
        <v>25</v>
      </c>
      <c r="F5126" s="52" t="s">
        <v>26</v>
      </c>
      <c r="G5126" s="53"/>
    </row>
    <row r="5127">
      <c r="A5127" s="49">
        <v>45074.702273020834</v>
      </c>
      <c r="B5127" s="50">
        <v>45074.8272459375</v>
      </c>
      <c r="C5127" s="51">
        <v>1.01</v>
      </c>
      <c r="D5127" s="51">
        <v>66.0</v>
      </c>
      <c r="E5127" s="52" t="s">
        <v>25</v>
      </c>
      <c r="F5127" s="52" t="s">
        <v>26</v>
      </c>
      <c r="G5127" s="53"/>
    </row>
    <row r="5128">
      <c r="A5128" s="49">
        <v>45074.7126903125</v>
      </c>
      <c r="B5128" s="50">
        <v>45074.8376663888</v>
      </c>
      <c r="C5128" s="51">
        <v>1.01</v>
      </c>
      <c r="D5128" s="51">
        <v>66.0</v>
      </c>
      <c r="E5128" s="52" t="s">
        <v>25</v>
      </c>
      <c r="F5128" s="52" t="s">
        <v>26</v>
      </c>
      <c r="G5128" s="53"/>
    </row>
    <row r="5129">
      <c r="A5129" s="49">
        <v>45074.72311133102</v>
      </c>
      <c r="B5129" s="50">
        <v>45074.8480876967</v>
      </c>
      <c r="C5129" s="51">
        <v>1.01</v>
      </c>
      <c r="D5129" s="51">
        <v>66.0</v>
      </c>
      <c r="E5129" s="52" t="s">
        <v>25</v>
      </c>
      <c r="F5129" s="52" t="s">
        <v>26</v>
      </c>
      <c r="G5129" s="53"/>
    </row>
    <row r="5130">
      <c r="A5130" s="49">
        <v>45074.733540636575</v>
      </c>
      <c r="B5130" s="50">
        <v>45074.8585100347</v>
      </c>
      <c r="C5130" s="51">
        <v>1.01</v>
      </c>
      <c r="D5130" s="51">
        <v>66.0</v>
      </c>
      <c r="E5130" s="52" t="s">
        <v>25</v>
      </c>
      <c r="F5130" s="52" t="s">
        <v>26</v>
      </c>
      <c r="G5130" s="53"/>
    </row>
    <row r="5131">
      <c r="A5131" s="49">
        <v>45074.74396255787</v>
      </c>
      <c r="B5131" s="50">
        <v>45074.868942743</v>
      </c>
      <c r="C5131" s="51">
        <v>1.01</v>
      </c>
      <c r="D5131" s="51">
        <v>66.0</v>
      </c>
      <c r="E5131" s="52" t="s">
        <v>25</v>
      </c>
      <c r="F5131" s="52" t="s">
        <v>26</v>
      </c>
      <c r="G5131" s="53"/>
    </row>
    <row r="5132">
      <c r="A5132" s="49">
        <v>45074.75438296296</v>
      </c>
      <c r="B5132" s="50">
        <v>45074.8793627314</v>
      </c>
      <c r="C5132" s="51">
        <v>1.01</v>
      </c>
      <c r="D5132" s="51">
        <v>66.0</v>
      </c>
      <c r="E5132" s="52" t="s">
        <v>25</v>
      </c>
      <c r="F5132" s="52" t="s">
        <v>26</v>
      </c>
      <c r="G5132" s="53"/>
    </row>
    <row r="5133">
      <c r="A5133" s="49">
        <v>45074.764807037034</v>
      </c>
      <c r="B5133" s="50">
        <v>45074.8897841551</v>
      </c>
      <c r="C5133" s="51">
        <v>1.01</v>
      </c>
      <c r="D5133" s="51">
        <v>66.0</v>
      </c>
      <c r="E5133" s="52" t="s">
        <v>25</v>
      </c>
      <c r="F5133" s="52" t="s">
        <v>26</v>
      </c>
      <c r="G5133" s="53"/>
    </row>
    <row r="5134">
      <c r="A5134" s="49">
        <v>45074.77524664352</v>
      </c>
      <c r="B5134" s="50">
        <v>45074.9002192476</v>
      </c>
      <c r="C5134" s="51">
        <v>1.01</v>
      </c>
      <c r="D5134" s="51">
        <v>66.0</v>
      </c>
      <c r="E5134" s="52" t="s">
        <v>25</v>
      </c>
      <c r="F5134" s="52" t="s">
        <v>26</v>
      </c>
      <c r="G5134" s="53"/>
    </row>
    <row r="5135">
      <c r="A5135" s="49">
        <v>45074.78570475694</v>
      </c>
      <c r="B5135" s="50">
        <v>45074.9106764814</v>
      </c>
      <c r="C5135" s="51">
        <v>1.01</v>
      </c>
      <c r="D5135" s="51">
        <v>66.0</v>
      </c>
      <c r="E5135" s="52" t="s">
        <v>25</v>
      </c>
      <c r="F5135" s="52" t="s">
        <v>26</v>
      </c>
      <c r="G5135" s="53"/>
    </row>
    <row r="5136">
      <c r="A5136" s="49">
        <v>45074.79612090278</v>
      </c>
      <c r="B5136" s="50">
        <v>45074.9210971875</v>
      </c>
      <c r="C5136" s="51">
        <v>1.01</v>
      </c>
      <c r="D5136" s="51">
        <v>66.0</v>
      </c>
      <c r="E5136" s="52" t="s">
        <v>25</v>
      </c>
      <c r="F5136" s="52" t="s">
        <v>26</v>
      </c>
      <c r="G5136" s="53"/>
    </row>
    <row r="5137">
      <c r="A5137" s="49">
        <v>45074.806561377314</v>
      </c>
      <c r="B5137" s="50">
        <v>45074.9315408333</v>
      </c>
      <c r="C5137" s="51">
        <v>1.01</v>
      </c>
      <c r="D5137" s="51">
        <v>66.0</v>
      </c>
      <c r="E5137" s="52" t="s">
        <v>25</v>
      </c>
      <c r="F5137" s="52" t="s">
        <v>26</v>
      </c>
      <c r="G5137" s="53"/>
    </row>
    <row r="5138">
      <c r="A5138" s="49">
        <v>45074.827426250005</v>
      </c>
      <c r="B5138" s="50">
        <v>45074.9523942245</v>
      </c>
      <c r="C5138" s="51">
        <v>1.01</v>
      </c>
      <c r="D5138" s="51">
        <v>66.0</v>
      </c>
      <c r="E5138" s="52" t="s">
        <v>25</v>
      </c>
      <c r="F5138" s="52" t="s">
        <v>26</v>
      </c>
      <c r="G5138" s="53"/>
    </row>
    <row r="5139">
      <c r="A5139" s="49">
        <v>45074.83785193287</v>
      </c>
      <c r="B5139" s="50">
        <v>45074.9628270833</v>
      </c>
      <c r="C5139" s="51">
        <v>1.01</v>
      </c>
      <c r="D5139" s="51">
        <v>66.0</v>
      </c>
      <c r="E5139" s="52" t="s">
        <v>25</v>
      </c>
      <c r="F5139" s="52" t="s">
        <v>26</v>
      </c>
      <c r="G5139" s="53"/>
    </row>
    <row r="5140">
      <c r="A5140" s="49">
        <v>45074.84828450231</v>
      </c>
      <c r="B5140" s="50">
        <v>45074.9732493634</v>
      </c>
      <c r="C5140" s="51">
        <v>1.01</v>
      </c>
      <c r="D5140" s="51">
        <v>66.0</v>
      </c>
      <c r="E5140" s="52" t="s">
        <v>25</v>
      </c>
      <c r="F5140" s="52" t="s">
        <v>26</v>
      </c>
      <c r="G5140" s="53"/>
    </row>
    <row r="5141">
      <c r="A5141" s="49">
        <v>45074.85870979167</v>
      </c>
      <c r="B5141" s="50">
        <v>45074.9836801851</v>
      </c>
      <c r="C5141" s="51">
        <v>1.011</v>
      </c>
      <c r="D5141" s="51">
        <v>66.0</v>
      </c>
      <c r="E5141" s="52" t="s">
        <v>25</v>
      </c>
      <c r="F5141" s="52" t="s">
        <v>26</v>
      </c>
      <c r="G5141" s="53"/>
    </row>
    <row r="5142">
      <c r="A5142" s="49">
        <v>45074.86912743056</v>
      </c>
      <c r="B5142" s="50">
        <v>45074.9941010532</v>
      </c>
      <c r="C5142" s="51">
        <v>1.01</v>
      </c>
      <c r="D5142" s="51">
        <v>66.0</v>
      </c>
      <c r="E5142" s="52" t="s">
        <v>25</v>
      </c>
      <c r="F5142" s="52" t="s">
        <v>26</v>
      </c>
      <c r="G5142" s="53"/>
    </row>
    <row r="5143">
      <c r="A5143" s="49">
        <v>45074.87955542824</v>
      </c>
      <c r="B5143" s="50">
        <v>45075.004534699</v>
      </c>
      <c r="C5143" s="51">
        <v>1.01</v>
      </c>
      <c r="D5143" s="51">
        <v>66.0</v>
      </c>
      <c r="E5143" s="52" t="s">
        <v>25</v>
      </c>
      <c r="F5143" s="52" t="s">
        <v>26</v>
      </c>
      <c r="G5143" s="53"/>
    </row>
    <row r="5144">
      <c r="A5144" s="49">
        <v>45074.890006180554</v>
      </c>
      <c r="B5144" s="50">
        <v>45075.0149795949</v>
      </c>
      <c r="C5144" s="51">
        <v>1.01</v>
      </c>
      <c r="D5144" s="51">
        <v>66.0</v>
      </c>
      <c r="E5144" s="52" t="s">
        <v>25</v>
      </c>
      <c r="F5144" s="52" t="s">
        <v>26</v>
      </c>
      <c r="G5144" s="53"/>
    </row>
    <row r="5145">
      <c r="A5145" s="49">
        <v>45074.900423680556</v>
      </c>
      <c r="B5145" s="50">
        <v>45075.0254004513</v>
      </c>
      <c r="C5145" s="51">
        <v>1.01</v>
      </c>
      <c r="D5145" s="51">
        <v>66.0</v>
      </c>
      <c r="E5145" s="52" t="s">
        <v>25</v>
      </c>
      <c r="F5145" s="52" t="s">
        <v>26</v>
      </c>
      <c r="G5145" s="53"/>
    </row>
    <row r="5146">
      <c r="A5146" s="49">
        <v>45074.910854664355</v>
      </c>
      <c r="B5146" s="50">
        <v>45075.0358230902</v>
      </c>
      <c r="C5146" s="51">
        <v>1.01</v>
      </c>
      <c r="D5146" s="51">
        <v>66.0</v>
      </c>
      <c r="E5146" s="52" t="s">
        <v>25</v>
      </c>
      <c r="F5146" s="52" t="s">
        <v>26</v>
      </c>
      <c r="G5146" s="53"/>
    </row>
    <row r="5147">
      <c r="A5147" s="49">
        <v>45074.92126934028</v>
      </c>
      <c r="B5147" s="50">
        <v>45075.0462436111</v>
      </c>
      <c r="C5147" s="51">
        <v>1.01</v>
      </c>
      <c r="D5147" s="51">
        <v>66.0</v>
      </c>
      <c r="E5147" s="52" t="s">
        <v>25</v>
      </c>
      <c r="F5147" s="52" t="s">
        <v>26</v>
      </c>
      <c r="G5147" s="53"/>
    </row>
    <row r="5148">
      <c r="A5148" s="49">
        <v>45074.9316903588</v>
      </c>
      <c r="B5148" s="50">
        <v>45075.0566649652</v>
      </c>
      <c r="C5148" s="51">
        <v>1.01</v>
      </c>
      <c r="D5148" s="51">
        <v>66.0</v>
      </c>
      <c r="E5148" s="52" t="s">
        <v>25</v>
      </c>
      <c r="F5148" s="52" t="s">
        <v>26</v>
      </c>
      <c r="G5148" s="53"/>
    </row>
    <row r="5149">
      <c r="A5149" s="49">
        <v>45074.94211559028</v>
      </c>
      <c r="B5149" s="50">
        <v>45075.0670870601</v>
      </c>
      <c r="C5149" s="51">
        <v>1.01</v>
      </c>
      <c r="D5149" s="51">
        <v>66.0</v>
      </c>
      <c r="E5149" s="52" t="s">
        <v>25</v>
      </c>
      <c r="F5149" s="52" t="s">
        <v>26</v>
      </c>
      <c r="G5149" s="53"/>
    </row>
    <row r="5150">
      <c r="A5150" s="49">
        <v>45074.952548113426</v>
      </c>
      <c r="B5150" s="50">
        <v>45075.0775084722</v>
      </c>
      <c r="C5150" s="51">
        <v>1.01</v>
      </c>
      <c r="D5150" s="51">
        <v>66.0</v>
      </c>
      <c r="E5150" s="52" t="s">
        <v>25</v>
      </c>
      <c r="F5150" s="52" t="s">
        <v>26</v>
      </c>
      <c r="G5150" s="53"/>
    </row>
    <row r="5151">
      <c r="A5151" s="49">
        <v>45074.962955625</v>
      </c>
      <c r="B5151" s="50">
        <v>45075.0879264699</v>
      </c>
      <c r="C5151" s="51">
        <v>1.01</v>
      </c>
      <c r="D5151" s="51">
        <v>66.0</v>
      </c>
      <c r="E5151" s="52" t="s">
        <v>25</v>
      </c>
      <c r="F5151" s="52" t="s">
        <v>26</v>
      </c>
      <c r="G5151" s="53"/>
    </row>
    <row r="5152">
      <c r="A5152" s="49">
        <v>45074.97337008102</v>
      </c>
      <c r="B5152" s="50">
        <v>45075.0983457291</v>
      </c>
      <c r="C5152" s="51">
        <v>1.01</v>
      </c>
      <c r="D5152" s="51">
        <v>66.0</v>
      </c>
      <c r="E5152" s="52" t="s">
        <v>25</v>
      </c>
      <c r="F5152" s="52" t="s">
        <v>26</v>
      </c>
      <c r="G5152" s="53"/>
    </row>
    <row r="5153">
      <c r="A5153" s="49">
        <v>45074.983802627314</v>
      </c>
      <c r="B5153" s="50">
        <v>45075.1087688078</v>
      </c>
      <c r="C5153" s="51">
        <v>1.01</v>
      </c>
      <c r="D5153" s="51">
        <v>66.0</v>
      </c>
      <c r="E5153" s="52" t="s">
        <v>25</v>
      </c>
      <c r="F5153" s="52" t="s">
        <v>26</v>
      </c>
      <c r="G5153" s="53"/>
    </row>
    <row r="5154">
      <c r="A5154" s="49">
        <v>45074.994226967596</v>
      </c>
      <c r="B5154" s="50">
        <v>45075.1192013888</v>
      </c>
      <c r="C5154" s="51">
        <v>1.01</v>
      </c>
      <c r="D5154" s="51">
        <v>66.0</v>
      </c>
      <c r="E5154" s="52" t="s">
        <v>25</v>
      </c>
      <c r="F5154" s="52" t="s">
        <v>26</v>
      </c>
      <c r="G5154" s="53"/>
    </row>
    <row r="5155">
      <c r="A5155" s="49">
        <v>45075.004665775465</v>
      </c>
      <c r="B5155" s="50">
        <v>45075.1296452893</v>
      </c>
      <c r="C5155" s="51">
        <v>1.01</v>
      </c>
      <c r="D5155" s="51">
        <v>66.0</v>
      </c>
      <c r="E5155" s="52" t="s">
        <v>25</v>
      </c>
      <c r="F5155" s="52" t="s">
        <v>26</v>
      </c>
      <c r="G5155" s="53"/>
    </row>
    <row r="5156">
      <c r="A5156" s="49">
        <v>45075.01509223379</v>
      </c>
      <c r="B5156" s="50">
        <v>45075.1400660879</v>
      </c>
      <c r="C5156" s="51">
        <v>1.01</v>
      </c>
      <c r="D5156" s="51">
        <v>66.0</v>
      </c>
      <c r="E5156" s="52" t="s">
        <v>25</v>
      </c>
      <c r="F5156" s="52" t="s">
        <v>26</v>
      </c>
      <c r="G5156" s="53"/>
    </row>
    <row r="5157">
      <c r="A5157" s="49">
        <v>45075.02552469907</v>
      </c>
      <c r="B5157" s="50">
        <v>45075.1504988078</v>
      </c>
      <c r="C5157" s="51">
        <v>1.01</v>
      </c>
      <c r="D5157" s="51">
        <v>66.0</v>
      </c>
      <c r="E5157" s="52" t="s">
        <v>25</v>
      </c>
      <c r="F5157" s="52" t="s">
        <v>26</v>
      </c>
      <c r="G5157" s="53"/>
    </row>
    <row r="5158">
      <c r="A5158" s="49">
        <v>45075.035973645834</v>
      </c>
      <c r="B5158" s="50">
        <v>45075.1609449768</v>
      </c>
      <c r="C5158" s="51">
        <v>1.01</v>
      </c>
      <c r="D5158" s="51">
        <v>66.0</v>
      </c>
      <c r="E5158" s="52" t="s">
        <v>25</v>
      </c>
      <c r="F5158" s="52" t="s">
        <v>26</v>
      </c>
      <c r="G5158" s="53"/>
    </row>
    <row r="5159">
      <c r="A5159" s="49">
        <v>45075.04639149306</v>
      </c>
      <c r="B5159" s="50">
        <v>45075.1713673842</v>
      </c>
      <c r="C5159" s="51">
        <v>1.01</v>
      </c>
      <c r="D5159" s="51">
        <v>66.0</v>
      </c>
      <c r="E5159" s="52" t="s">
        <v>25</v>
      </c>
      <c r="F5159" s="52" t="s">
        <v>26</v>
      </c>
      <c r="G5159" s="53"/>
    </row>
    <row r="5160">
      <c r="A5160" s="49">
        <v>45075.05681681713</v>
      </c>
      <c r="B5160" s="50">
        <v>45075.1817894212</v>
      </c>
      <c r="C5160" s="51">
        <v>1.01</v>
      </c>
      <c r="D5160" s="51">
        <v>66.0</v>
      </c>
      <c r="E5160" s="52" t="s">
        <v>25</v>
      </c>
      <c r="F5160" s="52" t="s">
        <v>26</v>
      </c>
      <c r="G5160" s="53"/>
    </row>
    <row r="5161">
      <c r="A5161" s="49">
        <v>45075.067270879634</v>
      </c>
      <c r="B5161" s="50">
        <v>45075.1922456018</v>
      </c>
      <c r="C5161" s="51">
        <v>1.01</v>
      </c>
      <c r="D5161" s="51">
        <v>66.0</v>
      </c>
      <c r="E5161" s="52" t="s">
        <v>25</v>
      </c>
      <c r="F5161" s="52" t="s">
        <v>26</v>
      </c>
      <c r="G5161" s="53"/>
    </row>
    <row r="5162">
      <c r="A5162" s="49">
        <v>45075.077719085646</v>
      </c>
      <c r="B5162" s="50">
        <v>45075.2026886226</v>
      </c>
      <c r="C5162" s="51">
        <v>1.01</v>
      </c>
      <c r="D5162" s="51">
        <v>66.0</v>
      </c>
      <c r="E5162" s="52" t="s">
        <v>25</v>
      </c>
      <c r="F5162" s="52" t="s">
        <v>26</v>
      </c>
      <c r="G5162" s="53"/>
    </row>
    <row r="5163">
      <c r="A5163" s="49">
        <v>45075.0881491551</v>
      </c>
      <c r="B5163" s="50">
        <v>45075.2131210416</v>
      </c>
      <c r="C5163" s="51">
        <v>1.01</v>
      </c>
      <c r="D5163" s="51">
        <v>66.0</v>
      </c>
      <c r="E5163" s="52" t="s">
        <v>25</v>
      </c>
      <c r="F5163" s="52" t="s">
        <v>26</v>
      </c>
      <c r="G5163" s="53"/>
    </row>
    <row r="5164">
      <c r="A5164" s="49">
        <v>45075.09856460648</v>
      </c>
      <c r="B5164" s="50">
        <v>45075.223542199</v>
      </c>
      <c r="C5164" s="51">
        <v>1.01</v>
      </c>
      <c r="D5164" s="51">
        <v>66.0</v>
      </c>
      <c r="E5164" s="52" t="s">
        <v>25</v>
      </c>
      <c r="F5164" s="52" t="s">
        <v>26</v>
      </c>
      <c r="G5164" s="53"/>
    </row>
    <row r="5165">
      <c r="A5165" s="49">
        <v>45075.10902267361</v>
      </c>
      <c r="B5165" s="50">
        <v>45075.2339960416</v>
      </c>
      <c r="C5165" s="51">
        <v>1.01</v>
      </c>
      <c r="D5165" s="51">
        <v>66.0</v>
      </c>
      <c r="E5165" s="52" t="s">
        <v>25</v>
      </c>
      <c r="F5165" s="52" t="s">
        <v>26</v>
      </c>
      <c r="G5165" s="53"/>
    </row>
    <row r="5166">
      <c r="A5166" s="49">
        <v>45075.1194416088</v>
      </c>
      <c r="B5166" s="50">
        <v>45075.2444175231</v>
      </c>
      <c r="C5166" s="51">
        <v>1.01</v>
      </c>
      <c r="D5166" s="51">
        <v>66.0</v>
      </c>
      <c r="E5166" s="52" t="s">
        <v>25</v>
      </c>
      <c r="F5166" s="52" t="s">
        <v>26</v>
      </c>
      <c r="G5166" s="53"/>
    </row>
    <row r="5167">
      <c r="A5167" s="49">
        <v>45075.12987047454</v>
      </c>
      <c r="B5167" s="50">
        <v>45075.2548387847</v>
      </c>
      <c r="C5167" s="51">
        <v>1.01</v>
      </c>
      <c r="D5167" s="51">
        <v>66.0</v>
      </c>
      <c r="E5167" s="52" t="s">
        <v>25</v>
      </c>
      <c r="F5167" s="52" t="s">
        <v>26</v>
      </c>
      <c r="G5167" s="53"/>
    </row>
    <row r="5168">
      <c r="A5168" s="49">
        <v>45075.14028990741</v>
      </c>
      <c r="B5168" s="50">
        <v>45075.265258912</v>
      </c>
      <c r="C5168" s="51">
        <v>1.01</v>
      </c>
      <c r="D5168" s="51">
        <v>66.0</v>
      </c>
      <c r="E5168" s="52" t="s">
        <v>25</v>
      </c>
      <c r="F5168" s="52" t="s">
        <v>26</v>
      </c>
      <c r="G5168" s="53"/>
    </row>
    <row r="5169">
      <c r="A5169" s="49">
        <v>45075.150722025464</v>
      </c>
      <c r="B5169" s="50">
        <v>45075.2756924768</v>
      </c>
      <c r="C5169" s="51">
        <v>1.01</v>
      </c>
      <c r="D5169" s="51">
        <v>66.0</v>
      </c>
      <c r="E5169" s="52" t="s">
        <v>25</v>
      </c>
      <c r="F5169" s="52" t="s">
        <v>26</v>
      </c>
      <c r="G5169" s="53"/>
    </row>
    <row r="5170">
      <c r="A5170" s="49">
        <v>45075.16113891204</v>
      </c>
      <c r="B5170" s="50">
        <v>45075.2861115046</v>
      </c>
      <c r="C5170" s="51">
        <v>1.01</v>
      </c>
      <c r="D5170" s="51">
        <v>66.0</v>
      </c>
      <c r="E5170" s="52" t="s">
        <v>25</v>
      </c>
      <c r="F5170" s="52" t="s">
        <v>26</v>
      </c>
      <c r="G5170" s="53"/>
    </row>
    <row r="5171">
      <c r="A5171" s="49">
        <v>45075.17155701389</v>
      </c>
      <c r="B5171" s="50">
        <v>45075.296532743</v>
      </c>
      <c r="C5171" s="51">
        <v>1.01</v>
      </c>
      <c r="D5171" s="51">
        <v>66.0</v>
      </c>
      <c r="E5171" s="52" t="s">
        <v>25</v>
      </c>
      <c r="F5171" s="52" t="s">
        <v>26</v>
      </c>
      <c r="G5171" s="53"/>
    </row>
    <row r="5172">
      <c r="A5172" s="49">
        <v>45075.18198678241</v>
      </c>
      <c r="B5172" s="50">
        <v>45075.3069542824</v>
      </c>
      <c r="C5172" s="51">
        <v>1.01</v>
      </c>
      <c r="D5172" s="51">
        <v>66.0</v>
      </c>
      <c r="E5172" s="52" t="s">
        <v>25</v>
      </c>
      <c r="F5172" s="52" t="s">
        <v>26</v>
      </c>
      <c r="G5172" s="53"/>
    </row>
    <row r="5173">
      <c r="A5173" s="49">
        <v>45075.19240359953</v>
      </c>
      <c r="B5173" s="50">
        <v>45075.3173731481</v>
      </c>
      <c r="C5173" s="51">
        <v>1.01</v>
      </c>
      <c r="D5173" s="51">
        <v>66.0</v>
      </c>
      <c r="E5173" s="52" t="s">
        <v>25</v>
      </c>
      <c r="F5173" s="52" t="s">
        <v>26</v>
      </c>
      <c r="G5173" s="53"/>
    </row>
    <row r="5174">
      <c r="A5174" s="49">
        <v>45075.20281471065</v>
      </c>
      <c r="B5174" s="50">
        <v>45075.3277937847</v>
      </c>
      <c r="C5174" s="51">
        <v>1.01</v>
      </c>
      <c r="D5174" s="51">
        <v>66.0</v>
      </c>
      <c r="E5174" s="52" t="s">
        <v>25</v>
      </c>
      <c r="F5174" s="52" t="s">
        <v>26</v>
      </c>
      <c r="G5174" s="53"/>
    </row>
    <row r="5175">
      <c r="A5175" s="49">
        <v>45075.21324394676</v>
      </c>
      <c r="B5175" s="50">
        <v>45075.3382157638</v>
      </c>
      <c r="C5175" s="51">
        <v>1.01</v>
      </c>
      <c r="D5175" s="51">
        <v>66.0</v>
      </c>
      <c r="E5175" s="52" t="s">
        <v>25</v>
      </c>
      <c r="F5175" s="52" t="s">
        <v>26</v>
      </c>
      <c r="G5175" s="53"/>
    </row>
    <row r="5176">
      <c r="A5176" s="49">
        <v>45075.223670810185</v>
      </c>
      <c r="B5176" s="50">
        <v>45075.348636493</v>
      </c>
      <c r="C5176" s="51">
        <v>1.01</v>
      </c>
      <c r="D5176" s="51">
        <v>66.0</v>
      </c>
      <c r="E5176" s="52" t="s">
        <v>25</v>
      </c>
      <c r="F5176" s="52" t="s">
        <v>26</v>
      </c>
      <c r="G5176" s="53"/>
    </row>
    <row r="5177">
      <c r="A5177" s="49">
        <v>45075.234086956014</v>
      </c>
      <c r="B5177" s="50">
        <v>45075.3590565277</v>
      </c>
      <c r="C5177" s="51">
        <v>1.01</v>
      </c>
      <c r="D5177" s="51">
        <v>66.0</v>
      </c>
      <c r="E5177" s="52" t="s">
        <v>25</v>
      </c>
      <c r="F5177" s="52" t="s">
        <v>26</v>
      </c>
      <c r="G5177" s="53"/>
    </row>
    <row r="5178">
      <c r="A5178" s="49">
        <v>45075.24450559028</v>
      </c>
      <c r="B5178" s="50">
        <v>45075.3694785532</v>
      </c>
      <c r="C5178" s="51">
        <v>1.01</v>
      </c>
      <c r="D5178" s="51">
        <v>66.0</v>
      </c>
      <c r="E5178" s="52" t="s">
        <v>25</v>
      </c>
      <c r="F5178" s="52" t="s">
        <v>26</v>
      </c>
      <c r="G5178" s="53"/>
    </row>
    <row r="5179">
      <c r="A5179" s="49">
        <v>45075.254924444445</v>
      </c>
      <c r="B5179" s="50">
        <v>45075.379899375</v>
      </c>
      <c r="C5179" s="51">
        <v>1.01</v>
      </c>
      <c r="D5179" s="51">
        <v>66.0</v>
      </c>
      <c r="E5179" s="52" t="s">
        <v>25</v>
      </c>
      <c r="F5179" s="52" t="s">
        <v>26</v>
      </c>
      <c r="G5179" s="53"/>
    </row>
    <row r="5180">
      <c r="A5180" s="49">
        <v>45075.2653468287</v>
      </c>
      <c r="B5180" s="50">
        <v>45075.3903188426</v>
      </c>
      <c r="C5180" s="51">
        <v>1.01</v>
      </c>
      <c r="D5180" s="51">
        <v>66.0</v>
      </c>
      <c r="E5180" s="52" t="s">
        <v>25</v>
      </c>
      <c r="F5180" s="52" t="s">
        <v>26</v>
      </c>
      <c r="G5180" s="53"/>
    </row>
    <row r="5181">
      <c r="A5181" s="49">
        <v>45075.27577057871</v>
      </c>
      <c r="B5181" s="50">
        <v>45075.400740081</v>
      </c>
      <c r="C5181" s="51">
        <v>1.01</v>
      </c>
      <c r="D5181" s="51">
        <v>66.0</v>
      </c>
      <c r="E5181" s="52" t="s">
        <v>25</v>
      </c>
      <c r="F5181" s="52" t="s">
        <v>26</v>
      </c>
      <c r="G5181" s="53"/>
    </row>
    <row r="5182">
      <c r="A5182" s="49">
        <v>45075.28624559028</v>
      </c>
      <c r="B5182" s="50">
        <v>45075.4111712731</v>
      </c>
      <c r="C5182" s="51">
        <v>1.01</v>
      </c>
      <c r="D5182" s="51">
        <v>66.0</v>
      </c>
      <c r="E5182" s="52" t="s">
        <v>25</v>
      </c>
      <c r="F5182" s="52" t="s">
        <v>26</v>
      </c>
      <c r="G5182" s="53"/>
    </row>
    <row r="5183">
      <c r="A5183" s="49">
        <v>45075.29662310185</v>
      </c>
      <c r="B5183" s="50">
        <v>45075.4216035532</v>
      </c>
      <c r="C5183" s="51">
        <v>1.01</v>
      </c>
      <c r="D5183" s="51">
        <v>66.0</v>
      </c>
      <c r="E5183" s="52" t="s">
        <v>25</v>
      </c>
      <c r="F5183" s="52" t="s">
        <v>26</v>
      </c>
      <c r="G5183" s="53"/>
    </row>
    <row r="5184">
      <c r="A5184" s="49">
        <v>45075.3070506713</v>
      </c>
      <c r="B5184" s="50">
        <v>45075.4320242361</v>
      </c>
      <c r="C5184" s="51">
        <v>1.01</v>
      </c>
      <c r="D5184" s="51">
        <v>66.0</v>
      </c>
      <c r="E5184" s="52" t="s">
        <v>25</v>
      </c>
      <c r="F5184" s="52" t="s">
        <v>26</v>
      </c>
      <c r="G5184" s="53"/>
    </row>
    <row r="5185">
      <c r="A5185" s="49">
        <v>45075.31746959491</v>
      </c>
      <c r="B5185" s="50">
        <v>45075.4424455324</v>
      </c>
      <c r="C5185" s="51">
        <v>1.01</v>
      </c>
      <c r="D5185" s="51">
        <v>66.0</v>
      </c>
      <c r="E5185" s="52" t="s">
        <v>25</v>
      </c>
      <c r="F5185" s="52" t="s">
        <v>26</v>
      </c>
      <c r="G5185" s="53"/>
    </row>
    <row r="5186">
      <c r="A5186" s="49">
        <v>45075.3278853125</v>
      </c>
      <c r="B5186" s="50">
        <v>45075.4528667708</v>
      </c>
      <c r="C5186" s="51">
        <v>1.01</v>
      </c>
      <c r="D5186" s="51">
        <v>66.0</v>
      </c>
      <c r="E5186" s="52" t="s">
        <v>25</v>
      </c>
      <c r="F5186" s="52" t="s">
        <v>26</v>
      </c>
      <c r="G5186" s="53"/>
    </row>
    <row r="5187">
      <c r="A5187" s="49">
        <v>45075.33832087963</v>
      </c>
      <c r="B5187" s="50">
        <v>45075.4632876157</v>
      </c>
      <c r="C5187" s="51">
        <v>1.01</v>
      </c>
      <c r="D5187" s="51">
        <v>66.0</v>
      </c>
      <c r="E5187" s="52" t="s">
        <v>25</v>
      </c>
      <c r="F5187" s="52" t="s">
        <v>26</v>
      </c>
      <c r="G5187" s="53"/>
    </row>
    <row r="5188">
      <c r="A5188" s="49">
        <v>45075.34874037037</v>
      </c>
      <c r="B5188" s="50">
        <v>45075.4737111342</v>
      </c>
      <c r="C5188" s="51">
        <v>1.01</v>
      </c>
      <c r="D5188" s="51">
        <v>66.0</v>
      </c>
      <c r="E5188" s="52" t="s">
        <v>25</v>
      </c>
      <c r="F5188" s="52" t="s">
        <v>26</v>
      </c>
      <c r="G5188" s="53"/>
    </row>
    <row r="5189">
      <c r="A5189" s="49">
        <v>45075.69273686342</v>
      </c>
      <c r="B5189" s="50">
        <v>45075.8177077314</v>
      </c>
      <c r="C5189" s="51">
        <v>1.01</v>
      </c>
      <c r="D5189" s="51">
        <v>66.0</v>
      </c>
      <c r="E5189" s="52" t="s">
        <v>25</v>
      </c>
      <c r="F5189" s="52" t="s">
        <v>26</v>
      </c>
      <c r="G5189" s="53"/>
    </row>
    <row r="5190">
      <c r="A5190" s="49">
        <v>45075.70314780093</v>
      </c>
      <c r="B5190" s="50">
        <v>45075.8281290277</v>
      </c>
      <c r="C5190" s="51">
        <v>1.01</v>
      </c>
      <c r="D5190" s="51">
        <v>66.0</v>
      </c>
      <c r="E5190" s="52" t="s">
        <v>25</v>
      </c>
      <c r="F5190" s="52" t="s">
        <v>26</v>
      </c>
      <c r="G5190" s="53"/>
    </row>
    <row r="5191">
      <c r="A5191" s="49">
        <v>45075.71358993056</v>
      </c>
      <c r="B5191" s="50">
        <v>45075.8385619097</v>
      </c>
      <c r="C5191" s="51">
        <v>1.01</v>
      </c>
      <c r="D5191" s="51">
        <v>66.0</v>
      </c>
      <c r="E5191" s="52" t="s">
        <v>25</v>
      </c>
      <c r="F5191" s="52" t="s">
        <v>26</v>
      </c>
      <c r="G5191" s="53"/>
    </row>
    <row r="5192">
      <c r="A5192" s="49">
        <v>45075.724012175924</v>
      </c>
      <c r="B5192" s="50">
        <v>45075.8489824652</v>
      </c>
      <c r="C5192" s="51">
        <v>1.01</v>
      </c>
      <c r="D5192" s="51">
        <v>66.0</v>
      </c>
      <c r="E5192" s="52" t="s">
        <v>25</v>
      </c>
      <c r="F5192" s="52" t="s">
        <v>26</v>
      </c>
      <c r="G5192" s="53"/>
    </row>
    <row r="5193">
      <c r="A5193" s="49">
        <v>45075.73442315972</v>
      </c>
      <c r="B5193" s="50">
        <v>45075.8594028009</v>
      </c>
      <c r="C5193" s="51">
        <v>1.01</v>
      </c>
      <c r="D5193" s="51">
        <v>66.0</v>
      </c>
      <c r="E5193" s="52" t="s">
        <v>25</v>
      </c>
      <c r="F5193" s="52" t="s">
        <v>26</v>
      </c>
      <c r="G5193" s="53"/>
    </row>
    <row r="5194">
      <c r="A5194" s="49">
        <v>45075.74486416667</v>
      </c>
      <c r="B5194" s="50">
        <v>45075.8698353703</v>
      </c>
      <c r="C5194" s="51">
        <v>1.01</v>
      </c>
      <c r="D5194" s="51">
        <v>66.0</v>
      </c>
      <c r="E5194" s="52" t="s">
        <v>25</v>
      </c>
      <c r="F5194" s="52" t="s">
        <v>26</v>
      </c>
      <c r="G5194" s="53"/>
    </row>
    <row r="5195">
      <c r="A5195" s="49">
        <v>45075.7553093287</v>
      </c>
      <c r="B5195" s="50">
        <v>45075.8802802314</v>
      </c>
      <c r="C5195" s="51">
        <v>1.01</v>
      </c>
      <c r="D5195" s="51">
        <v>66.0</v>
      </c>
      <c r="E5195" s="52" t="s">
        <v>25</v>
      </c>
      <c r="F5195" s="52" t="s">
        <v>26</v>
      </c>
      <c r="G5195" s="53"/>
    </row>
    <row r="5196">
      <c r="A5196" s="49">
        <v>45075.76573075232</v>
      </c>
      <c r="B5196" s="50">
        <v>45075.8907022453</v>
      </c>
      <c r="C5196" s="51">
        <v>1.009</v>
      </c>
      <c r="D5196" s="51">
        <v>66.0</v>
      </c>
      <c r="E5196" s="52" t="s">
        <v>25</v>
      </c>
      <c r="F5196" s="52" t="s">
        <v>26</v>
      </c>
      <c r="G5196" s="53"/>
    </row>
    <row r="5197">
      <c r="A5197" s="49">
        <v>45075.776153136576</v>
      </c>
      <c r="B5197" s="50">
        <v>45075.901135</v>
      </c>
      <c r="C5197" s="51">
        <v>1.01</v>
      </c>
      <c r="D5197" s="51">
        <v>66.0</v>
      </c>
      <c r="E5197" s="52" t="s">
        <v>25</v>
      </c>
      <c r="F5197" s="52" t="s">
        <v>26</v>
      </c>
      <c r="G5197" s="53"/>
    </row>
    <row r="5198">
      <c r="A5198" s="49">
        <v>45075.786578506944</v>
      </c>
      <c r="B5198" s="50">
        <v>45075.9115561921</v>
      </c>
      <c r="C5198" s="51">
        <v>1.01</v>
      </c>
      <c r="D5198" s="51">
        <v>66.0</v>
      </c>
      <c r="E5198" s="52" t="s">
        <v>25</v>
      </c>
      <c r="F5198" s="52" t="s">
        <v>26</v>
      </c>
      <c r="G5198" s="53"/>
    </row>
    <row r="5199">
      <c r="A5199" s="49">
        <v>45075.797004085645</v>
      </c>
      <c r="B5199" s="50">
        <v>45075.9219772338</v>
      </c>
      <c r="C5199" s="51">
        <v>1.01</v>
      </c>
      <c r="D5199" s="51">
        <v>66.0</v>
      </c>
      <c r="E5199" s="52" t="s">
        <v>25</v>
      </c>
      <c r="F5199" s="52" t="s">
        <v>26</v>
      </c>
      <c r="G5199" s="53"/>
    </row>
    <row r="5200">
      <c r="A5200" s="49">
        <v>45075.807438668984</v>
      </c>
      <c r="B5200" s="50">
        <v>45075.9324091088</v>
      </c>
      <c r="C5200" s="51">
        <v>1.01</v>
      </c>
      <c r="D5200" s="51">
        <v>66.0</v>
      </c>
      <c r="E5200" s="52" t="s">
        <v>25</v>
      </c>
      <c r="F5200" s="52" t="s">
        <v>26</v>
      </c>
      <c r="G5200" s="53"/>
    </row>
    <row r="5201">
      <c r="A5201" s="49">
        <v>45075.817860717594</v>
      </c>
      <c r="B5201" s="50">
        <v>45075.9428312384</v>
      </c>
      <c r="C5201" s="51">
        <v>1.01</v>
      </c>
      <c r="D5201" s="51">
        <v>66.0</v>
      </c>
      <c r="E5201" s="52" t="s">
        <v>25</v>
      </c>
      <c r="F5201" s="52" t="s">
        <v>26</v>
      </c>
      <c r="G5201" s="53"/>
    </row>
    <row r="5202">
      <c r="A5202" s="49">
        <v>45075.82827675926</v>
      </c>
      <c r="B5202" s="50">
        <v>45075.9532515277</v>
      </c>
      <c r="C5202" s="51">
        <v>1.01</v>
      </c>
      <c r="D5202" s="51">
        <v>66.0</v>
      </c>
      <c r="E5202" s="52" t="s">
        <v>25</v>
      </c>
      <c r="F5202" s="52" t="s">
        <v>26</v>
      </c>
      <c r="G5202" s="53"/>
    </row>
    <row r="5203">
      <c r="A5203" s="49">
        <v>45075.83870554398</v>
      </c>
      <c r="B5203" s="50">
        <v>45075.9636843055</v>
      </c>
      <c r="C5203" s="51">
        <v>1.01</v>
      </c>
      <c r="D5203" s="51">
        <v>66.0</v>
      </c>
      <c r="E5203" s="52" t="s">
        <v>25</v>
      </c>
      <c r="F5203" s="52" t="s">
        <v>26</v>
      </c>
      <c r="G5203" s="53"/>
    </row>
    <row r="5204">
      <c r="A5204" s="49">
        <v>45075.84914082176</v>
      </c>
      <c r="B5204" s="50">
        <v>45075.9741058449</v>
      </c>
      <c r="C5204" s="51">
        <v>1.01</v>
      </c>
      <c r="D5204" s="51">
        <v>66.0</v>
      </c>
      <c r="E5204" s="52" t="s">
        <v>25</v>
      </c>
      <c r="F5204" s="52" t="s">
        <v>26</v>
      </c>
      <c r="G5204" s="53"/>
    </row>
    <row r="5205">
      <c r="A5205" s="49">
        <v>45075.859555937495</v>
      </c>
      <c r="B5205" s="50">
        <v>45075.9845256134</v>
      </c>
      <c r="C5205" s="51">
        <v>1.01</v>
      </c>
      <c r="D5205" s="51">
        <v>66.0</v>
      </c>
      <c r="E5205" s="52" t="s">
        <v>25</v>
      </c>
      <c r="F5205" s="52" t="s">
        <v>26</v>
      </c>
      <c r="G5205" s="53"/>
    </row>
    <row r="5206">
      <c r="A5206" s="49">
        <v>45075.86998541666</v>
      </c>
      <c r="B5206" s="50">
        <v>45075.9949587037</v>
      </c>
      <c r="C5206" s="51">
        <v>1.01</v>
      </c>
      <c r="D5206" s="51">
        <v>66.0</v>
      </c>
      <c r="E5206" s="52" t="s">
        <v>25</v>
      </c>
      <c r="F5206" s="52" t="s">
        <v>26</v>
      </c>
      <c r="G5206" s="53"/>
    </row>
    <row r="5207">
      <c r="A5207" s="49">
        <v>45075.88040306713</v>
      </c>
      <c r="B5207" s="50">
        <v>45076.0053804051</v>
      </c>
      <c r="C5207" s="51">
        <v>1.01</v>
      </c>
      <c r="D5207" s="51">
        <v>66.0</v>
      </c>
      <c r="E5207" s="52" t="s">
        <v>25</v>
      </c>
      <c r="F5207" s="52" t="s">
        <v>26</v>
      </c>
      <c r="G5207" s="53"/>
    </row>
    <row r="5208">
      <c r="A5208" s="49">
        <v>45075.890835046295</v>
      </c>
      <c r="B5208" s="50">
        <v>45076.0158132638</v>
      </c>
      <c r="C5208" s="51">
        <v>1.01</v>
      </c>
      <c r="D5208" s="51">
        <v>66.0</v>
      </c>
      <c r="E5208" s="52" t="s">
        <v>25</v>
      </c>
      <c r="F5208" s="52" t="s">
        <v>26</v>
      </c>
      <c r="G5208" s="53"/>
    </row>
    <row r="5209">
      <c r="A5209" s="49">
        <v>45075.90127621528</v>
      </c>
      <c r="B5209" s="50">
        <v>45076.0262458912</v>
      </c>
      <c r="C5209" s="51">
        <v>1.01</v>
      </c>
      <c r="D5209" s="51">
        <v>66.0</v>
      </c>
      <c r="E5209" s="52" t="s">
        <v>25</v>
      </c>
      <c r="F5209" s="52" t="s">
        <v>26</v>
      </c>
      <c r="G5209" s="53"/>
    </row>
    <row r="5210">
      <c r="A5210" s="49">
        <v>45075.91169146991</v>
      </c>
      <c r="B5210" s="50">
        <v>45076.0366679166</v>
      </c>
      <c r="C5210" s="51">
        <v>1.01</v>
      </c>
      <c r="D5210" s="51">
        <v>66.0</v>
      </c>
      <c r="E5210" s="52" t="s">
        <v>25</v>
      </c>
      <c r="F5210" s="52" t="s">
        <v>26</v>
      </c>
      <c r="G5210" s="53"/>
    </row>
    <row r="5211">
      <c r="A5211" s="49">
        <v>45075.92212966435</v>
      </c>
      <c r="B5211" s="50">
        <v>45076.047101331</v>
      </c>
      <c r="C5211" s="51">
        <v>1.01</v>
      </c>
      <c r="D5211" s="51">
        <v>66.0</v>
      </c>
      <c r="E5211" s="52" t="s">
        <v>25</v>
      </c>
      <c r="F5211" s="52" t="s">
        <v>26</v>
      </c>
      <c r="G5211" s="53"/>
    </row>
    <row r="5212">
      <c r="A5212" s="49">
        <v>45075.93255222222</v>
      </c>
      <c r="B5212" s="50">
        <v>45076.0575240509</v>
      </c>
      <c r="C5212" s="51">
        <v>1.01</v>
      </c>
      <c r="D5212" s="51">
        <v>66.0</v>
      </c>
      <c r="E5212" s="52" t="s">
        <v>25</v>
      </c>
      <c r="F5212" s="52" t="s">
        <v>26</v>
      </c>
      <c r="G5212" s="53"/>
    </row>
    <row r="5213">
      <c r="A5213" s="49">
        <v>45075.942983263885</v>
      </c>
      <c r="B5213" s="50">
        <v>45076.0679578472</v>
      </c>
      <c r="C5213" s="51">
        <v>1.01</v>
      </c>
      <c r="D5213" s="51">
        <v>66.0</v>
      </c>
      <c r="E5213" s="52" t="s">
        <v>25</v>
      </c>
      <c r="F5213" s="52" t="s">
        <v>26</v>
      </c>
      <c r="G5213" s="53"/>
    </row>
    <row r="5214">
      <c r="A5214" s="49">
        <v>45075.95341023148</v>
      </c>
      <c r="B5214" s="50">
        <v>45076.0783784375</v>
      </c>
      <c r="C5214" s="51">
        <v>1.01</v>
      </c>
      <c r="D5214" s="51">
        <v>66.0</v>
      </c>
      <c r="E5214" s="52" t="s">
        <v>25</v>
      </c>
      <c r="F5214" s="52" t="s">
        <v>26</v>
      </c>
      <c r="G5214" s="53"/>
    </row>
    <row r="5215">
      <c r="A5215" s="49">
        <v>45075.96383636574</v>
      </c>
      <c r="B5215" s="50">
        <v>45076.0888003819</v>
      </c>
      <c r="C5215" s="51">
        <v>1.01</v>
      </c>
      <c r="D5215" s="51">
        <v>66.0</v>
      </c>
      <c r="E5215" s="52" t="s">
        <v>25</v>
      </c>
      <c r="F5215" s="52" t="s">
        <v>26</v>
      </c>
      <c r="G5215" s="53"/>
    </row>
    <row r="5216">
      <c r="A5216" s="49">
        <v>45075.974246134254</v>
      </c>
      <c r="B5216" s="50">
        <v>45076.0992223032</v>
      </c>
      <c r="C5216" s="51">
        <v>1.01</v>
      </c>
      <c r="D5216" s="51">
        <v>66.0</v>
      </c>
      <c r="E5216" s="52" t="s">
        <v>25</v>
      </c>
      <c r="F5216" s="52" t="s">
        <v>26</v>
      </c>
      <c r="G5216" s="53"/>
    </row>
    <row r="5217">
      <c r="A5217" s="49">
        <v>45075.98467065972</v>
      </c>
      <c r="B5217" s="50">
        <v>45076.1096429861</v>
      </c>
      <c r="C5217" s="51">
        <v>1.009</v>
      </c>
      <c r="D5217" s="51">
        <v>66.0</v>
      </c>
      <c r="E5217" s="52" t="s">
        <v>25</v>
      </c>
      <c r="F5217" s="52" t="s">
        <v>26</v>
      </c>
      <c r="G5217" s="53"/>
    </row>
    <row r="5218">
      <c r="A5218" s="49">
        <v>45075.99509568287</v>
      </c>
      <c r="B5218" s="50">
        <v>45076.1200644444</v>
      </c>
      <c r="C5218" s="51">
        <v>1.01</v>
      </c>
      <c r="D5218" s="51">
        <v>66.0</v>
      </c>
      <c r="E5218" s="52" t="s">
        <v>25</v>
      </c>
      <c r="F5218" s="52" t="s">
        <v>26</v>
      </c>
      <c r="G5218" s="53"/>
    </row>
    <row r="5219">
      <c r="A5219" s="49">
        <v>45076.00552744213</v>
      </c>
      <c r="B5219" s="50">
        <v>45076.1304978125</v>
      </c>
      <c r="C5219" s="51">
        <v>1.01</v>
      </c>
      <c r="D5219" s="51">
        <v>66.0</v>
      </c>
      <c r="E5219" s="52" t="s">
        <v>25</v>
      </c>
      <c r="F5219" s="52" t="s">
        <v>26</v>
      </c>
      <c r="G5219" s="53"/>
    </row>
    <row r="5220">
      <c r="A5220" s="49">
        <v>45076.015939571764</v>
      </c>
      <c r="B5220" s="50">
        <v>45076.1409185648</v>
      </c>
      <c r="C5220" s="51">
        <v>1.01</v>
      </c>
      <c r="D5220" s="51">
        <v>66.0</v>
      </c>
      <c r="E5220" s="52" t="s">
        <v>25</v>
      </c>
      <c r="F5220" s="52" t="s">
        <v>26</v>
      </c>
      <c r="G5220" s="53"/>
    </row>
    <row r="5221">
      <c r="A5221" s="49">
        <v>45076.02637670139</v>
      </c>
      <c r="B5221" s="50">
        <v>45076.1513508796</v>
      </c>
      <c r="C5221" s="51">
        <v>1.01</v>
      </c>
      <c r="D5221" s="51">
        <v>66.0</v>
      </c>
      <c r="E5221" s="52" t="s">
        <v>25</v>
      </c>
      <c r="F5221" s="52" t="s">
        <v>26</v>
      </c>
      <c r="G5221" s="53"/>
    </row>
    <row r="5222">
      <c r="A5222" s="49">
        <v>45076.03680135417</v>
      </c>
      <c r="B5222" s="50">
        <v>45076.1617729513</v>
      </c>
      <c r="C5222" s="51">
        <v>1.01</v>
      </c>
      <c r="D5222" s="51">
        <v>66.0</v>
      </c>
      <c r="E5222" s="52" t="s">
        <v>25</v>
      </c>
      <c r="F5222" s="52" t="s">
        <v>26</v>
      </c>
      <c r="G5222" s="53"/>
    </row>
    <row r="5223">
      <c r="A5223" s="49">
        <v>45076.0472262963</v>
      </c>
      <c r="B5223" s="50">
        <v>45076.1721949074</v>
      </c>
      <c r="C5223" s="51">
        <v>1.01</v>
      </c>
      <c r="D5223" s="51">
        <v>66.0</v>
      </c>
      <c r="E5223" s="52" t="s">
        <v>25</v>
      </c>
      <c r="F5223" s="52" t="s">
        <v>26</v>
      </c>
      <c r="G5223" s="53"/>
    </row>
    <row r="5224">
      <c r="A5224" s="49">
        <v>45076.05764506945</v>
      </c>
      <c r="B5224" s="50">
        <v>45076.182615324</v>
      </c>
      <c r="C5224" s="51">
        <v>1.01</v>
      </c>
      <c r="D5224" s="51">
        <v>66.0</v>
      </c>
      <c r="E5224" s="52" t="s">
        <v>25</v>
      </c>
      <c r="F5224" s="52" t="s">
        <v>26</v>
      </c>
      <c r="G5224" s="53"/>
    </row>
    <row r="5225">
      <c r="A5225" s="49">
        <v>45076.06812200231</v>
      </c>
      <c r="B5225" s="50">
        <v>45076.1930362615</v>
      </c>
      <c r="C5225" s="51">
        <v>1.01</v>
      </c>
      <c r="D5225" s="51">
        <v>66.0</v>
      </c>
      <c r="E5225" s="52" t="s">
        <v>25</v>
      </c>
      <c r="F5225" s="52" t="s">
        <v>26</v>
      </c>
      <c r="G5225" s="53"/>
    </row>
    <row r="5226">
      <c r="A5226" s="49">
        <v>45076.07850072917</v>
      </c>
      <c r="B5226" s="50">
        <v>45076.2034694907</v>
      </c>
      <c r="C5226" s="51">
        <v>1.01</v>
      </c>
      <c r="D5226" s="51">
        <v>66.0</v>
      </c>
      <c r="E5226" s="52" t="s">
        <v>25</v>
      </c>
      <c r="F5226" s="52" t="s">
        <v>26</v>
      </c>
      <c r="G5226" s="53"/>
    </row>
    <row r="5227">
      <c r="A5227" s="49">
        <v>45076.088933101855</v>
      </c>
      <c r="B5227" s="50">
        <v>45076.2139041088</v>
      </c>
      <c r="C5227" s="51">
        <v>1.01</v>
      </c>
      <c r="D5227" s="51">
        <v>66.0</v>
      </c>
      <c r="E5227" s="52" t="s">
        <v>25</v>
      </c>
      <c r="F5227" s="52" t="s">
        <v>26</v>
      </c>
      <c r="G5227" s="53"/>
    </row>
    <row r="5228">
      <c r="A5228" s="49">
        <v>45076.09935071759</v>
      </c>
      <c r="B5228" s="50">
        <v>45076.2243249074</v>
      </c>
      <c r="C5228" s="51">
        <v>1.01</v>
      </c>
      <c r="D5228" s="51">
        <v>66.0</v>
      </c>
      <c r="E5228" s="52" t="s">
        <v>25</v>
      </c>
      <c r="F5228" s="52" t="s">
        <v>26</v>
      </c>
      <c r="G5228" s="53"/>
    </row>
    <row r="5229">
      <c r="A5229" s="49">
        <v>45076.109769965275</v>
      </c>
      <c r="B5229" s="50">
        <v>45076.2347454051</v>
      </c>
      <c r="C5229" s="51">
        <v>1.01</v>
      </c>
      <c r="D5229" s="51">
        <v>66.0</v>
      </c>
      <c r="E5229" s="52" t="s">
        <v>25</v>
      </c>
      <c r="F5229" s="52" t="s">
        <v>26</v>
      </c>
      <c r="G5229" s="53"/>
    </row>
    <row r="5230">
      <c r="A5230" s="49">
        <v>45076.120197303244</v>
      </c>
      <c r="B5230" s="50">
        <v>45076.2451680092</v>
      </c>
      <c r="C5230" s="51">
        <v>1.01</v>
      </c>
      <c r="D5230" s="51">
        <v>66.0</v>
      </c>
      <c r="E5230" s="52" t="s">
        <v>25</v>
      </c>
      <c r="F5230" s="52" t="s">
        <v>26</v>
      </c>
      <c r="G5230" s="53"/>
    </row>
    <row r="5231">
      <c r="A5231" s="49">
        <v>45076.13061122685</v>
      </c>
      <c r="B5231" s="50">
        <v>45076.2555884375</v>
      </c>
      <c r="C5231" s="51">
        <v>1.01</v>
      </c>
      <c r="D5231" s="51">
        <v>66.0</v>
      </c>
      <c r="E5231" s="52" t="s">
        <v>25</v>
      </c>
      <c r="F5231" s="52" t="s">
        <v>26</v>
      </c>
      <c r="G5231" s="53"/>
    </row>
    <row r="5232">
      <c r="A5232" s="49">
        <v>45076.14104449074</v>
      </c>
      <c r="B5232" s="50">
        <v>45076.2660114583</v>
      </c>
      <c r="C5232" s="51">
        <v>1.01</v>
      </c>
      <c r="D5232" s="51">
        <v>66.0</v>
      </c>
      <c r="E5232" s="52" t="s">
        <v>25</v>
      </c>
      <c r="F5232" s="52" t="s">
        <v>26</v>
      </c>
      <c r="G5232" s="53"/>
    </row>
    <row r="5233">
      <c r="A5233" s="49">
        <v>45076.15148247685</v>
      </c>
      <c r="B5233" s="50">
        <v>45076.2764555439</v>
      </c>
      <c r="C5233" s="51">
        <v>1.01</v>
      </c>
      <c r="D5233" s="51">
        <v>66.0</v>
      </c>
      <c r="E5233" s="52" t="s">
        <v>25</v>
      </c>
      <c r="F5233" s="52" t="s">
        <v>26</v>
      </c>
      <c r="G5233" s="53"/>
    </row>
    <row r="5234">
      <c r="A5234" s="49">
        <v>45076.16190313657</v>
      </c>
      <c r="B5234" s="50">
        <v>45076.2868766666</v>
      </c>
      <c r="C5234" s="51">
        <v>1.01</v>
      </c>
      <c r="D5234" s="51">
        <v>66.0</v>
      </c>
      <c r="E5234" s="52" t="s">
        <v>25</v>
      </c>
      <c r="F5234" s="52" t="s">
        <v>26</v>
      </c>
      <c r="G5234" s="53"/>
    </row>
    <row r="5235">
      <c r="A5235" s="49">
        <v>45076.17231814815</v>
      </c>
      <c r="B5235" s="50">
        <v>45076.2972952199</v>
      </c>
      <c r="C5235" s="51">
        <v>1.01</v>
      </c>
      <c r="D5235" s="51">
        <v>66.0</v>
      </c>
      <c r="E5235" s="52" t="s">
        <v>25</v>
      </c>
      <c r="F5235" s="52" t="s">
        <v>26</v>
      </c>
      <c r="G5235" s="53"/>
    </row>
    <row r="5236">
      <c r="A5236" s="49">
        <v>45076.182737800926</v>
      </c>
      <c r="B5236" s="50">
        <v>45076.3077159838</v>
      </c>
      <c r="C5236" s="51">
        <v>1.01</v>
      </c>
      <c r="D5236" s="51">
        <v>66.0</v>
      </c>
      <c r="E5236" s="52" t="s">
        <v>25</v>
      </c>
      <c r="F5236" s="52" t="s">
        <v>26</v>
      </c>
      <c r="G5236" s="53"/>
    </row>
    <row r="5237">
      <c r="A5237" s="49">
        <v>45076.193161250005</v>
      </c>
      <c r="B5237" s="50">
        <v>45076.3181362731</v>
      </c>
      <c r="C5237" s="51">
        <v>1.01</v>
      </c>
      <c r="D5237" s="51">
        <v>66.0</v>
      </c>
      <c r="E5237" s="52" t="s">
        <v>25</v>
      </c>
      <c r="F5237" s="52" t="s">
        <v>26</v>
      </c>
      <c r="G5237" s="53"/>
    </row>
    <row r="5238">
      <c r="A5238" s="49">
        <v>45076.21401165509</v>
      </c>
      <c r="B5238" s="50">
        <v>45076.3389783796</v>
      </c>
      <c r="C5238" s="51">
        <v>1.01</v>
      </c>
      <c r="D5238" s="51">
        <v>66.0</v>
      </c>
      <c r="E5238" s="52" t="s">
        <v>25</v>
      </c>
      <c r="F5238" s="52" t="s">
        <v>26</v>
      </c>
      <c r="G5238" s="53"/>
    </row>
    <row r="5239">
      <c r="A5239" s="49">
        <v>45076.22442846065</v>
      </c>
      <c r="B5239" s="50">
        <v>45076.3494012037</v>
      </c>
      <c r="C5239" s="51">
        <v>1.01</v>
      </c>
      <c r="D5239" s="51">
        <v>66.0</v>
      </c>
      <c r="E5239" s="52" t="s">
        <v>25</v>
      </c>
      <c r="F5239" s="52" t="s">
        <v>26</v>
      </c>
      <c r="G5239" s="53"/>
    </row>
    <row r="5240">
      <c r="A5240" s="49">
        <v>45076.23485342592</v>
      </c>
      <c r="B5240" s="50">
        <v>45076.3598240972</v>
      </c>
      <c r="C5240" s="51">
        <v>1.01</v>
      </c>
      <c r="D5240" s="51">
        <v>66.0</v>
      </c>
      <c r="E5240" s="52" t="s">
        <v>25</v>
      </c>
      <c r="F5240" s="52" t="s">
        <v>26</v>
      </c>
      <c r="G5240" s="53"/>
    </row>
    <row r="5241">
      <c r="A5241" s="49">
        <v>45076.24526792824</v>
      </c>
      <c r="B5241" s="50">
        <v>45076.3702440162</v>
      </c>
      <c r="C5241" s="51">
        <v>1.01</v>
      </c>
      <c r="D5241" s="51">
        <v>66.0</v>
      </c>
      <c r="E5241" s="52" t="s">
        <v>25</v>
      </c>
      <c r="F5241" s="52" t="s">
        <v>26</v>
      </c>
      <c r="G5241" s="53"/>
    </row>
    <row r="5242">
      <c r="A5242" s="49">
        <v>45076.25569892361</v>
      </c>
      <c r="B5242" s="50">
        <v>45076.3806647916</v>
      </c>
      <c r="C5242" s="51">
        <v>1.01</v>
      </c>
      <c r="D5242" s="51">
        <v>66.0</v>
      </c>
      <c r="E5242" s="52" t="s">
        <v>25</v>
      </c>
      <c r="F5242" s="52" t="s">
        <v>26</v>
      </c>
      <c r="G5242" s="53"/>
    </row>
    <row r="5243">
      <c r="A5243" s="49">
        <v>45076.26611667824</v>
      </c>
      <c r="B5243" s="50">
        <v>45076.39108478</v>
      </c>
      <c r="C5243" s="51">
        <v>1.01</v>
      </c>
      <c r="D5243" s="51">
        <v>66.0</v>
      </c>
      <c r="E5243" s="52" t="s">
        <v>25</v>
      </c>
      <c r="F5243" s="52" t="s">
        <v>26</v>
      </c>
      <c r="G5243" s="53"/>
    </row>
    <row r="5244">
      <c r="A5244" s="49">
        <v>45076.27653587963</v>
      </c>
      <c r="B5244" s="50">
        <v>45076.4015059722</v>
      </c>
      <c r="C5244" s="51">
        <v>1.01</v>
      </c>
      <c r="D5244" s="51">
        <v>66.0</v>
      </c>
      <c r="E5244" s="52" t="s">
        <v>25</v>
      </c>
      <c r="F5244" s="52" t="s">
        <v>26</v>
      </c>
      <c r="G5244" s="53"/>
    </row>
    <row r="5245">
      <c r="A5245" s="49">
        <v>45076.28695583333</v>
      </c>
      <c r="B5245" s="50">
        <v>45076.4119255439</v>
      </c>
      <c r="C5245" s="51">
        <v>1.01</v>
      </c>
      <c r="D5245" s="51">
        <v>66.0</v>
      </c>
      <c r="E5245" s="52" t="s">
        <v>25</v>
      </c>
      <c r="F5245" s="52" t="s">
        <v>26</v>
      </c>
      <c r="G5245" s="53"/>
    </row>
    <row r="5246">
      <c r="A5246" s="49">
        <v>45076.29737774306</v>
      </c>
      <c r="B5246" s="50">
        <v>45076.4223483449</v>
      </c>
      <c r="C5246" s="51">
        <v>1.01</v>
      </c>
      <c r="D5246" s="51">
        <v>66.0</v>
      </c>
      <c r="E5246" s="52" t="s">
        <v>25</v>
      </c>
      <c r="F5246" s="52" t="s">
        <v>26</v>
      </c>
      <c r="G5246" s="53"/>
    </row>
    <row r="5247">
      <c r="A5247" s="49">
        <v>45076.30780030093</v>
      </c>
      <c r="B5247" s="50">
        <v>45076.4327703356</v>
      </c>
      <c r="C5247" s="51">
        <v>1.01</v>
      </c>
      <c r="D5247" s="51">
        <v>66.0</v>
      </c>
      <c r="E5247" s="52" t="s">
        <v>25</v>
      </c>
      <c r="F5247" s="52" t="s">
        <v>26</v>
      </c>
      <c r="G5247" s="53"/>
    </row>
    <row r="5248">
      <c r="A5248" s="49">
        <v>45076.31822637732</v>
      </c>
      <c r="B5248" s="50">
        <v>45076.44319228</v>
      </c>
      <c r="C5248" s="51">
        <v>1.01</v>
      </c>
      <c r="D5248" s="51">
        <v>66.0</v>
      </c>
      <c r="E5248" s="52" t="s">
        <v>25</v>
      </c>
      <c r="F5248" s="52" t="s">
        <v>26</v>
      </c>
      <c r="G5248" s="53"/>
    </row>
    <row r="5249">
      <c r="A5249" s="49">
        <v>45076.32864313657</v>
      </c>
      <c r="B5249" s="50">
        <v>45076.4536140972</v>
      </c>
      <c r="C5249" s="51">
        <v>1.01</v>
      </c>
      <c r="D5249" s="51">
        <v>66.0</v>
      </c>
      <c r="E5249" s="52" t="s">
        <v>25</v>
      </c>
      <c r="F5249" s="52" t="s">
        <v>26</v>
      </c>
      <c r="G5249" s="53"/>
    </row>
    <row r="5250">
      <c r="A5250" s="49">
        <v>45076.339064583335</v>
      </c>
      <c r="B5250" s="50">
        <v>45076.464035405</v>
      </c>
      <c r="C5250" s="51">
        <v>1.01</v>
      </c>
      <c r="D5250" s="51">
        <v>66.0</v>
      </c>
      <c r="E5250" s="52" t="s">
        <v>25</v>
      </c>
      <c r="F5250" s="52" t="s">
        <v>26</v>
      </c>
      <c r="G5250" s="53"/>
    </row>
    <row r="5251">
      <c r="A5251" s="49">
        <v>45076.3495027662</v>
      </c>
      <c r="B5251" s="50">
        <v>45076.4744798611</v>
      </c>
      <c r="C5251" s="51">
        <v>1.01</v>
      </c>
      <c r="D5251" s="51">
        <v>66.0</v>
      </c>
      <c r="E5251" s="52" t="s">
        <v>25</v>
      </c>
      <c r="F5251" s="52" t="s">
        <v>26</v>
      </c>
      <c r="G5251" s="53"/>
    </row>
    <row r="5252">
      <c r="A5252" s="49">
        <v>45076.35992291667</v>
      </c>
      <c r="B5252" s="50">
        <v>45076.4849019676</v>
      </c>
      <c r="C5252" s="51">
        <v>1.01</v>
      </c>
      <c r="D5252" s="51">
        <v>66.0</v>
      </c>
      <c r="E5252" s="52" t="s">
        <v>25</v>
      </c>
      <c r="F5252" s="52" t="s">
        <v>26</v>
      </c>
      <c r="G5252" s="53"/>
    </row>
    <row r="5253">
      <c r="A5253" s="49">
        <v>45076.37034494213</v>
      </c>
      <c r="B5253" s="50">
        <v>45076.4953202893</v>
      </c>
      <c r="C5253" s="51">
        <v>1.01</v>
      </c>
      <c r="D5253" s="51">
        <v>66.0</v>
      </c>
      <c r="E5253" s="52" t="s">
        <v>25</v>
      </c>
      <c r="F5253" s="52" t="s">
        <v>26</v>
      </c>
      <c r="G5253" s="53"/>
    </row>
    <row r="5254">
      <c r="A5254" s="49">
        <v>45076.38077157407</v>
      </c>
      <c r="B5254" s="50">
        <v>45076.5057425694</v>
      </c>
      <c r="C5254" s="51">
        <v>1.01</v>
      </c>
      <c r="D5254" s="51">
        <v>66.0</v>
      </c>
      <c r="E5254" s="52" t="s">
        <v>25</v>
      </c>
      <c r="F5254" s="52" t="s">
        <v>26</v>
      </c>
      <c r="G5254" s="53"/>
    </row>
    <row r="5255">
      <c r="A5255" s="49">
        <v>45076.39118704861</v>
      </c>
      <c r="B5255" s="50">
        <v>45076.5161642939</v>
      </c>
      <c r="C5255" s="51">
        <v>1.01</v>
      </c>
      <c r="D5255" s="51">
        <v>66.0</v>
      </c>
      <c r="E5255" s="52" t="s">
        <v>25</v>
      </c>
      <c r="F5255" s="52" t="s">
        <v>26</v>
      </c>
      <c r="G5255" s="53"/>
    </row>
    <row r="5256">
      <c r="A5256" s="49">
        <v>45076.4016171875</v>
      </c>
      <c r="B5256" s="50">
        <v>45076.5265859143</v>
      </c>
      <c r="C5256" s="51">
        <v>1.01</v>
      </c>
      <c r="D5256" s="51">
        <v>66.0</v>
      </c>
      <c r="E5256" s="52" t="s">
        <v>25</v>
      </c>
      <c r="F5256" s="52" t="s">
        <v>26</v>
      </c>
      <c r="G5256" s="53"/>
    </row>
    <row r="5257">
      <c r="A5257" s="49">
        <v>45076.41203327547</v>
      </c>
      <c r="B5257" s="50">
        <v>45076.5370071875</v>
      </c>
      <c r="C5257" s="51">
        <v>1.01</v>
      </c>
      <c r="D5257" s="51">
        <v>66.0</v>
      </c>
      <c r="E5257" s="52" t="s">
        <v>25</v>
      </c>
      <c r="F5257" s="52" t="s">
        <v>26</v>
      </c>
      <c r="G5257" s="53"/>
    </row>
    <row r="5258">
      <c r="A5258" s="49">
        <v>45076.42245590278</v>
      </c>
      <c r="B5258" s="50">
        <v>45076.5474287847</v>
      </c>
      <c r="C5258" s="51">
        <v>1.01</v>
      </c>
      <c r="D5258" s="51">
        <v>66.0</v>
      </c>
      <c r="E5258" s="52" t="s">
        <v>25</v>
      </c>
      <c r="F5258" s="52" t="s">
        <v>26</v>
      </c>
      <c r="G5258" s="53"/>
    </row>
    <row r="5259">
      <c r="A5259" s="49">
        <v>45076.43288094907</v>
      </c>
      <c r="B5259" s="50">
        <v>45076.5578499305</v>
      </c>
      <c r="C5259" s="51">
        <v>1.01</v>
      </c>
      <c r="D5259" s="51">
        <v>66.0</v>
      </c>
      <c r="E5259" s="52" t="s">
        <v>25</v>
      </c>
      <c r="F5259" s="52" t="s">
        <v>26</v>
      </c>
      <c r="G5259" s="53"/>
    </row>
    <row r="5260">
      <c r="A5260" s="49">
        <v>45076.443291435186</v>
      </c>
      <c r="B5260" s="50">
        <v>45076.5682709953</v>
      </c>
      <c r="C5260" s="51">
        <v>1.01</v>
      </c>
      <c r="D5260" s="51">
        <v>66.0</v>
      </c>
      <c r="E5260" s="52" t="s">
        <v>25</v>
      </c>
      <c r="F5260" s="52" t="s">
        <v>26</v>
      </c>
      <c r="G5260" s="53"/>
    </row>
    <row r="5261">
      <c r="A5261" s="49">
        <v>45076.453713842595</v>
      </c>
      <c r="B5261" s="50">
        <v>45076.5786943518</v>
      </c>
      <c r="C5261" s="51">
        <v>1.01</v>
      </c>
      <c r="D5261" s="51">
        <v>66.0</v>
      </c>
      <c r="E5261" s="52" t="s">
        <v>25</v>
      </c>
      <c r="F5261" s="52" t="s">
        <v>26</v>
      </c>
      <c r="G5261" s="53"/>
    </row>
    <row r="5262">
      <c r="A5262" s="49">
        <v>45076.46414635416</v>
      </c>
      <c r="B5262" s="50">
        <v>45076.5891159953</v>
      </c>
      <c r="C5262" s="51">
        <v>1.01</v>
      </c>
      <c r="D5262" s="51">
        <v>66.0</v>
      </c>
      <c r="E5262" s="52" t="s">
        <v>25</v>
      </c>
      <c r="F5262" s="52" t="s">
        <v>26</v>
      </c>
      <c r="G5262" s="53"/>
    </row>
    <row r="5263">
      <c r="A5263" s="49">
        <v>45076.47460101852</v>
      </c>
      <c r="B5263" s="50">
        <v>45076.5995717476</v>
      </c>
      <c r="C5263" s="51">
        <v>1.01</v>
      </c>
      <c r="D5263" s="51">
        <v>66.0</v>
      </c>
      <c r="E5263" s="52" t="s">
        <v>25</v>
      </c>
      <c r="F5263" s="52" t="s">
        <v>26</v>
      </c>
      <c r="G5263" s="53"/>
    </row>
    <row r="5264">
      <c r="A5264" s="49">
        <v>45076.485013541664</v>
      </c>
      <c r="B5264" s="50">
        <v>45076.609993287</v>
      </c>
      <c r="C5264" s="51">
        <v>1.01</v>
      </c>
      <c r="D5264" s="51">
        <v>66.0</v>
      </c>
      <c r="E5264" s="52" t="s">
        <v>25</v>
      </c>
      <c r="F5264" s="52" t="s">
        <v>26</v>
      </c>
      <c r="G5264" s="53"/>
    </row>
    <row r="5265">
      <c r="A5265" s="49">
        <v>45076.495439652776</v>
      </c>
      <c r="B5265" s="50">
        <v>45076.6204149884</v>
      </c>
      <c r="C5265" s="51">
        <v>1.01</v>
      </c>
      <c r="D5265" s="51">
        <v>66.0</v>
      </c>
      <c r="E5265" s="52" t="s">
        <v>25</v>
      </c>
      <c r="F5265" s="52" t="s">
        <v>26</v>
      </c>
      <c r="G5265" s="53"/>
    </row>
    <row r="5266">
      <c r="A5266" s="49">
        <v>45076.50586751157</v>
      </c>
      <c r="B5266" s="50">
        <v>45076.6308359722</v>
      </c>
      <c r="C5266" s="51">
        <v>1.01</v>
      </c>
      <c r="D5266" s="51">
        <v>66.0</v>
      </c>
      <c r="E5266" s="52" t="s">
        <v>25</v>
      </c>
      <c r="F5266" s="52" t="s">
        <v>26</v>
      </c>
      <c r="G5266" s="53"/>
    </row>
    <row r="5267">
      <c r="A5267" s="49">
        <v>45076.51629484954</v>
      </c>
      <c r="B5267" s="50">
        <v>45076.641269074</v>
      </c>
      <c r="C5267" s="51">
        <v>1.01</v>
      </c>
      <c r="D5267" s="51">
        <v>66.0</v>
      </c>
      <c r="E5267" s="52" t="s">
        <v>25</v>
      </c>
      <c r="F5267" s="52" t="s">
        <v>26</v>
      </c>
      <c r="G5267" s="53"/>
    </row>
    <row r="5268">
      <c r="A5268" s="49">
        <v>45076.52671762732</v>
      </c>
      <c r="B5268" s="50">
        <v>45076.6516887963</v>
      </c>
      <c r="C5268" s="51">
        <v>1.01</v>
      </c>
      <c r="D5268" s="51">
        <v>66.0</v>
      </c>
      <c r="E5268" s="52" t="s">
        <v>25</v>
      </c>
      <c r="F5268" s="52" t="s">
        <v>26</v>
      </c>
      <c r="G5268" s="53"/>
    </row>
    <row r="5269">
      <c r="A5269" s="49">
        <v>45076.53712952546</v>
      </c>
      <c r="B5269" s="50">
        <v>45076.6621100578</v>
      </c>
      <c r="C5269" s="51">
        <v>1.01</v>
      </c>
      <c r="D5269" s="51">
        <v>66.0</v>
      </c>
      <c r="E5269" s="52" t="s">
        <v>25</v>
      </c>
      <c r="F5269" s="52" t="s">
        <v>26</v>
      </c>
      <c r="G5269" s="53"/>
    </row>
    <row r="5270">
      <c r="A5270" s="49">
        <v>45076.5475506713</v>
      </c>
      <c r="B5270" s="50">
        <v>45076.6725333217</v>
      </c>
      <c r="C5270" s="51">
        <v>1.009</v>
      </c>
      <c r="D5270" s="51">
        <v>66.0</v>
      </c>
      <c r="E5270" s="52" t="s">
        <v>25</v>
      </c>
      <c r="F5270" s="52" t="s">
        <v>26</v>
      </c>
      <c r="G5270" s="53"/>
    </row>
    <row r="5271">
      <c r="A5271" s="49">
        <v>45076.55800559028</v>
      </c>
      <c r="B5271" s="50">
        <v>45076.6829776273</v>
      </c>
      <c r="C5271" s="51">
        <v>1.01</v>
      </c>
      <c r="D5271" s="51">
        <v>66.0</v>
      </c>
      <c r="E5271" s="52" t="s">
        <v>25</v>
      </c>
      <c r="F5271" s="52" t="s">
        <v>26</v>
      </c>
      <c r="G5271" s="53"/>
    </row>
    <row r="5272">
      <c r="A5272" s="49">
        <v>45076.5684225</v>
      </c>
      <c r="B5272" s="50">
        <v>45076.6933980439</v>
      </c>
      <c r="C5272" s="51">
        <v>1.01</v>
      </c>
      <c r="D5272" s="51">
        <v>66.0</v>
      </c>
      <c r="E5272" s="52" t="s">
        <v>25</v>
      </c>
      <c r="F5272" s="52" t="s">
        <v>26</v>
      </c>
      <c r="G5272" s="53"/>
    </row>
    <row r="5273">
      <c r="A5273" s="49">
        <v>45076.57884982639</v>
      </c>
      <c r="B5273" s="50">
        <v>45076.703819456</v>
      </c>
      <c r="C5273" s="51">
        <v>1.009</v>
      </c>
      <c r="D5273" s="51">
        <v>66.0</v>
      </c>
      <c r="E5273" s="52" t="s">
        <v>25</v>
      </c>
      <c r="F5273" s="52" t="s">
        <v>26</v>
      </c>
      <c r="G5273" s="53"/>
    </row>
    <row r="5274">
      <c r="A5274" s="49">
        <v>45076.58927574074</v>
      </c>
      <c r="B5274" s="50">
        <v>45076.7142540856</v>
      </c>
      <c r="C5274" s="51">
        <v>1.01</v>
      </c>
      <c r="D5274" s="51">
        <v>66.0</v>
      </c>
      <c r="E5274" s="52" t="s">
        <v>25</v>
      </c>
      <c r="F5274" s="52" t="s">
        <v>26</v>
      </c>
      <c r="G5274" s="53"/>
    </row>
    <row r="5275">
      <c r="A5275" s="49">
        <v>45076.59969541666</v>
      </c>
      <c r="B5275" s="50">
        <v>45076.7246752199</v>
      </c>
      <c r="C5275" s="51">
        <v>1.01</v>
      </c>
      <c r="D5275" s="51">
        <v>66.0</v>
      </c>
      <c r="E5275" s="52" t="s">
        <v>25</v>
      </c>
      <c r="F5275" s="52" t="s">
        <v>26</v>
      </c>
      <c r="G5275" s="53"/>
    </row>
    <row r="5276">
      <c r="A5276" s="49">
        <v>45076.61013164352</v>
      </c>
      <c r="B5276" s="50">
        <v>45076.7351077083</v>
      </c>
      <c r="C5276" s="51">
        <v>1.01</v>
      </c>
      <c r="D5276" s="51">
        <v>66.0</v>
      </c>
      <c r="E5276" s="52" t="s">
        <v>25</v>
      </c>
      <c r="F5276" s="52" t="s">
        <v>26</v>
      </c>
      <c r="G5276" s="53"/>
    </row>
    <row r="5277">
      <c r="A5277" s="49">
        <v>45076.62057167824</v>
      </c>
      <c r="B5277" s="50">
        <v>45076.7455422222</v>
      </c>
      <c r="C5277" s="51">
        <v>1.009</v>
      </c>
      <c r="D5277" s="51">
        <v>66.0</v>
      </c>
      <c r="E5277" s="52" t="s">
        <v>25</v>
      </c>
      <c r="F5277" s="52" t="s">
        <v>26</v>
      </c>
      <c r="G5277" s="53"/>
    </row>
    <row r="5278">
      <c r="A5278" s="49">
        <v>45076.63098274305</v>
      </c>
      <c r="B5278" s="50">
        <v>45076.7559618634</v>
      </c>
      <c r="C5278" s="51">
        <v>1.01</v>
      </c>
      <c r="D5278" s="51">
        <v>66.0</v>
      </c>
      <c r="E5278" s="52" t="s">
        <v>25</v>
      </c>
      <c r="F5278" s="52" t="s">
        <v>26</v>
      </c>
      <c r="G5278" s="53"/>
    </row>
    <row r="5279">
      <c r="A5279" s="49">
        <v>45076.64141038194</v>
      </c>
      <c r="B5279" s="50">
        <v>45076.7663849074</v>
      </c>
      <c r="C5279" s="51">
        <v>1.01</v>
      </c>
      <c r="D5279" s="51">
        <v>66.0</v>
      </c>
      <c r="E5279" s="52" t="s">
        <v>25</v>
      </c>
      <c r="F5279" s="52" t="s">
        <v>26</v>
      </c>
      <c r="G5279" s="53"/>
    </row>
    <row r="5280">
      <c r="A5280" s="49">
        <v>45076.6518343287</v>
      </c>
      <c r="B5280" s="50">
        <v>45076.7768073263</v>
      </c>
      <c r="C5280" s="51">
        <v>1.009</v>
      </c>
      <c r="D5280" s="51">
        <v>66.0</v>
      </c>
      <c r="E5280" s="52" t="s">
        <v>25</v>
      </c>
      <c r="F5280" s="52" t="s">
        <v>26</v>
      </c>
      <c r="G5280" s="53"/>
    </row>
    <row r="5281">
      <c r="A5281" s="49">
        <v>45076.66227017361</v>
      </c>
      <c r="B5281" s="50">
        <v>45076.7872429745</v>
      </c>
      <c r="C5281" s="51">
        <v>1.009</v>
      </c>
      <c r="D5281" s="51">
        <v>66.0</v>
      </c>
      <c r="E5281" s="52" t="s">
        <v>25</v>
      </c>
      <c r="F5281" s="52" t="s">
        <v>26</v>
      </c>
      <c r="G5281" s="53"/>
    </row>
    <row r="5282">
      <c r="A5282" s="49">
        <v>45076.67268984954</v>
      </c>
      <c r="B5282" s="50">
        <v>45076.7976653356</v>
      </c>
      <c r="C5282" s="51">
        <v>1.01</v>
      </c>
      <c r="D5282" s="51">
        <v>66.0</v>
      </c>
      <c r="E5282" s="52" t="s">
        <v>25</v>
      </c>
      <c r="F5282" s="52" t="s">
        <v>26</v>
      </c>
      <c r="G5282" s="53"/>
    </row>
    <row r="5283">
      <c r="A5283" s="49">
        <v>45076.68310616898</v>
      </c>
      <c r="B5283" s="50">
        <v>45076.8080871064</v>
      </c>
      <c r="C5283" s="51">
        <v>1.01</v>
      </c>
      <c r="D5283" s="51">
        <v>66.0</v>
      </c>
      <c r="E5283" s="52" t="s">
        <v>25</v>
      </c>
      <c r="F5283" s="52" t="s">
        <v>26</v>
      </c>
      <c r="G5283" s="53"/>
    </row>
    <row r="5284">
      <c r="A5284" s="49">
        <v>45076.6935380787</v>
      </c>
      <c r="B5284" s="50">
        <v>45076.8185070486</v>
      </c>
      <c r="C5284" s="51">
        <v>1.01</v>
      </c>
      <c r="D5284" s="51">
        <v>66.0</v>
      </c>
      <c r="E5284" s="52" t="s">
        <v>25</v>
      </c>
      <c r="F5284" s="52" t="s">
        <v>26</v>
      </c>
      <c r="G5284" s="53"/>
    </row>
    <row r="5285">
      <c r="A5285" s="49">
        <v>45076.703975833334</v>
      </c>
      <c r="B5285" s="50">
        <v>45076.8289509143</v>
      </c>
      <c r="C5285" s="51">
        <v>1.01</v>
      </c>
      <c r="D5285" s="51">
        <v>66.0</v>
      </c>
      <c r="E5285" s="52" t="s">
        <v>25</v>
      </c>
      <c r="F5285" s="52" t="s">
        <v>26</v>
      </c>
      <c r="G5285" s="53"/>
    </row>
    <row r="5286">
      <c r="A5286" s="49">
        <v>45076.71439451389</v>
      </c>
      <c r="B5286" s="50">
        <v>45076.839372199</v>
      </c>
      <c r="C5286" s="51">
        <v>1.01</v>
      </c>
      <c r="D5286" s="51">
        <v>66.0</v>
      </c>
      <c r="E5286" s="52" t="s">
        <v>25</v>
      </c>
      <c r="F5286" s="52" t="s">
        <v>26</v>
      </c>
      <c r="G5286" s="53"/>
    </row>
    <row r="5287">
      <c r="A5287" s="49">
        <v>45076.724833935186</v>
      </c>
      <c r="B5287" s="50">
        <v>45076.8498164814</v>
      </c>
      <c r="C5287" s="51">
        <v>1.01</v>
      </c>
      <c r="D5287" s="51">
        <v>66.0</v>
      </c>
      <c r="E5287" s="52" t="s">
        <v>25</v>
      </c>
      <c r="F5287" s="52" t="s">
        <v>26</v>
      </c>
      <c r="G5287" s="53"/>
    </row>
    <row r="5288">
      <c r="A5288" s="49">
        <v>45076.7352587037</v>
      </c>
      <c r="B5288" s="50">
        <v>45076.8602368402</v>
      </c>
      <c r="C5288" s="51">
        <v>1.01</v>
      </c>
      <c r="D5288" s="51">
        <v>66.0</v>
      </c>
      <c r="E5288" s="52" t="s">
        <v>25</v>
      </c>
      <c r="F5288" s="52" t="s">
        <v>26</v>
      </c>
      <c r="G5288" s="53"/>
    </row>
    <row r="5289">
      <c r="A5289" s="49">
        <v>45076.74569556713</v>
      </c>
      <c r="B5289" s="50">
        <v>45076.8706701041</v>
      </c>
      <c r="C5289" s="51">
        <v>1.01</v>
      </c>
      <c r="D5289" s="51">
        <v>66.0</v>
      </c>
      <c r="E5289" s="52" t="s">
        <v>25</v>
      </c>
      <c r="F5289" s="52" t="s">
        <v>26</v>
      </c>
      <c r="G5289" s="53"/>
    </row>
    <row r="5290">
      <c r="A5290" s="49">
        <v>45076.75611818287</v>
      </c>
      <c r="B5290" s="50">
        <v>45076.8810907638</v>
      </c>
      <c r="C5290" s="51">
        <v>1.01</v>
      </c>
      <c r="D5290" s="51">
        <v>66.0</v>
      </c>
      <c r="E5290" s="52" t="s">
        <v>25</v>
      </c>
      <c r="F5290" s="52" t="s">
        <v>26</v>
      </c>
      <c r="G5290" s="53"/>
    </row>
    <row r="5291">
      <c r="A5291" s="49">
        <v>45076.76653944445</v>
      </c>
      <c r="B5291" s="50">
        <v>45076.8915121875</v>
      </c>
      <c r="C5291" s="51">
        <v>1.009</v>
      </c>
      <c r="D5291" s="51">
        <v>66.0</v>
      </c>
      <c r="E5291" s="52" t="s">
        <v>25</v>
      </c>
      <c r="F5291" s="52" t="s">
        <v>26</v>
      </c>
      <c r="G5291" s="53"/>
    </row>
    <row r="5292">
      <c r="A5292" s="49">
        <v>45076.77698283565</v>
      </c>
      <c r="B5292" s="50">
        <v>45076.9019570717</v>
      </c>
      <c r="C5292" s="51">
        <v>1.01</v>
      </c>
      <c r="D5292" s="51">
        <v>66.0</v>
      </c>
      <c r="E5292" s="52" t="s">
        <v>25</v>
      </c>
      <c r="F5292" s="52" t="s">
        <v>26</v>
      </c>
      <c r="G5292" s="53"/>
    </row>
    <row r="5293">
      <c r="A5293" s="49">
        <v>45076.78740071759</v>
      </c>
      <c r="B5293" s="50">
        <v>45076.9123787847</v>
      </c>
      <c r="C5293" s="51">
        <v>1.009</v>
      </c>
      <c r="D5293" s="51">
        <v>66.0</v>
      </c>
      <c r="E5293" s="52" t="s">
        <v>25</v>
      </c>
      <c r="F5293" s="52" t="s">
        <v>26</v>
      </c>
      <c r="G5293" s="53"/>
    </row>
    <row r="5294">
      <c r="A5294" s="49">
        <v>45076.797817349536</v>
      </c>
      <c r="B5294" s="50">
        <v>45076.9227992361</v>
      </c>
      <c r="C5294" s="51">
        <v>1.009</v>
      </c>
      <c r="D5294" s="51">
        <v>66.0</v>
      </c>
      <c r="E5294" s="52" t="s">
        <v>25</v>
      </c>
      <c r="F5294" s="52" t="s">
        <v>26</v>
      </c>
      <c r="G5294" s="53"/>
    </row>
    <row r="5295">
      <c r="A5295" s="49">
        <v>45076.808246064815</v>
      </c>
      <c r="B5295" s="50">
        <v>45076.9332217592</v>
      </c>
      <c r="C5295" s="51">
        <v>1.01</v>
      </c>
      <c r="D5295" s="51">
        <v>66.0</v>
      </c>
      <c r="E5295" s="52" t="s">
        <v>25</v>
      </c>
      <c r="F5295" s="52" t="s">
        <v>26</v>
      </c>
      <c r="G5295" s="53"/>
    </row>
    <row r="5296">
      <c r="A5296" s="49">
        <v>45076.81866243055</v>
      </c>
      <c r="B5296" s="50">
        <v>45076.9436441551</v>
      </c>
      <c r="C5296" s="51">
        <v>1.01</v>
      </c>
      <c r="D5296" s="51">
        <v>66.0</v>
      </c>
      <c r="E5296" s="52" t="s">
        <v>25</v>
      </c>
      <c r="F5296" s="52" t="s">
        <v>26</v>
      </c>
      <c r="G5296" s="53"/>
    </row>
    <row r="5297">
      <c r="A5297" s="49">
        <v>45076.829087997685</v>
      </c>
      <c r="B5297" s="50">
        <v>45076.9540657291</v>
      </c>
      <c r="C5297" s="51">
        <v>1.01</v>
      </c>
      <c r="D5297" s="51">
        <v>66.0</v>
      </c>
      <c r="E5297" s="52" t="s">
        <v>25</v>
      </c>
      <c r="F5297" s="52" t="s">
        <v>26</v>
      </c>
      <c r="G5297" s="53"/>
    </row>
    <row r="5298">
      <c r="A5298" s="49">
        <v>45076.83950284722</v>
      </c>
      <c r="B5298" s="50">
        <v>45076.9644873032</v>
      </c>
      <c r="C5298" s="51">
        <v>1.009</v>
      </c>
      <c r="D5298" s="51">
        <v>66.0</v>
      </c>
      <c r="E5298" s="52" t="s">
        <v>25</v>
      </c>
      <c r="F5298" s="52" t="s">
        <v>26</v>
      </c>
      <c r="G5298" s="53"/>
    </row>
    <row r="5299">
      <c r="A5299" s="49">
        <v>45076.8499299074</v>
      </c>
      <c r="B5299" s="50">
        <v>45076.9749087037</v>
      </c>
      <c r="C5299" s="51">
        <v>1.009</v>
      </c>
      <c r="D5299" s="51">
        <v>66.0</v>
      </c>
      <c r="E5299" s="52" t="s">
        <v>25</v>
      </c>
      <c r="F5299" s="52" t="s">
        <v>26</v>
      </c>
      <c r="G5299" s="53"/>
    </row>
    <row r="5300">
      <c r="A5300" s="49">
        <v>45076.86034950231</v>
      </c>
      <c r="B5300" s="50">
        <v>45076.9853300347</v>
      </c>
      <c r="C5300" s="51">
        <v>1.009</v>
      </c>
      <c r="D5300" s="51">
        <v>66.0</v>
      </c>
      <c r="E5300" s="52" t="s">
        <v>25</v>
      </c>
      <c r="F5300" s="52" t="s">
        <v>26</v>
      </c>
      <c r="G5300" s="53"/>
    </row>
    <row r="5301">
      <c r="A5301" s="49">
        <v>45076.87077511574</v>
      </c>
      <c r="B5301" s="50">
        <v>45076.9957514004</v>
      </c>
      <c r="C5301" s="51">
        <v>1.009</v>
      </c>
      <c r="D5301" s="51">
        <v>66.0</v>
      </c>
      <c r="E5301" s="52" t="s">
        <v>25</v>
      </c>
      <c r="F5301" s="52" t="s">
        <v>26</v>
      </c>
      <c r="G5301" s="53"/>
    </row>
    <row r="5302">
      <c r="A5302" s="49">
        <v>45076.88119392361</v>
      </c>
      <c r="B5302" s="50">
        <v>45077.0061707291</v>
      </c>
      <c r="C5302" s="51">
        <v>1.01</v>
      </c>
      <c r="D5302" s="51">
        <v>66.0</v>
      </c>
      <c r="E5302" s="52" t="s">
        <v>25</v>
      </c>
      <c r="F5302" s="52" t="s">
        <v>26</v>
      </c>
      <c r="G5302" s="53"/>
    </row>
    <row r="5303">
      <c r="A5303" s="49">
        <v>45076.89162760417</v>
      </c>
      <c r="B5303" s="50">
        <v>45077.0166032754</v>
      </c>
      <c r="C5303" s="51">
        <v>1.01</v>
      </c>
      <c r="D5303" s="51">
        <v>66.0</v>
      </c>
      <c r="E5303" s="52" t="s">
        <v>25</v>
      </c>
      <c r="F5303" s="52" t="s">
        <v>26</v>
      </c>
      <c r="G5303" s="53"/>
    </row>
    <row r="5304">
      <c r="A5304" s="49">
        <v>45076.9020537037</v>
      </c>
      <c r="B5304" s="50">
        <v>45077.027024537</v>
      </c>
      <c r="C5304" s="51">
        <v>1.01</v>
      </c>
      <c r="D5304" s="51">
        <v>66.0</v>
      </c>
      <c r="E5304" s="52" t="s">
        <v>25</v>
      </c>
      <c r="F5304" s="52" t="s">
        <v>26</v>
      </c>
      <c r="G5304" s="53"/>
    </row>
    <row r="5305">
      <c r="A5305" s="49">
        <v>45076.91247564815</v>
      </c>
      <c r="B5305" s="50">
        <v>45077.0374462731</v>
      </c>
      <c r="C5305" s="51">
        <v>1.01</v>
      </c>
      <c r="D5305" s="51">
        <v>66.0</v>
      </c>
      <c r="E5305" s="52" t="s">
        <v>25</v>
      </c>
      <c r="F5305" s="52" t="s">
        <v>26</v>
      </c>
      <c r="G5305" s="53"/>
    </row>
    <row r="5306">
      <c r="A5306" s="49">
        <v>45076.92289743056</v>
      </c>
      <c r="B5306" s="50">
        <v>45077.0478697453</v>
      </c>
      <c r="C5306" s="51">
        <v>1.01</v>
      </c>
      <c r="D5306" s="51">
        <v>66.0</v>
      </c>
      <c r="E5306" s="52" t="s">
        <v>25</v>
      </c>
      <c r="F5306" s="52" t="s">
        <v>26</v>
      </c>
      <c r="G5306" s="53"/>
    </row>
    <row r="5307">
      <c r="A5307" s="49">
        <v>45076.93331670139</v>
      </c>
      <c r="B5307" s="50">
        <v>45077.0582888425</v>
      </c>
      <c r="C5307" s="51">
        <v>1.01</v>
      </c>
      <c r="D5307" s="51">
        <v>66.0</v>
      </c>
      <c r="E5307" s="52" t="s">
        <v>25</v>
      </c>
      <c r="F5307" s="52" t="s">
        <v>26</v>
      </c>
      <c r="G5307" s="53"/>
    </row>
    <row r="5308">
      <c r="A5308" s="49">
        <v>45076.943727164355</v>
      </c>
      <c r="B5308" s="50">
        <v>45077.0687101389</v>
      </c>
      <c r="C5308" s="51">
        <v>1.01</v>
      </c>
      <c r="D5308" s="51">
        <v>66.0</v>
      </c>
      <c r="E5308" s="52" t="s">
        <v>25</v>
      </c>
      <c r="F5308" s="52" t="s">
        <v>26</v>
      </c>
      <c r="G5308" s="53"/>
    </row>
    <row r="5309">
      <c r="A5309" s="49">
        <v>45076.95415762732</v>
      </c>
      <c r="B5309" s="50">
        <v>45077.0791310416</v>
      </c>
      <c r="C5309" s="51">
        <v>1.009</v>
      </c>
      <c r="D5309" s="51">
        <v>66.0</v>
      </c>
      <c r="E5309" s="52" t="s">
        <v>25</v>
      </c>
      <c r="F5309" s="52" t="s">
        <v>26</v>
      </c>
      <c r="G5309" s="53"/>
    </row>
    <row r="5310">
      <c r="A5310" s="49">
        <v>45076.96458053241</v>
      </c>
      <c r="B5310" s="50">
        <v>45077.0895517592</v>
      </c>
      <c r="C5310" s="51">
        <v>1.01</v>
      </c>
      <c r="D5310" s="51">
        <v>66.0</v>
      </c>
      <c r="E5310" s="52" t="s">
        <v>25</v>
      </c>
      <c r="F5310" s="52" t="s">
        <v>26</v>
      </c>
      <c r="G5310" s="53"/>
    </row>
    <row r="5311">
      <c r="A5311" s="49">
        <v>45076.97500261574</v>
      </c>
      <c r="B5311" s="50">
        <v>45077.0999742013</v>
      </c>
      <c r="C5311" s="51">
        <v>1.01</v>
      </c>
      <c r="D5311" s="51">
        <v>66.0</v>
      </c>
      <c r="E5311" s="52" t="s">
        <v>25</v>
      </c>
      <c r="F5311" s="52" t="s">
        <v>26</v>
      </c>
      <c r="G5311" s="53"/>
    </row>
    <row r="5312">
      <c r="A5312" s="49">
        <v>45076.98543719907</v>
      </c>
      <c r="B5312" s="50">
        <v>45077.1104181481</v>
      </c>
      <c r="C5312" s="51">
        <v>1.01</v>
      </c>
      <c r="D5312" s="51">
        <v>66.0</v>
      </c>
      <c r="E5312" s="52" t="s">
        <v>25</v>
      </c>
      <c r="F5312" s="52" t="s">
        <v>26</v>
      </c>
      <c r="G5312" s="53"/>
    </row>
    <row r="5313">
      <c r="A5313" s="49">
        <v>45076.99586391204</v>
      </c>
      <c r="B5313" s="50">
        <v>45077.1208385995</v>
      </c>
      <c r="C5313" s="51">
        <v>1.01</v>
      </c>
      <c r="D5313" s="51">
        <v>66.0</v>
      </c>
      <c r="E5313" s="52" t="s">
        <v>25</v>
      </c>
      <c r="F5313" s="52" t="s">
        <v>26</v>
      </c>
      <c r="G5313" s="53"/>
    </row>
    <row r="5314">
      <c r="A5314" s="49">
        <v>45077.00628700231</v>
      </c>
      <c r="B5314" s="50">
        <v>45077.1312604166</v>
      </c>
      <c r="C5314" s="51">
        <v>1.01</v>
      </c>
      <c r="D5314" s="51">
        <v>66.0</v>
      </c>
      <c r="E5314" s="52" t="s">
        <v>25</v>
      </c>
      <c r="F5314" s="52" t="s">
        <v>26</v>
      </c>
      <c r="G5314" s="53"/>
    </row>
    <row r="5315">
      <c r="A5315" s="49">
        <v>45077.0167025</v>
      </c>
      <c r="B5315" s="50">
        <v>45077.1416803124</v>
      </c>
      <c r="C5315" s="51">
        <v>1.01</v>
      </c>
      <c r="D5315" s="51">
        <v>66.0</v>
      </c>
      <c r="E5315" s="52" t="s">
        <v>25</v>
      </c>
      <c r="F5315" s="52" t="s">
        <v>26</v>
      </c>
      <c r="G5315" s="53"/>
    </row>
    <row r="5316">
      <c r="A5316" s="49">
        <v>45077.027151863425</v>
      </c>
      <c r="B5316" s="50">
        <v>45077.1521243287</v>
      </c>
      <c r="C5316" s="51">
        <v>1.01</v>
      </c>
      <c r="D5316" s="51">
        <v>66.0</v>
      </c>
      <c r="E5316" s="52" t="s">
        <v>25</v>
      </c>
      <c r="F5316" s="52" t="s">
        <v>26</v>
      </c>
      <c r="G5316" s="53"/>
    </row>
    <row r="5317">
      <c r="A5317" s="49">
        <v>45077.03757032407</v>
      </c>
      <c r="B5317" s="50">
        <v>45077.1625440393</v>
      </c>
      <c r="C5317" s="51">
        <v>1.01</v>
      </c>
      <c r="D5317" s="51">
        <v>66.0</v>
      </c>
      <c r="E5317" s="52" t="s">
        <v>25</v>
      </c>
      <c r="F5317" s="52" t="s">
        <v>26</v>
      </c>
      <c r="G5317" s="53"/>
    </row>
    <row r="5318">
      <c r="A5318" s="49">
        <v>45077.04798498843</v>
      </c>
      <c r="B5318" s="50">
        <v>45077.1729651041</v>
      </c>
      <c r="C5318" s="51">
        <v>1.01</v>
      </c>
      <c r="D5318" s="51">
        <v>66.0</v>
      </c>
      <c r="E5318" s="52" t="s">
        <v>25</v>
      </c>
      <c r="F5318" s="52" t="s">
        <v>26</v>
      </c>
      <c r="G5318" s="53"/>
    </row>
    <row r="5319">
      <c r="A5319" s="49">
        <v>45077.058414722225</v>
      </c>
      <c r="B5319" s="50">
        <v>45077.1833864004</v>
      </c>
      <c r="C5319" s="51">
        <v>1.01</v>
      </c>
      <c r="D5319" s="51">
        <v>66.0</v>
      </c>
      <c r="E5319" s="52" t="s">
        <v>25</v>
      </c>
      <c r="F5319" s="52" t="s">
        <v>26</v>
      </c>
      <c r="G5319" s="53"/>
    </row>
    <row r="5320">
      <c r="A5320" s="49">
        <v>45077.06883077546</v>
      </c>
      <c r="B5320" s="50">
        <v>45077.1938092708</v>
      </c>
      <c r="C5320" s="51">
        <v>1.01</v>
      </c>
      <c r="D5320" s="51">
        <v>66.0</v>
      </c>
      <c r="E5320" s="52" t="s">
        <v>25</v>
      </c>
      <c r="F5320" s="52" t="s">
        <v>26</v>
      </c>
      <c r="G5320" s="53"/>
    </row>
    <row r="5321">
      <c r="A5321" s="49">
        <v>45077.07924899306</v>
      </c>
      <c r="B5321" s="50">
        <v>45077.2042299652</v>
      </c>
      <c r="C5321" s="51">
        <v>1.01</v>
      </c>
      <c r="D5321" s="51">
        <v>66.0</v>
      </c>
      <c r="E5321" s="52" t="s">
        <v>25</v>
      </c>
      <c r="F5321" s="52" t="s">
        <v>26</v>
      </c>
      <c r="G5321" s="53"/>
    </row>
    <row r="5322">
      <c r="A5322" s="49">
        <v>45077.08967635417</v>
      </c>
      <c r="B5322" s="50">
        <v>45077.2146518287</v>
      </c>
      <c r="C5322" s="51">
        <v>1.01</v>
      </c>
      <c r="D5322" s="51">
        <v>66.0</v>
      </c>
      <c r="E5322" s="52" t="s">
        <v>25</v>
      </c>
      <c r="F5322" s="52" t="s">
        <v>26</v>
      </c>
      <c r="G5322" s="53"/>
    </row>
    <row r="5323">
      <c r="A5323" s="49">
        <v>45077.10010869213</v>
      </c>
      <c r="B5323" s="50">
        <v>45077.2250849305</v>
      </c>
      <c r="C5323" s="51">
        <v>1.01</v>
      </c>
      <c r="D5323" s="51">
        <v>66.0</v>
      </c>
      <c r="E5323" s="52" t="s">
        <v>25</v>
      </c>
      <c r="F5323" s="52" t="s">
        <v>26</v>
      </c>
      <c r="G5323" s="53"/>
    </row>
    <row r="5324">
      <c r="A5324" s="49">
        <v>45077.11053362269</v>
      </c>
      <c r="B5324" s="50">
        <v>45077.2355159722</v>
      </c>
      <c r="C5324" s="51">
        <v>1.009</v>
      </c>
      <c r="D5324" s="51">
        <v>66.0</v>
      </c>
      <c r="E5324" s="52" t="s">
        <v>25</v>
      </c>
      <c r="F5324" s="52" t="s">
        <v>26</v>
      </c>
      <c r="G5324" s="53"/>
    </row>
    <row r="5325">
      <c r="A5325" s="49">
        <v>45077.12095729167</v>
      </c>
      <c r="B5325" s="50">
        <v>45077.2459377893</v>
      </c>
      <c r="C5325" s="51">
        <v>1.01</v>
      </c>
      <c r="D5325" s="51">
        <v>66.0</v>
      </c>
      <c r="E5325" s="52" t="s">
        <v>25</v>
      </c>
      <c r="F5325" s="52" t="s">
        <v>26</v>
      </c>
      <c r="G5325" s="53"/>
    </row>
    <row r="5326">
      <c r="A5326" s="49">
        <v>45077.13138380787</v>
      </c>
      <c r="B5326" s="50">
        <v>45077.2563574421</v>
      </c>
      <c r="C5326" s="51">
        <v>1.01</v>
      </c>
      <c r="D5326" s="51">
        <v>66.0</v>
      </c>
      <c r="E5326" s="52" t="s">
        <v>25</v>
      </c>
      <c r="F5326" s="52" t="s">
        <v>26</v>
      </c>
      <c r="G5326" s="53"/>
    </row>
    <row r="5327">
      <c r="A5327" s="49">
        <v>45077.141802962964</v>
      </c>
      <c r="B5327" s="50">
        <v>45077.2667774652</v>
      </c>
      <c r="C5327" s="51">
        <v>1.01</v>
      </c>
      <c r="D5327" s="51">
        <v>66.0</v>
      </c>
      <c r="E5327" s="52" t="s">
        <v>25</v>
      </c>
      <c r="F5327" s="52" t="s">
        <v>26</v>
      </c>
      <c r="G5327" s="53"/>
    </row>
    <row r="5328">
      <c r="A5328" s="49">
        <v>45077.152237789356</v>
      </c>
      <c r="B5328" s="50">
        <v>45077.277208831</v>
      </c>
      <c r="C5328" s="51">
        <v>1.01</v>
      </c>
      <c r="D5328" s="51">
        <v>66.0</v>
      </c>
      <c r="E5328" s="52" t="s">
        <v>25</v>
      </c>
      <c r="F5328" s="52" t="s">
        <v>26</v>
      </c>
      <c r="G5328" s="53"/>
    </row>
    <row r="5329">
      <c r="A5329" s="49">
        <v>45077.1626524537</v>
      </c>
      <c r="B5329" s="50">
        <v>45077.2876292013</v>
      </c>
      <c r="C5329" s="51">
        <v>1.009</v>
      </c>
      <c r="D5329" s="51">
        <v>66.0</v>
      </c>
      <c r="E5329" s="52" t="s">
        <v>25</v>
      </c>
      <c r="F5329" s="52" t="s">
        <v>26</v>
      </c>
      <c r="G5329" s="53"/>
    </row>
    <row r="5330">
      <c r="A5330" s="49">
        <v>45077.17307359954</v>
      </c>
      <c r="B5330" s="50">
        <v>45077.2980503009</v>
      </c>
      <c r="C5330" s="51">
        <v>1.009</v>
      </c>
      <c r="D5330" s="51">
        <v>66.0</v>
      </c>
      <c r="E5330" s="52" t="s">
        <v>25</v>
      </c>
      <c r="F5330" s="52" t="s">
        <v>26</v>
      </c>
      <c r="G5330" s="53"/>
    </row>
    <row r="5331">
      <c r="A5331" s="49">
        <v>45077.18349469907</v>
      </c>
      <c r="B5331" s="50">
        <v>45077.3084710879</v>
      </c>
      <c r="C5331" s="51">
        <v>1.01</v>
      </c>
      <c r="D5331" s="51">
        <v>66.0</v>
      </c>
      <c r="E5331" s="52" t="s">
        <v>25</v>
      </c>
      <c r="F5331" s="52" t="s">
        <v>26</v>
      </c>
      <c r="G5331" s="53"/>
    </row>
    <row r="5332">
      <c r="A5332" s="49">
        <v>45077.193917233795</v>
      </c>
      <c r="B5332" s="50">
        <v>45077.3188918287</v>
      </c>
      <c r="C5332" s="51">
        <v>1.01</v>
      </c>
      <c r="D5332" s="51">
        <v>66.0</v>
      </c>
      <c r="E5332" s="52" t="s">
        <v>25</v>
      </c>
      <c r="F5332" s="52" t="s">
        <v>26</v>
      </c>
      <c r="G5332" s="53"/>
    </row>
    <row r="5333">
      <c r="A5333" s="49">
        <v>45077.20434340277</v>
      </c>
      <c r="B5333" s="50">
        <v>45077.3293135879</v>
      </c>
      <c r="C5333" s="51">
        <v>1.01</v>
      </c>
      <c r="D5333" s="51">
        <v>66.0</v>
      </c>
      <c r="E5333" s="52" t="s">
        <v>25</v>
      </c>
      <c r="F5333" s="52" t="s">
        <v>26</v>
      </c>
      <c r="G5333" s="53"/>
    </row>
    <row r="5334">
      <c r="A5334" s="49">
        <v>45077.21477344907</v>
      </c>
      <c r="B5334" s="50">
        <v>45077.3397357291</v>
      </c>
      <c r="C5334" s="51">
        <v>1.01</v>
      </c>
      <c r="D5334" s="51">
        <v>66.0</v>
      </c>
      <c r="E5334" s="52" t="s">
        <v>25</v>
      </c>
      <c r="F5334" s="52" t="s">
        <v>26</v>
      </c>
      <c r="G5334" s="53"/>
    </row>
    <row r="5335">
      <c r="A5335" s="49">
        <v>45077.22518854166</v>
      </c>
      <c r="B5335" s="50">
        <v>45077.3501566319</v>
      </c>
      <c r="C5335" s="51">
        <v>1.01</v>
      </c>
      <c r="D5335" s="51">
        <v>66.0</v>
      </c>
      <c r="E5335" s="52" t="s">
        <v>25</v>
      </c>
      <c r="F5335" s="52" t="s">
        <v>26</v>
      </c>
      <c r="G5335" s="53"/>
    </row>
    <row r="5336">
      <c r="A5336" s="49">
        <v>45077.23559829861</v>
      </c>
      <c r="B5336" s="50">
        <v>45077.3605780555</v>
      </c>
      <c r="C5336" s="51">
        <v>1.009</v>
      </c>
      <c r="D5336" s="51">
        <v>66.0</v>
      </c>
      <c r="E5336" s="52" t="s">
        <v>25</v>
      </c>
      <c r="F5336" s="52" t="s">
        <v>26</v>
      </c>
      <c r="G5336" s="53"/>
    </row>
    <row r="5337">
      <c r="A5337" s="49">
        <v>45077.24602711806</v>
      </c>
      <c r="B5337" s="50">
        <v>45077.3709989004</v>
      </c>
      <c r="C5337" s="51">
        <v>1.009</v>
      </c>
      <c r="D5337" s="51">
        <v>66.0</v>
      </c>
      <c r="E5337" s="52" t="s">
        <v>25</v>
      </c>
      <c r="F5337" s="52" t="s">
        <v>26</v>
      </c>
      <c r="G5337" s="53"/>
    </row>
    <row r="5338">
      <c r="A5338" s="49">
        <v>45077.256450416666</v>
      </c>
      <c r="B5338" s="50">
        <v>45077.3814203009</v>
      </c>
      <c r="C5338" s="51">
        <v>1.009</v>
      </c>
      <c r="D5338" s="51">
        <v>66.0</v>
      </c>
      <c r="E5338" s="52" t="s">
        <v>25</v>
      </c>
      <c r="F5338" s="52" t="s">
        <v>26</v>
      </c>
      <c r="G5338" s="53"/>
    </row>
    <row r="5339">
      <c r="A5339" s="49">
        <v>45077.26688376158</v>
      </c>
      <c r="B5339" s="50">
        <v>45077.3918431713</v>
      </c>
      <c r="C5339" s="51">
        <v>1.01</v>
      </c>
      <c r="D5339" s="51">
        <v>66.0</v>
      </c>
      <c r="E5339" s="52" t="s">
        <v>25</v>
      </c>
      <c r="F5339" s="52" t="s">
        <v>26</v>
      </c>
      <c r="G5339" s="53"/>
    </row>
    <row r="5340">
      <c r="A5340" s="49">
        <v>45077.277293541665</v>
      </c>
      <c r="B5340" s="50">
        <v>45077.4022647338</v>
      </c>
      <c r="C5340" s="51">
        <v>1.01</v>
      </c>
      <c r="D5340" s="51">
        <v>66.0</v>
      </c>
      <c r="E5340" s="52" t="s">
        <v>25</v>
      </c>
      <c r="F5340" s="52" t="s">
        <v>26</v>
      </c>
      <c r="G5340" s="53"/>
    </row>
    <row r="5341">
      <c r="A5341" s="49">
        <v>45077.2877362037</v>
      </c>
      <c r="B5341" s="50">
        <v>45077.4126970717</v>
      </c>
      <c r="C5341" s="51">
        <v>1.009</v>
      </c>
      <c r="D5341" s="51">
        <v>66.0</v>
      </c>
      <c r="E5341" s="52" t="s">
        <v>25</v>
      </c>
      <c r="F5341" s="52" t="s">
        <v>26</v>
      </c>
      <c r="G5341" s="53"/>
    </row>
    <row r="5342">
      <c r="A5342" s="49">
        <v>45077.298142071755</v>
      </c>
      <c r="B5342" s="50">
        <v>45077.4231176157</v>
      </c>
      <c r="C5342" s="51">
        <v>1.01</v>
      </c>
      <c r="D5342" s="51">
        <v>66.0</v>
      </c>
      <c r="E5342" s="52" t="s">
        <v>25</v>
      </c>
      <c r="F5342" s="52" t="s">
        <v>26</v>
      </c>
      <c r="G5342" s="53"/>
    </row>
    <row r="5343">
      <c r="A5343" s="49">
        <v>45077.30856704861</v>
      </c>
      <c r="B5343" s="50">
        <v>45077.433536956</v>
      </c>
      <c r="C5343" s="51">
        <v>1.01</v>
      </c>
      <c r="D5343" s="51">
        <v>66.0</v>
      </c>
      <c r="E5343" s="52" t="s">
        <v>25</v>
      </c>
      <c r="F5343" s="52" t="s">
        <v>26</v>
      </c>
      <c r="G5343" s="53"/>
    </row>
    <row r="5344">
      <c r="A5344" s="49">
        <v>45077.3189871875</v>
      </c>
      <c r="B5344" s="50">
        <v>45077.4439583449</v>
      </c>
      <c r="C5344" s="51">
        <v>1.01</v>
      </c>
      <c r="D5344" s="51">
        <v>66.0</v>
      </c>
      <c r="E5344" s="52" t="s">
        <v>25</v>
      </c>
      <c r="F5344" s="52" t="s">
        <v>26</v>
      </c>
      <c r="G5344" s="53"/>
    </row>
    <row r="5345">
      <c r="A5345" s="49">
        <v>45077.329429467594</v>
      </c>
      <c r="B5345" s="50">
        <v>45077.4543913425</v>
      </c>
      <c r="C5345" s="51">
        <v>1.009</v>
      </c>
      <c r="D5345" s="51">
        <v>66.0</v>
      </c>
      <c r="E5345" s="52" t="s">
        <v>25</v>
      </c>
      <c r="F5345" s="52" t="s">
        <v>26</v>
      </c>
      <c r="G5345" s="53"/>
    </row>
    <row r="5346">
      <c r="A5346" s="49">
        <v>45077.339859618056</v>
      </c>
      <c r="B5346" s="50">
        <v>45077.4648336342</v>
      </c>
      <c r="C5346" s="51">
        <v>1.01</v>
      </c>
      <c r="D5346" s="51">
        <v>66.0</v>
      </c>
      <c r="E5346" s="52" t="s">
        <v>25</v>
      </c>
      <c r="F5346" s="52" t="s">
        <v>26</v>
      </c>
      <c r="G5346" s="53"/>
    </row>
    <row r="5347">
      <c r="A5347" s="49">
        <v>45077.350293090276</v>
      </c>
      <c r="B5347" s="50">
        <v>45077.4752647916</v>
      </c>
      <c r="C5347" s="51">
        <v>1.009</v>
      </c>
      <c r="D5347" s="51">
        <v>66.0</v>
      </c>
      <c r="E5347" s="52" t="s">
        <v>25</v>
      </c>
      <c r="F5347" s="52" t="s">
        <v>26</v>
      </c>
      <c r="G5347" s="53"/>
    </row>
    <row r="5348">
      <c r="A5348" s="49">
        <v>45077.360718599535</v>
      </c>
      <c r="B5348" s="50">
        <v>45077.4856992361</v>
      </c>
      <c r="C5348" s="51">
        <v>1.009</v>
      </c>
      <c r="D5348" s="51">
        <v>66.0</v>
      </c>
      <c r="E5348" s="52" t="s">
        <v>25</v>
      </c>
      <c r="F5348" s="52" t="s">
        <v>26</v>
      </c>
      <c r="G5348" s="53"/>
    </row>
    <row r="5349">
      <c r="A5349" s="49">
        <v>45077.37115795139</v>
      </c>
      <c r="B5349" s="50">
        <v>45077.4961203125</v>
      </c>
      <c r="C5349" s="51">
        <v>1.01</v>
      </c>
      <c r="D5349" s="51">
        <v>66.0</v>
      </c>
      <c r="E5349" s="52" t="s">
        <v>25</v>
      </c>
      <c r="F5349" s="52" t="s">
        <v>26</v>
      </c>
      <c r="G5349" s="53"/>
    </row>
    <row r="5350">
      <c r="A5350" s="49">
        <v>45077.38158075231</v>
      </c>
      <c r="B5350" s="50">
        <v>45077.5065528935</v>
      </c>
      <c r="C5350" s="51">
        <v>1.009</v>
      </c>
      <c r="D5350" s="51">
        <v>66.0</v>
      </c>
      <c r="E5350" s="52" t="s">
        <v>25</v>
      </c>
      <c r="F5350" s="52" t="s">
        <v>26</v>
      </c>
      <c r="G5350" s="53"/>
    </row>
    <row r="5351">
      <c r="A5351" s="49">
        <v>45077.3919952662</v>
      </c>
      <c r="B5351" s="50">
        <v>45077.5169748263</v>
      </c>
      <c r="C5351" s="51">
        <v>1.009</v>
      </c>
      <c r="D5351" s="51">
        <v>66.0</v>
      </c>
      <c r="E5351" s="52" t="s">
        <v>25</v>
      </c>
      <c r="F5351" s="52" t="s">
        <v>26</v>
      </c>
      <c r="G5351" s="53"/>
    </row>
    <row r="5352">
      <c r="A5352" s="49">
        <v>45077.40242292824</v>
      </c>
      <c r="B5352" s="50">
        <v>45077.5273951041</v>
      </c>
      <c r="C5352" s="51">
        <v>1.01</v>
      </c>
      <c r="D5352" s="51">
        <v>66.0</v>
      </c>
      <c r="E5352" s="52" t="s">
        <v>25</v>
      </c>
      <c r="F5352" s="52" t="s">
        <v>26</v>
      </c>
      <c r="G5352" s="53"/>
    </row>
    <row r="5353">
      <c r="A5353" s="49">
        <v>45077.4128391088</v>
      </c>
      <c r="B5353" s="50">
        <v>45077.537815706</v>
      </c>
      <c r="C5353" s="51">
        <v>1.009</v>
      </c>
      <c r="D5353" s="51">
        <v>66.0</v>
      </c>
      <c r="E5353" s="52" t="s">
        <v>25</v>
      </c>
      <c r="F5353" s="52" t="s">
        <v>26</v>
      </c>
      <c r="G5353" s="53"/>
    </row>
    <row r="5354">
      <c r="A5354" s="49">
        <v>45077.4232559838</v>
      </c>
      <c r="B5354" s="50">
        <v>45077.5482366203</v>
      </c>
      <c r="C5354" s="51">
        <v>1.01</v>
      </c>
      <c r="D5354" s="51">
        <v>66.0</v>
      </c>
      <c r="E5354" s="52" t="s">
        <v>25</v>
      </c>
      <c r="F5354" s="52" t="s">
        <v>26</v>
      </c>
      <c r="G5354" s="53"/>
    </row>
    <row r="5355">
      <c r="A5355" s="49">
        <v>45077.43368483796</v>
      </c>
      <c r="B5355" s="50">
        <v>45077.5586569907</v>
      </c>
      <c r="C5355" s="51">
        <v>1.009</v>
      </c>
      <c r="D5355" s="51">
        <v>66.0</v>
      </c>
      <c r="E5355" s="52" t="s">
        <v>25</v>
      </c>
      <c r="F5355" s="52" t="s">
        <v>26</v>
      </c>
      <c r="G5355" s="53"/>
    </row>
    <row r="5356">
      <c r="A5356" s="49">
        <v>45077.44427982639</v>
      </c>
      <c r="B5356" s="50">
        <v>45077.5690770486</v>
      </c>
      <c r="C5356" s="51">
        <v>1.009</v>
      </c>
      <c r="D5356" s="51">
        <v>66.0</v>
      </c>
      <c r="E5356" s="52" t="s">
        <v>25</v>
      </c>
      <c r="F5356" s="52" t="s">
        <v>26</v>
      </c>
      <c r="G5356" s="53"/>
    </row>
    <row r="5357">
      <c r="A5357" s="49">
        <v>45077.454535682875</v>
      </c>
      <c r="B5357" s="50">
        <v>45077.5795101736</v>
      </c>
      <c r="C5357" s="51">
        <v>1.01</v>
      </c>
      <c r="D5357" s="51">
        <v>66.0</v>
      </c>
      <c r="E5357" s="52" t="s">
        <v>25</v>
      </c>
      <c r="F5357" s="52" t="s">
        <v>26</v>
      </c>
      <c r="G5357" s="53"/>
    </row>
    <row r="5358">
      <c r="A5358" s="49">
        <v>45077.464962048616</v>
      </c>
      <c r="B5358" s="50">
        <v>45077.5899439583</v>
      </c>
      <c r="C5358" s="51">
        <v>1.009</v>
      </c>
      <c r="D5358" s="51">
        <v>66.0</v>
      </c>
      <c r="E5358" s="52" t="s">
        <v>25</v>
      </c>
      <c r="F5358" s="52" t="s">
        <v>26</v>
      </c>
      <c r="G5358" s="53"/>
    </row>
    <row r="5359">
      <c r="A5359" s="49">
        <v>45077.47538599537</v>
      </c>
      <c r="B5359" s="50">
        <v>45077.6003644675</v>
      </c>
      <c r="C5359" s="51">
        <v>1.009</v>
      </c>
      <c r="D5359" s="51">
        <v>66.0</v>
      </c>
      <c r="E5359" s="52" t="s">
        <v>25</v>
      </c>
      <c r="F5359" s="52" t="s">
        <v>26</v>
      </c>
      <c r="G5359" s="53"/>
    </row>
    <row r="5360">
      <c r="A5360" s="49">
        <v>45077.48580368055</v>
      </c>
      <c r="B5360" s="50">
        <v>45077.6107862731</v>
      </c>
      <c r="C5360" s="51">
        <v>1.01</v>
      </c>
      <c r="D5360" s="51">
        <v>66.0</v>
      </c>
      <c r="E5360" s="52" t="s">
        <v>25</v>
      </c>
      <c r="F5360" s="52" t="s">
        <v>26</v>
      </c>
      <c r="G5360" s="53"/>
    </row>
    <row r="5361">
      <c r="A5361" s="49">
        <v>45077.49623524306</v>
      </c>
      <c r="B5361" s="50">
        <v>45077.6212077083</v>
      </c>
      <c r="C5361" s="51">
        <v>1.01</v>
      </c>
      <c r="D5361" s="51">
        <v>66.0</v>
      </c>
      <c r="E5361" s="52" t="s">
        <v>25</v>
      </c>
      <c r="F5361" s="52" t="s">
        <v>26</v>
      </c>
      <c r="G5361" s="53"/>
    </row>
    <row r="5362">
      <c r="A5362" s="49">
        <v>45077.50665415509</v>
      </c>
      <c r="B5362" s="50">
        <v>45077.6316274884</v>
      </c>
      <c r="C5362" s="51">
        <v>1.009</v>
      </c>
      <c r="D5362" s="51">
        <v>66.0</v>
      </c>
      <c r="E5362" s="52" t="s">
        <v>25</v>
      </c>
      <c r="F5362" s="52" t="s">
        <v>26</v>
      </c>
      <c r="G5362" s="53"/>
    </row>
    <row r="5363">
      <c r="A5363" s="49">
        <v>45077.51707068287</v>
      </c>
      <c r="B5363" s="50">
        <v>45077.6420471412</v>
      </c>
      <c r="C5363" s="51">
        <v>1.01</v>
      </c>
      <c r="D5363" s="51">
        <v>66.0</v>
      </c>
      <c r="E5363" s="52" t="s">
        <v>25</v>
      </c>
      <c r="F5363" s="52" t="s">
        <v>26</v>
      </c>
      <c r="G5363" s="53"/>
    </row>
    <row r="5364">
      <c r="A5364" s="49">
        <v>45077.52752751157</v>
      </c>
      <c r="B5364" s="50">
        <v>45077.6525023148</v>
      </c>
      <c r="C5364" s="51">
        <v>1.009</v>
      </c>
      <c r="D5364" s="51">
        <v>66.0</v>
      </c>
      <c r="E5364" s="52" t="s">
        <v>25</v>
      </c>
      <c r="F5364" s="52" t="s">
        <v>26</v>
      </c>
      <c r="G5364" s="53"/>
    </row>
    <row r="5365">
      <c r="A5365" s="49">
        <v>45077.53795174768</v>
      </c>
      <c r="B5365" s="50">
        <v>45077.6629345138</v>
      </c>
      <c r="C5365" s="51">
        <v>1.009</v>
      </c>
      <c r="D5365" s="51">
        <v>66.0</v>
      </c>
      <c r="E5365" s="52" t="s">
        <v>25</v>
      </c>
      <c r="F5365" s="52" t="s">
        <v>26</v>
      </c>
      <c r="G5365" s="53"/>
    </row>
    <row r="5366">
      <c r="A5366" s="49">
        <v>45077.54837982639</v>
      </c>
      <c r="B5366" s="50">
        <v>45077.6733552893</v>
      </c>
      <c r="C5366" s="51">
        <v>1.009</v>
      </c>
      <c r="D5366" s="51">
        <v>66.0</v>
      </c>
      <c r="E5366" s="52" t="s">
        <v>25</v>
      </c>
      <c r="F5366" s="52" t="s">
        <v>26</v>
      </c>
      <c r="G5366" s="53"/>
    </row>
    <row r="5367">
      <c r="A5367" s="49">
        <v>45077.558805231485</v>
      </c>
      <c r="B5367" s="50">
        <v>45077.6837756944</v>
      </c>
      <c r="C5367" s="51">
        <v>1.009</v>
      </c>
      <c r="D5367" s="51">
        <v>66.0</v>
      </c>
      <c r="E5367" s="52" t="s">
        <v>25</v>
      </c>
      <c r="F5367" s="52" t="s">
        <v>26</v>
      </c>
      <c r="G5367" s="53"/>
    </row>
    <row r="5368">
      <c r="A5368" s="49">
        <v>45077.56921829861</v>
      </c>
      <c r="B5368" s="50">
        <v>45077.694196331</v>
      </c>
      <c r="C5368" s="51">
        <v>1.01</v>
      </c>
      <c r="D5368" s="51">
        <v>66.0</v>
      </c>
      <c r="E5368" s="52" t="s">
        <v>25</v>
      </c>
      <c r="F5368" s="52" t="s">
        <v>26</v>
      </c>
      <c r="G5368" s="53"/>
    </row>
    <row r="5369">
      <c r="A5369" s="49">
        <v>45077.5796417824</v>
      </c>
      <c r="B5369" s="50">
        <v>45077.7046166666</v>
      </c>
      <c r="C5369" s="51">
        <v>1.009</v>
      </c>
      <c r="D5369" s="51">
        <v>66.0</v>
      </c>
      <c r="E5369" s="52" t="s">
        <v>25</v>
      </c>
      <c r="F5369" s="52" t="s">
        <v>26</v>
      </c>
      <c r="G5369" s="53"/>
    </row>
    <row r="5370">
      <c r="A5370" s="49">
        <v>45077.59005849537</v>
      </c>
      <c r="B5370" s="50">
        <v>45077.7150390972</v>
      </c>
      <c r="C5370" s="51">
        <v>1.01</v>
      </c>
      <c r="D5370" s="51">
        <v>66.0</v>
      </c>
      <c r="E5370" s="52" t="s">
        <v>25</v>
      </c>
      <c r="F5370" s="52" t="s">
        <v>26</v>
      </c>
      <c r="G5370" s="53"/>
    </row>
    <row r="5371">
      <c r="A5371" s="49">
        <v>45077.600479988425</v>
      </c>
      <c r="B5371" s="50">
        <v>45077.725459456</v>
      </c>
      <c r="C5371" s="51">
        <v>1.009</v>
      </c>
      <c r="D5371" s="51">
        <v>66.0</v>
      </c>
      <c r="E5371" s="52" t="s">
        <v>25</v>
      </c>
      <c r="F5371" s="52" t="s">
        <v>26</v>
      </c>
      <c r="G5371" s="53"/>
    </row>
    <row r="5372">
      <c r="A5372" s="49">
        <v>45077.61090912037</v>
      </c>
      <c r="B5372" s="50">
        <v>45077.7358820717</v>
      </c>
      <c r="C5372" s="51">
        <v>1.009</v>
      </c>
      <c r="D5372" s="51">
        <v>66.0</v>
      </c>
      <c r="E5372" s="52" t="s">
        <v>25</v>
      </c>
      <c r="F5372" s="52" t="s">
        <v>26</v>
      </c>
      <c r="G5372" s="53"/>
    </row>
    <row r="5373">
      <c r="A5373" s="49">
        <v>45077.62133620371</v>
      </c>
      <c r="B5373" s="50">
        <v>45077.7463044907</v>
      </c>
      <c r="C5373" s="51">
        <v>1.009</v>
      </c>
      <c r="D5373" s="51">
        <v>66.0</v>
      </c>
      <c r="E5373" s="52" t="s">
        <v>25</v>
      </c>
      <c r="F5373" s="52" t="s">
        <v>26</v>
      </c>
      <c r="G5373" s="53"/>
    </row>
    <row r="5374">
      <c r="A5374" s="49">
        <v>45077.63176484954</v>
      </c>
      <c r="B5374" s="50">
        <v>45077.7567364236</v>
      </c>
      <c r="C5374" s="51">
        <v>1.009</v>
      </c>
      <c r="D5374" s="51">
        <v>66.0</v>
      </c>
      <c r="E5374" s="52" t="s">
        <v>25</v>
      </c>
      <c r="F5374" s="52" t="s">
        <v>26</v>
      </c>
      <c r="G5374" s="53"/>
    </row>
    <row r="5375">
      <c r="A5375" s="49">
        <v>45077.642171377316</v>
      </c>
      <c r="B5375" s="50">
        <v>45077.7671557638</v>
      </c>
      <c r="C5375" s="51">
        <v>1.009</v>
      </c>
      <c r="D5375" s="51">
        <v>66.0</v>
      </c>
      <c r="E5375" s="52" t="s">
        <v>25</v>
      </c>
      <c r="F5375" s="52" t="s">
        <v>26</v>
      </c>
      <c r="G5375" s="53"/>
    </row>
    <row r="5376">
      <c r="A5376" s="49">
        <v>45077.65260511574</v>
      </c>
      <c r="B5376" s="50">
        <v>45077.7775768287</v>
      </c>
      <c r="C5376" s="51">
        <v>1.01</v>
      </c>
      <c r="D5376" s="51">
        <v>66.0</v>
      </c>
      <c r="E5376" s="52" t="s">
        <v>25</v>
      </c>
      <c r="F5376" s="52" t="s">
        <v>26</v>
      </c>
      <c r="G5376" s="53"/>
    </row>
    <row r="5377">
      <c r="A5377" s="49">
        <v>45077.6630321875</v>
      </c>
      <c r="B5377" s="50">
        <v>45077.7880088773</v>
      </c>
      <c r="C5377" s="51">
        <v>1.009</v>
      </c>
      <c r="D5377" s="51">
        <v>66.0</v>
      </c>
      <c r="E5377" s="52" t="s">
        <v>25</v>
      </c>
      <c r="F5377" s="52" t="s">
        <v>26</v>
      </c>
      <c r="G5377" s="53"/>
    </row>
    <row r="5378">
      <c r="A5378" s="49">
        <v>45077.67345059028</v>
      </c>
      <c r="B5378" s="50">
        <v>45077.7984313425</v>
      </c>
      <c r="C5378" s="51">
        <v>1.009</v>
      </c>
      <c r="D5378" s="51">
        <v>66.0</v>
      </c>
      <c r="E5378" s="52" t="s">
        <v>25</v>
      </c>
      <c r="F5378" s="52" t="s">
        <v>26</v>
      </c>
      <c r="G5378" s="53"/>
    </row>
    <row r="5379">
      <c r="A5379" s="49">
        <v>45077.683868611115</v>
      </c>
      <c r="B5379" s="50">
        <v>45077.8088524768</v>
      </c>
      <c r="C5379" s="51">
        <v>1.01</v>
      </c>
      <c r="D5379" s="51">
        <v>66.0</v>
      </c>
      <c r="E5379" s="52" t="s">
        <v>25</v>
      </c>
      <c r="F5379" s="52" t="s">
        <v>26</v>
      </c>
      <c r="G5379" s="53"/>
    </row>
    <row r="5380">
      <c r="A5380" s="49">
        <v>45077.69429053241</v>
      </c>
      <c r="B5380" s="50">
        <v>45077.8192736111</v>
      </c>
      <c r="C5380" s="51">
        <v>1.009</v>
      </c>
      <c r="D5380" s="51">
        <v>66.0</v>
      </c>
      <c r="E5380" s="52" t="s">
        <v>25</v>
      </c>
      <c r="F5380" s="52" t="s">
        <v>26</v>
      </c>
      <c r="G5380" s="53"/>
    </row>
    <row r="5381">
      <c r="A5381" s="49">
        <v>45077.70471064815</v>
      </c>
      <c r="B5381" s="50">
        <v>45077.8296932523</v>
      </c>
      <c r="C5381" s="51">
        <v>1.009</v>
      </c>
      <c r="D5381" s="51">
        <v>66.0</v>
      </c>
      <c r="E5381" s="52" t="s">
        <v>25</v>
      </c>
      <c r="F5381" s="52" t="s">
        <v>26</v>
      </c>
      <c r="G5381" s="53"/>
    </row>
    <row r="5382">
      <c r="A5382" s="49">
        <v>45077.715139374995</v>
      </c>
      <c r="B5382" s="50">
        <v>45077.8401146643</v>
      </c>
      <c r="C5382" s="51">
        <v>1.009</v>
      </c>
      <c r="D5382" s="51">
        <v>66.0</v>
      </c>
      <c r="E5382" s="52" t="s">
        <v>25</v>
      </c>
      <c r="F5382" s="52" t="s">
        <v>26</v>
      </c>
      <c r="G5382" s="53"/>
    </row>
    <row r="5383">
      <c r="A5383" s="49">
        <v>45077.72555753472</v>
      </c>
      <c r="B5383" s="50">
        <v>45077.8505349074</v>
      </c>
      <c r="C5383" s="51">
        <v>1.009</v>
      </c>
      <c r="D5383" s="51">
        <v>66.0</v>
      </c>
      <c r="E5383" s="52" t="s">
        <v>25</v>
      </c>
      <c r="F5383" s="52" t="s">
        <v>26</v>
      </c>
      <c r="G5383" s="53"/>
    </row>
    <row r="5384">
      <c r="A5384" s="49">
        <v>45077.73598626157</v>
      </c>
      <c r="B5384" s="50">
        <v>45077.860969375</v>
      </c>
      <c r="C5384" s="51">
        <v>1.009</v>
      </c>
      <c r="D5384" s="51">
        <v>66.0</v>
      </c>
      <c r="E5384" s="52" t="s">
        <v>25</v>
      </c>
      <c r="F5384" s="52" t="s">
        <v>26</v>
      </c>
      <c r="G5384" s="53"/>
    </row>
    <row r="5385">
      <c r="A5385" s="49">
        <v>45077.74641199074</v>
      </c>
      <c r="B5385" s="50">
        <v>45077.8713903009</v>
      </c>
      <c r="C5385" s="51">
        <v>1.009</v>
      </c>
      <c r="D5385" s="51">
        <v>66.0</v>
      </c>
      <c r="E5385" s="52" t="s">
        <v>25</v>
      </c>
      <c r="F5385" s="52" t="s">
        <v>26</v>
      </c>
      <c r="G5385" s="53"/>
    </row>
    <row r="5386">
      <c r="A5386" s="49">
        <v>45077.756834733795</v>
      </c>
      <c r="B5386" s="50">
        <v>45077.8818132407</v>
      </c>
      <c r="C5386" s="51">
        <v>1.01</v>
      </c>
      <c r="D5386" s="51">
        <v>66.0</v>
      </c>
      <c r="E5386" s="52" t="s">
        <v>25</v>
      </c>
      <c r="F5386" s="52" t="s">
        <v>26</v>
      </c>
      <c r="G5386" s="53"/>
    </row>
    <row r="5387">
      <c r="A5387" s="49">
        <v>45077.76725871528</v>
      </c>
      <c r="B5387" s="50">
        <v>45077.8922344213</v>
      </c>
      <c r="C5387" s="51">
        <v>1.009</v>
      </c>
      <c r="D5387" s="51">
        <v>66.0</v>
      </c>
      <c r="E5387" s="52" t="s">
        <v>25</v>
      </c>
      <c r="F5387" s="52" t="s">
        <v>26</v>
      </c>
      <c r="G5387" s="53"/>
    </row>
    <row r="5388">
      <c r="A5388" s="49">
        <v>45077.77768122686</v>
      </c>
      <c r="B5388" s="50">
        <v>45077.9026539351</v>
      </c>
      <c r="C5388" s="51">
        <v>1.009</v>
      </c>
      <c r="D5388" s="51">
        <v>66.0</v>
      </c>
      <c r="E5388" s="52" t="s">
        <v>25</v>
      </c>
      <c r="F5388" s="52" t="s">
        <v>26</v>
      </c>
      <c r="G5388" s="53"/>
    </row>
    <row r="5389">
      <c r="A5389" s="49">
        <v>45077.78810910879</v>
      </c>
      <c r="B5389" s="50">
        <v>45077.9130861574</v>
      </c>
      <c r="C5389" s="51">
        <v>1.009</v>
      </c>
      <c r="D5389" s="51">
        <v>66.0</v>
      </c>
      <c r="E5389" s="52" t="s">
        <v>25</v>
      </c>
      <c r="F5389" s="52" t="s">
        <v>26</v>
      </c>
      <c r="G5389" s="53"/>
    </row>
    <row r="5390">
      <c r="A5390" s="49">
        <v>45077.79852894676</v>
      </c>
      <c r="B5390" s="50">
        <v>45077.923507199</v>
      </c>
      <c r="C5390" s="51">
        <v>1.009</v>
      </c>
      <c r="D5390" s="51">
        <v>66.0</v>
      </c>
      <c r="E5390" s="52" t="s">
        <v>25</v>
      </c>
      <c r="F5390" s="52" t="s">
        <v>26</v>
      </c>
      <c r="G5390" s="53"/>
    </row>
    <row r="5391">
      <c r="A5391" s="49">
        <v>45077.80895337963</v>
      </c>
      <c r="B5391" s="50">
        <v>45077.9339281481</v>
      </c>
      <c r="C5391" s="51">
        <v>1.009</v>
      </c>
      <c r="D5391" s="51">
        <v>66.0</v>
      </c>
      <c r="E5391" s="52" t="s">
        <v>25</v>
      </c>
      <c r="F5391" s="52" t="s">
        <v>26</v>
      </c>
      <c r="G5391" s="53"/>
    </row>
    <row r="5392">
      <c r="A5392" s="49">
        <v>45077.819374976854</v>
      </c>
      <c r="B5392" s="50">
        <v>45077.9443489236</v>
      </c>
      <c r="C5392" s="51">
        <v>1.009</v>
      </c>
      <c r="D5392" s="51">
        <v>66.0</v>
      </c>
      <c r="E5392" s="52" t="s">
        <v>25</v>
      </c>
      <c r="F5392" s="52" t="s">
        <v>26</v>
      </c>
      <c r="G5392" s="53"/>
    </row>
    <row r="5393">
      <c r="A5393" s="49">
        <v>45077.82978741898</v>
      </c>
      <c r="B5393" s="50">
        <v>45077.9547682407</v>
      </c>
      <c r="C5393" s="51">
        <v>1.009</v>
      </c>
      <c r="D5393" s="51">
        <v>66.0</v>
      </c>
      <c r="E5393" s="52" t="s">
        <v>25</v>
      </c>
      <c r="F5393" s="52" t="s">
        <v>26</v>
      </c>
      <c r="G5393" s="53"/>
    </row>
    <row r="5394">
      <c r="A5394" s="49">
        <v>45077.840226493056</v>
      </c>
      <c r="B5394" s="50">
        <v>45077.9652010995</v>
      </c>
      <c r="C5394" s="51">
        <v>1.01</v>
      </c>
      <c r="D5394" s="51">
        <v>66.0</v>
      </c>
      <c r="E5394" s="52" t="s">
        <v>25</v>
      </c>
      <c r="F5394" s="52" t="s">
        <v>26</v>
      </c>
      <c r="G5394" s="53"/>
    </row>
    <row r="5395">
      <c r="A5395" s="49">
        <v>45077.85064547454</v>
      </c>
      <c r="B5395" s="50">
        <v>45077.9756227546</v>
      </c>
      <c r="C5395" s="51">
        <v>1.009</v>
      </c>
      <c r="D5395" s="51">
        <v>66.0</v>
      </c>
      <c r="E5395" s="52" t="s">
        <v>25</v>
      </c>
      <c r="F5395" s="52" t="s">
        <v>26</v>
      </c>
      <c r="G5395" s="53"/>
    </row>
    <row r="5396">
      <c r="A5396" s="49">
        <v>45077.86108190972</v>
      </c>
      <c r="B5396" s="50">
        <v>45077.9860538425</v>
      </c>
      <c r="C5396" s="51">
        <v>1.01</v>
      </c>
      <c r="D5396" s="51">
        <v>66.0</v>
      </c>
      <c r="E5396" s="52" t="s">
        <v>25</v>
      </c>
      <c r="F5396" s="52" t="s">
        <v>26</v>
      </c>
      <c r="G5396" s="53"/>
    </row>
    <row r="5397">
      <c r="A5397" s="49">
        <v>45077.871494652776</v>
      </c>
      <c r="B5397" s="50">
        <v>45077.996473993</v>
      </c>
      <c r="C5397" s="51">
        <v>1.009</v>
      </c>
      <c r="D5397" s="51">
        <v>66.0</v>
      </c>
      <c r="E5397" s="52" t="s">
        <v>25</v>
      </c>
      <c r="F5397" s="52" t="s">
        <v>26</v>
      </c>
      <c r="G5397" s="53"/>
    </row>
    <row r="5398">
      <c r="A5398" s="49">
        <v>45077.8819208912</v>
      </c>
      <c r="B5398" s="50">
        <v>45078.0068966551</v>
      </c>
      <c r="C5398" s="51">
        <v>1.009</v>
      </c>
      <c r="D5398" s="51">
        <v>66.0</v>
      </c>
      <c r="E5398" s="52" t="s">
        <v>25</v>
      </c>
      <c r="F5398" s="52" t="s">
        <v>26</v>
      </c>
      <c r="G5398" s="53"/>
    </row>
    <row r="5399">
      <c r="A5399" s="49">
        <v>45077.892351689814</v>
      </c>
      <c r="B5399" s="50">
        <v>45078.0173189351</v>
      </c>
      <c r="C5399" s="51">
        <v>1.009</v>
      </c>
      <c r="D5399" s="51">
        <v>66.0</v>
      </c>
      <c r="E5399" s="52" t="s">
        <v>25</v>
      </c>
      <c r="F5399" s="52" t="s">
        <v>26</v>
      </c>
      <c r="G5399" s="53"/>
    </row>
    <row r="5400">
      <c r="A5400" s="49">
        <v>45077.902765335646</v>
      </c>
      <c r="B5400" s="50">
        <v>45078.0277412037</v>
      </c>
      <c r="C5400" s="51">
        <v>1.01</v>
      </c>
      <c r="D5400" s="51">
        <v>66.0</v>
      </c>
      <c r="E5400" s="52" t="s">
        <v>25</v>
      </c>
      <c r="F5400" s="52" t="s">
        <v>26</v>
      </c>
      <c r="G5400" s="53"/>
    </row>
    <row r="5401">
      <c r="A5401" s="49">
        <v>45077.91318290509</v>
      </c>
      <c r="B5401" s="50">
        <v>45078.0381623032</v>
      </c>
      <c r="C5401" s="51">
        <v>1.009</v>
      </c>
      <c r="D5401" s="51">
        <v>66.0</v>
      </c>
      <c r="E5401" s="52" t="s">
        <v>25</v>
      </c>
      <c r="F5401" s="52" t="s">
        <v>26</v>
      </c>
      <c r="G5401" s="53"/>
    </row>
    <row r="5402">
      <c r="A5402" s="49">
        <v>45077.92360820602</v>
      </c>
      <c r="B5402" s="50">
        <v>45078.0485829513</v>
      </c>
      <c r="C5402" s="51">
        <v>1.009</v>
      </c>
      <c r="D5402" s="51">
        <v>66.0</v>
      </c>
      <c r="E5402" s="52" t="s">
        <v>25</v>
      </c>
      <c r="F5402" s="52" t="s">
        <v>26</v>
      </c>
      <c r="G5402" s="53"/>
    </row>
    <row r="5403">
      <c r="A5403" s="49">
        <v>45077.93404047454</v>
      </c>
      <c r="B5403" s="50">
        <v>45078.0590146759</v>
      </c>
      <c r="C5403" s="51">
        <v>1.009</v>
      </c>
      <c r="D5403" s="51">
        <v>66.0</v>
      </c>
      <c r="E5403" s="52" t="s">
        <v>25</v>
      </c>
      <c r="F5403" s="52" t="s">
        <v>26</v>
      </c>
      <c r="G5403" s="53"/>
    </row>
    <row r="5404">
      <c r="A5404" s="49">
        <v>45077.94447229167</v>
      </c>
      <c r="B5404" s="50">
        <v>45078.0694478472</v>
      </c>
      <c r="C5404" s="51">
        <v>1.009</v>
      </c>
      <c r="D5404" s="51">
        <v>66.0</v>
      </c>
      <c r="E5404" s="52" t="s">
        <v>25</v>
      </c>
      <c r="F5404" s="52" t="s">
        <v>26</v>
      </c>
      <c r="G5404" s="53"/>
    </row>
    <row r="5405">
      <c r="A5405" s="49">
        <v>45077.954893587965</v>
      </c>
      <c r="B5405" s="50">
        <v>45078.0798694212</v>
      </c>
      <c r="C5405" s="51">
        <v>1.009</v>
      </c>
      <c r="D5405" s="51">
        <v>66.0</v>
      </c>
      <c r="E5405" s="52" t="s">
        <v>25</v>
      </c>
      <c r="F5405" s="52" t="s">
        <v>26</v>
      </c>
      <c r="G5405" s="53"/>
    </row>
    <row r="5406">
      <c r="A5406" s="49">
        <v>45077.96532261574</v>
      </c>
      <c r="B5406" s="50">
        <v>45078.0903011805</v>
      </c>
      <c r="C5406" s="51">
        <v>1.009</v>
      </c>
      <c r="D5406" s="51">
        <v>66.0</v>
      </c>
      <c r="E5406" s="52" t="s">
        <v>25</v>
      </c>
      <c r="F5406" s="52" t="s">
        <v>26</v>
      </c>
      <c r="G5406" s="53"/>
    </row>
    <row r="5407">
      <c r="A5407" s="49">
        <v>45077.97574284722</v>
      </c>
      <c r="B5407" s="50">
        <v>45078.1007231597</v>
      </c>
      <c r="C5407" s="51">
        <v>1.01</v>
      </c>
      <c r="D5407" s="51">
        <v>66.0</v>
      </c>
      <c r="E5407" s="52" t="s">
        <v>25</v>
      </c>
      <c r="F5407" s="52" t="s">
        <v>26</v>
      </c>
      <c r="G5407" s="53"/>
    </row>
    <row r="5408">
      <c r="A5408" s="49">
        <v>45077.986172453704</v>
      </c>
      <c r="B5408" s="50">
        <v>45078.1111442129</v>
      </c>
      <c r="C5408" s="51">
        <v>1.009</v>
      </c>
      <c r="D5408" s="51">
        <v>66.0</v>
      </c>
      <c r="E5408" s="52" t="s">
        <v>25</v>
      </c>
      <c r="F5408" s="52" t="s">
        <v>26</v>
      </c>
      <c r="G5408" s="53"/>
    </row>
    <row r="5409">
      <c r="A5409" s="49">
        <v>45077.99659226852</v>
      </c>
      <c r="B5409" s="50">
        <v>45078.1215647916</v>
      </c>
      <c r="C5409" s="51">
        <v>1.009</v>
      </c>
      <c r="D5409" s="51">
        <v>66.0</v>
      </c>
      <c r="E5409" s="52" t="s">
        <v>25</v>
      </c>
      <c r="F5409" s="52" t="s">
        <v>26</v>
      </c>
      <c r="G5409" s="53"/>
    </row>
    <row r="5410">
      <c r="A5410" s="49">
        <v>45078.00704701389</v>
      </c>
      <c r="B5410" s="50">
        <v>45078.1320201388</v>
      </c>
      <c r="C5410" s="51">
        <v>1.009</v>
      </c>
      <c r="D5410" s="51">
        <v>66.0</v>
      </c>
      <c r="E5410" s="52" t="s">
        <v>25</v>
      </c>
      <c r="F5410" s="52" t="s">
        <v>26</v>
      </c>
      <c r="G5410" s="53"/>
    </row>
    <row r="5411">
      <c r="A5411" s="49">
        <v>45078.01747091435</v>
      </c>
      <c r="B5411" s="50">
        <v>45078.14244103</v>
      </c>
      <c r="C5411" s="51">
        <v>1.009</v>
      </c>
      <c r="D5411" s="51">
        <v>66.0</v>
      </c>
      <c r="E5411" s="52" t="s">
        <v>25</v>
      </c>
      <c r="F5411" s="52" t="s">
        <v>26</v>
      </c>
      <c r="G5411" s="53"/>
    </row>
    <row r="5412">
      <c r="A5412" s="49">
        <v>45078.02790084491</v>
      </c>
      <c r="B5412" s="50">
        <v>45078.1528745023</v>
      </c>
      <c r="C5412" s="51">
        <v>1.009</v>
      </c>
      <c r="D5412" s="51">
        <v>66.0</v>
      </c>
      <c r="E5412" s="52" t="s">
        <v>25</v>
      </c>
      <c r="F5412" s="52" t="s">
        <v>26</v>
      </c>
      <c r="G5412" s="53"/>
    </row>
    <row r="5413">
      <c r="A5413" s="49">
        <v>45078.03832309028</v>
      </c>
      <c r="B5413" s="50">
        <v>45078.1632956365</v>
      </c>
      <c r="C5413" s="51">
        <v>1.009</v>
      </c>
      <c r="D5413" s="51">
        <v>66.0</v>
      </c>
      <c r="E5413" s="52" t="s">
        <v>25</v>
      </c>
      <c r="F5413" s="52" t="s">
        <v>26</v>
      </c>
      <c r="G5413" s="53"/>
    </row>
    <row r="5414">
      <c r="A5414" s="49">
        <v>45078.048754386575</v>
      </c>
      <c r="B5414" s="50">
        <v>45078.1737293981</v>
      </c>
      <c r="C5414" s="51">
        <v>1.009</v>
      </c>
      <c r="D5414" s="51">
        <v>66.0</v>
      </c>
      <c r="E5414" s="52" t="s">
        <v>25</v>
      </c>
      <c r="F5414" s="52" t="s">
        <v>26</v>
      </c>
      <c r="G5414" s="53"/>
    </row>
    <row r="5415">
      <c r="A5415" s="49">
        <v>45078.059177511575</v>
      </c>
      <c r="B5415" s="50">
        <v>45078.1841510069</v>
      </c>
      <c r="C5415" s="51">
        <v>1.009</v>
      </c>
      <c r="D5415" s="51">
        <v>66.0</v>
      </c>
      <c r="E5415" s="52" t="s">
        <v>25</v>
      </c>
      <c r="F5415" s="52" t="s">
        <v>26</v>
      </c>
      <c r="G5415" s="53"/>
    </row>
    <row r="5416">
      <c r="A5416" s="49">
        <v>45078.06959388889</v>
      </c>
      <c r="B5416" s="50">
        <v>45078.1945727083</v>
      </c>
      <c r="C5416" s="51">
        <v>1.009</v>
      </c>
      <c r="D5416" s="51">
        <v>66.0</v>
      </c>
      <c r="E5416" s="52" t="s">
        <v>25</v>
      </c>
      <c r="F5416" s="52" t="s">
        <v>26</v>
      </c>
      <c r="G5416" s="53"/>
    </row>
    <row r="5417">
      <c r="A5417" s="49">
        <v>45078.08001791667</v>
      </c>
      <c r="B5417" s="50">
        <v>45078.2049936574</v>
      </c>
      <c r="C5417" s="51">
        <v>1.009</v>
      </c>
      <c r="D5417" s="51">
        <v>66.0</v>
      </c>
      <c r="E5417" s="52" t="s">
        <v>25</v>
      </c>
      <c r="F5417" s="52" t="s">
        <v>26</v>
      </c>
      <c r="G5417" s="53"/>
    </row>
    <row r="5418">
      <c r="A5418" s="49">
        <v>45078.09044288195</v>
      </c>
      <c r="B5418" s="50">
        <v>45078.2154150578</v>
      </c>
      <c r="C5418" s="51">
        <v>1.009</v>
      </c>
      <c r="D5418" s="51">
        <v>66.0</v>
      </c>
      <c r="E5418" s="52" t="s">
        <v>25</v>
      </c>
      <c r="F5418" s="52" t="s">
        <v>26</v>
      </c>
      <c r="G5418" s="53"/>
    </row>
    <row r="5419">
      <c r="A5419" s="49">
        <v>45078.100854502314</v>
      </c>
      <c r="B5419" s="50">
        <v>45078.2258357523</v>
      </c>
      <c r="C5419" s="51">
        <v>1.01</v>
      </c>
      <c r="D5419" s="51">
        <v>66.0</v>
      </c>
      <c r="E5419" s="52" t="s">
        <v>25</v>
      </c>
      <c r="F5419" s="52" t="s">
        <v>26</v>
      </c>
      <c r="G5419" s="53"/>
    </row>
    <row r="5420">
      <c r="A5420" s="49">
        <v>45078.11128547454</v>
      </c>
      <c r="B5420" s="50">
        <v>45078.2362575231</v>
      </c>
      <c r="C5420" s="51">
        <v>1.009</v>
      </c>
      <c r="D5420" s="51">
        <v>66.0</v>
      </c>
      <c r="E5420" s="52" t="s">
        <v>25</v>
      </c>
      <c r="F5420" s="52" t="s">
        <v>26</v>
      </c>
      <c r="G5420" s="53"/>
    </row>
    <row r="5421">
      <c r="A5421" s="49">
        <v>45078.12170261574</v>
      </c>
      <c r="B5421" s="50">
        <v>45078.2466785185</v>
      </c>
      <c r="C5421" s="51">
        <v>1.009</v>
      </c>
      <c r="D5421" s="51">
        <v>66.0</v>
      </c>
      <c r="E5421" s="52" t="s">
        <v>25</v>
      </c>
      <c r="F5421" s="52" t="s">
        <v>26</v>
      </c>
      <c r="G5421" s="53"/>
    </row>
    <row r="5422">
      <c r="A5422" s="49">
        <v>45078.13212414352</v>
      </c>
      <c r="B5422" s="50">
        <v>45078.2570998611</v>
      </c>
      <c r="C5422" s="51">
        <v>1.01</v>
      </c>
      <c r="D5422" s="51">
        <v>66.0</v>
      </c>
      <c r="E5422" s="52" t="s">
        <v>25</v>
      </c>
      <c r="F5422" s="52" t="s">
        <v>26</v>
      </c>
      <c r="G5422" s="53"/>
    </row>
    <row r="5423">
      <c r="A5423" s="49">
        <v>45078.14254193287</v>
      </c>
      <c r="B5423" s="50">
        <v>45078.2675217014</v>
      </c>
      <c r="C5423" s="51">
        <v>1.009</v>
      </c>
      <c r="D5423" s="51">
        <v>66.0</v>
      </c>
      <c r="E5423" s="52" t="s">
        <v>25</v>
      </c>
      <c r="F5423" s="52" t="s">
        <v>26</v>
      </c>
      <c r="G5423" s="53"/>
    </row>
    <row r="5424">
      <c r="A5424" s="49">
        <v>45078.152964444445</v>
      </c>
      <c r="B5424" s="50">
        <v>45078.2779414004</v>
      </c>
      <c r="C5424" s="51">
        <v>1.009</v>
      </c>
      <c r="D5424" s="51">
        <v>66.0</v>
      </c>
      <c r="E5424" s="52" t="s">
        <v>25</v>
      </c>
      <c r="F5424" s="52" t="s">
        <v>26</v>
      </c>
      <c r="G5424" s="53"/>
    </row>
    <row r="5425">
      <c r="A5425" s="49">
        <v>45078.16338108796</v>
      </c>
      <c r="B5425" s="50">
        <v>45078.2883622569</v>
      </c>
      <c r="C5425" s="51">
        <v>1.009</v>
      </c>
      <c r="D5425" s="51">
        <v>66.0</v>
      </c>
      <c r="E5425" s="52" t="s">
        <v>25</v>
      </c>
      <c r="F5425" s="52" t="s">
        <v>26</v>
      </c>
      <c r="G5425" s="53"/>
    </row>
    <row r="5426">
      <c r="A5426" s="49">
        <v>45078.173821805554</v>
      </c>
      <c r="B5426" s="50">
        <v>45078.2987953703</v>
      </c>
      <c r="C5426" s="51">
        <v>1.009</v>
      </c>
      <c r="D5426" s="51">
        <v>66.0</v>
      </c>
      <c r="E5426" s="52" t="s">
        <v>25</v>
      </c>
      <c r="F5426" s="52" t="s">
        <v>26</v>
      </c>
      <c r="G5426" s="53"/>
    </row>
    <row r="5427">
      <c r="A5427" s="49">
        <v>45078.18423766203</v>
      </c>
      <c r="B5427" s="50">
        <v>45078.3092150115</v>
      </c>
      <c r="C5427" s="51">
        <v>1.009</v>
      </c>
      <c r="D5427" s="51">
        <v>66.0</v>
      </c>
      <c r="E5427" s="52" t="s">
        <v>25</v>
      </c>
      <c r="F5427" s="52" t="s">
        <v>26</v>
      </c>
      <c r="G5427" s="53"/>
    </row>
    <row r="5428">
      <c r="A5428" s="49">
        <v>45078.19467427084</v>
      </c>
      <c r="B5428" s="50">
        <v>45078.3196482407</v>
      </c>
      <c r="C5428" s="51">
        <v>1.009</v>
      </c>
      <c r="D5428" s="51">
        <v>66.0</v>
      </c>
      <c r="E5428" s="52" t="s">
        <v>25</v>
      </c>
      <c r="F5428" s="52" t="s">
        <v>26</v>
      </c>
      <c r="G5428" s="53"/>
    </row>
    <row r="5429">
      <c r="A5429" s="49">
        <v>45078.205094143515</v>
      </c>
      <c r="B5429" s="50">
        <v>45078.3300714236</v>
      </c>
      <c r="C5429" s="51">
        <v>1.009</v>
      </c>
      <c r="D5429" s="51">
        <v>66.0</v>
      </c>
      <c r="E5429" s="52" t="s">
        <v>25</v>
      </c>
      <c r="F5429" s="52" t="s">
        <v>26</v>
      </c>
      <c r="G5429" s="53"/>
    </row>
    <row r="5430">
      <c r="A5430" s="49">
        <v>45078.21553835648</v>
      </c>
      <c r="B5430" s="50">
        <v>45078.3405145717</v>
      </c>
      <c r="C5430" s="51">
        <v>1.009</v>
      </c>
      <c r="D5430" s="51">
        <v>66.0</v>
      </c>
      <c r="E5430" s="52" t="s">
        <v>25</v>
      </c>
      <c r="F5430" s="52" t="s">
        <v>26</v>
      </c>
      <c r="G5430" s="53"/>
    </row>
    <row r="5431">
      <c r="A5431" s="49">
        <v>45078.22597778935</v>
      </c>
      <c r="B5431" s="50">
        <v>45078.3509475694</v>
      </c>
      <c r="C5431" s="51">
        <v>1.009</v>
      </c>
      <c r="D5431" s="51">
        <v>66.0</v>
      </c>
      <c r="E5431" s="52" t="s">
        <v>25</v>
      </c>
      <c r="F5431" s="52" t="s">
        <v>26</v>
      </c>
      <c r="G5431" s="53"/>
    </row>
    <row r="5432">
      <c r="A5432" s="49">
        <v>45078.236392025465</v>
      </c>
      <c r="B5432" s="50">
        <v>45078.3613678703</v>
      </c>
      <c r="C5432" s="51">
        <v>1.009</v>
      </c>
      <c r="D5432" s="51">
        <v>66.0</v>
      </c>
      <c r="E5432" s="52" t="s">
        <v>25</v>
      </c>
      <c r="F5432" s="52" t="s">
        <v>26</v>
      </c>
      <c r="G5432" s="53"/>
    </row>
    <row r="5433">
      <c r="A5433" s="49">
        <v>45078.24681653935</v>
      </c>
      <c r="B5433" s="50">
        <v>45078.3717883449</v>
      </c>
      <c r="C5433" s="51">
        <v>1.009</v>
      </c>
      <c r="D5433" s="51">
        <v>66.0</v>
      </c>
      <c r="E5433" s="52" t="s">
        <v>25</v>
      </c>
      <c r="F5433" s="52" t="s">
        <v>26</v>
      </c>
      <c r="G5433" s="53"/>
    </row>
    <row r="5434">
      <c r="A5434" s="49">
        <v>45078.25723497685</v>
      </c>
      <c r="B5434" s="50">
        <v>45078.3822105208</v>
      </c>
      <c r="C5434" s="51">
        <v>1.009</v>
      </c>
      <c r="D5434" s="51">
        <v>66.0</v>
      </c>
      <c r="E5434" s="52" t="s">
        <v>25</v>
      </c>
      <c r="F5434" s="52" t="s">
        <v>26</v>
      </c>
      <c r="G5434" s="53"/>
    </row>
    <row r="5435">
      <c r="A5435" s="49">
        <v>45078.267669733796</v>
      </c>
      <c r="B5435" s="50">
        <v>45078.3926414583</v>
      </c>
      <c r="C5435" s="51">
        <v>1.009</v>
      </c>
      <c r="D5435" s="51">
        <v>66.0</v>
      </c>
      <c r="E5435" s="52" t="s">
        <v>25</v>
      </c>
      <c r="F5435" s="52" t="s">
        <v>26</v>
      </c>
      <c r="G5435" s="53"/>
    </row>
    <row r="5436">
      <c r="A5436" s="49">
        <v>45078.278086990744</v>
      </c>
      <c r="B5436" s="50">
        <v>45078.4030627314</v>
      </c>
      <c r="C5436" s="51">
        <v>1.009</v>
      </c>
      <c r="D5436" s="51">
        <v>66.0</v>
      </c>
      <c r="E5436" s="52" t="s">
        <v>25</v>
      </c>
      <c r="F5436" s="52" t="s">
        <v>26</v>
      </c>
      <c r="G5436" s="53"/>
    </row>
    <row r="5437">
      <c r="A5437" s="49">
        <v>45078.28850685185</v>
      </c>
      <c r="B5437" s="50">
        <v>45078.4134839351</v>
      </c>
      <c r="C5437" s="51">
        <v>1.009</v>
      </c>
      <c r="D5437" s="51">
        <v>66.0</v>
      </c>
      <c r="E5437" s="52" t="s">
        <v>25</v>
      </c>
      <c r="F5437" s="52" t="s">
        <v>26</v>
      </c>
      <c r="G5437" s="53"/>
    </row>
    <row r="5438">
      <c r="A5438" s="49">
        <v>45078.298923090275</v>
      </c>
      <c r="B5438" s="50">
        <v>45078.4239031481</v>
      </c>
      <c r="C5438" s="51">
        <v>1.009</v>
      </c>
      <c r="D5438" s="51">
        <v>66.0</v>
      </c>
      <c r="E5438" s="52" t="s">
        <v>25</v>
      </c>
      <c r="F5438" s="52" t="s">
        <v>26</v>
      </c>
      <c r="G5438" s="53"/>
    </row>
    <row r="5439">
      <c r="A5439" s="49">
        <v>45078.30937559028</v>
      </c>
      <c r="B5439" s="50">
        <v>45078.4343463078</v>
      </c>
      <c r="C5439" s="51">
        <v>1.009</v>
      </c>
      <c r="D5439" s="51">
        <v>66.0</v>
      </c>
      <c r="E5439" s="52" t="s">
        <v>25</v>
      </c>
      <c r="F5439" s="52" t="s">
        <v>26</v>
      </c>
      <c r="G5439" s="53"/>
    </row>
    <row r="5440">
      <c r="A5440" s="49">
        <v>45078.31978961806</v>
      </c>
      <c r="B5440" s="50">
        <v>45078.444766875</v>
      </c>
      <c r="C5440" s="51">
        <v>1.009</v>
      </c>
      <c r="D5440" s="51">
        <v>66.0</v>
      </c>
      <c r="E5440" s="52" t="s">
        <v>25</v>
      </c>
      <c r="F5440" s="52" t="s">
        <v>26</v>
      </c>
      <c r="G5440" s="53"/>
    </row>
    <row r="5441">
      <c r="A5441" s="49">
        <v>45078.330214918984</v>
      </c>
      <c r="B5441" s="50">
        <v>45078.4551866666</v>
      </c>
      <c r="C5441" s="51">
        <v>1.009</v>
      </c>
      <c r="D5441" s="51">
        <v>66.0</v>
      </c>
      <c r="E5441" s="52" t="s">
        <v>25</v>
      </c>
      <c r="F5441" s="52" t="s">
        <v>26</v>
      </c>
      <c r="G5441" s="53"/>
    </row>
    <row r="5442">
      <c r="A5442" s="49">
        <v>45078.340638842594</v>
      </c>
      <c r="B5442" s="50">
        <v>45078.4656084143</v>
      </c>
      <c r="C5442" s="51">
        <v>1.009</v>
      </c>
      <c r="D5442" s="51">
        <v>66.0</v>
      </c>
      <c r="E5442" s="52" t="s">
        <v>25</v>
      </c>
      <c r="F5442" s="52" t="s">
        <v>26</v>
      </c>
      <c r="G5442" s="53"/>
    </row>
    <row r="5443">
      <c r="A5443" s="49">
        <v>45078.35104930555</v>
      </c>
      <c r="B5443" s="50">
        <v>45078.4760300115</v>
      </c>
      <c r="C5443" s="51">
        <v>1.009</v>
      </c>
      <c r="D5443" s="51">
        <v>66.0</v>
      </c>
      <c r="E5443" s="52" t="s">
        <v>25</v>
      </c>
      <c r="F5443" s="52" t="s">
        <v>26</v>
      </c>
      <c r="G5443" s="53"/>
    </row>
    <row r="5444">
      <c r="A5444" s="49">
        <v>45078.36148893519</v>
      </c>
      <c r="B5444" s="50">
        <v>45078.4864621875</v>
      </c>
      <c r="C5444" s="51">
        <v>1.009</v>
      </c>
      <c r="D5444" s="51">
        <v>66.0</v>
      </c>
      <c r="E5444" s="52" t="s">
        <v>25</v>
      </c>
      <c r="F5444" s="52" t="s">
        <v>26</v>
      </c>
      <c r="G5444" s="53"/>
    </row>
    <row r="5445">
      <c r="A5445" s="49">
        <v>45078.37190465278</v>
      </c>
      <c r="B5445" s="50">
        <v>45078.4968818981</v>
      </c>
      <c r="C5445" s="51">
        <v>1.009</v>
      </c>
      <c r="D5445" s="51">
        <v>66.0</v>
      </c>
      <c r="E5445" s="52" t="s">
        <v>25</v>
      </c>
      <c r="F5445" s="52" t="s">
        <v>26</v>
      </c>
      <c r="G5445" s="53"/>
    </row>
    <row r="5446">
      <c r="A5446" s="49">
        <v>45078.38232255787</v>
      </c>
      <c r="B5446" s="50">
        <v>45078.5073021527</v>
      </c>
      <c r="C5446" s="51">
        <v>1.009</v>
      </c>
      <c r="D5446" s="51">
        <v>66.0</v>
      </c>
      <c r="E5446" s="52" t="s">
        <v>25</v>
      </c>
      <c r="F5446" s="52" t="s">
        <v>26</v>
      </c>
      <c r="G5446" s="53"/>
    </row>
    <row r="5447">
      <c r="A5447" s="49">
        <v>45078.3927495949</v>
      </c>
      <c r="B5447" s="50">
        <v>45078.5177241435</v>
      </c>
      <c r="C5447" s="51">
        <v>1.009</v>
      </c>
      <c r="D5447" s="51">
        <v>66.0</v>
      </c>
      <c r="E5447" s="52" t="s">
        <v>25</v>
      </c>
      <c r="F5447" s="52" t="s">
        <v>26</v>
      </c>
      <c r="G5447" s="53"/>
    </row>
    <row r="5448">
      <c r="A5448" s="49">
        <v>45078.4031796412</v>
      </c>
      <c r="B5448" s="50">
        <v>45078.5281441782</v>
      </c>
      <c r="C5448" s="51">
        <v>1.009</v>
      </c>
      <c r="D5448" s="51">
        <v>66.0</v>
      </c>
      <c r="E5448" s="52" t="s">
        <v>25</v>
      </c>
      <c r="F5448" s="52" t="s">
        <v>26</v>
      </c>
      <c r="G5448" s="53"/>
    </row>
    <row r="5449">
      <c r="A5449" s="49">
        <v>45078.41358836806</v>
      </c>
      <c r="B5449" s="50">
        <v>45078.5385650231</v>
      </c>
      <c r="C5449" s="51">
        <v>1.009</v>
      </c>
      <c r="D5449" s="51">
        <v>66.0</v>
      </c>
      <c r="E5449" s="52" t="s">
        <v>25</v>
      </c>
      <c r="F5449" s="52" t="s">
        <v>26</v>
      </c>
      <c r="G5449" s="53"/>
    </row>
    <row r="5450">
      <c r="A5450" s="49">
        <v>45078.42401619213</v>
      </c>
      <c r="B5450" s="50">
        <v>45078.5489861689</v>
      </c>
      <c r="C5450" s="51">
        <v>1.009</v>
      </c>
      <c r="D5450" s="51">
        <v>66.0</v>
      </c>
      <c r="E5450" s="52" t="s">
        <v>25</v>
      </c>
      <c r="F5450" s="52" t="s">
        <v>26</v>
      </c>
      <c r="G5450" s="53"/>
    </row>
    <row r="5451">
      <c r="A5451" s="49">
        <v>45078.43443386574</v>
      </c>
      <c r="B5451" s="50">
        <v>45078.5594081944</v>
      </c>
      <c r="C5451" s="51">
        <v>1.009</v>
      </c>
      <c r="D5451" s="51">
        <v>66.0</v>
      </c>
      <c r="E5451" s="52" t="s">
        <v>25</v>
      </c>
      <c r="F5451" s="52" t="s">
        <v>26</v>
      </c>
      <c r="G5451" s="53"/>
    </row>
    <row r="5452">
      <c r="A5452" s="49">
        <v>45078.44485738426</v>
      </c>
      <c r="B5452" s="50">
        <v>45078.5698294097</v>
      </c>
      <c r="C5452" s="51">
        <v>1.009</v>
      </c>
      <c r="D5452" s="51">
        <v>66.0</v>
      </c>
      <c r="E5452" s="52" t="s">
        <v>25</v>
      </c>
      <c r="F5452" s="52" t="s">
        <v>26</v>
      </c>
      <c r="G5452" s="53"/>
    </row>
    <row r="5453">
      <c r="A5453" s="49">
        <v>45078.45527489584</v>
      </c>
      <c r="B5453" s="50">
        <v>45078.5802520486</v>
      </c>
      <c r="C5453" s="51">
        <v>1.009</v>
      </c>
      <c r="D5453" s="51">
        <v>66.0</v>
      </c>
      <c r="E5453" s="52" t="s">
        <v>25</v>
      </c>
      <c r="F5453" s="52" t="s">
        <v>26</v>
      </c>
      <c r="G5453" s="53"/>
    </row>
    <row r="5454">
      <c r="A5454" s="49">
        <v>45078.465704988426</v>
      </c>
      <c r="B5454" s="50">
        <v>45078.5906846643</v>
      </c>
      <c r="C5454" s="51">
        <v>1.009</v>
      </c>
      <c r="D5454" s="51">
        <v>66.0</v>
      </c>
      <c r="E5454" s="52" t="s">
        <v>25</v>
      </c>
      <c r="F5454" s="52" t="s">
        <v>26</v>
      </c>
      <c r="G5454" s="53"/>
    </row>
    <row r="5455">
      <c r="A5455" s="49">
        <v>45078.476132337964</v>
      </c>
      <c r="B5455" s="50">
        <v>45078.6011049074</v>
      </c>
      <c r="C5455" s="51">
        <v>1.009</v>
      </c>
      <c r="D5455" s="51">
        <v>66.0</v>
      </c>
      <c r="E5455" s="52" t="s">
        <v>25</v>
      </c>
      <c r="F5455" s="52" t="s">
        <v>26</v>
      </c>
      <c r="G5455" s="53"/>
    </row>
    <row r="5456">
      <c r="A5456" s="49">
        <v>45078.48655045139</v>
      </c>
      <c r="B5456" s="50">
        <v>45078.6115255555</v>
      </c>
      <c r="C5456" s="51">
        <v>1.009</v>
      </c>
      <c r="D5456" s="51">
        <v>66.0</v>
      </c>
      <c r="E5456" s="52" t="s">
        <v>25</v>
      </c>
      <c r="F5456" s="52" t="s">
        <v>26</v>
      </c>
      <c r="G5456" s="53"/>
    </row>
    <row r="5457">
      <c r="A5457" s="49">
        <v>45078.49697256944</v>
      </c>
      <c r="B5457" s="50">
        <v>45078.6219462847</v>
      </c>
      <c r="C5457" s="51">
        <v>1.009</v>
      </c>
      <c r="D5457" s="51">
        <v>66.0</v>
      </c>
      <c r="E5457" s="52" t="s">
        <v>25</v>
      </c>
      <c r="F5457" s="52" t="s">
        <v>26</v>
      </c>
      <c r="G5457" s="53"/>
    </row>
    <row r="5458">
      <c r="A5458" s="49">
        <v>45078.50741979167</v>
      </c>
      <c r="B5458" s="50">
        <v>45078.6323907175</v>
      </c>
      <c r="C5458" s="51">
        <v>1.009</v>
      </c>
      <c r="D5458" s="51">
        <v>66.0</v>
      </c>
      <c r="E5458" s="52" t="s">
        <v>25</v>
      </c>
      <c r="F5458" s="52" t="s">
        <v>26</v>
      </c>
      <c r="G5458" s="53"/>
    </row>
    <row r="5459">
      <c r="A5459" s="49">
        <v>45078.51784443287</v>
      </c>
      <c r="B5459" s="50">
        <v>45078.6428233564</v>
      </c>
      <c r="C5459" s="51">
        <v>1.009</v>
      </c>
      <c r="D5459" s="51">
        <v>66.0</v>
      </c>
      <c r="E5459" s="52" t="s">
        <v>25</v>
      </c>
      <c r="F5459" s="52" t="s">
        <v>26</v>
      </c>
      <c r="G5459" s="53"/>
    </row>
    <row r="5460">
      <c r="A5460" s="49">
        <v>45078.52826697916</v>
      </c>
      <c r="B5460" s="50">
        <v>45078.6532439583</v>
      </c>
      <c r="C5460" s="51">
        <v>1.009</v>
      </c>
      <c r="D5460" s="51">
        <v>66.0</v>
      </c>
      <c r="E5460" s="52" t="s">
        <v>25</v>
      </c>
      <c r="F5460" s="52" t="s">
        <v>26</v>
      </c>
      <c r="G5460" s="53"/>
    </row>
    <row r="5461">
      <c r="A5461" s="49">
        <v>45078.538698819444</v>
      </c>
      <c r="B5461" s="50">
        <v>45078.6636772916</v>
      </c>
      <c r="C5461" s="51">
        <v>1.009</v>
      </c>
      <c r="D5461" s="51">
        <v>66.0</v>
      </c>
      <c r="E5461" s="52" t="s">
        <v>25</v>
      </c>
      <c r="F5461" s="52" t="s">
        <v>26</v>
      </c>
      <c r="G5461" s="53"/>
    </row>
    <row r="5462">
      <c r="A5462" s="49">
        <v>45078.549121516204</v>
      </c>
      <c r="B5462" s="50">
        <v>45078.6740981018</v>
      </c>
      <c r="C5462" s="51">
        <v>1.009</v>
      </c>
      <c r="D5462" s="51">
        <v>66.0</v>
      </c>
      <c r="E5462" s="52" t="s">
        <v>25</v>
      </c>
      <c r="F5462" s="52" t="s">
        <v>26</v>
      </c>
      <c r="G5462" s="53"/>
    </row>
    <row r="5463">
      <c r="A5463" s="49">
        <v>45078.559565891206</v>
      </c>
      <c r="B5463" s="50">
        <v>45078.6845436111</v>
      </c>
      <c r="C5463" s="51">
        <v>1.009</v>
      </c>
      <c r="D5463" s="51">
        <v>66.0</v>
      </c>
      <c r="E5463" s="52" t="s">
        <v>25</v>
      </c>
      <c r="F5463" s="52" t="s">
        <v>26</v>
      </c>
      <c r="G5463" s="53"/>
    </row>
    <row r="5464">
      <c r="A5464" s="49">
        <v>45078.57000173611</v>
      </c>
      <c r="B5464" s="50">
        <v>45078.6949776388</v>
      </c>
      <c r="C5464" s="51">
        <v>1.009</v>
      </c>
      <c r="D5464" s="51">
        <v>66.0</v>
      </c>
      <c r="E5464" s="52" t="s">
        <v>25</v>
      </c>
      <c r="F5464" s="52" t="s">
        <v>26</v>
      </c>
      <c r="G5464" s="53"/>
    </row>
    <row r="5465">
      <c r="A5465" s="49">
        <v>45078.580422175924</v>
      </c>
      <c r="B5465" s="50">
        <v>45078.7053990277</v>
      </c>
      <c r="C5465" s="51">
        <v>1.009</v>
      </c>
      <c r="D5465" s="51">
        <v>66.0</v>
      </c>
      <c r="E5465" s="52" t="s">
        <v>25</v>
      </c>
      <c r="F5465" s="52" t="s">
        <v>26</v>
      </c>
      <c r="G5465" s="53"/>
    </row>
    <row r="5466">
      <c r="A5466" s="49">
        <v>45078.59084484953</v>
      </c>
      <c r="B5466" s="50">
        <v>45078.7158203588</v>
      </c>
      <c r="C5466" s="51">
        <v>1.009</v>
      </c>
      <c r="D5466" s="51">
        <v>66.0</v>
      </c>
      <c r="E5466" s="52" t="s">
        <v>25</v>
      </c>
      <c r="F5466" s="52" t="s">
        <v>26</v>
      </c>
      <c r="G5466" s="53"/>
    </row>
    <row r="5467">
      <c r="A5467" s="49">
        <v>45078.60126622685</v>
      </c>
      <c r="B5467" s="50">
        <v>45078.7262396759</v>
      </c>
      <c r="C5467" s="51">
        <v>1.009</v>
      </c>
      <c r="D5467" s="51">
        <v>66.0</v>
      </c>
      <c r="E5467" s="52" t="s">
        <v>25</v>
      </c>
      <c r="F5467" s="52" t="s">
        <v>26</v>
      </c>
      <c r="G5467" s="53"/>
    </row>
    <row r="5468">
      <c r="A5468" s="49">
        <v>45078.61169853009</v>
      </c>
      <c r="B5468" s="50">
        <v>45078.7366719907</v>
      </c>
      <c r="C5468" s="51">
        <v>1.009</v>
      </c>
      <c r="D5468" s="51">
        <v>66.0</v>
      </c>
      <c r="E5468" s="52" t="s">
        <v>25</v>
      </c>
      <c r="F5468" s="52" t="s">
        <v>26</v>
      </c>
      <c r="G5468" s="53"/>
    </row>
    <row r="5469">
      <c r="A5469" s="49">
        <v>45078.62211373843</v>
      </c>
      <c r="B5469" s="50">
        <v>45078.747092581</v>
      </c>
      <c r="C5469" s="51">
        <v>1.009</v>
      </c>
      <c r="D5469" s="51">
        <v>66.0</v>
      </c>
      <c r="E5469" s="52" t="s">
        <v>25</v>
      </c>
      <c r="F5469" s="52" t="s">
        <v>26</v>
      </c>
      <c r="G5469" s="53"/>
    </row>
    <row r="5470">
      <c r="A5470" s="49">
        <v>45078.63255072916</v>
      </c>
      <c r="B5470" s="50">
        <v>45078.7575263426</v>
      </c>
      <c r="C5470" s="51">
        <v>1.009</v>
      </c>
      <c r="D5470" s="51">
        <v>66.0</v>
      </c>
      <c r="E5470" s="52" t="s">
        <v>25</v>
      </c>
      <c r="F5470" s="52" t="s">
        <v>26</v>
      </c>
      <c r="G5470" s="53"/>
    </row>
    <row r="5471">
      <c r="A5471" s="49">
        <v>45078.642981770834</v>
      </c>
      <c r="B5471" s="50">
        <v>45078.7679461689</v>
      </c>
      <c r="C5471" s="51">
        <v>1.009</v>
      </c>
      <c r="D5471" s="51">
        <v>66.0</v>
      </c>
      <c r="E5471" s="52" t="s">
        <v>25</v>
      </c>
      <c r="F5471" s="52" t="s">
        <v>26</v>
      </c>
      <c r="G5471" s="53"/>
    </row>
    <row r="5472">
      <c r="A5472" s="49">
        <v>45078.65339361111</v>
      </c>
      <c r="B5472" s="50">
        <v>45078.7783674421</v>
      </c>
      <c r="C5472" s="51">
        <v>1.009</v>
      </c>
      <c r="D5472" s="51">
        <v>66.0</v>
      </c>
      <c r="E5472" s="52" t="s">
        <v>25</v>
      </c>
      <c r="F5472" s="52" t="s">
        <v>26</v>
      </c>
      <c r="G5472" s="53"/>
    </row>
    <row r="5473">
      <c r="A5473" s="49">
        <v>45078.66381450232</v>
      </c>
      <c r="B5473" s="50">
        <v>45078.7887884027</v>
      </c>
      <c r="C5473" s="51">
        <v>1.009</v>
      </c>
      <c r="D5473" s="51">
        <v>66.0</v>
      </c>
      <c r="E5473" s="52" t="s">
        <v>25</v>
      </c>
      <c r="F5473" s="52" t="s">
        <v>26</v>
      </c>
      <c r="G5473" s="53"/>
    </row>
    <row r="5474">
      <c r="A5474" s="49">
        <v>45078.67423513889</v>
      </c>
      <c r="B5474" s="50">
        <v>45078.7992100115</v>
      </c>
      <c r="C5474" s="51">
        <v>1.009</v>
      </c>
      <c r="D5474" s="51">
        <v>66.0</v>
      </c>
      <c r="E5474" s="52" t="s">
        <v>25</v>
      </c>
      <c r="F5474" s="52" t="s">
        <v>26</v>
      </c>
      <c r="G5474" s="53"/>
    </row>
    <row r="5475">
      <c r="A5475" s="49">
        <v>45078.684662071755</v>
      </c>
      <c r="B5475" s="50">
        <v>45078.8096327083</v>
      </c>
      <c r="C5475" s="51">
        <v>1.009</v>
      </c>
      <c r="D5475" s="51">
        <v>66.0</v>
      </c>
      <c r="E5475" s="52" t="s">
        <v>25</v>
      </c>
      <c r="F5475" s="52" t="s">
        <v>26</v>
      </c>
      <c r="G5475" s="53"/>
    </row>
    <row r="5476">
      <c r="A5476" s="49">
        <v>45078.695080150464</v>
      </c>
      <c r="B5476" s="50">
        <v>45078.8200542013</v>
      </c>
      <c r="C5476" s="51">
        <v>1.009</v>
      </c>
      <c r="D5476" s="51">
        <v>66.0</v>
      </c>
      <c r="E5476" s="52" t="s">
        <v>25</v>
      </c>
      <c r="F5476" s="52" t="s">
        <v>26</v>
      </c>
      <c r="G5476" s="53"/>
    </row>
    <row r="5477">
      <c r="A5477" s="49">
        <v>45078.70549813657</v>
      </c>
      <c r="B5477" s="50">
        <v>45078.8304763888</v>
      </c>
      <c r="C5477" s="51">
        <v>1.009</v>
      </c>
      <c r="D5477" s="51">
        <v>66.0</v>
      </c>
      <c r="E5477" s="52" t="s">
        <v>25</v>
      </c>
      <c r="F5477" s="52" t="s">
        <v>26</v>
      </c>
      <c r="G5477" s="53"/>
    </row>
    <row r="5478">
      <c r="A5478" s="49">
        <v>45078.71592342593</v>
      </c>
      <c r="B5478" s="50">
        <v>45078.8408989699</v>
      </c>
      <c r="C5478" s="51">
        <v>1.009</v>
      </c>
      <c r="D5478" s="51">
        <v>66.0</v>
      </c>
      <c r="E5478" s="52" t="s">
        <v>25</v>
      </c>
      <c r="F5478" s="52" t="s">
        <v>26</v>
      </c>
      <c r="G5478" s="53"/>
    </row>
    <row r="5479">
      <c r="A5479" s="49">
        <v>45078.72634087963</v>
      </c>
      <c r="B5479" s="50">
        <v>45078.8513203472</v>
      </c>
      <c r="C5479" s="51">
        <v>1.009</v>
      </c>
      <c r="D5479" s="51">
        <v>66.0</v>
      </c>
      <c r="E5479" s="52" t="s">
        <v>25</v>
      </c>
      <c r="F5479" s="52" t="s">
        <v>26</v>
      </c>
      <c r="G5479" s="53"/>
    </row>
    <row r="5480">
      <c r="A5480" s="49">
        <v>45078.73678107639</v>
      </c>
      <c r="B5480" s="50">
        <v>45078.8617541203</v>
      </c>
      <c r="C5480" s="51">
        <v>1.009</v>
      </c>
      <c r="D5480" s="51">
        <v>66.0</v>
      </c>
      <c r="E5480" s="52" t="s">
        <v>25</v>
      </c>
      <c r="F5480" s="52" t="s">
        <v>26</v>
      </c>
      <c r="G5480" s="53"/>
    </row>
    <row r="5481">
      <c r="A5481" s="49">
        <v>45078.747194236115</v>
      </c>
      <c r="B5481" s="50">
        <v>45078.8721747222</v>
      </c>
      <c r="C5481" s="51">
        <v>1.009</v>
      </c>
      <c r="D5481" s="51">
        <v>66.0</v>
      </c>
      <c r="E5481" s="52" t="s">
        <v>25</v>
      </c>
      <c r="F5481" s="52" t="s">
        <v>26</v>
      </c>
      <c r="G5481" s="53"/>
    </row>
    <row r="5482">
      <c r="A5482" s="49">
        <v>45078.75762884259</v>
      </c>
      <c r="B5482" s="50">
        <v>45078.8825953356</v>
      </c>
      <c r="C5482" s="51">
        <v>1.009</v>
      </c>
      <c r="D5482" s="51">
        <v>66.0</v>
      </c>
      <c r="E5482" s="52" t="s">
        <v>25</v>
      </c>
      <c r="F5482" s="52" t="s">
        <v>26</v>
      </c>
      <c r="G5482" s="53"/>
    </row>
    <row r="5483">
      <c r="A5483" s="49">
        <v>45078.76803886574</v>
      </c>
      <c r="B5483" s="50">
        <v>45078.8930176504</v>
      </c>
      <c r="C5483" s="51">
        <v>1.009</v>
      </c>
      <c r="D5483" s="51">
        <v>66.0</v>
      </c>
      <c r="E5483" s="52" t="s">
        <v>25</v>
      </c>
      <c r="F5483" s="52" t="s">
        <v>26</v>
      </c>
      <c r="G5483" s="53"/>
    </row>
    <row r="5484">
      <c r="A5484" s="49">
        <v>45078.77846671296</v>
      </c>
      <c r="B5484" s="50">
        <v>45078.9034370254</v>
      </c>
      <c r="C5484" s="51">
        <v>1.009</v>
      </c>
      <c r="D5484" s="51">
        <v>66.0</v>
      </c>
      <c r="E5484" s="52" t="s">
        <v>25</v>
      </c>
      <c r="F5484" s="52" t="s">
        <v>26</v>
      </c>
      <c r="G5484" s="53"/>
    </row>
    <row r="5485">
      <c r="A5485" s="49">
        <v>45078.78888655093</v>
      </c>
      <c r="B5485" s="50">
        <v>45078.9138597222</v>
      </c>
      <c r="C5485" s="51">
        <v>1.009</v>
      </c>
      <c r="D5485" s="51">
        <v>66.0</v>
      </c>
      <c r="E5485" s="52" t="s">
        <v>25</v>
      </c>
      <c r="F5485" s="52" t="s">
        <v>26</v>
      </c>
      <c r="G5485" s="53"/>
    </row>
    <row r="5486">
      <c r="A5486" s="49">
        <v>45078.79932219908</v>
      </c>
      <c r="B5486" s="50">
        <v>45078.9242951967</v>
      </c>
      <c r="C5486" s="51">
        <v>1.009</v>
      </c>
      <c r="D5486" s="51">
        <v>66.0</v>
      </c>
      <c r="E5486" s="52" t="s">
        <v>25</v>
      </c>
      <c r="F5486" s="52" t="s">
        <v>26</v>
      </c>
      <c r="G5486" s="53"/>
    </row>
    <row r="5487">
      <c r="A5487" s="49">
        <v>45078.80974439815</v>
      </c>
      <c r="B5487" s="50">
        <v>45078.9347171527</v>
      </c>
      <c r="C5487" s="51">
        <v>1.009</v>
      </c>
      <c r="D5487" s="51">
        <v>66.0</v>
      </c>
      <c r="E5487" s="52" t="s">
        <v>25</v>
      </c>
      <c r="F5487" s="52" t="s">
        <v>26</v>
      </c>
      <c r="G5487" s="53"/>
    </row>
    <row r="5488">
      <c r="A5488" s="49">
        <v>45078.82016887731</v>
      </c>
      <c r="B5488" s="50">
        <v>45078.9451392245</v>
      </c>
      <c r="C5488" s="51">
        <v>1.009</v>
      </c>
      <c r="D5488" s="51">
        <v>66.0</v>
      </c>
      <c r="E5488" s="52" t="s">
        <v>25</v>
      </c>
      <c r="F5488" s="52" t="s">
        <v>26</v>
      </c>
      <c r="G5488" s="53"/>
    </row>
    <row r="5489">
      <c r="A5489" s="49">
        <v>45078.83058815972</v>
      </c>
      <c r="B5489" s="50">
        <v>45078.9555601388</v>
      </c>
      <c r="C5489" s="51">
        <v>1.009</v>
      </c>
      <c r="D5489" s="51">
        <v>66.0</v>
      </c>
      <c r="E5489" s="52" t="s">
        <v>25</v>
      </c>
      <c r="F5489" s="52" t="s">
        <v>26</v>
      </c>
      <c r="G5489" s="53"/>
    </row>
    <row r="5490">
      <c r="A5490" s="49">
        <v>45078.84100947916</v>
      </c>
      <c r="B5490" s="50">
        <v>45078.9659814236</v>
      </c>
      <c r="C5490" s="51">
        <v>1.009</v>
      </c>
      <c r="D5490" s="51">
        <v>66.0</v>
      </c>
      <c r="E5490" s="52" t="s">
        <v>25</v>
      </c>
      <c r="F5490" s="52" t="s">
        <v>26</v>
      </c>
      <c r="G5490" s="53"/>
    </row>
    <row r="5491">
      <c r="A5491" s="49">
        <v>45078.85143068287</v>
      </c>
      <c r="B5491" s="50">
        <v>45078.9764035301</v>
      </c>
      <c r="C5491" s="51">
        <v>1.009</v>
      </c>
      <c r="D5491" s="51">
        <v>66.0</v>
      </c>
      <c r="E5491" s="52" t="s">
        <v>25</v>
      </c>
      <c r="F5491" s="52" t="s">
        <v>26</v>
      </c>
      <c r="G5491" s="53"/>
    </row>
    <row r="5492">
      <c r="A5492" s="49">
        <v>45078.86184915509</v>
      </c>
      <c r="B5492" s="50">
        <v>45078.9868237731</v>
      </c>
      <c r="C5492" s="51">
        <v>1.009</v>
      </c>
      <c r="D5492" s="51">
        <v>66.0</v>
      </c>
      <c r="E5492" s="52" t="s">
        <v>25</v>
      </c>
      <c r="F5492" s="52" t="s">
        <v>26</v>
      </c>
      <c r="G5492" s="53"/>
    </row>
    <row r="5493">
      <c r="A5493" s="49">
        <v>45078.872272141205</v>
      </c>
      <c r="B5493" s="50">
        <v>45078.9972444328</v>
      </c>
      <c r="C5493" s="51">
        <v>1.009</v>
      </c>
      <c r="D5493" s="51">
        <v>66.0</v>
      </c>
      <c r="E5493" s="52" t="s">
        <v>25</v>
      </c>
      <c r="F5493" s="52" t="s">
        <v>26</v>
      </c>
      <c r="G5493" s="53"/>
    </row>
    <row r="5494">
      <c r="A5494" s="49">
        <v>45078.88269047454</v>
      </c>
      <c r="B5494" s="50">
        <v>45079.0076645949</v>
      </c>
      <c r="C5494" s="51">
        <v>1.009</v>
      </c>
      <c r="D5494" s="51">
        <v>66.0</v>
      </c>
      <c r="E5494" s="52" t="s">
        <v>25</v>
      </c>
      <c r="F5494" s="52" t="s">
        <v>26</v>
      </c>
      <c r="G5494" s="53"/>
    </row>
    <row r="5495">
      <c r="A5495" s="49">
        <v>45078.893113425926</v>
      </c>
      <c r="B5495" s="50">
        <v>45079.0180869907</v>
      </c>
      <c r="C5495" s="51">
        <v>1.009</v>
      </c>
      <c r="D5495" s="51">
        <v>66.0</v>
      </c>
      <c r="E5495" s="52" t="s">
        <v>25</v>
      </c>
      <c r="F5495" s="52" t="s">
        <v>26</v>
      </c>
      <c r="G5495" s="53"/>
    </row>
    <row r="5496">
      <c r="A5496" s="49">
        <v>45078.90353821759</v>
      </c>
      <c r="B5496" s="50">
        <v>45079.0285197453</v>
      </c>
      <c r="C5496" s="51">
        <v>1.009</v>
      </c>
      <c r="D5496" s="51">
        <v>66.0</v>
      </c>
      <c r="E5496" s="52" t="s">
        <v>25</v>
      </c>
      <c r="F5496" s="52" t="s">
        <v>26</v>
      </c>
      <c r="G5496" s="53"/>
    </row>
    <row r="5497">
      <c r="A5497" s="49">
        <v>45078.913962453706</v>
      </c>
      <c r="B5497" s="50">
        <v>45079.0389411458</v>
      </c>
      <c r="C5497" s="51">
        <v>1.009</v>
      </c>
      <c r="D5497" s="51">
        <v>66.0</v>
      </c>
      <c r="E5497" s="52" t="s">
        <v>25</v>
      </c>
      <c r="F5497" s="52" t="s">
        <v>26</v>
      </c>
      <c r="G5497" s="53"/>
    </row>
    <row r="5498">
      <c r="A5498" s="49">
        <v>45078.924390092594</v>
      </c>
      <c r="B5498" s="50">
        <v>45079.049363206</v>
      </c>
      <c r="C5498" s="51">
        <v>1.009</v>
      </c>
      <c r="D5498" s="51">
        <v>66.0</v>
      </c>
      <c r="E5498" s="52" t="s">
        <v>25</v>
      </c>
      <c r="F5498" s="52" t="s">
        <v>26</v>
      </c>
      <c r="G5498" s="53"/>
    </row>
    <row r="5499">
      <c r="A5499" s="49">
        <v>45078.93481561342</v>
      </c>
      <c r="B5499" s="50">
        <v>45079.0597836574</v>
      </c>
      <c r="C5499" s="51">
        <v>1.009</v>
      </c>
      <c r="D5499" s="51">
        <v>66.0</v>
      </c>
      <c r="E5499" s="52" t="s">
        <v>25</v>
      </c>
      <c r="F5499" s="52" t="s">
        <v>26</v>
      </c>
      <c r="G5499" s="53"/>
    </row>
    <row r="5500">
      <c r="A5500" s="49">
        <v>45078.94522800926</v>
      </c>
      <c r="B5500" s="50">
        <v>45079.0702043171</v>
      </c>
      <c r="C5500" s="51">
        <v>1.009</v>
      </c>
      <c r="D5500" s="51">
        <v>66.0</v>
      </c>
      <c r="E5500" s="52" t="s">
        <v>25</v>
      </c>
      <c r="F5500" s="52" t="s">
        <v>26</v>
      </c>
      <c r="G5500" s="53"/>
    </row>
    <row r="5501">
      <c r="A5501" s="49">
        <v>45078.95565216435</v>
      </c>
      <c r="B5501" s="50">
        <v>45079.0806235185</v>
      </c>
      <c r="C5501" s="51">
        <v>1.009</v>
      </c>
      <c r="D5501" s="51">
        <v>66.0</v>
      </c>
      <c r="E5501" s="52" t="s">
        <v>25</v>
      </c>
      <c r="F5501" s="52" t="s">
        <v>26</v>
      </c>
      <c r="G5501" s="53"/>
    </row>
    <row r="5502">
      <c r="A5502" s="49">
        <v>45078.966061851854</v>
      </c>
      <c r="B5502" s="50">
        <v>45079.0910437962</v>
      </c>
      <c r="C5502" s="51">
        <v>1.009</v>
      </c>
      <c r="D5502" s="51">
        <v>66.0</v>
      </c>
      <c r="E5502" s="52" t="s">
        <v>25</v>
      </c>
      <c r="F5502" s="52" t="s">
        <v>26</v>
      </c>
      <c r="G5502" s="53"/>
    </row>
    <row r="5503">
      <c r="A5503" s="49">
        <v>45078.97648618056</v>
      </c>
      <c r="B5503" s="50">
        <v>45079.1014645949</v>
      </c>
      <c r="C5503" s="51">
        <v>1.009</v>
      </c>
      <c r="D5503" s="51">
        <v>66.0</v>
      </c>
      <c r="E5503" s="52" t="s">
        <v>25</v>
      </c>
      <c r="F5503" s="52" t="s">
        <v>26</v>
      </c>
      <c r="G5503" s="53"/>
    </row>
    <row r="5504">
      <c r="A5504" s="49">
        <v>45078.986917546295</v>
      </c>
      <c r="B5504" s="50">
        <v>45079.111886655</v>
      </c>
      <c r="C5504" s="51">
        <v>1.009</v>
      </c>
      <c r="D5504" s="51">
        <v>66.0</v>
      </c>
      <c r="E5504" s="52" t="s">
        <v>25</v>
      </c>
      <c r="F5504" s="52" t="s">
        <v>26</v>
      </c>
      <c r="G5504" s="53"/>
    </row>
    <row r="5505">
      <c r="A5505" s="49">
        <v>45078.99734511574</v>
      </c>
      <c r="B5505" s="50">
        <v>45079.1223055208</v>
      </c>
      <c r="C5505" s="51">
        <v>1.009</v>
      </c>
      <c r="D5505" s="51">
        <v>66.0</v>
      </c>
      <c r="E5505" s="52" t="s">
        <v>25</v>
      </c>
      <c r="F5505" s="52" t="s">
        <v>26</v>
      </c>
      <c r="G5505" s="53"/>
    </row>
    <row r="5506">
      <c r="A5506" s="49">
        <v>45079.00777298611</v>
      </c>
      <c r="B5506" s="50">
        <v>45079.132748831</v>
      </c>
      <c r="C5506" s="51">
        <v>1.009</v>
      </c>
      <c r="D5506" s="51">
        <v>66.0</v>
      </c>
      <c r="E5506" s="52" t="s">
        <v>25</v>
      </c>
      <c r="F5506" s="52" t="s">
        <v>26</v>
      </c>
      <c r="G5506" s="53"/>
    </row>
    <row r="5507">
      <c r="A5507" s="49">
        <v>45079.01820209491</v>
      </c>
      <c r="B5507" s="50">
        <v>45079.1431691203</v>
      </c>
      <c r="C5507" s="51">
        <v>1.009</v>
      </c>
      <c r="D5507" s="51">
        <v>66.0</v>
      </c>
      <c r="E5507" s="52" t="s">
        <v>25</v>
      </c>
      <c r="F5507" s="52" t="s">
        <v>26</v>
      </c>
      <c r="G5507" s="53"/>
    </row>
    <row r="5508">
      <c r="A5508" s="49">
        <v>45079.02861825231</v>
      </c>
      <c r="B5508" s="50">
        <v>45079.153590162</v>
      </c>
      <c r="C5508" s="51">
        <v>1.009</v>
      </c>
      <c r="D5508" s="51">
        <v>66.0</v>
      </c>
      <c r="E5508" s="52" t="s">
        <v>25</v>
      </c>
      <c r="F5508" s="52" t="s">
        <v>26</v>
      </c>
      <c r="G5508" s="53"/>
    </row>
    <row r="5509">
      <c r="A5509" s="49">
        <v>45079.03903690972</v>
      </c>
      <c r="B5509" s="50">
        <v>45079.1640117361</v>
      </c>
      <c r="C5509" s="51">
        <v>1.009</v>
      </c>
      <c r="D5509" s="51">
        <v>66.0</v>
      </c>
      <c r="E5509" s="52" t="s">
        <v>25</v>
      </c>
      <c r="F5509" s="52" t="s">
        <v>26</v>
      </c>
      <c r="G5509" s="53"/>
    </row>
    <row r="5510">
      <c r="A5510" s="49">
        <v>45079.04945304398</v>
      </c>
      <c r="B5510" s="50">
        <v>45079.1744330324</v>
      </c>
      <c r="C5510" s="51">
        <v>1.009</v>
      </c>
      <c r="D5510" s="51">
        <v>66.0</v>
      </c>
      <c r="E5510" s="52" t="s">
        <v>25</v>
      </c>
      <c r="F5510" s="52" t="s">
        <v>26</v>
      </c>
      <c r="G5510" s="53"/>
    </row>
    <row r="5511">
      <c r="A5511" s="49">
        <v>45079.0598921412</v>
      </c>
      <c r="B5511" s="50">
        <v>45079.1848654861</v>
      </c>
      <c r="C5511" s="51">
        <v>1.009</v>
      </c>
      <c r="D5511" s="51">
        <v>66.0</v>
      </c>
      <c r="E5511" s="52" t="s">
        <v>25</v>
      </c>
      <c r="F5511" s="52" t="s">
        <v>26</v>
      </c>
      <c r="G5511" s="53"/>
    </row>
    <row r="5512">
      <c r="A5512" s="49">
        <v>45079.07030943287</v>
      </c>
      <c r="B5512" s="50">
        <v>45079.1952866898</v>
      </c>
      <c r="C5512" s="51">
        <v>1.009</v>
      </c>
      <c r="D5512" s="51">
        <v>66.0</v>
      </c>
      <c r="E5512" s="52" t="s">
        <v>25</v>
      </c>
      <c r="F5512" s="52" t="s">
        <v>26</v>
      </c>
      <c r="G5512" s="53"/>
    </row>
    <row r="5513">
      <c r="A5513" s="49">
        <v>45079.08072895833</v>
      </c>
      <c r="B5513" s="50">
        <v>45079.2057077777</v>
      </c>
      <c r="C5513" s="51">
        <v>1.009</v>
      </c>
      <c r="D5513" s="51">
        <v>66.0</v>
      </c>
      <c r="E5513" s="52" t="s">
        <v>25</v>
      </c>
      <c r="F5513" s="52" t="s">
        <v>26</v>
      </c>
      <c r="G5513" s="53"/>
    </row>
    <row r="5514">
      <c r="A5514" s="49">
        <v>45079.09115799768</v>
      </c>
      <c r="B5514" s="50">
        <v>45079.2161295717</v>
      </c>
      <c r="C5514" s="51">
        <v>1.009</v>
      </c>
      <c r="D5514" s="51">
        <v>66.0</v>
      </c>
      <c r="E5514" s="52" t="s">
        <v>25</v>
      </c>
      <c r="F5514" s="52" t="s">
        <v>26</v>
      </c>
      <c r="G5514" s="53"/>
    </row>
    <row r="5515">
      <c r="A5515" s="49">
        <v>45079.1015725</v>
      </c>
      <c r="B5515" s="50">
        <v>45079.2265509837</v>
      </c>
      <c r="C5515" s="51">
        <v>1.009</v>
      </c>
      <c r="D5515" s="51">
        <v>66.0</v>
      </c>
      <c r="E5515" s="52" t="s">
        <v>25</v>
      </c>
      <c r="F5515" s="52" t="s">
        <v>26</v>
      </c>
      <c r="G5515" s="53"/>
    </row>
    <row r="5516">
      <c r="A5516" s="49">
        <v>45079.112000416666</v>
      </c>
      <c r="B5516" s="50">
        <v>45079.2369727893</v>
      </c>
      <c r="C5516" s="51">
        <v>1.009</v>
      </c>
      <c r="D5516" s="51">
        <v>66.0</v>
      </c>
      <c r="E5516" s="52" t="s">
        <v>25</v>
      </c>
      <c r="F5516" s="52" t="s">
        <v>26</v>
      </c>
      <c r="G5516" s="53"/>
    </row>
    <row r="5517">
      <c r="A5517" s="49">
        <v>45079.122414212965</v>
      </c>
      <c r="B5517" s="50">
        <v>45079.2473937152</v>
      </c>
      <c r="C5517" s="51">
        <v>1.009</v>
      </c>
      <c r="D5517" s="51">
        <v>66.0</v>
      </c>
      <c r="E5517" s="52" t="s">
        <v>25</v>
      </c>
      <c r="F5517" s="52" t="s">
        <v>26</v>
      </c>
      <c r="G5517" s="53"/>
    </row>
    <row r="5518">
      <c r="A5518" s="49">
        <v>45079.13284200232</v>
      </c>
      <c r="B5518" s="50">
        <v>45079.2578154166</v>
      </c>
      <c r="C5518" s="51">
        <v>1.009</v>
      </c>
      <c r="D5518" s="51">
        <v>66.0</v>
      </c>
      <c r="E5518" s="52" t="s">
        <v>25</v>
      </c>
      <c r="F5518" s="52" t="s">
        <v>26</v>
      </c>
      <c r="G5518" s="53"/>
    </row>
    <row r="5519">
      <c r="A5519" s="49">
        <v>45079.14326040509</v>
      </c>
      <c r="B5519" s="50">
        <v>45079.2682367708</v>
      </c>
      <c r="C5519" s="51">
        <v>1.009</v>
      </c>
      <c r="D5519" s="51">
        <v>66.0</v>
      </c>
      <c r="E5519" s="52" t="s">
        <v>25</v>
      </c>
      <c r="F5519" s="52" t="s">
        <v>26</v>
      </c>
      <c r="G5519" s="53"/>
    </row>
    <row r="5520">
      <c r="A5520" s="49">
        <v>45079.15368966435</v>
      </c>
      <c r="B5520" s="50">
        <v>45079.2786578125</v>
      </c>
      <c r="C5520" s="51">
        <v>1.009</v>
      </c>
      <c r="D5520" s="51">
        <v>66.0</v>
      </c>
      <c r="E5520" s="52" t="s">
        <v>25</v>
      </c>
      <c r="F5520" s="52" t="s">
        <v>26</v>
      </c>
      <c r="G5520" s="53"/>
    </row>
    <row r="5521">
      <c r="A5521" s="49">
        <v>45079.16410864583</v>
      </c>
      <c r="B5521" s="50">
        <v>45079.2890800578</v>
      </c>
      <c r="C5521" s="51">
        <v>1.009</v>
      </c>
      <c r="D5521" s="51">
        <v>66.0</v>
      </c>
      <c r="E5521" s="52" t="s">
        <v>25</v>
      </c>
      <c r="F5521" s="52" t="s">
        <v>26</v>
      </c>
      <c r="G5521" s="53"/>
    </row>
    <row r="5522">
      <c r="A5522" s="49">
        <v>45079.17453521991</v>
      </c>
      <c r="B5522" s="50">
        <v>45079.2995013888</v>
      </c>
      <c r="C5522" s="51">
        <v>1.009</v>
      </c>
      <c r="D5522" s="51">
        <v>66.0</v>
      </c>
      <c r="E5522" s="52" t="s">
        <v>25</v>
      </c>
      <c r="F5522" s="52" t="s">
        <v>26</v>
      </c>
      <c r="G5522" s="53"/>
    </row>
    <row r="5523">
      <c r="A5523" s="49">
        <v>45079.184955613426</v>
      </c>
      <c r="B5523" s="50">
        <v>45079.3099217361</v>
      </c>
      <c r="C5523" s="51">
        <v>1.009</v>
      </c>
      <c r="D5523" s="51">
        <v>66.0</v>
      </c>
      <c r="E5523" s="52" t="s">
        <v>25</v>
      </c>
      <c r="F5523" s="52" t="s">
        <v>26</v>
      </c>
      <c r="G5523" s="53"/>
    </row>
    <row r="5524">
      <c r="A5524" s="49">
        <v>45079.19536734954</v>
      </c>
      <c r="B5524" s="50">
        <v>45079.320341875</v>
      </c>
      <c r="C5524" s="51">
        <v>1.009</v>
      </c>
      <c r="D5524" s="51">
        <v>66.0</v>
      </c>
      <c r="E5524" s="52" t="s">
        <v>25</v>
      </c>
      <c r="F5524" s="52" t="s">
        <v>26</v>
      </c>
      <c r="G5524" s="53"/>
    </row>
    <row r="5525">
      <c r="A5525" s="49">
        <v>45079.205791064815</v>
      </c>
      <c r="B5525" s="50">
        <v>45079.3307621064</v>
      </c>
      <c r="C5525" s="51">
        <v>1.009</v>
      </c>
      <c r="D5525" s="51">
        <v>66.0</v>
      </c>
      <c r="E5525" s="52" t="s">
        <v>25</v>
      </c>
      <c r="F5525" s="52" t="s">
        <v>26</v>
      </c>
      <c r="G5525" s="53"/>
    </row>
    <row r="5526">
      <c r="A5526" s="49">
        <v>45079.216230300925</v>
      </c>
      <c r="B5526" s="50">
        <v>45079.3411931365</v>
      </c>
      <c r="C5526" s="51">
        <v>1.009</v>
      </c>
      <c r="D5526" s="51">
        <v>66.0</v>
      </c>
      <c r="E5526" s="52" t="s">
        <v>25</v>
      </c>
      <c r="F5526" s="52" t="s">
        <v>26</v>
      </c>
      <c r="G5526" s="53"/>
    </row>
    <row r="5527">
      <c r="A5527" s="49">
        <v>45079.22664690972</v>
      </c>
      <c r="B5527" s="50">
        <v>45079.3516134722</v>
      </c>
      <c r="C5527" s="51">
        <v>1.009</v>
      </c>
      <c r="D5527" s="51">
        <v>66.0</v>
      </c>
      <c r="E5527" s="52" t="s">
        <v>25</v>
      </c>
      <c r="F5527" s="52" t="s">
        <v>26</v>
      </c>
      <c r="G5527" s="53"/>
    </row>
    <row r="5528">
      <c r="A5528" s="49">
        <v>45079.23705703704</v>
      </c>
      <c r="B5528" s="50">
        <v>45079.3620327199</v>
      </c>
      <c r="C5528" s="51">
        <v>1.009</v>
      </c>
      <c r="D5528" s="51">
        <v>66.0</v>
      </c>
      <c r="E5528" s="52" t="s">
        <v>25</v>
      </c>
      <c r="F5528" s="52" t="s">
        <v>26</v>
      </c>
      <c r="G5528" s="53"/>
    </row>
    <row r="5529">
      <c r="A5529" s="49">
        <v>45079.247479502315</v>
      </c>
      <c r="B5529" s="50">
        <v>45079.3724535648</v>
      </c>
      <c r="C5529" s="51">
        <v>1.009</v>
      </c>
      <c r="D5529" s="51">
        <v>66.0</v>
      </c>
      <c r="E5529" s="52" t="s">
        <v>25</v>
      </c>
      <c r="F5529" s="52" t="s">
        <v>26</v>
      </c>
      <c r="G5529" s="53"/>
    </row>
    <row r="5530">
      <c r="A5530" s="49">
        <v>45079.25790765046</v>
      </c>
      <c r="B5530" s="50">
        <v>45079.3828750463</v>
      </c>
      <c r="C5530" s="51">
        <v>1.009</v>
      </c>
      <c r="D5530" s="51">
        <v>66.0</v>
      </c>
      <c r="E5530" s="52" t="s">
        <v>25</v>
      </c>
      <c r="F5530" s="52" t="s">
        <v>26</v>
      </c>
      <c r="G5530" s="53"/>
    </row>
    <row r="5531">
      <c r="A5531" s="49">
        <v>45079.26835726852</v>
      </c>
      <c r="B5531" s="50">
        <v>45079.3933199652</v>
      </c>
      <c r="C5531" s="51">
        <v>1.009</v>
      </c>
      <c r="D5531" s="51">
        <v>66.0</v>
      </c>
      <c r="E5531" s="52" t="s">
        <v>25</v>
      </c>
      <c r="F5531" s="52" t="s">
        <v>26</v>
      </c>
      <c r="G5531" s="53"/>
    </row>
    <row r="5532">
      <c r="A5532" s="49">
        <v>45079.27878219908</v>
      </c>
      <c r="B5532" s="50">
        <v>45079.4037544907</v>
      </c>
      <c r="C5532" s="51">
        <v>1.009</v>
      </c>
      <c r="D5532" s="51">
        <v>66.0</v>
      </c>
      <c r="E5532" s="52" t="s">
        <v>25</v>
      </c>
      <c r="F5532" s="52" t="s">
        <v>26</v>
      </c>
      <c r="G5532" s="53"/>
    </row>
    <row r="5533">
      <c r="A5533" s="49">
        <v>45079.28921364583</v>
      </c>
      <c r="B5533" s="50">
        <v>45079.4141870717</v>
      </c>
      <c r="C5533" s="51">
        <v>1.009</v>
      </c>
      <c r="D5533" s="51">
        <v>66.0</v>
      </c>
      <c r="E5533" s="52" t="s">
        <v>25</v>
      </c>
      <c r="F5533" s="52" t="s">
        <v>26</v>
      </c>
      <c r="G5533" s="53"/>
    </row>
    <row r="5534">
      <c r="A5534" s="49">
        <v>45079.29965984954</v>
      </c>
      <c r="B5534" s="50">
        <v>45079.4246071064</v>
      </c>
      <c r="C5534" s="51">
        <v>1.009</v>
      </c>
      <c r="D5534" s="51">
        <v>66.0</v>
      </c>
      <c r="E5534" s="52" t="s">
        <v>25</v>
      </c>
      <c r="F5534" s="52" t="s">
        <v>26</v>
      </c>
      <c r="G5534" s="53"/>
    </row>
    <row r="5535">
      <c r="A5535" s="49">
        <v>45079.310073368055</v>
      </c>
      <c r="B5535" s="50">
        <v>45079.4350261689</v>
      </c>
      <c r="C5535" s="51">
        <v>1.009</v>
      </c>
      <c r="D5535" s="51">
        <v>66.0</v>
      </c>
      <c r="E5535" s="52" t="s">
        <v>25</v>
      </c>
      <c r="F5535" s="52" t="s">
        <v>26</v>
      </c>
      <c r="G5535" s="53"/>
    </row>
    <row r="5536">
      <c r="A5536" s="49">
        <v>45079.320475</v>
      </c>
      <c r="B5536" s="50">
        <v>45079.4454473611</v>
      </c>
      <c r="C5536" s="51">
        <v>1.009</v>
      </c>
      <c r="D5536" s="51">
        <v>66.0</v>
      </c>
      <c r="E5536" s="52" t="s">
        <v>25</v>
      </c>
      <c r="F5536" s="52" t="s">
        <v>26</v>
      </c>
      <c r="G5536" s="53"/>
    </row>
    <row r="5537">
      <c r="A5537" s="49">
        <v>45079.33089493055</v>
      </c>
      <c r="B5537" s="50">
        <v>45079.4558682407</v>
      </c>
      <c r="C5537" s="51">
        <v>1.009</v>
      </c>
      <c r="D5537" s="51">
        <v>66.0</v>
      </c>
      <c r="E5537" s="52" t="s">
        <v>25</v>
      </c>
      <c r="F5537" s="52" t="s">
        <v>26</v>
      </c>
      <c r="G5537" s="53"/>
    </row>
    <row r="5538">
      <c r="A5538" s="49">
        <v>45079.34131209491</v>
      </c>
      <c r="B5538" s="50">
        <v>45079.4662885648</v>
      </c>
      <c r="C5538" s="51">
        <v>1.009</v>
      </c>
      <c r="D5538" s="51">
        <v>66.0</v>
      </c>
      <c r="E5538" s="52" t="s">
        <v>25</v>
      </c>
      <c r="F5538" s="52" t="s">
        <v>26</v>
      </c>
      <c r="G5538" s="53"/>
    </row>
    <row r="5539">
      <c r="A5539" s="49">
        <v>45079.35174267361</v>
      </c>
      <c r="B5539" s="50">
        <v>45079.4767211342</v>
      </c>
      <c r="C5539" s="51">
        <v>1.009</v>
      </c>
      <c r="D5539" s="51">
        <v>66.0</v>
      </c>
      <c r="E5539" s="52" t="s">
        <v>25</v>
      </c>
      <c r="F5539" s="52" t="s">
        <v>26</v>
      </c>
      <c r="G5539" s="53"/>
    </row>
    <row r="5540">
      <c r="A5540" s="49">
        <v>45079.362185833335</v>
      </c>
      <c r="B5540" s="50">
        <v>45079.4871534837</v>
      </c>
      <c r="C5540" s="51">
        <v>1.009</v>
      </c>
      <c r="D5540" s="51">
        <v>66.0</v>
      </c>
      <c r="E5540" s="52" t="s">
        <v>25</v>
      </c>
      <c r="F5540" s="52" t="s">
        <v>26</v>
      </c>
      <c r="G5540" s="53"/>
    </row>
    <row r="5541">
      <c r="A5541" s="49">
        <v>45079.372605150464</v>
      </c>
      <c r="B5541" s="50">
        <v>45079.4975735995</v>
      </c>
      <c r="C5541" s="51">
        <v>1.009</v>
      </c>
      <c r="D5541" s="51">
        <v>66.0</v>
      </c>
      <c r="E5541" s="52" t="s">
        <v>25</v>
      </c>
      <c r="F5541" s="52" t="s">
        <v>26</v>
      </c>
      <c r="G5541" s="53"/>
    </row>
    <row r="5542">
      <c r="A5542" s="49">
        <v>45079.38302739583</v>
      </c>
      <c r="B5542" s="50">
        <v>45079.5079964236</v>
      </c>
      <c r="C5542" s="51">
        <v>1.009</v>
      </c>
      <c r="D5542" s="51">
        <v>66.0</v>
      </c>
      <c r="E5542" s="52" t="s">
        <v>25</v>
      </c>
      <c r="F5542" s="52" t="s">
        <v>26</v>
      </c>
      <c r="G5542" s="53"/>
    </row>
    <row r="5543">
      <c r="A5543" s="49">
        <v>45079.3934465162</v>
      </c>
      <c r="B5543" s="50">
        <v>45079.5184175463</v>
      </c>
      <c r="C5543" s="51">
        <v>1.009</v>
      </c>
      <c r="D5543" s="51">
        <v>66.0</v>
      </c>
      <c r="E5543" s="52" t="s">
        <v>25</v>
      </c>
      <c r="F5543" s="52" t="s">
        <v>26</v>
      </c>
      <c r="G5543" s="53"/>
    </row>
    <row r="5544">
      <c r="A5544" s="49">
        <v>45079.403876192126</v>
      </c>
      <c r="B5544" s="50">
        <v>45079.5288502777</v>
      </c>
      <c r="C5544" s="51">
        <v>1.009</v>
      </c>
      <c r="D5544" s="51">
        <v>66.0</v>
      </c>
      <c r="E5544" s="52" t="s">
        <v>25</v>
      </c>
      <c r="F5544" s="52" t="s">
        <v>26</v>
      </c>
      <c r="G5544" s="53"/>
    </row>
    <row r="5545">
      <c r="A5545" s="49">
        <v>45079.41430135416</v>
      </c>
      <c r="B5545" s="50">
        <v>45079.5392715046</v>
      </c>
      <c r="C5545" s="51">
        <v>1.009</v>
      </c>
      <c r="D5545" s="51">
        <v>66.0</v>
      </c>
      <c r="E5545" s="52" t="s">
        <v>25</v>
      </c>
      <c r="F5545" s="52" t="s">
        <v>26</v>
      </c>
      <c r="G5545" s="53"/>
    </row>
    <row r="5546">
      <c r="A5546" s="49">
        <v>45079.424737141206</v>
      </c>
      <c r="B5546" s="50">
        <v>45079.5497168402</v>
      </c>
      <c r="C5546" s="51">
        <v>1.009</v>
      </c>
      <c r="D5546" s="51">
        <v>67.0</v>
      </c>
      <c r="E5546" s="52" t="s">
        <v>25</v>
      </c>
      <c r="F5546" s="52" t="s">
        <v>26</v>
      </c>
      <c r="G5546" s="53"/>
    </row>
    <row r="5547">
      <c r="A5547" s="49">
        <v>45079.43515959491</v>
      </c>
      <c r="B5547" s="50">
        <v>45079.5601375463</v>
      </c>
      <c r="C5547" s="51">
        <v>1.009</v>
      </c>
      <c r="D5547" s="51">
        <v>66.0</v>
      </c>
      <c r="E5547" s="52" t="s">
        <v>25</v>
      </c>
      <c r="F5547" s="52" t="s">
        <v>26</v>
      </c>
      <c r="G5547" s="53"/>
    </row>
    <row r="5548">
      <c r="A5548" s="49">
        <v>45079.44558866898</v>
      </c>
      <c r="B5548" s="50">
        <v>45079.5705694444</v>
      </c>
      <c r="C5548" s="51">
        <v>1.009</v>
      </c>
      <c r="D5548" s="51">
        <v>67.0</v>
      </c>
      <c r="E5548" s="52" t="s">
        <v>25</v>
      </c>
      <c r="F5548" s="52" t="s">
        <v>26</v>
      </c>
      <c r="G5548" s="53"/>
    </row>
    <row r="5549">
      <c r="A5549" s="49">
        <v>45079.45602385417</v>
      </c>
      <c r="B5549" s="50">
        <v>45079.5810010069</v>
      </c>
      <c r="C5549" s="51">
        <v>1.009</v>
      </c>
      <c r="D5549" s="51">
        <v>67.0</v>
      </c>
      <c r="E5549" s="52" t="s">
        <v>25</v>
      </c>
      <c r="F5549" s="52" t="s">
        <v>26</v>
      </c>
      <c r="G5549" s="53"/>
    </row>
    <row r="5550">
      <c r="A5550" s="49">
        <v>45079.466448692125</v>
      </c>
      <c r="B5550" s="50">
        <v>45079.5914212847</v>
      </c>
      <c r="C5550" s="51">
        <v>1.009</v>
      </c>
      <c r="D5550" s="51">
        <v>67.0</v>
      </c>
      <c r="E5550" s="52" t="s">
        <v>25</v>
      </c>
      <c r="F5550" s="52" t="s">
        <v>26</v>
      </c>
      <c r="G5550" s="53"/>
    </row>
    <row r="5551">
      <c r="A5551" s="49">
        <v>45079.476871203704</v>
      </c>
      <c r="B5551" s="50">
        <v>45079.601843287</v>
      </c>
      <c r="C5551" s="51">
        <v>1.009</v>
      </c>
      <c r="D5551" s="51">
        <v>66.0</v>
      </c>
      <c r="E5551" s="52" t="s">
        <v>25</v>
      </c>
      <c r="F5551" s="52" t="s">
        <v>26</v>
      </c>
      <c r="G5551" s="53"/>
    </row>
    <row r="5552">
      <c r="A5552" s="49">
        <v>45079.48728560185</v>
      </c>
      <c r="B5552" s="50">
        <v>45079.6122644328</v>
      </c>
      <c r="C5552" s="51">
        <v>1.009</v>
      </c>
      <c r="D5552" s="51">
        <v>67.0</v>
      </c>
      <c r="E5552" s="52" t="s">
        <v>25</v>
      </c>
      <c r="F5552" s="52" t="s">
        <v>26</v>
      </c>
      <c r="G5552" s="53"/>
    </row>
    <row r="5553">
      <c r="A5553" s="49">
        <v>45079.49770789352</v>
      </c>
      <c r="B5553" s="50">
        <v>45079.6226864814</v>
      </c>
      <c r="C5553" s="51">
        <v>1.009</v>
      </c>
      <c r="D5553" s="51">
        <v>67.0</v>
      </c>
      <c r="E5553" s="52" t="s">
        <v>25</v>
      </c>
      <c r="F5553" s="52" t="s">
        <v>26</v>
      </c>
      <c r="G5553" s="53"/>
    </row>
    <row r="5554">
      <c r="A5554" s="49">
        <v>45079.50813158565</v>
      </c>
      <c r="B5554" s="50">
        <v>45079.6331074305</v>
      </c>
      <c r="C5554" s="51">
        <v>1.009</v>
      </c>
      <c r="D5554" s="51">
        <v>66.0</v>
      </c>
      <c r="E5554" s="52" t="s">
        <v>25</v>
      </c>
      <c r="F5554" s="52" t="s">
        <v>26</v>
      </c>
      <c r="G5554" s="53"/>
    </row>
    <row r="5555">
      <c r="A5555" s="49">
        <v>45079.518560972225</v>
      </c>
      <c r="B5555" s="50">
        <v>45079.6435278703</v>
      </c>
      <c r="C5555" s="51">
        <v>1.009</v>
      </c>
      <c r="D5555" s="51">
        <v>67.0</v>
      </c>
      <c r="E5555" s="52" t="s">
        <v>25</v>
      </c>
      <c r="F5555" s="52" t="s">
        <v>26</v>
      </c>
      <c r="G5555" s="53"/>
    </row>
    <row r="5556">
      <c r="A5556" s="49">
        <v>45079.528978993054</v>
      </c>
      <c r="B5556" s="50">
        <v>45079.6539489814</v>
      </c>
      <c r="C5556" s="51">
        <v>1.009</v>
      </c>
      <c r="D5556" s="51">
        <v>67.0</v>
      </c>
      <c r="E5556" s="52" t="s">
        <v>25</v>
      </c>
      <c r="F5556" s="52" t="s">
        <v>26</v>
      </c>
      <c r="G5556" s="53"/>
    </row>
    <row r="5557">
      <c r="A5557" s="49">
        <v>45079.53939387732</v>
      </c>
      <c r="B5557" s="50">
        <v>45079.6643698495</v>
      </c>
      <c r="C5557" s="51">
        <v>1.009</v>
      </c>
      <c r="D5557" s="51">
        <v>67.0</v>
      </c>
      <c r="E5557" s="52" t="s">
        <v>25</v>
      </c>
      <c r="F5557" s="52" t="s">
        <v>26</v>
      </c>
      <c r="G5557" s="53"/>
    </row>
    <row r="5558">
      <c r="A5558" s="49">
        <v>45079.54982728009</v>
      </c>
      <c r="B5558" s="50">
        <v>45079.6747933217</v>
      </c>
      <c r="C5558" s="51">
        <v>1.009</v>
      </c>
      <c r="D5558" s="51">
        <v>67.0</v>
      </c>
      <c r="E5558" s="52" t="s">
        <v>25</v>
      </c>
      <c r="F5558" s="52" t="s">
        <v>26</v>
      </c>
      <c r="G5558" s="53"/>
    </row>
    <row r="5559">
      <c r="A5559" s="49">
        <v>45079.56024003473</v>
      </c>
      <c r="B5559" s="50">
        <v>45079.6852132407</v>
      </c>
      <c r="C5559" s="51">
        <v>1.009</v>
      </c>
      <c r="D5559" s="51">
        <v>67.0</v>
      </c>
      <c r="E5559" s="52" t="s">
        <v>25</v>
      </c>
      <c r="F5559" s="52" t="s">
        <v>26</v>
      </c>
      <c r="G5559" s="53"/>
    </row>
    <row r="5560">
      <c r="A5560" s="49">
        <v>45079.570656701384</v>
      </c>
      <c r="B5560" s="50">
        <v>45079.6956339467</v>
      </c>
      <c r="C5560" s="51">
        <v>1.009</v>
      </c>
      <c r="D5560" s="51">
        <v>67.0</v>
      </c>
      <c r="E5560" s="52" t="s">
        <v>25</v>
      </c>
      <c r="F5560" s="52" t="s">
        <v>26</v>
      </c>
      <c r="G5560" s="53"/>
    </row>
    <row r="5561">
      <c r="A5561" s="49">
        <v>45079.581077696756</v>
      </c>
      <c r="B5561" s="50">
        <v>45079.7060557291</v>
      </c>
      <c r="C5561" s="51">
        <v>1.009</v>
      </c>
      <c r="D5561" s="51">
        <v>67.0</v>
      </c>
      <c r="E5561" s="52" t="s">
        <v>25</v>
      </c>
      <c r="F5561" s="52" t="s">
        <v>26</v>
      </c>
      <c r="G5561" s="53"/>
    </row>
    <row r="5562">
      <c r="A5562" s="49">
        <v>45079.59152181713</v>
      </c>
      <c r="B5562" s="50">
        <v>45079.7164992013</v>
      </c>
      <c r="C5562" s="51">
        <v>1.009</v>
      </c>
      <c r="D5562" s="51">
        <v>67.0</v>
      </c>
      <c r="E5562" s="52" t="s">
        <v>25</v>
      </c>
      <c r="F5562" s="52" t="s">
        <v>26</v>
      </c>
      <c r="G5562" s="53"/>
    </row>
    <row r="5563">
      <c r="A5563" s="49">
        <v>45079.60193887731</v>
      </c>
      <c r="B5563" s="50">
        <v>45079.7269211342</v>
      </c>
      <c r="C5563" s="51">
        <v>1.009</v>
      </c>
      <c r="D5563" s="51">
        <v>67.0</v>
      </c>
      <c r="E5563" s="52" t="s">
        <v>25</v>
      </c>
      <c r="F5563" s="52" t="s">
        <v>26</v>
      </c>
      <c r="G5563" s="53"/>
    </row>
    <row r="5564">
      <c r="A5564" s="49">
        <v>45079.61236828704</v>
      </c>
      <c r="B5564" s="50">
        <v>45079.7373430208</v>
      </c>
      <c r="C5564" s="51">
        <v>1.009</v>
      </c>
      <c r="D5564" s="51">
        <v>67.0</v>
      </c>
      <c r="E5564" s="52" t="s">
        <v>25</v>
      </c>
      <c r="F5564" s="52" t="s">
        <v>26</v>
      </c>
      <c r="G5564" s="53"/>
    </row>
    <row r="5565">
      <c r="A5565" s="49">
        <v>45079.622802060185</v>
      </c>
      <c r="B5565" s="50">
        <v>45079.747775868</v>
      </c>
      <c r="C5565" s="51">
        <v>1.009</v>
      </c>
      <c r="D5565" s="51">
        <v>67.0</v>
      </c>
      <c r="E5565" s="52" t="s">
        <v>25</v>
      </c>
      <c r="F5565" s="52" t="s">
        <v>26</v>
      </c>
      <c r="G5565" s="53"/>
    </row>
    <row r="5566">
      <c r="A5566" s="49">
        <v>45079.633222233795</v>
      </c>
      <c r="B5566" s="50">
        <v>45079.758197581</v>
      </c>
      <c r="C5566" s="51">
        <v>1.009</v>
      </c>
      <c r="D5566" s="51">
        <v>67.0</v>
      </c>
      <c r="E5566" s="52" t="s">
        <v>25</v>
      </c>
      <c r="F5566" s="52" t="s">
        <v>26</v>
      </c>
      <c r="G5566" s="53"/>
    </row>
    <row r="5567">
      <c r="A5567" s="49">
        <v>45079.643644282405</v>
      </c>
      <c r="B5567" s="50">
        <v>45079.7686187268</v>
      </c>
      <c r="C5567" s="51">
        <v>1.009</v>
      </c>
      <c r="D5567" s="51">
        <v>67.0</v>
      </c>
      <c r="E5567" s="52" t="s">
        <v>25</v>
      </c>
      <c r="F5567" s="52" t="s">
        <v>26</v>
      </c>
      <c r="G5567" s="53"/>
    </row>
    <row r="5568">
      <c r="A5568" s="49">
        <v>45079.65406219907</v>
      </c>
      <c r="B5568" s="50">
        <v>45079.7790409953</v>
      </c>
      <c r="C5568" s="51">
        <v>1.009</v>
      </c>
      <c r="D5568" s="51">
        <v>67.0</v>
      </c>
      <c r="E5568" s="52" t="s">
        <v>25</v>
      </c>
      <c r="F5568" s="52" t="s">
        <v>26</v>
      </c>
      <c r="G5568" s="53"/>
    </row>
    <row r="5569">
      <c r="A5569" s="49">
        <v>45079.66448612268</v>
      </c>
      <c r="B5569" s="50">
        <v>45079.7894625</v>
      </c>
      <c r="C5569" s="51">
        <v>1.009</v>
      </c>
      <c r="D5569" s="51">
        <v>67.0</v>
      </c>
      <c r="E5569" s="52" t="s">
        <v>25</v>
      </c>
      <c r="F5569" s="52" t="s">
        <v>26</v>
      </c>
      <c r="G5569" s="53"/>
    </row>
    <row r="5570">
      <c r="A5570" s="49">
        <v>45079.67491215278</v>
      </c>
      <c r="B5570" s="50">
        <v>45079.7998843402</v>
      </c>
      <c r="C5570" s="51">
        <v>1.009</v>
      </c>
      <c r="D5570" s="51">
        <v>67.0</v>
      </c>
      <c r="E5570" s="52" t="s">
        <v>25</v>
      </c>
      <c r="F5570" s="52" t="s">
        <v>26</v>
      </c>
      <c r="G5570" s="53"/>
    </row>
    <row r="5571">
      <c r="A5571" s="49">
        <v>45079.68533128472</v>
      </c>
      <c r="B5571" s="50">
        <v>45079.8103068518</v>
      </c>
      <c r="C5571" s="51">
        <v>1.009</v>
      </c>
      <c r="D5571" s="51">
        <v>67.0</v>
      </c>
      <c r="E5571" s="52" t="s">
        <v>25</v>
      </c>
      <c r="F5571" s="52" t="s">
        <v>26</v>
      </c>
      <c r="G5571" s="53"/>
    </row>
    <row r="5572">
      <c r="A5572" s="49">
        <v>45079.69575327546</v>
      </c>
      <c r="B5572" s="50">
        <v>45079.8207284838</v>
      </c>
      <c r="C5572" s="51">
        <v>1.009</v>
      </c>
      <c r="D5572" s="51">
        <v>67.0</v>
      </c>
      <c r="E5572" s="52" t="s">
        <v>25</v>
      </c>
      <c r="F5572" s="52" t="s">
        <v>26</v>
      </c>
      <c r="G5572" s="53"/>
    </row>
    <row r="5573">
      <c r="A5573" s="49">
        <v>45079.706176875</v>
      </c>
      <c r="B5573" s="50">
        <v>45079.8311488773</v>
      </c>
      <c r="C5573" s="51">
        <v>1.009</v>
      </c>
      <c r="D5573" s="51">
        <v>67.0</v>
      </c>
      <c r="E5573" s="52" t="s">
        <v>25</v>
      </c>
      <c r="F5573" s="52" t="s">
        <v>26</v>
      </c>
      <c r="G5573" s="53"/>
    </row>
    <row r="5574">
      <c r="A5574" s="49">
        <v>45079.71659520833</v>
      </c>
      <c r="B5574" s="50">
        <v>45079.8415687847</v>
      </c>
      <c r="C5574" s="51">
        <v>1.009</v>
      </c>
      <c r="D5574" s="51">
        <v>67.0</v>
      </c>
      <c r="E5574" s="52" t="s">
        <v>25</v>
      </c>
      <c r="F5574" s="52" t="s">
        <v>26</v>
      </c>
      <c r="G5574" s="53"/>
    </row>
    <row r="5575">
      <c r="A5575" s="49">
        <v>45079.727013842596</v>
      </c>
      <c r="B5575" s="50">
        <v>45079.8519905787</v>
      </c>
      <c r="C5575" s="51">
        <v>1.009</v>
      </c>
      <c r="D5575" s="51">
        <v>67.0</v>
      </c>
      <c r="E5575" s="52" t="s">
        <v>25</v>
      </c>
      <c r="F5575" s="52" t="s">
        <v>26</v>
      </c>
      <c r="G5575" s="53"/>
    </row>
    <row r="5576">
      <c r="A5576" s="49">
        <v>45079.73744091435</v>
      </c>
      <c r="B5576" s="50">
        <v>45079.8624241666</v>
      </c>
      <c r="C5576" s="51">
        <v>1.009</v>
      </c>
      <c r="D5576" s="51">
        <v>67.0</v>
      </c>
      <c r="E5576" s="52" t="s">
        <v>25</v>
      </c>
      <c r="F5576" s="52" t="s">
        <v>26</v>
      </c>
      <c r="G5576" s="53"/>
    </row>
    <row r="5577">
      <c r="A5577" s="49">
        <v>45079.74786791667</v>
      </c>
      <c r="B5577" s="50">
        <v>45079.8728462963</v>
      </c>
      <c r="C5577" s="51">
        <v>1.009</v>
      </c>
      <c r="D5577" s="51">
        <v>67.0</v>
      </c>
      <c r="E5577" s="52" t="s">
        <v>25</v>
      </c>
      <c r="F5577" s="52" t="s">
        <v>26</v>
      </c>
      <c r="G5577" s="53"/>
    </row>
    <row r="5578">
      <c r="A5578" s="49">
        <v>45079.75830943287</v>
      </c>
      <c r="B5578" s="50">
        <v>45079.8832899884</v>
      </c>
      <c r="C5578" s="51">
        <v>1.009</v>
      </c>
      <c r="D5578" s="51">
        <v>67.0</v>
      </c>
      <c r="E5578" s="52" t="s">
        <v>25</v>
      </c>
      <c r="F5578" s="52" t="s">
        <v>26</v>
      </c>
      <c r="G5578" s="53"/>
    </row>
    <row r="5579">
      <c r="A5579" s="49">
        <v>45079.768739861116</v>
      </c>
      <c r="B5579" s="50">
        <v>45079.8937120486</v>
      </c>
      <c r="C5579" s="51">
        <v>1.009</v>
      </c>
      <c r="D5579" s="51">
        <v>67.0</v>
      </c>
      <c r="E5579" s="52" t="s">
        <v>25</v>
      </c>
      <c r="F5579" s="52" t="s">
        <v>26</v>
      </c>
      <c r="G5579" s="53"/>
    </row>
    <row r="5580">
      <c r="A5580" s="49">
        <v>45079.779153043986</v>
      </c>
      <c r="B5580" s="50">
        <v>45079.9041326967</v>
      </c>
      <c r="C5580" s="51">
        <v>1.009</v>
      </c>
      <c r="D5580" s="51">
        <v>67.0</v>
      </c>
      <c r="E5580" s="52" t="s">
        <v>25</v>
      </c>
      <c r="F5580" s="52" t="s">
        <v>26</v>
      </c>
      <c r="G5580" s="53"/>
    </row>
    <row r="5581">
      <c r="A5581" s="49">
        <v>45079.78957591435</v>
      </c>
      <c r="B5581" s="50">
        <v>45079.9145530324</v>
      </c>
      <c r="C5581" s="51">
        <v>1.009</v>
      </c>
      <c r="D5581" s="51">
        <v>67.0</v>
      </c>
      <c r="E5581" s="52" t="s">
        <v>25</v>
      </c>
      <c r="F5581" s="52" t="s">
        <v>26</v>
      </c>
      <c r="G5581" s="53"/>
    </row>
    <row r="5582">
      <c r="A5582" s="49">
        <v>45079.80000476852</v>
      </c>
      <c r="B5582" s="50">
        <v>45079.9249851388</v>
      </c>
      <c r="C5582" s="51">
        <v>1.009</v>
      </c>
      <c r="D5582" s="51">
        <v>67.0</v>
      </c>
      <c r="E5582" s="52" t="s">
        <v>25</v>
      </c>
      <c r="F5582" s="52" t="s">
        <v>26</v>
      </c>
      <c r="G5582" s="53"/>
    </row>
    <row r="5583">
      <c r="A5583" s="49">
        <v>45079.81043395834</v>
      </c>
      <c r="B5583" s="50">
        <v>45079.9354058217</v>
      </c>
      <c r="C5583" s="51">
        <v>1.009</v>
      </c>
      <c r="D5583" s="51">
        <v>67.0</v>
      </c>
      <c r="E5583" s="52" t="s">
        <v>25</v>
      </c>
      <c r="F5583" s="52" t="s">
        <v>26</v>
      </c>
      <c r="G5583" s="53"/>
    </row>
    <row r="5584">
      <c r="A5584" s="49">
        <v>45079.82085221064</v>
      </c>
      <c r="B5584" s="50">
        <v>45079.9458268518</v>
      </c>
      <c r="C5584" s="51">
        <v>1.008</v>
      </c>
      <c r="D5584" s="51">
        <v>67.0</v>
      </c>
      <c r="E5584" s="52" t="s">
        <v>25</v>
      </c>
      <c r="F5584" s="52" t="s">
        <v>26</v>
      </c>
      <c r="G5584" s="53"/>
    </row>
    <row r="5585">
      <c r="A5585" s="49">
        <v>45079.83126685185</v>
      </c>
      <c r="B5585" s="50">
        <v>45079.9562493055</v>
      </c>
      <c r="C5585" s="51">
        <v>1.009</v>
      </c>
      <c r="D5585" s="51">
        <v>67.0</v>
      </c>
      <c r="E5585" s="52" t="s">
        <v>25</v>
      </c>
      <c r="F5585" s="52" t="s">
        <v>26</v>
      </c>
      <c r="G5585" s="53"/>
    </row>
    <row r="5586">
      <c r="A5586" s="49">
        <v>45079.84170792824</v>
      </c>
      <c r="B5586" s="50">
        <v>45079.9666817129</v>
      </c>
      <c r="C5586" s="51">
        <v>1.009</v>
      </c>
      <c r="D5586" s="51">
        <v>67.0</v>
      </c>
      <c r="E5586" s="52" t="s">
        <v>25</v>
      </c>
      <c r="F5586" s="52" t="s">
        <v>26</v>
      </c>
      <c r="G5586" s="53"/>
    </row>
    <row r="5587">
      <c r="A5587" s="49">
        <v>45079.85212436343</v>
      </c>
      <c r="B5587" s="50">
        <v>45079.9771010532</v>
      </c>
      <c r="C5587" s="51">
        <v>1.009</v>
      </c>
      <c r="D5587" s="51">
        <v>67.0</v>
      </c>
      <c r="E5587" s="52" t="s">
        <v>25</v>
      </c>
      <c r="F5587" s="52" t="s">
        <v>26</v>
      </c>
      <c r="G5587" s="53"/>
    </row>
    <row r="5588">
      <c r="A5588" s="49">
        <v>45079.862540243055</v>
      </c>
      <c r="B5588" s="50">
        <v>45079.9875217476</v>
      </c>
      <c r="C5588" s="51">
        <v>1.009</v>
      </c>
      <c r="D5588" s="51">
        <v>67.0</v>
      </c>
      <c r="E5588" s="52" t="s">
        <v>25</v>
      </c>
      <c r="F5588" s="52" t="s">
        <v>26</v>
      </c>
      <c r="G5588" s="53"/>
    </row>
    <row r="5589">
      <c r="A5589" s="49">
        <v>45079.872971585646</v>
      </c>
      <c r="B5589" s="50">
        <v>45079.9979435648</v>
      </c>
      <c r="C5589" s="51">
        <v>1.009</v>
      </c>
      <c r="D5589" s="51">
        <v>67.0</v>
      </c>
      <c r="E5589" s="52" t="s">
        <v>25</v>
      </c>
      <c r="F5589" s="52" t="s">
        <v>26</v>
      </c>
      <c r="G5589" s="53"/>
    </row>
    <row r="5590">
      <c r="A5590" s="49">
        <v>45079.88338373843</v>
      </c>
      <c r="B5590" s="50">
        <v>45080.008364537</v>
      </c>
      <c r="C5590" s="51">
        <v>1.009</v>
      </c>
      <c r="D5590" s="51">
        <v>67.0</v>
      </c>
      <c r="E5590" s="52" t="s">
        <v>25</v>
      </c>
      <c r="F5590" s="52" t="s">
        <v>26</v>
      </c>
      <c r="G5590" s="53"/>
    </row>
    <row r="5591">
      <c r="A5591" s="49">
        <v>45079.89382532408</v>
      </c>
      <c r="B5591" s="50">
        <v>45080.0187959027</v>
      </c>
      <c r="C5591" s="51">
        <v>1.009</v>
      </c>
      <c r="D5591" s="51">
        <v>67.0</v>
      </c>
      <c r="E5591" s="52" t="s">
        <v>25</v>
      </c>
      <c r="F5591" s="52" t="s">
        <v>26</v>
      </c>
      <c r="G5591" s="53"/>
    </row>
    <row r="5592">
      <c r="A5592" s="49">
        <v>45079.90423398148</v>
      </c>
      <c r="B5592" s="50">
        <v>45080.0292148842</v>
      </c>
      <c r="C5592" s="51">
        <v>1.009</v>
      </c>
      <c r="D5592" s="51">
        <v>67.0</v>
      </c>
      <c r="E5592" s="52" t="s">
        <v>25</v>
      </c>
      <c r="F5592" s="52" t="s">
        <v>26</v>
      </c>
      <c r="G5592" s="53"/>
    </row>
    <row r="5593">
      <c r="A5593" s="49">
        <v>45079.914666620374</v>
      </c>
      <c r="B5593" s="50">
        <v>45080.0396361458</v>
      </c>
      <c r="C5593" s="51">
        <v>1.009</v>
      </c>
      <c r="D5593" s="51">
        <v>67.0</v>
      </c>
      <c r="E5593" s="52" t="s">
        <v>25</v>
      </c>
      <c r="F5593" s="52" t="s">
        <v>26</v>
      </c>
      <c r="G5593" s="53"/>
    </row>
    <row r="5594">
      <c r="A5594" s="49">
        <v>45079.92507953703</v>
      </c>
      <c r="B5594" s="50">
        <v>45080.0500575463</v>
      </c>
      <c r="C5594" s="51">
        <v>1.009</v>
      </c>
      <c r="D5594" s="51">
        <v>67.0</v>
      </c>
      <c r="E5594" s="52" t="s">
        <v>25</v>
      </c>
      <c r="F5594" s="52" t="s">
        <v>26</v>
      </c>
      <c r="G5594" s="53"/>
    </row>
    <row r="5595">
      <c r="A5595" s="49">
        <v>45079.93550753473</v>
      </c>
      <c r="B5595" s="50">
        <v>45080.0604797453</v>
      </c>
      <c r="C5595" s="51">
        <v>1.009</v>
      </c>
      <c r="D5595" s="51">
        <v>67.0</v>
      </c>
      <c r="E5595" s="52" t="s">
        <v>25</v>
      </c>
      <c r="F5595" s="52" t="s">
        <v>26</v>
      </c>
      <c r="G5595" s="53"/>
    </row>
    <row r="5596">
      <c r="A5596" s="49">
        <v>45079.94592949074</v>
      </c>
      <c r="B5596" s="50">
        <v>45080.0709020833</v>
      </c>
      <c r="C5596" s="51">
        <v>1.009</v>
      </c>
      <c r="D5596" s="51">
        <v>67.0</v>
      </c>
      <c r="E5596" s="52" t="s">
        <v>25</v>
      </c>
      <c r="F5596" s="52" t="s">
        <v>26</v>
      </c>
      <c r="G5596" s="53"/>
    </row>
    <row r="5597">
      <c r="A5597" s="49">
        <v>45079.956397222224</v>
      </c>
      <c r="B5597" s="50">
        <v>45080.0813583101</v>
      </c>
      <c r="C5597" s="51">
        <v>1.009</v>
      </c>
      <c r="D5597" s="51">
        <v>67.0</v>
      </c>
      <c r="E5597" s="52" t="s">
        <v>25</v>
      </c>
      <c r="F5597" s="52" t="s">
        <v>26</v>
      </c>
      <c r="G5597" s="53"/>
    </row>
    <row r="5598">
      <c r="A5598" s="49">
        <v>45079.96679950232</v>
      </c>
      <c r="B5598" s="50">
        <v>45080.0917797916</v>
      </c>
      <c r="C5598" s="51">
        <v>1.009</v>
      </c>
      <c r="D5598" s="51">
        <v>67.0</v>
      </c>
      <c r="E5598" s="52" t="s">
        <v>25</v>
      </c>
      <c r="F5598" s="52" t="s">
        <v>26</v>
      </c>
      <c r="G5598" s="53"/>
    </row>
    <row r="5599">
      <c r="A5599" s="49">
        <v>45079.97722347222</v>
      </c>
      <c r="B5599" s="50">
        <v>45080.1022000694</v>
      </c>
      <c r="C5599" s="51">
        <v>1.009</v>
      </c>
      <c r="D5599" s="51">
        <v>67.0</v>
      </c>
      <c r="E5599" s="52" t="s">
        <v>25</v>
      </c>
      <c r="F5599" s="52" t="s">
        <v>26</v>
      </c>
      <c r="G5599" s="53"/>
    </row>
    <row r="5600">
      <c r="A5600" s="49">
        <v>45079.98763491898</v>
      </c>
      <c r="B5600" s="50">
        <v>45080.1126195254</v>
      </c>
      <c r="C5600" s="51">
        <v>1.009</v>
      </c>
      <c r="D5600" s="51">
        <v>67.0</v>
      </c>
      <c r="E5600" s="52" t="s">
        <v>25</v>
      </c>
      <c r="F5600" s="52" t="s">
        <v>26</v>
      </c>
      <c r="G5600" s="53"/>
    </row>
    <row r="5601">
      <c r="A5601" s="49">
        <v>45079.99806658565</v>
      </c>
      <c r="B5601" s="50">
        <v>45080.1230399074</v>
      </c>
      <c r="C5601" s="51">
        <v>1.009</v>
      </c>
      <c r="D5601" s="51">
        <v>67.0</v>
      </c>
      <c r="E5601" s="52" t="s">
        <v>25</v>
      </c>
      <c r="F5601" s="52" t="s">
        <v>26</v>
      </c>
      <c r="G5601" s="53"/>
    </row>
    <row r="5602">
      <c r="A5602" s="49">
        <v>45080.0084828125</v>
      </c>
      <c r="B5602" s="50">
        <v>45080.1334612615</v>
      </c>
      <c r="C5602" s="51">
        <v>1.009</v>
      </c>
      <c r="D5602" s="51">
        <v>67.0</v>
      </c>
      <c r="E5602" s="52" t="s">
        <v>25</v>
      </c>
      <c r="F5602" s="52" t="s">
        <v>26</v>
      </c>
      <c r="G5602" s="53"/>
    </row>
    <row r="5603">
      <c r="A5603" s="49">
        <v>45080.018910451385</v>
      </c>
      <c r="B5603" s="50">
        <v>45080.1438825694</v>
      </c>
      <c r="C5603" s="51">
        <v>1.009</v>
      </c>
      <c r="D5603" s="51">
        <v>67.0</v>
      </c>
      <c r="E5603" s="52" t="s">
        <v>25</v>
      </c>
      <c r="F5603" s="52" t="s">
        <v>26</v>
      </c>
      <c r="G5603" s="53"/>
    </row>
    <row r="5604">
      <c r="A5604" s="49">
        <v>45080.029333680555</v>
      </c>
      <c r="B5604" s="50">
        <v>45080.1543046064</v>
      </c>
      <c r="C5604" s="51">
        <v>1.009</v>
      </c>
      <c r="D5604" s="51">
        <v>67.0</v>
      </c>
      <c r="E5604" s="52" t="s">
        <v>25</v>
      </c>
      <c r="F5604" s="52" t="s">
        <v>26</v>
      </c>
      <c r="G5604" s="53"/>
    </row>
    <row r="5605">
      <c r="A5605" s="49">
        <v>45080.03975137731</v>
      </c>
      <c r="B5605" s="50">
        <v>45080.1647248611</v>
      </c>
      <c r="C5605" s="51">
        <v>1.009</v>
      </c>
      <c r="D5605" s="51">
        <v>67.0</v>
      </c>
      <c r="E5605" s="52" t="s">
        <v>25</v>
      </c>
      <c r="F5605" s="52" t="s">
        <v>26</v>
      </c>
      <c r="G5605" s="53"/>
    </row>
    <row r="5606">
      <c r="A5606" s="49">
        <v>45080.05017456019</v>
      </c>
      <c r="B5606" s="50">
        <v>45080.1751453819</v>
      </c>
      <c r="C5606" s="51">
        <v>1.009</v>
      </c>
      <c r="D5606" s="51">
        <v>67.0</v>
      </c>
      <c r="E5606" s="52" t="s">
        <v>25</v>
      </c>
      <c r="F5606" s="52" t="s">
        <v>26</v>
      </c>
      <c r="G5606" s="53"/>
    </row>
    <row r="5607">
      <c r="A5607" s="49">
        <v>45080.06059366898</v>
      </c>
      <c r="B5607" s="50">
        <v>45080.1855670254</v>
      </c>
      <c r="C5607" s="51">
        <v>1.009</v>
      </c>
      <c r="D5607" s="51">
        <v>67.0</v>
      </c>
      <c r="E5607" s="52" t="s">
        <v>25</v>
      </c>
      <c r="F5607" s="52" t="s">
        <v>26</v>
      </c>
      <c r="G5607" s="53"/>
    </row>
    <row r="5608">
      <c r="A5608" s="49">
        <v>45080.071013622684</v>
      </c>
      <c r="B5608" s="50">
        <v>45080.1959885416</v>
      </c>
      <c r="C5608" s="51">
        <v>1.009</v>
      </c>
      <c r="D5608" s="51">
        <v>67.0</v>
      </c>
      <c r="E5608" s="52" t="s">
        <v>25</v>
      </c>
      <c r="F5608" s="52" t="s">
        <v>26</v>
      </c>
      <c r="G5608" s="53"/>
    </row>
    <row r="5609">
      <c r="A5609" s="49">
        <v>45080.08144326389</v>
      </c>
      <c r="B5609" s="50">
        <v>45080.2064209259</v>
      </c>
      <c r="C5609" s="51">
        <v>1.009</v>
      </c>
      <c r="D5609" s="51">
        <v>67.0</v>
      </c>
      <c r="E5609" s="52" t="s">
        <v>25</v>
      </c>
      <c r="F5609" s="52" t="s">
        <v>26</v>
      </c>
      <c r="G5609" s="53"/>
    </row>
    <row r="5610">
      <c r="A5610" s="49">
        <v>45080.0918637963</v>
      </c>
      <c r="B5610" s="50">
        <v>45080.2168415277</v>
      </c>
      <c r="C5610" s="51">
        <v>1.009</v>
      </c>
      <c r="D5610" s="51">
        <v>67.0</v>
      </c>
      <c r="E5610" s="52" t="s">
        <v>25</v>
      </c>
      <c r="F5610" s="52" t="s">
        <v>26</v>
      </c>
      <c r="G5610" s="53"/>
    </row>
    <row r="5611">
      <c r="A5611" s="49">
        <v>45080.102280127314</v>
      </c>
      <c r="B5611" s="50">
        <v>45080.2272632523</v>
      </c>
      <c r="C5611" s="51">
        <v>1.009</v>
      </c>
      <c r="D5611" s="51">
        <v>67.0</v>
      </c>
      <c r="E5611" s="52" t="s">
        <v>25</v>
      </c>
      <c r="F5611" s="52" t="s">
        <v>26</v>
      </c>
      <c r="G5611" s="53"/>
    </row>
    <row r="5612">
      <c r="A5612" s="49">
        <v>45080.112701238424</v>
      </c>
      <c r="B5612" s="50">
        <v>45080.2376851967</v>
      </c>
      <c r="C5612" s="51">
        <v>1.009</v>
      </c>
      <c r="D5612" s="51">
        <v>67.0</v>
      </c>
      <c r="E5612" s="52" t="s">
        <v>25</v>
      </c>
      <c r="F5612" s="52" t="s">
        <v>26</v>
      </c>
      <c r="G5612" s="53"/>
    </row>
    <row r="5613">
      <c r="A5613" s="49">
        <v>45080.12312471065</v>
      </c>
      <c r="B5613" s="50">
        <v>45080.2481048148</v>
      </c>
      <c r="C5613" s="51">
        <v>1.009</v>
      </c>
      <c r="D5613" s="51">
        <v>67.0</v>
      </c>
      <c r="E5613" s="52" t="s">
        <v>25</v>
      </c>
      <c r="F5613" s="52" t="s">
        <v>26</v>
      </c>
      <c r="G5613" s="53"/>
    </row>
    <row r="5614">
      <c r="A5614" s="49">
        <v>45080.133546550926</v>
      </c>
      <c r="B5614" s="50">
        <v>45080.2585259953</v>
      </c>
      <c r="C5614" s="51">
        <v>1.009</v>
      </c>
      <c r="D5614" s="51">
        <v>67.0</v>
      </c>
      <c r="E5614" s="52" t="s">
        <v>25</v>
      </c>
      <c r="F5614" s="52" t="s">
        <v>26</v>
      </c>
      <c r="G5614" s="53"/>
    </row>
    <row r="5615">
      <c r="A5615" s="49">
        <v>45080.14396938657</v>
      </c>
      <c r="B5615" s="50">
        <v>45080.268946331</v>
      </c>
      <c r="C5615" s="51">
        <v>1.009</v>
      </c>
      <c r="D5615" s="51">
        <v>67.0</v>
      </c>
      <c r="E5615" s="52" t="s">
        <v>25</v>
      </c>
      <c r="F5615" s="52" t="s">
        <v>26</v>
      </c>
      <c r="G5615" s="53"/>
    </row>
    <row r="5616">
      <c r="A5616" s="49">
        <v>45080.15438807871</v>
      </c>
      <c r="B5616" s="50">
        <v>45080.2793653009</v>
      </c>
      <c r="C5616" s="51">
        <v>1.009</v>
      </c>
      <c r="D5616" s="51">
        <v>67.0</v>
      </c>
      <c r="E5616" s="52" t="s">
        <v>25</v>
      </c>
      <c r="F5616" s="52" t="s">
        <v>26</v>
      </c>
      <c r="G5616" s="53"/>
    </row>
    <row r="5617">
      <c r="A5617" s="49">
        <v>45080.16480398148</v>
      </c>
      <c r="B5617" s="50">
        <v>45080.2897865972</v>
      </c>
      <c r="C5617" s="51">
        <v>1.009</v>
      </c>
      <c r="D5617" s="51">
        <v>67.0</v>
      </c>
      <c r="E5617" s="52" t="s">
        <v>25</v>
      </c>
      <c r="F5617" s="52" t="s">
        <v>26</v>
      </c>
      <c r="G5617" s="53"/>
    </row>
    <row r="5618">
      <c r="A5618" s="49">
        <v>45080.17524020834</v>
      </c>
      <c r="B5618" s="50">
        <v>45080.3002088194</v>
      </c>
      <c r="C5618" s="51">
        <v>1.009</v>
      </c>
      <c r="D5618" s="51">
        <v>67.0</v>
      </c>
      <c r="E5618" s="52" t="s">
        <v>25</v>
      </c>
      <c r="F5618" s="52" t="s">
        <v>26</v>
      </c>
      <c r="G5618" s="53"/>
    </row>
    <row r="5619">
      <c r="A5619" s="49">
        <v>45080.18565662037</v>
      </c>
      <c r="B5619" s="50">
        <v>45080.3106318865</v>
      </c>
      <c r="C5619" s="51">
        <v>1.009</v>
      </c>
      <c r="D5619" s="51">
        <v>67.0</v>
      </c>
      <c r="E5619" s="52" t="s">
        <v>25</v>
      </c>
      <c r="F5619" s="52" t="s">
        <v>26</v>
      </c>
      <c r="G5619" s="53"/>
    </row>
    <row r="5620">
      <c r="A5620" s="49">
        <v>45080.19609557871</v>
      </c>
      <c r="B5620" s="50">
        <v>45080.3210770254</v>
      </c>
      <c r="C5620" s="51">
        <v>1.009</v>
      </c>
      <c r="D5620" s="51">
        <v>67.0</v>
      </c>
      <c r="E5620" s="52" t="s">
        <v>25</v>
      </c>
      <c r="F5620" s="52" t="s">
        <v>26</v>
      </c>
      <c r="G5620" s="53"/>
    </row>
    <row r="5621">
      <c r="A5621" s="49">
        <v>45080.20651895834</v>
      </c>
      <c r="B5621" s="50">
        <v>45080.331497662</v>
      </c>
      <c r="C5621" s="51">
        <v>1.009</v>
      </c>
      <c r="D5621" s="51">
        <v>67.0</v>
      </c>
      <c r="E5621" s="52" t="s">
        <v>25</v>
      </c>
      <c r="F5621" s="52" t="s">
        <v>26</v>
      </c>
      <c r="G5621" s="53"/>
    </row>
    <row r="5622">
      <c r="A5622" s="49">
        <v>45080.21694780093</v>
      </c>
      <c r="B5622" s="50">
        <v>45080.3419191087</v>
      </c>
      <c r="C5622" s="51">
        <v>1.009</v>
      </c>
      <c r="D5622" s="51">
        <v>67.0</v>
      </c>
      <c r="E5622" s="52" t="s">
        <v>25</v>
      </c>
      <c r="F5622" s="52" t="s">
        <v>26</v>
      </c>
      <c r="G5622" s="53"/>
    </row>
    <row r="5623">
      <c r="A5623" s="49">
        <v>45080.22737231481</v>
      </c>
      <c r="B5623" s="50">
        <v>45080.3523524652</v>
      </c>
      <c r="C5623" s="51">
        <v>1.009</v>
      </c>
      <c r="D5623" s="51">
        <v>67.0</v>
      </c>
      <c r="E5623" s="52" t="s">
        <v>25</v>
      </c>
      <c r="F5623" s="52" t="s">
        <v>26</v>
      </c>
      <c r="G5623" s="53"/>
    </row>
    <row r="5624">
      <c r="A5624" s="49">
        <v>45080.23779988426</v>
      </c>
      <c r="B5624" s="50">
        <v>45080.36277353</v>
      </c>
      <c r="C5624" s="51">
        <v>1.009</v>
      </c>
      <c r="D5624" s="51">
        <v>67.0</v>
      </c>
      <c r="E5624" s="52" t="s">
        <v>25</v>
      </c>
      <c r="F5624" s="52" t="s">
        <v>26</v>
      </c>
      <c r="G5624" s="53"/>
    </row>
    <row r="5625">
      <c r="A5625" s="49">
        <v>45080.248226111114</v>
      </c>
      <c r="B5625" s="50">
        <v>45080.3732065972</v>
      </c>
      <c r="C5625" s="51">
        <v>1.008</v>
      </c>
      <c r="D5625" s="51">
        <v>67.0</v>
      </c>
      <c r="E5625" s="52" t="s">
        <v>25</v>
      </c>
      <c r="F5625" s="52" t="s">
        <v>26</v>
      </c>
      <c r="G5625" s="53"/>
    </row>
    <row r="5626">
      <c r="A5626" s="49">
        <v>45080.258645532405</v>
      </c>
      <c r="B5626" s="50">
        <v>45080.3836258912</v>
      </c>
      <c r="C5626" s="51">
        <v>1.008</v>
      </c>
      <c r="D5626" s="51">
        <v>67.0</v>
      </c>
      <c r="E5626" s="52" t="s">
        <v>25</v>
      </c>
      <c r="F5626" s="52" t="s">
        <v>26</v>
      </c>
      <c r="G5626" s="53"/>
    </row>
    <row r="5627">
      <c r="A5627" s="49">
        <v>45080.26907546296</v>
      </c>
      <c r="B5627" s="50">
        <v>45080.3940480439</v>
      </c>
      <c r="C5627" s="51">
        <v>1.009</v>
      </c>
      <c r="D5627" s="51">
        <v>67.0</v>
      </c>
      <c r="E5627" s="52" t="s">
        <v>25</v>
      </c>
      <c r="F5627" s="52" t="s">
        <v>26</v>
      </c>
      <c r="G5627" s="53"/>
    </row>
    <row r="5628">
      <c r="A5628" s="49">
        <v>45080.27948996528</v>
      </c>
      <c r="B5628" s="50">
        <v>45080.4044694444</v>
      </c>
      <c r="C5628" s="51">
        <v>1.008</v>
      </c>
      <c r="D5628" s="51">
        <v>67.0</v>
      </c>
      <c r="E5628" s="52" t="s">
        <v>25</v>
      </c>
      <c r="F5628" s="52" t="s">
        <v>26</v>
      </c>
      <c r="G5628" s="53"/>
    </row>
    <row r="5629">
      <c r="A5629" s="49">
        <v>45080.28992384259</v>
      </c>
      <c r="B5629" s="50">
        <v>45080.414903206</v>
      </c>
      <c r="C5629" s="51">
        <v>1.009</v>
      </c>
      <c r="D5629" s="51">
        <v>67.0</v>
      </c>
      <c r="E5629" s="52" t="s">
        <v>25</v>
      </c>
      <c r="F5629" s="52" t="s">
        <v>26</v>
      </c>
      <c r="G5629" s="53"/>
    </row>
    <row r="5630">
      <c r="A5630" s="49">
        <v>45080.30035153935</v>
      </c>
      <c r="B5630" s="50">
        <v>45080.4253237963</v>
      </c>
      <c r="C5630" s="51">
        <v>1.009</v>
      </c>
      <c r="D5630" s="51">
        <v>67.0</v>
      </c>
      <c r="E5630" s="52" t="s">
        <v>25</v>
      </c>
      <c r="F5630" s="52" t="s">
        <v>26</v>
      </c>
      <c r="G5630" s="53"/>
    </row>
    <row r="5631">
      <c r="A5631" s="49">
        <v>45080.31076945602</v>
      </c>
      <c r="B5631" s="50">
        <v>45080.4357440277</v>
      </c>
      <c r="C5631" s="51">
        <v>1.009</v>
      </c>
      <c r="D5631" s="51">
        <v>67.0</v>
      </c>
      <c r="E5631" s="52" t="s">
        <v>25</v>
      </c>
      <c r="F5631" s="52" t="s">
        <v>26</v>
      </c>
      <c r="G5631" s="53"/>
    </row>
    <row r="5632">
      <c r="A5632" s="49">
        <v>45080.321186493056</v>
      </c>
      <c r="B5632" s="50">
        <v>45080.4461655324</v>
      </c>
      <c r="C5632" s="51">
        <v>1.009</v>
      </c>
      <c r="D5632" s="51">
        <v>67.0</v>
      </c>
      <c r="E5632" s="52" t="s">
        <v>25</v>
      </c>
      <c r="F5632" s="52" t="s">
        <v>26</v>
      </c>
      <c r="G5632" s="53"/>
    </row>
    <row r="5633">
      <c r="A5633" s="49">
        <v>45080.331611863425</v>
      </c>
      <c r="B5633" s="50">
        <v>45080.4565863888</v>
      </c>
      <c r="C5633" s="51">
        <v>1.008</v>
      </c>
      <c r="D5633" s="51">
        <v>67.0</v>
      </c>
      <c r="E5633" s="52" t="s">
        <v>25</v>
      </c>
      <c r="F5633" s="52" t="s">
        <v>26</v>
      </c>
      <c r="G5633" s="53"/>
    </row>
    <row r="5634">
      <c r="A5634" s="49">
        <v>45080.34202660879</v>
      </c>
      <c r="B5634" s="50">
        <v>45080.467007199</v>
      </c>
      <c r="C5634" s="51">
        <v>1.009</v>
      </c>
      <c r="D5634" s="51">
        <v>67.0</v>
      </c>
      <c r="E5634" s="52" t="s">
        <v>25</v>
      </c>
      <c r="F5634" s="52" t="s">
        <v>26</v>
      </c>
      <c r="G5634" s="53"/>
    </row>
    <row r="5635">
      <c r="A5635" s="49">
        <v>45080.35247013889</v>
      </c>
      <c r="B5635" s="50">
        <v>45080.4774411805</v>
      </c>
      <c r="C5635" s="51">
        <v>1.008</v>
      </c>
      <c r="D5635" s="51">
        <v>67.0</v>
      </c>
      <c r="E5635" s="52" t="s">
        <v>25</v>
      </c>
      <c r="F5635" s="52" t="s">
        <v>26</v>
      </c>
      <c r="G5635" s="53"/>
    </row>
    <row r="5636">
      <c r="A5636" s="49">
        <v>45080.36288876158</v>
      </c>
      <c r="B5636" s="50">
        <v>45080.4878618402</v>
      </c>
      <c r="C5636" s="51">
        <v>1.009</v>
      </c>
      <c r="D5636" s="51">
        <v>67.0</v>
      </c>
      <c r="E5636" s="52" t="s">
        <v>25</v>
      </c>
      <c r="F5636" s="52" t="s">
        <v>26</v>
      </c>
      <c r="G5636" s="53"/>
    </row>
    <row r="5637">
      <c r="A5637" s="49">
        <v>45080.37330166667</v>
      </c>
      <c r="B5637" s="50">
        <v>45080.4982838541</v>
      </c>
      <c r="C5637" s="51">
        <v>1.009</v>
      </c>
      <c r="D5637" s="51">
        <v>67.0</v>
      </c>
      <c r="E5637" s="52" t="s">
        <v>25</v>
      </c>
      <c r="F5637" s="52" t="s">
        <v>26</v>
      </c>
      <c r="G5637" s="53"/>
    </row>
    <row r="5638">
      <c r="A5638" s="49">
        <v>45080.383741111116</v>
      </c>
      <c r="B5638" s="50">
        <v>45080.5087071759</v>
      </c>
      <c r="C5638" s="51">
        <v>1.009</v>
      </c>
      <c r="D5638" s="51">
        <v>67.0</v>
      </c>
      <c r="E5638" s="52" t="s">
        <v>25</v>
      </c>
      <c r="F5638" s="52" t="s">
        <v>26</v>
      </c>
      <c r="G5638" s="53"/>
    </row>
    <row r="5639">
      <c r="A5639" s="49">
        <v>45080.39415653935</v>
      </c>
      <c r="B5639" s="50">
        <v>45080.5191287963</v>
      </c>
      <c r="C5639" s="51">
        <v>1.009</v>
      </c>
      <c r="D5639" s="51">
        <v>67.0</v>
      </c>
      <c r="E5639" s="52" t="s">
        <v>25</v>
      </c>
      <c r="F5639" s="52" t="s">
        <v>26</v>
      </c>
      <c r="G5639" s="53"/>
    </row>
    <row r="5640">
      <c r="A5640" s="49">
        <v>45080.40457892361</v>
      </c>
      <c r="B5640" s="50">
        <v>45080.529550868</v>
      </c>
      <c r="C5640" s="51">
        <v>1.009</v>
      </c>
      <c r="D5640" s="51">
        <v>67.0</v>
      </c>
      <c r="E5640" s="52" t="s">
        <v>25</v>
      </c>
      <c r="F5640" s="52" t="s">
        <v>26</v>
      </c>
      <c r="G5640" s="53"/>
    </row>
    <row r="5641">
      <c r="A5641" s="49">
        <v>45080.41500247685</v>
      </c>
      <c r="B5641" s="50">
        <v>45080.5399730787</v>
      </c>
      <c r="C5641" s="51">
        <v>1.008</v>
      </c>
      <c r="D5641" s="51">
        <v>67.0</v>
      </c>
      <c r="E5641" s="52" t="s">
        <v>25</v>
      </c>
      <c r="F5641" s="52" t="s">
        <v>26</v>
      </c>
      <c r="G5641" s="53"/>
    </row>
    <row r="5642">
      <c r="A5642" s="49">
        <v>45080.425432881944</v>
      </c>
      <c r="B5642" s="50">
        <v>45080.5504072685</v>
      </c>
      <c r="C5642" s="51">
        <v>1.009</v>
      </c>
      <c r="D5642" s="51">
        <v>67.0</v>
      </c>
      <c r="E5642" s="52" t="s">
        <v>25</v>
      </c>
      <c r="F5642" s="52" t="s">
        <v>26</v>
      </c>
      <c r="G5642" s="53"/>
    </row>
    <row r="5643">
      <c r="A5643" s="49">
        <v>45080.43585363426</v>
      </c>
      <c r="B5643" s="50">
        <v>45080.5608275578</v>
      </c>
      <c r="C5643" s="51">
        <v>1.009</v>
      </c>
      <c r="D5643" s="51">
        <v>67.0</v>
      </c>
      <c r="E5643" s="52" t="s">
        <v>25</v>
      </c>
      <c r="F5643" s="52" t="s">
        <v>26</v>
      </c>
      <c r="G5643" s="53"/>
    </row>
    <row r="5644">
      <c r="A5644" s="49">
        <v>45080.446265694445</v>
      </c>
      <c r="B5644" s="50">
        <v>45080.5712478588</v>
      </c>
      <c r="C5644" s="51">
        <v>1.009</v>
      </c>
      <c r="D5644" s="51">
        <v>67.0</v>
      </c>
      <c r="E5644" s="52" t="s">
        <v>25</v>
      </c>
      <c r="F5644" s="52" t="s">
        <v>26</v>
      </c>
      <c r="G5644" s="53"/>
    </row>
    <row r="5645">
      <c r="A5645" s="49">
        <v>45080.45670313657</v>
      </c>
      <c r="B5645" s="50">
        <v>45080.5816690162</v>
      </c>
      <c r="C5645" s="51">
        <v>1.009</v>
      </c>
      <c r="D5645" s="51">
        <v>67.0</v>
      </c>
      <c r="E5645" s="52" t="s">
        <v>25</v>
      </c>
      <c r="F5645" s="52" t="s">
        <v>26</v>
      </c>
      <c r="G5645" s="53"/>
    </row>
    <row r="5646">
      <c r="A5646" s="49">
        <v>45080.46711804398</v>
      </c>
      <c r="B5646" s="50">
        <v>45080.5920906944</v>
      </c>
      <c r="C5646" s="51">
        <v>1.009</v>
      </c>
      <c r="D5646" s="51">
        <v>67.0</v>
      </c>
      <c r="E5646" s="52" t="s">
        <v>25</v>
      </c>
      <c r="F5646" s="52" t="s">
        <v>26</v>
      </c>
      <c r="G5646" s="53"/>
    </row>
    <row r="5647">
      <c r="A5647" s="49">
        <v>45080.47753259259</v>
      </c>
      <c r="B5647" s="50">
        <v>45080.6025113425</v>
      </c>
      <c r="C5647" s="51">
        <v>1.008</v>
      </c>
      <c r="D5647" s="51">
        <v>67.0</v>
      </c>
      <c r="E5647" s="52" t="s">
        <v>25</v>
      </c>
      <c r="F5647" s="52" t="s">
        <v>26</v>
      </c>
      <c r="G5647" s="53"/>
    </row>
    <row r="5648">
      <c r="A5648" s="49">
        <v>45080.48796091435</v>
      </c>
      <c r="B5648" s="50">
        <v>45080.6129326157</v>
      </c>
      <c r="C5648" s="51">
        <v>1.009</v>
      </c>
      <c r="D5648" s="51">
        <v>67.0</v>
      </c>
      <c r="E5648" s="52" t="s">
        <v>25</v>
      </c>
      <c r="F5648" s="52" t="s">
        <v>26</v>
      </c>
      <c r="G5648" s="53"/>
    </row>
    <row r="5649">
      <c r="A5649" s="49">
        <v>45080.49841236111</v>
      </c>
      <c r="B5649" s="50">
        <v>45080.6233773726</v>
      </c>
      <c r="C5649" s="51">
        <v>1.009</v>
      </c>
      <c r="D5649" s="51">
        <v>67.0</v>
      </c>
      <c r="E5649" s="52" t="s">
        <v>25</v>
      </c>
      <c r="F5649" s="52" t="s">
        <v>26</v>
      </c>
      <c r="G5649" s="53"/>
    </row>
    <row r="5650">
      <c r="A5650" s="49">
        <v>45080.508816574074</v>
      </c>
      <c r="B5650" s="50">
        <v>45080.6337988657</v>
      </c>
      <c r="C5650" s="51">
        <v>1.009</v>
      </c>
      <c r="D5650" s="51">
        <v>67.0</v>
      </c>
      <c r="E5650" s="52" t="s">
        <v>25</v>
      </c>
      <c r="F5650" s="52" t="s">
        <v>26</v>
      </c>
      <c r="G5650" s="53"/>
    </row>
    <row r="5651">
      <c r="A5651" s="49">
        <v>45080.51924988426</v>
      </c>
      <c r="B5651" s="50">
        <v>45080.6442187731</v>
      </c>
      <c r="C5651" s="51">
        <v>1.009</v>
      </c>
      <c r="D5651" s="51">
        <v>67.0</v>
      </c>
      <c r="E5651" s="52" t="s">
        <v>25</v>
      </c>
      <c r="F5651" s="52" t="s">
        <v>26</v>
      </c>
      <c r="G5651" s="53"/>
    </row>
    <row r="5652">
      <c r="A5652" s="49">
        <v>45080.529689375</v>
      </c>
      <c r="B5652" s="50">
        <v>45080.6546645486</v>
      </c>
      <c r="C5652" s="51">
        <v>1.008</v>
      </c>
      <c r="D5652" s="51">
        <v>67.0</v>
      </c>
      <c r="E5652" s="52" t="s">
        <v>25</v>
      </c>
      <c r="F5652" s="52" t="s">
        <v>26</v>
      </c>
      <c r="G5652" s="53"/>
    </row>
    <row r="5653">
      <c r="A5653" s="49">
        <v>45080.54011043982</v>
      </c>
      <c r="B5653" s="50">
        <v>45080.6650852893</v>
      </c>
      <c r="C5653" s="51">
        <v>1.009</v>
      </c>
      <c r="D5653" s="51">
        <v>67.0</v>
      </c>
      <c r="E5653" s="52" t="s">
        <v>25</v>
      </c>
      <c r="F5653" s="52" t="s">
        <v>26</v>
      </c>
      <c r="G5653" s="53"/>
    </row>
    <row r="5654">
      <c r="A5654" s="49">
        <v>45080.55052159722</v>
      </c>
      <c r="B5654" s="50">
        <v>45080.6755038657</v>
      </c>
      <c r="C5654" s="51">
        <v>1.008</v>
      </c>
      <c r="D5654" s="51">
        <v>67.0</v>
      </c>
      <c r="E5654" s="52" t="s">
        <v>25</v>
      </c>
      <c r="F5654" s="52" t="s">
        <v>26</v>
      </c>
      <c r="G5654" s="53"/>
    </row>
    <row r="5655">
      <c r="A5655" s="49">
        <v>45080.56095708333</v>
      </c>
      <c r="B5655" s="50">
        <v>45080.6859376736</v>
      </c>
      <c r="C5655" s="51">
        <v>1.009</v>
      </c>
      <c r="D5655" s="51">
        <v>67.0</v>
      </c>
      <c r="E5655" s="52" t="s">
        <v>25</v>
      </c>
      <c r="F5655" s="52" t="s">
        <v>26</v>
      </c>
      <c r="G5655" s="53"/>
    </row>
    <row r="5656">
      <c r="A5656" s="49">
        <v>45080.571383692135</v>
      </c>
      <c r="B5656" s="50">
        <v>45080.6963595949</v>
      </c>
      <c r="C5656" s="51">
        <v>1.009</v>
      </c>
      <c r="D5656" s="51">
        <v>67.0</v>
      </c>
      <c r="E5656" s="52" t="s">
        <v>25</v>
      </c>
      <c r="F5656" s="52" t="s">
        <v>26</v>
      </c>
      <c r="G5656" s="53"/>
    </row>
    <row r="5657">
      <c r="A5657" s="49">
        <v>45080.58180840278</v>
      </c>
      <c r="B5657" s="50">
        <v>45080.7067806712</v>
      </c>
      <c r="C5657" s="51">
        <v>1.008</v>
      </c>
      <c r="D5657" s="51">
        <v>67.0</v>
      </c>
      <c r="E5657" s="52" t="s">
        <v>25</v>
      </c>
      <c r="F5657" s="52" t="s">
        <v>26</v>
      </c>
      <c r="G5657" s="53"/>
    </row>
    <row r="5658">
      <c r="A5658" s="49">
        <v>45080.59223915509</v>
      </c>
      <c r="B5658" s="50">
        <v>45080.7172128819</v>
      </c>
      <c r="C5658" s="51">
        <v>1.009</v>
      </c>
      <c r="D5658" s="51">
        <v>67.0</v>
      </c>
      <c r="E5658" s="52" t="s">
        <v>25</v>
      </c>
      <c r="F5658" s="52" t="s">
        <v>26</v>
      </c>
      <c r="G5658" s="53"/>
    </row>
    <row r="5659">
      <c r="A5659" s="49">
        <v>45080.602652002315</v>
      </c>
      <c r="B5659" s="50">
        <v>45080.7276340972</v>
      </c>
      <c r="C5659" s="51">
        <v>1.009</v>
      </c>
      <c r="D5659" s="51">
        <v>67.0</v>
      </c>
      <c r="E5659" s="52" t="s">
        <v>25</v>
      </c>
      <c r="F5659" s="52" t="s">
        <v>26</v>
      </c>
      <c r="G5659" s="53"/>
    </row>
    <row r="5660">
      <c r="A5660" s="49">
        <v>45080.61308921296</v>
      </c>
      <c r="B5660" s="50">
        <v>45080.7380543171</v>
      </c>
      <c r="C5660" s="51">
        <v>1.008</v>
      </c>
      <c r="D5660" s="51">
        <v>67.0</v>
      </c>
      <c r="E5660" s="52" t="s">
        <v>25</v>
      </c>
      <c r="F5660" s="52" t="s">
        <v>26</v>
      </c>
      <c r="G5660" s="53"/>
    </row>
    <row r="5661">
      <c r="A5661" s="49">
        <v>45080.62350047454</v>
      </c>
      <c r="B5661" s="50">
        <v>45080.7484773379</v>
      </c>
      <c r="C5661" s="51">
        <v>1.008</v>
      </c>
      <c r="D5661" s="51">
        <v>67.0</v>
      </c>
      <c r="E5661" s="52" t="s">
        <v>25</v>
      </c>
      <c r="F5661" s="52" t="s">
        <v>26</v>
      </c>
      <c r="G5661" s="53"/>
    </row>
    <row r="5662">
      <c r="A5662" s="49">
        <v>45080.63392572917</v>
      </c>
      <c r="B5662" s="50">
        <v>45080.7589003703</v>
      </c>
      <c r="C5662" s="51">
        <v>1.008</v>
      </c>
      <c r="D5662" s="51">
        <v>67.0</v>
      </c>
      <c r="E5662" s="52" t="s">
        <v>25</v>
      </c>
      <c r="F5662" s="52" t="s">
        <v>26</v>
      </c>
      <c r="G5662" s="53"/>
    </row>
    <row r="5663">
      <c r="A5663" s="49">
        <v>45080.644343078704</v>
      </c>
      <c r="B5663" s="50">
        <v>45080.7693207754</v>
      </c>
      <c r="C5663" s="51">
        <v>1.009</v>
      </c>
      <c r="D5663" s="51">
        <v>67.0</v>
      </c>
      <c r="E5663" s="52" t="s">
        <v>25</v>
      </c>
      <c r="F5663" s="52" t="s">
        <v>26</v>
      </c>
      <c r="G5663" s="53"/>
    </row>
    <row r="5664">
      <c r="A5664" s="49">
        <v>45080.6547668287</v>
      </c>
      <c r="B5664" s="50">
        <v>45080.7797432986</v>
      </c>
      <c r="C5664" s="51">
        <v>1.008</v>
      </c>
      <c r="D5664" s="51">
        <v>67.0</v>
      </c>
      <c r="E5664" s="52" t="s">
        <v>25</v>
      </c>
      <c r="F5664" s="52" t="s">
        <v>26</v>
      </c>
      <c r="G5664" s="53"/>
    </row>
    <row r="5665">
      <c r="A5665" s="49">
        <v>45080.6651849537</v>
      </c>
      <c r="B5665" s="50">
        <v>45080.7901642824</v>
      </c>
      <c r="C5665" s="51">
        <v>1.009</v>
      </c>
      <c r="D5665" s="51">
        <v>67.0</v>
      </c>
      <c r="E5665" s="52" t="s">
        <v>25</v>
      </c>
      <c r="F5665" s="52" t="s">
        <v>26</v>
      </c>
      <c r="G5665" s="53"/>
    </row>
    <row r="5666">
      <c r="A5666" s="49">
        <v>45080.675611099534</v>
      </c>
      <c r="B5666" s="50">
        <v>45080.8005836342</v>
      </c>
      <c r="C5666" s="51">
        <v>1.008</v>
      </c>
      <c r="D5666" s="51">
        <v>67.0</v>
      </c>
      <c r="E5666" s="52" t="s">
        <v>25</v>
      </c>
      <c r="F5666" s="52" t="s">
        <v>26</v>
      </c>
      <c r="G5666" s="53"/>
    </row>
    <row r="5667">
      <c r="A5667" s="49">
        <v>45080.686040995366</v>
      </c>
      <c r="B5667" s="50">
        <v>45080.8110166435</v>
      </c>
      <c r="C5667" s="51">
        <v>1.009</v>
      </c>
      <c r="D5667" s="51">
        <v>68.0</v>
      </c>
      <c r="E5667" s="52" t="s">
        <v>25</v>
      </c>
      <c r="F5667" s="52" t="s">
        <v>26</v>
      </c>
      <c r="G5667" s="53"/>
    </row>
    <row r="5668">
      <c r="A5668" s="49">
        <v>45080.696469814815</v>
      </c>
      <c r="B5668" s="50">
        <v>45080.8214389236</v>
      </c>
      <c r="C5668" s="51">
        <v>1.008</v>
      </c>
      <c r="D5668" s="51">
        <v>68.0</v>
      </c>
      <c r="E5668" s="52" t="s">
        <v>25</v>
      </c>
      <c r="F5668" s="52" t="s">
        <v>26</v>
      </c>
      <c r="G5668" s="53"/>
    </row>
    <row r="5669">
      <c r="A5669" s="49">
        <v>45080.706885277774</v>
      </c>
      <c r="B5669" s="50">
        <v>45080.8318602893</v>
      </c>
      <c r="C5669" s="51">
        <v>1.008</v>
      </c>
      <c r="D5669" s="51">
        <v>68.0</v>
      </c>
      <c r="E5669" s="52" t="s">
        <v>25</v>
      </c>
      <c r="F5669" s="52" t="s">
        <v>26</v>
      </c>
      <c r="G5669" s="53"/>
    </row>
    <row r="5670">
      <c r="A5670" s="49">
        <v>45080.71730939815</v>
      </c>
      <c r="B5670" s="50">
        <v>45080.8422819212</v>
      </c>
      <c r="C5670" s="51">
        <v>1.009</v>
      </c>
      <c r="D5670" s="51">
        <v>68.0</v>
      </c>
      <c r="E5670" s="52" t="s">
        <v>25</v>
      </c>
      <c r="F5670" s="52" t="s">
        <v>26</v>
      </c>
      <c r="G5670" s="53"/>
    </row>
    <row r="5671">
      <c r="A5671" s="49">
        <v>45080.727738622685</v>
      </c>
      <c r="B5671" s="50">
        <v>45080.8527149189</v>
      </c>
      <c r="C5671" s="51">
        <v>1.009</v>
      </c>
      <c r="D5671" s="51">
        <v>68.0</v>
      </c>
      <c r="E5671" s="52" t="s">
        <v>25</v>
      </c>
      <c r="F5671" s="52" t="s">
        <v>26</v>
      </c>
      <c r="G5671" s="53"/>
    </row>
    <row r="5672">
      <c r="A5672" s="49">
        <v>45080.738160567125</v>
      </c>
      <c r="B5672" s="50">
        <v>45080.8631355902</v>
      </c>
      <c r="C5672" s="51">
        <v>1.008</v>
      </c>
      <c r="D5672" s="51">
        <v>68.0</v>
      </c>
      <c r="E5672" s="52" t="s">
        <v>25</v>
      </c>
      <c r="F5672" s="52" t="s">
        <v>26</v>
      </c>
      <c r="G5672" s="53"/>
    </row>
    <row r="5673">
      <c r="A5673" s="49">
        <v>45080.74859611111</v>
      </c>
      <c r="B5673" s="50">
        <v>45080.8735683333</v>
      </c>
      <c r="C5673" s="51">
        <v>1.009</v>
      </c>
      <c r="D5673" s="51">
        <v>68.0</v>
      </c>
      <c r="E5673" s="52" t="s">
        <v>25</v>
      </c>
      <c r="F5673" s="52" t="s">
        <v>26</v>
      </c>
      <c r="G5673" s="53"/>
    </row>
    <row r="5674">
      <c r="A5674" s="49">
        <v>45080.759020196754</v>
      </c>
      <c r="B5674" s="50">
        <v>45080.8839892129</v>
      </c>
      <c r="C5674" s="51">
        <v>1.009</v>
      </c>
      <c r="D5674" s="51">
        <v>68.0</v>
      </c>
      <c r="E5674" s="52" t="s">
        <v>25</v>
      </c>
      <c r="F5674" s="52" t="s">
        <v>26</v>
      </c>
      <c r="G5674" s="53"/>
    </row>
    <row r="5675">
      <c r="A5675" s="49">
        <v>45080.76943133102</v>
      </c>
      <c r="B5675" s="50">
        <v>45080.8944107986</v>
      </c>
      <c r="C5675" s="51">
        <v>1.009</v>
      </c>
      <c r="D5675" s="51">
        <v>68.0</v>
      </c>
      <c r="E5675" s="52" t="s">
        <v>25</v>
      </c>
      <c r="F5675" s="52" t="s">
        <v>26</v>
      </c>
      <c r="G5675" s="53"/>
    </row>
    <row r="5676">
      <c r="A5676" s="49">
        <v>45080.77986576389</v>
      </c>
      <c r="B5676" s="50">
        <v>45080.9048311458</v>
      </c>
      <c r="C5676" s="51">
        <v>1.008</v>
      </c>
      <c r="D5676" s="51">
        <v>68.0</v>
      </c>
      <c r="E5676" s="52" t="s">
        <v>25</v>
      </c>
      <c r="F5676" s="52" t="s">
        <v>26</v>
      </c>
      <c r="G5676" s="53"/>
    </row>
    <row r="5677">
      <c r="A5677" s="49">
        <v>45080.79029510416</v>
      </c>
      <c r="B5677" s="50">
        <v>45080.9152509375</v>
      </c>
      <c r="C5677" s="51">
        <v>1.008</v>
      </c>
      <c r="D5677" s="51">
        <v>68.0</v>
      </c>
      <c r="E5677" s="52" t="s">
        <v>25</v>
      </c>
      <c r="F5677" s="52" t="s">
        <v>26</v>
      </c>
      <c r="G5677" s="53"/>
    </row>
    <row r="5678">
      <c r="A5678" s="49">
        <v>45080.80071091435</v>
      </c>
      <c r="B5678" s="50">
        <v>45080.9256741898</v>
      </c>
      <c r="C5678" s="51">
        <v>1.009</v>
      </c>
      <c r="D5678" s="51">
        <v>68.0</v>
      </c>
      <c r="E5678" s="52" t="s">
        <v>25</v>
      </c>
      <c r="F5678" s="52" t="s">
        <v>26</v>
      </c>
      <c r="G5678" s="53"/>
    </row>
    <row r="5679">
      <c r="A5679" s="49">
        <v>45080.81113768519</v>
      </c>
      <c r="B5679" s="50">
        <v>45080.9361074768</v>
      </c>
      <c r="C5679" s="51">
        <v>1.008</v>
      </c>
      <c r="D5679" s="51">
        <v>68.0</v>
      </c>
      <c r="E5679" s="52" t="s">
        <v>25</v>
      </c>
      <c r="F5679" s="52" t="s">
        <v>26</v>
      </c>
      <c r="G5679" s="53"/>
    </row>
    <row r="5680">
      <c r="A5680" s="49">
        <v>45080.821582268516</v>
      </c>
      <c r="B5680" s="50">
        <v>45080.9465274884</v>
      </c>
      <c r="C5680" s="51">
        <v>1.009</v>
      </c>
      <c r="D5680" s="51">
        <v>68.0</v>
      </c>
      <c r="E5680" s="52" t="s">
        <v>25</v>
      </c>
      <c r="F5680" s="52" t="s">
        <v>26</v>
      </c>
      <c r="G5680" s="53"/>
    </row>
    <row r="5681">
      <c r="A5681" s="49">
        <v>45080.83201248843</v>
      </c>
      <c r="B5681" s="50">
        <v>45080.9569485069</v>
      </c>
      <c r="C5681" s="51">
        <v>1.009</v>
      </c>
      <c r="D5681" s="51">
        <v>68.0</v>
      </c>
      <c r="E5681" s="52" t="s">
        <v>25</v>
      </c>
      <c r="F5681" s="52" t="s">
        <v>26</v>
      </c>
      <c r="G5681" s="53"/>
    </row>
    <row r="5682">
      <c r="A5682" s="49">
        <v>45080.842431122685</v>
      </c>
      <c r="B5682" s="50">
        <v>45080.967381875</v>
      </c>
      <c r="C5682" s="51">
        <v>1.009</v>
      </c>
      <c r="D5682" s="51">
        <v>68.0</v>
      </c>
      <c r="E5682" s="52" t="s">
        <v>25</v>
      </c>
      <c r="F5682" s="52" t="s">
        <v>26</v>
      </c>
      <c r="G5682" s="53"/>
    </row>
    <row r="5683">
      <c r="A5683" s="49">
        <v>45080.852842465276</v>
      </c>
      <c r="B5683" s="50">
        <v>45080.9778033333</v>
      </c>
      <c r="C5683" s="51">
        <v>1.008</v>
      </c>
      <c r="D5683" s="51">
        <v>68.0</v>
      </c>
      <c r="E5683" s="52" t="s">
        <v>25</v>
      </c>
      <c r="F5683" s="52" t="s">
        <v>26</v>
      </c>
      <c r="G5683" s="53"/>
    </row>
    <row r="5684">
      <c r="A5684" s="49">
        <v>45080.8632643287</v>
      </c>
      <c r="B5684" s="50">
        <v>45080.9882249074</v>
      </c>
      <c r="C5684" s="51">
        <v>1.008</v>
      </c>
      <c r="D5684" s="51">
        <v>68.0</v>
      </c>
      <c r="E5684" s="52" t="s">
        <v>25</v>
      </c>
      <c r="F5684" s="52" t="s">
        <v>26</v>
      </c>
      <c r="G5684" s="53"/>
    </row>
    <row r="5685">
      <c r="A5685" s="49">
        <v>45080.873688506945</v>
      </c>
      <c r="B5685" s="50">
        <v>45080.9986463888</v>
      </c>
      <c r="C5685" s="51">
        <v>1.008</v>
      </c>
      <c r="D5685" s="51">
        <v>68.0</v>
      </c>
      <c r="E5685" s="52" t="s">
        <v>25</v>
      </c>
      <c r="F5685" s="52" t="s">
        <v>26</v>
      </c>
      <c r="G5685" s="53"/>
    </row>
    <row r="5686">
      <c r="A5686" s="49">
        <v>45080.8841175</v>
      </c>
      <c r="B5686" s="50">
        <v>45081.0090693287</v>
      </c>
      <c r="C5686" s="51">
        <v>1.009</v>
      </c>
      <c r="D5686" s="51">
        <v>68.0</v>
      </c>
      <c r="E5686" s="52" t="s">
        <v>25</v>
      </c>
      <c r="F5686" s="52" t="s">
        <v>26</v>
      </c>
      <c r="G5686" s="53"/>
    </row>
    <row r="5687">
      <c r="A5687" s="49">
        <v>45080.89454403935</v>
      </c>
      <c r="B5687" s="50">
        <v>45081.0194902083</v>
      </c>
      <c r="C5687" s="51">
        <v>1.008</v>
      </c>
      <c r="D5687" s="51">
        <v>68.0</v>
      </c>
      <c r="E5687" s="52" t="s">
        <v>25</v>
      </c>
      <c r="F5687" s="52" t="s">
        <v>26</v>
      </c>
      <c r="G5687" s="53"/>
    </row>
    <row r="5688">
      <c r="A5688" s="49">
        <v>45080.90495986112</v>
      </c>
      <c r="B5688" s="50">
        <v>45081.0299126504</v>
      </c>
      <c r="C5688" s="51">
        <v>1.008</v>
      </c>
      <c r="D5688" s="51">
        <v>68.0</v>
      </c>
      <c r="E5688" s="52" t="s">
        <v>25</v>
      </c>
      <c r="F5688" s="52" t="s">
        <v>26</v>
      </c>
      <c r="G5688" s="53"/>
    </row>
    <row r="5689">
      <c r="A5689" s="49">
        <v>45080.91539009259</v>
      </c>
      <c r="B5689" s="50">
        <v>45081.040335</v>
      </c>
      <c r="C5689" s="51">
        <v>1.008</v>
      </c>
      <c r="D5689" s="51">
        <v>68.0</v>
      </c>
      <c r="E5689" s="52" t="s">
        <v>25</v>
      </c>
      <c r="F5689" s="52" t="s">
        <v>26</v>
      </c>
      <c r="G5689" s="53"/>
    </row>
    <row r="5690">
      <c r="A5690" s="49">
        <v>45080.92580483796</v>
      </c>
      <c r="B5690" s="50">
        <v>45081.0507563426</v>
      </c>
      <c r="C5690" s="51">
        <v>1.008</v>
      </c>
      <c r="D5690" s="51">
        <v>68.0</v>
      </c>
      <c r="E5690" s="52" t="s">
        <v>25</v>
      </c>
      <c r="F5690" s="52" t="s">
        <v>26</v>
      </c>
      <c r="G5690" s="53"/>
    </row>
    <row r="5691">
      <c r="A5691" s="49">
        <v>45080.93622549769</v>
      </c>
      <c r="B5691" s="50">
        <v>45081.0611781481</v>
      </c>
      <c r="C5691" s="51">
        <v>1.008</v>
      </c>
      <c r="D5691" s="51">
        <v>68.0</v>
      </c>
      <c r="E5691" s="52" t="s">
        <v>25</v>
      </c>
      <c r="F5691" s="52" t="s">
        <v>26</v>
      </c>
      <c r="G5691" s="53"/>
    </row>
    <row r="5692">
      <c r="A5692" s="49">
        <v>45080.94661810185</v>
      </c>
      <c r="B5692" s="50">
        <v>45081.071598287</v>
      </c>
      <c r="C5692" s="51">
        <v>1.009</v>
      </c>
      <c r="D5692" s="51">
        <v>68.0</v>
      </c>
      <c r="E5692" s="52" t="s">
        <v>25</v>
      </c>
      <c r="F5692" s="52" t="s">
        <v>26</v>
      </c>
      <c r="G5692" s="53"/>
    </row>
    <row r="5693">
      <c r="A5693" s="49">
        <v>45080.95709391204</v>
      </c>
      <c r="B5693" s="50">
        <v>45081.0820314467</v>
      </c>
      <c r="C5693" s="51">
        <v>1.009</v>
      </c>
      <c r="D5693" s="51">
        <v>68.0</v>
      </c>
      <c r="E5693" s="52" t="s">
        <v>25</v>
      </c>
      <c r="F5693" s="52" t="s">
        <v>26</v>
      </c>
      <c r="G5693" s="53"/>
    </row>
    <row r="5694">
      <c r="A5694" s="49">
        <v>45080.96752524306</v>
      </c>
      <c r="B5694" s="50">
        <v>45081.0924770601</v>
      </c>
      <c r="C5694" s="51">
        <v>1.009</v>
      </c>
      <c r="D5694" s="51">
        <v>68.0</v>
      </c>
      <c r="E5694" s="52" t="s">
        <v>25</v>
      </c>
      <c r="F5694" s="52" t="s">
        <v>26</v>
      </c>
      <c r="G5694" s="53"/>
    </row>
    <row r="5695">
      <c r="A5695" s="49">
        <v>45080.977944479164</v>
      </c>
      <c r="B5695" s="50">
        <v>45081.1028965277</v>
      </c>
      <c r="C5695" s="51">
        <v>1.008</v>
      </c>
      <c r="D5695" s="51">
        <v>68.0</v>
      </c>
      <c r="E5695" s="52" t="s">
        <v>25</v>
      </c>
      <c r="F5695" s="52" t="s">
        <v>26</v>
      </c>
      <c r="G5695" s="53"/>
    </row>
    <row r="5696">
      <c r="A5696" s="49">
        <v>45080.98836469908</v>
      </c>
      <c r="B5696" s="50">
        <v>45081.1133183217</v>
      </c>
      <c r="C5696" s="51">
        <v>1.008</v>
      </c>
      <c r="D5696" s="51">
        <v>68.0</v>
      </c>
      <c r="E5696" s="52" t="s">
        <v>25</v>
      </c>
      <c r="F5696" s="52" t="s">
        <v>26</v>
      </c>
      <c r="G5696" s="53"/>
    </row>
    <row r="5697">
      <c r="A5697" s="49">
        <v>45080.99880508102</v>
      </c>
      <c r="B5697" s="50">
        <v>45081.1237742708</v>
      </c>
      <c r="C5697" s="51">
        <v>1.008</v>
      </c>
      <c r="D5697" s="51">
        <v>68.0</v>
      </c>
      <c r="E5697" s="52" t="s">
        <v>25</v>
      </c>
      <c r="F5697" s="52" t="s">
        <v>26</v>
      </c>
      <c r="G5697" s="53"/>
    </row>
    <row r="5698">
      <c r="A5698" s="49">
        <v>45081.00922354167</v>
      </c>
      <c r="B5698" s="50">
        <v>45081.134197581</v>
      </c>
      <c r="C5698" s="51">
        <v>1.008</v>
      </c>
      <c r="D5698" s="51">
        <v>68.0</v>
      </c>
      <c r="E5698" s="52" t="s">
        <v>25</v>
      </c>
      <c r="F5698" s="52" t="s">
        <v>26</v>
      </c>
      <c r="G5698" s="53"/>
    </row>
    <row r="5699">
      <c r="A5699" s="49">
        <v>45081.01968699074</v>
      </c>
      <c r="B5699" s="50">
        <v>45081.144665405</v>
      </c>
      <c r="C5699" s="51">
        <v>1.008</v>
      </c>
      <c r="D5699" s="51">
        <v>68.0</v>
      </c>
      <c r="E5699" s="52" t="s">
        <v>25</v>
      </c>
      <c r="F5699" s="52" t="s">
        <v>26</v>
      </c>
      <c r="G5699" s="53"/>
    </row>
    <row r="5700">
      <c r="A5700" s="49">
        <v>45081.03011609954</v>
      </c>
      <c r="B5700" s="50">
        <v>45081.1550967245</v>
      </c>
      <c r="C5700" s="51">
        <v>1.009</v>
      </c>
      <c r="D5700" s="51">
        <v>68.0</v>
      </c>
      <c r="E5700" s="52" t="s">
        <v>25</v>
      </c>
      <c r="F5700" s="52" t="s">
        <v>26</v>
      </c>
      <c r="G5700" s="53"/>
    </row>
    <row r="5701">
      <c r="A5701" s="49">
        <v>45081.04055337963</v>
      </c>
      <c r="B5701" s="50">
        <v>45081.1655289814</v>
      </c>
      <c r="C5701" s="51">
        <v>1.008</v>
      </c>
      <c r="D5701" s="51">
        <v>68.0</v>
      </c>
      <c r="E5701" s="52" t="s">
        <v>25</v>
      </c>
      <c r="F5701" s="52" t="s">
        <v>26</v>
      </c>
      <c r="G5701" s="53"/>
    </row>
    <row r="5702">
      <c r="A5702" s="49">
        <v>45081.05097722222</v>
      </c>
      <c r="B5702" s="50">
        <v>45081.1759506481</v>
      </c>
      <c r="C5702" s="51">
        <v>1.008</v>
      </c>
      <c r="D5702" s="51">
        <v>68.0</v>
      </c>
      <c r="E5702" s="52" t="s">
        <v>25</v>
      </c>
      <c r="F5702" s="52" t="s">
        <v>26</v>
      </c>
      <c r="G5702" s="53"/>
    </row>
    <row r="5703">
      <c r="A5703" s="49">
        <v>45081.0613909838</v>
      </c>
      <c r="B5703" s="50">
        <v>45081.1863708796</v>
      </c>
      <c r="C5703" s="51">
        <v>1.008</v>
      </c>
      <c r="D5703" s="51">
        <v>68.0</v>
      </c>
      <c r="E5703" s="52" t="s">
        <v>25</v>
      </c>
      <c r="F5703" s="52" t="s">
        <v>26</v>
      </c>
      <c r="G5703" s="53"/>
    </row>
    <row r="5704">
      <c r="A5704" s="49">
        <v>45081.071832835645</v>
      </c>
      <c r="B5704" s="50">
        <v>45081.1968015277</v>
      </c>
      <c r="C5704" s="51">
        <v>1.009</v>
      </c>
      <c r="D5704" s="51">
        <v>68.0</v>
      </c>
      <c r="E5704" s="52" t="s">
        <v>25</v>
      </c>
      <c r="F5704" s="52" t="s">
        <v>26</v>
      </c>
      <c r="G5704" s="53"/>
    </row>
    <row r="5705">
      <c r="A5705" s="49">
        <v>45081.08227422454</v>
      </c>
      <c r="B5705" s="50">
        <v>45081.2072477777</v>
      </c>
      <c r="C5705" s="51">
        <v>1.008</v>
      </c>
      <c r="D5705" s="51">
        <v>68.0</v>
      </c>
      <c r="E5705" s="52" t="s">
        <v>25</v>
      </c>
      <c r="F5705" s="52" t="s">
        <v>26</v>
      </c>
      <c r="G5705" s="53"/>
    </row>
    <row r="5706">
      <c r="A5706" s="49">
        <v>45081.09269336806</v>
      </c>
      <c r="B5706" s="50">
        <v>45081.2176683333</v>
      </c>
      <c r="C5706" s="51">
        <v>1.008</v>
      </c>
      <c r="D5706" s="51">
        <v>68.0</v>
      </c>
      <c r="E5706" s="52" t="s">
        <v>25</v>
      </c>
      <c r="F5706" s="52" t="s">
        <v>26</v>
      </c>
      <c r="G5706" s="53"/>
    </row>
    <row r="5707">
      <c r="A5707" s="49">
        <v>45081.10312802083</v>
      </c>
      <c r="B5707" s="50">
        <v>45081.2281004861</v>
      </c>
      <c r="C5707" s="51">
        <v>1.008</v>
      </c>
      <c r="D5707" s="51">
        <v>68.0</v>
      </c>
      <c r="E5707" s="52" t="s">
        <v>25</v>
      </c>
      <c r="F5707" s="52" t="s">
        <v>26</v>
      </c>
      <c r="G5707" s="53"/>
    </row>
    <row r="5708">
      <c r="A5708" s="49">
        <v>45081.11353689815</v>
      </c>
      <c r="B5708" s="50">
        <v>45081.2385197106</v>
      </c>
      <c r="C5708" s="51">
        <v>1.008</v>
      </c>
      <c r="D5708" s="51">
        <v>68.0</v>
      </c>
      <c r="E5708" s="52" t="s">
        <v>25</v>
      </c>
      <c r="F5708" s="52" t="s">
        <v>26</v>
      </c>
      <c r="G5708" s="53"/>
    </row>
    <row r="5709">
      <c r="A5709" s="49">
        <v>45081.1239653588</v>
      </c>
      <c r="B5709" s="50">
        <v>45081.2489410416</v>
      </c>
      <c r="C5709" s="51">
        <v>1.008</v>
      </c>
      <c r="D5709" s="51">
        <v>68.0</v>
      </c>
      <c r="E5709" s="52" t="s">
        <v>25</v>
      </c>
      <c r="F5709" s="52" t="s">
        <v>26</v>
      </c>
      <c r="G5709" s="53"/>
    </row>
    <row r="5710">
      <c r="A5710" s="49">
        <v>45081.13438782407</v>
      </c>
      <c r="B5710" s="50">
        <v>45081.2593632639</v>
      </c>
      <c r="C5710" s="51">
        <v>1.008</v>
      </c>
      <c r="D5710" s="51">
        <v>68.0</v>
      </c>
      <c r="E5710" s="52" t="s">
        <v>25</v>
      </c>
      <c r="F5710" s="52" t="s">
        <v>26</v>
      </c>
      <c r="G5710" s="53"/>
    </row>
    <row r="5711">
      <c r="A5711" s="49">
        <v>45081.14480900463</v>
      </c>
      <c r="B5711" s="50">
        <v>45081.2697833217</v>
      </c>
      <c r="C5711" s="51">
        <v>1.009</v>
      </c>
      <c r="D5711" s="51">
        <v>68.0</v>
      </c>
      <c r="E5711" s="52" t="s">
        <v>25</v>
      </c>
      <c r="F5711" s="52" t="s">
        <v>26</v>
      </c>
      <c r="G5711" s="53"/>
    </row>
    <row r="5712">
      <c r="A5712" s="49">
        <v>45081.15522792824</v>
      </c>
      <c r="B5712" s="50">
        <v>45081.2802043055</v>
      </c>
      <c r="C5712" s="51">
        <v>1.008</v>
      </c>
      <c r="D5712" s="51">
        <v>68.0</v>
      </c>
      <c r="E5712" s="52" t="s">
        <v>25</v>
      </c>
      <c r="F5712" s="52" t="s">
        <v>26</v>
      </c>
      <c r="G5712" s="53"/>
    </row>
    <row r="5713">
      <c r="A5713" s="49">
        <v>45081.165644629626</v>
      </c>
      <c r="B5713" s="50">
        <v>45081.2906255902</v>
      </c>
      <c r="C5713" s="51">
        <v>1.008</v>
      </c>
      <c r="D5713" s="51">
        <v>68.0</v>
      </c>
      <c r="E5713" s="52" t="s">
        <v>25</v>
      </c>
      <c r="F5713" s="52" t="s">
        <v>26</v>
      </c>
      <c r="G5713" s="53"/>
    </row>
    <row r="5714">
      <c r="A5714" s="49">
        <v>45081.176074386574</v>
      </c>
      <c r="B5714" s="50">
        <v>45081.301047199</v>
      </c>
      <c r="C5714" s="51">
        <v>1.009</v>
      </c>
      <c r="D5714" s="51">
        <v>68.0</v>
      </c>
      <c r="E5714" s="52" t="s">
        <v>25</v>
      </c>
      <c r="F5714" s="52" t="s">
        <v>26</v>
      </c>
      <c r="G5714" s="53"/>
    </row>
    <row r="5715">
      <c r="A5715" s="49">
        <v>45081.18649587963</v>
      </c>
      <c r="B5715" s="50">
        <v>45081.3114668287</v>
      </c>
      <c r="C5715" s="51">
        <v>1.009</v>
      </c>
      <c r="D5715" s="51">
        <v>68.0</v>
      </c>
      <c r="E5715" s="52" t="s">
        <v>25</v>
      </c>
      <c r="F5715" s="52" t="s">
        <v>26</v>
      </c>
      <c r="G5715" s="53"/>
    </row>
    <row r="5716">
      <c r="A5716" s="49">
        <v>45081.19691126158</v>
      </c>
      <c r="B5716" s="50">
        <v>45081.3218868287</v>
      </c>
      <c r="C5716" s="51">
        <v>1.009</v>
      </c>
      <c r="D5716" s="51">
        <v>68.0</v>
      </c>
      <c r="E5716" s="52" t="s">
        <v>25</v>
      </c>
      <c r="F5716" s="52" t="s">
        <v>26</v>
      </c>
      <c r="G5716" s="53"/>
    </row>
    <row r="5717">
      <c r="A5717" s="49">
        <v>45081.207355729166</v>
      </c>
      <c r="B5717" s="50">
        <v>45081.3323307291</v>
      </c>
      <c r="C5717" s="51">
        <v>1.008</v>
      </c>
      <c r="D5717" s="51">
        <v>68.0</v>
      </c>
      <c r="E5717" s="52" t="s">
        <v>25</v>
      </c>
      <c r="F5717" s="52" t="s">
        <v>26</v>
      </c>
      <c r="G5717" s="53"/>
    </row>
    <row r="5718">
      <c r="A5718" s="49">
        <v>45081.21777</v>
      </c>
      <c r="B5718" s="50">
        <v>45081.3427504861</v>
      </c>
      <c r="C5718" s="51">
        <v>1.008</v>
      </c>
      <c r="D5718" s="51">
        <v>68.0</v>
      </c>
      <c r="E5718" s="52" t="s">
        <v>25</v>
      </c>
      <c r="F5718" s="52" t="s">
        <v>26</v>
      </c>
      <c r="G5718" s="53"/>
    </row>
    <row r="5719">
      <c r="A5719" s="49">
        <v>45081.22820225694</v>
      </c>
      <c r="B5719" s="50">
        <v>45081.3531715046</v>
      </c>
      <c r="C5719" s="51">
        <v>1.008</v>
      </c>
      <c r="D5719" s="51">
        <v>68.0</v>
      </c>
      <c r="E5719" s="52" t="s">
        <v>25</v>
      </c>
      <c r="F5719" s="52" t="s">
        <v>26</v>
      </c>
      <c r="G5719" s="53"/>
    </row>
    <row r="5720">
      <c r="A5720" s="49">
        <v>45081.23863234954</v>
      </c>
      <c r="B5720" s="50">
        <v>45081.363604618</v>
      </c>
      <c r="C5720" s="51">
        <v>1.008</v>
      </c>
      <c r="D5720" s="51">
        <v>68.0</v>
      </c>
      <c r="E5720" s="52" t="s">
        <v>25</v>
      </c>
      <c r="F5720" s="52" t="s">
        <v>26</v>
      </c>
      <c r="G5720" s="53"/>
    </row>
    <row r="5721">
      <c r="A5721" s="49">
        <v>45081.2490531713</v>
      </c>
      <c r="B5721" s="50">
        <v>45081.3740248842</v>
      </c>
      <c r="C5721" s="51">
        <v>1.008</v>
      </c>
      <c r="D5721" s="51">
        <v>68.0</v>
      </c>
      <c r="E5721" s="52" t="s">
        <v>25</v>
      </c>
      <c r="F5721" s="52" t="s">
        <v>26</v>
      </c>
      <c r="G5721" s="53"/>
    </row>
    <row r="5722">
      <c r="A5722" s="49">
        <v>45081.2595059375</v>
      </c>
      <c r="B5722" s="50">
        <v>45081.3844831713</v>
      </c>
      <c r="C5722" s="51">
        <v>1.009</v>
      </c>
      <c r="D5722" s="51">
        <v>68.0</v>
      </c>
      <c r="E5722" s="52" t="s">
        <v>25</v>
      </c>
      <c r="F5722" s="52" t="s">
        <v>26</v>
      </c>
      <c r="G5722" s="53"/>
    </row>
    <row r="5723">
      <c r="A5723" s="49">
        <v>45081.26993850694</v>
      </c>
      <c r="B5723" s="50">
        <v>45081.3949055555</v>
      </c>
      <c r="C5723" s="51">
        <v>1.008</v>
      </c>
      <c r="D5723" s="51">
        <v>68.0</v>
      </c>
      <c r="E5723" s="52" t="s">
        <v>25</v>
      </c>
      <c r="F5723" s="52" t="s">
        <v>26</v>
      </c>
      <c r="G5723" s="53"/>
    </row>
    <row r="5724">
      <c r="A5724" s="49">
        <v>45081.2803737963</v>
      </c>
      <c r="B5724" s="50">
        <v>45081.4053492708</v>
      </c>
      <c r="C5724" s="51">
        <v>1.008</v>
      </c>
      <c r="D5724" s="51">
        <v>68.0</v>
      </c>
      <c r="E5724" s="52" t="s">
        <v>25</v>
      </c>
      <c r="F5724" s="52" t="s">
        <v>26</v>
      </c>
      <c r="G5724" s="53"/>
    </row>
    <row r="5725">
      <c r="A5725" s="49">
        <v>45081.2907875463</v>
      </c>
      <c r="B5725" s="50">
        <v>45081.4157682175</v>
      </c>
      <c r="C5725" s="51">
        <v>1.008</v>
      </c>
      <c r="D5725" s="51">
        <v>68.0</v>
      </c>
      <c r="E5725" s="52" t="s">
        <v>25</v>
      </c>
      <c r="F5725" s="52" t="s">
        <v>26</v>
      </c>
      <c r="G5725" s="53"/>
    </row>
    <row r="5726">
      <c r="A5726" s="49">
        <v>45081.30121553241</v>
      </c>
      <c r="B5726" s="50">
        <v>45081.4261898495</v>
      </c>
      <c r="C5726" s="51">
        <v>1.008</v>
      </c>
      <c r="D5726" s="51">
        <v>68.0</v>
      </c>
      <c r="E5726" s="52" t="s">
        <v>25</v>
      </c>
      <c r="F5726" s="52" t="s">
        <v>26</v>
      </c>
      <c r="G5726" s="53"/>
    </row>
    <row r="5727">
      <c r="A5727" s="49">
        <v>45081.31163619213</v>
      </c>
      <c r="B5727" s="50">
        <v>45081.4366102777</v>
      </c>
      <c r="C5727" s="51">
        <v>1.008</v>
      </c>
      <c r="D5727" s="51">
        <v>68.0</v>
      </c>
      <c r="E5727" s="52" t="s">
        <v>25</v>
      </c>
      <c r="F5727" s="52" t="s">
        <v>26</v>
      </c>
      <c r="G5727" s="53"/>
    </row>
    <row r="5728">
      <c r="A5728" s="49">
        <v>45081.322075752316</v>
      </c>
      <c r="B5728" s="50">
        <v>45081.4470333217</v>
      </c>
      <c r="C5728" s="51">
        <v>1.008</v>
      </c>
      <c r="D5728" s="51">
        <v>68.0</v>
      </c>
      <c r="E5728" s="52" t="s">
        <v>25</v>
      </c>
      <c r="F5728" s="52" t="s">
        <v>26</v>
      </c>
      <c r="G5728" s="53"/>
    </row>
    <row r="5729">
      <c r="A5729" s="49">
        <v>45081.332492326386</v>
      </c>
      <c r="B5729" s="50">
        <v>45081.4574558333</v>
      </c>
      <c r="C5729" s="51">
        <v>1.008</v>
      </c>
      <c r="D5729" s="51">
        <v>68.0</v>
      </c>
      <c r="E5729" s="52" t="s">
        <v>25</v>
      </c>
      <c r="F5729" s="52" t="s">
        <v>26</v>
      </c>
      <c r="G5729" s="53"/>
    </row>
    <row r="5730">
      <c r="A5730" s="49">
        <v>45081.34292915509</v>
      </c>
      <c r="B5730" s="50">
        <v>45081.4678999537</v>
      </c>
      <c r="C5730" s="51">
        <v>1.008</v>
      </c>
      <c r="D5730" s="51">
        <v>68.0</v>
      </c>
      <c r="E5730" s="52" t="s">
        <v>25</v>
      </c>
      <c r="F5730" s="52" t="s">
        <v>26</v>
      </c>
      <c r="G5730" s="53"/>
    </row>
    <row r="5731">
      <c r="A5731" s="49">
        <v>45081.35339853009</v>
      </c>
      <c r="B5731" s="50">
        <v>45081.4783218865</v>
      </c>
      <c r="C5731" s="51">
        <v>1.008</v>
      </c>
      <c r="D5731" s="51">
        <v>68.0</v>
      </c>
      <c r="E5731" s="52" t="s">
        <v>25</v>
      </c>
      <c r="F5731" s="52" t="s">
        <v>26</v>
      </c>
      <c r="G5731" s="53"/>
    </row>
    <row r="5732">
      <c r="A5732" s="49">
        <v>45081.363780451386</v>
      </c>
      <c r="B5732" s="50">
        <v>45081.4887438541</v>
      </c>
      <c r="C5732" s="51">
        <v>1.008</v>
      </c>
      <c r="D5732" s="51">
        <v>68.0</v>
      </c>
      <c r="E5732" s="52" t="s">
        <v>25</v>
      </c>
      <c r="F5732" s="52" t="s">
        <v>26</v>
      </c>
      <c r="G5732" s="53"/>
    </row>
    <row r="5733">
      <c r="A5733" s="49">
        <v>45081.374195069446</v>
      </c>
      <c r="B5733" s="50">
        <v>45081.499165625</v>
      </c>
      <c r="C5733" s="51">
        <v>1.008</v>
      </c>
      <c r="D5733" s="51">
        <v>68.0</v>
      </c>
      <c r="E5733" s="52" t="s">
        <v>25</v>
      </c>
      <c r="F5733" s="52" t="s">
        <v>26</v>
      </c>
      <c r="G5733" s="53"/>
    </row>
    <row r="5734">
      <c r="A5734" s="49">
        <v>45081.38461934028</v>
      </c>
      <c r="B5734" s="50">
        <v>45081.5095877777</v>
      </c>
      <c r="C5734" s="51">
        <v>1.008</v>
      </c>
      <c r="D5734" s="51">
        <v>68.0</v>
      </c>
      <c r="E5734" s="52" t="s">
        <v>25</v>
      </c>
      <c r="F5734" s="52" t="s">
        <v>26</v>
      </c>
      <c r="G5734" s="53"/>
    </row>
    <row r="5735">
      <c r="A5735" s="49">
        <v>45081.395040891206</v>
      </c>
      <c r="B5735" s="50">
        <v>45081.5200080092</v>
      </c>
      <c r="C5735" s="51">
        <v>1.008</v>
      </c>
      <c r="D5735" s="51">
        <v>68.0</v>
      </c>
      <c r="E5735" s="52" t="s">
        <v>25</v>
      </c>
      <c r="F5735" s="52" t="s">
        <v>26</v>
      </c>
      <c r="G5735" s="53"/>
    </row>
    <row r="5736">
      <c r="A5736" s="49">
        <v>45081.40547728009</v>
      </c>
      <c r="B5736" s="50">
        <v>45081.5304297222</v>
      </c>
      <c r="C5736" s="51">
        <v>1.008</v>
      </c>
      <c r="D5736" s="51">
        <v>68.0</v>
      </c>
      <c r="E5736" s="52" t="s">
        <v>25</v>
      </c>
      <c r="F5736" s="52" t="s">
        <v>26</v>
      </c>
      <c r="G5736" s="53"/>
    </row>
    <row r="5737">
      <c r="A5737" s="49">
        <v>45081.415904733796</v>
      </c>
      <c r="B5737" s="50">
        <v>45081.5408510648</v>
      </c>
      <c r="C5737" s="51">
        <v>1.008</v>
      </c>
      <c r="D5737" s="51">
        <v>68.0</v>
      </c>
      <c r="E5737" s="52" t="s">
        <v>25</v>
      </c>
      <c r="F5737" s="52" t="s">
        <v>26</v>
      </c>
      <c r="G5737" s="53"/>
    </row>
    <row r="5738">
      <c r="A5738" s="49">
        <v>45081.426316296296</v>
      </c>
      <c r="B5738" s="50">
        <v>45081.5512723148</v>
      </c>
      <c r="C5738" s="51">
        <v>1.009</v>
      </c>
      <c r="D5738" s="51">
        <v>68.0</v>
      </c>
      <c r="E5738" s="52" t="s">
        <v>25</v>
      </c>
      <c r="F5738" s="52" t="s">
        <v>26</v>
      </c>
      <c r="G5738" s="53"/>
    </row>
    <row r="5739">
      <c r="A5739" s="49">
        <v>45081.436731319445</v>
      </c>
      <c r="B5739" s="50">
        <v>45081.5616943865</v>
      </c>
      <c r="C5739" s="51">
        <v>1.008</v>
      </c>
      <c r="D5739" s="51">
        <v>68.0</v>
      </c>
      <c r="E5739" s="52" t="s">
        <v>25</v>
      </c>
      <c r="F5739" s="52" t="s">
        <v>26</v>
      </c>
      <c r="G5739" s="53"/>
    </row>
    <row r="5740">
      <c r="A5740" s="49">
        <v>45081.44717270833</v>
      </c>
      <c r="B5740" s="50">
        <v>45081.572116331</v>
      </c>
      <c r="C5740" s="51">
        <v>1.009</v>
      </c>
      <c r="D5740" s="51">
        <v>68.0</v>
      </c>
      <c r="E5740" s="52" t="s">
        <v>25</v>
      </c>
      <c r="F5740" s="52" t="s">
        <v>26</v>
      </c>
      <c r="G5740" s="53"/>
    </row>
    <row r="5741">
      <c r="A5741" s="49">
        <v>45081.45758792824</v>
      </c>
      <c r="B5741" s="50">
        <v>45081.5825374074</v>
      </c>
      <c r="C5741" s="51">
        <v>1.008</v>
      </c>
      <c r="D5741" s="51">
        <v>68.0</v>
      </c>
      <c r="E5741" s="52" t="s">
        <v>25</v>
      </c>
      <c r="F5741" s="52" t="s">
        <v>26</v>
      </c>
      <c r="G5741" s="53"/>
    </row>
    <row r="5742">
      <c r="A5742" s="49">
        <v>45081.468017974534</v>
      </c>
      <c r="B5742" s="50">
        <v>45081.5929556365</v>
      </c>
      <c r="C5742" s="51">
        <v>1.008</v>
      </c>
      <c r="D5742" s="51">
        <v>68.0</v>
      </c>
      <c r="E5742" s="52" t="s">
        <v>25</v>
      </c>
      <c r="F5742" s="52" t="s">
        <v>26</v>
      </c>
      <c r="G5742" s="53"/>
    </row>
    <row r="5743">
      <c r="A5743" s="49">
        <v>45081.47843826389</v>
      </c>
      <c r="B5743" s="50">
        <v>45081.6033744213</v>
      </c>
      <c r="C5743" s="51">
        <v>1.008</v>
      </c>
      <c r="D5743" s="51">
        <v>68.0</v>
      </c>
      <c r="E5743" s="52" t="s">
        <v>25</v>
      </c>
      <c r="F5743" s="52" t="s">
        <v>26</v>
      </c>
      <c r="G5743" s="53"/>
    </row>
    <row r="5744">
      <c r="A5744" s="49">
        <v>45081.488873553244</v>
      </c>
      <c r="B5744" s="50">
        <v>45081.6138090277</v>
      </c>
      <c r="C5744" s="51">
        <v>1.008</v>
      </c>
      <c r="D5744" s="51">
        <v>68.0</v>
      </c>
      <c r="E5744" s="52" t="s">
        <v>25</v>
      </c>
      <c r="F5744" s="52" t="s">
        <v>26</v>
      </c>
      <c r="G5744" s="53"/>
    </row>
    <row r="5745">
      <c r="A5745" s="49">
        <v>45081.49929579861</v>
      </c>
      <c r="B5745" s="50">
        <v>45081.6242289814</v>
      </c>
      <c r="C5745" s="51">
        <v>1.008</v>
      </c>
      <c r="D5745" s="51">
        <v>68.0</v>
      </c>
      <c r="E5745" s="52" t="s">
        <v>25</v>
      </c>
      <c r="F5745" s="52" t="s">
        <v>26</v>
      </c>
      <c r="G5745" s="53"/>
    </row>
    <row r="5746">
      <c r="A5746" s="49">
        <v>45081.509668506944</v>
      </c>
      <c r="B5746" s="50">
        <v>45081.6346504513</v>
      </c>
      <c r="C5746" s="51">
        <v>1.008</v>
      </c>
      <c r="D5746" s="51">
        <v>68.0</v>
      </c>
      <c r="E5746" s="52" t="s">
        <v>25</v>
      </c>
      <c r="F5746" s="52" t="s">
        <v>26</v>
      </c>
      <c r="G5746" s="53"/>
    </row>
    <row r="5747">
      <c r="A5747" s="49">
        <v>45081.52014494213</v>
      </c>
      <c r="B5747" s="50">
        <v>45081.6450826504</v>
      </c>
      <c r="C5747" s="51">
        <v>1.008</v>
      </c>
      <c r="D5747" s="51">
        <v>68.0</v>
      </c>
      <c r="E5747" s="52" t="s">
        <v>25</v>
      </c>
      <c r="F5747" s="52" t="s">
        <v>26</v>
      </c>
      <c r="G5747" s="53"/>
    </row>
    <row r="5748">
      <c r="A5748" s="49">
        <v>45081.53058314815</v>
      </c>
      <c r="B5748" s="50">
        <v>45081.655503912</v>
      </c>
      <c r="C5748" s="51">
        <v>1.008</v>
      </c>
      <c r="D5748" s="51">
        <v>68.0</v>
      </c>
      <c r="E5748" s="52" t="s">
        <v>25</v>
      </c>
      <c r="F5748" s="52" t="s">
        <v>26</v>
      </c>
      <c r="G5748" s="53"/>
    </row>
    <row r="5749">
      <c r="A5749" s="49">
        <v>45081.54099518518</v>
      </c>
      <c r="B5749" s="50">
        <v>45081.665923993</v>
      </c>
      <c r="C5749" s="51">
        <v>1.008</v>
      </c>
      <c r="D5749" s="51">
        <v>68.0</v>
      </c>
      <c r="E5749" s="52" t="s">
        <v>25</v>
      </c>
      <c r="F5749" s="52" t="s">
        <v>26</v>
      </c>
      <c r="G5749" s="53"/>
    </row>
    <row r="5750">
      <c r="A5750" s="49">
        <v>45081.551369884255</v>
      </c>
      <c r="B5750" s="50">
        <v>45081.6763451388</v>
      </c>
      <c r="C5750" s="51">
        <v>1.008</v>
      </c>
      <c r="D5750" s="51">
        <v>68.0</v>
      </c>
      <c r="E5750" s="52" t="s">
        <v>25</v>
      </c>
      <c r="F5750" s="52" t="s">
        <v>26</v>
      </c>
      <c r="G5750" s="53"/>
    </row>
    <row r="5751">
      <c r="A5751" s="49">
        <v>45081.56185146991</v>
      </c>
      <c r="B5751" s="50">
        <v>45081.6867779166</v>
      </c>
      <c r="C5751" s="51">
        <v>1.008</v>
      </c>
      <c r="D5751" s="51">
        <v>68.0</v>
      </c>
      <c r="E5751" s="52" t="s">
        <v>25</v>
      </c>
      <c r="F5751" s="52" t="s">
        <v>26</v>
      </c>
      <c r="G5751" s="53"/>
    </row>
    <row r="5752">
      <c r="A5752" s="49">
        <v>45081.57227346065</v>
      </c>
      <c r="B5752" s="50">
        <v>45081.6971997338</v>
      </c>
      <c r="C5752" s="51">
        <v>1.008</v>
      </c>
      <c r="D5752" s="51">
        <v>68.0</v>
      </c>
      <c r="E5752" s="52" t="s">
        <v>25</v>
      </c>
      <c r="F5752" s="52" t="s">
        <v>26</v>
      </c>
      <c r="G5752" s="53"/>
    </row>
    <row r="5753">
      <c r="A5753" s="49">
        <v>45081.582692129625</v>
      </c>
      <c r="B5753" s="50">
        <v>45081.7076339351</v>
      </c>
      <c r="C5753" s="51">
        <v>1.008</v>
      </c>
      <c r="D5753" s="51">
        <v>68.0</v>
      </c>
      <c r="E5753" s="52" t="s">
        <v>25</v>
      </c>
      <c r="F5753" s="52" t="s">
        <v>26</v>
      </c>
      <c r="G5753" s="53"/>
    </row>
    <row r="5754">
      <c r="A5754" s="49">
        <v>45081.59311320602</v>
      </c>
      <c r="B5754" s="50">
        <v>45081.7180550347</v>
      </c>
      <c r="C5754" s="51">
        <v>1.008</v>
      </c>
      <c r="D5754" s="51">
        <v>68.0</v>
      </c>
      <c r="E5754" s="52" t="s">
        <v>25</v>
      </c>
      <c r="F5754" s="52" t="s">
        <v>26</v>
      </c>
      <c r="G5754" s="53"/>
    </row>
    <row r="5755">
      <c r="A5755" s="49">
        <v>45081.60353902778</v>
      </c>
      <c r="B5755" s="50">
        <v>45081.7284764004</v>
      </c>
      <c r="C5755" s="51">
        <v>1.008</v>
      </c>
      <c r="D5755" s="51">
        <v>68.0</v>
      </c>
      <c r="E5755" s="52" t="s">
        <v>25</v>
      </c>
      <c r="F5755" s="52" t="s">
        <v>26</v>
      </c>
      <c r="G5755" s="53"/>
    </row>
    <row r="5756">
      <c r="A5756" s="49">
        <v>45081.613947997685</v>
      </c>
      <c r="B5756" s="50">
        <v>45081.7388974768</v>
      </c>
      <c r="C5756" s="51">
        <v>1.008</v>
      </c>
      <c r="D5756" s="51">
        <v>68.0</v>
      </c>
      <c r="E5756" s="52" t="s">
        <v>25</v>
      </c>
      <c r="F5756" s="52" t="s">
        <v>26</v>
      </c>
      <c r="G5756" s="53"/>
    </row>
    <row r="5757">
      <c r="A5757" s="49">
        <v>45081.62437094907</v>
      </c>
      <c r="B5757" s="50">
        <v>45081.7493192939</v>
      </c>
      <c r="C5757" s="51">
        <v>1.009</v>
      </c>
      <c r="D5757" s="51">
        <v>68.0</v>
      </c>
      <c r="E5757" s="52" t="s">
        <v>25</v>
      </c>
      <c r="F5757" s="52" t="s">
        <v>26</v>
      </c>
      <c r="G5757" s="53"/>
    </row>
    <row r="5758">
      <c r="A5758" s="49">
        <v>45081.63480196759</v>
      </c>
      <c r="B5758" s="50">
        <v>45081.7597415277</v>
      </c>
      <c r="C5758" s="51">
        <v>1.008</v>
      </c>
      <c r="D5758" s="51">
        <v>68.0</v>
      </c>
      <c r="E5758" s="52" t="s">
        <v>25</v>
      </c>
      <c r="F5758" s="52" t="s">
        <v>26</v>
      </c>
      <c r="G5758" s="53"/>
    </row>
    <row r="5759">
      <c r="A5759" s="49">
        <v>45081.64521884259</v>
      </c>
      <c r="B5759" s="50">
        <v>45081.7701635416</v>
      </c>
      <c r="C5759" s="51">
        <v>1.008</v>
      </c>
      <c r="D5759" s="51">
        <v>68.0</v>
      </c>
      <c r="E5759" s="52" t="s">
        <v>25</v>
      </c>
      <c r="F5759" s="52" t="s">
        <v>26</v>
      </c>
      <c r="G5759" s="53"/>
    </row>
    <row r="5760">
      <c r="A5760" s="49">
        <v>45081.655637442134</v>
      </c>
      <c r="B5760" s="50">
        <v>45081.7805841666</v>
      </c>
      <c r="C5760" s="51">
        <v>1.008</v>
      </c>
      <c r="D5760" s="51">
        <v>68.0</v>
      </c>
      <c r="E5760" s="52" t="s">
        <v>25</v>
      </c>
      <c r="F5760" s="52" t="s">
        <v>26</v>
      </c>
      <c r="G5760" s="53"/>
    </row>
    <row r="5761">
      <c r="A5761" s="49">
        <v>45081.66606167824</v>
      </c>
      <c r="B5761" s="50">
        <v>45081.7910050463</v>
      </c>
      <c r="C5761" s="51">
        <v>1.008</v>
      </c>
      <c r="D5761" s="51">
        <v>68.0</v>
      </c>
      <c r="E5761" s="52" t="s">
        <v>25</v>
      </c>
      <c r="F5761" s="52" t="s">
        <v>26</v>
      </c>
      <c r="G5761" s="53"/>
    </row>
    <row r="5762">
      <c r="A5762" s="49">
        <v>45081.67649745371</v>
      </c>
      <c r="B5762" s="50">
        <v>45081.8014256481</v>
      </c>
      <c r="C5762" s="51">
        <v>1.008</v>
      </c>
      <c r="D5762" s="51">
        <v>68.0</v>
      </c>
      <c r="E5762" s="52" t="s">
        <v>25</v>
      </c>
      <c r="F5762" s="52" t="s">
        <v>26</v>
      </c>
      <c r="G5762" s="53"/>
    </row>
    <row r="5763">
      <c r="A5763" s="49">
        <v>45081.68687421296</v>
      </c>
      <c r="B5763" s="50">
        <v>45081.8118466551</v>
      </c>
      <c r="C5763" s="51">
        <v>1.008</v>
      </c>
      <c r="D5763" s="51">
        <v>68.0</v>
      </c>
      <c r="E5763" s="52" t="s">
        <v>25</v>
      </c>
      <c r="F5763" s="52" t="s">
        <v>26</v>
      </c>
      <c r="G5763" s="53"/>
    </row>
    <row r="5764">
      <c r="A5764" s="49">
        <v>45081.697297743056</v>
      </c>
      <c r="B5764" s="50">
        <v>45081.8222693518</v>
      </c>
      <c r="C5764" s="51">
        <v>1.008</v>
      </c>
      <c r="D5764" s="51">
        <v>68.0</v>
      </c>
      <c r="E5764" s="52" t="s">
        <v>25</v>
      </c>
      <c r="F5764" s="52" t="s">
        <v>26</v>
      </c>
      <c r="G5764" s="53"/>
    </row>
    <row r="5765">
      <c r="A5765" s="49">
        <v>45081.70771796296</v>
      </c>
      <c r="B5765" s="50">
        <v>45081.8326904051</v>
      </c>
      <c r="C5765" s="51">
        <v>1.008</v>
      </c>
      <c r="D5765" s="51">
        <v>68.0</v>
      </c>
      <c r="E5765" s="52" t="s">
        <v>25</v>
      </c>
      <c r="F5765" s="52" t="s">
        <v>26</v>
      </c>
      <c r="G5765" s="53"/>
    </row>
    <row r="5766">
      <c r="A5766" s="49">
        <v>45081.718199780094</v>
      </c>
      <c r="B5766" s="50">
        <v>45081.8431243171</v>
      </c>
      <c r="C5766" s="51">
        <v>1.008</v>
      </c>
      <c r="D5766" s="51">
        <v>68.0</v>
      </c>
      <c r="E5766" s="52" t="s">
        <v>25</v>
      </c>
      <c r="F5766" s="52" t="s">
        <v>26</v>
      </c>
      <c r="G5766" s="53"/>
    </row>
    <row r="5767">
      <c r="A5767" s="49">
        <v>45081.72856510417</v>
      </c>
      <c r="B5767" s="50">
        <v>45081.8535465162</v>
      </c>
      <c r="C5767" s="51">
        <v>1.008</v>
      </c>
      <c r="D5767" s="51">
        <v>68.0</v>
      </c>
      <c r="E5767" s="52" t="s">
        <v>25</v>
      </c>
      <c r="F5767" s="52" t="s">
        <v>26</v>
      </c>
      <c r="G5767" s="53"/>
    </row>
    <row r="5768">
      <c r="A5768" s="49">
        <v>45081.7390525463</v>
      </c>
      <c r="B5768" s="50">
        <v>45081.8639786574</v>
      </c>
      <c r="C5768" s="51">
        <v>1.008</v>
      </c>
      <c r="D5768" s="51">
        <v>68.0</v>
      </c>
      <c r="E5768" s="52" t="s">
        <v>25</v>
      </c>
      <c r="F5768" s="52" t="s">
        <v>26</v>
      </c>
      <c r="G5768" s="53"/>
    </row>
    <row r="5769">
      <c r="A5769" s="49">
        <v>45081.74946903935</v>
      </c>
      <c r="B5769" s="50">
        <v>45081.8743987384</v>
      </c>
      <c r="C5769" s="51">
        <v>1.008</v>
      </c>
      <c r="D5769" s="51">
        <v>68.0</v>
      </c>
      <c r="E5769" s="52" t="s">
        <v>25</v>
      </c>
      <c r="F5769" s="52" t="s">
        <v>26</v>
      </c>
      <c r="G5769" s="53"/>
    </row>
    <row r="5770">
      <c r="A5770" s="49">
        <v>45081.759840983796</v>
      </c>
      <c r="B5770" s="50">
        <v>45081.8848208564</v>
      </c>
      <c r="C5770" s="51">
        <v>1.008</v>
      </c>
      <c r="D5770" s="51">
        <v>68.0</v>
      </c>
      <c r="E5770" s="52" t="s">
        <v>25</v>
      </c>
      <c r="F5770" s="52" t="s">
        <v>26</v>
      </c>
      <c r="G5770" s="53"/>
    </row>
    <row r="5771">
      <c r="A5771" s="49">
        <v>45081.770318449075</v>
      </c>
      <c r="B5771" s="50">
        <v>45081.8952410763</v>
      </c>
      <c r="C5771" s="51">
        <v>1.008</v>
      </c>
      <c r="D5771" s="51">
        <v>68.0</v>
      </c>
      <c r="E5771" s="52" t="s">
        <v>25</v>
      </c>
      <c r="F5771" s="52" t="s">
        <v>26</v>
      </c>
      <c r="G5771" s="53"/>
    </row>
    <row r="5772">
      <c r="A5772" s="49">
        <v>45081.78068491898</v>
      </c>
      <c r="B5772" s="50">
        <v>45081.9056612847</v>
      </c>
      <c r="C5772" s="51">
        <v>1.008</v>
      </c>
      <c r="D5772" s="51">
        <v>68.0</v>
      </c>
      <c r="E5772" s="52" t="s">
        <v>25</v>
      </c>
      <c r="F5772" s="52" t="s">
        <v>26</v>
      </c>
      <c r="G5772" s="53"/>
    </row>
    <row r="5773">
      <c r="A5773" s="49">
        <v>45081.791101863426</v>
      </c>
      <c r="B5773" s="50">
        <v>45081.9160795023</v>
      </c>
      <c r="C5773" s="51">
        <v>1.008</v>
      </c>
      <c r="D5773" s="51">
        <v>68.0</v>
      </c>
      <c r="E5773" s="52" t="s">
        <v>25</v>
      </c>
      <c r="F5773" s="52" t="s">
        <v>26</v>
      </c>
      <c r="G5773" s="53"/>
    </row>
    <row r="5774">
      <c r="A5774" s="49">
        <v>45081.801521284724</v>
      </c>
      <c r="B5774" s="50">
        <v>45081.926500162</v>
      </c>
      <c r="C5774" s="51">
        <v>1.008</v>
      </c>
      <c r="D5774" s="51">
        <v>68.0</v>
      </c>
      <c r="E5774" s="52" t="s">
        <v>25</v>
      </c>
      <c r="F5774" s="52" t="s">
        <v>26</v>
      </c>
      <c r="G5774" s="53"/>
    </row>
    <row r="5775">
      <c r="A5775" s="49">
        <v>45081.81200934028</v>
      </c>
      <c r="B5775" s="50">
        <v>45081.936944155</v>
      </c>
      <c r="C5775" s="51">
        <v>1.008</v>
      </c>
      <c r="D5775" s="51">
        <v>68.0</v>
      </c>
      <c r="E5775" s="52" t="s">
        <v>25</v>
      </c>
      <c r="F5775" s="52" t="s">
        <v>26</v>
      </c>
      <c r="G5775" s="53"/>
    </row>
    <row r="5776">
      <c r="A5776" s="49">
        <v>45081.82243215278</v>
      </c>
      <c r="B5776" s="50">
        <v>45081.947367037</v>
      </c>
      <c r="C5776" s="51">
        <v>1.008</v>
      </c>
      <c r="D5776" s="51">
        <v>68.0</v>
      </c>
      <c r="E5776" s="52" t="s">
        <v>25</v>
      </c>
      <c r="F5776" s="52" t="s">
        <v>26</v>
      </c>
      <c r="G5776" s="53"/>
    </row>
    <row r="5777">
      <c r="A5777" s="49">
        <v>45081.832859155096</v>
      </c>
      <c r="B5777" s="50">
        <v>45081.9577888888</v>
      </c>
      <c r="C5777" s="51">
        <v>1.008</v>
      </c>
      <c r="D5777" s="51">
        <v>68.0</v>
      </c>
      <c r="E5777" s="52" t="s">
        <v>25</v>
      </c>
      <c r="F5777" s="52" t="s">
        <v>26</v>
      </c>
      <c r="G5777" s="53"/>
    </row>
    <row r="5778">
      <c r="A5778" s="49">
        <v>45081.84328083333</v>
      </c>
      <c r="B5778" s="50">
        <v>45081.9682223958</v>
      </c>
      <c r="C5778" s="51">
        <v>1.008</v>
      </c>
      <c r="D5778" s="51">
        <v>68.0</v>
      </c>
      <c r="E5778" s="52" t="s">
        <v>25</v>
      </c>
      <c r="F5778" s="52" t="s">
        <v>26</v>
      </c>
      <c r="G5778" s="53"/>
    </row>
    <row r="5779">
      <c r="A5779" s="49">
        <v>45081.85370122685</v>
      </c>
      <c r="B5779" s="50">
        <v>45081.9786453472</v>
      </c>
      <c r="C5779" s="51">
        <v>1.008</v>
      </c>
      <c r="D5779" s="51">
        <v>68.0</v>
      </c>
      <c r="E5779" s="52" t="s">
        <v>25</v>
      </c>
      <c r="F5779" s="52" t="s">
        <v>26</v>
      </c>
      <c r="G5779" s="53"/>
    </row>
    <row r="5780">
      <c r="A5780" s="49">
        <v>45081.86411568287</v>
      </c>
      <c r="B5780" s="50">
        <v>45081.9890656365</v>
      </c>
      <c r="C5780" s="51">
        <v>1.008</v>
      </c>
      <c r="D5780" s="51">
        <v>68.0</v>
      </c>
      <c r="E5780" s="52" t="s">
        <v>25</v>
      </c>
      <c r="F5780" s="52" t="s">
        <v>26</v>
      </c>
      <c r="G5780" s="53"/>
    </row>
    <row r="5781">
      <c r="A5781" s="49">
        <v>45081.87454787037</v>
      </c>
      <c r="B5781" s="50">
        <v>45081.9994853935</v>
      </c>
      <c r="C5781" s="51">
        <v>1.008</v>
      </c>
      <c r="D5781" s="51">
        <v>68.0</v>
      </c>
      <c r="E5781" s="52" t="s">
        <v>25</v>
      </c>
      <c r="F5781" s="52" t="s">
        <v>26</v>
      </c>
      <c r="G5781" s="53"/>
    </row>
    <row r="5782">
      <c r="A5782" s="49">
        <v>45081.88493579861</v>
      </c>
      <c r="B5782" s="50">
        <v>45082.0099065046</v>
      </c>
      <c r="C5782" s="51">
        <v>1.008</v>
      </c>
      <c r="D5782" s="51">
        <v>68.0</v>
      </c>
      <c r="E5782" s="52" t="s">
        <v>25</v>
      </c>
      <c r="F5782" s="52" t="s">
        <v>26</v>
      </c>
      <c r="G5782" s="53"/>
    </row>
    <row r="5783">
      <c r="A5783" s="49">
        <v>45081.89535491898</v>
      </c>
      <c r="B5783" s="50">
        <v>45082.020327199</v>
      </c>
      <c r="C5783" s="51">
        <v>1.008</v>
      </c>
      <c r="D5783" s="51">
        <v>68.0</v>
      </c>
      <c r="E5783" s="52" t="s">
        <v>25</v>
      </c>
      <c r="F5783" s="52" t="s">
        <v>26</v>
      </c>
      <c r="G5783" s="53"/>
    </row>
    <row r="5784">
      <c r="A5784" s="49">
        <v>45081.905847800925</v>
      </c>
      <c r="B5784" s="50">
        <v>45082.0307590972</v>
      </c>
      <c r="C5784" s="51">
        <v>1.008</v>
      </c>
      <c r="D5784" s="51">
        <v>68.0</v>
      </c>
      <c r="E5784" s="52" t="s">
        <v>25</v>
      </c>
      <c r="F5784" s="52" t="s">
        <v>26</v>
      </c>
      <c r="G5784" s="53"/>
    </row>
    <row r="5785">
      <c r="A5785" s="49">
        <v>45081.91620577546</v>
      </c>
      <c r="B5785" s="50">
        <v>45082.0411796643</v>
      </c>
      <c r="C5785" s="51">
        <v>1.008</v>
      </c>
      <c r="D5785" s="51">
        <v>68.0</v>
      </c>
      <c r="E5785" s="52" t="s">
        <v>25</v>
      </c>
      <c r="F5785" s="52" t="s">
        <v>26</v>
      </c>
      <c r="G5785" s="53"/>
    </row>
    <row r="5786">
      <c r="A5786" s="49">
        <v>45081.9266240162</v>
      </c>
      <c r="B5786" s="50">
        <v>45082.051602199</v>
      </c>
      <c r="C5786" s="51">
        <v>1.008</v>
      </c>
      <c r="D5786" s="51">
        <v>68.0</v>
      </c>
      <c r="E5786" s="52" t="s">
        <v>25</v>
      </c>
      <c r="F5786" s="52" t="s">
        <v>26</v>
      </c>
      <c r="G5786" s="53"/>
    </row>
    <row r="5787">
      <c r="A5787" s="49">
        <v>45081.9370494676</v>
      </c>
      <c r="B5787" s="50">
        <v>45082.0620230439</v>
      </c>
      <c r="C5787" s="51">
        <v>1.008</v>
      </c>
      <c r="D5787" s="51">
        <v>68.0</v>
      </c>
      <c r="E5787" s="52" t="s">
        <v>25</v>
      </c>
      <c r="F5787" s="52" t="s">
        <v>26</v>
      </c>
      <c r="G5787" s="53"/>
    </row>
    <row r="5788">
      <c r="A5788" s="49">
        <v>45081.947478912036</v>
      </c>
      <c r="B5788" s="50">
        <v>45082.0724556018</v>
      </c>
      <c r="C5788" s="51">
        <v>1.008</v>
      </c>
      <c r="D5788" s="51">
        <v>68.0</v>
      </c>
      <c r="E5788" s="52" t="s">
        <v>25</v>
      </c>
      <c r="F5788" s="52" t="s">
        <v>26</v>
      </c>
      <c r="G5788" s="53"/>
    </row>
    <row r="5789">
      <c r="A5789" s="49">
        <v>45081.95799802084</v>
      </c>
      <c r="B5789" s="50">
        <v>45082.0828993981</v>
      </c>
      <c r="C5789" s="51">
        <v>1.008</v>
      </c>
      <c r="D5789" s="51">
        <v>68.0</v>
      </c>
      <c r="E5789" s="52" t="s">
        <v>25</v>
      </c>
      <c r="F5789" s="52" t="s">
        <v>26</v>
      </c>
      <c r="G5789" s="53"/>
    </row>
    <row r="5790">
      <c r="A5790" s="49">
        <v>45081.968388124995</v>
      </c>
      <c r="B5790" s="50">
        <v>45082.0933207638</v>
      </c>
      <c r="C5790" s="51">
        <v>1.008</v>
      </c>
      <c r="D5790" s="51">
        <v>68.0</v>
      </c>
      <c r="E5790" s="52" t="s">
        <v>25</v>
      </c>
      <c r="F5790" s="52" t="s">
        <v>26</v>
      </c>
      <c r="G5790" s="53"/>
    </row>
    <row r="5791">
      <c r="A5791" s="49">
        <v>45081.97881332176</v>
      </c>
      <c r="B5791" s="50">
        <v>45082.1037391898</v>
      </c>
      <c r="C5791" s="51">
        <v>1.008</v>
      </c>
      <c r="D5791" s="51">
        <v>68.0</v>
      </c>
      <c r="E5791" s="52" t="s">
        <v>25</v>
      </c>
      <c r="F5791" s="52" t="s">
        <v>26</v>
      </c>
      <c r="G5791" s="53"/>
    </row>
    <row r="5792">
      <c r="A5792" s="49">
        <v>45081.989242766205</v>
      </c>
      <c r="B5792" s="50">
        <v>45082.1141825347</v>
      </c>
      <c r="C5792" s="51">
        <v>1.008</v>
      </c>
      <c r="D5792" s="51">
        <v>68.0</v>
      </c>
      <c r="E5792" s="52" t="s">
        <v>25</v>
      </c>
      <c r="F5792" s="52" t="s">
        <v>26</v>
      </c>
      <c r="G5792" s="53"/>
    </row>
    <row r="5793">
      <c r="A5793" s="49">
        <v>45081.99966085648</v>
      </c>
      <c r="B5793" s="50">
        <v>45082.1246030671</v>
      </c>
      <c r="C5793" s="51">
        <v>1.008</v>
      </c>
      <c r="D5793" s="51">
        <v>68.0</v>
      </c>
      <c r="E5793" s="52" t="s">
        <v>25</v>
      </c>
      <c r="F5793" s="52" t="s">
        <v>26</v>
      </c>
      <c r="G5793" s="53"/>
    </row>
    <row r="5794">
      <c r="A5794" s="49">
        <v>45082.010153298615</v>
      </c>
      <c r="B5794" s="50">
        <v>45082.1350249189</v>
      </c>
      <c r="C5794" s="51">
        <v>1.008</v>
      </c>
      <c r="D5794" s="51">
        <v>68.0</v>
      </c>
      <c r="E5794" s="52" t="s">
        <v>25</v>
      </c>
      <c r="F5794" s="52" t="s">
        <v>26</v>
      </c>
      <c r="G5794" s="53"/>
    </row>
    <row r="5795">
      <c r="A5795" s="49">
        <v>45082.020502175925</v>
      </c>
      <c r="B5795" s="50">
        <v>45082.1454590277</v>
      </c>
      <c r="C5795" s="51">
        <v>1.008</v>
      </c>
      <c r="D5795" s="51">
        <v>68.0</v>
      </c>
      <c r="E5795" s="52" t="s">
        <v>25</v>
      </c>
      <c r="F5795" s="52" t="s">
        <v>26</v>
      </c>
      <c r="G5795" s="53"/>
    </row>
    <row r="5796">
      <c r="A5796" s="49">
        <v>45082.03093453703</v>
      </c>
      <c r="B5796" s="50">
        <v>45082.1558798263</v>
      </c>
      <c r="C5796" s="51">
        <v>1.008</v>
      </c>
      <c r="D5796" s="51">
        <v>68.0</v>
      </c>
      <c r="E5796" s="52" t="s">
        <v>25</v>
      </c>
      <c r="F5796" s="52" t="s">
        <v>26</v>
      </c>
      <c r="G5796" s="53"/>
    </row>
    <row r="5797">
      <c r="A5797" s="49">
        <v>45082.04137349537</v>
      </c>
      <c r="B5797" s="50">
        <v>45082.1663002546</v>
      </c>
      <c r="C5797" s="51">
        <v>1.008</v>
      </c>
      <c r="D5797" s="51">
        <v>68.0</v>
      </c>
      <c r="E5797" s="52" t="s">
        <v>25</v>
      </c>
      <c r="F5797" s="52" t="s">
        <v>26</v>
      </c>
      <c r="G5797" s="53"/>
    </row>
    <row r="5798">
      <c r="A5798" s="49">
        <v>45082.051746006946</v>
      </c>
      <c r="B5798" s="50">
        <v>45082.176720405</v>
      </c>
      <c r="C5798" s="51">
        <v>1.008</v>
      </c>
      <c r="D5798" s="51">
        <v>68.0</v>
      </c>
      <c r="E5798" s="52" t="s">
        <v>25</v>
      </c>
      <c r="F5798" s="52" t="s">
        <v>26</v>
      </c>
      <c r="G5798" s="53"/>
    </row>
    <row r="5799">
      <c r="A5799" s="49">
        <v>45082.0621647338</v>
      </c>
      <c r="B5799" s="50">
        <v>45082.1871397453</v>
      </c>
      <c r="C5799" s="51">
        <v>1.008</v>
      </c>
      <c r="D5799" s="51">
        <v>68.0</v>
      </c>
      <c r="E5799" s="52" t="s">
        <v>25</v>
      </c>
      <c r="F5799" s="52" t="s">
        <v>26</v>
      </c>
      <c r="G5799" s="53"/>
    </row>
    <row r="5800">
      <c r="A5800" s="49">
        <v>45082.072640729166</v>
      </c>
      <c r="B5800" s="50">
        <v>45082.1975726736</v>
      </c>
      <c r="C5800" s="51">
        <v>1.008</v>
      </c>
      <c r="D5800" s="51">
        <v>68.0</v>
      </c>
      <c r="E5800" s="52" t="s">
        <v>25</v>
      </c>
      <c r="F5800" s="52" t="s">
        <v>26</v>
      </c>
      <c r="G5800" s="53"/>
    </row>
    <row r="5801">
      <c r="A5801" s="49">
        <v>45082.08306665509</v>
      </c>
      <c r="B5801" s="50">
        <v>45082.2079923726</v>
      </c>
      <c r="C5801" s="51">
        <v>1.008</v>
      </c>
      <c r="D5801" s="51">
        <v>68.0</v>
      </c>
      <c r="E5801" s="52" t="s">
        <v>25</v>
      </c>
      <c r="F5801" s="52" t="s">
        <v>26</v>
      </c>
      <c r="G5801" s="53"/>
    </row>
    <row r="5802">
      <c r="A5802" s="49">
        <v>45082.09348922454</v>
      </c>
      <c r="B5802" s="50">
        <v>45082.2184241782</v>
      </c>
      <c r="C5802" s="51">
        <v>1.008</v>
      </c>
      <c r="D5802" s="51">
        <v>68.0</v>
      </c>
      <c r="E5802" s="52" t="s">
        <v>25</v>
      </c>
      <c r="F5802" s="52" t="s">
        <v>26</v>
      </c>
      <c r="G5802" s="53"/>
    </row>
    <row r="5803">
      <c r="A5803" s="49">
        <v>45082.10389994213</v>
      </c>
      <c r="B5803" s="50">
        <v>45082.2288453125</v>
      </c>
      <c r="C5803" s="51">
        <v>1.008</v>
      </c>
      <c r="D5803" s="51">
        <v>68.0</v>
      </c>
      <c r="E5803" s="52" t="s">
        <v>25</v>
      </c>
      <c r="F5803" s="52" t="s">
        <v>26</v>
      </c>
      <c r="G5803" s="53"/>
    </row>
    <row r="5804">
      <c r="A5804" s="49">
        <v>45082.11434104167</v>
      </c>
      <c r="B5804" s="50">
        <v>45082.2392667824</v>
      </c>
      <c r="C5804" s="51">
        <v>1.008</v>
      </c>
      <c r="D5804" s="51">
        <v>68.0</v>
      </c>
      <c r="E5804" s="52" t="s">
        <v>25</v>
      </c>
      <c r="F5804" s="52" t="s">
        <v>26</v>
      </c>
      <c r="G5804" s="53"/>
    </row>
    <row r="5805">
      <c r="A5805" s="49">
        <v>45082.1247750926</v>
      </c>
      <c r="B5805" s="50">
        <v>45082.2496892129</v>
      </c>
      <c r="C5805" s="51">
        <v>1.008</v>
      </c>
      <c r="D5805" s="51">
        <v>68.0</v>
      </c>
      <c r="E5805" s="52" t="s">
        <v>25</v>
      </c>
      <c r="F5805" s="52" t="s">
        <v>26</v>
      </c>
      <c r="G5805" s="53"/>
    </row>
    <row r="5806">
      <c r="A5806" s="49">
        <v>45082.13517981481</v>
      </c>
      <c r="B5806" s="50">
        <v>45082.2601211458</v>
      </c>
      <c r="C5806" s="51">
        <v>1.008</v>
      </c>
      <c r="D5806" s="51">
        <v>68.0</v>
      </c>
      <c r="E5806" s="52" t="s">
        <v>25</v>
      </c>
      <c r="F5806" s="52" t="s">
        <v>26</v>
      </c>
      <c r="G5806" s="53"/>
    </row>
    <row r="5807">
      <c r="A5807" s="49">
        <v>45082.14561521991</v>
      </c>
      <c r="B5807" s="50">
        <v>45082.2705433217</v>
      </c>
      <c r="C5807" s="51">
        <v>1.008</v>
      </c>
      <c r="D5807" s="51">
        <v>68.0</v>
      </c>
      <c r="E5807" s="52" t="s">
        <v>25</v>
      </c>
      <c r="F5807" s="52" t="s">
        <v>26</v>
      </c>
      <c r="G5807" s="53"/>
    </row>
    <row r="5808">
      <c r="A5808" s="49">
        <v>45082.15603925926</v>
      </c>
      <c r="B5808" s="50">
        <v>45082.2809626851</v>
      </c>
      <c r="C5808" s="51">
        <v>1.008</v>
      </c>
      <c r="D5808" s="51">
        <v>68.0</v>
      </c>
      <c r="E5808" s="52" t="s">
        <v>25</v>
      </c>
      <c r="F5808" s="52" t="s">
        <v>26</v>
      </c>
      <c r="G5808" s="53"/>
    </row>
    <row r="5809">
      <c r="A5809" s="49">
        <v>45082.166463182875</v>
      </c>
      <c r="B5809" s="50">
        <v>45082.2913956828</v>
      </c>
      <c r="C5809" s="51">
        <v>1.008</v>
      </c>
      <c r="D5809" s="51">
        <v>68.0</v>
      </c>
      <c r="E5809" s="52" t="s">
        <v>25</v>
      </c>
      <c r="F5809" s="52" t="s">
        <v>26</v>
      </c>
      <c r="G5809" s="53"/>
    </row>
    <row r="5810">
      <c r="A5810" s="49">
        <v>45082.17689337963</v>
      </c>
      <c r="B5810" s="50">
        <v>45082.3018173958</v>
      </c>
      <c r="C5810" s="51">
        <v>1.008</v>
      </c>
      <c r="D5810" s="51">
        <v>68.0</v>
      </c>
      <c r="E5810" s="52" t="s">
        <v>25</v>
      </c>
      <c r="F5810" s="52" t="s">
        <v>26</v>
      </c>
      <c r="G5810" s="53"/>
    </row>
    <row r="5811">
      <c r="A5811" s="49">
        <v>45082.18731511574</v>
      </c>
      <c r="B5811" s="50">
        <v>45082.3122500231</v>
      </c>
      <c r="C5811" s="51">
        <v>1.008</v>
      </c>
      <c r="D5811" s="51">
        <v>68.0</v>
      </c>
      <c r="E5811" s="52" t="s">
        <v>25</v>
      </c>
      <c r="F5811" s="52" t="s">
        <v>26</v>
      </c>
      <c r="G5811" s="53"/>
    </row>
    <row r="5812">
      <c r="A5812" s="49">
        <v>45082.1977319213</v>
      </c>
      <c r="B5812" s="50">
        <v>45082.3226706018</v>
      </c>
      <c r="C5812" s="51">
        <v>1.008</v>
      </c>
      <c r="D5812" s="51">
        <v>68.0</v>
      </c>
      <c r="E5812" s="52" t="s">
        <v>25</v>
      </c>
      <c r="F5812" s="52" t="s">
        <v>26</v>
      </c>
      <c r="G5812" s="53"/>
    </row>
    <row r="5813">
      <c r="A5813" s="49">
        <v>45082.20821060185</v>
      </c>
      <c r="B5813" s="50">
        <v>45082.3331032986</v>
      </c>
      <c r="C5813" s="51">
        <v>1.008</v>
      </c>
      <c r="D5813" s="51">
        <v>68.0</v>
      </c>
      <c r="E5813" s="52" t="s">
        <v>25</v>
      </c>
      <c r="F5813" s="52" t="s">
        <v>26</v>
      </c>
      <c r="G5813" s="53"/>
    </row>
    <row r="5814">
      <c r="A5814" s="49">
        <v>45082.21854428241</v>
      </c>
      <c r="B5814" s="50">
        <v>45082.3435245833</v>
      </c>
      <c r="C5814" s="51">
        <v>1.008</v>
      </c>
      <c r="D5814" s="51">
        <v>68.0</v>
      </c>
      <c r="E5814" s="52" t="s">
        <v>25</v>
      </c>
      <c r="F5814" s="52" t="s">
        <v>26</v>
      </c>
      <c r="G5814" s="53"/>
    </row>
    <row r="5815">
      <c r="A5815" s="49">
        <v>45082.228978240746</v>
      </c>
      <c r="B5815" s="50">
        <v>45082.3539479629</v>
      </c>
      <c r="C5815" s="51">
        <v>1.008</v>
      </c>
      <c r="D5815" s="51">
        <v>68.0</v>
      </c>
      <c r="E5815" s="52" t="s">
        <v>25</v>
      </c>
      <c r="F5815" s="52" t="s">
        <v>26</v>
      </c>
      <c r="G5815" s="53"/>
    </row>
    <row r="5816">
      <c r="A5816" s="49">
        <v>45082.23938863426</v>
      </c>
      <c r="B5816" s="50">
        <v>45082.3643681944</v>
      </c>
      <c r="C5816" s="51">
        <v>1.008</v>
      </c>
      <c r="D5816" s="51">
        <v>68.0</v>
      </c>
      <c r="E5816" s="52" t="s">
        <v>25</v>
      </c>
      <c r="F5816" s="52" t="s">
        <v>26</v>
      </c>
      <c r="G5816" s="53"/>
    </row>
    <row r="5817">
      <c r="A5817" s="49">
        <v>45082.24981173611</v>
      </c>
      <c r="B5817" s="50">
        <v>45082.3747897106</v>
      </c>
      <c r="C5817" s="51">
        <v>1.008</v>
      </c>
      <c r="D5817" s="51">
        <v>68.0</v>
      </c>
      <c r="E5817" s="52" t="s">
        <v>25</v>
      </c>
      <c r="F5817" s="52" t="s">
        <v>26</v>
      </c>
      <c r="G5817" s="53"/>
    </row>
    <row r="5818">
      <c r="A5818" s="49">
        <v>45082.260240787036</v>
      </c>
      <c r="B5818" s="50">
        <v>45082.3852216319</v>
      </c>
      <c r="C5818" s="51">
        <v>1.008</v>
      </c>
      <c r="D5818" s="51">
        <v>68.0</v>
      </c>
      <c r="E5818" s="52" t="s">
        <v>25</v>
      </c>
      <c r="F5818" s="52" t="s">
        <v>26</v>
      </c>
      <c r="G5818" s="53"/>
    </row>
    <row r="5819">
      <c r="A5819" s="49">
        <v>45082.270689490746</v>
      </c>
      <c r="B5819" s="50">
        <v>45082.3956533912</v>
      </c>
      <c r="C5819" s="51">
        <v>1.008</v>
      </c>
      <c r="D5819" s="51">
        <v>68.0</v>
      </c>
      <c r="E5819" s="52" t="s">
        <v>25</v>
      </c>
      <c r="F5819" s="52" t="s">
        <v>26</v>
      </c>
      <c r="G5819" s="53"/>
    </row>
    <row r="5820">
      <c r="A5820" s="49">
        <v>45082.28111299768</v>
      </c>
      <c r="B5820" s="50">
        <v>45082.4060858101</v>
      </c>
      <c r="C5820" s="51">
        <v>1.008</v>
      </c>
      <c r="D5820" s="51">
        <v>68.0</v>
      </c>
      <c r="E5820" s="52" t="s">
        <v>25</v>
      </c>
      <c r="F5820" s="52" t="s">
        <v>26</v>
      </c>
      <c r="G5820" s="53"/>
    </row>
    <row r="5821">
      <c r="A5821" s="49">
        <v>45082.29153032407</v>
      </c>
      <c r="B5821" s="50">
        <v>45082.4165058449</v>
      </c>
      <c r="C5821" s="51">
        <v>1.008</v>
      </c>
      <c r="D5821" s="51">
        <v>68.0</v>
      </c>
      <c r="E5821" s="52" t="s">
        <v>25</v>
      </c>
      <c r="F5821" s="52" t="s">
        <v>26</v>
      </c>
      <c r="G5821" s="53"/>
    </row>
    <row r="5822">
      <c r="A5822" s="49">
        <v>45082.30195386574</v>
      </c>
      <c r="B5822" s="50">
        <v>45082.4269260648</v>
      </c>
      <c r="C5822" s="51">
        <v>1.008</v>
      </c>
      <c r="D5822" s="51">
        <v>68.0</v>
      </c>
      <c r="E5822" s="52" t="s">
        <v>25</v>
      </c>
      <c r="F5822" s="52" t="s">
        <v>26</v>
      </c>
      <c r="G5822" s="53"/>
    </row>
    <row r="5823">
      <c r="A5823" s="49">
        <v>45082.312372430555</v>
      </c>
      <c r="B5823" s="50">
        <v>45082.437348206</v>
      </c>
      <c r="C5823" s="51">
        <v>1.008</v>
      </c>
      <c r="D5823" s="51">
        <v>68.0</v>
      </c>
      <c r="E5823" s="52" t="s">
        <v>25</v>
      </c>
      <c r="F5823" s="52" t="s">
        <v>26</v>
      </c>
      <c r="G5823" s="53"/>
    </row>
    <row r="5824">
      <c r="A5824" s="49">
        <v>45082.322801284725</v>
      </c>
      <c r="B5824" s="50">
        <v>45082.4477686111</v>
      </c>
      <c r="C5824" s="51">
        <v>1.008</v>
      </c>
      <c r="D5824" s="51">
        <v>68.0</v>
      </c>
      <c r="E5824" s="52" t="s">
        <v>25</v>
      </c>
      <c r="F5824" s="52" t="s">
        <v>26</v>
      </c>
      <c r="G5824" s="53"/>
    </row>
    <row r="5825">
      <c r="A5825" s="49">
        <v>45082.333223865746</v>
      </c>
      <c r="B5825" s="50">
        <v>45082.4582015625</v>
      </c>
      <c r="C5825" s="51">
        <v>1.008</v>
      </c>
      <c r="D5825" s="51">
        <v>68.0</v>
      </c>
      <c r="E5825" s="52" t="s">
        <v>25</v>
      </c>
      <c r="F5825" s="52" t="s">
        <v>26</v>
      </c>
      <c r="G5825" s="53"/>
    </row>
    <row r="5826">
      <c r="A5826" s="49">
        <v>45082.34365296296</v>
      </c>
      <c r="B5826" s="50">
        <v>45082.4686235416</v>
      </c>
      <c r="C5826" s="51">
        <v>1.008</v>
      </c>
      <c r="D5826" s="51">
        <v>68.0</v>
      </c>
      <c r="E5826" s="52" t="s">
        <v>25</v>
      </c>
      <c r="F5826" s="52" t="s">
        <v>26</v>
      </c>
      <c r="G5826" s="53"/>
    </row>
    <row r="5827">
      <c r="A5827" s="49">
        <v>45082.35406460648</v>
      </c>
      <c r="B5827" s="50">
        <v>45082.4790451388</v>
      </c>
      <c r="C5827" s="51">
        <v>1.008</v>
      </c>
      <c r="D5827" s="51">
        <v>68.0</v>
      </c>
      <c r="E5827" s="52" t="s">
        <v>25</v>
      </c>
      <c r="F5827" s="52" t="s">
        <v>26</v>
      </c>
      <c r="G5827" s="53"/>
    </row>
    <row r="5828">
      <c r="A5828" s="49">
        <v>45082.364498298615</v>
      </c>
      <c r="B5828" s="50">
        <v>45082.4894679051</v>
      </c>
      <c r="C5828" s="51">
        <v>1.008</v>
      </c>
      <c r="D5828" s="51">
        <v>68.0</v>
      </c>
      <c r="E5828" s="52" t="s">
        <v>25</v>
      </c>
      <c r="F5828" s="52" t="s">
        <v>26</v>
      </c>
      <c r="G5828" s="53"/>
    </row>
    <row r="5829">
      <c r="A5829" s="49">
        <v>45082.374914733795</v>
      </c>
      <c r="B5829" s="50">
        <v>45082.4998888657</v>
      </c>
      <c r="C5829" s="51">
        <v>1.008</v>
      </c>
      <c r="D5829" s="51">
        <v>68.0</v>
      </c>
      <c r="E5829" s="52" t="s">
        <v>25</v>
      </c>
      <c r="F5829" s="52" t="s">
        <v>26</v>
      </c>
      <c r="G5829" s="53"/>
    </row>
    <row r="5830">
      <c r="A5830" s="49">
        <v>45082.38536623842</v>
      </c>
      <c r="B5830" s="50">
        <v>45082.5103346296</v>
      </c>
      <c r="C5830" s="51">
        <v>1.008</v>
      </c>
      <c r="D5830" s="51">
        <v>68.0</v>
      </c>
      <c r="E5830" s="52" t="s">
        <v>25</v>
      </c>
      <c r="F5830" s="52" t="s">
        <v>26</v>
      </c>
      <c r="G5830" s="53"/>
    </row>
    <row r="5831">
      <c r="A5831" s="49">
        <v>45082.39578357639</v>
      </c>
      <c r="B5831" s="50">
        <v>45082.520753912</v>
      </c>
      <c r="C5831" s="51">
        <v>1.008</v>
      </c>
      <c r="D5831" s="51">
        <v>68.0</v>
      </c>
      <c r="E5831" s="52" t="s">
        <v>25</v>
      </c>
      <c r="F5831" s="52" t="s">
        <v>26</v>
      </c>
      <c r="G5831" s="53"/>
    </row>
    <row r="5832">
      <c r="A5832" s="49">
        <v>45082.40621059028</v>
      </c>
      <c r="B5832" s="50">
        <v>45082.5311868865</v>
      </c>
      <c r="C5832" s="51">
        <v>1.008</v>
      </c>
      <c r="D5832" s="51">
        <v>68.0</v>
      </c>
      <c r="E5832" s="52" t="s">
        <v>25</v>
      </c>
      <c r="F5832" s="52" t="s">
        <v>26</v>
      </c>
      <c r="G5832" s="53"/>
    </row>
    <row r="5833">
      <c r="A5833" s="49">
        <v>45082.416655312496</v>
      </c>
      <c r="B5833" s="50">
        <v>45082.5416170601</v>
      </c>
      <c r="C5833" s="51">
        <v>1.008</v>
      </c>
      <c r="D5833" s="51">
        <v>68.0</v>
      </c>
      <c r="E5833" s="52" t="s">
        <v>25</v>
      </c>
      <c r="F5833" s="52" t="s">
        <v>26</v>
      </c>
      <c r="G5833" s="53"/>
    </row>
    <row r="5834">
      <c r="A5834" s="49">
        <v>45082.42706777778</v>
      </c>
      <c r="B5834" s="50">
        <v>45082.5520379398</v>
      </c>
      <c r="C5834" s="51">
        <v>1.008</v>
      </c>
      <c r="D5834" s="51">
        <v>68.0</v>
      </c>
      <c r="E5834" s="52" t="s">
        <v>25</v>
      </c>
      <c r="F5834" s="52" t="s">
        <v>26</v>
      </c>
      <c r="G5834" s="53"/>
    </row>
    <row r="5835">
      <c r="A5835" s="49">
        <v>45082.43747934028</v>
      </c>
      <c r="B5835" s="50">
        <v>45082.5624593402</v>
      </c>
      <c r="C5835" s="51">
        <v>1.008</v>
      </c>
      <c r="D5835" s="51">
        <v>68.0</v>
      </c>
      <c r="E5835" s="52" t="s">
        <v>25</v>
      </c>
      <c r="F5835" s="52" t="s">
        <v>26</v>
      </c>
      <c r="G5835" s="53"/>
    </row>
    <row r="5836">
      <c r="A5836" s="49">
        <v>45082.44792160879</v>
      </c>
      <c r="B5836" s="50">
        <v>45082.5728915393</v>
      </c>
      <c r="C5836" s="51">
        <v>1.008</v>
      </c>
      <c r="D5836" s="51">
        <v>68.0</v>
      </c>
      <c r="E5836" s="52" t="s">
        <v>25</v>
      </c>
      <c r="F5836" s="52" t="s">
        <v>26</v>
      </c>
      <c r="G5836" s="53"/>
    </row>
    <row r="5837">
      <c r="A5837" s="49">
        <v>45082.458335358795</v>
      </c>
      <c r="B5837" s="50">
        <v>45082.5833132176</v>
      </c>
      <c r="C5837" s="51">
        <v>1.008</v>
      </c>
      <c r="D5837" s="51">
        <v>68.0</v>
      </c>
      <c r="E5837" s="52" t="s">
        <v>25</v>
      </c>
      <c r="F5837" s="52" t="s">
        <v>26</v>
      </c>
      <c r="G5837" s="53"/>
    </row>
    <row r="5838">
      <c r="A5838" s="49">
        <v>45082.46875576389</v>
      </c>
      <c r="B5838" s="50">
        <v>45082.5937346412</v>
      </c>
      <c r="C5838" s="51">
        <v>1.008</v>
      </c>
      <c r="D5838" s="51">
        <v>68.0</v>
      </c>
      <c r="E5838" s="52" t="s">
        <v>25</v>
      </c>
      <c r="F5838" s="52" t="s">
        <v>26</v>
      </c>
      <c r="G5838" s="53"/>
    </row>
    <row r="5839">
      <c r="A5839" s="49">
        <v>45082.479187372686</v>
      </c>
      <c r="B5839" s="50">
        <v>45082.6041573958</v>
      </c>
      <c r="C5839" s="51">
        <v>1.008</v>
      </c>
      <c r="D5839" s="51">
        <v>68.0</v>
      </c>
      <c r="E5839" s="52" t="s">
        <v>25</v>
      </c>
      <c r="F5839" s="52" t="s">
        <v>26</v>
      </c>
      <c r="G5839" s="53"/>
    </row>
    <row r="5840">
      <c r="A5840" s="49">
        <v>45082.48960267361</v>
      </c>
      <c r="B5840" s="50">
        <v>45082.6145770833</v>
      </c>
      <c r="C5840" s="51">
        <v>1.008</v>
      </c>
      <c r="D5840" s="51">
        <v>68.0</v>
      </c>
      <c r="E5840" s="52" t="s">
        <v>25</v>
      </c>
      <c r="F5840" s="52" t="s">
        <v>26</v>
      </c>
      <c r="G5840" s="53"/>
    </row>
    <row r="5841">
      <c r="A5841" s="49">
        <v>45082.500026423615</v>
      </c>
      <c r="B5841" s="50">
        <v>45082.6249977546</v>
      </c>
      <c r="C5841" s="51">
        <v>1.008</v>
      </c>
      <c r="D5841" s="51">
        <v>68.0</v>
      </c>
      <c r="E5841" s="52" t="s">
        <v>25</v>
      </c>
      <c r="F5841" s="52" t="s">
        <v>26</v>
      </c>
      <c r="G5841" s="53"/>
    </row>
    <row r="5842">
      <c r="A5842" s="49">
        <v>45082.51044238426</v>
      </c>
      <c r="B5842" s="50">
        <v>45082.6354197106</v>
      </c>
      <c r="C5842" s="51">
        <v>1.008</v>
      </c>
      <c r="D5842" s="51">
        <v>68.0</v>
      </c>
      <c r="E5842" s="52" t="s">
        <v>25</v>
      </c>
      <c r="F5842" s="52" t="s">
        <v>26</v>
      </c>
      <c r="G5842" s="53"/>
    </row>
    <row r="5843">
      <c r="A5843" s="49">
        <v>45082.52087789352</v>
      </c>
      <c r="B5843" s="50">
        <v>45082.6458412615</v>
      </c>
      <c r="C5843" s="51">
        <v>1.008</v>
      </c>
      <c r="D5843" s="51">
        <v>68.0</v>
      </c>
      <c r="E5843" s="52" t="s">
        <v>25</v>
      </c>
      <c r="F5843" s="52" t="s">
        <v>26</v>
      </c>
      <c r="G5843" s="53"/>
    </row>
    <row r="5844">
      <c r="A5844" s="49">
        <v>45082.53128648148</v>
      </c>
      <c r="B5844" s="50">
        <v>45082.6562624305</v>
      </c>
      <c r="C5844" s="51">
        <v>1.008</v>
      </c>
      <c r="D5844" s="51">
        <v>68.0</v>
      </c>
      <c r="E5844" s="52" t="s">
        <v>25</v>
      </c>
      <c r="F5844" s="52" t="s">
        <v>26</v>
      </c>
      <c r="G5844" s="53"/>
    </row>
    <row r="5845">
      <c r="A5845" s="49">
        <v>45082.54171462963</v>
      </c>
      <c r="B5845" s="50">
        <v>45082.6666940856</v>
      </c>
      <c r="C5845" s="51">
        <v>1.008</v>
      </c>
      <c r="D5845" s="51">
        <v>68.0</v>
      </c>
      <c r="E5845" s="52" t="s">
        <v>25</v>
      </c>
      <c r="F5845" s="52" t="s">
        <v>26</v>
      </c>
      <c r="G5845" s="53"/>
    </row>
    <row r="5846">
      <c r="A5846" s="49">
        <v>45082.55215336806</v>
      </c>
      <c r="B5846" s="50">
        <v>45082.677128206</v>
      </c>
      <c r="C5846" s="51">
        <v>1.008</v>
      </c>
      <c r="D5846" s="51">
        <v>68.0</v>
      </c>
      <c r="E5846" s="52" t="s">
        <v>25</v>
      </c>
      <c r="F5846" s="52" t="s">
        <v>26</v>
      </c>
      <c r="G5846" s="53"/>
    </row>
    <row r="5847">
      <c r="A5847" s="49">
        <v>45082.56257797454</v>
      </c>
      <c r="B5847" s="50">
        <v>45082.6875492129</v>
      </c>
      <c r="C5847" s="51">
        <v>1.008</v>
      </c>
      <c r="D5847" s="51">
        <v>68.0</v>
      </c>
      <c r="E5847" s="52" t="s">
        <v>25</v>
      </c>
      <c r="F5847" s="52" t="s">
        <v>26</v>
      </c>
      <c r="G5847" s="53"/>
    </row>
    <row r="5848">
      <c r="A5848" s="49">
        <v>45082.5729918287</v>
      </c>
      <c r="B5848" s="50">
        <v>45082.6979697222</v>
      </c>
      <c r="C5848" s="51">
        <v>1.008</v>
      </c>
      <c r="D5848" s="51">
        <v>68.0</v>
      </c>
      <c r="E5848" s="52" t="s">
        <v>25</v>
      </c>
      <c r="F5848" s="52" t="s">
        <v>26</v>
      </c>
      <c r="G5848" s="53"/>
    </row>
    <row r="5849">
      <c r="A5849" s="49">
        <v>45082.583411458334</v>
      </c>
      <c r="B5849" s="50">
        <v>45082.70839228</v>
      </c>
      <c r="C5849" s="51">
        <v>1.008</v>
      </c>
      <c r="D5849" s="51">
        <v>68.0</v>
      </c>
      <c r="E5849" s="52" t="s">
        <v>25</v>
      </c>
      <c r="F5849" s="52" t="s">
        <v>26</v>
      </c>
      <c r="G5849" s="53"/>
    </row>
    <row r="5850">
      <c r="A5850" s="49">
        <v>45082.593844675925</v>
      </c>
      <c r="B5850" s="50">
        <v>45082.7188144212</v>
      </c>
      <c r="C5850" s="51">
        <v>1.008</v>
      </c>
      <c r="D5850" s="51">
        <v>68.0</v>
      </c>
      <c r="E5850" s="52" t="s">
        <v>25</v>
      </c>
      <c r="F5850" s="52" t="s">
        <v>26</v>
      </c>
      <c r="G5850" s="53"/>
    </row>
    <row r="5851">
      <c r="A5851" s="49">
        <v>45082.60427142361</v>
      </c>
      <c r="B5851" s="50">
        <v>45082.7292479861</v>
      </c>
      <c r="C5851" s="51">
        <v>1.008</v>
      </c>
      <c r="D5851" s="51">
        <v>68.0</v>
      </c>
      <c r="E5851" s="52" t="s">
        <v>25</v>
      </c>
      <c r="F5851" s="52" t="s">
        <v>26</v>
      </c>
      <c r="G5851" s="53"/>
    </row>
    <row r="5852">
      <c r="A5852" s="49">
        <v>45082.61469761574</v>
      </c>
      <c r="B5852" s="50">
        <v>45082.739668912</v>
      </c>
      <c r="C5852" s="51">
        <v>1.008</v>
      </c>
      <c r="D5852" s="51">
        <v>68.0</v>
      </c>
      <c r="E5852" s="52" t="s">
        <v>25</v>
      </c>
      <c r="F5852" s="52" t="s">
        <v>26</v>
      </c>
      <c r="G5852" s="53"/>
    </row>
    <row r="5853">
      <c r="A5853" s="49">
        <v>45082.62511453703</v>
      </c>
      <c r="B5853" s="50">
        <v>45082.750089456</v>
      </c>
      <c r="C5853" s="51">
        <v>1.008</v>
      </c>
      <c r="D5853" s="51">
        <v>68.0</v>
      </c>
      <c r="E5853" s="52" t="s">
        <v>25</v>
      </c>
      <c r="F5853" s="52" t="s">
        <v>26</v>
      </c>
      <c r="G5853" s="53"/>
    </row>
    <row r="5854">
      <c r="A5854" s="49">
        <v>45082.63553803241</v>
      </c>
      <c r="B5854" s="50">
        <v>45082.7605087037</v>
      </c>
      <c r="C5854" s="51">
        <v>1.008</v>
      </c>
      <c r="D5854" s="51">
        <v>68.0</v>
      </c>
      <c r="E5854" s="52" t="s">
        <v>25</v>
      </c>
      <c r="F5854" s="52" t="s">
        <v>26</v>
      </c>
      <c r="G5854" s="53"/>
    </row>
    <row r="5855">
      <c r="A5855" s="49">
        <v>45082.64595954861</v>
      </c>
      <c r="B5855" s="50">
        <v>45082.7709292476</v>
      </c>
      <c r="C5855" s="51">
        <v>1.008</v>
      </c>
      <c r="D5855" s="51">
        <v>68.0</v>
      </c>
      <c r="E5855" s="52" t="s">
        <v>25</v>
      </c>
      <c r="F5855" s="52" t="s">
        <v>26</v>
      </c>
      <c r="G5855" s="53"/>
    </row>
    <row r="5856">
      <c r="A5856" s="49">
        <v>45082.65637149305</v>
      </c>
      <c r="B5856" s="50">
        <v>45082.7813502199</v>
      </c>
      <c r="C5856" s="51">
        <v>1.008</v>
      </c>
      <c r="D5856" s="51">
        <v>68.0</v>
      </c>
      <c r="E5856" s="52" t="s">
        <v>25</v>
      </c>
      <c r="F5856" s="52" t="s">
        <v>26</v>
      </c>
      <c r="G5856" s="53"/>
    </row>
    <row r="5857">
      <c r="A5857" s="49">
        <v>45082.66679217592</v>
      </c>
      <c r="B5857" s="50">
        <v>45082.791771493</v>
      </c>
      <c r="C5857" s="51">
        <v>1.008</v>
      </c>
      <c r="D5857" s="51">
        <v>68.0</v>
      </c>
      <c r="E5857" s="52" t="s">
        <v>25</v>
      </c>
      <c r="F5857" s="52" t="s">
        <v>26</v>
      </c>
      <c r="G5857" s="53"/>
    </row>
    <row r="5858">
      <c r="A5858" s="49">
        <v>45082.677245914354</v>
      </c>
      <c r="B5858" s="50">
        <v>45082.8022175115</v>
      </c>
      <c r="C5858" s="51">
        <v>1.008</v>
      </c>
      <c r="D5858" s="51">
        <v>68.0</v>
      </c>
      <c r="E5858" s="52" t="s">
        <v>25</v>
      </c>
      <c r="F5858" s="52" t="s">
        <v>26</v>
      </c>
      <c r="G5858" s="53"/>
    </row>
    <row r="5859">
      <c r="A5859" s="49">
        <v>45082.6876646412</v>
      </c>
      <c r="B5859" s="50">
        <v>45082.8126396643</v>
      </c>
      <c r="C5859" s="51">
        <v>1.008</v>
      </c>
      <c r="D5859" s="51">
        <v>68.0</v>
      </c>
      <c r="E5859" s="52" t="s">
        <v>25</v>
      </c>
      <c r="F5859" s="52" t="s">
        <v>26</v>
      </c>
      <c r="G5859" s="53"/>
    </row>
    <row r="5860">
      <c r="A5860" s="49">
        <v>45082.69808149306</v>
      </c>
      <c r="B5860" s="50">
        <v>45082.8230631018</v>
      </c>
      <c r="C5860" s="51">
        <v>1.008</v>
      </c>
      <c r="D5860" s="51">
        <v>68.0</v>
      </c>
      <c r="E5860" s="52" t="s">
        <v>25</v>
      </c>
      <c r="F5860" s="52" t="s">
        <v>26</v>
      </c>
      <c r="G5860" s="53"/>
    </row>
    <row r="5861">
      <c r="A5861" s="49">
        <v>45082.70852252315</v>
      </c>
      <c r="B5861" s="50">
        <v>45082.8334952199</v>
      </c>
      <c r="C5861" s="51">
        <v>1.008</v>
      </c>
      <c r="D5861" s="51">
        <v>68.0</v>
      </c>
      <c r="E5861" s="52" t="s">
        <v>25</v>
      </c>
      <c r="F5861" s="52" t="s">
        <v>26</v>
      </c>
      <c r="G5861" s="53"/>
    </row>
    <row r="5862">
      <c r="A5862" s="49">
        <v>45082.71894331019</v>
      </c>
      <c r="B5862" s="50">
        <v>45082.8439163888</v>
      </c>
      <c r="C5862" s="51">
        <v>1.008</v>
      </c>
      <c r="D5862" s="51">
        <v>68.0</v>
      </c>
      <c r="E5862" s="52" t="s">
        <v>25</v>
      </c>
      <c r="F5862" s="52" t="s">
        <v>26</v>
      </c>
      <c r="G5862" s="53"/>
    </row>
    <row r="5863">
      <c r="A5863" s="49">
        <v>45082.729362199076</v>
      </c>
      <c r="B5863" s="50">
        <v>45082.8543375463</v>
      </c>
      <c r="C5863" s="51">
        <v>1.008</v>
      </c>
      <c r="D5863" s="51">
        <v>68.0</v>
      </c>
      <c r="E5863" s="52" t="s">
        <v>25</v>
      </c>
      <c r="F5863" s="52" t="s">
        <v>26</v>
      </c>
      <c r="G5863" s="53"/>
    </row>
    <row r="5864">
      <c r="A5864" s="49">
        <v>45082.73979303241</v>
      </c>
      <c r="B5864" s="50">
        <v>45082.8647575231</v>
      </c>
      <c r="C5864" s="51">
        <v>1.008</v>
      </c>
      <c r="D5864" s="51">
        <v>68.0</v>
      </c>
      <c r="E5864" s="52" t="s">
        <v>25</v>
      </c>
      <c r="F5864" s="52" t="s">
        <v>26</v>
      </c>
      <c r="G5864" s="53"/>
    </row>
    <row r="5865">
      <c r="A5865" s="49">
        <v>45082.75022505787</v>
      </c>
      <c r="B5865" s="50">
        <v>45082.8752031365</v>
      </c>
      <c r="C5865" s="51">
        <v>1.008</v>
      </c>
      <c r="D5865" s="51">
        <v>68.0</v>
      </c>
      <c r="E5865" s="52" t="s">
        <v>25</v>
      </c>
      <c r="F5865" s="52" t="s">
        <v>26</v>
      </c>
      <c r="G5865" s="53"/>
    </row>
    <row r="5866">
      <c r="A5866" s="49">
        <v>45082.76074939815</v>
      </c>
      <c r="B5866" s="50">
        <v>45082.8856703125</v>
      </c>
      <c r="C5866" s="51">
        <v>1.008</v>
      </c>
      <c r="D5866" s="51">
        <v>68.0</v>
      </c>
      <c r="E5866" s="52" t="s">
        <v>25</v>
      </c>
      <c r="F5866" s="52" t="s">
        <v>26</v>
      </c>
      <c r="G5866" s="53"/>
    </row>
    <row r="5867">
      <c r="A5867" s="49">
        <v>45082.77116359954</v>
      </c>
      <c r="B5867" s="50">
        <v>45082.8960900463</v>
      </c>
      <c r="C5867" s="51">
        <v>1.008</v>
      </c>
      <c r="D5867" s="51">
        <v>68.0</v>
      </c>
      <c r="E5867" s="52" t="s">
        <v>25</v>
      </c>
      <c r="F5867" s="52" t="s">
        <v>26</v>
      </c>
      <c r="G5867" s="53"/>
    </row>
    <row r="5868">
      <c r="A5868" s="49">
        <v>45082.78158736111</v>
      </c>
      <c r="B5868" s="50">
        <v>45082.9065128125</v>
      </c>
      <c r="C5868" s="51">
        <v>1.008</v>
      </c>
      <c r="D5868" s="51">
        <v>68.0</v>
      </c>
      <c r="E5868" s="52" t="s">
        <v>25</v>
      </c>
      <c r="F5868" s="52" t="s">
        <v>26</v>
      </c>
      <c r="G5868" s="53"/>
    </row>
    <row r="5869">
      <c r="A5869" s="49">
        <v>45082.79200533565</v>
      </c>
      <c r="B5869" s="50">
        <v>45082.9169463541</v>
      </c>
      <c r="C5869" s="51">
        <v>1.008</v>
      </c>
      <c r="D5869" s="51">
        <v>68.0</v>
      </c>
      <c r="E5869" s="52" t="s">
        <v>25</v>
      </c>
      <c r="F5869" s="52" t="s">
        <v>26</v>
      </c>
      <c r="G5869" s="53"/>
    </row>
    <row r="5870">
      <c r="A5870" s="49">
        <v>45082.802444305555</v>
      </c>
      <c r="B5870" s="50">
        <v>45082.9273789583</v>
      </c>
      <c r="C5870" s="51">
        <v>1.008</v>
      </c>
      <c r="D5870" s="51">
        <v>68.0</v>
      </c>
      <c r="E5870" s="52" t="s">
        <v>25</v>
      </c>
      <c r="F5870" s="52" t="s">
        <v>26</v>
      </c>
      <c r="G5870" s="53"/>
    </row>
    <row r="5871">
      <c r="A5871" s="49">
        <v>45082.81285988426</v>
      </c>
      <c r="B5871" s="50">
        <v>45082.9377981713</v>
      </c>
      <c r="C5871" s="51">
        <v>1.008</v>
      </c>
      <c r="D5871" s="51">
        <v>68.0</v>
      </c>
      <c r="E5871" s="52" t="s">
        <v>25</v>
      </c>
      <c r="F5871" s="52" t="s">
        <v>26</v>
      </c>
      <c r="G5871" s="53"/>
    </row>
    <row r="5872">
      <c r="A5872" s="49">
        <v>45082.82328505787</v>
      </c>
      <c r="B5872" s="50">
        <v>45082.9482333912</v>
      </c>
      <c r="C5872" s="51">
        <v>1.008</v>
      </c>
      <c r="D5872" s="51">
        <v>68.0</v>
      </c>
      <c r="E5872" s="52" t="s">
        <v>25</v>
      </c>
      <c r="F5872" s="52" t="s">
        <v>26</v>
      </c>
      <c r="G5872" s="53"/>
    </row>
    <row r="5873">
      <c r="A5873" s="49">
        <v>45082.833704212964</v>
      </c>
      <c r="B5873" s="50">
        <v>45082.9586547685</v>
      </c>
      <c r="C5873" s="51">
        <v>1.008</v>
      </c>
      <c r="D5873" s="51">
        <v>68.0</v>
      </c>
      <c r="E5873" s="52" t="s">
        <v>25</v>
      </c>
      <c r="F5873" s="52" t="s">
        <v>26</v>
      </c>
      <c r="G5873" s="53"/>
    </row>
    <row r="5874">
      <c r="A5874" s="49">
        <v>45082.844120925925</v>
      </c>
      <c r="B5874" s="50">
        <v>45082.9690749305</v>
      </c>
      <c r="C5874" s="51">
        <v>1.008</v>
      </c>
      <c r="D5874" s="51">
        <v>68.0</v>
      </c>
      <c r="E5874" s="52" t="s">
        <v>25</v>
      </c>
      <c r="F5874" s="52" t="s">
        <v>26</v>
      </c>
      <c r="G5874" s="53"/>
    </row>
    <row r="5875">
      <c r="A5875" s="49">
        <v>45082.85454840278</v>
      </c>
      <c r="B5875" s="50">
        <v>45082.9795081944</v>
      </c>
      <c r="C5875" s="51">
        <v>1.008</v>
      </c>
      <c r="D5875" s="51">
        <v>68.0</v>
      </c>
      <c r="E5875" s="52" t="s">
        <v>25</v>
      </c>
      <c r="F5875" s="52" t="s">
        <v>26</v>
      </c>
      <c r="G5875" s="53"/>
    </row>
    <row r="5876">
      <c r="A5876" s="49">
        <v>45082.86498013889</v>
      </c>
      <c r="B5876" s="50">
        <v>45082.9899518865</v>
      </c>
      <c r="C5876" s="51">
        <v>1.008</v>
      </c>
      <c r="D5876" s="51">
        <v>68.0</v>
      </c>
      <c r="E5876" s="52" t="s">
        <v>25</v>
      </c>
      <c r="F5876" s="52" t="s">
        <v>26</v>
      </c>
      <c r="G5876" s="53"/>
    </row>
    <row r="5877">
      <c r="A5877" s="49">
        <v>45082.87539543981</v>
      </c>
      <c r="B5877" s="50">
        <v>45083.0003731944</v>
      </c>
      <c r="C5877" s="51">
        <v>1.008</v>
      </c>
      <c r="D5877" s="51">
        <v>68.0</v>
      </c>
      <c r="E5877" s="52" t="s">
        <v>25</v>
      </c>
      <c r="F5877" s="52" t="s">
        <v>26</v>
      </c>
      <c r="G5877" s="53"/>
    </row>
    <row r="5878">
      <c r="A5878" s="49">
        <v>45082.88582092593</v>
      </c>
      <c r="B5878" s="50">
        <v>45083.0107925231</v>
      </c>
      <c r="C5878" s="51">
        <v>1.008</v>
      </c>
      <c r="D5878" s="51">
        <v>68.0</v>
      </c>
      <c r="E5878" s="52" t="s">
        <v>25</v>
      </c>
      <c r="F5878" s="52" t="s">
        <v>26</v>
      </c>
      <c r="G5878" s="53"/>
    </row>
    <row r="5879">
      <c r="A5879" s="49">
        <v>45082.89623707176</v>
      </c>
      <c r="B5879" s="50">
        <v>45083.021213125</v>
      </c>
      <c r="C5879" s="51">
        <v>1.008</v>
      </c>
      <c r="D5879" s="51">
        <v>68.0</v>
      </c>
      <c r="E5879" s="52" t="s">
        <v>25</v>
      </c>
      <c r="F5879" s="52" t="s">
        <v>26</v>
      </c>
      <c r="G5879" s="53"/>
    </row>
    <row r="5880">
      <c r="A5880" s="49">
        <v>45082.90666572917</v>
      </c>
      <c r="B5880" s="50">
        <v>45083.0316445949</v>
      </c>
      <c r="C5880" s="51">
        <v>1.008</v>
      </c>
      <c r="D5880" s="51">
        <v>68.0</v>
      </c>
      <c r="E5880" s="52" t="s">
        <v>25</v>
      </c>
      <c r="F5880" s="52" t="s">
        <v>26</v>
      </c>
      <c r="G5880" s="53"/>
    </row>
    <row r="5881">
      <c r="A5881" s="49">
        <v>45082.91710908565</v>
      </c>
      <c r="B5881" s="50">
        <v>45083.0420782754</v>
      </c>
      <c r="C5881" s="51">
        <v>1.008</v>
      </c>
      <c r="D5881" s="51">
        <v>68.0</v>
      </c>
      <c r="E5881" s="52" t="s">
        <v>25</v>
      </c>
      <c r="F5881" s="52" t="s">
        <v>26</v>
      </c>
      <c r="G5881" s="53"/>
    </row>
    <row r="5882">
      <c r="A5882" s="49">
        <v>45082.92752084491</v>
      </c>
      <c r="B5882" s="50">
        <v>45083.0524994907</v>
      </c>
      <c r="C5882" s="51">
        <v>1.008</v>
      </c>
      <c r="D5882" s="51">
        <v>68.0</v>
      </c>
      <c r="E5882" s="52" t="s">
        <v>25</v>
      </c>
      <c r="F5882" s="52" t="s">
        <v>26</v>
      </c>
      <c r="G5882" s="53"/>
    </row>
    <row r="5883">
      <c r="A5883" s="49">
        <v>45082.93794560185</v>
      </c>
      <c r="B5883" s="50">
        <v>45083.0629201157</v>
      </c>
      <c r="C5883" s="51">
        <v>1.008</v>
      </c>
      <c r="D5883" s="51">
        <v>68.0</v>
      </c>
      <c r="E5883" s="52" t="s">
        <v>25</v>
      </c>
      <c r="F5883" s="52" t="s">
        <v>26</v>
      </c>
      <c r="G5883" s="53"/>
    </row>
    <row r="5884">
      <c r="A5884" s="49">
        <v>45082.94837976852</v>
      </c>
      <c r="B5884" s="50">
        <v>45083.0733545717</v>
      </c>
      <c r="C5884" s="51">
        <v>1.008</v>
      </c>
      <c r="D5884" s="51">
        <v>68.0</v>
      </c>
      <c r="E5884" s="52" t="s">
        <v>25</v>
      </c>
      <c r="F5884" s="52" t="s">
        <v>26</v>
      </c>
      <c r="G5884" s="53"/>
    </row>
    <row r="5885">
      <c r="A5885" s="49">
        <v>45082.95880486111</v>
      </c>
      <c r="B5885" s="50">
        <v>45083.0837741087</v>
      </c>
      <c r="C5885" s="51">
        <v>1.008</v>
      </c>
      <c r="D5885" s="51">
        <v>68.0</v>
      </c>
      <c r="E5885" s="52" t="s">
        <v>25</v>
      </c>
      <c r="F5885" s="52" t="s">
        <v>26</v>
      </c>
      <c r="G5885" s="53"/>
    </row>
    <row r="5886">
      <c r="A5886" s="49">
        <v>45082.969224305554</v>
      </c>
      <c r="B5886" s="50">
        <v>45083.0941946875</v>
      </c>
      <c r="C5886" s="51">
        <v>1.008</v>
      </c>
      <c r="D5886" s="51">
        <v>68.0</v>
      </c>
      <c r="E5886" s="52" t="s">
        <v>25</v>
      </c>
      <c r="F5886" s="52" t="s">
        <v>26</v>
      </c>
      <c r="G5886" s="53"/>
    </row>
    <row r="5887">
      <c r="A5887" s="49">
        <v>45082.97968576389</v>
      </c>
      <c r="B5887" s="50">
        <v>45083.1046505787</v>
      </c>
      <c r="C5887" s="51">
        <v>1.008</v>
      </c>
      <c r="D5887" s="51">
        <v>68.0</v>
      </c>
      <c r="E5887" s="52" t="s">
        <v>25</v>
      </c>
      <c r="F5887" s="52" t="s">
        <v>26</v>
      </c>
      <c r="G5887" s="53"/>
    </row>
    <row r="5888">
      <c r="A5888" s="49">
        <v>45082.99010498842</v>
      </c>
      <c r="B5888" s="50">
        <v>45083.1150720138</v>
      </c>
      <c r="C5888" s="51">
        <v>1.008</v>
      </c>
      <c r="D5888" s="51">
        <v>68.0</v>
      </c>
      <c r="E5888" s="52" t="s">
        <v>25</v>
      </c>
      <c r="F5888" s="52" t="s">
        <v>26</v>
      </c>
      <c r="G5888" s="53"/>
    </row>
    <row r="5889">
      <c r="A5889" s="49">
        <v>45083.00052601851</v>
      </c>
      <c r="B5889" s="50">
        <v>45083.1254930671</v>
      </c>
      <c r="C5889" s="51">
        <v>1.008</v>
      </c>
      <c r="D5889" s="51">
        <v>68.0</v>
      </c>
      <c r="E5889" s="52" t="s">
        <v>25</v>
      </c>
      <c r="F5889" s="52" t="s">
        <v>26</v>
      </c>
      <c r="G5889" s="53"/>
    </row>
    <row r="5890">
      <c r="A5890" s="49">
        <v>45083.01094118056</v>
      </c>
      <c r="B5890" s="50">
        <v>45083.1359133564</v>
      </c>
      <c r="C5890" s="51">
        <v>1.008</v>
      </c>
      <c r="D5890" s="51">
        <v>68.0</v>
      </c>
      <c r="E5890" s="52" t="s">
        <v>25</v>
      </c>
      <c r="F5890" s="52" t="s">
        <v>26</v>
      </c>
      <c r="G5890" s="53"/>
    </row>
    <row r="5891">
      <c r="A5891" s="49">
        <v>45083.021382175924</v>
      </c>
      <c r="B5891" s="50">
        <v>45083.1463573726</v>
      </c>
      <c r="C5891" s="51">
        <v>1.008</v>
      </c>
      <c r="D5891" s="51">
        <v>68.0</v>
      </c>
      <c r="E5891" s="52" t="s">
        <v>25</v>
      </c>
      <c r="F5891" s="52" t="s">
        <v>26</v>
      </c>
      <c r="G5891" s="53"/>
    </row>
    <row r="5892">
      <c r="A5892" s="49">
        <v>45083.031801122685</v>
      </c>
      <c r="B5892" s="50">
        <v>45083.1567757175</v>
      </c>
      <c r="C5892" s="51">
        <v>1.008</v>
      </c>
      <c r="D5892" s="51">
        <v>68.0</v>
      </c>
      <c r="E5892" s="52" t="s">
        <v>25</v>
      </c>
      <c r="F5892" s="52" t="s">
        <v>26</v>
      </c>
      <c r="G5892" s="53"/>
    </row>
    <row r="5893">
      <c r="A5893" s="49">
        <v>45083.04222846065</v>
      </c>
      <c r="B5893" s="50">
        <v>45083.1671970833</v>
      </c>
      <c r="C5893" s="51">
        <v>1.008</v>
      </c>
      <c r="D5893" s="51">
        <v>68.0</v>
      </c>
      <c r="E5893" s="52" t="s">
        <v>25</v>
      </c>
      <c r="F5893" s="52" t="s">
        <v>26</v>
      </c>
      <c r="G5893" s="53"/>
    </row>
    <row r="5894">
      <c r="A5894" s="49">
        <v>45083.05264334491</v>
      </c>
      <c r="B5894" s="50">
        <v>45083.1776183449</v>
      </c>
      <c r="C5894" s="51">
        <v>1.008</v>
      </c>
      <c r="D5894" s="51">
        <v>68.0</v>
      </c>
      <c r="E5894" s="52" t="s">
        <v>25</v>
      </c>
      <c r="F5894" s="52" t="s">
        <v>26</v>
      </c>
      <c r="G5894" s="53"/>
    </row>
    <row r="5895">
      <c r="A5895" s="49">
        <v>45083.06306101852</v>
      </c>
      <c r="B5895" s="50">
        <v>45083.188039375</v>
      </c>
      <c r="C5895" s="51">
        <v>1.008</v>
      </c>
      <c r="D5895" s="51">
        <v>68.0</v>
      </c>
      <c r="E5895" s="52" t="s">
        <v>25</v>
      </c>
      <c r="F5895" s="52" t="s">
        <v>26</v>
      </c>
      <c r="G5895" s="53"/>
    </row>
    <row r="5896">
      <c r="A5896" s="49">
        <v>45083.07349142361</v>
      </c>
      <c r="B5896" s="50">
        <v>45083.1984610879</v>
      </c>
      <c r="C5896" s="51">
        <v>1.008</v>
      </c>
      <c r="D5896" s="51">
        <v>68.0</v>
      </c>
      <c r="E5896" s="52" t="s">
        <v>25</v>
      </c>
      <c r="F5896" s="52" t="s">
        <v>26</v>
      </c>
      <c r="G5896" s="53"/>
    </row>
    <row r="5897">
      <c r="A5897" s="49">
        <v>45083.083920694444</v>
      </c>
      <c r="B5897" s="50">
        <v>45083.2088942245</v>
      </c>
      <c r="C5897" s="51">
        <v>1.008</v>
      </c>
      <c r="D5897" s="51">
        <v>68.0</v>
      </c>
      <c r="E5897" s="52" t="s">
        <v>25</v>
      </c>
      <c r="F5897" s="52" t="s">
        <v>26</v>
      </c>
      <c r="G5897" s="53"/>
    </row>
    <row r="5898">
      <c r="A5898" s="49">
        <v>45083.09434846065</v>
      </c>
      <c r="B5898" s="50">
        <v>45083.2193275926</v>
      </c>
      <c r="C5898" s="51">
        <v>1.008</v>
      </c>
      <c r="D5898" s="51">
        <v>68.0</v>
      </c>
      <c r="E5898" s="52" t="s">
        <v>25</v>
      </c>
      <c r="F5898" s="52" t="s">
        <v>26</v>
      </c>
      <c r="G5898" s="53"/>
    </row>
    <row r="5899">
      <c r="A5899" s="49">
        <v>45083.10477466435</v>
      </c>
      <c r="B5899" s="50">
        <v>45083.2297492014</v>
      </c>
      <c r="C5899" s="51">
        <v>1.008</v>
      </c>
      <c r="D5899" s="51">
        <v>68.0</v>
      </c>
      <c r="E5899" s="52" t="s">
        <v>25</v>
      </c>
      <c r="F5899" s="52" t="s">
        <v>26</v>
      </c>
      <c r="G5899" s="53"/>
    </row>
    <row r="5900">
      <c r="A5900" s="49">
        <v>45083.11519693287</v>
      </c>
      <c r="B5900" s="50">
        <v>45083.2401695486</v>
      </c>
      <c r="C5900" s="51">
        <v>1.008</v>
      </c>
      <c r="D5900" s="51">
        <v>68.0</v>
      </c>
      <c r="E5900" s="52" t="s">
        <v>25</v>
      </c>
      <c r="F5900" s="52" t="s">
        <v>26</v>
      </c>
      <c r="G5900" s="53"/>
    </row>
    <row r="5901">
      <c r="A5901" s="49">
        <v>45083.12561231482</v>
      </c>
      <c r="B5901" s="50">
        <v>45083.2505909259</v>
      </c>
      <c r="C5901" s="51">
        <v>1.008</v>
      </c>
      <c r="D5901" s="51">
        <v>68.0</v>
      </c>
      <c r="E5901" s="52" t="s">
        <v>25</v>
      </c>
      <c r="F5901" s="52" t="s">
        <v>26</v>
      </c>
      <c r="G5901" s="53"/>
    </row>
    <row r="5902">
      <c r="A5902" s="49">
        <v>45083.13604666667</v>
      </c>
      <c r="B5902" s="50">
        <v>45083.2610243171</v>
      </c>
      <c r="C5902" s="51">
        <v>1.008</v>
      </c>
      <c r="D5902" s="51">
        <v>68.0</v>
      </c>
      <c r="E5902" s="52" t="s">
        <v>25</v>
      </c>
      <c r="F5902" s="52" t="s">
        <v>26</v>
      </c>
      <c r="G5902" s="53"/>
    </row>
    <row r="5903">
      <c r="A5903" s="49">
        <v>45083.1464737037</v>
      </c>
      <c r="B5903" s="50">
        <v>45083.271444699</v>
      </c>
      <c r="C5903" s="51">
        <v>1.008</v>
      </c>
      <c r="D5903" s="51">
        <v>68.0</v>
      </c>
      <c r="E5903" s="52" t="s">
        <v>25</v>
      </c>
      <c r="F5903" s="52" t="s">
        <v>26</v>
      </c>
      <c r="G5903" s="53"/>
    </row>
    <row r="5904">
      <c r="A5904" s="49">
        <v>45083.15690793982</v>
      </c>
      <c r="B5904" s="50">
        <v>45083.2818771643</v>
      </c>
      <c r="C5904" s="51">
        <v>1.008</v>
      </c>
      <c r="D5904" s="51">
        <v>68.0</v>
      </c>
      <c r="E5904" s="52" t="s">
        <v>25</v>
      </c>
      <c r="F5904" s="52" t="s">
        <v>26</v>
      </c>
      <c r="G5904" s="53"/>
    </row>
    <row r="5905">
      <c r="A5905" s="49">
        <v>45083.16732703704</v>
      </c>
      <c r="B5905" s="50">
        <v>45083.2922993402</v>
      </c>
      <c r="C5905" s="51">
        <v>1.008</v>
      </c>
      <c r="D5905" s="51">
        <v>68.0</v>
      </c>
      <c r="E5905" s="52" t="s">
        <v>25</v>
      </c>
      <c r="F5905" s="52" t="s">
        <v>26</v>
      </c>
      <c r="G5905" s="53"/>
    </row>
    <row r="5906">
      <c r="A5906" s="49">
        <v>45083.177747395835</v>
      </c>
      <c r="B5906" s="50">
        <v>45083.3027193171</v>
      </c>
      <c r="C5906" s="51">
        <v>1.008</v>
      </c>
      <c r="D5906" s="51">
        <v>68.0</v>
      </c>
      <c r="E5906" s="52" t="s">
        <v>25</v>
      </c>
      <c r="F5906" s="52" t="s">
        <v>26</v>
      </c>
      <c r="G5906" s="53"/>
    </row>
    <row r="5907">
      <c r="A5907" s="49">
        <v>45083.188169444446</v>
      </c>
      <c r="B5907" s="50">
        <v>45083.3131406134</v>
      </c>
      <c r="C5907" s="51">
        <v>1.008</v>
      </c>
      <c r="D5907" s="51">
        <v>68.0</v>
      </c>
      <c r="E5907" s="52" t="s">
        <v>25</v>
      </c>
      <c r="F5907" s="52" t="s">
        <v>26</v>
      </c>
      <c r="G5907" s="53"/>
    </row>
    <row r="5908">
      <c r="A5908" s="49">
        <v>45083.198581874996</v>
      </c>
      <c r="B5908" s="50">
        <v>45083.3235629629</v>
      </c>
      <c r="C5908" s="51">
        <v>1.008</v>
      </c>
      <c r="D5908" s="51">
        <v>68.0</v>
      </c>
      <c r="E5908" s="52" t="s">
        <v>25</v>
      </c>
      <c r="F5908" s="52" t="s">
        <v>26</v>
      </c>
      <c r="G5908" s="53"/>
    </row>
    <row r="5909">
      <c r="A5909" s="49">
        <v>45083.20901219908</v>
      </c>
      <c r="B5909" s="50">
        <v>45083.3339855208</v>
      </c>
      <c r="C5909" s="51">
        <v>1.008</v>
      </c>
      <c r="D5909" s="51">
        <v>68.0</v>
      </c>
      <c r="E5909" s="52" t="s">
        <v>25</v>
      </c>
      <c r="F5909" s="52" t="s">
        <v>26</v>
      </c>
      <c r="G5909" s="53"/>
    </row>
    <row r="5910">
      <c r="A5910" s="49">
        <v>45083.21944560185</v>
      </c>
      <c r="B5910" s="50">
        <v>45083.3444193518</v>
      </c>
      <c r="C5910" s="51">
        <v>1.008</v>
      </c>
      <c r="D5910" s="51">
        <v>68.0</v>
      </c>
      <c r="E5910" s="52" t="s">
        <v>25</v>
      </c>
      <c r="F5910" s="52" t="s">
        <v>26</v>
      </c>
      <c r="G5910" s="53"/>
    </row>
    <row r="5911">
      <c r="A5911" s="49">
        <v>45083.229867974536</v>
      </c>
      <c r="B5911" s="50">
        <v>45083.3548415625</v>
      </c>
      <c r="C5911" s="51">
        <v>1.008</v>
      </c>
      <c r="D5911" s="51">
        <v>68.0</v>
      </c>
      <c r="E5911" s="52" t="s">
        <v>25</v>
      </c>
      <c r="F5911" s="52" t="s">
        <v>26</v>
      </c>
      <c r="G5911" s="53"/>
    </row>
    <row r="5912">
      <c r="A5912" s="49">
        <v>45083.24028788194</v>
      </c>
      <c r="B5912" s="50">
        <v>45083.3652613194</v>
      </c>
      <c r="C5912" s="51">
        <v>1.008</v>
      </c>
      <c r="D5912" s="51">
        <v>68.0</v>
      </c>
      <c r="E5912" s="52" t="s">
        <v>25</v>
      </c>
      <c r="F5912" s="52" t="s">
        <v>26</v>
      </c>
      <c r="G5912" s="53"/>
    </row>
    <row r="5913">
      <c r="A5913" s="49">
        <v>45083.25071670139</v>
      </c>
      <c r="B5913" s="50">
        <v>45083.3756826157</v>
      </c>
      <c r="C5913" s="51">
        <v>1.008</v>
      </c>
      <c r="D5913" s="51">
        <v>68.0</v>
      </c>
      <c r="E5913" s="52" t="s">
        <v>25</v>
      </c>
      <c r="F5913" s="52" t="s">
        <v>26</v>
      </c>
      <c r="G5913" s="53"/>
    </row>
    <row r="5914">
      <c r="A5914" s="49">
        <v>45083.26112887732</v>
      </c>
      <c r="B5914" s="50">
        <v>45083.3861051736</v>
      </c>
      <c r="C5914" s="51">
        <v>1.008</v>
      </c>
      <c r="D5914" s="51">
        <v>68.0</v>
      </c>
      <c r="E5914" s="52" t="s">
        <v>25</v>
      </c>
      <c r="F5914" s="52" t="s">
        <v>26</v>
      </c>
      <c r="G5914" s="53"/>
    </row>
    <row r="5915">
      <c r="A5915" s="49">
        <v>45083.27155903935</v>
      </c>
      <c r="B5915" s="50">
        <v>45083.3965378356</v>
      </c>
      <c r="C5915" s="51">
        <v>1.008</v>
      </c>
      <c r="D5915" s="51">
        <v>68.0</v>
      </c>
      <c r="E5915" s="52" t="s">
        <v>25</v>
      </c>
      <c r="F5915" s="52" t="s">
        <v>26</v>
      </c>
      <c r="G5915" s="53"/>
    </row>
    <row r="5916">
      <c r="A5916" s="49">
        <v>45083.28198835648</v>
      </c>
      <c r="B5916" s="50">
        <v>45083.4069579166</v>
      </c>
      <c r="C5916" s="51">
        <v>1.008</v>
      </c>
      <c r="D5916" s="51">
        <v>68.0</v>
      </c>
      <c r="E5916" s="52" t="s">
        <v>25</v>
      </c>
      <c r="F5916" s="52" t="s">
        <v>26</v>
      </c>
      <c r="G5916" s="53"/>
    </row>
    <row r="5917">
      <c r="A5917" s="49">
        <v>45083.292406782406</v>
      </c>
      <c r="B5917" s="50">
        <v>45083.4173785763</v>
      </c>
      <c r="C5917" s="51">
        <v>1.008</v>
      </c>
      <c r="D5917" s="51">
        <v>68.0</v>
      </c>
      <c r="E5917" s="52" t="s">
        <v>25</v>
      </c>
      <c r="F5917" s="52" t="s">
        <v>26</v>
      </c>
      <c r="G5917" s="53"/>
    </row>
    <row r="5918">
      <c r="A5918" s="49">
        <v>45083.30284725694</v>
      </c>
      <c r="B5918" s="50">
        <v>45083.4277980671</v>
      </c>
      <c r="C5918" s="51">
        <v>1.008</v>
      </c>
      <c r="D5918" s="51">
        <v>68.0</v>
      </c>
      <c r="E5918" s="52" t="s">
        <v>25</v>
      </c>
      <c r="F5918" s="52" t="s">
        <v>26</v>
      </c>
      <c r="G5918" s="53"/>
    </row>
    <row r="5919">
      <c r="A5919" s="49">
        <v>45083.31326105324</v>
      </c>
      <c r="B5919" s="50">
        <v>45083.4382176967</v>
      </c>
      <c r="C5919" s="51">
        <v>1.008</v>
      </c>
      <c r="D5919" s="51">
        <v>68.0</v>
      </c>
      <c r="E5919" s="52" t="s">
        <v>25</v>
      </c>
      <c r="F5919" s="52" t="s">
        <v>26</v>
      </c>
      <c r="G5919" s="53"/>
    </row>
    <row r="5920">
      <c r="A5920" s="49">
        <v>45083.32369171296</v>
      </c>
      <c r="B5920" s="50">
        <v>45083.448639537</v>
      </c>
      <c r="C5920" s="51">
        <v>1.008</v>
      </c>
      <c r="D5920" s="51">
        <v>68.0</v>
      </c>
      <c r="E5920" s="52" t="s">
        <v>25</v>
      </c>
      <c r="F5920" s="52" t="s">
        <v>26</v>
      </c>
      <c r="G5920" s="53"/>
    </row>
    <row r="5921">
      <c r="A5921" s="49">
        <v>45083.33410790509</v>
      </c>
      <c r="B5921" s="50">
        <v>45083.4590613541</v>
      </c>
      <c r="C5921" s="51">
        <v>1.008</v>
      </c>
      <c r="D5921" s="51">
        <v>68.0</v>
      </c>
      <c r="E5921" s="52" t="s">
        <v>25</v>
      </c>
      <c r="F5921" s="52" t="s">
        <v>26</v>
      </c>
      <c r="G5921" s="53"/>
    </row>
    <row r="5922">
      <c r="A5922" s="49">
        <v>45083.34453465277</v>
      </c>
      <c r="B5922" s="50">
        <v>45083.469482037</v>
      </c>
      <c r="C5922" s="51">
        <v>1.008</v>
      </c>
      <c r="D5922" s="51">
        <v>68.0</v>
      </c>
      <c r="E5922" s="52" t="s">
        <v>25</v>
      </c>
      <c r="F5922" s="52" t="s">
        <v>26</v>
      </c>
      <c r="G5922" s="53"/>
    </row>
    <row r="5923">
      <c r="A5923" s="49">
        <v>45083.354986770835</v>
      </c>
      <c r="B5923" s="50">
        <v>45083.4799154282</v>
      </c>
      <c r="C5923" s="51">
        <v>1.008</v>
      </c>
      <c r="D5923" s="51">
        <v>68.0</v>
      </c>
      <c r="E5923" s="52" t="s">
        <v>25</v>
      </c>
      <c r="F5923" s="52" t="s">
        <v>26</v>
      </c>
      <c r="G5923" s="53"/>
    </row>
    <row r="5924">
      <c r="A5924" s="49">
        <v>45083.36539555556</v>
      </c>
      <c r="B5924" s="50">
        <v>45083.4903474189</v>
      </c>
      <c r="C5924" s="51">
        <v>1.008</v>
      </c>
      <c r="D5924" s="51">
        <v>68.0</v>
      </c>
      <c r="E5924" s="52" t="s">
        <v>25</v>
      </c>
      <c r="F5924" s="52" t="s">
        <v>26</v>
      </c>
      <c r="G5924" s="53"/>
    </row>
    <row r="5925">
      <c r="A5925" s="49">
        <v>45083.37581508102</v>
      </c>
      <c r="B5925" s="50">
        <v>45083.5007677314</v>
      </c>
      <c r="C5925" s="51">
        <v>1.008</v>
      </c>
      <c r="D5925" s="51">
        <v>68.0</v>
      </c>
      <c r="E5925" s="52" t="s">
        <v>25</v>
      </c>
      <c r="F5925" s="52" t="s">
        <v>26</v>
      </c>
      <c r="G5925" s="53"/>
    </row>
    <row r="5926">
      <c r="A5926" s="49">
        <v>45083.386228668984</v>
      </c>
      <c r="B5926" s="50">
        <v>45083.5111868865</v>
      </c>
      <c r="C5926" s="51">
        <v>1.008</v>
      </c>
      <c r="D5926" s="51">
        <v>68.0</v>
      </c>
      <c r="E5926" s="52" t="s">
        <v>25</v>
      </c>
      <c r="F5926" s="52" t="s">
        <v>26</v>
      </c>
      <c r="G5926" s="53"/>
    </row>
    <row r="5927">
      <c r="A5927" s="49">
        <v>45083.39667354166</v>
      </c>
      <c r="B5927" s="50">
        <v>45083.5216082754</v>
      </c>
      <c r="C5927" s="51">
        <v>1.008</v>
      </c>
      <c r="D5927" s="51">
        <v>68.0</v>
      </c>
      <c r="E5927" s="52" t="s">
        <v>25</v>
      </c>
      <c r="F5927" s="52" t="s">
        <v>26</v>
      </c>
      <c r="G5927" s="53"/>
    </row>
    <row r="5928">
      <c r="A5928" s="49">
        <v>45083.407093483795</v>
      </c>
      <c r="B5928" s="50">
        <v>45083.5320416203</v>
      </c>
      <c r="C5928" s="51">
        <v>1.008</v>
      </c>
      <c r="D5928" s="51">
        <v>68.0</v>
      </c>
      <c r="E5928" s="52" t="s">
        <v>25</v>
      </c>
      <c r="F5928" s="52" t="s">
        <v>26</v>
      </c>
      <c r="G5928" s="53"/>
    </row>
    <row r="5929">
      <c r="A5929" s="49">
        <v>45083.41752408565</v>
      </c>
      <c r="B5929" s="50">
        <v>45083.5424621527</v>
      </c>
      <c r="C5929" s="51">
        <v>1.008</v>
      </c>
      <c r="D5929" s="51">
        <v>68.0</v>
      </c>
      <c r="E5929" s="52" t="s">
        <v>25</v>
      </c>
      <c r="F5929" s="52" t="s">
        <v>26</v>
      </c>
      <c r="G5929" s="53"/>
    </row>
    <row r="5930">
      <c r="A5930" s="49">
        <v>45083.427945324074</v>
      </c>
      <c r="B5930" s="50">
        <v>45083.5528819328</v>
      </c>
      <c r="C5930" s="51">
        <v>1.008</v>
      </c>
      <c r="D5930" s="51">
        <v>68.0</v>
      </c>
      <c r="E5930" s="52" t="s">
        <v>25</v>
      </c>
      <c r="F5930" s="52" t="s">
        <v>26</v>
      </c>
      <c r="G5930" s="53"/>
    </row>
    <row r="5931">
      <c r="A5931" s="49">
        <v>45083.43835865741</v>
      </c>
      <c r="B5931" s="50">
        <v>45083.5633032523</v>
      </c>
      <c r="C5931" s="51">
        <v>1.008</v>
      </c>
      <c r="D5931" s="51">
        <v>68.0</v>
      </c>
      <c r="E5931" s="52" t="s">
        <v>25</v>
      </c>
      <c r="F5931" s="52" t="s">
        <v>26</v>
      </c>
      <c r="G5931" s="53"/>
    </row>
    <row r="5932">
      <c r="A5932" s="49">
        <v>45083.44878799768</v>
      </c>
      <c r="B5932" s="50">
        <v>45083.573725162</v>
      </c>
      <c r="C5932" s="51">
        <v>1.008</v>
      </c>
      <c r="D5932" s="51">
        <v>68.0</v>
      </c>
      <c r="E5932" s="52" t="s">
        <v>25</v>
      </c>
      <c r="F5932" s="52" t="s">
        <v>26</v>
      </c>
      <c r="G5932" s="53"/>
    </row>
    <row r="5933">
      <c r="A5933" s="49">
        <v>45083.459211354166</v>
      </c>
      <c r="B5933" s="50">
        <v>45083.5841465509</v>
      </c>
      <c r="C5933" s="51">
        <v>1.008</v>
      </c>
      <c r="D5933" s="51">
        <v>68.0</v>
      </c>
      <c r="E5933" s="52" t="s">
        <v>25</v>
      </c>
      <c r="F5933" s="52" t="s">
        <v>26</v>
      </c>
      <c r="G5933" s="53"/>
    </row>
    <row r="5934">
      <c r="A5934" s="49">
        <v>45083.469628356484</v>
      </c>
      <c r="B5934" s="50">
        <v>45083.5945688541</v>
      </c>
      <c r="C5934" s="51">
        <v>1.008</v>
      </c>
      <c r="D5934" s="51">
        <v>68.0</v>
      </c>
      <c r="E5934" s="52" t="s">
        <v>25</v>
      </c>
      <c r="F5934" s="52" t="s">
        <v>26</v>
      </c>
      <c r="G5934" s="53"/>
    </row>
    <row r="5935">
      <c r="A5935" s="49">
        <v>45083.48004440972</v>
      </c>
      <c r="B5935" s="50">
        <v>45083.604990243</v>
      </c>
      <c r="C5935" s="51">
        <v>1.008</v>
      </c>
      <c r="D5935" s="51">
        <v>68.0</v>
      </c>
      <c r="E5935" s="52" t="s">
        <v>25</v>
      </c>
      <c r="F5935" s="52" t="s">
        <v>26</v>
      </c>
      <c r="G5935" s="53"/>
    </row>
    <row r="5936">
      <c r="A5936" s="49">
        <v>45083.49047991898</v>
      </c>
      <c r="B5936" s="50">
        <v>45083.6154126736</v>
      </c>
      <c r="C5936" s="51">
        <v>1.008</v>
      </c>
      <c r="D5936" s="51">
        <v>68.0</v>
      </c>
      <c r="E5936" s="52" t="s">
        <v>25</v>
      </c>
      <c r="F5936" s="52" t="s">
        <v>26</v>
      </c>
      <c r="G5936" s="53"/>
    </row>
    <row r="5937">
      <c r="A5937" s="49">
        <v>45083.500902141204</v>
      </c>
      <c r="B5937" s="50">
        <v>45083.6258330208</v>
      </c>
      <c r="C5937" s="51">
        <v>1.008</v>
      </c>
      <c r="D5937" s="51">
        <v>68.0</v>
      </c>
      <c r="E5937" s="52" t="s">
        <v>25</v>
      </c>
      <c r="F5937" s="52" t="s">
        <v>26</v>
      </c>
      <c r="G5937" s="53"/>
    </row>
    <row r="5938">
      <c r="A5938" s="49">
        <v>45083.51131203704</v>
      </c>
      <c r="B5938" s="50">
        <v>45083.6362661921</v>
      </c>
      <c r="C5938" s="51">
        <v>1.008</v>
      </c>
      <c r="D5938" s="51">
        <v>68.0</v>
      </c>
      <c r="E5938" s="52" t="s">
        <v>25</v>
      </c>
      <c r="F5938" s="52" t="s">
        <v>26</v>
      </c>
      <c r="G5938" s="53"/>
    </row>
    <row r="5939">
      <c r="A5939" s="49">
        <v>45083.521745011574</v>
      </c>
      <c r="B5939" s="50">
        <v>45083.6466867939</v>
      </c>
      <c r="C5939" s="51">
        <v>1.008</v>
      </c>
      <c r="D5939" s="51">
        <v>68.0</v>
      </c>
      <c r="E5939" s="52" t="s">
        <v>25</v>
      </c>
      <c r="F5939" s="52" t="s">
        <v>26</v>
      </c>
      <c r="G5939" s="53"/>
    </row>
    <row r="5940">
      <c r="A5940" s="49">
        <v>45083.5321640162</v>
      </c>
      <c r="B5940" s="50">
        <v>45083.6571086805</v>
      </c>
      <c r="C5940" s="51">
        <v>1.008</v>
      </c>
      <c r="D5940" s="51">
        <v>68.0</v>
      </c>
      <c r="E5940" s="52" t="s">
        <v>25</v>
      </c>
      <c r="F5940" s="52" t="s">
        <v>26</v>
      </c>
      <c r="G5940" s="53"/>
    </row>
    <row r="5941">
      <c r="A5941" s="49">
        <v>45083.54258472222</v>
      </c>
      <c r="B5941" s="50">
        <v>45083.6675303703</v>
      </c>
      <c r="C5941" s="51">
        <v>1.008</v>
      </c>
      <c r="D5941" s="51">
        <v>68.0</v>
      </c>
      <c r="E5941" s="52" t="s">
        <v>25</v>
      </c>
      <c r="F5941" s="52" t="s">
        <v>26</v>
      </c>
      <c r="G5941" s="53"/>
    </row>
    <row r="5942">
      <c r="A5942" s="49">
        <v>45083.55299599537</v>
      </c>
      <c r="B5942" s="50">
        <v>45083.6779517013</v>
      </c>
      <c r="C5942" s="51">
        <v>1.008</v>
      </c>
      <c r="D5942" s="51">
        <v>68.0</v>
      </c>
      <c r="E5942" s="52" t="s">
        <v>25</v>
      </c>
      <c r="F5942" s="52" t="s">
        <v>26</v>
      </c>
      <c r="G5942" s="53"/>
    </row>
    <row r="5943">
      <c r="A5943" s="49">
        <v>45083.56342078703</v>
      </c>
      <c r="B5943" s="50">
        <v>45083.6883736921</v>
      </c>
      <c r="C5943" s="51">
        <v>1.008</v>
      </c>
      <c r="D5943" s="51">
        <v>68.0</v>
      </c>
      <c r="E5943" s="52" t="s">
        <v>25</v>
      </c>
      <c r="F5943" s="52" t="s">
        <v>26</v>
      </c>
      <c r="G5943" s="53"/>
    </row>
    <row r="5944">
      <c r="A5944" s="49">
        <v>45083.57386128472</v>
      </c>
      <c r="B5944" s="50">
        <v>45083.6988049074</v>
      </c>
      <c r="C5944" s="51">
        <v>1.008</v>
      </c>
      <c r="D5944" s="51">
        <v>68.0</v>
      </c>
      <c r="E5944" s="52" t="s">
        <v>25</v>
      </c>
      <c r="F5944" s="52" t="s">
        <v>26</v>
      </c>
      <c r="G5944" s="53"/>
    </row>
    <row r="5945">
      <c r="A5945" s="49">
        <v>45083.584279849536</v>
      </c>
      <c r="B5945" s="50">
        <v>45083.70923875</v>
      </c>
      <c r="C5945" s="51">
        <v>1.008</v>
      </c>
      <c r="D5945" s="51">
        <v>68.0</v>
      </c>
      <c r="E5945" s="52" t="s">
        <v>25</v>
      </c>
      <c r="F5945" s="52" t="s">
        <v>26</v>
      </c>
      <c r="G5945" s="53"/>
    </row>
    <row r="5946">
      <c r="A5946" s="49">
        <v>45083.594709178244</v>
      </c>
      <c r="B5946" s="50">
        <v>45083.7196849652</v>
      </c>
      <c r="C5946" s="51">
        <v>1.008</v>
      </c>
      <c r="D5946" s="51">
        <v>68.0</v>
      </c>
      <c r="E5946" s="52" t="s">
        <v>25</v>
      </c>
      <c r="F5946" s="52" t="s">
        <v>26</v>
      </c>
      <c r="G5946" s="53"/>
    </row>
    <row r="5947">
      <c r="A5947" s="49">
        <v>45083.60513427084</v>
      </c>
      <c r="B5947" s="50">
        <v>45083.7301071527</v>
      </c>
      <c r="C5947" s="51">
        <v>1.008</v>
      </c>
      <c r="D5947" s="51">
        <v>68.0</v>
      </c>
      <c r="E5947" s="52" t="s">
        <v>25</v>
      </c>
      <c r="F5947" s="52" t="s">
        <v>26</v>
      </c>
      <c r="G5947" s="53"/>
    </row>
    <row r="5948">
      <c r="A5948" s="49">
        <v>45083.61556465278</v>
      </c>
      <c r="B5948" s="50">
        <v>45083.7405280671</v>
      </c>
      <c r="C5948" s="51">
        <v>1.008</v>
      </c>
      <c r="D5948" s="51">
        <v>68.0</v>
      </c>
      <c r="E5948" s="52" t="s">
        <v>25</v>
      </c>
      <c r="F5948" s="52" t="s">
        <v>26</v>
      </c>
      <c r="G5948" s="53"/>
    </row>
    <row r="5949">
      <c r="A5949" s="49">
        <v>45083.62598694445</v>
      </c>
      <c r="B5949" s="50">
        <v>45083.7509471527</v>
      </c>
      <c r="C5949" s="51">
        <v>1.008</v>
      </c>
      <c r="D5949" s="51">
        <v>68.0</v>
      </c>
      <c r="E5949" s="52" t="s">
        <v>25</v>
      </c>
      <c r="F5949" s="52" t="s">
        <v>26</v>
      </c>
      <c r="G5949" s="53"/>
    </row>
    <row r="5950">
      <c r="A5950" s="49">
        <v>45083.63640819445</v>
      </c>
      <c r="B5950" s="50">
        <v>45083.7613680439</v>
      </c>
      <c r="C5950" s="51">
        <v>1.008</v>
      </c>
      <c r="D5950" s="51">
        <v>68.0</v>
      </c>
      <c r="E5950" s="52" t="s">
        <v>25</v>
      </c>
      <c r="F5950" s="52" t="s">
        <v>26</v>
      </c>
      <c r="G5950" s="53"/>
    </row>
    <row r="5951">
      <c r="A5951" s="49">
        <v>45083.64683170139</v>
      </c>
      <c r="B5951" s="50">
        <v>45083.7717863657</v>
      </c>
      <c r="C5951" s="51">
        <v>1.008</v>
      </c>
      <c r="D5951" s="51">
        <v>68.0</v>
      </c>
      <c r="E5951" s="52" t="s">
        <v>25</v>
      </c>
      <c r="F5951" s="52" t="s">
        <v>26</v>
      </c>
      <c r="G5951" s="53"/>
    </row>
    <row r="5952">
      <c r="A5952" s="49">
        <v>45083.65724793982</v>
      </c>
      <c r="B5952" s="50">
        <v>45083.7822072453</v>
      </c>
      <c r="C5952" s="51">
        <v>1.008</v>
      </c>
      <c r="D5952" s="51">
        <v>68.0</v>
      </c>
      <c r="E5952" s="52" t="s">
        <v>25</v>
      </c>
      <c r="F5952" s="52" t="s">
        <v>26</v>
      </c>
      <c r="G5952" s="53"/>
    </row>
    <row r="5953">
      <c r="A5953" s="49">
        <v>45083.66767513889</v>
      </c>
      <c r="B5953" s="50">
        <v>45083.792640949</v>
      </c>
      <c r="C5953" s="51">
        <v>1.008</v>
      </c>
      <c r="D5953" s="51">
        <v>68.0</v>
      </c>
      <c r="E5953" s="52" t="s">
        <v>25</v>
      </c>
      <c r="F5953" s="52" t="s">
        <v>26</v>
      </c>
      <c r="G5953" s="53"/>
    </row>
    <row r="5954">
      <c r="A5954" s="49">
        <v>45083.678093738425</v>
      </c>
      <c r="B5954" s="50">
        <v>45083.8030723726</v>
      </c>
      <c r="C5954" s="51">
        <v>1.008</v>
      </c>
      <c r="D5954" s="51">
        <v>68.0</v>
      </c>
      <c r="E5954" s="52" t="s">
        <v>25</v>
      </c>
      <c r="F5954" s="52" t="s">
        <v>26</v>
      </c>
      <c r="G5954" s="53"/>
    </row>
    <row r="5955">
      <c r="A5955" s="49">
        <v>45083.68853339121</v>
      </c>
      <c r="B5955" s="50">
        <v>45083.8135067361</v>
      </c>
      <c r="C5955" s="51">
        <v>1.008</v>
      </c>
      <c r="D5955" s="51">
        <v>68.0</v>
      </c>
      <c r="E5955" s="52" t="s">
        <v>25</v>
      </c>
      <c r="F5955" s="52" t="s">
        <v>26</v>
      </c>
      <c r="G5955" s="53"/>
    </row>
    <row r="5956">
      <c r="A5956" s="49">
        <v>45083.69895994213</v>
      </c>
      <c r="B5956" s="50">
        <v>45083.8239407407</v>
      </c>
      <c r="C5956" s="51">
        <v>1.008</v>
      </c>
      <c r="D5956" s="51">
        <v>68.0</v>
      </c>
      <c r="E5956" s="52" t="s">
        <v>25</v>
      </c>
      <c r="F5956" s="52" t="s">
        <v>26</v>
      </c>
      <c r="G5956" s="53"/>
    </row>
    <row r="5957">
      <c r="A5957" s="49">
        <v>45083.70938863426</v>
      </c>
      <c r="B5957" s="50">
        <v>45083.8343619791</v>
      </c>
      <c r="C5957" s="51">
        <v>1.008</v>
      </c>
      <c r="D5957" s="51">
        <v>68.0</v>
      </c>
      <c r="E5957" s="52" t="s">
        <v>25</v>
      </c>
      <c r="F5957" s="52" t="s">
        <v>26</v>
      </c>
      <c r="G5957" s="53"/>
    </row>
    <row r="5958">
      <c r="A5958" s="49">
        <v>45083.719806608795</v>
      </c>
      <c r="B5958" s="50">
        <v>45083.8447841666</v>
      </c>
      <c r="C5958" s="51">
        <v>1.008</v>
      </c>
      <c r="D5958" s="51">
        <v>68.0</v>
      </c>
      <c r="E5958" s="52" t="s">
        <v>25</v>
      </c>
      <c r="F5958" s="52" t="s">
        <v>26</v>
      </c>
      <c r="G5958" s="53"/>
    </row>
    <row r="5959">
      <c r="A5959" s="49">
        <v>45083.73022730324</v>
      </c>
      <c r="B5959" s="50">
        <v>45083.8552047222</v>
      </c>
      <c r="C5959" s="51">
        <v>1.008</v>
      </c>
      <c r="D5959" s="51">
        <v>68.0</v>
      </c>
      <c r="E5959" s="52" t="s">
        <v>25</v>
      </c>
      <c r="F5959" s="52" t="s">
        <v>26</v>
      </c>
      <c r="G5959" s="53"/>
    </row>
    <row r="5960">
      <c r="A5960" s="49">
        <v>45083.74065965277</v>
      </c>
      <c r="B5960" s="50">
        <v>45083.8656258333</v>
      </c>
      <c r="C5960" s="51">
        <v>1.008</v>
      </c>
      <c r="D5960" s="51">
        <v>68.0</v>
      </c>
      <c r="E5960" s="52" t="s">
        <v>25</v>
      </c>
      <c r="F5960" s="52" t="s">
        <v>26</v>
      </c>
      <c r="G5960" s="53"/>
    </row>
    <row r="5961">
      <c r="A5961" s="49">
        <v>45083.75108469908</v>
      </c>
      <c r="B5961" s="50">
        <v>45083.8760576736</v>
      </c>
      <c r="C5961" s="51">
        <v>1.008</v>
      </c>
      <c r="D5961" s="51">
        <v>68.0</v>
      </c>
      <c r="E5961" s="52" t="s">
        <v>25</v>
      </c>
      <c r="F5961" s="52" t="s">
        <v>26</v>
      </c>
      <c r="G5961" s="53"/>
    </row>
    <row r="5962">
      <c r="A5962" s="49">
        <v>45083.76150390046</v>
      </c>
      <c r="B5962" s="50">
        <v>45083.8864767245</v>
      </c>
      <c r="C5962" s="51">
        <v>1.008</v>
      </c>
      <c r="D5962" s="51">
        <v>68.0</v>
      </c>
      <c r="E5962" s="52" t="s">
        <v>25</v>
      </c>
      <c r="F5962" s="52" t="s">
        <v>26</v>
      </c>
      <c r="G5962" s="53"/>
    </row>
    <row r="5963">
      <c r="A5963" s="49">
        <v>45083.77194872685</v>
      </c>
      <c r="B5963" s="50">
        <v>45083.8968968287</v>
      </c>
      <c r="C5963" s="51">
        <v>1.008</v>
      </c>
      <c r="D5963" s="51">
        <v>68.0</v>
      </c>
      <c r="E5963" s="52" t="s">
        <v>25</v>
      </c>
      <c r="F5963" s="52" t="s">
        <v>26</v>
      </c>
      <c r="G5963" s="53"/>
    </row>
    <row r="5964">
      <c r="A5964" s="49">
        <v>45083.78236938658</v>
      </c>
      <c r="B5964" s="50">
        <v>45083.9073189583</v>
      </c>
      <c r="C5964" s="51">
        <v>1.008</v>
      </c>
      <c r="D5964" s="51">
        <v>68.0</v>
      </c>
      <c r="E5964" s="52" t="s">
        <v>25</v>
      </c>
      <c r="F5964" s="52" t="s">
        <v>26</v>
      </c>
      <c r="G5964" s="53"/>
    </row>
    <row r="5965">
      <c r="A5965" s="49">
        <v>45083.79278099537</v>
      </c>
      <c r="B5965" s="50">
        <v>45083.9177535185</v>
      </c>
      <c r="C5965" s="51">
        <v>1.008</v>
      </c>
      <c r="D5965" s="51">
        <v>68.0</v>
      </c>
      <c r="E5965" s="52" t="s">
        <v>25</v>
      </c>
      <c r="F5965" s="52" t="s">
        <v>26</v>
      </c>
      <c r="G5965" s="53"/>
    </row>
    <row r="5966">
      <c r="A5966" s="49">
        <v>45083.803206122684</v>
      </c>
      <c r="B5966" s="50">
        <v>45083.9281743981</v>
      </c>
      <c r="C5966" s="51">
        <v>1.008</v>
      </c>
      <c r="D5966" s="51">
        <v>68.0</v>
      </c>
      <c r="E5966" s="52" t="s">
        <v>25</v>
      </c>
      <c r="F5966" s="52" t="s">
        <v>26</v>
      </c>
      <c r="G5966" s="53"/>
    </row>
    <row r="5967">
      <c r="A5967" s="49">
        <v>45083.813635949075</v>
      </c>
      <c r="B5967" s="50">
        <v>45083.9386069676</v>
      </c>
      <c r="C5967" s="51">
        <v>1.008</v>
      </c>
      <c r="D5967" s="51">
        <v>68.0</v>
      </c>
      <c r="E5967" s="52" t="s">
        <v>25</v>
      </c>
      <c r="F5967" s="52" t="s">
        <v>26</v>
      </c>
      <c r="G5967" s="53"/>
    </row>
    <row r="5968">
      <c r="A5968" s="49">
        <v>45083.82405322917</v>
      </c>
      <c r="B5968" s="50">
        <v>45083.9490267476</v>
      </c>
      <c r="C5968" s="51">
        <v>1.008</v>
      </c>
      <c r="D5968" s="51">
        <v>68.0</v>
      </c>
      <c r="E5968" s="52" t="s">
        <v>25</v>
      </c>
      <c r="F5968" s="52" t="s">
        <v>26</v>
      </c>
      <c r="G5968" s="53"/>
    </row>
    <row r="5969">
      <c r="A5969" s="49">
        <v>45083.83447901621</v>
      </c>
      <c r="B5969" s="50">
        <v>45083.95944875</v>
      </c>
      <c r="C5969" s="51">
        <v>1.008</v>
      </c>
      <c r="D5969" s="51">
        <v>68.0</v>
      </c>
      <c r="E5969" s="52" t="s">
        <v>25</v>
      </c>
      <c r="F5969" s="52" t="s">
        <v>26</v>
      </c>
      <c r="G5969" s="53"/>
    </row>
    <row r="5970">
      <c r="A5970" s="49">
        <v>45083.84490165509</v>
      </c>
      <c r="B5970" s="50">
        <v>45083.9698708333</v>
      </c>
      <c r="C5970" s="51">
        <v>1.008</v>
      </c>
      <c r="D5970" s="51">
        <v>68.0</v>
      </c>
      <c r="E5970" s="52" t="s">
        <v>25</v>
      </c>
      <c r="F5970" s="52" t="s">
        <v>26</v>
      </c>
      <c r="G5970" s="53"/>
    </row>
    <row r="5971">
      <c r="A5971" s="49">
        <v>45083.85536596065</v>
      </c>
      <c r="B5971" s="50">
        <v>45083.9802915625</v>
      </c>
      <c r="C5971" s="51">
        <v>1.008</v>
      </c>
      <c r="D5971" s="51">
        <v>68.0</v>
      </c>
      <c r="E5971" s="52" t="s">
        <v>25</v>
      </c>
      <c r="F5971" s="52" t="s">
        <v>26</v>
      </c>
      <c r="G5971" s="53"/>
    </row>
    <row r="5972">
      <c r="A5972" s="49">
        <v>45083.86578184028</v>
      </c>
      <c r="B5972" s="50">
        <v>45083.9907136226</v>
      </c>
      <c r="C5972" s="51">
        <v>1.008</v>
      </c>
      <c r="D5972" s="51">
        <v>68.0</v>
      </c>
      <c r="E5972" s="52" t="s">
        <v>25</v>
      </c>
      <c r="F5972" s="52" t="s">
        <v>26</v>
      </c>
      <c r="G5972" s="53"/>
    </row>
    <row r="5973">
      <c r="A5973" s="49">
        <v>45083.8761978125</v>
      </c>
      <c r="B5973" s="50">
        <v>45084.0011369328</v>
      </c>
      <c r="C5973" s="51">
        <v>1.008</v>
      </c>
      <c r="D5973" s="51">
        <v>68.0</v>
      </c>
      <c r="E5973" s="52" t="s">
        <v>25</v>
      </c>
      <c r="F5973" s="52" t="s">
        <v>26</v>
      </c>
      <c r="G5973" s="53"/>
    </row>
    <row r="5974">
      <c r="A5974" s="49">
        <v>45083.88662113426</v>
      </c>
      <c r="B5974" s="50">
        <v>45084.0115590625</v>
      </c>
      <c r="C5974" s="51">
        <v>1.008</v>
      </c>
      <c r="D5974" s="51">
        <v>68.0</v>
      </c>
      <c r="E5974" s="52" t="s">
        <v>25</v>
      </c>
      <c r="F5974" s="52" t="s">
        <v>26</v>
      </c>
      <c r="G5974" s="53"/>
    </row>
    <row r="5975">
      <c r="A5975" s="49">
        <v>45083.897039386575</v>
      </c>
      <c r="B5975" s="50">
        <v>45084.0219786921</v>
      </c>
      <c r="C5975" s="51">
        <v>1.008</v>
      </c>
      <c r="D5975" s="51">
        <v>68.0</v>
      </c>
      <c r="E5975" s="52" t="s">
        <v>25</v>
      </c>
      <c r="F5975" s="52" t="s">
        <v>26</v>
      </c>
      <c r="G5975" s="53"/>
    </row>
    <row r="5976">
      <c r="A5976" s="49">
        <v>45083.90746292824</v>
      </c>
      <c r="B5976" s="50">
        <v>45084.0324009606</v>
      </c>
      <c r="C5976" s="51">
        <v>1.008</v>
      </c>
      <c r="D5976" s="51">
        <v>68.0</v>
      </c>
      <c r="E5976" s="52" t="s">
        <v>25</v>
      </c>
      <c r="F5976" s="52" t="s">
        <v>26</v>
      </c>
      <c r="G5976" s="53"/>
    </row>
    <row r="5977">
      <c r="A5977" s="49">
        <v>45083.91788332176</v>
      </c>
      <c r="B5977" s="50">
        <v>45084.0428203588</v>
      </c>
      <c r="C5977" s="51">
        <v>1.008</v>
      </c>
      <c r="D5977" s="51">
        <v>68.0</v>
      </c>
      <c r="E5977" s="52" t="s">
        <v>25</v>
      </c>
      <c r="F5977" s="52" t="s">
        <v>26</v>
      </c>
      <c r="G5977" s="53"/>
    </row>
    <row r="5978">
      <c r="A5978" s="49">
        <v>45083.92830255787</v>
      </c>
      <c r="B5978" s="50">
        <v>45084.0532404166</v>
      </c>
      <c r="C5978" s="51">
        <v>1.007</v>
      </c>
      <c r="D5978" s="51">
        <v>68.0</v>
      </c>
      <c r="E5978" s="52" t="s">
        <v>25</v>
      </c>
      <c r="F5978" s="52" t="s">
        <v>26</v>
      </c>
      <c r="G5978" s="53"/>
    </row>
    <row r="5979">
      <c r="A5979" s="49">
        <v>45083.93872278935</v>
      </c>
      <c r="B5979" s="50">
        <v>45084.0636616666</v>
      </c>
      <c r="C5979" s="51">
        <v>1.008</v>
      </c>
      <c r="D5979" s="51">
        <v>68.0</v>
      </c>
      <c r="E5979" s="52" t="s">
        <v>25</v>
      </c>
      <c r="F5979" s="52" t="s">
        <v>26</v>
      </c>
      <c r="G5979" s="53"/>
    </row>
    <row r="5980">
      <c r="A5980" s="49">
        <v>45083.949142893514</v>
      </c>
      <c r="B5980" s="50">
        <v>45084.0740933101</v>
      </c>
      <c r="C5980" s="51">
        <v>1.008</v>
      </c>
      <c r="D5980" s="51">
        <v>68.0</v>
      </c>
      <c r="E5980" s="52" t="s">
        <v>25</v>
      </c>
      <c r="F5980" s="52" t="s">
        <v>26</v>
      </c>
      <c r="G5980" s="53"/>
    </row>
    <row r="5981">
      <c r="A5981" s="49">
        <v>45083.95957545139</v>
      </c>
      <c r="B5981" s="50">
        <v>45084.0845139236</v>
      </c>
      <c r="C5981" s="51">
        <v>1.008</v>
      </c>
      <c r="D5981" s="51">
        <v>68.0</v>
      </c>
      <c r="E5981" s="52" t="s">
        <v>25</v>
      </c>
      <c r="F5981" s="52" t="s">
        <v>26</v>
      </c>
      <c r="G5981" s="53"/>
    </row>
    <row r="5982">
      <c r="A5982" s="49">
        <v>45083.970003483795</v>
      </c>
      <c r="B5982" s="50">
        <v>45084.094935243</v>
      </c>
      <c r="C5982" s="51">
        <v>1.008</v>
      </c>
      <c r="D5982" s="51">
        <v>68.0</v>
      </c>
      <c r="E5982" s="52" t="s">
        <v>25</v>
      </c>
      <c r="F5982" s="52" t="s">
        <v>26</v>
      </c>
      <c r="G5982" s="53"/>
    </row>
    <row r="5983">
      <c r="A5983" s="49">
        <v>45083.98043483796</v>
      </c>
      <c r="B5983" s="50">
        <v>45084.1053567129</v>
      </c>
      <c r="C5983" s="51">
        <v>1.008</v>
      </c>
      <c r="D5983" s="51">
        <v>68.0</v>
      </c>
      <c r="E5983" s="52" t="s">
        <v>25</v>
      </c>
      <c r="F5983" s="52" t="s">
        <v>26</v>
      </c>
      <c r="G5983" s="53"/>
    </row>
    <row r="5984">
      <c r="A5984" s="49">
        <v>45083.99079831019</v>
      </c>
      <c r="B5984" s="50">
        <v>45084.115777824</v>
      </c>
      <c r="C5984" s="51">
        <v>1.008</v>
      </c>
      <c r="D5984" s="51">
        <v>68.0</v>
      </c>
      <c r="E5984" s="52" t="s">
        <v>25</v>
      </c>
      <c r="F5984" s="52" t="s">
        <v>26</v>
      </c>
      <c r="G5984" s="53"/>
    </row>
    <row r="5985">
      <c r="A5985" s="49">
        <v>45084.001280972225</v>
      </c>
      <c r="B5985" s="50">
        <v>45084.1261981828</v>
      </c>
      <c r="C5985" s="51">
        <v>1.008</v>
      </c>
      <c r="D5985" s="51">
        <v>68.0</v>
      </c>
      <c r="E5985" s="52" t="s">
        <v>25</v>
      </c>
      <c r="F5985" s="52" t="s">
        <v>26</v>
      </c>
      <c r="G5985" s="53"/>
    </row>
    <row r="5986">
      <c r="A5986" s="49">
        <v>45084.011693611115</v>
      </c>
      <c r="B5986" s="50">
        <v>45084.1366198148</v>
      </c>
      <c r="C5986" s="51">
        <v>1.008</v>
      </c>
      <c r="D5986" s="51">
        <v>68.0</v>
      </c>
      <c r="E5986" s="52" t="s">
        <v>25</v>
      </c>
      <c r="F5986" s="52" t="s">
        <v>26</v>
      </c>
      <c r="G5986" s="53"/>
    </row>
    <row r="5987">
      <c r="A5987" s="49">
        <v>45084.02211885416</v>
      </c>
      <c r="B5987" s="50">
        <v>45084.1470418518</v>
      </c>
      <c r="C5987" s="51">
        <v>1.008</v>
      </c>
      <c r="D5987" s="51">
        <v>68.0</v>
      </c>
      <c r="E5987" s="52" t="s">
        <v>25</v>
      </c>
      <c r="F5987" s="52" t="s">
        <v>26</v>
      </c>
      <c r="G5987" s="53"/>
    </row>
    <row r="5988">
      <c r="A5988" s="49">
        <v>45084.03253480324</v>
      </c>
      <c r="B5988" s="50">
        <v>45084.1574618865</v>
      </c>
      <c r="C5988" s="51">
        <v>1.008</v>
      </c>
      <c r="D5988" s="51">
        <v>68.0</v>
      </c>
      <c r="E5988" s="52" t="s">
        <v>25</v>
      </c>
      <c r="F5988" s="52" t="s">
        <v>26</v>
      </c>
      <c r="G5988" s="53"/>
    </row>
    <row r="5989">
      <c r="A5989" s="49">
        <v>45084.04295944444</v>
      </c>
      <c r="B5989" s="50">
        <v>45084.1678953703</v>
      </c>
      <c r="C5989" s="51">
        <v>1.008</v>
      </c>
      <c r="D5989" s="51">
        <v>68.0</v>
      </c>
      <c r="E5989" s="52" t="s">
        <v>25</v>
      </c>
      <c r="F5989" s="52" t="s">
        <v>26</v>
      </c>
      <c r="G5989" s="53"/>
    </row>
    <row r="5990">
      <c r="A5990" s="49">
        <v>45084.05338991898</v>
      </c>
      <c r="B5990" s="50">
        <v>45084.1783279513</v>
      </c>
      <c r="C5990" s="51">
        <v>1.008</v>
      </c>
      <c r="D5990" s="51">
        <v>68.0</v>
      </c>
      <c r="E5990" s="52" t="s">
        <v>25</v>
      </c>
      <c r="F5990" s="52" t="s">
        <v>26</v>
      </c>
      <c r="G5990" s="53"/>
    </row>
    <row r="5991">
      <c r="A5991" s="49">
        <v>45084.06383534722</v>
      </c>
      <c r="B5991" s="50">
        <v>45084.1887836805</v>
      </c>
      <c r="C5991" s="51">
        <v>1.008</v>
      </c>
      <c r="D5991" s="51">
        <v>68.0</v>
      </c>
      <c r="E5991" s="52" t="s">
        <v>25</v>
      </c>
      <c r="F5991" s="52" t="s">
        <v>26</v>
      </c>
      <c r="G5991" s="53"/>
    </row>
    <row r="5992">
      <c r="A5992" s="49">
        <v>45084.074261076385</v>
      </c>
      <c r="B5992" s="50">
        <v>45084.1992047685</v>
      </c>
      <c r="C5992" s="51">
        <v>1.008</v>
      </c>
      <c r="D5992" s="51">
        <v>68.0</v>
      </c>
      <c r="E5992" s="52" t="s">
        <v>25</v>
      </c>
      <c r="F5992" s="52" t="s">
        <v>26</v>
      </c>
      <c r="G5992" s="53"/>
    </row>
    <row r="5993">
      <c r="A5993" s="49">
        <v>45084.08468714121</v>
      </c>
      <c r="B5993" s="50">
        <v>45084.2096268518</v>
      </c>
      <c r="C5993" s="51">
        <v>1.008</v>
      </c>
      <c r="D5993" s="51">
        <v>68.0</v>
      </c>
      <c r="E5993" s="52" t="s">
        <v>25</v>
      </c>
      <c r="F5993" s="52" t="s">
        <v>26</v>
      </c>
      <c r="G5993" s="53"/>
    </row>
    <row r="5994">
      <c r="A5994" s="49">
        <v>45084.09510909722</v>
      </c>
      <c r="B5994" s="50">
        <v>45084.2200484722</v>
      </c>
      <c r="C5994" s="51">
        <v>1.008</v>
      </c>
      <c r="D5994" s="51">
        <v>68.0</v>
      </c>
      <c r="E5994" s="52" t="s">
        <v>25</v>
      </c>
      <c r="F5994" s="52" t="s">
        <v>26</v>
      </c>
      <c r="G5994" s="53"/>
    </row>
    <row r="5995">
      <c r="A5995" s="49">
        <v>45084.10550164352</v>
      </c>
      <c r="B5995" s="50">
        <v>45084.2304808101</v>
      </c>
      <c r="C5995" s="51">
        <v>1.008</v>
      </c>
      <c r="D5995" s="51">
        <v>68.0</v>
      </c>
      <c r="E5995" s="52" t="s">
        <v>25</v>
      </c>
      <c r="F5995" s="52" t="s">
        <v>26</v>
      </c>
      <c r="G5995" s="53"/>
    </row>
    <row r="5996">
      <c r="A5996" s="49">
        <v>45084.11599125</v>
      </c>
      <c r="B5996" s="50">
        <v>45084.2409136111</v>
      </c>
      <c r="C5996" s="51">
        <v>1.008</v>
      </c>
      <c r="D5996" s="51">
        <v>68.0</v>
      </c>
      <c r="E5996" s="52" t="s">
        <v>25</v>
      </c>
      <c r="F5996" s="52" t="s">
        <v>26</v>
      </c>
      <c r="G5996" s="53"/>
    </row>
    <row r="5997">
      <c r="A5997" s="49">
        <v>45084.12636083333</v>
      </c>
      <c r="B5997" s="50">
        <v>45084.2513334143</v>
      </c>
      <c r="C5997" s="51">
        <v>1.008</v>
      </c>
      <c r="D5997" s="51">
        <v>68.0</v>
      </c>
      <c r="E5997" s="52" t="s">
        <v>25</v>
      </c>
      <c r="F5997" s="52" t="s">
        <v>26</v>
      </c>
      <c r="G5997" s="53"/>
    </row>
    <row r="5998">
      <c r="A5998" s="49">
        <v>45084.13678396991</v>
      </c>
      <c r="B5998" s="50">
        <v>45084.2617559143</v>
      </c>
      <c r="C5998" s="51">
        <v>1.008</v>
      </c>
      <c r="D5998" s="51">
        <v>68.0</v>
      </c>
      <c r="E5998" s="52" t="s">
        <v>25</v>
      </c>
      <c r="F5998" s="52" t="s">
        <v>26</v>
      </c>
      <c r="G5998" s="53"/>
    </row>
    <row r="5999">
      <c r="A5999" s="49">
        <v>45084.14720440972</v>
      </c>
      <c r="B5999" s="50">
        <v>45084.2721776157</v>
      </c>
      <c r="C5999" s="51">
        <v>1.008</v>
      </c>
      <c r="D5999" s="51">
        <v>68.0</v>
      </c>
      <c r="E5999" s="52" t="s">
        <v>25</v>
      </c>
      <c r="F5999" s="52" t="s">
        <v>26</v>
      </c>
      <c r="G5999" s="53"/>
    </row>
    <row r="6000">
      <c r="A6000" s="49">
        <v>45084.15763721065</v>
      </c>
      <c r="B6000" s="50">
        <v>45084.2826118518</v>
      </c>
      <c r="C6000" s="51">
        <v>1.008</v>
      </c>
      <c r="D6000" s="51">
        <v>68.0</v>
      </c>
      <c r="E6000" s="52" t="s">
        <v>25</v>
      </c>
      <c r="F6000" s="52" t="s">
        <v>26</v>
      </c>
      <c r="G6000" s="53"/>
    </row>
    <row r="6001">
      <c r="A6001" s="49">
        <v>45084.16805994213</v>
      </c>
      <c r="B6001" s="50">
        <v>45084.2930328703</v>
      </c>
      <c r="C6001" s="51">
        <v>1.008</v>
      </c>
      <c r="D6001" s="51">
        <v>68.0</v>
      </c>
      <c r="E6001" s="52" t="s">
        <v>25</v>
      </c>
      <c r="F6001" s="52" t="s">
        <v>26</v>
      </c>
      <c r="G6001" s="53"/>
    </row>
    <row r="6002">
      <c r="A6002" s="49">
        <v>45084.178541099536</v>
      </c>
      <c r="B6002" s="50">
        <v>45084.3034637731</v>
      </c>
      <c r="C6002" s="51">
        <v>1.008</v>
      </c>
      <c r="D6002" s="51">
        <v>68.0</v>
      </c>
      <c r="E6002" s="52" t="s">
        <v>25</v>
      </c>
      <c r="F6002" s="52" t="s">
        <v>26</v>
      </c>
      <c r="G6002" s="53"/>
    </row>
    <row r="6003">
      <c r="A6003" s="49">
        <v>45084.18890908565</v>
      </c>
      <c r="B6003" s="50">
        <v>45084.3138852546</v>
      </c>
      <c r="C6003" s="51">
        <v>1.008</v>
      </c>
      <c r="D6003" s="51">
        <v>68.0</v>
      </c>
      <c r="E6003" s="52" t="s">
        <v>25</v>
      </c>
      <c r="F6003" s="52" t="s">
        <v>26</v>
      </c>
      <c r="G6003" s="53"/>
    </row>
    <row r="6004">
      <c r="A6004" s="49">
        <v>45084.19934853009</v>
      </c>
      <c r="B6004" s="50">
        <v>45084.3243176273</v>
      </c>
      <c r="C6004" s="51">
        <v>1.008</v>
      </c>
      <c r="D6004" s="51">
        <v>68.0</v>
      </c>
      <c r="E6004" s="52" t="s">
        <v>25</v>
      </c>
      <c r="F6004" s="52" t="s">
        <v>26</v>
      </c>
      <c r="G6004" s="53"/>
    </row>
    <row r="6005">
      <c r="A6005" s="49">
        <v>45084.20976841435</v>
      </c>
      <c r="B6005" s="50">
        <v>45084.3347389699</v>
      </c>
      <c r="C6005" s="51">
        <v>1.008</v>
      </c>
      <c r="D6005" s="51">
        <v>68.0</v>
      </c>
      <c r="E6005" s="52" t="s">
        <v>25</v>
      </c>
      <c r="F6005" s="52" t="s">
        <v>26</v>
      </c>
      <c r="G6005" s="53"/>
    </row>
    <row r="6006">
      <c r="A6006" s="49">
        <v>45084.22018599537</v>
      </c>
      <c r="B6006" s="50">
        <v>45084.3451588425</v>
      </c>
      <c r="C6006" s="51">
        <v>1.008</v>
      </c>
      <c r="D6006" s="51">
        <v>68.0</v>
      </c>
      <c r="E6006" s="52" t="s">
        <v>25</v>
      </c>
      <c r="F6006" s="52" t="s">
        <v>26</v>
      </c>
      <c r="G6006" s="53"/>
    </row>
    <row r="6007">
      <c r="A6007" s="49">
        <v>45084.23062166666</v>
      </c>
      <c r="B6007" s="50">
        <v>45084.3555914583</v>
      </c>
      <c r="C6007" s="51">
        <v>1.008</v>
      </c>
      <c r="D6007" s="51">
        <v>68.0</v>
      </c>
      <c r="E6007" s="52" t="s">
        <v>25</v>
      </c>
      <c r="F6007" s="52" t="s">
        <v>26</v>
      </c>
      <c r="G6007" s="53"/>
    </row>
    <row r="6008">
      <c r="A6008" s="49">
        <v>45084.24110614583</v>
      </c>
      <c r="B6008" s="50">
        <v>45084.3660370601</v>
      </c>
      <c r="C6008" s="51">
        <v>1.008</v>
      </c>
      <c r="D6008" s="51">
        <v>68.0</v>
      </c>
      <c r="E6008" s="52" t="s">
        <v>25</v>
      </c>
      <c r="F6008" s="52" t="s">
        <v>26</v>
      </c>
      <c r="G6008" s="53"/>
    </row>
    <row r="6009">
      <c r="A6009" s="49">
        <v>45084.25152883102</v>
      </c>
      <c r="B6009" s="50">
        <v>45084.3764703935</v>
      </c>
      <c r="C6009" s="51">
        <v>1.008</v>
      </c>
      <c r="D6009" s="51">
        <v>68.0</v>
      </c>
      <c r="E6009" s="52" t="s">
        <v>25</v>
      </c>
      <c r="F6009" s="52" t="s">
        <v>26</v>
      </c>
      <c r="G6009" s="53"/>
    </row>
    <row r="6010">
      <c r="A6010" s="49">
        <v>45084.26195876158</v>
      </c>
      <c r="B6010" s="50">
        <v>45084.3868910763</v>
      </c>
      <c r="C6010" s="51">
        <v>1.008</v>
      </c>
      <c r="D6010" s="51">
        <v>68.0</v>
      </c>
      <c r="E6010" s="52" t="s">
        <v>25</v>
      </c>
      <c r="F6010" s="52" t="s">
        <v>26</v>
      </c>
      <c r="G6010" s="53"/>
    </row>
    <row r="6011">
      <c r="A6011" s="49">
        <v>45084.27238864583</v>
      </c>
      <c r="B6011" s="50">
        <v>45084.3973123958</v>
      </c>
      <c r="C6011" s="51">
        <v>1.008</v>
      </c>
      <c r="D6011" s="51">
        <v>68.0</v>
      </c>
      <c r="E6011" s="52" t="s">
        <v>25</v>
      </c>
      <c r="F6011" s="52" t="s">
        <v>26</v>
      </c>
      <c r="G6011" s="53"/>
    </row>
    <row r="6012">
      <c r="A6012" s="49">
        <v>45084.28276311343</v>
      </c>
      <c r="B6012" s="50">
        <v>45084.4077329282</v>
      </c>
      <c r="C6012" s="51">
        <v>1.008</v>
      </c>
      <c r="D6012" s="51">
        <v>68.0</v>
      </c>
      <c r="E6012" s="52" t="s">
        <v>25</v>
      </c>
      <c r="F6012" s="52" t="s">
        <v>26</v>
      </c>
      <c r="G6012" s="53"/>
    </row>
    <row r="6013">
      <c r="A6013" s="49">
        <v>45084.293184270835</v>
      </c>
      <c r="B6013" s="50">
        <v>45084.4181533217</v>
      </c>
      <c r="C6013" s="51">
        <v>1.008</v>
      </c>
      <c r="D6013" s="51">
        <v>68.0</v>
      </c>
      <c r="E6013" s="52" t="s">
        <v>25</v>
      </c>
      <c r="F6013" s="52" t="s">
        <v>26</v>
      </c>
      <c r="G6013" s="53"/>
    </row>
    <row r="6014">
      <c r="A6014" s="49">
        <v>45084.30368434028</v>
      </c>
      <c r="B6014" s="50">
        <v>45084.428609375</v>
      </c>
      <c r="C6014" s="51">
        <v>1.008</v>
      </c>
      <c r="D6014" s="51">
        <v>68.0</v>
      </c>
      <c r="E6014" s="52" t="s">
        <v>25</v>
      </c>
      <c r="F6014" s="52" t="s">
        <v>26</v>
      </c>
      <c r="G6014" s="53"/>
    </row>
    <row r="6015">
      <c r="A6015" s="49">
        <v>45084.31411011574</v>
      </c>
      <c r="B6015" s="50">
        <v>45084.4390298611</v>
      </c>
      <c r="C6015" s="51">
        <v>1.008</v>
      </c>
      <c r="D6015" s="51">
        <v>68.0</v>
      </c>
      <c r="E6015" s="52" t="s">
        <v>25</v>
      </c>
      <c r="F6015" s="52" t="s">
        <v>26</v>
      </c>
      <c r="G6015" s="53"/>
    </row>
    <row r="6016">
      <c r="A6016" s="49">
        <v>45084.32448185185</v>
      </c>
      <c r="B6016" s="50">
        <v>45084.4494521759</v>
      </c>
      <c r="C6016" s="51">
        <v>1.008</v>
      </c>
      <c r="D6016" s="51">
        <v>68.0</v>
      </c>
      <c r="E6016" s="52" t="s">
        <v>25</v>
      </c>
      <c r="F6016" s="52" t="s">
        <v>26</v>
      </c>
      <c r="G6016" s="53"/>
    </row>
    <row r="6017">
      <c r="A6017" s="49">
        <v>45084.33490934028</v>
      </c>
      <c r="B6017" s="50">
        <v>45084.459882743</v>
      </c>
      <c r="C6017" s="51">
        <v>1.008</v>
      </c>
      <c r="D6017" s="51">
        <v>68.0</v>
      </c>
      <c r="E6017" s="52" t="s">
        <v>25</v>
      </c>
      <c r="F6017" s="52" t="s">
        <v>26</v>
      </c>
      <c r="G6017" s="53"/>
    </row>
    <row r="6018">
      <c r="A6018" s="49">
        <v>45084.34534385416</v>
      </c>
      <c r="B6018" s="50">
        <v>45084.4703134722</v>
      </c>
      <c r="C6018" s="51">
        <v>1.008</v>
      </c>
      <c r="D6018" s="51">
        <v>68.0</v>
      </c>
      <c r="E6018" s="52" t="s">
        <v>25</v>
      </c>
      <c r="F6018" s="52" t="s">
        <v>26</v>
      </c>
      <c r="G6018" s="53"/>
    </row>
    <row r="6019">
      <c r="A6019" s="49">
        <v>45084.35575116899</v>
      </c>
      <c r="B6019" s="50">
        <v>45084.4807333912</v>
      </c>
      <c r="C6019" s="51">
        <v>1.008</v>
      </c>
      <c r="D6019" s="51">
        <v>68.0</v>
      </c>
      <c r="E6019" s="52" t="s">
        <v>25</v>
      </c>
      <c r="F6019" s="52" t="s">
        <v>26</v>
      </c>
      <c r="G6019" s="53"/>
    </row>
    <row r="6020">
      <c r="A6020" s="49">
        <v>45084.36617650463</v>
      </c>
      <c r="B6020" s="50">
        <v>45084.4911565856</v>
      </c>
      <c r="C6020" s="51">
        <v>1.007</v>
      </c>
      <c r="D6020" s="51">
        <v>68.0</v>
      </c>
      <c r="E6020" s="52" t="s">
        <v>25</v>
      </c>
      <c r="F6020" s="52" t="s">
        <v>26</v>
      </c>
      <c r="G6020" s="53"/>
    </row>
    <row r="6021">
      <c r="A6021" s="49">
        <v>45084.37659903935</v>
      </c>
      <c r="B6021" s="50">
        <v>45084.5015776851</v>
      </c>
      <c r="C6021" s="51">
        <v>1.008</v>
      </c>
      <c r="D6021" s="51">
        <v>68.0</v>
      </c>
      <c r="E6021" s="52" t="s">
        <v>25</v>
      </c>
      <c r="F6021" s="52" t="s">
        <v>26</v>
      </c>
      <c r="G6021" s="53"/>
    </row>
    <row r="6022">
      <c r="A6022" s="49">
        <v>45084.38703042824</v>
      </c>
      <c r="B6022" s="50">
        <v>45084.5120000694</v>
      </c>
      <c r="C6022" s="51">
        <v>1.008</v>
      </c>
      <c r="D6022" s="51">
        <v>68.0</v>
      </c>
      <c r="E6022" s="52" t="s">
        <v>25</v>
      </c>
      <c r="F6022" s="52" t="s">
        <v>26</v>
      </c>
      <c r="G6022" s="53"/>
    </row>
    <row r="6023">
      <c r="A6023" s="49">
        <v>45084.39745200232</v>
      </c>
      <c r="B6023" s="50">
        <v>45084.522421331</v>
      </c>
      <c r="C6023" s="51">
        <v>1.008</v>
      </c>
      <c r="D6023" s="51">
        <v>68.0</v>
      </c>
      <c r="E6023" s="52" t="s">
        <v>25</v>
      </c>
      <c r="F6023" s="52" t="s">
        <v>26</v>
      </c>
      <c r="G6023" s="53"/>
    </row>
    <row r="6024">
      <c r="A6024" s="49">
        <v>45084.40787401621</v>
      </c>
      <c r="B6024" s="50">
        <v>45084.5328428125</v>
      </c>
      <c r="C6024" s="51">
        <v>1.008</v>
      </c>
      <c r="D6024" s="51">
        <v>68.0</v>
      </c>
      <c r="E6024" s="52" t="s">
        <v>25</v>
      </c>
      <c r="F6024" s="52" t="s">
        <v>26</v>
      </c>
      <c r="G6024" s="53"/>
    </row>
    <row r="6025">
      <c r="A6025" s="49">
        <v>45084.41828873842</v>
      </c>
      <c r="B6025" s="50">
        <v>45084.5432648263</v>
      </c>
      <c r="C6025" s="51">
        <v>1.008</v>
      </c>
      <c r="D6025" s="51">
        <v>68.0</v>
      </c>
      <c r="E6025" s="52" t="s">
        <v>25</v>
      </c>
      <c r="F6025" s="52" t="s">
        <v>26</v>
      </c>
      <c r="G6025" s="53"/>
    </row>
    <row r="6026">
      <c r="A6026" s="49">
        <v>45084.428713587964</v>
      </c>
      <c r="B6026" s="50">
        <v>45084.5536865046</v>
      </c>
      <c r="C6026" s="51">
        <v>1.008</v>
      </c>
      <c r="D6026" s="51">
        <v>68.0</v>
      </c>
      <c r="E6026" s="52" t="s">
        <v>25</v>
      </c>
      <c r="F6026" s="52" t="s">
        <v>26</v>
      </c>
      <c r="G6026" s="53"/>
    </row>
    <row r="6027">
      <c r="A6027" s="49">
        <v>45084.43915438658</v>
      </c>
      <c r="B6027" s="50">
        <v>45084.5641302777</v>
      </c>
      <c r="C6027" s="51">
        <v>1.008</v>
      </c>
      <c r="D6027" s="51">
        <v>68.0</v>
      </c>
      <c r="E6027" s="52" t="s">
        <v>25</v>
      </c>
      <c r="F6027" s="52" t="s">
        <v>26</v>
      </c>
      <c r="G6027" s="53"/>
    </row>
    <row r="6028">
      <c r="A6028" s="49">
        <v>45084.44957211806</v>
      </c>
      <c r="B6028" s="50">
        <v>45084.5745509722</v>
      </c>
      <c r="C6028" s="51">
        <v>1.008</v>
      </c>
      <c r="D6028" s="51">
        <v>68.0</v>
      </c>
      <c r="E6028" s="52" t="s">
        <v>25</v>
      </c>
      <c r="F6028" s="52" t="s">
        <v>26</v>
      </c>
      <c r="G6028" s="53"/>
    </row>
    <row r="6029">
      <c r="A6029" s="49">
        <v>45084.460005127316</v>
      </c>
      <c r="B6029" s="50">
        <v>45084.5849714236</v>
      </c>
      <c r="C6029" s="51">
        <v>1.008</v>
      </c>
      <c r="D6029" s="51">
        <v>68.0</v>
      </c>
      <c r="E6029" s="52" t="s">
        <v>25</v>
      </c>
      <c r="F6029" s="52" t="s">
        <v>26</v>
      </c>
      <c r="G6029" s="53"/>
    </row>
    <row r="6030">
      <c r="A6030" s="49">
        <v>45084.470431469905</v>
      </c>
      <c r="B6030" s="50">
        <v>45084.595404699</v>
      </c>
      <c r="C6030" s="51">
        <v>1.008</v>
      </c>
      <c r="D6030" s="51">
        <v>68.0</v>
      </c>
      <c r="E6030" s="52" t="s">
        <v>25</v>
      </c>
      <c r="F6030" s="52" t="s">
        <v>26</v>
      </c>
      <c r="G6030" s="53"/>
    </row>
    <row r="6031">
      <c r="A6031" s="49">
        <v>45084.4808541088</v>
      </c>
      <c r="B6031" s="50">
        <v>45084.6058263194</v>
      </c>
      <c r="C6031" s="51">
        <v>1.008</v>
      </c>
      <c r="D6031" s="51">
        <v>68.0</v>
      </c>
      <c r="E6031" s="52" t="s">
        <v>25</v>
      </c>
      <c r="F6031" s="52" t="s">
        <v>26</v>
      </c>
      <c r="G6031" s="53"/>
    </row>
    <row r="6032">
      <c r="A6032" s="49">
        <v>45084.491278194444</v>
      </c>
      <c r="B6032" s="50">
        <v>45084.6162606365</v>
      </c>
      <c r="C6032" s="51">
        <v>1.008</v>
      </c>
      <c r="D6032" s="51">
        <v>68.0</v>
      </c>
      <c r="E6032" s="52" t="s">
        <v>25</v>
      </c>
      <c r="F6032" s="52" t="s">
        <v>26</v>
      </c>
      <c r="G6032" s="53"/>
    </row>
    <row r="6033">
      <c r="A6033" s="49">
        <v>45084.50172032407</v>
      </c>
      <c r="B6033" s="50">
        <v>45084.6266943518</v>
      </c>
      <c r="C6033" s="51">
        <v>1.008</v>
      </c>
      <c r="D6033" s="51">
        <v>68.0</v>
      </c>
      <c r="E6033" s="52" t="s">
        <v>25</v>
      </c>
      <c r="F6033" s="52" t="s">
        <v>26</v>
      </c>
      <c r="G6033" s="53"/>
    </row>
    <row r="6034">
      <c r="A6034" s="49">
        <v>45084.51214474537</v>
      </c>
      <c r="B6034" s="50">
        <v>45084.6371274189</v>
      </c>
      <c r="C6034" s="51">
        <v>1.008</v>
      </c>
      <c r="D6034" s="51">
        <v>68.0</v>
      </c>
      <c r="E6034" s="52" t="s">
        <v>25</v>
      </c>
      <c r="F6034" s="52" t="s">
        <v>26</v>
      </c>
      <c r="G6034" s="53"/>
    </row>
    <row r="6035">
      <c r="A6035" s="49">
        <v>45084.52257537037</v>
      </c>
      <c r="B6035" s="50">
        <v>45084.6475471759</v>
      </c>
      <c r="C6035" s="51">
        <v>1.008</v>
      </c>
      <c r="D6035" s="51">
        <v>68.0</v>
      </c>
      <c r="E6035" s="52" t="s">
        <v>25</v>
      </c>
      <c r="F6035" s="52" t="s">
        <v>26</v>
      </c>
      <c r="G6035" s="53"/>
    </row>
    <row r="6036">
      <c r="A6036" s="49">
        <v>45084.533005324076</v>
      </c>
      <c r="B6036" s="50">
        <v>45084.6579788773</v>
      </c>
      <c r="C6036" s="51">
        <v>1.008</v>
      </c>
      <c r="D6036" s="51">
        <v>68.0</v>
      </c>
      <c r="E6036" s="52" t="s">
        <v>25</v>
      </c>
      <c r="F6036" s="52" t="s">
        <v>26</v>
      </c>
      <c r="G6036" s="53"/>
    </row>
    <row r="6037">
      <c r="A6037" s="49">
        <v>45084.5434303588</v>
      </c>
      <c r="B6037" s="50">
        <v>45084.6684035185</v>
      </c>
      <c r="C6037" s="51">
        <v>1.008</v>
      </c>
      <c r="D6037" s="51">
        <v>68.0</v>
      </c>
      <c r="E6037" s="52" t="s">
        <v>25</v>
      </c>
      <c r="F6037" s="52" t="s">
        <v>26</v>
      </c>
      <c r="G6037" s="53"/>
    </row>
    <row r="6038">
      <c r="A6038" s="49">
        <v>45084.55384804399</v>
      </c>
      <c r="B6038" s="50">
        <v>45084.678825</v>
      </c>
      <c r="C6038" s="51">
        <v>1.008</v>
      </c>
      <c r="D6038" s="51">
        <v>68.0</v>
      </c>
      <c r="E6038" s="52" t="s">
        <v>25</v>
      </c>
      <c r="F6038" s="52" t="s">
        <v>26</v>
      </c>
      <c r="G6038" s="53"/>
    </row>
    <row r="6039">
      <c r="A6039" s="49">
        <v>45084.56426702546</v>
      </c>
      <c r="B6039" s="50">
        <v>45084.6892467708</v>
      </c>
      <c r="C6039" s="51">
        <v>1.008</v>
      </c>
      <c r="D6039" s="51">
        <v>68.0</v>
      </c>
      <c r="E6039" s="52" t="s">
        <v>25</v>
      </c>
      <c r="F6039" s="52" t="s">
        <v>26</v>
      </c>
      <c r="G6039" s="53"/>
    </row>
    <row r="6040">
      <c r="A6040" s="49">
        <v>45084.57469649306</v>
      </c>
      <c r="B6040" s="50">
        <v>45084.6996679282</v>
      </c>
      <c r="C6040" s="51">
        <v>1.007</v>
      </c>
      <c r="D6040" s="51">
        <v>68.0</v>
      </c>
      <c r="E6040" s="52" t="s">
        <v>25</v>
      </c>
      <c r="F6040" s="52" t="s">
        <v>26</v>
      </c>
      <c r="G6040" s="53"/>
    </row>
    <row r="6041">
      <c r="A6041" s="49">
        <v>45084.58512942129</v>
      </c>
      <c r="B6041" s="50">
        <v>45084.7101000694</v>
      </c>
      <c r="C6041" s="51">
        <v>1.008</v>
      </c>
      <c r="D6041" s="51">
        <v>68.0</v>
      </c>
      <c r="E6041" s="52" t="s">
        <v>25</v>
      </c>
      <c r="F6041" s="52" t="s">
        <v>26</v>
      </c>
      <c r="G6041" s="53"/>
    </row>
    <row r="6042">
      <c r="A6042" s="49">
        <v>45084.5955503125</v>
      </c>
      <c r="B6042" s="50">
        <v>45084.7205327893</v>
      </c>
      <c r="C6042" s="51">
        <v>1.008</v>
      </c>
      <c r="D6042" s="51">
        <v>68.0</v>
      </c>
      <c r="E6042" s="52" t="s">
        <v>25</v>
      </c>
      <c r="F6042" s="52" t="s">
        <v>26</v>
      </c>
      <c r="G6042" s="53"/>
    </row>
    <row r="6043">
      <c r="A6043" s="49">
        <v>45084.60598034722</v>
      </c>
      <c r="B6043" s="50">
        <v>45084.7309535763</v>
      </c>
      <c r="C6043" s="51">
        <v>1.007</v>
      </c>
      <c r="D6043" s="51">
        <v>68.0</v>
      </c>
      <c r="E6043" s="52" t="s">
        <v>25</v>
      </c>
      <c r="F6043" s="52" t="s">
        <v>26</v>
      </c>
      <c r="G6043" s="53"/>
    </row>
    <row r="6044">
      <c r="A6044" s="49">
        <v>45084.61643285879</v>
      </c>
      <c r="B6044" s="50">
        <v>45084.7414089814</v>
      </c>
      <c r="C6044" s="51">
        <v>1.008</v>
      </c>
      <c r="D6044" s="51">
        <v>68.0</v>
      </c>
      <c r="E6044" s="52" t="s">
        <v>25</v>
      </c>
      <c r="F6044" s="52" t="s">
        <v>26</v>
      </c>
      <c r="G6044" s="53"/>
    </row>
    <row r="6045">
      <c r="A6045" s="49">
        <v>45084.62685868055</v>
      </c>
      <c r="B6045" s="50">
        <v>45084.7518296643</v>
      </c>
      <c r="C6045" s="51">
        <v>1.007</v>
      </c>
      <c r="D6045" s="51">
        <v>68.0</v>
      </c>
      <c r="E6045" s="52" t="s">
        <v>25</v>
      </c>
      <c r="F6045" s="52" t="s">
        <v>26</v>
      </c>
      <c r="G6045" s="53"/>
    </row>
    <row r="6046">
      <c r="A6046" s="49">
        <v>45084.63728609953</v>
      </c>
      <c r="B6046" s="50">
        <v>45084.76226353</v>
      </c>
      <c r="C6046" s="51">
        <v>1.007</v>
      </c>
      <c r="D6046" s="51">
        <v>68.0</v>
      </c>
      <c r="E6046" s="52" t="s">
        <v>25</v>
      </c>
      <c r="F6046" s="52" t="s">
        <v>26</v>
      </c>
      <c r="G6046" s="53"/>
    </row>
    <row r="6047">
      <c r="A6047" s="49">
        <v>45084.64770565972</v>
      </c>
      <c r="B6047" s="50">
        <v>45084.7726839814</v>
      </c>
      <c r="C6047" s="51">
        <v>1.008</v>
      </c>
      <c r="D6047" s="51">
        <v>68.0</v>
      </c>
      <c r="E6047" s="52" t="s">
        <v>25</v>
      </c>
      <c r="F6047" s="52" t="s">
        <v>26</v>
      </c>
      <c r="G6047" s="53"/>
    </row>
    <row r="6048">
      <c r="A6048" s="49">
        <v>45084.65813658565</v>
      </c>
      <c r="B6048" s="50">
        <v>45084.78310375</v>
      </c>
      <c r="C6048" s="51">
        <v>1.008</v>
      </c>
      <c r="D6048" s="51">
        <v>68.0</v>
      </c>
      <c r="E6048" s="52" t="s">
        <v>25</v>
      </c>
      <c r="F6048" s="52" t="s">
        <v>26</v>
      </c>
      <c r="G6048" s="53"/>
    </row>
    <row r="6049">
      <c r="A6049" s="49">
        <v>45084.66857152778</v>
      </c>
      <c r="B6049" s="50">
        <v>45084.7935475</v>
      </c>
      <c r="C6049" s="51">
        <v>1.008</v>
      </c>
      <c r="D6049" s="51">
        <v>68.0</v>
      </c>
      <c r="E6049" s="52" t="s">
        <v>25</v>
      </c>
      <c r="F6049" s="52" t="s">
        <v>26</v>
      </c>
      <c r="G6049" s="53"/>
    </row>
    <row r="6050">
      <c r="A6050" s="49">
        <v>45084.67902365741</v>
      </c>
      <c r="B6050" s="50">
        <v>45084.8040039351</v>
      </c>
      <c r="C6050" s="51">
        <v>1.007</v>
      </c>
      <c r="D6050" s="51">
        <v>68.0</v>
      </c>
      <c r="E6050" s="52" t="s">
        <v>25</v>
      </c>
      <c r="F6050" s="52" t="s">
        <v>26</v>
      </c>
      <c r="G6050" s="53"/>
    </row>
    <row r="6051">
      <c r="A6051" s="49">
        <v>45084.68945508102</v>
      </c>
      <c r="B6051" s="50">
        <v>45084.8144256944</v>
      </c>
      <c r="C6051" s="51">
        <v>1.008</v>
      </c>
      <c r="D6051" s="51">
        <v>68.0</v>
      </c>
      <c r="E6051" s="52" t="s">
        <v>25</v>
      </c>
      <c r="F6051" s="52" t="s">
        <v>26</v>
      </c>
      <c r="G6051" s="53"/>
    </row>
    <row r="6052">
      <c r="A6052" s="49">
        <v>45084.69988314815</v>
      </c>
      <c r="B6052" s="50">
        <v>45084.8248593287</v>
      </c>
      <c r="C6052" s="51">
        <v>1.008</v>
      </c>
      <c r="D6052" s="51">
        <v>68.0</v>
      </c>
      <c r="E6052" s="52" t="s">
        <v>25</v>
      </c>
      <c r="F6052" s="52" t="s">
        <v>26</v>
      </c>
      <c r="G6052" s="53"/>
    </row>
    <row r="6053">
      <c r="A6053" s="49">
        <v>45084.71030878472</v>
      </c>
      <c r="B6053" s="50">
        <v>45084.8352801041</v>
      </c>
      <c r="C6053" s="51">
        <v>1.008</v>
      </c>
      <c r="D6053" s="51">
        <v>68.0</v>
      </c>
      <c r="E6053" s="52" t="s">
        <v>25</v>
      </c>
      <c r="F6053" s="52" t="s">
        <v>26</v>
      </c>
      <c r="G6053" s="53"/>
    </row>
    <row r="6054">
      <c r="A6054" s="49">
        <v>45084.72079943287</v>
      </c>
      <c r="B6054" s="50">
        <v>45084.8457362731</v>
      </c>
      <c r="C6054" s="51">
        <v>1.008</v>
      </c>
      <c r="D6054" s="51">
        <v>68.0</v>
      </c>
      <c r="E6054" s="52" t="s">
        <v>25</v>
      </c>
      <c r="F6054" s="52" t="s">
        <v>26</v>
      </c>
      <c r="G6054" s="53"/>
    </row>
    <row r="6055">
      <c r="A6055" s="49">
        <v>45084.731216307875</v>
      </c>
      <c r="B6055" s="50">
        <v>45084.856157581</v>
      </c>
      <c r="C6055" s="51">
        <v>1.008</v>
      </c>
      <c r="D6055" s="51">
        <v>68.0</v>
      </c>
      <c r="E6055" s="52" t="s">
        <v>25</v>
      </c>
      <c r="F6055" s="52" t="s">
        <v>26</v>
      </c>
      <c r="G6055" s="53"/>
    </row>
    <row r="6056">
      <c r="A6056" s="49">
        <v>45084.741630902776</v>
      </c>
      <c r="B6056" s="50">
        <v>45084.8665786226</v>
      </c>
      <c r="C6056" s="51">
        <v>1.008</v>
      </c>
      <c r="D6056" s="51">
        <v>68.0</v>
      </c>
      <c r="E6056" s="52" t="s">
        <v>25</v>
      </c>
      <c r="F6056" s="52" t="s">
        <v>26</v>
      </c>
      <c r="G6056" s="53"/>
    </row>
    <row r="6057">
      <c r="A6057" s="49">
        <v>45084.75204578704</v>
      </c>
      <c r="B6057" s="50">
        <v>45084.8770007754</v>
      </c>
      <c r="C6057" s="51">
        <v>1.008</v>
      </c>
      <c r="D6057" s="51">
        <v>68.0</v>
      </c>
      <c r="E6057" s="52" t="s">
        <v>25</v>
      </c>
      <c r="F6057" s="52" t="s">
        <v>26</v>
      </c>
      <c r="G6057" s="53"/>
    </row>
    <row r="6058">
      <c r="A6058" s="49">
        <v>45084.762474456016</v>
      </c>
      <c r="B6058" s="50">
        <v>45084.8874440972</v>
      </c>
      <c r="C6058" s="51">
        <v>1.007</v>
      </c>
      <c r="D6058" s="51">
        <v>68.0</v>
      </c>
      <c r="E6058" s="52" t="s">
        <v>25</v>
      </c>
      <c r="F6058" s="52" t="s">
        <v>26</v>
      </c>
      <c r="G6058" s="53"/>
    </row>
    <row r="6059">
      <c r="A6059" s="49">
        <v>45084.772894131944</v>
      </c>
      <c r="B6059" s="50">
        <v>45084.8978649189</v>
      </c>
      <c r="C6059" s="51">
        <v>1.007</v>
      </c>
      <c r="D6059" s="51">
        <v>68.0</v>
      </c>
      <c r="E6059" s="52" t="s">
        <v>25</v>
      </c>
      <c r="F6059" s="52" t="s">
        <v>26</v>
      </c>
      <c r="G6059" s="53"/>
    </row>
    <row r="6060">
      <c r="A6060" s="49">
        <v>45084.78332311343</v>
      </c>
      <c r="B6060" s="50">
        <v>45084.9082991782</v>
      </c>
      <c r="C6060" s="51">
        <v>1.008</v>
      </c>
      <c r="D6060" s="51">
        <v>68.0</v>
      </c>
      <c r="E6060" s="52" t="s">
        <v>25</v>
      </c>
      <c r="F6060" s="52" t="s">
        <v>26</v>
      </c>
      <c r="G6060" s="53"/>
    </row>
    <row r="6061">
      <c r="A6061" s="49">
        <v>45084.79375402778</v>
      </c>
      <c r="B6061" s="50">
        <v>45084.9187332986</v>
      </c>
      <c r="C6061" s="51">
        <v>1.007</v>
      </c>
      <c r="D6061" s="51">
        <v>68.0</v>
      </c>
      <c r="E6061" s="52" t="s">
        <v>25</v>
      </c>
      <c r="F6061" s="52" t="s">
        <v>26</v>
      </c>
      <c r="G6061" s="53"/>
    </row>
    <row r="6062">
      <c r="A6062" s="49">
        <v>45084.80418245371</v>
      </c>
      <c r="B6062" s="50">
        <v>45084.9291545138</v>
      </c>
      <c r="C6062" s="51">
        <v>1.008</v>
      </c>
      <c r="D6062" s="51">
        <v>68.0</v>
      </c>
      <c r="E6062" s="52" t="s">
        <v>25</v>
      </c>
      <c r="F6062" s="52" t="s">
        <v>26</v>
      </c>
      <c r="G6062" s="53"/>
    </row>
    <row r="6063">
      <c r="A6063" s="49">
        <v>45084.81463665509</v>
      </c>
      <c r="B6063" s="50">
        <v>45084.9395879976</v>
      </c>
      <c r="C6063" s="51">
        <v>1.007</v>
      </c>
      <c r="D6063" s="51">
        <v>68.0</v>
      </c>
      <c r="E6063" s="52" t="s">
        <v>25</v>
      </c>
      <c r="F6063" s="52" t="s">
        <v>26</v>
      </c>
      <c r="G6063" s="53"/>
    </row>
    <row r="6064">
      <c r="A6064" s="49">
        <v>45084.82505974537</v>
      </c>
      <c r="B6064" s="50">
        <v>45084.9500093287</v>
      </c>
      <c r="C6064" s="51">
        <v>1.008</v>
      </c>
      <c r="D6064" s="51">
        <v>68.0</v>
      </c>
      <c r="E6064" s="52" t="s">
        <v>25</v>
      </c>
      <c r="F6064" s="52" t="s">
        <v>26</v>
      </c>
      <c r="G6064" s="53"/>
    </row>
    <row r="6065">
      <c r="A6065" s="49">
        <v>45084.83547466435</v>
      </c>
      <c r="B6065" s="50">
        <v>45084.9604413888</v>
      </c>
      <c r="C6065" s="51">
        <v>1.007</v>
      </c>
      <c r="D6065" s="51">
        <v>68.0</v>
      </c>
      <c r="E6065" s="52" t="s">
        <v>25</v>
      </c>
      <c r="F6065" s="52" t="s">
        <v>26</v>
      </c>
      <c r="G6065" s="53"/>
    </row>
    <row r="6066">
      <c r="A6066" s="49">
        <v>45084.84589509259</v>
      </c>
      <c r="B6066" s="50">
        <v>45084.970873206</v>
      </c>
      <c r="C6066" s="51">
        <v>1.008</v>
      </c>
      <c r="D6066" s="51">
        <v>68.0</v>
      </c>
      <c r="E6066" s="52" t="s">
        <v>25</v>
      </c>
      <c r="F6066" s="52" t="s">
        <v>26</v>
      </c>
      <c r="G6066" s="53"/>
    </row>
    <row r="6067">
      <c r="A6067" s="49">
        <v>45084.85631296296</v>
      </c>
      <c r="B6067" s="50">
        <v>45084.9812952662</v>
      </c>
      <c r="C6067" s="51">
        <v>1.007</v>
      </c>
      <c r="D6067" s="51">
        <v>68.0</v>
      </c>
      <c r="E6067" s="52" t="s">
        <v>25</v>
      </c>
      <c r="F6067" s="52" t="s">
        <v>26</v>
      </c>
      <c r="G6067" s="53"/>
    </row>
    <row r="6068">
      <c r="A6068" s="49">
        <v>45084.86673471065</v>
      </c>
      <c r="B6068" s="50">
        <v>45084.9917156018</v>
      </c>
      <c r="C6068" s="51">
        <v>1.008</v>
      </c>
      <c r="D6068" s="51">
        <v>68.0</v>
      </c>
      <c r="E6068" s="52" t="s">
        <v>25</v>
      </c>
      <c r="F6068" s="52" t="s">
        <v>26</v>
      </c>
      <c r="G6068" s="53"/>
    </row>
    <row r="6069">
      <c r="A6069" s="49">
        <v>45084.877170694446</v>
      </c>
      <c r="B6069" s="50">
        <v>45085.0021376041</v>
      </c>
      <c r="C6069" s="51">
        <v>1.008</v>
      </c>
      <c r="D6069" s="51">
        <v>68.0</v>
      </c>
      <c r="E6069" s="52" t="s">
        <v>25</v>
      </c>
      <c r="F6069" s="52" t="s">
        <v>26</v>
      </c>
      <c r="G6069" s="53"/>
    </row>
    <row r="6070">
      <c r="A6070" s="49">
        <v>45084.887588784724</v>
      </c>
      <c r="B6070" s="50">
        <v>45085.0125576851</v>
      </c>
      <c r="C6070" s="51">
        <v>1.008</v>
      </c>
      <c r="D6070" s="51">
        <v>68.0</v>
      </c>
      <c r="E6070" s="52" t="s">
        <v>25</v>
      </c>
      <c r="F6070" s="52" t="s">
        <v>26</v>
      </c>
      <c r="G6070" s="53"/>
    </row>
    <row r="6071">
      <c r="A6071" s="49">
        <v>45084.898010868055</v>
      </c>
      <c r="B6071" s="50">
        <v>45085.0229783912</v>
      </c>
      <c r="C6071" s="51">
        <v>1.008</v>
      </c>
      <c r="D6071" s="51">
        <v>68.0</v>
      </c>
      <c r="E6071" s="52" t="s">
        <v>25</v>
      </c>
      <c r="F6071" s="52" t="s">
        <v>26</v>
      </c>
      <c r="G6071" s="53"/>
    </row>
    <row r="6072">
      <c r="A6072" s="49">
        <v>45084.90843469907</v>
      </c>
      <c r="B6072" s="50">
        <v>45085.0333989351</v>
      </c>
      <c r="C6072" s="51">
        <v>1.007</v>
      </c>
      <c r="D6072" s="51">
        <v>68.0</v>
      </c>
      <c r="E6072" s="52" t="s">
        <v>25</v>
      </c>
      <c r="F6072" s="52" t="s">
        <v>26</v>
      </c>
      <c r="G6072" s="53"/>
    </row>
    <row r="6073">
      <c r="A6073" s="49">
        <v>45084.918878067125</v>
      </c>
      <c r="B6073" s="50">
        <v>45085.0438195486</v>
      </c>
      <c r="C6073" s="51">
        <v>1.007</v>
      </c>
      <c r="D6073" s="51">
        <v>68.0</v>
      </c>
      <c r="E6073" s="52" t="s">
        <v>25</v>
      </c>
      <c r="F6073" s="52" t="s">
        <v>26</v>
      </c>
      <c r="G6073" s="53"/>
    </row>
    <row r="6074">
      <c r="A6074" s="49">
        <v>45084.92928982639</v>
      </c>
      <c r="B6074" s="50">
        <v>45085.054263368</v>
      </c>
      <c r="C6074" s="51">
        <v>1.008</v>
      </c>
      <c r="D6074" s="51">
        <v>68.0</v>
      </c>
      <c r="E6074" s="52" t="s">
        <v>25</v>
      </c>
      <c r="F6074" s="52" t="s">
        <v>26</v>
      </c>
      <c r="G6074" s="53"/>
    </row>
    <row r="6075">
      <c r="A6075" s="49">
        <v>45084.9397259838</v>
      </c>
      <c r="B6075" s="50">
        <v>45085.0646965625</v>
      </c>
      <c r="C6075" s="51">
        <v>1.008</v>
      </c>
      <c r="D6075" s="51">
        <v>68.0</v>
      </c>
      <c r="E6075" s="52" t="s">
        <v>25</v>
      </c>
      <c r="F6075" s="52" t="s">
        <v>26</v>
      </c>
      <c r="G6075" s="53"/>
    </row>
    <row r="6076">
      <c r="A6076" s="49">
        <v>45084.95014516204</v>
      </c>
      <c r="B6076" s="50">
        <v>45085.0751154166</v>
      </c>
      <c r="C6076" s="51">
        <v>1.007</v>
      </c>
      <c r="D6076" s="51">
        <v>68.0</v>
      </c>
      <c r="E6076" s="52" t="s">
        <v>25</v>
      </c>
      <c r="F6076" s="52" t="s">
        <v>26</v>
      </c>
      <c r="G6076" s="53"/>
    </row>
    <row r="6077">
      <c r="A6077" s="49">
        <v>45084.960576805555</v>
      </c>
      <c r="B6077" s="50">
        <v>45085.0855479282</v>
      </c>
      <c r="C6077" s="51">
        <v>1.008</v>
      </c>
      <c r="D6077" s="51">
        <v>68.0</v>
      </c>
      <c r="E6077" s="52" t="s">
        <v>25</v>
      </c>
      <c r="F6077" s="52" t="s">
        <v>26</v>
      </c>
      <c r="G6077" s="53"/>
    </row>
    <row r="6078">
      <c r="A6078" s="49">
        <v>45084.970994641204</v>
      </c>
      <c r="B6078" s="50">
        <v>45085.0959675</v>
      </c>
      <c r="C6078" s="51">
        <v>1.008</v>
      </c>
      <c r="D6078" s="51">
        <v>68.0</v>
      </c>
      <c r="E6078" s="52" t="s">
        <v>25</v>
      </c>
      <c r="F6078" s="52" t="s">
        <v>26</v>
      </c>
      <c r="G6078" s="53"/>
    </row>
    <row r="6079">
      <c r="A6079" s="49">
        <v>45084.98140790509</v>
      </c>
      <c r="B6079" s="50">
        <v>45085.1063881597</v>
      </c>
      <c r="C6079" s="51">
        <v>1.007</v>
      </c>
      <c r="D6079" s="51">
        <v>68.0</v>
      </c>
      <c r="E6079" s="52" t="s">
        <v>25</v>
      </c>
      <c r="F6079" s="52" t="s">
        <v>26</v>
      </c>
      <c r="G6079" s="53"/>
    </row>
    <row r="6080">
      <c r="A6080" s="49">
        <v>45084.99183506945</v>
      </c>
      <c r="B6080" s="50">
        <v>45085.1168084953</v>
      </c>
      <c r="C6080" s="51">
        <v>1.008</v>
      </c>
      <c r="D6080" s="51">
        <v>68.0</v>
      </c>
      <c r="E6080" s="52" t="s">
        <v>25</v>
      </c>
      <c r="F6080" s="52" t="s">
        <v>26</v>
      </c>
      <c r="G6080" s="53"/>
    </row>
    <row r="6081">
      <c r="A6081" s="49">
        <v>45085.00225384259</v>
      </c>
      <c r="B6081" s="50">
        <v>45085.127231412</v>
      </c>
      <c r="C6081" s="51">
        <v>1.007</v>
      </c>
      <c r="D6081" s="51">
        <v>68.0</v>
      </c>
      <c r="E6081" s="52" t="s">
        <v>25</v>
      </c>
      <c r="F6081" s="52" t="s">
        <v>26</v>
      </c>
      <c r="G6081" s="53"/>
    </row>
    <row r="6082">
      <c r="A6082" s="49">
        <v>45085.01268003472</v>
      </c>
      <c r="B6082" s="50">
        <v>45085.1376526273</v>
      </c>
      <c r="C6082" s="51">
        <v>1.008</v>
      </c>
      <c r="D6082" s="51">
        <v>68.0</v>
      </c>
      <c r="E6082" s="52" t="s">
        <v>25</v>
      </c>
      <c r="F6082" s="52" t="s">
        <v>26</v>
      </c>
      <c r="G6082" s="53"/>
    </row>
    <row r="6083">
      <c r="A6083" s="49">
        <v>45085.02311876157</v>
      </c>
      <c r="B6083" s="50">
        <v>45085.1480733796</v>
      </c>
      <c r="C6083" s="51">
        <v>1.008</v>
      </c>
      <c r="D6083" s="51">
        <v>68.0</v>
      </c>
      <c r="E6083" s="52" t="s">
        <v>25</v>
      </c>
      <c r="F6083" s="52" t="s">
        <v>26</v>
      </c>
      <c r="G6083" s="53"/>
    </row>
    <row r="6084">
      <c r="A6084" s="49">
        <v>45085.033555891205</v>
      </c>
      <c r="B6084" s="50">
        <v>45085.1585298148</v>
      </c>
      <c r="C6084" s="51">
        <v>1.008</v>
      </c>
      <c r="D6084" s="51">
        <v>68.0</v>
      </c>
      <c r="E6084" s="52" t="s">
        <v>25</v>
      </c>
      <c r="F6084" s="52" t="s">
        <v>26</v>
      </c>
      <c r="G6084" s="53"/>
    </row>
    <row r="6085">
      <c r="A6085" s="49">
        <v>45085.04398398148</v>
      </c>
      <c r="B6085" s="50">
        <v>45085.168949699</v>
      </c>
      <c r="C6085" s="51">
        <v>1.007</v>
      </c>
      <c r="D6085" s="51">
        <v>68.0</v>
      </c>
      <c r="E6085" s="52" t="s">
        <v>25</v>
      </c>
      <c r="F6085" s="52" t="s">
        <v>26</v>
      </c>
      <c r="G6085" s="53"/>
    </row>
    <row r="6086">
      <c r="A6086" s="49">
        <v>45085.05441527777</v>
      </c>
      <c r="B6086" s="50">
        <v>45085.1793937731</v>
      </c>
      <c r="C6086" s="51">
        <v>1.008</v>
      </c>
      <c r="D6086" s="51">
        <v>68.0</v>
      </c>
      <c r="E6086" s="52" t="s">
        <v>25</v>
      </c>
      <c r="F6086" s="52" t="s">
        <v>26</v>
      </c>
      <c r="G6086" s="53"/>
    </row>
    <row r="6087">
      <c r="A6087" s="49">
        <v>45085.06484152778</v>
      </c>
      <c r="B6087" s="50">
        <v>45085.189815324</v>
      </c>
      <c r="C6087" s="51">
        <v>1.007</v>
      </c>
      <c r="D6087" s="51">
        <v>68.0</v>
      </c>
      <c r="E6087" s="52" t="s">
        <v>25</v>
      </c>
      <c r="F6087" s="52" t="s">
        <v>26</v>
      </c>
      <c r="G6087" s="53"/>
    </row>
    <row r="6088">
      <c r="A6088" s="49">
        <v>45085.07525674769</v>
      </c>
      <c r="B6088" s="50">
        <v>45085.2002360532</v>
      </c>
      <c r="C6088" s="51">
        <v>1.007</v>
      </c>
      <c r="D6088" s="51">
        <v>68.0</v>
      </c>
      <c r="E6088" s="52" t="s">
        <v>25</v>
      </c>
      <c r="F6088" s="52" t="s">
        <v>26</v>
      </c>
      <c r="G6088" s="53"/>
    </row>
    <row r="6089">
      <c r="A6089" s="49">
        <v>45085.085679606476</v>
      </c>
      <c r="B6089" s="50">
        <v>45085.2106597337</v>
      </c>
      <c r="C6089" s="51">
        <v>1.007</v>
      </c>
      <c r="D6089" s="51">
        <v>68.0</v>
      </c>
      <c r="E6089" s="52" t="s">
        <v>25</v>
      </c>
      <c r="F6089" s="52" t="s">
        <v>26</v>
      </c>
      <c r="G6089" s="53"/>
    </row>
    <row r="6090">
      <c r="A6090" s="49">
        <v>45085.09612516203</v>
      </c>
      <c r="B6090" s="50">
        <v>45085.221104699</v>
      </c>
      <c r="C6090" s="51">
        <v>1.007</v>
      </c>
      <c r="D6090" s="51">
        <v>68.0</v>
      </c>
      <c r="E6090" s="52" t="s">
        <v>25</v>
      </c>
      <c r="F6090" s="52" t="s">
        <v>26</v>
      </c>
      <c r="G6090" s="53"/>
    </row>
    <row r="6091">
      <c r="A6091" s="49">
        <v>45085.10656438657</v>
      </c>
      <c r="B6091" s="50">
        <v>45085.2315378935</v>
      </c>
      <c r="C6091" s="51">
        <v>1.007</v>
      </c>
      <c r="D6091" s="51">
        <v>68.0</v>
      </c>
      <c r="E6091" s="52" t="s">
        <v>25</v>
      </c>
      <c r="F6091" s="52" t="s">
        <v>26</v>
      </c>
      <c r="G6091" s="53"/>
    </row>
    <row r="6092">
      <c r="A6092" s="49">
        <v>45085.11698356482</v>
      </c>
      <c r="B6092" s="50">
        <v>45085.2419583217</v>
      </c>
      <c r="C6092" s="51">
        <v>1.007</v>
      </c>
      <c r="D6092" s="51">
        <v>68.0</v>
      </c>
      <c r="E6092" s="52" t="s">
        <v>25</v>
      </c>
      <c r="F6092" s="52" t="s">
        <v>26</v>
      </c>
      <c r="G6092" s="53"/>
    </row>
    <row r="6093">
      <c r="A6093" s="49">
        <v>45085.12741695602</v>
      </c>
      <c r="B6093" s="50">
        <v>45085.2523776851</v>
      </c>
      <c r="C6093" s="51">
        <v>1.008</v>
      </c>
      <c r="D6093" s="51">
        <v>68.0</v>
      </c>
      <c r="E6093" s="52" t="s">
        <v>25</v>
      </c>
      <c r="F6093" s="52" t="s">
        <v>26</v>
      </c>
      <c r="G6093" s="53"/>
    </row>
    <row r="6094">
      <c r="A6094" s="49">
        <v>45085.137829328705</v>
      </c>
      <c r="B6094" s="50">
        <v>45085.2627971527</v>
      </c>
      <c r="C6094" s="51">
        <v>1.007</v>
      </c>
      <c r="D6094" s="51">
        <v>68.0</v>
      </c>
      <c r="E6094" s="52" t="s">
        <v>25</v>
      </c>
      <c r="F6094" s="52" t="s">
        <v>26</v>
      </c>
      <c r="G6094" s="53"/>
    </row>
    <row r="6095">
      <c r="A6095" s="49">
        <v>45085.14825194444</v>
      </c>
      <c r="B6095" s="50">
        <v>45085.2732183333</v>
      </c>
      <c r="C6095" s="51">
        <v>1.007</v>
      </c>
      <c r="D6095" s="51">
        <v>68.0</v>
      </c>
      <c r="E6095" s="52" t="s">
        <v>25</v>
      </c>
      <c r="F6095" s="52" t="s">
        <v>26</v>
      </c>
      <c r="G6095" s="53"/>
    </row>
    <row r="6096">
      <c r="A6096" s="49">
        <v>45085.158680277775</v>
      </c>
      <c r="B6096" s="50">
        <v>45085.2836496643</v>
      </c>
      <c r="C6096" s="51">
        <v>1.008</v>
      </c>
      <c r="D6096" s="51">
        <v>68.0</v>
      </c>
      <c r="E6096" s="52" t="s">
        <v>25</v>
      </c>
      <c r="F6096" s="52" t="s">
        <v>26</v>
      </c>
      <c r="G6096" s="53"/>
    </row>
    <row r="6097">
      <c r="A6097" s="49">
        <v>45085.16908980324</v>
      </c>
      <c r="B6097" s="50">
        <v>45085.2940719907</v>
      </c>
      <c r="C6097" s="51">
        <v>1.007</v>
      </c>
      <c r="D6097" s="51">
        <v>68.0</v>
      </c>
      <c r="E6097" s="52" t="s">
        <v>25</v>
      </c>
      <c r="F6097" s="52" t="s">
        <v>26</v>
      </c>
      <c r="G6097" s="53"/>
    </row>
    <row r="6098">
      <c r="A6098" s="49">
        <v>45085.17953497685</v>
      </c>
      <c r="B6098" s="50">
        <v>45085.3044933449</v>
      </c>
      <c r="C6098" s="51">
        <v>1.007</v>
      </c>
      <c r="D6098" s="51">
        <v>68.0</v>
      </c>
      <c r="E6098" s="52" t="s">
        <v>25</v>
      </c>
      <c r="F6098" s="52" t="s">
        <v>26</v>
      </c>
      <c r="G6098" s="53"/>
    </row>
    <row r="6099">
      <c r="A6099" s="49">
        <v>45085.18995760416</v>
      </c>
      <c r="B6099" s="50">
        <v>45085.3149151157</v>
      </c>
      <c r="C6099" s="51">
        <v>1.008</v>
      </c>
      <c r="D6099" s="51">
        <v>68.0</v>
      </c>
      <c r="E6099" s="52" t="s">
        <v>25</v>
      </c>
      <c r="F6099" s="52" t="s">
        <v>26</v>
      </c>
      <c r="G6099" s="53"/>
    </row>
    <row r="6100">
      <c r="A6100" s="49">
        <v>45085.200400497684</v>
      </c>
      <c r="B6100" s="50">
        <v>45085.3253470023</v>
      </c>
      <c r="C6100" s="51">
        <v>1.007</v>
      </c>
      <c r="D6100" s="51">
        <v>68.0</v>
      </c>
      <c r="E6100" s="52" t="s">
        <v>25</v>
      </c>
      <c r="F6100" s="52" t="s">
        <v>26</v>
      </c>
      <c r="G6100" s="53"/>
    </row>
    <row r="6101">
      <c r="A6101" s="49">
        <v>45085.21081787037</v>
      </c>
      <c r="B6101" s="50">
        <v>45085.3357785185</v>
      </c>
      <c r="C6101" s="51">
        <v>1.008</v>
      </c>
      <c r="D6101" s="51">
        <v>68.0</v>
      </c>
      <c r="E6101" s="52" t="s">
        <v>25</v>
      </c>
      <c r="F6101" s="52" t="s">
        <v>26</v>
      </c>
      <c r="G6101" s="53"/>
    </row>
    <row r="6102">
      <c r="A6102" s="49">
        <v>45085.22125206019</v>
      </c>
      <c r="B6102" s="50">
        <v>45085.3462133564</v>
      </c>
      <c r="C6102" s="51">
        <v>1.008</v>
      </c>
      <c r="D6102" s="51">
        <v>68.0</v>
      </c>
      <c r="E6102" s="52" t="s">
        <v>25</v>
      </c>
      <c r="F6102" s="52" t="s">
        <v>26</v>
      </c>
      <c r="G6102" s="53"/>
    </row>
    <row r="6103">
      <c r="A6103" s="49">
        <v>45085.231664074076</v>
      </c>
      <c r="B6103" s="50">
        <v>45085.3566444907</v>
      </c>
      <c r="C6103" s="51">
        <v>1.007</v>
      </c>
      <c r="D6103" s="51">
        <v>68.0</v>
      </c>
      <c r="E6103" s="52" t="s">
        <v>25</v>
      </c>
      <c r="F6103" s="52" t="s">
        <v>26</v>
      </c>
      <c r="G6103" s="53"/>
    </row>
    <row r="6104">
      <c r="A6104" s="49">
        <v>45085.24210584491</v>
      </c>
      <c r="B6104" s="50">
        <v>45085.3670662384</v>
      </c>
      <c r="C6104" s="51">
        <v>1.007</v>
      </c>
      <c r="D6104" s="51">
        <v>68.0</v>
      </c>
      <c r="E6104" s="52" t="s">
        <v>25</v>
      </c>
      <c r="F6104" s="52" t="s">
        <v>26</v>
      </c>
      <c r="G6104" s="53"/>
    </row>
    <row r="6105">
      <c r="A6105" s="49">
        <v>45085.25254140046</v>
      </c>
      <c r="B6105" s="50">
        <v>45085.3774871412</v>
      </c>
      <c r="C6105" s="51">
        <v>1.007</v>
      </c>
      <c r="D6105" s="51">
        <v>68.0</v>
      </c>
      <c r="E6105" s="52" t="s">
        <v>25</v>
      </c>
      <c r="F6105" s="52" t="s">
        <v>26</v>
      </c>
      <c r="G6105" s="53"/>
    </row>
    <row r="6106">
      <c r="A6106" s="49">
        <v>45085.262968333336</v>
      </c>
      <c r="B6106" s="50">
        <v>45085.3879195254</v>
      </c>
      <c r="C6106" s="51">
        <v>1.007</v>
      </c>
      <c r="D6106" s="51">
        <v>68.0</v>
      </c>
      <c r="E6106" s="52" t="s">
        <v>25</v>
      </c>
      <c r="F6106" s="52" t="s">
        <v>26</v>
      </c>
      <c r="G6106" s="53"/>
    </row>
    <row r="6107">
      <c r="A6107" s="49">
        <v>45085.27340081018</v>
      </c>
      <c r="B6107" s="50">
        <v>45085.3983536342</v>
      </c>
      <c r="C6107" s="51">
        <v>1.007</v>
      </c>
      <c r="D6107" s="51">
        <v>68.0</v>
      </c>
      <c r="E6107" s="52" t="s">
        <v>25</v>
      </c>
      <c r="F6107" s="52" t="s">
        <v>26</v>
      </c>
      <c r="G6107" s="53"/>
    </row>
    <row r="6108">
      <c r="A6108" s="49">
        <v>45085.28382275463</v>
      </c>
      <c r="B6108" s="50">
        <v>45085.4087859606</v>
      </c>
      <c r="C6108" s="51">
        <v>1.008</v>
      </c>
      <c r="D6108" s="51">
        <v>68.0</v>
      </c>
      <c r="E6108" s="52" t="s">
        <v>25</v>
      </c>
      <c r="F6108" s="52" t="s">
        <v>26</v>
      </c>
      <c r="G6108" s="53"/>
    </row>
    <row r="6109">
      <c r="A6109" s="49">
        <v>45085.29426130787</v>
      </c>
      <c r="B6109" s="50">
        <v>45085.4192190393</v>
      </c>
      <c r="C6109" s="51">
        <v>1.007</v>
      </c>
      <c r="D6109" s="51">
        <v>68.0</v>
      </c>
      <c r="E6109" s="52" t="s">
        <v>25</v>
      </c>
      <c r="F6109" s="52" t="s">
        <v>26</v>
      </c>
      <c r="G6109" s="53"/>
    </row>
    <row r="6110">
      <c r="A6110" s="49">
        <v>45085.30467707176</v>
      </c>
      <c r="B6110" s="50">
        <v>45085.4296518865</v>
      </c>
      <c r="C6110" s="51">
        <v>1.008</v>
      </c>
      <c r="D6110" s="51">
        <v>68.0</v>
      </c>
      <c r="E6110" s="52" t="s">
        <v>25</v>
      </c>
      <c r="F6110" s="52" t="s">
        <v>26</v>
      </c>
      <c r="G6110" s="53"/>
    </row>
    <row r="6111">
      <c r="A6111" s="49">
        <v>45085.31512309027</v>
      </c>
      <c r="B6111" s="50">
        <v>45085.4400955324</v>
      </c>
      <c r="C6111" s="51">
        <v>1.008</v>
      </c>
      <c r="D6111" s="51">
        <v>68.0</v>
      </c>
      <c r="E6111" s="52" t="s">
        <v>25</v>
      </c>
      <c r="F6111" s="52" t="s">
        <v>26</v>
      </c>
      <c r="G6111" s="53"/>
    </row>
    <row r="6112">
      <c r="A6112" s="49">
        <v>45085.32557493055</v>
      </c>
      <c r="B6112" s="50">
        <v>45085.4505514583</v>
      </c>
      <c r="C6112" s="51">
        <v>1.007</v>
      </c>
      <c r="D6112" s="51">
        <v>68.0</v>
      </c>
      <c r="E6112" s="52" t="s">
        <v>25</v>
      </c>
      <c r="F6112" s="52" t="s">
        <v>26</v>
      </c>
      <c r="G6112" s="53"/>
    </row>
    <row r="6113">
      <c r="A6113" s="49">
        <v>45085.335994560184</v>
      </c>
      <c r="B6113" s="50">
        <v>45085.4609733796</v>
      </c>
      <c r="C6113" s="51">
        <v>1.007</v>
      </c>
      <c r="D6113" s="51">
        <v>68.0</v>
      </c>
      <c r="E6113" s="52" t="s">
        <v>25</v>
      </c>
      <c r="F6113" s="52" t="s">
        <v>26</v>
      </c>
      <c r="G6113" s="53"/>
    </row>
    <row r="6114">
      <c r="A6114" s="49">
        <v>45085.34642185185</v>
      </c>
      <c r="B6114" s="50">
        <v>45085.4713952199</v>
      </c>
      <c r="C6114" s="51">
        <v>1.007</v>
      </c>
      <c r="D6114" s="51">
        <v>68.0</v>
      </c>
      <c r="E6114" s="52" t="s">
        <v>25</v>
      </c>
      <c r="F6114" s="52" t="s">
        <v>26</v>
      </c>
      <c r="G6114" s="53"/>
    </row>
    <row r="6115">
      <c r="A6115" s="49">
        <v>45085.35683949074</v>
      </c>
      <c r="B6115" s="50">
        <v>45085.48181728</v>
      </c>
      <c r="C6115" s="51">
        <v>1.007</v>
      </c>
      <c r="D6115" s="51">
        <v>68.0</v>
      </c>
      <c r="E6115" s="52" t="s">
        <v>25</v>
      </c>
      <c r="F6115" s="52" t="s">
        <v>26</v>
      </c>
      <c r="G6115" s="53"/>
    </row>
    <row r="6116">
      <c r="A6116" s="49">
        <v>45085.36726777778</v>
      </c>
      <c r="B6116" s="50">
        <v>45085.4922518402</v>
      </c>
      <c r="C6116" s="51">
        <v>1.008</v>
      </c>
      <c r="D6116" s="51">
        <v>68.0</v>
      </c>
      <c r="E6116" s="52" t="s">
        <v>25</v>
      </c>
      <c r="F6116" s="52" t="s">
        <v>26</v>
      </c>
      <c r="G6116" s="53"/>
    </row>
    <row r="6117">
      <c r="A6117" s="49">
        <v>45085.37771236111</v>
      </c>
      <c r="B6117" s="50">
        <v>45085.5026958101</v>
      </c>
      <c r="C6117" s="51">
        <v>1.007</v>
      </c>
      <c r="D6117" s="51">
        <v>68.0</v>
      </c>
      <c r="E6117" s="52" t="s">
        <v>25</v>
      </c>
      <c r="F6117" s="52" t="s">
        <v>26</v>
      </c>
      <c r="G6117" s="53"/>
    </row>
    <row r="6118">
      <c r="A6118" s="49">
        <v>45085.3881475</v>
      </c>
      <c r="B6118" s="50">
        <v>45085.51313</v>
      </c>
      <c r="C6118" s="51">
        <v>1.007</v>
      </c>
      <c r="D6118" s="51">
        <v>68.0</v>
      </c>
      <c r="E6118" s="52" t="s">
        <v>25</v>
      </c>
      <c r="F6118" s="52" t="s">
        <v>26</v>
      </c>
      <c r="G6118" s="53"/>
    </row>
    <row r="6119">
      <c r="A6119" s="49">
        <v>45085.398588055556</v>
      </c>
      <c r="B6119" s="50">
        <v>45085.5235639236</v>
      </c>
      <c r="C6119" s="51">
        <v>1.007</v>
      </c>
      <c r="D6119" s="51">
        <v>68.0</v>
      </c>
      <c r="E6119" s="52" t="s">
        <v>25</v>
      </c>
      <c r="F6119" s="52" t="s">
        <v>26</v>
      </c>
      <c r="G6119" s="53"/>
    </row>
    <row r="6120">
      <c r="A6120" s="49">
        <v>45085.40901802083</v>
      </c>
      <c r="B6120" s="50">
        <v>45085.5339980555</v>
      </c>
      <c r="C6120" s="51">
        <v>1.007</v>
      </c>
      <c r="D6120" s="51">
        <v>68.0</v>
      </c>
      <c r="E6120" s="52" t="s">
        <v>25</v>
      </c>
      <c r="F6120" s="52" t="s">
        <v>26</v>
      </c>
      <c r="G6120" s="53"/>
    </row>
    <row r="6121">
      <c r="A6121" s="49">
        <v>45085.419448506946</v>
      </c>
      <c r="B6121" s="50">
        <v>45085.544418287</v>
      </c>
      <c r="C6121" s="51">
        <v>1.008</v>
      </c>
      <c r="D6121" s="51">
        <v>68.0</v>
      </c>
      <c r="E6121" s="52" t="s">
        <v>25</v>
      </c>
      <c r="F6121" s="52" t="s">
        <v>26</v>
      </c>
      <c r="G6121" s="53"/>
    </row>
    <row r="6122">
      <c r="A6122" s="49">
        <v>45085.42985961806</v>
      </c>
      <c r="B6122" s="50">
        <v>45085.5548388773</v>
      </c>
      <c r="C6122" s="51">
        <v>1.007</v>
      </c>
      <c r="D6122" s="51">
        <v>68.0</v>
      </c>
      <c r="E6122" s="52" t="s">
        <v>25</v>
      </c>
      <c r="F6122" s="52" t="s">
        <v>26</v>
      </c>
      <c r="G6122" s="53"/>
    </row>
    <row r="6123">
      <c r="A6123" s="49">
        <v>45085.44029938657</v>
      </c>
      <c r="B6123" s="50">
        <v>45085.5652710532</v>
      </c>
      <c r="C6123" s="51">
        <v>1.008</v>
      </c>
      <c r="D6123" s="51">
        <v>68.0</v>
      </c>
      <c r="E6123" s="52" t="s">
        <v>25</v>
      </c>
      <c r="F6123" s="52" t="s">
        <v>26</v>
      </c>
      <c r="G6123" s="53"/>
    </row>
    <row r="6124">
      <c r="A6124" s="49">
        <v>45085.45071950232</v>
      </c>
      <c r="B6124" s="50">
        <v>45085.5757028356</v>
      </c>
      <c r="C6124" s="51">
        <v>1.007</v>
      </c>
      <c r="D6124" s="51">
        <v>68.0</v>
      </c>
      <c r="E6124" s="52" t="s">
        <v>25</v>
      </c>
      <c r="F6124" s="52" t="s">
        <v>26</v>
      </c>
      <c r="G6124" s="53"/>
    </row>
    <row r="6125">
      <c r="A6125" s="49">
        <v>45085.461144155095</v>
      </c>
      <c r="B6125" s="50">
        <v>45085.5861253703</v>
      </c>
      <c r="C6125" s="51">
        <v>1.008</v>
      </c>
      <c r="D6125" s="51">
        <v>68.0</v>
      </c>
      <c r="E6125" s="52" t="s">
        <v>25</v>
      </c>
      <c r="F6125" s="52" t="s">
        <v>26</v>
      </c>
      <c r="G6125" s="53"/>
    </row>
    <row r="6126">
      <c r="A6126" s="49">
        <v>45085.47159819445</v>
      </c>
      <c r="B6126" s="50">
        <v>45085.5965710532</v>
      </c>
      <c r="C6126" s="51">
        <v>1.007</v>
      </c>
      <c r="D6126" s="51">
        <v>68.0</v>
      </c>
      <c r="E6126" s="52" t="s">
        <v>25</v>
      </c>
      <c r="F6126" s="52" t="s">
        <v>26</v>
      </c>
      <c r="G6126" s="53"/>
    </row>
    <row r="6127">
      <c r="A6127" s="49">
        <v>45085.48201871528</v>
      </c>
      <c r="B6127" s="50">
        <v>45085.6069924768</v>
      </c>
      <c r="C6127" s="51">
        <v>1.007</v>
      </c>
      <c r="D6127" s="51">
        <v>68.0</v>
      </c>
      <c r="E6127" s="52" t="s">
        <v>25</v>
      </c>
      <c r="F6127" s="52" t="s">
        <v>26</v>
      </c>
      <c r="G6127" s="53"/>
    </row>
    <row r="6128">
      <c r="A6128" s="49">
        <v>45085.492446296295</v>
      </c>
      <c r="B6128" s="50">
        <v>45085.6174251736</v>
      </c>
      <c r="C6128" s="51">
        <v>1.007</v>
      </c>
      <c r="D6128" s="51">
        <v>68.0</v>
      </c>
      <c r="E6128" s="52" t="s">
        <v>25</v>
      </c>
      <c r="F6128" s="52" t="s">
        <v>26</v>
      </c>
      <c r="G6128" s="53"/>
    </row>
    <row r="6129">
      <c r="A6129" s="49">
        <v>45085.50287027778</v>
      </c>
      <c r="B6129" s="50">
        <v>45085.627846655</v>
      </c>
      <c r="C6129" s="51">
        <v>1.007</v>
      </c>
      <c r="D6129" s="51">
        <v>68.0</v>
      </c>
      <c r="E6129" s="52" t="s">
        <v>25</v>
      </c>
      <c r="F6129" s="52" t="s">
        <v>26</v>
      </c>
      <c r="G6129" s="53"/>
    </row>
    <row r="6130">
      <c r="A6130" s="49">
        <v>45085.5133059375</v>
      </c>
      <c r="B6130" s="50">
        <v>45085.6382779513</v>
      </c>
      <c r="C6130" s="51">
        <v>1.007</v>
      </c>
      <c r="D6130" s="51">
        <v>68.0</v>
      </c>
      <c r="E6130" s="52" t="s">
        <v>25</v>
      </c>
      <c r="F6130" s="52" t="s">
        <v>26</v>
      </c>
      <c r="G6130" s="53"/>
    </row>
    <row r="6131">
      <c r="A6131" s="49">
        <v>45085.52372549768</v>
      </c>
      <c r="B6131" s="50">
        <v>45085.6486981597</v>
      </c>
      <c r="C6131" s="51">
        <v>1.008</v>
      </c>
      <c r="D6131" s="51">
        <v>68.0</v>
      </c>
      <c r="E6131" s="52" t="s">
        <v>25</v>
      </c>
      <c r="F6131" s="52" t="s">
        <v>26</v>
      </c>
      <c r="G6131" s="53"/>
    </row>
    <row r="6132">
      <c r="A6132" s="49">
        <v>45085.53415732639</v>
      </c>
      <c r="B6132" s="50">
        <v>45085.6591194791</v>
      </c>
      <c r="C6132" s="51">
        <v>1.007</v>
      </c>
      <c r="D6132" s="51">
        <v>68.0</v>
      </c>
      <c r="E6132" s="52" t="s">
        <v>25</v>
      </c>
      <c r="F6132" s="52" t="s">
        <v>26</v>
      </c>
      <c r="G6132" s="53"/>
    </row>
    <row r="6133">
      <c r="A6133" s="49">
        <v>45085.54459265046</v>
      </c>
      <c r="B6133" s="50">
        <v>45085.66954</v>
      </c>
      <c r="C6133" s="51">
        <v>1.007</v>
      </c>
      <c r="D6133" s="51">
        <v>68.0</v>
      </c>
      <c r="E6133" s="52" t="s">
        <v>25</v>
      </c>
      <c r="F6133" s="52" t="s">
        <v>26</v>
      </c>
      <c r="G6133" s="53"/>
    </row>
    <row r="6134">
      <c r="A6134" s="49">
        <v>45085.5550115625</v>
      </c>
      <c r="B6134" s="50">
        <v>45085.6799631828</v>
      </c>
      <c r="C6134" s="51">
        <v>1.007</v>
      </c>
      <c r="D6134" s="51">
        <v>68.0</v>
      </c>
      <c r="E6134" s="52" t="s">
        <v>25</v>
      </c>
      <c r="F6134" s="52" t="s">
        <v>26</v>
      </c>
      <c r="G6134" s="53"/>
    </row>
    <row r="6135">
      <c r="A6135" s="49">
        <v>45085.565433020834</v>
      </c>
      <c r="B6135" s="50">
        <v>45085.6903843865</v>
      </c>
      <c r="C6135" s="51">
        <v>1.007</v>
      </c>
      <c r="D6135" s="51">
        <v>68.0</v>
      </c>
      <c r="E6135" s="52" t="s">
        <v>25</v>
      </c>
      <c r="F6135" s="52" t="s">
        <v>26</v>
      </c>
      <c r="G6135" s="53"/>
    </row>
    <row r="6136">
      <c r="A6136" s="49">
        <v>45085.57586695602</v>
      </c>
      <c r="B6136" s="50">
        <v>45085.7008049189</v>
      </c>
      <c r="C6136" s="51">
        <v>1.007</v>
      </c>
      <c r="D6136" s="51">
        <v>68.0</v>
      </c>
      <c r="E6136" s="52" t="s">
        <v>25</v>
      </c>
      <c r="F6136" s="52" t="s">
        <v>26</v>
      </c>
      <c r="G6136" s="53"/>
    </row>
    <row r="6137">
      <c r="A6137" s="49">
        <v>45085.58630451389</v>
      </c>
      <c r="B6137" s="50">
        <v>45085.7112383101</v>
      </c>
      <c r="C6137" s="51">
        <v>1.008</v>
      </c>
      <c r="D6137" s="51">
        <v>68.0</v>
      </c>
      <c r="E6137" s="52" t="s">
        <v>25</v>
      </c>
      <c r="F6137" s="52" t="s">
        <v>26</v>
      </c>
      <c r="G6137" s="53"/>
    </row>
    <row r="6138">
      <c r="A6138" s="49">
        <v>45085.596716562504</v>
      </c>
      <c r="B6138" s="50">
        <v>45085.7216594675</v>
      </c>
      <c r="C6138" s="51">
        <v>1.007</v>
      </c>
      <c r="D6138" s="51">
        <v>68.0</v>
      </c>
      <c r="E6138" s="52" t="s">
        <v>25</v>
      </c>
      <c r="F6138" s="52" t="s">
        <v>26</v>
      </c>
      <c r="G6138" s="53"/>
    </row>
    <row r="6139">
      <c r="A6139" s="49">
        <v>45085.60714466435</v>
      </c>
      <c r="B6139" s="50">
        <v>45085.7320803472</v>
      </c>
      <c r="C6139" s="51">
        <v>1.007</v>
      </c>
      <c r="D6139" s="51">
        <v>68.0</v>
      </c>
      <c r="E6139" s="52" t="s">
        <v>25</v>
      </c>
      <c r="F6139" s="52" t="s">
        <v>26</v>
      </c>
      <c r="G6139" s="53"/>
    </row>
    <row r="6140">
      <c r="A6140" s="49">
        <v>45085.61755927083</v>
      </c>
      <c r="B6140" s="50">
        <v>45085.7425015277</v>
      </c>
      <c r="C6140" s="51">
        <v>1.007</v>
      </c>
      <c r="D6140" s="51">
        <v>68.0</v>
      </c>
      <c r="E6140" s="52" t="s">
        <v>25</v>
      </c>
      <c r="F6140" s="52" t="s">
        <v>26</v>
      </c>
      <c r="G6140" s="53"/>
    </row>
    <row r="6141">
      <c r="A6141" s="49">
        <v>45085.62799076389</v>
      </c>
      <c r="B6141" s="50">
        <v>45085.752923287</v>
      </c>
      <c r="C6141" s="51">
        <v>1.007</v>
      </c>
      <c r="D6141" s="51">
        <v>68.0</v>
      </c>
      <c r="E6141" s="52" t="s">
        <v>25</v>
      </c>
      <c r="F6141" s="52" t="s">
        <v>26</v>
      </c>
      <c r="G6141" s="53"/>
    </row>
    <row r="6142">
      <c r="A6142" s="49">
        <v>45085.638404502315</v>
      </c>
      <c r="B6142" s="50">
        <v>45085.7633451388</v>
      </c>
      <c r="C6142" s="51">
        <v>1.007</v>
      </c>
      <c r="D6142" s="51">
        <v>68.0</v>
      </c>
      <c r="E6142" s="52" t="s">
        <v>25</v>
      </c>
      <c r="F6142" s="52" t="s">
        <v>26</v>
      </c>
      <c r="G6142" s="53"/>
    </row>
    <row r="6143">
      <c r="A6143" s="49">
        <v>45085.64882671296</v>
      </c>
      <c r="B6143" s="50">
        <v>45085.7737798495</v>
      </c>
      <c r="C6143" s="51">
        <v>1.007</v>
      </c>
      <c r="D6143" s="51">
        <v>68.0</v>
      </c>
      <c r="E6143" s="52" t="s">
        <v>25</v>
      </c>
      <c r="F6143" s="52" t="s">
        <v>26</v>
      </c>
      <c r="G6143" s="53"/>
    </row>
    <row r="6144">
      <c r="A6144" s="49">
        <v>45085.65924175926</v>
      </c>
      <c r="B6144" s="50">
        <v>45085.7842126273</v>
      </c>
      <c r="C6144" s="51">
        <v>1.007</v>
      </c>
      <c r="D6144" s="51">
        <v>68.0</v>
      </c>
      <c r="E6144" s="52" t="s">
        <v>25</v>
      </c>
      <c r="F6144" s="52" t="s">
        <v>26</v>
      </c>
      <c r="G6144" s="53"/>
    </row>
    <row r="6145">
      <c r="A6145" s="49">
        <v>45085.66966972222</v>
      </c>
      <c r="B6145" s="50">
        <v>45085.794633125</v>
      </c>
      <c r="C6145" s="51">
        <v>1.007</v>
      </c>
      <c r="D6145" s="51">
        <v>68.0</v>
      </c>
      <c r="E6145" s="52" t="s">
        <v>25</v>
      </c>
      <c r="F6145" s="52" t="s">
        <v>26</v>
      </c>
      <c r="G6145" s="53"/>
    </row>
    <row r="6146">
      <c r="A6146" s="49">
        <v>45085.68009069444</v>
      </c>
      <c r="B6146" s="50">
        <v>45085.8050546643</v>
      </c>
      <c r="C6146" s="51">
        <v>1.007</v>
      </c>
      <c r="D6146" s="51">
        <v>68.0</v>
      </c>
      <c r="E6146" s="52" t="s">
        <v>25</v>
      </c>
      <c r="F6146" s="52" t="s">
        <v>26</v>
      </c>
      <c r="G6146" s="53"/>
    </row>
    <row r="6147">
      <c r="A6147" s="49">
        <v>45085.69051785879</v>
      </c>
      <c r="B6147" s="50">
        <v>45085.8154769791</v>
      </c>
      <c r="C6147" s="51">
        <v>1.007</v>
      </c>
      <c r="D6147" s="51">
        <v>68.0</v>
      </c>
      <c r="E6147" s="52" t="s">
        <v>25</v>
      </c>
      <c r="F6147" s="52" t="s">
        <v>26</v>
      </c>
      <c r="G6147" s="53"/>
    </row>
    <row r="6148">
      <c r="A6148" s="49">
        <v>45085.70094391204</v>
      </c>
      <c r="B6148" s="50">
        <v>45085.8259212847</v>
      </c>
      <c r="C6148" s="51">
        <v>1.007</v>
      </c>
      <c r="D6148" s="51">
        <v>68.0</v>
      </c>
      <c r="E6148" s="52" t="s">
        <v>25</v>
      </c>
      <c r="F6148" s="52" t="s">
        <v>26</v>
      </c>
      <c r="G6148" s="53"/>
    </row>
    <row r="6149">
      <c r="A6149" s="49">
        <v>45085.711380277775</v>
      </c>
      <c r="B6149" s="50">
        <v>45085.836342118</v>
      </c>
      <c r="C6149" s="51">
        <v>1.007</v>
      </c>
      <c r="D6149" s="51">
        <v>68.0</v>
      </c>
      <c r="E6149" s="52" t="s">
        <v>25</v>
      </c>
      <c r="F6149" s="52" t="s">
        <v>26</v>
      </c>
      <c r="G6149" s="53"/>
    </row>
    <row r="6150">
      <c r="A6150" s="49">
        <v>45085.72183488426</v>
      </c>
      <c r="B6150" s="50">
        <v>45085.8468083564</v>
      </c>
      <c r="C6150" s="51">
        <v>1.007</v>
      </c>
      <c r="D6150" s="51">
        <v>68.0</v>
      </c>
      <c r="E6150" s="52" t="s">
        <v>25</v>
      </c>
      <c r="F6150" s="52" t="s">
        <v>26</v>
      </c>
      <c r="G6150" s="53"/>
    </row>
    <row r="6151">
      <c r="A6151" s="49">
        <v>45085.73225775463</v>
      </c>
      <c r="B6151" s="50">
        <v>45085.8572292129</v>
      </c>
      <c r="C6151" s="51">
        <v>1.007</v>
      </c>
      <c r="D6151" s="51">
        <v>68.0</v>
      </c>
      <c r="E6151" s="52" t="s">
        <v>25</v>
      </c>
      <c r="F6151" s="52" t="s">
        <v>26</v>
      </c>
      <c r="G6151" s="53"/>
    </row>
    <row r="6152">
      <c r="A6152" s="49">
        <v>45085.742677800925</v>
      </c>
      <c r="B6152" s="50">
        <v>45085.8676505671</v>
      </c>
      <c r="C6152" s="51">
        <v>1.007</v>
      </c>
      <c r="D6152" s="51">
        <v>68.0</v>
      </c>
      <c r="E6152" s="52" t="s">
        <v>25</v>
      </c>
      <c r="F6152" s="52" t="s">
        <v>26</v>
      </c>
      <c r="G6152" s="53"/>
    </row>
    <row r="6153">
      <c r="A6153" s="49">
        <v>45085.75308988426</v>
      </c>
      <c r="B6153" s="50">
        <v>45085.8780703009</v>
      </c>
      <c r="C6153" s="51">
        <v>1.007</v>
      </c>
      <c r="D6153" s="51">
        <v>68.0</v>
      </c>
      <c r="E6153" s="52" t="s">
        <v>25</v>
      </c>
      <c r="F6153" s="52" t="s">
        <v>26</v>
      </c>
      <c r="G6153" s="53"/>
    </row>
    <row r="6154">
      <c r="A6154" s="49">
        <v>45085.76352983796</v>
      </c>
      <c r="B6154" s="50">
        <v>45085.8885031713</v>
      </c>
      <c r="C6154" s="51">
        <v>1.007</v>
      </c>
      <c r="D6154" s="51">
        <v>68.0</v>
      </c>
      <c r="E6154" s="52" t="s">
        <v>25</v>
      </c>
      <c r="F6154" s="52" t="s">
        <v>26</v>
      </c>
      <c r="G6154" s="53"/>
    </row>
    <row r="6155">
      <c r="A6155" s="49">
        <v>45085.77396016204</v>
      </c>
      <c r="B6155" s="50">
        <v>45085.8989348842</v>
      </c>
      <c r="C6155" s="51">
        <v>1.007</v>
      </c>
      <c r="D6155" s="51">
        <v>68.0</v>
      </c>
      <c r="E6155" s="52" t="s">
        <v>25</v>
      </c>
      <c r="F6155" s="52" t="s">
        <v>26</v>
      </c>
      <c r="G6155" s="53"/>
    </row>
    <row r="6156">
      <c r="A6156" s="49">
        <v>45085.784380902776</v>
      </c>
      <c r="B6156" s="50">
        <v>45085.9093562963</v>
      </c>
      <c r="C6156" s="51">
        <v>1.007</v>
      </c>
      <c r="D6156" s="51">
        <v>68.0</v>
      </c>
      <c r="E6156" s="52" t="s">
        <v>25</v>
      </c>
      <c r="F6156" s="52" t="s">
        <v>26</v>
      </c>
      <c r="G6156" s="53"/>
    </row>
    <row r="6157">
      <c r="A6157" s="49">
        <v>45085.79481467593</v>
      </c>
      <c r="B6157" s="50">
        <v>45085.9197900694</v>
      </c>
      <c r="C6157" s="51">
        <v>1.007</v>
      </c>
      <c r="D6157" s="51">
        <v>68.0</v>
      </c>
      <c r="E6157" s="52" t="s">
        <v>25</v>
      </c>
      <c r="F6157" s="52" t="s">
        <v>26</v>
      </c>
      <c r="G6157" s="53"/>
    </row>
    <row r="6158">
      <c r="A6158" s="49">
        <v>45085.805247372686</v>
      </c>
      <c r="B6158" s="50">
        <v>45085.9302223148</v>
      </c>
      <c r="C6158" s="51">
        <v>1.007</v>
      </c>
      <c r="D6158" s="51">
        <v>68.0</v>
      </c>
      <c r="E6158" s="52" t="s">
        <v>25</v>
      </c>
      <c r="F6158" s="52" t="s">
        <v>26</v>
      </c>
      <c r="G6158" s="53"/>
    </row>
    <row r="6159">
      <c r="A6159" s="49">
        <v>45085.81567917824</v>
      </c>
      <c r="B6159" s="50">
        <v>45085.9406558217</v>
      </c>
      <c r="C6159" s="51">
        <v>1.007</v>
      </c>
      <c r="D6159" s="51">
        <v>68.0</v>
      </c>
      <c r="E6159" s="52" t="s">
        <v>25</v>
      </c>
      <c r="F6159" s="52" t="s">
        <v>26</v>
      </c>
      <c r="G6159" s="53"/>
    </row>
    <row r="6160">
      <c r="A6160" s="49">
        <v>45085.82609980324</v>
      </c>
      <c r="B6160" s="50">
        <v>45085.9510773611</v>
      </c>
      <c r="C6160" s="51">
        <v>1.007</v>
      </c>
      <c r="D6160" s="51">
        <v>68.0</v>
      </c>
      <c r="E6160" s="52" t="s">
        <v>25</v>
      </c>
      <c r="F6160" s="52" t="s">
        <v>26</v>
      </c>
      <c r="G6160" s="53"/>
    </row>
    <row r="6161">
      <c r="A6161" s="49">
        <v>45085.83651958333</v>
      </c>
      <c r="B6161" s="50">
        <v>45085.9614982175</v>
      </c>
      <c r="C6161" s="51">
        <v>1.007</v>
      </c>
      <c r="D6161" s="51">
        <v>68.0</v>
      </c>
      <c r="E6161" s="52" t="s">
        <v>25</v>
      </c>
      <c r="F6161" s="52" t="s">
        <v>26</v>
      </c>
      <c r="G6161" s="53"/>
    </row>
    <row r="6162">
      <c r="A6162" s="49">
        <v>45085.84694819445</v>
      </c>
      <c r="B6162" s="50">
        <v>45085.9719302314</v>
      </c>
      <c r="C6162" s="51">
        <v>1.007</v>
      </c>
      <c r="D6162" s="51">
        <v>68.0</v>
      </c>
      <c r="E6162" s="52" t="s">
        <v>25</v>
      </c>
      <c r="F6162" s="52" t="s">
        <v>26</v>
      </c>
      <c r="G6162" s="53"/>
    </row>
    <row r="6163">
      <c r="A6163" s="49">
        <v>45085.85737681713</v>
      </c>
      <c r="B6163" s="50">
        <v>45085.9823519675</v>
      </c>
      <c r="C6163" s="51">
        <v>1.007</v>
      </c>
      <c r="D6163" s="51">
        <v>68.0</v>
      </c>
      <c r="E6163" s="52" t="s">
        <v>25</v>
      </c>
      <c r="F6163" s="52" t="s">
        <v>26</v>
      </c>
      <c r="G6163" s="53"/>
    </row>
    <row r="6164">
      <c r="A6164" s="49">
        <v>45085.867795011574</v>
      </c>
      <c r="B6164" s="50">
        <v>45085.9927732986</v>
      </c>
      <c r="C6164" s="51">
        <v>1.007</v>
      </c>
      <c r="D6164" s="51">
        <v>68.0</v>
      </c>
      <c r="E6164" s="52" t="s">
        <v>25</v>
      </c>
      <c r="F6164" s="52" t="s">
        <v>26</v>
      </c>
      <c r="G6164" s="53"/>
    </row>
    <row r="6165">
      <c r="A6165" s="49">
        <v>45085.8782369213</v>
      </c>
      <c r="B6165" s="50">
        <v>45086.00320728</v>
      </c>
      <c r="C6165" s="51">
        <v>1.007</v>
      </c>
      <c r="D6165" s="51">
        <v>68.0</v>
      </c>
      <c r="E6165" s="52" t="s">
        <v>25</v>
      </c>
      <c r="F6165" s="52" t="s">
        <v>26</v>
      </c>
      <c r="G6165" s="53"/>
    </row>
    <row r="6166">
      <c r="A6166" s="49">
        <v>45085.88866304398</v>
      </c>
      <c r="B6166" s="50">
        <v>45086.0136286226</v>
      </c>
      <c r="C6166" s="51">
        <v>1.007</v>
      </c>
      <c r="D6166" s="51">
        <v>68.0</v>
      </c>
      <c r="E6166" s="52" t="s">
        <v>25</v>
      </c>
      <c r="F6166" s="52" t="s">
        <v>26</v>
      </c>
      <c r="G6166" s="53"/>
    </row>
    <row r="6167">
      <c r="A6167" s="49">
        <v>45085.89908427083</v>
      </c>
      <c r="B6167" s="50">
        <v>45086.0240622453</v>
      </c>
      <c r="C6167" s="51">
        <v>1.007</v>
      </c>
      <c r="D6167" s="51">
        <v>68.0</v>
      </c>
      <c r="E6167" s="52" t="s">
        <v>25</v>
      </c>
      <c r="F6167" s="52" t="s">
        <v>26</v>
      </c>
      <c r="G6167" s="53"/>
    </row>
    <row r="6168">
      <c r="A6168" s="49">
        <v>45085.909509861114</v>
      </c>
      <c r="B6168" s="50">
        <v>45086.0344828472</v>
      </c>
      <c r="C6168" s="51">
        <v>1.007</v>
      </c>
      <c r="D6168" s="51">
        <v>68.0</v>
      </c>
      <c r="E6168" s="52" t="s">
        <v>25</v>
      </c>
      <c r="F6168" s="52" t="s">
        <v>26</v>
      </c>
      <c r="G6168" s="53"/>
    </row>
    <row r="6169">
      <c r="A6169" s="49">
        <v>45085.91992659723</v>
      </c>
      <c r="B6169" s="50">
        <v>45086.0449054282</v>
      </c>
      <c r="C6169" s="51">
        <v>1.007</v>
      </c>
      <c r="D6169" s="51">
        <v>68.0</v>
      </c>
      <c r="E6169" s="52" t="s">
        <v>25</v>
      </c>
      <c r="F6169" s="52" t="s">
        <v>26</v>
      </c>
      <c r="G6169" s="53"/>
    </row>
    <row r="6170">
      <c r="A6170" s="49">
        <v>45085.930348553244</v>
      </c>
      <c r="B6170" s="50">
        <v>45086.0553255787</v>
      </c>
      <c r="C6170" s="51">
        <v>1.007</v>
      </c>
      <c r="D6170" s="51">
        <v>68.0</v>
      </c>
      <c r="E6170" s="52" t="s">
        <v>25</v>
      </c>
      <c r="F6170" s="52" t="s">
        <v>26</v>
      </c>
      <c r="G6170" s="53"/>
    </row>
    <row r="6171">
      <c r="A6171" s="49">
        <v>45085.94077461805</v>
      </c>
      <c r="B6171" s="50">
        <v>45086.0657478588</v>
      </c>
      <c r="C6171" s="51">
        <v>1.007</v>
      </c>
      <c r="D6171" s="51">
        <v>68.0</v>
      </c>
      <c r="E6171" s="52" t="s">
        <v>25</v>
      </c>
      <c r="F6171" s="52" t="s">
        <v>26</v>
      </c>
      <c r="G6171" s="53"/>
    </row>
    <row r="6172">
      <c r="A6172" s="49">
        <v>45085.951196574075</v>
      </c>
      <c r="B6172" s="50">
        <v>45086.0761688425</v>
      </c>
      <c r="C6172" s="51">
        <v>1.007</v>
      </c>
      <c r="D6172" s="51">
        <v>68.0</v>
      </c>
      <c r="E6172" s="52" t="s">
        <v>25</v>
      </c>
      <c r="F6172" s="52" t="s">
        <v>26</v>
      </c>
      <c r="G6172" s="53"/>
    </row>
    <row r="6173">
      <c r="A6173" s="49">
        <v>45085.961610185186</v>
      </c>
      <c r="B6173" s="50">
        <v>45086.0865896875</v>
      </c>
      <c r="C6173" s="51">
        <v>1.007</v>
      </c>
      <c r="D6173" s="51">
        <v>68.0</v>
      </c>
      <c r="E6173" s="52" t="s">
        <v>25</v>
      </c>
      <c r="F6173" s="52" t="s">
        <v>26</v>
      </c>
      <c r="G6173" s="53"/>
    </row>
    <row r="6174">
      <c r="A6174" s="49">
        <v>45085.972042002315</v>
      </c>
      <c r="B6174" s="50">
        <v>45086.097020625</v>
      </c>
      <c r="C6174" s="51">
        <v>1.007</v>
      </c>
      <c r="D6174" s="51">
        <v>68.0</v>
      </c>
      <c r="E6174" s="52" t="s">
        <v>25</v>
      </c>
      <c r="F6174" s="52" t="s">
        <v>26</v>
      </c>
      <c r="G6174" s="53"/>
    </row>
    <row r="6175">
      <c r="A6175" s="49">
        <v>45085.98246211806</v>
      </c>
      <c r="B6175" s="50">
        <v>45086.107442743</v>
      </c>
      <c r="C6175" s="51">
        <v>1.007</v>
      </c>
      <c r="D6175" s="51">
        <v>68.0</v>
      </c>
      <c r="E6175" s="52" t="s">
        <v>25</v>
      </c>
      <c r="F6175" s="52" t="s">
        <v>26</v>
      </c>
      <c r="G6175" s="53"/>
    </row>
    <row r="6176">
      <c r="A6176" s="49">
        <v>45085.99289462963</v>
      </c>
      <c r="B6176" s="50">
        <v>45086.1178756713</v>
      </c>
      <c r="C6176" s="51">
        <v>1.007</v>
      </c>
      <c r="D6176" s="51">
        <v>68.0</v>
      </c>
      <c r="E6176" s="52" t="s">
        <v>25</v>
      </c>
      <c r="F6176" s="52" t="s">
        <v>26</v>
      </c>
      <c r="G6176" s="53"/>
    </row>
    <row r="6177">
      <c r="A6177" s="49">
        <v>45086.003313761576</v>
      </c>
      <c r="B6177" s="50">
        <v>45086.1282948263</v>
      </c>
      <c r="C6177" s="51">
        <v>1.007</v>
      </c>
      <c r="D6177" s="51">
        <v>68.0</v>
      </c>
      <c r="E6177" s="52" t="s">
        <v>25</v>
      </c>
      <c r="F6177" s="52" t="s">
        <v>26</v>
      </c>
      <c r="G6177" s="53"/>
    </row>
    <row r="6178">
      <c r="A6178" s="49">
        <v>45086.013747476856</v>
      </c>
      <c r="B6178" s="50">
        <v>45086.1387170601</v>
      </c>
      <c r="C6178" s="51">
        <v>1.007</v>
      </c>
      <c r="D6178" s="51">
        <v>68.0</v>
      </c>
      <c r="E6178" s="52" t="s">
        <v>25</v>
      </c>
      <c r="F6178" s="52" t="s">
        <v>26</v>
      </c>
      <c r="G6178" s="53"/>
    </row>
    <row r="6179">
      <c r="A6179" s="49">
        <v>45086.02416043982</v>
      </c>
      <c r="B6179" s="50">
        <v>45086.1491398148</v>
      </c>
      <c r="C6179" s="51">
        <v>1.007</v>
      </c>
      <c r="D6179" s="51">
        <v>68.0</v>
      </c>
      <c r="E6179" s="52" t="s">
        <v>25</v>
      </c>
      <c r="F6179" s="52" t="s">
        <v>26</v>
      </c>
      <c r="G6179" s="53"/>
    </row>
    <row r="6180">
      <c r="A6180" s="49">
        <v>45086.034590868054</v>
      </c>
      <c r="B6180" s="50">
        <v>45086.1595602893</v>
      </c>
      <c r="C6180" s="51">
        <v>1.007</v>
      </c>
      <c r="D6180" s="51">
        <v>68.0</v>
      </c>
      <c r="E6180" s="52" t="s">
        <v>25</v>
      </c>
      <c r="F6180" s="52" t="s">
        <v>26</v>
      </c>
      <c r="G6180" s="53"/>
    </row>
    <row r="6181">
      <c r="A6181" s="49">
        <v>45086.04502993055</v>
      </c>
      <c r="B6181" s="50">
        <v>45086.1700048726</v>
      </c>
      <c r="C6181" s="51">
        <v>1.007</v>
      </c>
      <c r="D6181" s="51">
        <v>68.0</v>
      </c>
      <c r="E6181" s="52" t="s">
        <v>25</v>
      </c>
      <c r="F6181" s="52" t="s">
        <v>26</v>
      </c>
      <c r="G6181" s="53"/>
    </row>
    <row r="6182">
      <c r="A6182" s="49">
        <v>45086.055460752315</v>
      </c>
      <c r="B6182" s="50">
        <v>45086.1804380092</v>
      </c>
      <c r="C6182" s="51">
        <v>1.008</v>
      </c>
      <c r="D6182" s="51">
        <v>68.0</v>
      </c>
      <c r="E6182" s="52" t="s">
        <v>25</v>
      </c>
      <c r="F6182" s="52" t="s">
        <v>26</v>
      </c>
      <c r="G6182" s="53"/>
    </row>
    <row r="6183">
      <c r="A6183" s="49">
        <v>45086.06593020834</v>
      </c>
      <c r="B6183" s="50">
        <v>45086.1909063541</v>
      </c>
      <c r="C6183" s="51">
        <v>1.007</v>
      </c>
      <c r="D6183" s="51">
        <v>68.0</v>
      </c>
      <c r="E6183" s="52" t="s">
        <v>25</v>
      </c>
      <c r="F6183" s="52" t="s">
        <v>26</v>
      </c>
      <c r="G6183" s="53"/>
    </row>
    <row r="6184">
      <c r="A6184" s="49">
        <v>45086.07636309028</v>
      </c>
      <c r="B6184" s="50">
        <v>45086.2013383217</v>
      </c>
      <c r="C6184" s="51">
        <v>1.007</v>
      </c>
      <c r="D6184" s="51">
        <v>68.0</v>
      </c>
      <c r="E6184" s="52" t="s">
        <v>25</v>
      </c>
      <c r="F6184" s="52" t="s">
        <v>26</v>
      </c>
      <c r="G6184" s="53"/>
    </row>
    <row r="6185">
      <c r="A6185" s="49">
        <v>45086.086778171295</v>
      </c>
      <c r="B6185" s="50">
        <v>45086.2117587037</v>
      </c>
      <c r="C6185" s="51">
        <v>1.007</v>
      </c>
      <c r="D6185" s="51">
        <v>68.0</v>
      </c>
      <c r="E6185" s="52" t="s">
        <v>25</v>
      </c>
      <c r="F6185" s="52" t="s">
        <v>26</v>
      </c>
      <c r="G6185" s="53"/>
    </row>
    <row r="6186">
      <c r="A6186" s="49">
        <v>45086.09721061343</v>
      </c>
      <c r="B6186" s="50">
        <v>45086.2221808796</v>
      </c>
      <c r="C6186" s="51">
        <v>1.007</v>
      </c>
      <c r="D6186" s="51">
        <v>68.0</v>
      </c>
      <c r="E6186" s="52" t="s">
        <v>25</v>
      </c>
      <c r="F6186" s="52" t="s">
        <v>26</v>
      </c>
      <c r="G6186" s="53"/>
    </row>
    <row r="6187">
      <c r="A6187" s="49">
        <v>45086.107642118055</v>
      </c>
      <c r="B6187" s="50">
        <v>45086.2326132291</v>
      </c>
      <c r="C6187" s="51">
        <v>1.007</v>
      </c>
      <c r="D6187" s="51">
        <v>68.0</v>
      </c>
      <c r="E6187" s="52" t="s">
        <v>25</v>
      </c>
      <c r="F6187" s="52" t="s">
        <v>26</v>
      </c>
      <c r="G6187" s="53"/>
    </row>
    <row r="6188">
      <c r="A6188" s="49">
        <v>45086.11805839121</v>
      </c>
      <c r="B6188" s="50">
        <v>45086.2430356597</v>
      </c>
      <c r="C6188" s="51">
        <v>1.007</v>
      </c>
      <c r="D6188" s="51">
        <v>68.0</v>
      </c>
      <c r="E6188" s="52" t="s">
        <v>25</v>
      </c>
      <c r="F6188" s="52" t="s">
        <v>26</v>
      </c>
      <c r="G6188" s="53"/>
    </row>
    <row r="6189">
      <c r="A6189" s="49">
        <v>45086.128478969906</v>
      </c>
      <c r="B6189" s="50">
        <v>45086.2534552083</v>
      </c>
      <c r="C6189" s="51">
        <v>1.007</v>
      </c>
      <c r="D6189" s="51">
        <v>68.0</v>
      </c>
      <c r="E6189" s="52" t="s">
        <v>25</v>
      </c>
      <c r="F6189" s="52" t="s">
        <v>26</v>
      </c>
      <c r="G6189" s="53"/>
    </row>
    <row r="6190">
      <c r="A6190" s="49">
        <v>45086.13891709491</v>
      </c>
      <c r="B6190" s="50">
        <v>45086.2638888888</v>
      </c>
      <c r="C6190" s="51">
        <v>1.007</v>
      </c>
      <c r="D6190" s="51">
        <v>68.0</v>
      </c>
      <c r="E6190" s="52" t="s">
        <v>25</v>
      </c>
      <c r="F6190" s="52" t="s">
        <v>26</v>
      </c>
      <c r="G6190" s="53"/>
    </row>
    <row r="6191">
      <c r="A6191" s="49">
        <v>45086.1493362037</v>
      </c>
      <c r="B6191" s="50">
        <v>45086.2743099768</v>
      </c>
      <c r="C6191" s="51">
        <v>1.007</v>
      </c>
      <c r="D6191" s="51">
        <v>68.0</v>
      </c>
      <c r="E6191" s="52" t="s">
        <v>25</v>
      </c>
      <c r="F6191" s="52" t="s">
        <v>26</v>
      </c>
      <c r="G6191" s="53"/>
    </row>
    <row r="6192">
      <c r="A6192" s="49">
        <v>45086.159765613425</v>
      </c>
      <c r="B6192" s="50">
        <v>45086.2847321064</v>
      </c>
      <c r="C6192" s="51">
        <v>1.007</v>
      </c>
      <c r="D6192" s="51">
        <v>68.0</v>
      </c>
      <c r="E6192" s="52" t="s">
        <v>25</v>
      </c>
      <c r="F6192" s="52" t="s">
        <v>26</v>
      </c>
      <c r="G6192" s="53"/>
    </row>
    <row r="6193">
      <c r="A6193" s="49">
        <v>45086.17017820602</v>
      </c>
      <c r="B6193" s="50">
        <v>45086.2951527083</v>
      </c>
      <c r="C6193" s="51">
        <v>1.007</v>
      </c>
      <c r="D6193" s="51">
        <v>68.0</v>
      </c>
      <c r="E6193" s="52" t="s">
        <v>25</v>
      </c>
      <c r="F6193" s="52" t="s">
        <v>26</v>
      </c>
      <c r="G6193" s="53"/>
    </row>
    <row r="6194">
      <c r="A6194" s="49">
        <v>45086.18060136574</v>
      </c>
      <c r="B6194" s="50">
        <v>45086.3055740046</v>
      </c>
      <c r="C6194" s="51">
        <v>1.007</v>
      </c>
      <c r="D6194" s="51">
        <v>68.0</v>
      </c>
      <c r="E6194" s="52" t="s">
        <v>25</v>
      </c>
      <c r="F6194" s="52" t="s">
        <v>26</v>
      </c>
      <c r="G6194" s="53"/>
    </row>
    <row r="6195">
      <c r="A6195" s="49">
        <v>45086.19102619213</v>
      </c>
      <c r="B6195" s="50">
        <v>45086.3159956481</v>
      </c>
      <c r="C6195" s="51">
        <v>1.007</v>
      </c>
      <c r="D6195" s="51">
        <v>68.0</v>
      </c>
      <c r="E6195" s="52" t="s">
        <v>25</v>
      </c>
      <c r="F6195" s="52" t="s">
        <v>26</v>
      </c>
      <c r="G6195" s="53"/>
    </row>
    <row r="6196">
      <c r="A6196" s="49">
        <v>45086.20143925926</v>
      </c>
      <c r="B6196" s="50">
        <v>45086.326418206</v>
      </c>
      <c r="C6196" s="51">
        <v>1.007</v>
      </c>
      <c r="D6196" s="51">
        <v>68.0</v>
      </c>
      <c r="E6196" s="52" t="s">
        <v>25</v>
      </c>
      <c r="F6196" s="52" t="s">
        <v>26</v>
      </c>
      <c r="G6196" s="53"/>
    </row>
    <row r="6197">
      <c r="A6197" s="49">
        <v>45086.21188372685</v>
      </c>
      <c r="B6197" s="50">
        <v>45086.336851956</v>
      </c>
      <c r="C6197" s="51">
        <v>1.007</v>
      </c>
      <c r="D6197" s="51">
        <v>68.0</v>
      </c>
      <c r="E6197" s="52" t="s">
        <v>25</v>
      </c>
      <c r="F6197" s="52" t="s">
        <v>26</v>
      </c>
      <c r="G6197" s="53"/>
    </row>
    <row r="6198">
      <c r="A6198" s="49">
        <v>45086.22230653935</v>
      </c>
      <c r="B6198" s="50">
        <v>45086.3472719212</v>
      </c>
      <c r="C6198" s="51">
        <v>1.007</v>
      </c>
      <c r="D6198" s="51">
        <v>68.0</v>
      </c>
      <c r="E6198" s="52" t="s">
        <v>25</v>
      </c>
      <c r="F6198" s="52" t="s">
        <v>26</v>
      </c>
      <c r="G6198" s="53"/>
    </row>
    <row r="6199">
      <c r="A6199" s="49">
        <v>45086.23272128472</v>
      </c>
      <c r="B6199" s="50">
        <v>45086.3576936574</v>
      </c>
      <c r="C6199" s="51">
        <v>1.007</v>
      </c>
      <c r="D6199" s="51">
        <v>68.0</v>
      </c>
      <c r="E6199" s="52" t="s">
        <v>25</v>
      </c>
      <c r="F6199" s="52" t="s">
        <v>26</v>
      </c>
      <c r="G6199" s="53"/>
    </row>
    <row r="6200">
      <c r="A6200" s="49">
        <v>45086.24314244213</v>
      </c>
      <c r="B6200" s="50">
        <v>45086.3681140393</v>
      </c>
      <c r="C6200" s="51">
        <v>1.007</v>
      </c>
      <c r="D6200" s="51">
        <v>68.0</v>
      </c>
      <c r="E6200" s="52" t="s">
        <v>25</v>
      </c>
      <c r="F6200" s="52" t="s">
        <v>26</v>
      </c>
      <c r="G6200" s="53"/>
    </row>
    <row r="6201">
      <c r="A6201" s="49">
        <v>45086.253591099536</v>
      </c>
      <c r="B6201" s="50">
        <v>45086.3785477893</v>
      </c>
      <c r="C6201" s="51">
        <v>1.007</v>
      </c>
      <c r="D6201" s="51">
        <v>68.0</v>
      </c>
      <c r="E6201" s="52" t="s">
        <v>25</v>
      </c>
      <c r="F6201" s="52" t="s">
        <v>26</v>
      </c>
      <c r="G6201" s="53"/>
    </row>
    <row r="6202">
      <c r="A6202" s="49">
        <v>45086.263999780094</v>
      </c>
      <c r="B6202" s="50">
        <v>45086.3889679398</v>
      </c>
      <c r="C6202" s="51">
        <v>1.007</v>
      </c>
      <c r="D6202" s="51">
        <v>68.0</v>
      </c>
      <c r="E6202" s="52" t="s">
        <v>25</v>
      </c>
      <c r="F6202" s="52" t="s">
        <v>26</v>
      </c>
      <c r="G6202" s="53"/>
    </row>
    <row r="6203">
      <c r="A6203" s="49">
        <v>45086.27441769676</v>
      </c>
      <c r="B6203" s="50">
        <v>45086.3993877546</v>
      </c>
      <c r="C6203" s="51">
        <v>1.007</v>
      </c>
      <c r="D6203" s="51">
        <v>68.0</v>
      </c>
      <c r="E6203" s="52" t="s">
        <v>25</v>
      </c>
      <c r="F6203" s="52" t="s">
        <v>26</v>
      </c>
      <c r="G6203" s="53"/>
    </row>
    <row r="6204">
      <c r="A6204" s="49">
        <v>45086.28486459491</v>
      </c>
      <c r="B6204" s="50">
        <v>45086.409832662</v>
      </c>
      <c r="C6204" s="51">
        <v>1.007</v>
      </c>
      <c r="D6204" s="51">
        <v>68.0</v>
      </c>
      <c r="E6204" s="52" t="s">
        <v>25</v>
      </c>
      <c r="F6204" s="52" t="s">
        <v>26</v>
      </c>
      <c r="G6204" s="53"/>
    </row>
    <row r="6205">
      <c r="A6205" s="49">
        <v>45086.295289201385</v>
      </c>
      <c r="B6205" s="50">
        <v>45086.4202662963</v>
      </c>
      <c r="C6205" s="51">
        <v>1.007</v>
      </c>
      <c r="D6205" s="51">
        <v>68.0</v>
      </c>
      <c r="E6205" s="52" t="s">
        <v>25</v>
      </c>
      <c r="F6205" s="52" t="s">
        <v>26</v>
      </c>
      <c r="G6205" s="53"/>
    </row>
    <row r="6206">
      <c r="A6206" s="49">
        <v>45086.30570783565</v>
      </c>
      <c r="B6206" s="50">
        <v>45086.4306868402</v>
      </c>
      <c r="C6206" s="51">
        <v>1.007</v>
      </c>
      <c r="D6206" s="51">
        <v>68.0</v>
      </c>
      <c r="E6206" s="52" t="s">
        <v>25</v>
      </c>
      <c r="F6206" s="52" t="s">
        <v>26</v>
      </c>
      <c r="G6206" s="53"/>
    </row>
    <row r="6207">
      <c r="A6207" s="49">
        <v>45086.316139814815</v>
      </c>
      <c r="B6207" s="50">
        <v>45086.4411081481</v>
      </c>
      <c r="C6207" s="51">
        <v>1.007</v>
      </c>
      <c r="D6207" s="51">
        <v>68.0</v>
      </c>
      <c r="E6207" s="52" t="s">
        <v>25</v>
      </c>
      <c r="F6207" s="52" t="s">
        <v>26</v>
      </c>
      <c r="G6207" s="53"/>
    </row>
    <row r="6208">
      <c r="A6208" s="49">
        <v>45086.326554722225</v>
      </c>
      <c r="B6208" s="50">
        <v>45086.4515289467</v>
      </c>
      <c r="C6208" s="51">
        <v>1.007</v>
      </c>
      <c r="D6208" s="51">
        <v>68.0</v>
      </c>
      <c r="E6208" s="52" t="s">
        <v>25</v>
      </c>
      <c r="F6208" s="52" t="s">
        <v>26</v>
      </c>
      <c r="G6208" s="53"/>
    </row>
    <row r="6209">
      <c r="A6209" s="49">
        <v>45086.337006041664</v>
      </c>
      <c r="B6209" s="50">
        <v>45086.461972743</v>
      </c>
      <c r="C6209" s="51">
        <v>1.007</v>
      </c>
      <c r="D6209" s="51">
        <v>68.0</v>
      </c>
      <c r="E6209" s="52" t="s">
        <v>25</v>
      </c>
      <c r="F6209" s="52" t="s">
        <v>26</v>
      </c>
      <c r="G6209" s="53"/>
    </row>
    <row r="6210">
      <c r="A6210" s="49">
        <v>45086.34742960648</v>
      </c>
      <c r="B6210" s="50">
        <v>45086.472392743</v>
      </c>
      <c r="C6210" s="51">
        <v>1.007</v>
      </c>
      <c r="D6210" s="51">
        <v>68.0</v>
      </c>
      <c r="E6210" s="52" t="s">
        <v>25</v>
      </c>
      <c r="F6210" s="52" t="s">
        <v>26</v>
      </c>
      <c r="G6210" s="53"/>
    </row>
    <row r="6211">
      <c r="A6211" s="49">
        <v>45086.35785670139</v>
      </c>
      <c r="B6211" s="50">
        <v>45086.4828251041</v>
      </c>
      <c r="C6211" s="51">
        <v>1.007</v>
      </c>
      <c r="D6211" s="51">
        <v>68.0</v>
      </c>
      <c r="E6211" s="52" t="s">
        <v>25</v>
      </c>
      <c r="F6211" s="52" t="s">
        <v>26</v>
      </c>
      <c r="G6211" s="53"/>
    </row>
    <row r="6212">
      <c r="A6212" s="49">
        <v>45086.368272685184</v>
      </c>
      <c r="B6212" s="50">
        <v>45086.4932476736</v>
      </c>
      <c r="C6212" s="51">
        <v>1.007</v>
      </c>
      <c r="D6212" s="51">
        <v>68.0</v>
      </c>
      <c r="E6212" s="52" t="s">
        <v>25</v>
      </c>
      <c r="F6212" s="52" t="s">
        <v>26</v>
      </c>
      <c r="G6212" s="53"/>
    </row>
    <row r="6213">
      <c r="A6213" s="49">
        <v>45086.37869784722</v>
      </c>
      <c r="B6213" s="50">
        <v>45086.5036699074</v>
      </c>
      <c r="C6213" s="51">
        <v>1.007</v>
      </c>
      <c r="D6213" s="51">
        <v>68.0</v>
      </c>
      <c r="E6213" s="52" t="s">
        <v>25</v>
      </c>
      <c r="F6213" s="52" t="s">
        <v>26</v>
      </c>
      <c r="G6213" s="53"/>
    </row>
    <row r="6214">
      <c r="A6214" s="49">
        <v>45086.38914988426</v>
      </c>
      <c r="B6214" s="50">
        <v>45086.5141256712</v>
      </c>
      <c r="C6214" s="51">
        <v>1.007</v>
      </c>
      <c r="D6214" s="51">
        <v>68.0</v>
      </c>
      <c r="E6214" s="52" t="s">
        <v>25</v>
      </c>
      <c r="F6214" s="52" t="s">
        <v>26</v>
      </c>
      <c r="G6214" s="53"/>
    </row>
    <row r="6215">
      <c r="A6215" s="49">
        <v>45086.39956666667</v>
      </c>
      <c r="B6215" s="50">
        <v>45086.5245475115</v>
      </c>
      <c r="C6215" s="51">
        <v>1.007</v>
      </c>
      <c r="D6215" s="51">
        <v>68.0</v>
      </c>
      <c r="E6215" s="52" t="s">
        <v>25</v>
      </c>
      <c r="F6215" s="52" t="s">
        <v>26</v>
      </c>
      <c r="G6215" s="53"/>
    </row>
    <row r="6216">
      <c r="A6216" s="49">
        <v>45086.40999758102</v>
      </c>
      <c r="B6216" s="50">
        <v>45086.5349687268</v>
      </c>
      <c r="C6216" s="51">
        <v>1.007</v>
      </c>
      <c r="D6216" s="51">
        <v>68.0</v>
      </c>
      <c r="E6216" s="52" t="s">
        <v>25</v>
      </c>
      <c r="F6216" s="52" t="s">
        <v>26</v>
      </c>
      <c r="G6216" s="53"/>
    </row>
    <row r="6217">
      <c r="A6217" s="49">
        <v>45086.42041445602</v>
      </c>
      <c r="B6217" s="50">
        <v>45086.545390405</v>
      </c>
      <c r="C6217" s="51">
        <v>1.007</v>
      </c>
      <c r="D6217" s="51">
        <v>68.0</v>
      </c>
      <c r="E6217" s="52" t="s">
        <v>25</v>
      </c>
      <c r="F6217" s="52" t="s">
        <v>26</v>
      </c>
      <c r="G6217" s="53"/>
    </row>
    <row r="6218">
      <c r="A6218" s="49">
        <v>45086.43083625</v>
      </c>
      <c r="B6218" s="50">
        <v>45086.5558116666</v>
      </c>
      <c r="C6218" s="51">
        <v>1.007</v>
      </c>
      <c r="D6218" s="51">
        <v>68.0</v>
      </c>
      <c r="E6218" s="52" t="s">
        <v>25</v>
      </c>
      <c r="F6218" s="52" t="s">
        <v>26</v>
      </c>
      <c r="G6218" s="53"/>
    </row>
    <row r="6219">
      <c r="A6219" s="49">
        <v>45086.441288483795</v>
      </c>
      <c r="B6219" s="50">
        <v>45086.5662682754</v>
      </c>
      <c r="C6219" s="51">
        <v>1.007</v>
      </c>
      <c r="D6219" s="51">
        <v>68.0</v>
      </c>
      <c r="E6219" s="52" t="s">
        <v>25</v>
      </c>
      <c r="F6219" s="52" t="s">
        <v>26</v>
      </c>
      <c r="G6219" s="53"/>
    </row>
    <row r="6220">
      <c r="A6220" s="49">
        <v>45086.4517159838</v>
      </c>
      <c r="B6220" s="50">
        <v>45086.5766905671</v>
      </c>
      <c r="C6220" s="51">
        <v>1.007</v>
      </c>
      <c r="D6220" s="51">
        <v>68.0</v>
      </c>
      <c r="E6220" s="52" t="s">
        <v>25</v>
      </c>
      <c r="F6220" s="52" t="s">
        <v>26</v>
      </c>
      <c r="G6220" s="53"/>
    </row>
    <row r="6221">
      <c r="A6221" s="49">
        <v>45086.46216256944</v>
      </c>
      <c r="B6221" s="50">
        <v>45086.5871352662</v>
      </c>
      <c r="C6221" s="51">
        <v>1.007</v>
      </c>
      <c r="D6221" s="51">
        <v>68.0</v>
      </c>
      <c r="E6221" s="52" t="s">
        <v>25</v>
      </c>
      <c r="F6221" s="52" t="s">
        <v>26</v>
      </c>
      <c r="G6221" s="53"/>
    </row>
    <row r="6222">
      <c r="A6222" s="49">
        <v>45086.472576562504</v>
      </c>
      <c r="B6222" s="50">
        <v>45086.5975579282</v>
      </c>
      <c r="C6222" s="51">
        <v>1.007</v>
      </c>
      <c r="D6222" s="51">
        <v>68.0</v>
      </c>
      <c r="E6222" s="52" t="s">
        <v>25</v>
      </c>
      <c r="F6222" s="52" t="s">
        <v>26</v>
      </c>
      <c r="G6222" s="53"/>
    </row>
    <row r="6223">
      <c r="A6223" s="49">
        <v>45086.4830197338</v>
      </c>
      <c r="B6223" s="50">
        <v>45086.6079787384</v>
      </c>
      <c r="C6223" s="51">
        <v>1.007</v>
      </c>
      <c r="D6223" s="51">
        <v>68.0</v>
      </c>
      <c r="E6223" s="52" t="s">
        <v>25</v>
      </c>
      <c r="F6223" s="52" t="s">
        <v>26</v>
      </c>
      <c r="G6223" s="53"/>
    </row>
    <row r="6224">
      <c r="A6224" s="49">
        <v>45086.493451793984</v>
      </c>
      <c r="B6224" s="50">
        <v>45086.6184225925</v>
      </c>
      <c r="C6224" s="51">
        <v>1.007</v>
      </c>
      <c r="D6224" s="51">
        <v>68.0</v>
      </c>
      <c r="E6224" s="52" t="s">
        <v>25</v>
      </c>
      <c r="F6224" s="52" t="s">
        <v>26</v>
      </c>
      <c r="G6224" s="53"/>
    </row>
    <row r="6225">
      <c r="A6225" s="49">
        <v>45086.503884722224</v>
      </c>
      <c r="B6225" s="50">
        <v>45086.6288544791</v>
      </c>
      <c r="C6225" s="51">
        <v>1.007</v>
      </c>
      <c r="D6225" s="51">
        <v>68.0</v>
      </c>
      <c r="E6225" s="52" t="s">
        <v>25</v>
      </c>
      <c r="F6225" s="52" t="s">
        <v>26</v>
      </c>
      <c r="G6225" s="53"/>
    </row>
    <row r="6226">
      <c r="A6226" s="49">
        <v>45086.51430998843</v>
      </c>
      <c r="B6226" s="50">
        <v>45086.6392767013</v>
      </c>
      <c r="C6226" s="51">
        <v>1.007</v>
      </c>
      <c r="D6226" s="51">
        <v>68.0</v>
      </c>
      <c r="E6226" s="52" t="s">
        <v>25</v>
      </c>
      <c r="F6226" s="52" t="s">
        <v>26</v>
      </c>
      <c r="G6226" s="53"/>
    </row>
    <row r="6227">
      <c r="A6227" s="49">
        <v>45086.52472435185</v>
      </c>
      <c r="B6227" s="50">
        <v>45086.6496990856</v>
      </c>
      <c r="C6227" s="51">
        <v>1.007</v>
      </c>
      <c r="D6227" s="51">
        <v>68.0</v>
      </c>
      <c r="E6227" s="52" t="s">
        <v>25</v>
      </c>
      <c r="F6227" s="52" t="s">
        <v>26</v>
      </c>
      <c r="G6227" s="53"/>
    </row>
    <row r="6228">
      <c r="A6228" s="49">
        <v>45086.53514233796</v>
      </c>
      <c r="B6228" s="50">
        <v>45086.6601217708</v>
      </c>
      <c r="C6228" s="51">
        <v>1.007</v>
      </c>
      <c r="D6228" s="51">
        <v>68.0</v>
      </c>
      <c r="E6228" s="52" t="s">
        <v>25</v>
      </c>
      <c r="F6228" s="52" t="s">
        <v>26</v>
      </c>
      <c r="G6228" s="53"/>
    </row>
    <row r="6229">
      <c r="A6229" s="49">
        <v>45086.54558456018</v>
      </c>
      <c r="B6229" s="50">
        <v>45086.6705548148</v>
      </c>
      <c r="C6229" s="51">
        <v>1.007</v>
      </c>
      <c r="D6229" s="51">
        <v>68.0</v>
      </c>
      <c r="E6229" s="52" t="s">
        <v>25</v>
      </c>
      <c r="F6229" s="52" t="s">
        <v>26</v>
      </c>
      <c r="G6229" s="53"/>
    </row>
    <row r="6230">
      <c r="A6230" s="49">
        <v>45086.555998807875</v>
      </c>
      <c r="B6230" s="50">
        <v>45086.6809750694</v>
      </c>
      <c r="C6230" s="51">
        <v>1.007</v>
      </c>
      <c r="D6230" s="51">
        <v>68.0</v>
      </c>
      <c r="E6230" s="52" t="s">
        <v>25</v>
      </c>
      <c r="F6230" s="52" t="s">
        <v>26</v>
      </c>
      <c r="G6230" s="53"/>
    </row>
    <row r="6231">
      <c r="A6231" s="49">
        <v>45086.566426527774</v>
      </c>
      <c r="B6231" s="50">
        <v>45086.6914084143</v>
      </c>
      <c r="C6231" s="51">
        <v>1.007</v>
      </c>
      <c r="D6231" s="51">
        <v>68.0</v>
      </c>
      <c r="E6231" s="52" t="s">
        <v>25</v>
      </c>
      <c r="F6231" s="52" t="s">
        <v>26</v>
      </c>
      <c r="G6231" s="53"/>
    </row>
    <row r="6232">
      <c r="A6232" s="49">
        <v>45086.57686773148</v>
      </c>
      <c r="B6232" s="50">
        <v>45086.7018412615</v>
      </c>
      <c r="C6232" s="51">
        <v>1.007</v>
      </c>
      <c r="D6232" s="51">
        <v>68.0</v>
      </c>
      <c r="E6232" s="52" t="s">
        <v>25</v>
      </c>
      <c r="F6232" s="52" t="s">
        <v>26</v>
      </c>
      <c r="G6232" s="53"/>
    </row>
    <row r="6233">
      <c r="A6233" s="49">
        <v>45086.587284803245</v>
      </c>
      <c r="B6233" s="50">
        <v>45086.712262037</v>
      </c>
      <c r="C6233" s="51">
        <v>1.007</v>
      </c>
      <c r="D6233" s="51">
        <v>68.0</v>
      </c>
      <c r="E6233" s="52" t="s">
        <v>25</v>
      </c>
      <c r="F6233" s="52" t="s">
        <v>26</v>
      </c>
      <c r="G6233" s="53"/>
    </row>
    <row r="6234">
      <c r="A6234" s="49">
        <v>45086.59769969908</v>
      </c>
      <c r="B6234" s="50">
        <v>45086.7226831597</v>
      </c>
      <c r="C6234" s="51">
        <v>1.007</v>
      </c>
      <c r="D6234" s="51">
        <v>68.0</v>
      </c>
      <c r="E6234" s="52" t="s">
        <v>25</v>
      </c>
      <c r="F6234" s="52" t="s">
        <v>26</v>
      </c>
      <c r="G6234" s="53"/>
    </row>
    <row r="6235">
      <c r="A6235" s="49">
        <v>45086.60812755787</v>
      </c>
      <c r="B6235" s="50">
        <v>45086.7331041666</v>
      </c>
      <c r="C6235" s="51">
        <v>1.007</v>
      </c>
      <c r="D6235" s="51">
        <v>68.0</v>
      </c>
      <c r="E6235" s="52" t="s">
        <v>25</v>
      </c>
      <c r="F6235" s="52" t="s">
        <v>26</v>
      </c>
      <c r="G6235" s="53"/>
    </row>
    <row r="6236">
      <c r="A6236" s="49">
        <v>45086.61854438657</v>
      </c>
      <c r="B6236" s="50">
        <v>45086.7435254513</v>
      </c>
      <c r="C6236" s="51">
        <v>1.007</v>
      </c>
      <c r="D6236" s="51">
        <v>68.0</v>
      </c>
      <c r="E6236" s="52" t="s">
        <v>25</v>
      </c>
      <c r="F6236" s="52" t="s">
        <v>26</v>
      </c>
      <c r="G6236" s="53"/>
    </row>
    <row r="6237">
      <c r="A6237" s="49">
        <v>45086.62897392361</v>
      </c>
      <c r="B6237" s="50">
        <v>45086.7539582986</v>
      </c>
      <c r="C6237" s="51">
        <v>1.007</v>
      </c>
      <c r="D6237" s="51">
        <v>68.0</v>
      </c>
      <c r="E6237" s="52" t="s">
        <v>25</v>
      </c>
      <c r="F6237" s="52" t="s">
        <v>26</v>
      </c>
      <c r="G6237" s="53"/>
    </row>
    <row r="6238">
      <c r="A6238" s="49">
        <v>45086.63941322917</v>
      </c>
      <c r="B6238" s="50">
        <v>45086.7643919907</v>
      </c>
      <c r="C6238" s="51">
        <v>1.007</v>
      </c>
      <c r="D6238" s="51">
        <v>68.0</v>
      </c>
      <c r="E6238" s="52" t="s">
        <v>25</v>
      </c>
      <c r="F6238" s="52" t="s">
        <v>26</v>
      </c>
      <c r="G6238" s="53"/>
    </row>
    <row r="6239">
      <c r="A6239" s="49">
        <v>45086.64983059028</v>
      </c>
      <c r="B6239" s="50">
        <v>45086.7748132291</v>
      </c>
      <c r="C6239" s="51">
        <v>1.007</v>
      </c>
      <c r="D6239" s="51">
        <v>68.0</v>
      </c>
      <c r="E6239" s="52" t="s">
        <v>25</v>
      </c>
      <c r="F6239" s="52" t="s">
        <v>26</v>
      </c>
      <c r="G6239" s="53"/>
    </row>
    <row r="6240">
      <c r="A6240" s="49">
        <v>45086.6602578125</v>
      </c>
      <c r="B6240" s="50">
        <v>45086.7852335995</v>
      </c>
      <c r="C6240" s="51">
        <v>1.007</v>
      </c>
      <c r="D6240" s="51">
        <v>68.0</v>
      </c>
      <c r="E6240" s="52" t="s">
        <v>25</v>
      </c>
      <c r="F6240" s="52" t="s">
        <v>26</v>
      </c>
      <c r="G6240" s="53"/>
    </row>
    <row r="6241">
      <c r="A6241" s="49">
        <v>45086.67067839121</v>
      </c>
      <c r="B6241" s="50">
        <v>45086.7956546875</v>
      </c>
      <c r="C6241" s="51">
        <v>1.007</v>
      </c>
      <c r="D6241" s="51">
        <v>68.0</v>
      </c>
      <c r="E6241" s="52" t="s">
        <v>25</v>
      </c>
      <c r="F6241" s="52" t="s">
        <v>26</v>
      </c>
      <c r="G6241" s="53"/>
    </row>
    <row r="6242">
      <c r="A6242" s="49">
        <v>45086.68109136574</v>
      </c>
      <c r="B6242" s="50">
        <v>45086.8060742708</v>
      </c>
      <c r="C6242" s="51">
        <v>1.007</v>
      </c>
      <c r="D6242" s="51">
        <v>68.0</v>
      </c>
      <c r="E6242" s="52" t="s">
        <v>25</v>
      </c>
      <c r="F6242" s="52" t="s">
        <v>26</v>
      </c>
      <c r="G6242" s="53"/>
    </row>
    <row r="6243">
      <c r="A6243" s="49">
        <v>45086.6915115625</v>
      </c>
      <c r="B6243" s="50">
        <v>45086.8164946643</v>
      </c>
      <c r="C6243" s="51">
        <v>1.007</v>
      </c>
      <c r="D6243" s="51">
        <v>68.0</v>
      </c>
      <c r="E6243" s="52" t="s">
        <v>25</v>
      </c>
      <c r="F6243" s="52" t="s">
        <v>26</v>
      </c>
      <c r="G6243" s="53"/>
    </row>
    <row r="6244">
      <c r="A6244" s="49">
        <v>45086.70193601852</v>
      </c>
      <c r="B6244" s="50">
        <v>45086.8269151851</v>
      </c>
      <c r="C6244" s="51">
        <v>1.007</v>
      </c>
      <c r="D6244" s="51">
        <v>68.0</v>
      </c>
      <c r="E6244" s="52" t="s">
        <v>25</v>
      </c>
      <c r="F6244" s="52" t="s">
        <v>26</v>
      </c>
      <c r="G6244" s="53"/>
    </row>
    <row r="6245">
      <c r="A6245" s="49">
        <v>45086.712355752315</v>
      </c>
      <c r="B6245" s="50">
        <v>45086.8373386342</v>
      </c>
      <c r="C6245" s="51">
        <v>1.007</v>
      </c>
      <c r="D6245" s="51">
        <v>68.0</v>
      </c>
      <c r="E6245" s="52" t="s">
        <v>25</v>
      </c>
      <c r="F6245" s="52" t="s">
        <v>26</v>
      </c>
      <c r="G6245" s="53"/>
    </row>
    <row r="6246">
      <c r="A6246" s="49">
        <v>45086.72279914352</v>
      </c>
      <c r="B6246" s="50">
        <v>45086.8477713657</v>
      </c>
      <c r="C6246" s="51">
        <v>1.007</v>
      </c>
      <c r="D6246" s="51">
        <v>68.0</v>
      </c>
      <c r="E6246" s="52" t="s">
        <v>25</v>
      </c>
      <c r="F6246" s="52" t="s">
        <v>26</v>
      </c>
      <c r="G6246" s="53"/>
    </row>
    <row r="6247">
      <c r="A6247" s="49">
        <v>45086.73323006944</v>
      </c>
      <c r="B6247" s="50">
        <v>45086.8582028588</v>
      </c>
      <c r="C6247" s="51">
        <v>1.007</v>
      </c>
      <c r="D6247" s="51">
        <v>68.0</v>
      </c>
      <c r="E6247" s="52" t="s">
        <v>25</v>
      </c>
      <c r="F6247" s="52" t="s">
        <v>26</v>
      </c>
      <c r="G6247" s="53"/>
    </row>
    <row r="6248">
      <c r="A6248" s="49">
        <v>45086.743646574076</v>
      </c>
      <c r="B6248" s="50">
        <v>45086.8686237037</v>
      </c>
      <c r="C6248" s="51">
        <v>1.007</v>
      </c>
      <c r="D6248" s="51">
        <v>68.0</v>
      </c>
      <c r="E6248" s="52" t="s">
        <v>25</v>
      </c>
      <c r="F6248" s="52" t="s">
        <v>26</v>
      </c>
      <c r="G6248" s="53"/>
    </row>
    <row r="6249">
      <c r="A6249" s="49">
        <v>45086.754072766205</v>
      </c>
      <c r="B6249" s="50">
        <v>45086.8790456018</v>
      </c>
      <c r="C6249" s="51">
        <v>1.007</v>
      </c>
      <c r="D6249" s="51">
        <v>68.0</v>
      </c>
      <c r="E6249" s="52" t="s">
        <v>25</v>
      </c>
      <c r="F6249" s="52" t="s">
        <v>26</v>
      </c>
      <c r="G6249" s="53"/>
    </row>
    <row r="6250">
      <c r="A6250" s="49">
        <v>45086.76449635417</v>
      </c>
      <c r="B6250" s="50">
        <v>45086.8894779513</v>
      </c>
      <c r="C6250" s="51">
        <v>1.007</v>
      </c>
      <c r="D6250" s="51">
        <v>68.0</v>
      </c>
      <c r="E6250" s="52" t="s">
        <v>25</v>
      </c>
      <c r="F6250" s="52" t="s">
        <v>26</v>
      </c>
      <c r="G6250" s="53"/>
    </row>
    <row r="6251">
      <c r="A6251" s="49">
        <v>45086.774918344905</v>
      </c>
      <c r="B6251" s="50">
        <v>45086.8999013194</v>
      </c>
      <c r="C6251" s="51">
        <v>1.007</v>
      </c>
      <c r="D6251" s="51">
        <v>68.0</v>
      </c>
      <c r="E6251" s="52" t="s">
        <v>25</v>
      </c>
      <c r="F6251" s="52" t="s">
        <v>26</v>
      </c>
      <c r="G6251" s="53"/>
    </row>
    <row r="6252">
      <c r="A6252" s="49">
        <v>45086.78536530092</v>
      </c>
      <c r="B6252" s="50">
        <v>45086.9103434722</v>
      </c>
      <c r="C6252" s="51">
        <v>1.007</v>
      </c>
      <c r="D6252" s="51">
        <v>68.0</v>
      </c>
      <c r="E6252" s="52" t="s">
        <v>25</v>
      </c>
      <c r="F6252" s="52" t="s">
        <v>26</v>
      </c>
      <c r="G6252" s="53"/>
    </row>
    <row r="6253">
      <c r="A6253" s="49">
        <v>45086.795830902774</v>
      </c>
      <c r="B6253" s="50">
        <v>45086.9207995023</v>
      </c>
      <c r="C6253" s="51">
        <v>1.007</v>
      </c>
      <c r="D6253" s="51">
        <v>68.0</v>
      </c>
      <c r="E6253" s="52" t="s">
        <v>25</v>
      </c>
      <c r="F6253" s="52" t="s">
        <v>26</v>
      </c>
      <c r="G6253" s="53"/>
    </row>
    <row r="6254">
      <c r="A6254" s="49">
        <v>45086.806250995374</v>
      </c>
      <c r="B6254" s="50">
        <v>45086.9312209953</v>
      </c>
      <c r="C6254" s="51">
        <v>1.007</v>
      </c>
      <c r="D6254" s="51">
        <v>68.0</v>
      </c>
      <c r="E6254" s="52" t="s">
        <v>25</v>
      </c>
      <c r="F6254" s="52" t="s">
        <v>26</v>
      </c>
      <c r="G6254" s="53"/>
    </row>
    <row r="6255">
      <c r="A6255" s="49">
        <v>45086.81668827546</v>
      </c>
      <c r="B6255" s="50">
        <v>45086.9416650231</v>
      </c>
      <c r="C6255" s="51">
        <v>1.007</v>
      </c>
      <c r="D6255" s="51">
        <v>68.0</v>
      </c>
      <c r="E6255" s="52" t="s">
        <v>25</v>
      </c>
      <c r="F6255" s="52" t="s">
        <v>26</v>
      </c>
      <c r="G6255" s="53"/>
    </row>
    <row r="6256">
      <c r="A6256" s="49">
        <v>45086.82711113426</v>
      </c>
      <c r="B6256" s="50">
        <v>45086.9520865393</v>
      </c>
      <c r="C6256" s="51">
        <v>1.007</v>
      </c>
      <c r="D6256" s="51">
        <v>68.0</v>
      </c>
      <c r="E6256" s="52" t="s">
        <v>25</v>
      </c>
      <c r="F6256" s="52" t="s">
        <v>26</v>
      </c>
      <c r="G6256" s="53"/>
    </row>
    <row r="6257">
      <c r="A6257" s="49">
        <v>45086.8375340162</v>
      </c>
      <c r="B6257" s="50">
        <v>45086.9625082754</v>
      </c>
      <c r="C6257" s="51">
        <v>1.007</v>
      </c>
      <c r="D6257" s="51">
        <v>68.0</v>
      </c>
      <c r="E6257" s="52" t="s">
        <v>25</v>
      </c>
      <c r="F6257" s="52" t="s">
        <v>26</v>
      </c>
      <c r="G6257" s="53"/>
    </row>
    <row r="6258">
      <c r="A6258" s="49">
        <v>45086.84795519676</v>
      </c>
      <c r="B6258" s="50">
        <v>45086.9729281597</v>
      </c>
      <c r="C6258" s="51">
        <v>1.007</v>
      </c>
      <c r="D6258" s="51">
        <v>68.0</v>
      </c>
      <c r="E6258" s="52" t="s">
        <v>25</v>
      </c>
      <c r="F6258" s="52" t="s">
        <v>26</v>
      </c>
      <c r="G6258" s="53"/>
    </row>
    <row r="6259">
      <c r="A6259" s="49">
        <v>45086.858410416666</v>
      </c>
      <c r="B6259" s="50">
        <v>45086.9833832754</v>
      </c>
      <c r="C6259" s="51">
        <v>1.007</v>
      </c>
      <c r="D6259" s="51">
        <v>68.0</v>
      </c>
      <c r="E6259" s="52" t="s">
        <v>25</v>
      </c>
      <c r="F6259" s="52" t="s">
        <v>26</v>
      </c>
      <c r="G6259" s="53"/>
    </row>
    <row r="6260">
      <c r="A6260" s="49">
        <v>45086.86884068287</v>
      </c>
      <c r="B6260" s="50">
        <v>45086.993815706</v>
      </c>
      <c r="C6260" s="51">
        <v>1.007</v>
      </c>
      <c r="D6260" s="51">
        <v>68.0</v>
      </c>
      <c r="E6260" s="52" t="s">
        <v>25</v>
      </c>
      <c r="F6260" s="52" t="s">
        <v>26</v>
      </c>
      <c r="G6260" s="53"/>
    </row>
    <row r="6261">
      <c r="A6261" s="49">
        <v>45086.87927348379</v>
      </c>
      <c r="B6261" s="50">
        <v>45087.0042502662</v>
      </c>
      <c r="C6261" s="51">
        <v>1.007</v>
      </c>
      <c r="D6261" s="51">
        <v>68.0</v>
      </c>
      <c r="E6261" s="52" t="s">
        <v>25</v>
      </c>
      <c r="F6261" s="52" t="s">
        <v>26</v>
      </c>
      <c r="G6261" s="53"/>
    </row>
    <row r="6262">
      <c r="A6262" s="49">
        <v>45086.889714398145</v>
      </c>
      <c r="B6262" s="50">
        <v>45087.0146850115</v>
      </c>
      <c r="C6262" s="51">
        <v>1.007</v>
      </c>
      <c r="D6262" s="51">
        <v>68.0</v>
      </c>
      <c r="E6262" s="52" t="s">
        <v>25</v>
      </c>
      <c r="F6262" s="52" t="s">
        <v>26</v>
      </c>
      <c r="G6262" s="53"/>
    </row>
    <row r="6263">
      <c r="A6263" s="49">
        <v>45086.90014090278</v>
      </c>
      <c r="B6263" s="50">
        <v>45087.0251173726</v>
      </c>
      <c r="C6263" s="51">
        <v>1.007</v>
      </c>
      <c r="D6263" s="51">
        <v>68.0</v>
      </c>
      <c r="E6263" s="52" t="s">
        <v>25</v>
      </c>
      <c r="F6263" s="52" t="s">
        <v>26</v>
      </c>
      <c r="G6263" s="53"/>
    </row>
    <row r="6264">
      <c r="A6264" s="49">
        <v>45086.91059103009</v>
      </c>
      <c r="B6264" s="50">
        <v>45087.0355617708</v>
      </c>
      <c r="C6264" s="51">
        <v>1.007</v>
      </c>
      <c r="D6264" s="51">
        <v>68.0</v>
      </c>
      <c r="E6264" s="52" t="s">
        <v>25</v>
      </c>
      <c r="F6264" s="52" t="s">
        <v>26</v>
      </c>
      <c r="G6264" s="53"/>
    </row>
    <row r="6265">
      <c r="A6265" s="49">
        <v>45086.92102736111</v>
      </c>
      <c r="B6265" s="50">
        <v>45087.0459953009</v>
      </c>
      <c r="C6265" s="51">
        <v>1.007</v>
      </c>
      <c r="D6265" s="51">
        <v>68.0</v>
      </c>
      <c r="E6265" s="52" t="s">
        <v>25</v>
      </c>
      <c r="F6265" s="52" t="s">
        <v>26</v>
      </c>
      <c r="G6265" s="53"/>
    </row>
    <row r="6266">
      <c r="A6266" s="49">
        <v>45086.93143866898</v>
      </c>
      <c r="B6266" s="50">
        <v>45087.0564171875</v>
      </c>
      <c r="C6266" s="51">
        <v>1.007</v>
      </c>
      <c r="D6266" s="51">
        <v>68.0</v>
      </c>
      <c r="E6266" s="52" t="s">
        <v>25</v>
      </c>
      <c r="F6266" s="52" t="s">
        <v>26</v>
      </c>
      <c r="G6266" s="53"/>
    </row>
    <row r="6267">
      <c r="A6267" s="49">
        <v>45086.94186208333</v>
      </c>
      <c r="B6267" s="50">
        <v>45087.0668389467</v>
      </c>
      <c r="C6267" s="51">
        <v>1.007</v>
      </c>
      <c r="D6267" s="51">
        <v>68.0</v>
      </c>
      <c r="E6267" s="52" t="s">
        <v>25</v>
      </c>
      <c r="F6267" s="52" t="s">
        <v>26</v>
      </c>
      <c r="G6267" s="53"/>
    </row>
    <row r="6268">
      <c r="A6268" s="49">
        <v>45086.95229395833</v>
      </c>
      <c r="B6268" s="50">
        <v>45087.0772742476</v>
      </c>
      <c r="C6268" s="51">
        <v>1.007</v>
      </c>
      <c r="D6268" s="51">
        <v>68.0</v>
      </c>
      <c r="E6268" s="52" t="s">
        <v>25</v>
      </c>
      <c r="F6268" s="52" t="s">
        <v>26</v>
      </c>
      <c r="G6268" s="53"/>
    </row>
    <row r="6269">
      <c r="A6269" s="49">
        <v>45086.96272755787</v>
      </c>
      <c r="B6269" s="50">
        <v>45087.0876942592</v>
      </c>
      <c r="C6269" s="51">
        <v>1.007</v>
      </c>
      <c r="D6269" s="51">
        <v>68.0</v>
      </c>
      <c r="E6269" s="52" t="s">
        <v>25</v>
      </c>
      <c r="F6269" s="52" t="s">
        <v>26</v>
      </c>
      <c r="G6269" s="53"/>
    </row>
    <row r="6270">
      <c r="A6270" s="49">
        <v>45086.973141400464</v>
      </c>
      <c r="B6270" s="50">
        <v>45087.0981156713</v>
      </c>
      <c r="C6270" s="51">
        <v>1.007</v>
      </c>
      <c r="D6270" s="51">
        <v>68.0</v>
      </c>
      <c r="E6270" s="52" t="s">
        <v>25</v>
      </c>
      <c r="F6270" s="52" t="s">
        <v>26</v>
      </c>
      <c r="G6270" s="53"/>
    </row>
    <row r="6271">
      <c r="A6271" s="49">
        <v>45086.98355553241</v>
      </c>
      <c r="B6271" s="50">
        <v>45087.1085358449</v>
      </c>
      <c r="C6271" s="51">
        <v>1.007</v>
      </c>
      <c r="D6271" s="51">
        <v>68.0</v>
      </c>
      <c r="E6271" s="52" t="s">
        <v>25</v>
      </c>
      <c r="F6271" s="52" t="s">
        <v>26</v>
      </c>
      <c r="G6271" s="53"/>
    </row>
    <row r="6272">
      <c r="A6272" s="49">
        <v>45086.99399752315</v>
      </c>
      <c r="B6272" s="50">
        <v>45087.1189677893</v>
      </c>
      <c r="C6272" s="51">
        <v>1.007</v>
      </c>
      <c r="D6272" s="51">
        <v>68.0</v>
      </c>
      <c r="E6272" s="52" t="s">
        <v>25</v>
      </c>
      <c r="F6272" s="52" t="s">
        <v>26</v>
      </c>
      <c r="G6272" s="53"/>
    </row>
    <row r="6273">
      <c r="A6273" s="49">
        <v>45087.0044275</v>
      </c>
      <c r="B6273" s="50">
        <v>45087.1294002314</v>
      </c>
      <c r="C6273" s="51">
        <v>1.007</v>
      </c>
      <c r="D6273" s="51">
        <v>68.0</v>
      </c>
      <c r="E6273" s="52" t="s">
        <v>25</v>
      </c>
      <c r="F6273" s="52" t="s">
        <v>26</v>
      </c>
      <c r="G6273" s="53"/>
    </row>
    <row r="6274">
      <c r="A6274" s="49">
        <v>45087.01486292824</v>
      </c>
      <c r="B6274" s="50">
        <v>45087.1398314814</v>
      </c>
      <c r="C6274" s="51">
        <v>1.007</v>
      </c>
      <c r="D6274" s="51">
        <v>68.0</v>
      </c>
      <c r="E6274" s="52" t="s">
        <v>25</v>
      </c>
      <c r="F6274" s="52" t="s">
        <v>26</v>
      </c>
      <c r="G6274" s="53"/>
    </row>
    <row r="6275">
      <c r="A6275" s="49">
        <v>45087.025271990744</v>
      </c>
      <c r="B6275" s="50">
        <v>45087.1502530439</v>
      </c>
      <c r="C6275" s="51">
        <v>1.007</v>
      </c>
      <c r="D6275" s="51">
        <v>68.0</v>
      </c>
      <c r="E6275" s="52" t="s">
        <v>25</v>
      </c>
      <c r="F6275" s="52" t="s">
        <v>26</v>
      </c>
      <c r="G6275" s="53"/>
    </row>
    <row r="6276">
      <c r="A6276" s="49">
        <v>45087.03570011574</v>
      </c>
      <c r="B6276" s="50">
        <v>45087.1606721527</v>
      </c>
      <c r="C6276" s="51">
        <v>1.007</v>
      </c>
      <c r="D6276" s="51">
        <v>68.0</v>
      </c>
      <c r="E6276" s="52" t="s">
        <v>25</v>
      </c>
      <c r="F6276" s="52" t="s">
        <v>26</v>
      </c>
      <c r="G6276" s="53"/>
    </row>
    <row r="6277">
      <c r="A6277" s="49">
        <v>45087.04612142361</v>
      </c>
      <c r="B6277" s="50">
        <v>45087.1710929051</v>
      </c>
      <c r="C6277" s="51">
        <v>1.007</v>
      </c>
      <c r="D6277" s="51">
        <v>68.0</v>
      </c>
      <c r="E6277" s="52" t="s">
        <v>25</v>
      </c>
      <c r="F6277" s="52" t="s">
        <v>26</v>
      </c>
      <c r="G6277" s="53"/>
    </row>
    <row r="6278">
      <c r="A6278" s="49">
        <v>45087.05654243055</v>
      </c>
      <c r="B6278" s="50">
        <v>45087.1815135416</v>
      </c>
      <c r="C6278" s="51">
        <v>1.007</v>
      </c>
      <c r="D6278" s="51">
        <v>68.0</v>
      </c>
      <c r="E6278" s="52" t="s">
        <v>25</v>
      </c>
      <c r="F6278" s="52" t="s">
        <v>26</v>
      </c>
      <c r="G6278" s="53"/>
    </row>
    <row r="6279">
      <c r="A6279" s="49">
        <v>45087.06697673611</v>
      </c>
      <c r="B6279" s="50">
        <v>45087.191947199</v>
      </c>
      <c r="C6279" s="51">
        <v>1.007</v>
      </c>
      <c r="D6279" s="51">
        <v>68.0</v>
      </c>
      <c r="E6279" s="52" t="s">
        <v>25</v>
      </c>
      <c r="F6279" s="52" t="s">
        <v>26</v>
      </c>
      <c r="G6279" s="53"/>
    </row>
    <row r="6280">
      <c r="A6280" s="49">
        <v>45087.0773896412</v>
      </c>
      <c r="B6280" s="50">
        <v>45087.2023674305</v>
      </c>
      <c r="C6280" s="51">
        <v>1.007</v>
      </c>
      <c r="D6280" s="51">
        <v>68.0</v>
      </c>
      <c r="E6280" s="52" t="s">
        <v>25</v>
      </c>
      <c r="F6280" s="52" t="s">
        <v>26</v>
      </c>
      <c r="G6280" s="53"/>
    </row>
    <row r="6281">
      <c r="A6281" s="49">
        <v>45087.08781413194</v>
      </c>
      <c r="B6281" s="50">
        <v>45087.2127882407</v>
      </c>
      <c r="C6281" s="51">
        <v>1.007</v>
      </c>
      <c r="D6281" s="51">
        <v>68.0</v>
      </c>
      <c r="E6281" s="52" t="s">
        <v>25</v>
      </c>
      <c r="F6281" s="52" t="s">
        <v>26</v>
      </c>
      <c r="G6281" s="53"/>
    </row>
    <row r="6282">
      <c r="A6282" s="49">
        <v>45087.09823787037</v>
      </c>
      <c r="B6282" s="50">
        <v>45087.2232096759</v>
      </c>
      <c r="C6282" s="51">
        <v>1.007</v>
      </c>
      <c r="D6282" s="51">
        <v>68.0</v>
      </c>
      <c r="E6282" s="52" t="s">
        <v>25</v>
      </c>
      <c r="F6282" s="52" t="s">
        <v>26</v>
      </c>
      <c r="G6282" s="53"/>
    </row>
    <row r="6283">
      <c r="A6283" s="49">
        <v>45087.10865891204</v>
      </c>
      <c r="B6283" s="50">
        <v>45087.2336317245</v>
      </c>
      <c r="C6283" s="51">
        <v>1.007</v>
      </c>
      <c r="D6283" s="51">
        <v>68.0</v>
      </c>
      <c r="E6283" s="52" t="s">
        <v>25</v>
      </c>
      <c r="F6283" s="52" t="s">
        <v>26</v>
      </c>
      <c r="G6283" s="53"/>
    </row>
    <row r="6284">
      <c r="A6284" s="49">
        <v>45087.11908023148</v>
      </c>
      <c r="B6284" s="50">
        <v>45087.2440516319</v>
      </c>
      <c r="C6284" s="51">
        <v>1.007</v>
      </c>
      <c r="D6284" s="51">
        <v>68.0</v>
      </c>
      <c r="E6284" s="52" t="s">
        <v>25</v>
      </c>
      <c r="F6284" s="52" t="s">
        <v>26</v>
      </c>
      <c r="G6284" s="53"/>
    </row>
    <row r="6285">
      <c r="A6285" s="49">
        <v>45087.12951130787</v>
      </c>
      <c r="B6285" s="50">
        <v>45087.2544840972</v>
      </c>
      <c r="C6285" s="51">
        <v>1.007</v>
      </c>
      <c r="D6285" s="51">
        <v>68.0</v>
      </c>
      <c r="E6285" s="52" t="s">
        <v>25</v>
      </c>
      <c r="F6285" s="52" t="s">
        <v>26</v>
      </c>
      <c r="G6285" s="53"/>
    </row>
    <row r="6286">
      <c r="A6286" s="49">
        <v>45087.13993657407</v>
      </c>
      <c r="B6286" s="50">
        <v>45087.2649064467</v>
      </c>
      <c r="C6286" s="51">
        <v>1.007</v>
      </c>
      <c r="D6286" s="51">
        <v>68.0</v>
      </c>
      <c r="E6286" s="52" t="s">
        <v>25</v>
      </c>
      <c r="F6286" s="52" t="s">
        <v>26</v>
      </c>
      <c r="G6286" s="53"/>
    </row>
    <row r="6287">
      <c r="A6287" s="49">
        <v>45087.15035270833</v>
      </c>
      <c r="B6287" s="50">
        <v>45087.2753287384</v>
      </c>
      <c r="C6287" s="51">
        <v>1.007</v>
      </c>
      <c r="D6287" s="51">
        <v>68.0</v>
      </c>
      <c r="E6287" s="52" t="s">
        <v>25</v>
      </c>
      <c r="F6287" s="52" t="s">
        <v>26</v>
      </c>
      <c r="G6287" s="53"/>
    </row>
    <row r="6288">
      <c r="A6288" s="49">
        <v>45087.160780300925</v>
      </c>
      <c r="B6288" s="50">
        <v>45087.2857509722</v>
      </c>
      <c r="C6288" s="51">
        <v>1.007</v>
      </c>
      <c r="D6288" s="51">
        <v>68.0</v>
      </c>
      <c r="E6288" s="52" t="s">
        <v>25</v>
      </c>
      <c r="F6288" s="52" t="s">
        <v>26</v>
      </c>
      <c r="G6288" s="53"/>
    </row>
    <row r="6289">
      <c r="A6289" s="49">
        <v>45087.171199131946</v>
      </c>
      <c r="B6289" s="50">
        <v>45087.2961724768</v>
      </c>
      <c r="C6289" s="51">
        <v>1.007</v>
      </c>
      <c r="D6289" s="51">
        <v>68.0</v>
      </c>
      <c r="E6289" s="52" t="s">
        <v>25</v>
      </c>
      <c r="F6289" s="52" t="s">
        <v>26</v>
      </c>
      <c r="G6289" s="53"/>
    </row>
    <row r="6290">
      <c r="A6290" s="49">
        <v>45087.181623564815</v>
      </c>
      <c r="B6290" s="50">
        <v>45087.3066042476</v>
      </c>
      <c r="C6290" s="51">
        <v>1.007</v>
      </c>
      <c r="D6290" s="51">
        <v>68.0</v>
      </c>
      <c r="E6290" s="52" t="s">
        <v>25</v>
      </c>
      <c r="F6290" s="52" t="s">
        <v>26</v>
      </c>
      <c r="G6290" s="53"/>
    </row>
    <row r="6291">
      <c r="A6291" s="49">
        <v>45087.19205282407</v>
      </c>
      <c r="B6291" s="50">
        <v>45087.3170265393</v>
      </c>
      <c r="C6291" s="51">
        <v>1.007</v>
      </c>
      <c r="D6291" s="51">
        <v>68.0</v>
      </c>
      <c r="E6291" s="52" t="s">
        <v>25</v>
      </c>
      <c r="F6291" s="52" t="s">
        <v>26</v>
      </c>
      <c r="G6291" s="53"/>
    </row>
    <row r="6292">
      <c r="A6292" s="49">
        <v>45087.202480092594</v>
      </c>
      <c r="B6292" s="50">
        <v>45087.3274480671</v>
      </c>
      <c r="C6292" s="51">
        <v>1.007</v>
      </c>
      <c r="D6292" s="51">
        <v>68.0</v>
      </c>
      <c r="E6292" s="52" t="s">
        <v>25</v>
      </c>
      <c r="F6292" s="52" t="s">
        <v>26</v>
      </c>
      <c r="G6292" s="53"/>
    </row>
    <row r="6293">
      <c r="A6293" s="49">
        <v>45087.21289775463</v>
      </c>
      <c r="B6293" s="50">
        <v>45087.3378689236</v>
      </c>
      <c r="C6293" s="51">
        <v>1.007</v>
      </c>
      <c r="D6293" s="51">
        <v>68.0</v>
      </c>
      <c r="E6293" s="52" t="s">
        <v>25</v>
      </c>
      <c r="F6293" s="52" t="s">
        <v>26</v>
      </c>
      <c r="G6293" s="53"/>
    </row>
    <row r="6294">
      <c r="A6294" s="49">
        <v>45087.223325300925</v>
      </c>
      <c r="B6294" s="50">
        <v>45087.3482914236</v>
      </c>
      <c r="C6294" s="51">
        <v>1.007</v>
      </c>
      <c r="D6294" s="51">
        <v>68.0</v>
      </c>
      <c r="E6294" s="52" t="s">
        <v>25</v>
      </c>
      <c r="F6294" s="52" t="s">
        <v>26</v>
      </c>
      <c r="G6294" s="53"/>
    </row>
    <row r="6295">
      <c r="A6295" s="49">
        <v>45087.233736932874</v>
      </c>
      <c r="B6295" s="50">
        <v>45087.3587109027</v>
      </c>
      <c r="C6295" s="51">
        <v>1.007</v>
      </c>
      <c r="D6295" s="51">
        <v>68.0</v>
      </c>
      <c r="E6295" s="52" t="s">
        <v>25</v>
      </c>
      <c r="F6295" s="52" t="s">
        <v>26</v>
      </c>
      <c r="G6295" s="53"/>
    </row>
    <row r="6296">
      <c r="A6296" s="49">
        <v>45087.24415835648</v>
      </c>
      <c r="B6296" s="50">
        <v>45087.3691314699</v>
      </c>
      <c r="C6296" s="51">
        <v>1.007</v>
      </c>
      <c r="D6296" s="51">
        <v>68.0</v>
      </c>
      <c r="E6296" s="52" t="s">
        <v>25</v>
      </c>
      <c r="F6296" s="52" t="s">
        <v>26</v>
      </c>
      <c r="G6296" s="53"/>
    </row>
    <row r="6297">
      <c r="A6297" s="49">
        <v>45087.25458359954</v>
      </c>
      <c r="B6297" s="50">
        <v>45087.3795520601</v>
      </c>
      <c r="C6297" s="51">
        <v>1.007</v>
      </c>
      <c r="D6297" s="51">
        <v>68.0</v>
      </c>
      <c r="E6297" s="52" t="s">
        <v>25</v>
      </c>
      <c r="F6297" s="52" t="s">
        <v>26</v>
      </c>
      <c r="G6297" s="53"/>
    </row>
    <row r="6298">
      <c r="A6298" s="49">
        <v>45087.265004270834</v>
      </c>
      <c r="B6298" s="50">
        <v>45087.3899729629</v>
      </c>
      <c r="C6298" s="51">
        <v>1.007</v>
      </c>
      <c r="D6298" s="51">
        <v>68.0</v>
      </c>
      <c r="E6298" s="52" t="s">
        <v>25</v>
      </c>
      <c r="F6298" s="52" t="s">
        <v>26</v>
      </c>
      <c r="G6298" s="53"/>
    </row>
    <row r="6299">
      <c r="A6299" s="49">
        <v>45087.27544412037</v>
      </c>
      <c r="B6299" s="50">
        <v>45087.4004181365</v>
      </c>
      <c r="C6299" s="51">
        <v>1.007</v>
      </c>
      <c r="D6299" s="51">
        <v>68.0</v>
      </c>
      <c r="E6299" s="52" t="s">
        <v>25</v>
      </c>
      <c r="F6299" s="52" t="s">
        <v>26</v>
      </c>
      <c r="G6299" s="53"/>
    </row>
    <row r="6300">
      <c r="A6300" s="49">
        <v>45087.285876932874</v>
      </c>
      <c r="B6300" s="50">
        <v>45087.4108525925</v>
      </c>
      <c r="C6300" s="51">
        <v>1.007</v>
      </c>
      <c r="D6300" s="51">
        <v>68.0</v>
      </c>
      <c r="E6300" s="52" t="s">
        <v>25</v>
      </c>
      <c r="F6300" s="52" t="s">
        <v>26</v>
      </c>
      <c r="G6300" s="53"/>
    </row>
    <row r="6301">
      <c r="A6301" s="49">
        <v>45087.29630259259</v>
      </c>
      <c r="B6301" s="50">
        <v>45087.4212758333</v>
      </c>
      <c r="C6301" s="51">
        <v>1.007</v>
      </c>
      <c r="D6301" s="51">
        <v>68.0</v>
      </c>
      <c r="E6301" s="52" t="s">
        <v>25</v>
      </c>
      <c r="F6301" s="52" t="s">
        <v>26</v>
      </c>
      <c r="G6301" s="53"/>
    </row>
    <row r="6302">
      <c r="A6302" s="49">
        <v>45087.30672340278</v>
      </c>
      <c r="B6302" s="50">
        <v>45087.43169853</v>
      </c>
      <c r="C6302" s="51">
        <v>1.007</v>
      </c>
      <c r="D6302" s="51">
        <v>68.0</v>
      </c>
      <c r="E6302" s="52" t="s">
        <v>25</v>
      </c>
      <c r="F6302" s="52" t="s">
        <v>26</v>
      </c>
      <c r="G6302" s="53"/>
    </row>
    <row r="6303">
      <c r="A6303" s="49">
        <v>45087.317144664354</v>
      </c>
      <c r="B6303" s="50">
        <v>45087.4421196759</v>
      </c>
      <c r="C6303" s="51">
        <v>1.007</v>
      </c>
      <c r="D6303" s="51">
        <v>68.0</v>
      </c>
      <c r="E6303" s="52" t="s">
        <v>25</v>
      </c>
      <c r="F6303" s="52" t="s">
        <v>26</v>
      </c>
      <c r="G6303" s="53"/>
    </row>
    <row r="6304">
      <c r="A6304" s="49">
        <v>45087.327578125</v>
      </c>
      <c r="B6304" s="50">
        <v>45087.452552662</v>
      </c>
      <c r="C6304" s="51">
        <v>1.007</v>
      </c>
      <c r="D6304" s="51">
        <v>68.0</v>
      </c>
      <c r="E6304" s="52" t="s">
        <v>25</v>
      </c>
      <c r="F6304" s="52" t="s">
        <v>26</v>
      </c>
      <c r="G6304" s="53"/>
    </row>
    <row r="6305">
      <c r="A6305" s="49">
        <v>45087.33800471065</v>
      </c>
      <c r="B6305" s="50">
        <v>45087.462975081</v>
      </c>
      <c r="C6305" s="51">
        <v>1.007</v>
      </c>
      <c r="D6305" s="51">
        <v>68.0</v>
      </c>
      <c r="E6305" s="52" t="s">
        <v>25</v>
      </c>
      <c r="F6305" s="52" t="s">
        <v>26</v>
      </c>
      <c r="G6305" s="53"/>
    </row>
    <row r="6306">
      <c r="A6306" s="49">
        <v>45087.348422083334</v>
      </c>
      <c r="B6306" s="50">
        <v>45087.4733975578</v>
      </c>
      <c r="C6306" s="51">
        <v>1.007</v>
      </c>
      <c r="D6306" s="51">
        <v>68.0</v>
      </c>
      <c r="E6306" s="52" t="s">
        <v>25</v>
      </c>
      <c r="F6306" s="52" t="s">
        <v>26</v>
      </c>
      <c r="G6306" s="53"/>
    </row>
    <row r="6307">
      <c r="A6307" s="49">
        <v>45087.358849745375</v>
      </c>
      <c r="B6307" s="50">
        <v>45087.4838310763</v>
      </c>
      <c r="C6307" s="51">
        <v>1.007</v>
      </c>
      <c r="D6307" s="51">
        <v>68.0</v>
      </c>
      <c r="E6307" s="52" t="s">
        <v>25</v>
      </c>
      <c r="F6307" s="52" t="s">
        <v>26</v>
      </c>
      <c r="G6307" s="53"/>
    </row>
    <row r="6308">
      <c r="A6308" s="49">
        <v>45087.36928053241</v>
      </c>
      <c r="B6308" s="50">
        <v>45087.4942517708</v>
      </c>
      <c r="C6308" s="51">
        <v>1.007</v>
      </c>
      <c r="D6308" s="51">
        <v>68.0</v>
      </c>
      <c r="E6308" s="52" t="s">
        <v>25</v>
      </c>
      <c r="F6308" s="52" t="s">
        <v>26</v>
      </c>
      <c r="G6308" s="53"/>
    </row>
    <row r="6309">
      <c r="A6309" s="49">
        <v>45087.37970413195</v>
      </c>
      <c r="B6309" s="50">
        <v>45087.5046821759</v>
      </c>
      <c r="C6309" s="51">
        <v>1.007</v>
      </c>
      <c r="D6309" s="51">
        <v>68.0</v>
      </c>
      <c r="E6309" s="52" t="s">
        <v>25</v>
      </c>
      <c r="F6309" s="52" t="s">
        <v>26</v>
      </c>
      <c r="G6309" s="53"/>
    </row>
    <row r="6310">
      <c r="A6310" s="49">
        <v>45087.3901658449</v>
      </c>
      <c r="B6310" s="50">
        <v>45087.5151378472</v>
      </c>
      <c r="C6310" s="51">
        <v>1.007</v>
      </c>
      <c r="D6310" s="51">
        <v>68.0</v>
      </c>
      <c r="E6310" s="52" t="s">
        <v>25</v>
      </c>
      <c r="F6310" s="52" t="s">
        <v>26</v>
      </c>
      <c r="G6310" s="53"/>
    </row>
    <row r="6311">
      <c r="A6311" s="49">
        <v>45087.400589108795</v>
      </c>
      <c r="B6311" s="50">
        <v>45087.5255607754</v>
      </c>
      <c r="C6311" s="51">
        <v>1.007</v>
      </c>
      <c r="D6311" s="51">
        <v>68.0</v>
      </c>
      <c r="E6311" s="52" t="s">
        <v>25</v>
      </c>
      <c r="F6311" s="52" t="s">
        <v>26</v>
      </c>
      <c r="G6311" s="53"/>
    </row>
    <row r="6312">
      <c r="A6312" s="49">
        <v>45087.41101118056</v>
      </c>
      <c r="B6312" s="50">
        <v>45087.535983287</v>
      </c>
      <c r="C6312" s="51">
        <v>1.007</v>
      </c>
      <c r="D6312" s="51">
        <v>68.0</v>
      </c>
      <c r="E6312" s="52" t="s">
        <v>25</v>
      </c>
      <c r="F6312" s="52" t="s">
        <v>26</v>
      </c>
      <c r="G6312" s="53"/>
    </row>
    <row r="6313">
      <c r="A6313" s="49">
        <v>45087.421439108795</v>
      </c>
      <c r="B6313" s="50">
        <v>45087.5464164236</v>
      </c>
      <c r="C6313" s="51">
        <v>1.007</v>
      </c>
      <c r="D6313" s="51">
        <v>68.0</v>
      </c>
      <c r="E6313" s="52" t="s">
        <v>25</v>
      </c>
      <c r="F6313" s="52" t="s">
        <v>26</v>
      </c>
      <c r="G6313" s="53"/>
    </row>
    <row r="6314">
      <c r="A6314" s="49">
        <v>45087.43185841435</v>
      </c>
      <c r="B6314" s="50">
        <v>45087.5568378009</v>
      </c>
      <c r="C6314" s="51">
        <v>1.007</v>
      </c>
      <c r="D6314" s="51">
        <v>68.0</v>
      </c>
      <c r="E6314" s="52" t="s">
        <v>25</v>
      </c>
      <c r="F6314" s="52" t="s">
        <v>26</v>
      </c>
      <c r="G6314" s="53"/>
    </row>
    <row r="6315">
      <c r="A6315" s="49">
        <v>45087.44231943287</v>
      </c>
      <c r="B6315" s="50">
        <v>45087.5672932638</v>
      </c>
      <c r="C6315" s="51">
        <v>1.007</v>
      </c>
      <c r="D6315" s="51">
        <v>68.0</v>
      </c>
      <c r="E6315" s="52" t="s">
        <v>25</v>
      </c>
      <c r="F6315" s="52" t="s">
        <v>26</v>
      </c>
      <c r="G6315" s="53"/>
    </row>
    <row r="6316">
      <c r="A6316" s="49">
        <v>45087.45275391203</v>
      </c>
      <c r="B6316" s="50">
        <v>45087.577725243</v>
      </c>
      <c r="C6316" s="51">
        <v>1.007</v>
      </c>
      <c r="D6316" s="51">
        <v>68.0</v>
      </c>
      <c r="E6316" s="52" t="s">
        <v>25</v>
      </c>
      <c r="F6316" s="52" t="s">
        <v>26</v>
      </c>
      <c r="G6316" s="53"/>
    </row>
    <row r="6317">
      <c r="A6317" s="49">
        <v>45087.4631747338</v>
      </c>
      <c r="B6317" s="50">
        <v>45087.5881464583</v>
      </c>
      <c r="C6317" s="51">
        <v>1.007</v>
      </c>
      <c r="D6317" s="51">
        <v>68.0</v>
      </c>
      <c r="E6317" s="52" t="s">
        <v>25</v>
      </c>
      <c r="F6317" s="52" t="s">
        <v>26</v>
      </c>
      <c r="G6317" s="53"/>
    </row>
    <row r="6318">
      <c r="A6318" s="49">
        <v>45087.47358790509</v>
      </c>
      <c r="B6318" s="50">
        <v>45087.5985652546</v>
      </c>
      <c r="C6318" s="51">
        <v>1.007</v>
      </c>
      <c r="D6318" s="51">
        <v>68.0</v>
      </c>
      <c r="E6318" s="52" t="s">
        <v>25</v>
      </c>
      <c r="F6318" s="52" t="s">
        <v>26</v>
      </c>
      <c r="G6318" s="53"/>
    </row>
    <row r="6319">
      <c r="A6319" s="49">
        <v>45087.48402765046</v>
      </c>
      <c r="B6319" s="50">
        <v>45087.6090098495</v>
      </c>
      <c r="C6319" s="51">
        <v>1.007</v>
      </c>
      <c r="D6319" s="51">
        <v>68.0</v>
      </c>
      <c r="E6319" s="52" t="s">
        <v>25</v>
      </c>
      <c r="F6319" s="52" t="s">
        <v>26</v>
      </c>
      <c r="G6319" s="53"/>
    </row>
    <row r="6320">
      <c r="A6320" s="49">
        <v>45087.49445925926</v>
      </c>
      <c r="B6320" s="50">
        <v>45087.6194320833</v>
      </c>
      <c r="C6320" s="51">
        <v>1.007</v>
      </c>
      <c r="D6320" s="51">
        <v>68.0</v>
      </c>
      <c r="E6320" s="52" t="s">
        <v>25</v>
      </c>
      <c r="F6320" s="52" t="s">
        <v>26</v>
      </c>
      <c r="G6320" s="53"/>
    </row>
    <row r="6321">
      <c r="A6321" s="49">
        <v>45087.50487284722</v>
      </c>
      <c r="B6321" s="50">
        <v>45087.6298527083</v>
      </c>
      <c r="C6321" s="51">
        <v>1.007</v>
      </c>
      <c r="D6321" s="51">
        <v>68.0</v>
      </c>
      <c r="E6321" s="52" t="s">
        <v>25</v>
      </c>
      <c r="F6321" s="52" t="s">
        <v>26</v>
      </c>
      <c r="G6321" s="53"/>
    </row>
    <row r="6322">
      <c r="A6322" s="49">
        <v>45087.51530442129</v>
      </c>
      <c r="B6322" s="50">
        <v>45087.6402742476</v>
      </c>
      <c r="C6322" s="51">
        <v>1.007</v>
      </c>
      <c r="D6322" s="51">
        <v>68.0</v>
      </c>
      <c r="E6322" s="52" t="s">
        <v>25</v>
      </c>
      <c r="F6322" s="52" t="s">
        <v>26</v>
      </c>
      <c r="G6322" s="53"/>
    </row>
    <row r="6323">
      <c r="A6323" s="49">
        <v>45087.52574327546</v>
      </c>
      <c r="B6323" s="50">
        <v>45087.6507069907</v>
      </c>
      <c r="C6323" s="51">
        <v>1.007</v>
      </c>
      <c r="D6323" s="51">
        <v>68.0</v>
      </c>
      <c r="E6323" s="52" t="s">
        <v>25</v>
      </c>
      <c r="F6323" s="52" t="s">
        <v>26</v>
      </c>
      <c r="G6323" s="53"/>
    </row>
    <row r="6324">
      <c r="A6324" s="49">
        <v>45087.53616981482</v>
      </c>
      <c r="B6324" s="50">
        <v>45087.6611505092</v>
      </c>
      <c r="C6324" s="51">
        <v>1.007</v>
      </c>
      <c r="D6324" s="51">
        <v>68.0</v>
      </c>
      <c r="E6324" s="52" t="s">
        <v>25</v>
      </c>
      <c r="F6324" s="52" t="s">
        <v>26</v>
      </c>
      <c r="G6324" s="53"/>
    </row>
    <row r="6325">
      <c r="A6325" s="49">
        <v>45087.54660199074</v>
      </c>
      <c r="B6325" s="50">
        <v>45087.6715720949</v>
      </c>
      <c r="C6325" s="51">
        <v>1.007</v>
      </c>
      <c r="D6325" s="51">
        <v>68.0</v>
      </c>
      <c r="E6325" s="52" t="s">
        <v>25</v>
      </c>
      <c r="F6325" s="52" t="s">
        <v>26</v>
      </c>
      <c r="G6325" s="53"/>
    </row>
    <row r="6326">
      <c r="A6326" s="49">
        <v>45087.55703798612</v>
      </c>
      <c r="B6326" s="50">
        <v>45087.6820159375</v>
      </c>
      <c r="C6326" s="51">
        <v>1.007</v>
      </c>
      <c r="D6326" s="51">
        <v>68.0</v>
      </c>
      <c r="E6326" s="52" t="s">
        <v>25</v>
      </c>
      <c r="F6326" s="52" t="s">
        <v>26</v>
      </c>
      <c r="G6326" s="53"/>
    </row>
    <row r="6327">
      <c r="A6327" s="49">
        <v>45087.567468113426</v>
      </c>
      <c r="B6327" s="50">
        <v>45087.6924369097</v>
      </c>
      <c r="C6327" s="51">
        <v>1.007</v>
      </c>
      <c r="D6327" s="51">
        <v>68.0</v>
      </c>
      <c r="E6327" s="52" t="s">
        <v>25</v>
      </c>
      <c r="F6327" s="52" t="s">
        <v>26</v>
      </c>
      <c r="G6327" s="53"/>
    </row>
    <row r="6328">
      <c r="A6328" s="49">
        <v>45087.57788322917</v>
      </c>
      <c r="B6328" s="50">
        <v>45087.7028587037</v>
      </c>
      <c r="C6328" s="51">
        <v>1.007</v>
      </c>
      <c r="D6328" s="51">
        <v>68.0</v>
      </c>
      <c r="E6328" s="52" t="s">
        <v>25</v>
      </c>
      <c r="F6328" s="52" t="s">
        <v>26</v>
      </c>
      <c r="G6328" s="53"/>
    </row>
    <row r="6329">
      <c r="A6329" s="49">
        <v>45087.58831247685</v>
      </c>
      <c r="B6329" s="50">
        <v>45087.7132809953</v>
      </c>
      <c r="C6329" s="51">
        <v>1.007</v>
      </c>
      <c r="D6329" s="51">
        <v>68.0</v>
      </c>
      <c r="E6329" s="52" t="s">
        <v>25</v>
      </c>
      <c r="F6329" s="52" t="s">
        <v>26</v>
      </c>
      <c r="G6329" s="53"/>
    </row>
    <row r="6330">
      <c r="A6330" s="49">
        <v>45087.59874277777</v>
      </c>
      <c r="B6330" s="50">
        <v>45087.7237164004</v>
      </c>
      <c r="C6330" s="51">
        <v>1.007</v>
      </c>
      <c r="D6330" s="51">
        <v>68.0</v>
      </c>
      <c r="E6330" s="52" t="s">
        <v>25</v>
      </c>
      <c r="F6330" s="52" t="s">
        <v>26</v>
      </c>
      <c r="G6330" s="53"/>
    </row>
    <row r="6331">
      <c r="A6331" s="49">
        <v>45087.60917246528</v>
      </c>
      <c r="B6331" s="50">
        <v>45087.7341377662</v>
      </c>
      <c r="C6331" s="51">
        <v>1.007</v>
      </c>
      <c r="D6331" s="51">
        <v>68.0</v>
      </c>
      <c r="E6331" s="52" t="s">
        <v>25</v>
      </c>
      <c r="F6331" s="52" t="s">
        <v>26</v>
      </c>
      <c r="G6331" s="53"/>
    </row>
    <row r="6332">
      <c r="A6332" s="49">
        <v>45087.619590532406</v>
      </c>
      <c r="B6332" s="50">
        <v>45087.7445691782</v>
      </c>
      <c r="C6332" s="51">
        <v>1.007</v>
      </c>
      <c r="D6332" s="51">
        <v>68.0</v>
      </c>
      <c r="E6332" s="52" t="s">
        <v>25</v>
      </c>
      <c r="F6332" s="52" t="s">
        <v>26</v>
      </c>
      <c r="G6332" s="53"/>
    </row>
    <row r="6333">
      <c r="A6333" s="49">
        <v>45087.63001864583</v>
      </c>
      <c r="B6333" s="50">
        <v>45087.7549926504</v>
      </c>
      <c r="C6333" s="51">
        <v>1.007</v>
      </c>
      <c r="D6333" s="51">
        <v>68.0</v>
      </c>
      <c r="E6333" s="52" t="s">
        <v>25</v>
      </c>
      <c r="F6333" s="52" t="s">
        <v>26</v>
      </c>
      <c r="G6333" s="53"/>
    </row>
    <row r="6334">
      <c r="A6334" s="49">
        <v>45087.64045579861</v>
      </c>
      <c r="B6334" s="50">
        <v>45087.7654243287</v>
      </c>
      <c r="C6334" s="51">
        <v>1.007</v>
      </c>
      <c r="D6334" s="51">
        <v>68.0</v>
      </c>
      <c r="E6334" s="52" t="s">
        <v>25</v>
      </c>
      <c r="F6334" s="52" t="s">
        <v>26</v>
      </c>
      <c r="G6334" s="53"/>
    </row>
    <row r="6335">
      <c r="A6335" s="49">
        <v>45087.650872997685</v>
      </c>
      <c r="B6335" s="50">
        <v>45087.7758462963</v>
      </c>
      <c r="C6335" s="51">
        <v>1.007</v>
      </c>
      <c r="D6335" s="51">
        <v>68.0</v>
      </c>
      <c r="E6335" s="52" t="s">
        <v>25</v>
      </c>
      <c r="F6335" s="52" t="s">
        <v>26</v>
      </c>
      <c r="G6335" s="53"/>
    </row>
    <row r="6336">
      <c r="A6336" s="49">
        <v>45087.661320439816</v>
      </c>
      <c r="B6336" s="50">
        <v>45087.7862897338</v>
      </c>
      <c r="C6336" s="51">
        <v>1.007</v>
      </c>
      <c r="D6336" s="51">
        <v>68.0</v>
      </c>
      <c r="E6336" s="52" t="s">
        <v>25</v>
      </c>
      <c r="F6336" s="52" t="s">
        <v>26</v>
      </c>
      <c r="G6336" s="53"/>
    </row>
    <row r="6337">
      <c r="A6337" s="49">
        <v>45087.67173269676</v>
      </c>
      <c r="B6337" s="50">
        <v>45087.7967120833</v>
      </c>
      <c r="C6337" s="51">
        <v>1.007</v>
      </c>
      <c r="D6337" s="51">
        <v>68.0</v>
      </c>
      <c r="E6337" s="52" t="s">
        <v>25</v>
      </c>
      <c r="F6337" s="52" t="s">
        <v>26</v>
      </c>
      <c r="G6337" s="53"/>
    </row>
    <row r="6338">
      <c r="A6338" s="49">
        <v>45087.68215467593</v>
      </c>
      <c r="B6338" s="50">
        <v>45087.8071310879</v>
      </c>
      <c r="C6338" s="51">
        <v>1.007</v>
      </c>
      <c r="D6338" s="51">
        <v>68.0</v>
      </c>
      <c r="E6338" s="52" t="s">
        <v>25</v>
      </c>
      <c r="F6338" s="52" t="s">
        <v>26</v>
      </c>
      <c r="G6338" s="53"/>
    </row>
    <row r="6339">
      <c r="A6339" s="49">
        <v>45087.70140670139</v>
      </c>
      <c r="B6339" s="50">
        <v>45087.8263350231</v>
      </c>
      <c r="C6339" s="51">
        <v>1.007</v>
      </c>
      <c r="D6339" s="51">
        <v>68.0</v>
      </c>
      <c r="E6339" s="52" t="s">
        <v>25</v>
      </c>
      <c r="F6339" s="52" t="s">
        <v>26</v>
      </c>
      <c r="G6339" s="53"/>
    </row>
    <row r="6340">
      <c r="A6340" s="49">
        <v>45087.711832280096</v>
      </c>
      <c r="B6340" s="50">
        <v>45087.8367796643</v>
      </c>
      <c r="C6340" s="51">
        <v>1.007</v>
      </c>
      <c r="D6340" s="51">
        <v>68.0</v>
      </c>
      <c r="E6340" s="52" t="s">
        <v>25</v>
      </c>
      <c r="F6340" s="52" t="s">
        <v>26</v>
      </c>
      <c r="G6340" s="53"/>
    </row>
    <row r="6341">
      <c r="A6341" s="49">
        <v>45087.722245868055</v>
      </c>
      <c r="B6341" s="50">
        <v>45087.8472020138</v>
      </c>
      <c r="C6341" s="51">
        <v>1.007</v>
      </c>
      <c r="D6341" s="51">
        <v>68.0</v>
      </c>
      <c r="E6341" s="52" t="s">
        <v>25</v>
      </c>
      <c r="F6341" s="52" t="s">
        <v>26</v>
      </c>
      <c r="G6341" s="53"/>
    </row>
    <row r="6342">
      <c r="A6342" s="49">
        <v>45087.73267186343</v>
      </c>
      <c r="B6342" s="50">
        <v>45087.8576222106</v>
      </c>
      <c r="C6342" s="51">
        <v>1.007</v>
      </c>
      <c r="D6342" s="51">
        <v>68.0</v>
      </c>
      <c r="E6342" s="52" t="s">
        <v>25</v>
      </c>
      <c r="F6342" s="52" t="s">
        <v>26</v>
      </c>
      <c r="G6342" s="53"/>
    </row>
    <row r="6343">
      <c r="A6343" s="49">
        <v>45087.743095972226</v>
      </c>
      <c r="B6343" s="50">
        <v>45087.8680529745</v>
      </c>
      <c r="C6343" s="51">
        <v>1.007</v>
      </c>
      <c r="D6343" s="51">
        <v>68.0</v>
      </c>
      <c r="E6343" s="52" t="s">
        <v>25</v>
      </c>
      <c r="F6343" s="52" t="s">
        <v>26</v>
      </c>
      <c r="G6343" s="53"/>
    </row>
    <row r="6344">
      <c r="A6344" s="49">
        <v>45087.753513993055</v>
      </c>
      <c r="B6344" s="50">
        <v>45087.8784752314</v>
      </c>
      <c r="C6344" s="51">
        <v>1.007</v>
      </c>
      <c r="D6344" s="51">
        <v>68.0</v>
      </c>
      <c r="E6344" s="52" t="s">
        <v>25</v>
      </c>
      <c r="F6344" s="52" t="s">
        <v>26</v>
      </c>
      <c r="G6344" s="53"/>
    </row>
    <row r="6345">
      <c r="A6345" s="49">
        <v>45087.76393755787</v>
      </c>
      <c r="B6345" s="50">
        <v>45087.8889084606</v>
      </c>
      <c r="C6345" s="51">
        <v>1.007</v>
      </c>
      <c r="D6345" s="51">
        <v>68.0</v>
      </c>
      <c r="E6345" s="52" t="s">
        <v>25</v>
      </c>
      <c r="F6345" s="52" t="s">
        <v>26</v>
      </c>
      <c r="G6345" s="53"/>
    </row>
    <row r="6346">
      <c r="A6346" s="49">
        <v>45087.77435936342</v>
      </c>
      <c r="B6346" s="50">
        <v>45087.8993289351</v>
      </c>
      <c r="C6346" s="51">
        <v>1.007</v>
      </c>
      <c r="D6346" s="51">
        <v>68.0</v>
      </c>
      <c r="E6346" s="52" t="s">
        <v>25</v>
      </c>
      <c r="F6346" s="52" t="s">
        <v>26</v>
      </c>
      <c r="G6346" s="53"/>
    </row>
    <row r="6347">
      <c r="A6347" s="49">
        <v>45087.78478100694</v>
      </c>
      <c r="B6347" s="50">
        <v>45087.9097504861</v>
      </c>
      <c r="C6347" s="51">
        <v>1.007</v>
      </c>
      <c r="D6347" s="51">
        <v>68.0</v>
      </c>
      <c r="E6347" s="52" t="s">
        <v>25</v>
      </c>
      <c r="F6347" s="52" t="s">
        <v>26</v>
      </c>
      <c r="G6347" s="53"/>
    </row>
    <row r="6348">
      <c r="A6348" s="49">
        <v>45087.795218900465</v>
      </c>
      <c r="B6348" s="50">
        <v>45087.9201713773</v>
      </c>
      <c r="C6348" s="51">
        <v>1.007</v>
      </c>
      <c r="D6348" s="51">
        <v>68.0</v>
      </c>
      <c r="E6348" s="52" t="s">
        <v>25</v>
      </c>
      <c r="F6348" s="52" t="s">
        <v>26</v>
      </c>
      <c r="G6348" s="53"/>
    </row>
    <row r="6349">
      <c r="A6349" s="49">
        <v>45087.805667719906</v>
      </c>
      <c r="B6349" s="50">
        <v>45087.9305935416</v>
      </c>
      <c r="C6349" s="51">
        <v>1.007</v>
      </c>
      <c r="D6349" s="51">
        <v>68.0</v>
      </c>
      <c r="E6349" s="52" t="s">
        <v>25</v>
      </c>
      <c r="F6349" s="52" t="s">
        <v>26</v>
      </c>
      <c r="G6349" s="53"/>
    </row>
    <row r="6350">
      <c r="A6350" s="49">
        <v>45087.81608792824</v>
      </c>
      <c r="B6350" s="50">
        <v>45087.9410146527</v>
      </c>
      <c r="C6350" s="51">
        <v>1.007</v>
      </c>
      <c r="D6350" s="51">
        <v>68.0</v>
      </c>
      <c r="E6350" s="52" t="s">
        <v>25</v>
      </c>
      <c r="F6350" s="52" t="s">
        <v>26</v>
      </c>
      <c r="G6350" s="53"/>
    </row>
    <row r="6351">
      <c r="A6351" s="49">
        <v>45087.826508541664</v>
      </c>
      <c r="B6351" s="50">
        <v>45087.9514473032</v>
      </c>
      <c r="C6351" s="51">
        <v>1.007</v>
      </c>
      <c r="D6351" s="51">
        <v>68.0</v>
      </c>
      <c r="E6351" s="52" t="s">
        <v>25</v>
      </c>
      <c r="F6351" s="52" t="s">
        <v>26</v>
      </c>
      <c r="G6351" s="53"/>
    </row>
    <row r="6352">
      <c r="A6352" s="49">
        <v>45087.83692778935</v>
      </c>
      <c r="B6352" s="50">
        <v>45087.9618685763</v>
      </c>
      <c r="C6352" s="51">
        <v>1.007</v>
      </c>
      <c r="D6352" s="51">
        <v>68.0</v>
      </c>
      <c r="E6352" s="52" t="s">
        <v>25</v>
      </c>
      <c r="F6352" s="52" t="s">
        <v>26</v>
      </c>
      <c r="G6352" s="53"/>
    </row>
    <row r="6353">
      <c r="A6353" s="49">
        <v>45087.84734960648</v>
      </c>
      <c r="B6353" s="50">
        <v>45087.9722886458</v>
      </c>
      <c r="C6353" s="51">
        <v>1.007</v>
      </c>
      <c r="D6353" s="51">
        <v>68.0</v>
      </c>
      <c r="E6353" s="52" t="s">
        <v>25</v>
      </c>
      <c r="F6353" s="52" t="s">
        <v>26</v>
      </c>
      <c r="G6353" s="53"/>
    </row>
    <row r="6354">
      <c r="A6354" s="49">
        <v>45087.85777394676</v>
      </c>
      <c r="B6354" s="50">
        <v>45087.9827103356</v>
      </c>
      <c r="C6354" s="51">
        <v>1.007</v>
      </c>
      <c r="D6354" s="51">
        <v>68.0</v>
      </c>
      <c r="E6354" s="52" t="s">
        <v>25</v>
      </c>
      <c r="F6354" s="52" t="s">
        <v>26</v>
      </c>
      <c r="G6354" s="53"/>
    </row>
    <row r="6355">
      <c r="A6355" s="49">
        <v>45087.868192905094</v>
      </c>
      <c r="B6355" s="50">
        <v>45087.9931299652</v>
      </c>
      <c r="C6355" s="51">
        <v>1.007</v>
      </c>
      <c r="D6355" s="51">
        <v>68.0</v>
      </c>
      <c r="E6355" s="52" t="s">
        <v>25</v>
      </c>
      <c r="F6355" s="52" t="s">
        <v>26</v>
      </c>
      <c r="G6355" s="53"/>
    </row>
    <row r="6356">
      <c r="A6356" s="49">
        <v>45087.87860969907</v>
      </c>
      <c r="B6356" s="50">
        <v>45088.0035718402</v>
      </c>
      <c r="C6356" s="51">
        <v>1.007</v>
      </c>
      <c r="D6356" s="51">
        <v>68.0</v>
      </c>
      <c r="E6356" s="52" t="s">
        <v>25</v>
      </c>
      <c r="F6356" s="52" t="s">
        <v>26</v>
      </c>
      <c r="G6356" s="53"/>
    </row>
    <row r="6357">
      <c r="A6357" s="49">
        <v>45087.88903686343</v>
      </c>
      <c r="B6357" s="50">
        <v>45088.0139933101</v>
      </c>
      <c r="C6357" s="51">
        <v>1.007</v>
      </c>
      <c r="D6357" s="51">
        <v>68.0</v>
      </c>
      <c r="E6357" s="52" t="s">
        <v>25</v>
      </c>
      <c r="F6357" s="52" t="s">
        <v>26</v>
      </c>
      <c r="G6357" s="53"/>
    </row>
    <row r="6358">
      <c r="A6358" s="49">
        <v>45087.89946197916</v>
      </c>
      <c r="B6358" s="50">
        <v>45088.0244139004</v>
      </c>
      <c r="C6358" s="51">
        <v>1.007</v>
      </c>
      <c r="D6358" s="51">
        <v>68.0</v>
      </c>
      <c r="E6358" s="52" t="s">
        <v>25</v>
      </c>
      <c r="F6358" s="52" t="s">
        <v>26</v>
      </c>
      <c r="G6358" s="53"/>
    </row>
    <row r="6359">
      <c r="A6359" s="49">
        <v>45087.90989216435</v>
      </c>
      <c r="B6359" s="50">
        <v>45088.0348356481</v>
      </c>
      <c r="C6359" s="51">
        <v>1.007</v>
      </c>
      <c r="D6359" s="51">
        <v>68.0</v>
      </c>
      <c r="E6359" s="52" t="s">
        <v>25</v>
      </c>
      <c r="F6359" s="52" t="s">
        <v>26</v>
      </c>
      <c r="G6359" s="53"/>
    </row>
    <row r="6360">
      <c r="A6360" s="49">
        <v>45087.92030763889</v>
      </c>
      <c r="B6360" s="50">
        <v>45088.045256331</v>
      </c>
      <c r="C6360" s="51">
        <v>1.007</v>
      </c>
      <c r="D6360" s="51">
        <v>68.0</v>
      </c>
      <c r="E6360" s="52" t="s">
        <v>25</v>
      </c>
      <c r="F6360" s="52" t="s">
        <v>26</v>
      </c>
      <c r="G6360" s="53"/>
    </row>
    <row r="6361">
      <c r="A6361" s="49">
        <v>45087.93074146991</v>
      </c>
      <c r="B6361" s="50">
        <v>45088.0556795601</v>
      </c>
      <c r="C6361" s="51">
        <v>1.007</v>
      </c>
      <c r="D6361" s="51">
        <v>68.0</v>
      </c>
      <c r="E6361" s="52" t="s">
        <v>25</v>
      </c>
      <c r="F6361" s="52" t="s">
        <v>26</v>
      </c>
      <c r="G6361" s="53"/>
    </row>
    <row r="6362">
      <c r="A6362" s="49">
        <v>45087.94116475694</v>
      </c>
      <c r="B6362" s="50">
        <v>45088.0660996643</v>
      </c>
      <c r="C6362" s="51">
        <v>1.007</v>
      </c>
      <c r="D6362" s="51">
        <v>68.0</v>
      </c>
      <c r="E6362" s="52" t="s">
        <v>25</v>
      </c>
      <c r="F6362" s="52" t="s">
        <v>26</v>
      </c>
      <c r="G6362" s="53"/>
    </row>
    <row r="6363">
      <c r="A6363" s="49">
        <v>45087.95158761574</v>
      </c>
      <c r="B6363" s="50">
        <v>45088.0765314814</v>
      </c>
      <c r="C6363" s="51">
        <v>1.007</v>
      </c>
      <c r="D6363" s="51">
        <v>68.0</v>
      </c>
      <c r="E6363" s="52" t="s">
        <v>25</v>
      </c>
      <c r="F6363" s="52" t="s">
        <v>26</v>
      </c>
      <c r="G6363" s="53"/>
    </row>
    <row r="6364">
      <c r="A6364" s="49">
        <v>45087.961999340274</v>
      </c>
      <c r="B6364" s="50">
        <v>45088.0869511458</v>
      </c>
      <c r="C6364" s="51">
        <v>1.007</v>
      </c>
      <c r="D6364" s="51">
        <v>68.0</v>
      </c>
      <c r="E6364" s="52" t="s">
        <v>25</v>
      </c>
      <c r="F6364" s="52" t="s">
        <v>26</v>
      </c>
      <c r="G6364" s="53"/>
    </row>
    <row r="6365">
      <c r="A6365" s="49">
        <v>45087.97242752315</v>
      </c>
      <c r="B6365" s="50">
        <v>45088.0973725694</v>
      </c>
      <c r="C6365" s="51">
        <v>1.007</v>
      </c>
      <c r="D6365" s="51">
        <v>68.0</v>
      </c>
      <c r="E6365" s="52" t="s">
        <v>25</v>
      </c>
      <c r="F6365" s="52" t="s">
        <v>26</v>
      </c>
      <c r="G6365" s="53"/>
    </row>
    <row r="6366">
      <c r="A6366" s="49">
        <v>45087.982844722224</v>
      </c>
      <c r="B6366" s="50">
        <v>45088.1077955324</v>
      </c>
      <c r="C6366" s="51">
        <v>1.007</v>
      </c>
      <c r="D6366" s="51">
        <v>68.0</v>
      </c>
      <c r="E6366" s="52" t="s">
        <v>25</v>
      </c>
      <c r="F6366" s="52" t="s">
        <v>26</v>
      </c>
      <c r="G6366" s="53"/>
    </row>
    <row r="6367">
      <c r="A6367" s="49">
        <v>45087.99328564815</v>
      </c>
      <c r="B6367" s="50">
        <v>45088.1182187847</v>
      </c>
      <c r="C6367" s="51">
        <v>1.007</v>
      </c>
      <c r="D6367" s="51">
        <v>68.0</v>
      </c>
      <c r="E6367" s="52" t="s">
        <v>25</v>
      </c>
      <c r="F6367" s="52" t="s">
        <v>26</v>
      </c>
      <c r="G6367" s="53"/>
    </row>
    <row r="6368">
      <c r="A6368" s="49">
        <v>45088.00372521991</v>
      </c>
      <c r="B6368" s="50">
        <v>45088.1286521412</v>
      </c>
      <c r="C6368" s="51">
        <v>1.007</v>
      </c>
      <c r="D6368" s="51">
        <v>68.0</v>
      </c>
      <c r="E6368" s="52" t="s">
        <v>25</v>
      </c>
      <c r="F6368" s="52" t="s">
        <v>26</v>
      </c>
      <c r="G6368" s="53"/>
    </row>
    <row r="6369">
      <c r="A6369" s="49">
        <v>45088.01414476852</v>
      </c>
      <c r="B6369" s="50">
        <v>45088.1390732986</v>
      </c>
      <c r="C6369" s="51">
        <v>1.007</v>
      </c>
      <c r="D6369" s="51">
        <v>68.0</v>
      </c>
      <c r="E6369" s="52" t="s">
        <v>25</v>
      </c>
      <c r="F6369" s="52" t="s">
        <v>26</v>
      </c>
      <c r="G6369" s="53"/>
    </row>
    <row r="6370">
      <c r="A6370" s="49">
        <v>45088.02456715278</v>
      </c>
      <c r="B6370" s="50">
        <v>45088.1494938078</v>
      </c>
      <c r="C6370" s="51">
        <v>1.007</v>
      </c>
      <c r="D6370" s="51">
        <v>68.0</v>
      </c>
      <c r="E6370" s="52" t="s">
        <v>25</v>
      </c>
      <c r="F6370" s="52" t="s">
        <v>26</v>
      </c>
      <c r="G6370" s="53"/>
    </row>
    <row r="6371">
      <c r="A6371" s="49">
        <v>45088.03499071759</v>
      </c>
      <c r="B6371" s="50">
        <v>45088.1599168402</v>
      </c>
      <c r="C6371" s="51">
        <v>1.007</v>
      </c>
      <c r="D6371" s="51">
        <v>68.0</v>
      </c>
      <c r="E6371" s="52" t="s">
        <v>25</v>
      </c>
      <c r="F6371" s="52" t="s">
        <v>26</v>
      </c>
      <c r="G6371" s="53"/>
    </row>
    <row r="6372">
      <c r="A6372" s="49">
        <v>45088.04541244213</v>
      </c>
      <c r="B6372" s="50">
        <v>45088.1703386805</v>
      </c>
      <c r="C6372" s="51">
        <v>1.007</v>
      </c>
      <c r="D6372" s="51">
        <v>68.0</v>
      </c>
      <c r="E6372" s="52" t="s">
        <v>25</v>
      </c>
      <c r="F6372" s="52" t="s">
        <v>26</v>
      </c>
      <c r="G6372" s="53"/>
    </row>
    <row r="6373">
      <c r="A6373" s="49">
        <v>45088.05582954861</v>
      </c>
      <c r="B6373" s="50">
        <v>45088.1807604513</v>
      </c>
      <c r="C6373" s="51">
        <v>1.007</v>
      </c>
      <c r="D6373" s="51">
        <v>68.0</v>
      </c>
      <c r="E6373" s="52" t="s">
        <v>25</v>
      </c>
      <c r="F6373" s="52" t="s">
        <v>26</v>
      </c>
      <c r="G6373" s="53"/>
    </row>
    <row r="6374">
      <c r="A6374" s="49">
        <v>45088.066248414354</v>
      </c>
      <c r="B6374" s="50">
        <v>45088.1911956828</v>
      </c>
      <c r="C6374" s="51">
        <v>1.007</v>
      </c>
      <c r="D6374" s="51">
        <v>68.0</v>
      </c>
      <c r="E6374" s="52" t="s">
        <v>25</v>
      </c>
      <c r="F6374" s="52" t="s">
        <v>26</v>
      </c>
      <c r="G6374" s="53"/>
    </row>
    <row r="6375">
      <c r="A6375" s="49">
        <v>45088.07667726852</v>
      </c>
      <c r="B6375" s="50">
        <v>45088.2016175115</v>
      </c>
      <c r="C6375" s="51">
        <v>1.007</v>
      </c>
      <c r="D6375" s="51">
        <v>68.0</v>
      </c>
      <c r="E6375" s="52" t="s">
        <v>25</v>
      </c>
      <c r="F6375" s="52" t="s">
        <v>26</v>
      </c>
      <c r="G6375" s="53"/>
    </row>
    <row r="6376">
      <c r="A6376" s="49">
        <v>45088.08710009259</v>
      </c>
      <c r="B6376" s="50">
        <v>45088.2120375115</v>
      </c>
      <c r="C6376" s="51">
        <v>1.007</v>
      </c>
      <c r="D6376" s="51">
        <v>68.0</v>
      </c>
      <c r="E6376" s="52" t="s">
        <v>25</v>
      </c>
      <c r="F6376" s="52" t="s">
        <v>26</v>
      </c>
      <c r="G6376" s="53"/>
    </row>
    <row r="6377">
      <c r="A6377" s="49">
        <v>45088.097511886575</v>
      </c>
      <c r="B6377" s="50">
        <v>45088.2224575347</v>
      </c>
      <c r="C6377" s="51">
        <v>1.007</v>
      </c>
      <c r="D6377" s="51">
        <v>68.0</v>
      </c>
      <c r="E6377" s="52" t="s">
        <v>25</v>
      </c>
      <c r="F6377" s="52" t="s">
        <v>26</v>
      </c>
      <c r="G6377" s="53"/>
    </row>
    <row r="6378">
      <c r="A6378" s="49">
        <v>45088.10795371528</v>
      </c>
      <c r="B6378" s="50">
        <v>45088.2328788425</v>
      </c>
      <c r="C6378" s="51">
        <v>1.007</v>
      </c>
      <c r="D6378" s="51">
        <v>68.0</v>
      </c>
      <c r="E6378" s="52" t="s">
        <v>25</v>
      </c>
      <c r="F6378" s="52" t="s">
        <v>26</v>
      </c>
      <c r="G6378" s="53"/>
    </row>
    <row r="6379">
      <c r="A6379" s="49">
        <v>45088.11837625</v>
      </c>
      <c r="B6379" s="50">
        <v>45088.2433006713</v>
      </c>
      <c r="C6379" s="51">
        <v>1.007</v>
      </c>
      <c r="D6379" s="51">
        <v>68.0</v>
      </c>
      <c r="E6379" s="52" t="s">
        <v>25</v>
      </c>
      <c r="F6379" s="52" t="s">
        <v>26</v>
      </c>
      <c r="G6379" s="53"/>
    </row>
    <row r="6380">
      <c r="A6380" s="49">
        <v>45088.128792407406</v>
      </c>
      <c r="B6380" s="50">
        <v>45088.253721574</v>
      </c>
      <c r="C6380" s="51">
        <v>1.007</v>
      </c>
      <c r="D6380" s="51">
        <v>68.0</v>
      </c>
      <c r="E6380" s="52" t="s">
        <v>25</v>
      </c>
      <c r="F6380" s="52" t="s">
        <v>26</v>
      </c>
      <c r="G6380" s="53"/>
    </row>
    <row r="6381">
      <c r="A6381" s="49">
        <v>45088.13917335648</v>
      </c>
      <c r="B6381" s="50">
        <v>45088.2641431365</v>
      </c>
      <c r="C6381" s="51">
        <v>1.007</v>
      </c>
      <c r="D6381" s="51">
        <v>68.0</v>
      </c>
      <c r="E6381" s="52" t="s">
        <v>25</v>
      </c>
      <c r="F6381" s="52" t="s">
        <v>26</v>
      </c>
      <c r="G6381" s="53"/>
    </row>
    <row r="6382">
      <c r="A6382" s="49">
        <v>45088.149590092595</v>
      </c>
      <c r="B6382" s="50">
        <v>45088.2745649652</v>
      </c>
      <c r="C6382" s="51">
        <v>1.007</v>
      </c>
      <c r="D6382" s="51">
        <v>68.0</v>
      </c>
      <c r="E6382" s="52" t="s">
        <v>25</v>
      </c>
      <c r="F6382" s="52" t="s">
        <v>26</v>
      </c>
      <c r="G6382" s="53"/>
    </row>
    <row r="6383">
      <c r="A6383" s="49">
        <v>45088.16001436343</v>
      </c>
      <c r="B6383" s="50">
        <v>45088.2849856828</v>
      </c>
      <c r="C6383" s="51">
        <v>1.007</v>
      </c>
      <c r="D6383" s="51">
        <v>68.0</v>
      </c>
      <c r="E6383" s="52" t="s">
        <v>25</v>
      </c>
      <c r="F6383" s="52" t="s">
        <v>26</v>
      </c>
      <c r="G6383" s="53"/>
    </row>
    <row r="6384">
      <c r="A6384" s="49">
        <v>45088.170425648146</v>
      </c>
      <c r="B6384" s="50">
        <v>45088.2954044791</v>
      </c>
      <c r="C6384" s="51">
        <v>1.007</v>
      </c>
      <c r="D6384" s="51">
        <v>68.0</v>
      </c>
      <c r="E6384" s="52" t="s">
        <v>25</v>
      </c>
      <c r="F6384" s="52" t="s">
        <v>26</v>
      </c>
      <c r="G6384" s="53"/>
    </row>
    <row r="6385">
      <c r="A6385" s="49">
        <v>45088.18084217593</v>
      </c>
      <c r="B6385" s="50">
        <v>45088.3058250347</v>
      </c>
      <c r="C6385" s="51">
        <v>1.007</v>
      </c>
      <c r="D6385" s="51">
        <v>68.0</v>
      </c>
      <c r="E6385" s="52" t="s">
        <v>25</v>
      </c>
      <c r="F6385" s="52" t="s">
        <v>26</v>
      </c>
      <c r="G6385" s="53"/>
    </row>
    <row r="6386">
      <c r="A6386" s="49">
        <v>45088.19127805556</v>
      </c>
      <c r="B6386" s="50">
        <v>45088.3162470601</v>
      </c>
      <c r="C6386" s="51">
        <v>1.007</v>
      </c>
      <c r="D6386" s="51">
        <v>68.0</v>
      </c>
      <c r="E6386" s="52" t="s">
        <v>25</v>
      </c>
      <c r="F6386" s="52" t="s">
        <v>26</v>
      </c>
      <c r="G6386" s="53"/>
    </row>
    <row r="6387">
      <c r="A6387" s="49">
        <v>45088.20169498843</v>
      </c>
      <c r="B6387" s="50">
        <v>45088.3266678703</v>
      </c>
      <c r="C6387" s="51">
        <v>1.007</v>
      </c>
      <c r="D6387" s="51">
        <v>68.0</v>
      </c>
      <c r="E6387" s="52" t="s">
        <v>25</v>
      </c>
      <c r="F6387" s="52" t="s">
        <v>26</v>
      </c>
      <c r="G6387" s="53"/>
    </row>
    <row r="6388">
      <c r="A6388" s="49">
        <v>45088.21212704861</v>
      </c>
      <c r="B6388" s="50">
        <v>45088.3371004398</v>
      </c>
      <c r="C6388" s="51">
        <v>1.007</v>
      </c>
      <c r="D6388" s="51">
        <v>68.0</v>
      </c>
      <c r="E6388" s="52" t="s">
        <v>25</v>
      </c>
      <c r="F6388" s="52" t="s">
        <v>26</v>
      </c>
      <c r="G6388" s="53"/>
    </row>
    <row r="6389">
      <c r="A6389" s="49">
        <v>45088.22255707176</v>
      </c>
      <c r="B6389" s="50">
        <v>45088.3475324884</v>
      </c>
      <c r="C6389" s="51">
        <v>1.007</v>
      </c>
      <c r="D6389" s="51">
        <v>68.0</v>
      </c>
      <c r="E6389" s="52" t="s">
        <v>25</v>
      </c>
      <c r="F6389" s="52" t="s">
        <v>26</v>
      </c>
      <c r="G6389" s="53"/>
    </row>
    <row r="6390">
      <c r="A6390" s="49">
        <v>45088.232975983796</v>
      </c>
      <c r="B6390" s="50">
        <v>45088.357951956</v>
      </c>
      <c r="C6390" s="51">
        <v>1.007</v>
      </c>
      <c r="D6390" s="51">
        <v>68.0</v>
      </c>
      <c r="E6390" s="52" t="s">
        <v>25</v>
      </c>
      <c r="F6390" s="52" t="s">
        <v>26</v>
      </c>
      <c r="G6390" s="53"/>
    </row>
    <row r="6391">
      <c r="A6391" s="49">
        <v>45088.243393854165</v>
      </c>
      <c r="B6391" s="50">
        <v>45088.3683725694</v>
      </c>
      <c r="C6391" s="51">
        <v>1.007</v>
      </c>
      <c r="D6391" s="51">
        <v>68.0</v>
      </c>
      <c r="E6391" s="52" t="s">
        <v>25</v>
      </c>
      <c r="F6391" s="52" t="s">
        <v>26</v>
      </c>
      <c r="G6391" s="53"/>
    </row>
    <row r="6392">
      <c r="A6392" s="49">
        <v>45088.25383459491</v>
      </c>
      <c r="B6392" s="50">
        <v>45088.3788168055</v>
      </c>
      <c r="C6392" s="51">
        <v>1.007</v>
      </c>
      <c r="D6392" s="51">
        <v>68.0</v>
      </c>
      <c r="E6392" s="52" t="s">
        <v>25</v>
      </c>
      <c r="F6392" s="52" t="s">
        <v>26</v>
      </c>
      <c r="G6392" s="53"/>
    </row>
    <row r="6393">
      <c r="A6393" s="49">
        <v>45088.26426236111</v>
      </c>
      <c r="B6393" s="50">
        <v>45088.3892371527</v>
      </c>
      <c r="C6393" s="51">
        <v>1.007</v>
      </c>
      <c r="D6393" s="51">
        <v>68.0</v>
      </c>
      <c r="E6393" s="52" t="s">
        <v>25</v>
      </c>
      <c r="F6393" s="52" t="s">
        <v>26</v>
      </c>
      <c r="G6393" s="53"/>
    </row>
    <row r="6394">
      <c r="A6394" s="49">
        <v>45088.274681423616</v>
      </c>
      <c r="B6394" s="50">
        <v>45088.3996566898</v>
      </c>
      <c r="C6394" s="51">
        <v>1.007</v>
      </c>
      <c r="D6394" s="51">
        <v>68.0</v>
      </c>
      <c r="E6394" s="52" t="s">
        <v>25</v>
      </c>
      <c r="F6394" s="52" t="s">
        <v>26</v>
      </c>
      <c r="G6394" s="53"/>
    </row>
    <row r="6395">
      <c r="A6395" s="49">
        <v>45088.28509635417</v>
      </c>
      <c r="B6395" s="50">
        <v>45088.4100767939</v>
      </c>
      <c r="C6395" s="51">
        <v>1.007</v>
      </c>
      <c r="D6395" s="51">
        <v>68.0</v>
      </c>
      <c r="E6395" s="52" t="s">
        <v>25</v>
      </c>
      <c r="F6395" s="52" t="s">
        <v>26</v>
      </c>
      <c r="G6395" s="53"/>
    </row>
    <row r="6396">
      <c r="A6396" s="49">
        <v>45088.29554748842</v>
      </c>
      <c r="B6396" s="50">
        <v>45088.4205095486</v>
      </c>
      <c r="C6396" s="51">
        <v>1.007</v>
      </c>
      <c r="D6396" s="51">
        <v>68.0</v>
      </c>
      <c r="E6396" s="52" t="s">
        <v>25</v>
      </c>
      <c r="F6396" s="52" t="s">
        <v>26</v>
      </c>
      <c r="G6396" s="53"/>
    </row>
    <row r="6397">
      <c r="A6397" s="49">
        <v>45088.30597798611</v>
      </c>
      <c r="B6397" s="50">
        <v>45088.4309294097</v>
      </c>
      <c r="C6397" s="51">
        <v>1.007</v>
      </c>
      <c r="D6397" s="51">
        <v>68.0</v>
      </c>
      <c r="E6397" s="52" t="s">
        <v>25</v>
      </c>
      <c r="F6397" s="52" t="s">
        <v>26</v>
      </c>
      <c r="G6397" s="53"/>
    </row>
    <row r="6398">
      <c r="A6398" s="49">
        <v>45088.3163821412</v>
      </c>
      <c r="B6398" s="50">
        <v>45088.4413504051</v>
      </c>
      <c r="C6398" s="51">
        <v>1.007</v>
      </c>
      <c r="D6398" s="51">
        <v>68.0</v>
      </c>
      <c r="E6398" s="52" t="s">
        <v>25</v>
      </c>
      <c r="F6398" s="52" t="s">
        <v>26</v>
      </c>
      <c r="G6398" s="53"/>
    </row>
    <row r="6399">
      <c r="A6399" s="49">
        <v>45088.32680126157</v>
      </c>
      <c r="B6399" s="50">
        <v>45088.4517717476</v>
      </c>
      <c r="C6399" s="51">
        <v>1.007</v>
      </c>
      <c r="D6399" s="51">
        <v>68.0</v>
      </c>
      <c r="E6399" s="52" t="s">
        <v>25</v>
      </c>
      <c r="F6399" s="52" t="s">
        <v>26</v>
      </c>
      <c r="G6399" s="53"/>
    </row>
    <row r="6400">
      <c r="A6400" s="49">
        <v>45088.33722753472</v>
      </c>
      <c r="B6400" s="50">
        <v>45088.4622041087</v>
      </c>
      <c r="C6400" s="51">
        <v>1.007</v>
      </c>
      <c r="D6400" s="51">
        <v>68.0</v>
      </c>
      <c r="E6400" s="52" t="s">
        <v>25</v>
      </c>
      <c r="F6400" s="52" t="s">
        <v>26</v>
      </c>
      <c r="G6400" s="53"/>
    </row>
    <row r="6401">
      <c r="A6401" s="49">
        <v>45088.3476455787</v>
      </c>
      <c r="B6401" s="50">
        <v>45088.4726268055</v>
      </c>
      <c r="C6401" s="51">
        <v>1.007</v>
      </c>
      <c r="D6401" s="51">
        <v>68.0</v>
      </c>
      <c r="E6401" s="52" t="s">
        <v>25</v>
      </c>
      <c r="F6401" s="52" t="s">
        <v>26</v>
      </c>
      <c r="G6401" s="53"/>
    </row>
    <row r="6402">
      <c r="A6402" s="49">
        <v>45088.358072303236</v>
      </c>
      <c r="B6402" s="50">
        <v>45088.483047037</v>
      </c>
      <c r="C6402" s="51">
        <v>1.007</v>
      </c>
      <c r="D6402" s="51">
        <v>68.0</v>
      </c>
      <c r="E6402" s="52" t="s">
        <v>25</v>
      </c>
      <c r="F6402" s="52" t="s">
        <v>26</v>
      </c>
      <c r="G6402" s="53"/>
    </row>
    <row r="6403">
      <c r="A6403" s="49">
        <v>45088.36849570602</v>
      </c>
      <c r="B6403" s="50">
        <v>45088.4934677314</v>
      </c>
      <c r="C6403" s="51">
        <v>1.007</v>
      </c>
      <c r="D6403" s="51">
        <v>68.0</v>
      </c>
      <c r="E6403" s="52" t="s">
        <v>25</v>
      </c>
      <c r="F6403" s="52" t="s">
        <v>26</v>
      </c>
      <c r="G6403" s="53"/>
    </row>
    <row r="6404">
      <c r="A6404" s="49">
        <v>45088.378914444445</v>
      </c>
      <c r="B6404" s="50">
        <v>45088.503888206</v>
      </c>
      <c r="C6404" s="51">
        <v>1.007</v>
      </c>
      <c r="D6404" s="51">
        <v>68.0</v>
      </c>
      <c r="E6404" s="52" t="s">
        <v>25</v>
      </c>
      <c r="F6404" s="52" t="s">
        <v>26</v>
      </c>
      <c r="G6404" s="53"/>
    </row>
    <row r="6405">
      <c r="A6405" s="49">
        <v>45088.389334039355</v>
      </c>
      <c r="B6405" s="50">
        <v>45088.5143109027</v>
      </c>
      <c r="C6405" s="51">
        <v>1.007</v>
      </c>
      <c r="D6405" s="51">
        <v>68.0</v>
      </c>
      <c r="E6405" s="52" t="s">
        <v>25</v>
      </c>
      <c r="F6405" s="52" t="s">
        <v>26</v>
      </c>
      <c r="G6405" s="53"/>
    </row>
    <row r="6406">
      <c r="A6406" s="49">
        <v>45088.3997575463</v>
      </c>
      <c r="B6406" s="50">
        <v>45088.5247314699</v>
      </c>
      <c r="C6406" s="51">
        <v>1.007</v>
      </c>
      <c r="D6406" s="51">
        <v>68.0</v>
      </c>
      <c r="E6406" s="52" t="s">
        <v>25</v>
      </c>
      <c r="F6406" s="52" t="s">
        <v>26</v>
      </c>
      <c r="G6406" s="53"/>
    </row>
    <row r="6407">
      <c r="A6407" s="49">
        <v>45088.41017083333</v>
      </c>
      <c r="B6407" s="50">
        <v>45088.5351519212</v>
      </c>
      <c r="C6407" s="51">
        <v>1.006</v>
      </c>
      <c r="D6407" s="51">
        <v>68.0</v>
      </c>
      <c r="E6407" s="52" t="s">
        <v>25</v>
      </c>
      <c r="F6407" s="52" t="s">
        <v>26</v>
      </c>
      <c r="G6407" s="53"/>
    </row>
    <row r="6408">
      <c r="A6408" s="49">
        <v>45088.42059809028</v>
      </c>
      <c r="B6408" s="50">
        <v>45088.5455725</v>
      </c>
      <c r="C6408" s="51">
        <v>1.007</v>
      </c>
      <c r="D6408" s="51">
        <v>68.0</v>
      </c>
      <c r="E6408" s="52" t="s">
        <v>25</v>
      </c>
      <c r="F6408" s="52" t="s">
        <v>26</v>
      </c>
      <c r="G6408" s="53"/>
    </row>
    <row r="6409">
      <c r="A6409" s="49">
        <v>45088.431018240735</v>
      </c>
      <c r="B6409" s="50">
        <v>45088.5559933101</v>
      </c>
      <c r="C6409" s="51">
        <v>1.007</v>
      </c>
      <c r="D6409" s="51">
        <v>68.0</v>
      </c>
      <c r="E6409" s="52" t="s">
        <v>25</v>
      </c>
      <c r="F6409" s="52" t="s">
        <v>26</v>
      </c>
      <c r="G6409" s="53"/>
    </row>
    <row r="6410">
      <c r="A6410" s="49">
        <v>45088.44144081019</v>
      </c>
      <c r="B6410" s="50">
        <v>45088.5664165625</v>
      </c>
      <c r="C6410" s="51">
        <v>1.007</v>
      </c>
      <c r="D6410" s="51">
        <v>68.0</v>
      </c>
      <c r="E6410" s="52" t="s">
        <v>25</v>
      </c>
      <c r="F6410" s="52" t="s">
        <v>26</v>
      </c>
      <c r="G6410" s="53"/>
    </row>
    <row r="6411">
      <c r="A6411" s="49">
        <v>45088.45185888889</v>
      </c>
      <c r="B6411" s="50">
        <v>45088.5768392824</v>
      </c>
      <c r="C6411" s="51">
        <v>1.007</v>
      </c>
      <c r="D6411" s="51">
        <v>68.0</v>
      </c>
      <c r="E6411" s="52" t="s">
        <v>25</v>
      </c>
      <c r="F6411" s="52" t="s">
        <v>26</v>
      </c>
      <c r="G6411" s="53"/>
    </row>
    <row r="6412">
      <c r="A6412" s="49">
        <v>45088.46227554398</v>
      </c>
      <c r="B6412" s="50">
        <v>45088.587259155</v>
      </c>
      <c r="C6412" s="51">
        <v>1.007</v>
      </c>
      <c r="D6412" s="51">
        <v>68.0</v>
      </c>
      <c r="E6412" s="52" t="s">
        <v>25</v>
      </c>
      <c r="F6412" s="52" t="s">
        <v>26</v>
      </c>
      <c r="G6412" s="53"/>
    </row>
    <row r="6413">
      <c r="A6413" s="49">
        <v>45088.47270273148</v>
      </c>
      <c r="B6413" s="50">
        <v>45088.5976809375</v>
      </c>
      <c r="C6413" s="51">
        <v>1.007</v>
      </c>
      <c r="D6413" s="51">
        <v>68.0</v>
      </c>
      <c r="E6413" s="52" t="s">
        <v>25</v>
      </c>
      <c r="F6413" s="52" t="s">
        <v>26</v>
      </c>
      <c r="G6413" s="53"/>
    </row>
    <row r="6414">
      <c r="A6414" s="49">
        <v>45088.48313168982</v>
      </c>
      <c r="B6414" s="50">
        <v>45088.6081134143</v>
      </c>
      <c r="C6414" s="51">
        <v>1.007</v>
      </c>
      <c r="D6414" s="51">
        <v>68.0</v>
      </c>
      <c r="E6414" s="52" t="s">
        <v>25</v>
      </c>
      <c r="F6414" s="52" t="s">
        <v>26</v>
      </c>
      <c r="G6414" s="53"/>
    </row>
    <row r="6415">
      <c r="A6415" s="49">
        <v>45088.49356025463</v>
      </c>
      <c r="B6415" s="50">
        <v>45088.6185339236</v>
      </c>
      <c r="C6415" s="51">
        <v>1.007</v>
      </c>
      <c r="D6415" s="51">
        <v>68.0</v>
      </c>
      <c r="E6415" s="52" t="s">
        <v>25</v>
      </c>
      <c r="F6415" s="52" t="s">
        <v>26</v>
      </c>
      <c r="G6415" s="53"/>
    </row>
    <row r="6416">
      <c r="A6416" s="49">
        <v>45088.5039766088</v>
      </c>
      <c r="B6416" s="50">
        <v>45088.6289547106</v>
      </c>
      <c r="C6416" s="51">
        <v>1.007</v>
      </c>
      <c r="D6416" s="51">
        <v>68.0</v>
      </c>
      <c r="E6416" s="52" t="s">
        <v>25</v>
      </c>
      <c r="F6416" s="52" t="s">
        <v>26</v>
      </c>
      <c r="G6416" s="53"/>
    </row>
    <row r="6417">
      <c r="A6417" s="49">
        <v>45088.514412627315</v>
      </c>
      <c r="B6417" s="50">
        <v>45088.6393876157</v>
      </c>
      <c r="C6417" s="51">
        <v>1.007</v>
      </c>
      <c r="D6417" s="51">
        <v>68.0</v>
      </c>
      <c r="E6417" s="52" t="s">
        <v>25</v>
      </c>
      <c r="F6417" s="52" t="s">
        <v>26</v>
      </c>
      <c r="G6417" s="53"/>
    </row>
    <row r="6418">
      <c r="A6418" s="49">
        <v>45088.52483137732</v>
      </c>
      <c r="B6418" s="50">
        <v>45088.6498092824</v>
      </c>
      <c r="C6418" s="51">
        <v>1.007</v>
      </c>
      <c r="D6418" s="51">
        <v>68.0</v>
      </c>
      <c r="E6418" s="52" t="s">
        <v>25</v>
      </c>
      <c r="F6418" s="52" t="s">
        <v>26</v>
      </c>
      <c r="G6418" s="53"/>
    </row>
    <row r="6419">
      <c r="A6419" s="49">
        <v>45088.53527620371</v>
      </c>
      <c r="B6419" s="50">
        <v>45088.6602519907</v>
      </c>
      <c r="C6419" s="51">
        <v>1.007</v>
      </c>
      <c r="D6419" s="51">
        <v>68.0</v>
      </c>
      <c r="E6419" s="52" t="s">
        <v>25</v>
      </c>
      <c r="F6419" s="52" t="s">
        <v>26</v>
      </c>
      <c r="G6419" s="53"/>
    </row>
    <row r="6420">
      <c r="A6420" s="49">
        <v>45088.54570462963</v>
      </c>
      <c r="B6420" s="50">
        <v>45088.6706830787</v>
      </c>
      <c r="C6420" s="51">
        <v>1.007</v>
      </c>
      <c r="D6420" s="51">
        <v>68.0</v>
      </c>
      <c r="E6420" s="52" t="s">
        <v>25</v>
      </c>
      <c r="F6420" s="52" t="s">
        <v>26</v>
      </c>
      <c r="G6420" s="53"/>
    </row>
    <row r="6421">
      <c r="A6421" s="49">
        <v>45088.556125682866</v>
      </c>
      <c r="B6421" s="50">
        <v>45088.6811048611</v>
      </c>
      <c r="C6421" s="51">
        <v>1.007</v>
      </c>
      <c r="D6421" s="51">
        <v>68.0</v>
      </c>
      <c r="E6421" s="52" t="s">
        <v>25</v>
      </c>
      <c r="F6421" s="52" t="s">
        <v>26</v>
      </c>
      <c r="G6421" s="53"/>
    </row>
    <row r="6422">
      <c r="A6422" s="49">
        <v>45088.56655293981</v>
      </c>
      <c r="B6422" s="50">
        <v>45088.6915373495</v>
      </c>
      <c r="C6422" s="51">
        <v>1.007</v>
      </c>
      <c r="D6422" s="51">
        <v>68.0</v>
      </c>
      <c r="E6422" s="52" t="s">
        <v>25</v>
      </c>
      <c r="F6422" s="52" t="s">
        <v>26</v>
      </c>
      <c r="G6422" s="53"/>
    </row>
    <row r="6423">
      <c r="A6423" s="49">
        <v>45088.576985266205</v>
      </c>
      <c r="B6423" s="50">
        <v>45088.7019581481</v>
      </c>
      <c r="C6423" s="51">
        <v>1.007</v>
      </c>
      <c r="D6423" s="51">
        <v>68.0</v>
      </c>
      <c r="E6423" s="52" t="s">
        <v>25</v>
      </c>
      <c r="F6423" s="52" t="s">
        <v>26</v>
      </c>
      <c r="G6423" s="53"/>
    </row>
    <row r="6424">
      <c r="A6424" s="49">
        <v>45088.58741501157</v>
      </c>
      <c r="B6424" s="50">
        <v>45088.7123910879</v>
      </c>
      <c r="C6424" s="51">
        <v>1.007</v>
      </c>
      <c r="D6424" s="51">
        <v>68.0</v>
      </c>
      <c r="E6424" s="52" t="s">
        <v>25</v>
      </c>
      <c r="F6424" s="52" t="s">
        <v>26</v>
      </c>
      <c r="G6424" s="53"/>
    </row>
    <row r="6425">
      <c r="A6425" s="49">
        <v>45088.59783613426</v>
      </c>
      <c r="B6425" s="50">
        <v>45088.7228127314</v>
      </c>
      <c r="C6425" s="51">
        <v>1.007</v>
      </c>
      <c r="D6425" s="51">
        <v>68.0</v>
      </c>
      <c r="E6425" s="52" t="s">
        <v>25</v>
      </c>
      <c r="F6425" s="52" t="s">
        <v>26</v>
      </c>
      <c r="G6425" s="53"/>
    </row>
    <row r="6426">
      <c r="A6426" s="49">
        <v>45088.608255300926</v>
      </c>
      <c r="B6426" s="50">
        <v>45088.7332319097</v>
      </c>
      <c r="C6426" s="51">
        <v>1.007</v>
      </c>
      <c r="D6426" s="51">
        <v>68.0</v>
      </c>
      <c r="E6426" s="52" t="s">
        <v>25</v>
      </c>
      <c r="F6426" s="52" t="s">
        <v>26</v>
      </c>
      <c r="G6426" s="53"/>
    </row>
    <row r="6427">
      <c r="A6427" s="49">
        <v>45088.6186902662</v>
      </c>
      <c r="B6427" s="50">
        <v>45088.7436648726</v>
      </c>
      <c r="C6427" s="51">
        <v>1.007</v>
      </c>
      <c r="D6427" s="51">
        <v>68.0</v>
      </c>
      <c r="E6427" s="52" t="s">
        <v>25</v>
      </c>
      <c r="F6427" s="52" t="s">
        <v>26</v>
      </c>
      <c r="G6427" s="53"/>
    </row>
    <row r="6428">
      <c r="A6428" s="49">
        <v>45088.629113125004</v>
      </c>
      <c r="B6428" s="50">
        <v>45088.7540881018</v>
      </c>
      <c r="C6428" s="51">
        <v>1.007</v>
      </c>
      <c r="D6428" s="51">
        <v>68.0</v>
      </c>
      <c r="E6428" s="52" t="s">
        <v>25</v>
      </c>
      <c r="F6428" s="52" t="s">
        <v>26</v>
      </c>
      <c r="G6428" s="53"/>
    </row>
    <row r="6429">
      <c r="A6429" s="49">
        <v>45088.639533877315</v>
      </c>
      <c r="B6429" s="50">
        <v>45088.7645114814</v>
      </c>
      <c r="C6429" s="51">
        <v>1.007</v>
      </c>
      <c r="D6429" s="51">
        <v>68.0</v>
      </c>
      <c r="E6429" s="52" t="s">
        <v>25</v>
      </c>
      <c r="F6429" s="52" t="s">
        <v>26</v>
      </c>
      <c r="G6429" s="53"/>
    </row>
    <row r="6430">
      <c r="A6430" s="49">
        <v>45088.64995578704</v>
      </c>
      <c r="B6430" s="50">
        <v>45088.7749311226</v>
      </c>
      <c r="C6430" s="51">
        <v>1.007</v>
      </c>
      <c r="D6430" s="51">
        <v>68.0</v>
      </c>
      <c r="E6430" s="52" t="s">
        <v>25</v>
      </c>
      <c r="F6430" s="52" t="s">
        <v>26</v>
      </c>
      <c r="G6430" s="53"/>
    </row>
    <row r="6431">
      <c r="A6431" s="49">
        <v>45088.660377673616</v>
      </c>
      <c r="B6431" s="50">
        <v>45088.785351493</v>
      </c>
      <c r="C6431" s="51">
        <v>1.007</v>
      </c>
      <c r="D6431" s="51">
        <v>68.0</v>
      </c>
      <c r="E6431" s="52" t="s">
        <v>25</v>
      </c>
      <c r="F6431" s="52" t="s">
        <v>26</v>
      </c>
      <c r="G6431" s="53"/>
    </row>
    <row r="6432">
      <c r="A6432" s="49">
        <v>45088.67080949074</v>
      </c>
      <c r="B6432" s="50">
        <v>45088.795785</v>
      </c>
      <c r="C6432" s="51">
        <v>1.007</v>
      </c>
      <c r="D6432" s="51">
        <v>68.0</v>
      </c>
      <c r="E6432" s="52" t="s">
        <v>25</v>
      </c>
      <c r="F6432" s="52" t="s">
        <v>26</v>
      </c>
      <c r="G6432" s="53"/>
    </row>
    <row r="6433">
      <c r="A6433" s="49">
        <v>45088.68122943287</v>
      </c>
      <c r="B6433" s="50">
        <v>45088.8062057638</v>
      </c>
      <c r="C6433" s="51">
        <v>1.007</v>
      </c>
      <c r="D6433" s="51">
        <v>68.0</v>
      </c>
      <c r="E6433" s="52" t="s">
        <v>25</v>
      </c>
      <c r="F6433" s="52" t="s">
        <v>26</v>
      </c>
      <c r="G6433" s="53"/>
    </row>
    <row r="6434">
      <c r="A6434" s="49">
        <v>45088.691645150466</v>
      </c>
      <c r="B6434" s="50">
        <v>45088.816628206</v>
      </c>
      <c r="C6434" s="51">
        <v>1.007</v>
      </c>
      <c r="D6434" s="51">
        <v>68.0</v>
      </c>
      <c r="E6434" s="52" t="s">
        <v>25</v>
      </c>
      <c r="F6434" s="52" t="s">
        <v>26</v>
      </c>
      <c r="G6434" s="53"/>
    </row>
    <row r="6435">
      <c r="A6435" s="49">
        <v>45088.70206460648</v>
      </c>
      <c r="B6435" s="50">
        <v>45088.8270483449</v>
      </c>
      <c r="C6435" s="51">
        <v>1.007</v>
      </c>
      <c r="D6435" s="51">
        <v>68.0</v>
      </c>
      <c r="E6435" s="52" t="s">
        <v>25</v>
      </c>
      <c r="F6435" s="52" t="s">
        <v>26</v>
      </c>
      <c r="G6435" s="53"/>
    </row>
    <row r="6436">
      <c r="A6436" s="49">
        <v>45088.71251586806</v>
      </c>
      <c r="B6436" s="50">
        <v>45088.8374812037</v>
      </c>
      <c r="C6436" s="51">
        <v>1.007</v>
      </c>
      <c r="D6436" s="51">
        <v>68.0</v>
      </c>
      <c r="E6436" s="52" t="s">
        <v>25</v>
      </c>
      <c r="F6436" s="52" t="s">
        <v>26</v>
      </c>
      <c r="G6436" s="53"/>
    </row>
    <row r="6437">
      <c r="A6437" s="49">
        <v>45088.72294021991</v>
      </c>
      <c r="B6437" s="50">
        <v>45088.8479128819</v>
      </c>
      <c r="C6437" s="51">
        <v>1.007</v>
      </c>
      <c r="D6437" s="51">
        <v>68.0</v>
      </c>
      <c r="E6437" s="52" t="s">
        <v>25</v>
      </c>
      <c r="F6437" s="52" t="s">
        <v>26</v>
      </c>
      <c r="G6437" s="53"/>
    </row>
    <row r="6438">
      <c r="A6438" s="49">
        <v>45088.73335353009</v>
      </c>
      <c r="B6438" s="50">
        <v>45088.8583322685</v>
      </c>
      <c r="C6438" s="51">
        <v>1.007</v>
      </c>
      <c r="D6438" s="51">
        <v>68.0</v>
      </c>
      <c r="E6438" s="52" t="s">
        <v>25</v>
      </c>
      <c r="F6438" s="52" t="s">
        <v>26</v>
      </c>
      <c r="G6438" s="53"/>
    </row>
    <row r="6439">
      <c r="A6439" s="49">
        <v>45088.74378599537</v>
      </c>
      <c r="B6439" s="50">
        <v>45088.8687632986</v>
      </c>
      <c r="C6439" s="51">
        <v>1.007</v>
      </c>
      <c r="D6439" s="51">
        <v>68.0</v>
      </c>
      <c r="E6439" s="52" t="s">
        <v>25</v>
      </c>
      <c r="F6439" s="52" t="s">
        <v>26</v>
      </c>
      <c r="G6439" s="53"/>
    </row>
    <row r="6440">
      <c r="A6440" s="49">
        <v>45088.7542133449</v>
      </c>
      <c r="B6440" s="50">
        <v>45088.8791866319</v>
      </c>
      <c r="C6440" s="51">
        <v>1.007</v>
      </c>
      <c r="D6440" s="51">
        <v>68.0</v>
      </c>
      <c r="E6440" s="52" t="s">
        <v>25</v>
      </c>
      <c r="F6440" s="52" t="s">
        <v>26</v>
      </c>
      <c r="G6440" s="53"/>
    </row>
    <row r="6441">
      <c r="A6441" s="49">
        <v>45088.76462777778</v>
      </c>
      <c r="B6441" s="50">
        <v>45088.889607199</v>
      </c>
      <c r="C6441" s="51">
        <v>1.007</v>
      </c>
      <c r="D6441" s="51">
        <v>68.0</v>
      </c>
      <c r="E6441" s="52" t="s">
        <v>25</v>
      </c>
      <c r="F6441" s="52" t="s">
        <v>26</v>
      </c>
      <c r="G6441" s="53"/>
    </row>
    <row r="6442">
      <c r="A6442" s="49">
        <v>45088.77504791667</v>
      </c>
      <c r="B6442" s="50">
        <v>45088.9000274305</v>
      </c>
      <c r="C6442" s="51">
        <v>1.007</v>
      </c>
      <c r="D6442" s="51">
        <v>68.0</v>
      </c>
      <c r="E6442" s="52" t="s">
        <v>25</v>
      </c>
      <c r="F6442" s="52" t="s">
        <v>26</v>
      </c>
      <c r="G6442" s="53"/>
    </row>
    <row r="6443">
      <c r="A6443" s="49">
        <v>45088.785472662035</v>
      </c>
      <c r="B6443" s="50">
        <v>45088.9104485069</v>
      </c>
      <c r="C6443" s="51">
        <v>1.007</v>
      </c>
      <c r="D6443" s="51">
        <v>68.0</v>
      </c>
      <c r="E6443" s="52" t="s">
        <v>25</v>
      </c>
      <c r="F6443" s="52" t="s">
        <v>26</v>
      </c>
      <c r="G6443" s="53"/>
    </row>
    <row r="6444">
      <c r="A6444" s="49">
        <v>45088.79589003472</v>
      </c>
      <c r="B6444" s="50">
        <v>45088.9208683217</v>
      </c>
      <c r="C6444" s="51">
        <v>1.007</v>
      </c>
      <c r="D6444" s="51">
        <v>68.0</v>
      </c>
      <c r="E6444" s="52" t="s">
        <v>25</v>
      </c>
      <c r="F6444" s="52" t="s">
        <v>26</v>
      </c>
      <c r="G6444" s="53"/>
    </row>
    <row r="6445">
      <c r="A6445" s="49">
        <v>45088.80631685186</v>
      </c>
      <c r="B6445" s="50">
        <v>45088.9312901736</v>
      </c>
      <c r="C6445" s="51">
        <v>1.007</v>
      </c>
      <c r="D6445" s="51">
        <v>68.0</v>
      </c>
      <c r="E6445" s="52" t="s">
        <v>25</v>
      </c>
      <c r="F6445" s="52" t="s">
        <v>26</v>
      </c>
      <c r="G6445" s="53"/>
    </row>
    <row r="6446">
      <c r="A6446" s="49">
        <v>45088.81673844907</v>
      </c>
      <c r="B6446" s="50">
        <v>45088.9417097801</v>
      </c>
      <c r="C6446" s="51">
        <v>1.007</v>
      </c>
      <c r="D6446" s="51">
        <v>68.0</v>
      </c>
      <c r="E6446" s="52" t="s">
        <v>25</v>
      </c>
      <c r="F6446" s="52" t="s">
        <v>26</v>
      </c>
      <c r="G6446" s="53"/>
    </row>
    <row r="6447">
      <c r="A6447" s="49">
        <v>45088.82716326389</v>
      </c>
      <c r="B6447" s="50">
        <v>45088.9521425578</v>
      </c>
      <c r="C6447" s="51">
        <v>1.007</v>
      </c>
      <c r="D6447" s="51">
        <v>68.0</v>
      </c>
      <c r="E6447" s="52" t="s">
        <v>25</v>
      </c>
      <c r="F6447" s="52" t="s">
        <v>26</v>
      </c>
      <c r="G6447" s="53"/>
    </row>
    <row r="6448">
      <c r="A6448" s="49">
        <v>45088.84801084491</v>
      </c>
      <c r="B6448" s="50">
        <v>45088.9729849305</v>
      </c>
      <c r="C6448" s="51">
        <v>1.007</v>
      </c>
      <c r="D6448" s="51">
        <v>68.0</v>
      </c>
      <c r="E6448" s="52" t="s">
        <v>25</v>
      </c>
      <c r="F6448" s="52" t="s">
        <v>26</v>
      </c>
      <c r="G6448" s="53"/>
    </row>
    <row r="6449">
      <c r="A6449" s="49">
        <v>45088.858426481485</v>
      </c>
      <c r="B6449" s="50">
        <v>45088.9834060185</v>
      </c>
      <c r="C6449" s="51">
        <v>1.007</v>
      </c>
      <c r="D6449" s="51">
        <v>68.0</v>
      </c>
      <c r="E6449" s="52" t="s">
        <v>25</v>
      </c>
      <c r="F6449" s="52" t="s">
        <v>26</v>
      </c>
      <c r="G6449" s="53"/>
    </row>
    <row r="6450">
      <c r="A6450" s="49">
        <v>45088.86885827546</v>
      </c>
      <c r="B6450" s="50">
        <v>45088.9938277083</v>
      </c>
      <c r="C6450" s="51">
        <v>1.007</v>
      </c>
      <c r="D6450" s="51">
        <v>68.0</v>
      </c>
      <c r="E6450" s="52" t="s">
        <v>25</v>
      </c>
      <c r="F6450" s="52" t="s">
        <v>26</v>
      </c>
      <c r="G6450" s="53"/>
    </row>
    <row r="6451">
      <c r="A6451" s="49">
        <v>45088.87928650463</v>
      </c>
      <c r="B6451" s="50">
        <v>45089.0042486458</v>
      </c>
      <c r="C6451" s="51">
        <v>1.007</v>
      </c>
      <c r="D6451" s="51">
        <v>68.0</v>
      </c>
      <c r="E6451" s="52" t="s">
        <v>25</v>
      </c>
      <c r="F6451" s="52" t="s">
        <v>26</v>
      </c>
      <c r="G6451" s="53"/>
    </row>
    <row r="6452">
      <c r="A6452" s="49">
        <v>45088.88970680555</v>
      </c>
      <c r="B6452" s="50">
        <v>45089.0146703703</v>
      </c>
      <c r="C6452" s="51">
        <v>1.007</v>
      </c>
      <c r="D6452" s="51">
        <v>68.0</v>
      </c>
      <c r="E6452" s="52" t="s">
        <v>25</v>
      </c>
      <c r="F6452" s="52" t="s">
        <v>26</v>
      </c>
      <c r="G6452" s="53"/>
    </row>
    <row r="6453">
      <c r="A6453" s="49">
        <v>45088.90012494213</v>
      </c>
      <c r="B6453" s="50">
        <v>45089.0250909606</v>
      </c>
      <c r="C6453" s="51">
        <v>1.007</v>
      </c>
      <c r="D6453" s="51">
        <v>68.0</v>
      </c>
      <c r="E6453" s="52" t="s">
        <v>25</v>
      </c>
      <c r="F6453" s="52" t="s">
        <v>26</v>
      </c>
      <c r="G6453" s="53"/>
    </row>
    <row r="6454">
      <c r="A6454" s="49">
        <v>45088.91054622685</v>
      </c>
      <c r="B6454" s="50">
        <v>45089.035513993</v>
      </c>
      <c r="C6454" s="51">
        <v>1.007</v>
      </c>
      <c r="D6454" s="51">
        <v>68.0</v>
      </c>
      <c r="E6454" s="52" t="s">
        <v>25</v>
      </c>
      <c r="F6454" s="52" t="s">
        <v>26</v>
      </c>
      <c r="G6454" s="53"/>
    </row>
    <row r="6455">
      <c r="A6455" s="49">
        <v>45088.92095856481</v>
      </c>
      <c r="B6455" s="50">
        <v>45089.0459360995</v>
      </c>
      <c r="C6455" s="51">
        <v>1.007</v>
      </c>
      <c r="D6455" s="51">
        <v>68.0</v>
      </c>
      <c r="E6455" s="52" t="s">
        <v>25</v>
      </c>
      <c r="F6455" s="52" t="s">
        <v>26</v>
      </c>
      <c r="G6455" s="53"/>
    </row>
    <row r="6456">
      <c r="A6456" s="49">
        <v>45088.93144944444</v>
      </c>
      <c r="B6456" s="50">
        <v>45089.0563555324</v>
      </c>
      <c r="C6456" s="51">
        <v>1.007</v>
      </c>
      <c r="D6456" s="51">
        <v>68.0</v>
      </c>
      <c r="E6456" s="52" t="s">
        <v>25</v>
      </c>
      <c r="F6456" s="52" t="s">
        <v>26</v>
      </c>
      <c r="G6456" s="53"/>
    </row>
    <row r="6457">
      <c r="A6457" s="49">
        <v>45088.94183715278</v>
      </c>
      <c r="B6457" s="50">
        <v>45089.0668013426</v>
      </c>
      <c r="C6457" s="51">
        <v>1.007</v>
      </c>
      <c r="D6457" s="51">
        <v>68.0</v>
      </c>
      <c r="E6457" s="52" t="s">
        <v>25</v>
      </c>
      <c r="F6457" s="52" t="s">
        <v>26</v>
      </c>
      <c r="G6457" s="53"/>
    </row>
    <row r="6458">
      <c r="A6458" s="49">
        <v>45088.95225515046</v>
      </c>
      <c r="B6458" s="50">
        <v>45089.0772210995</v>
      </c>
      <c r="C6458" s="51">
        <v>1.007</v>
      </c>
      <c r="D6458" s="51">
        <v>68.0</v>
      </c>
      <c r="E6458" s="52" t="s">
        <v>25</v>
      </c>
      <c r="F6458" s="52" t="s">
        <v>26</v>
      </c>
      <c r="G6458" s="53"/>
    </row>
    <row r="6459">
      <c r="A6459" s="49">
        <v>45088.96267429398</v>
      </c>
      <c r="B6459" s="50">
        <v>45089.0876406134</v>
      </c>
      <c r="C6459" s="51">
        <v>1.007</v>
      </c>
      <c r="D6459" s="51">
        <v>68.0</v>
      </c>
      <c r="E6459" s="52" t="s">
        <v>25</v>
      </c>
      <c r="F6459" s="52" t="s">
        <v>26</v>
      </c>
      <c r="G6459" s="53"/>
    </row>
    <row r="6460">
      <c r="A6460" s="49">
        <v>45088.97308694445</v>
      </c>
      <c r="B6460" s="50">
        <v>45089.0980634143</v>
      </c>
      <c r="C6460" s="51">
        <v>1.007</v>
      </c>
      <c r="D6460" s="51">
        <v>68.0</v>
      </c>
      <c r="E6460" s="52" t="s">
        <v>25</v>
      </c>
      <c r="F6460" s="52" t="s">
        <v>26</v>
      </c>
      <c r="G6460" s="53"/>
    </row>
    <row r="6461">
      <c r="A6461" s="49">
        <v>45088.98354804398</v>
      </c>
      <c r="B6461" s="50">
        <v>45089.1085182638</v>
      </c>
      <c r="C6461" s="51">
        <v>1.007</v>
      </c>
      <c r="D6461" s="51">
        <v>68.0</v>
      </c>
      <c r="E6461" s="52" t="s">
        <v>25</v>
      </c>
      <c r="F6461" s="52" t="s">
        <v>26</v>
      </c>
      <c r="G6461" s="53"/>
    </row>
    <row r="6462">
      <c r="A6462" s="49">
        <v>45088.99397480324</v>
      </c>
      <c r="B6462" s="50">
        <v>45089.1189505092</v>
      </c>
      <c r="C6462" s="51">
        <v>1.007</v>
      </c>
      <c r="D6462" s="51">
        <v>68.0</v>
      </c>
      <c r="E6462" s="52" t="s">
        <v>25</v>
      </c>
      <c r="F6462" s="52" t="s">
        <v>26</v>
      </c>
      <c r="G6462" s="53"/>
    </row>
    <row r="6463">
      <c r="A6463" s="49">
        <v>45089.00439192129</v>
      </c>
      <c r="B6463" s="50">
        <v>45089.1293730208</v>
      </c>
      <c r="C6463" s="51">
        <v>1.007</v>
      </c>
      <c r="D6463" s="51">
        <v>68.0</v>
      </c>
      <c r="E6463" s="52" t="s">
        <v>25</v>
      </c>
      <c r="F6463" s="52" t="s">
        <v>26</v>
      </c>
      <c r="G6463" s="53"/>
    </row>
    <row r="6464">
      <c r="A6464" s="49">
        <v>45089.01481581018</v>
      </c>
      <c r="B6464" s="50">
        <v>45089.1397963425</v>
      </c>
      <c r="C6464" s="51">
        <v>1.007</v>
      </c>
      <c r="D6464" s="51">
        <v>68.0</v>
      </c>
      <c r="E6464" s="52" t="s">
        <v>25</v>
      </c>
      <c r="F6464" s="52" t="s">
        <v>26</v>
      </c>
      <c r="G6464" s="53"/>
    </row>
    <row r="6465">
      <c r="A6465" s="49">
        <v>45089.025237905094</v>
      </c>
      <c r="B6465" s="50">
        <v>45089.1502169097</v>
      </c>
      <c r="C6465" s="51">
        <v>1.007</v>
      </c>
      <c r="D6465" s="51">
        <v>68.0</v>
      </c>
      <c r="E6465" s="52" t="s">
        <v>25</v>
      </c>
      <c r="F6465" s="52" t="s">
        <v>26</v>
      </c>
      <c r="G6465" s="53"/>
    </row>
    <row r="6466">
      <c r="A6466" s="49">
        <v>45089.03566673611</v>
      </c>
      <c r="B6466" s="50">
        <v>45089.1606370139</v>
      </c>
      <c r="C6466" s="51">
        <v>1.007</v>
      </c>
      <c r="D6466" s="51">
        <v>68.0</v>
      </c>
      <c r="E6466" s="52" t="s">
        <v>25</v>
      </c>
      <c r="F6466" s="52" t="s">
        <v>26</v>
      </c>
      <c r="G6466" s="53"/>
    </row>
    <row r="6467">
      <c r="A6467" s="49">
        <v>45089.04608377315</v>
      </c>
      <c r="B6467" s="50">
        <v>45089.1710581134</v>
      </c>
      <c r="C6467" s="51">
        <v>1.007</v>
      </c>
      <c r="D6467" s="51">
        <v>68.0</v>
      </c>
      <c r="E6467" s="52" t="s">
        <v>25</v>
      </c>
      <c r="F6467" s="52" t="s">
        <v>26</v>
      </c>
      <c r="G6467" s="53"/>
    </row>
    <row r="6468">
      <c r="A6468" s="49">
        <v>45089.05650456018</v>
      </c>
      <c r="B6468" s="50">
        <v>45089.1814784143</v>
      </c>
      <c r="C6468" s="51">
        <v>1.007</v>
      </c>
      <c r="D6468" s="51">
        <v>68.0</v>
      </c>
      <c r="E6468" s="52" t="s">
        <v>25</v>
      </c>
      <c r="F6468" s="52" t="s">
        <v>26</v>
      </c>
      <c r="G6468" s="53"/>
    </row>
    <row r="6469">
      <c r="A6469" s="49">
        <v>45089.066918854165</v>
      </c>
      <c r="B6469" s="50">
        <v>45089.1918988078</v>
      </c>
      <c r="C6469" s="51">
        <v>1.007</v>
      </c>
      <c r="D6469" s="51">
        <v>68.0</v>
      </c>
      <c r="E6469" s="52" t="s">
        <v>25</v>
      </c>
      <c r="F6469" s="52" t="s">
        <v>26</v>
      </c>
      <c r="G6469" s="53"/>
    </row>
    <row r="6470">
      <c r="A6470" s="49">
        <v>45089.07734592592</v>
      </c>
      <c r="B6470" s="50">
        <v>45089.2023172685</v>
      </c>
      <c r="C6470" s="51">
        <v>1.007</v>
      </c>
      <c r="D6470" s="51">
        <v>68.0</v>
      </c>
      <c r="E6470" s="52" t="s">
        <v>25</v>
      </c>
      <c r="F6470" s="52" t="s">
        <v>26</v>
      </c>
      <c r="G6470" s="53"/>
    </row>
    <row r="6471">
      <c r="A6471" s="49">
        <v>45089.087764027776</v>
      </c>
      <c r="B6471" s="50">
        <v>45089.2127395833</v>
      </c>
      <c r="C6471" s="51">
        <v>1.007</v>
      </c>
      <c r="D6471" s="51">
        <v>68.0</v>
      </c>
      <c r="E6471" s="52" t="s">
        <v>25</v>
      </c>
      <c r="F6471" s="52" t="s">
        <v>26</v>
      </c>
      <c r="G6471" s="53"/>
    </row>
    <row r="6472">
      <c r="A6472" s="49">
        <v>45089.0981945949</v>
      </c>
      <c r="B6472" s="50">
        <v>45089.2231630324</v>
      </c>
      <c r="C6472" s="51">
        <v>1.007</v>
      </c>
      <c r="D6472" s="51">
        <v>68.0</v>
      </c>
      <c r="E6472" s="52" t="s">
        <v>25</v>
      </c>
      <c r="F6472" s="52" t="s">
        <v>26</v>
      </c>
      <c r="G6472" s="53"/>
    </row>
    <row r="6473">
      <c r="A6473" s="49">
        <v>45089.10861513889</v>
      </c>
      <c r="B6473" s="50">
        <v>45089.2335822685</v>
      </c>
      <c r="C6473" s="51">
        <v>1.007</v>
      </c>
      <c r="D6473" s="51">
        <v>68.0</v>
      </c>
      <c r="E6473" s="52" t="s">
        <v>25</v>
      </c>
      <c r="F6473" s="52" t="s">
        <v>26</v>
      </c>
      <c r="G6473" s="53"/>
    </row>
    <row r="6474">
      <c r="A6474" s="49">
        <v>45089.119073090274</v>
      </c>
      <c r="B6474" s="50">
        <v>45089.2440489699</v>
      </c>
      <c r="C6474" s="51">
        <v>1.007</v>
      </c>
      <c r="D6474" s="51">
        <v>68.0</v>
      </c>
      <c r="E6474" s="52" t="s">
        <v>25</v>
      </c>
      <c r="F6474" s="52" t="s">
        <v>26</v>
      </c>
      <c r="G6474" s="53"/>
    </row>
    <row r="6475">
      <c r="A6475" s="49">
        <v>45089.12949989583</v>
      </c>
      <c r="B6475" s="50">
        <v>45089.254468368</v>
      </c>
      <c r="C6475" s="51">
        <v>1.006</v>
      </c>
      <c r="D6475" s="51">
        <v>68.0</v>
      </c>
      <c r="E6475" s="52" t="s">
        <v>25</v>
      </c>
      <c r="F6475" s="52" t="s">
        <v>26</v>
      </c>
      <c r="G6475" s="53"/>
    </row>
    <row r="6476">
      <c r="A6476" s="49">
        <v>45089.139935659725</v>
      </c>
      <c r="B6476" s="50">
        <v>45089.2649138194</v>
      </c>
      <c r="C6476" s="51">
        <v>1.007</v>
      </c>
      <c r="D6476" s="51">
        <v>68.0</v>
      </c>
      <c r="E6476" s="52" t="s">
        <v>25</v>
      </c>
      <c r="F6476" s="52" t="s">
        <v>26</v>
      </c>
      <c r="G6476" s="53"/>
    </row>
    <row r="6477">
      <c r="A6477" s="49">
        <v>45089.15036449074</v>
      </c>
      <c r="B6477" s="50">
        <v>45089.2753349537</v>
      </c>
      <c r="C6477" s="51">
        <v>1.007</v>
      </c>
      <c r="D6477" s="51">
        <v>68.0</v>
      </c>
      <c r="E6477" s="52" t="s">
        <v>25</v>
      </c>
      <c r="F6477" s="52" t="s">
        <v>26</v>
      </c>
      <c r="G6477" s="53"/>
    </row>
    <row r="6478">
      <c r="A6478" s="49">
        <v>45089.16077872685</v>
      </c>
      <c r="B6478" s="50">
        <v>45089.2857553935</v>
      </c>
      <c r="C6478" s="51">
        <v>1.007</v>
      </c>
      <c r="D6478" s="51">
        <v>68.0</v>
      </c>
      <c r="E6478" s="52" t="s">
        <v>25</v>
      </c>
      <c r="F6478" s="52" t="s">
        <v>26</v>
      </c>
      <c r="G6478" s="53"/>
    </row>
    <row r="6479">
      <c r="A6479" s="49">
        <v>45089.17120357639</v>
      </c>
      <c r="B6479" s="50">
        <v>45089.2961767824</v>
      </c>
      <c r="C6479" s="51">
        <v>1.007</v>
      </c>
      <c r="D6479" s="51">
        <v>68.0</v>
      </c>
      <c r="E6479" s="52" t="s">
        <v>25</v>
      </c>
      <c r="F6479" s="52" t="s">
        <v>26</v>
      </c>
      <c r="G6479" s="53"/>
    </row>
    <row r="6480">
      <c r="A6480" s="49">
        <v>45089.18163005787</v>
      </c>
      <c r="B6480" s="50">
        <v>45089.3066084606</v>
      </c>
      <c r="C6480" s="51">
        <v>1.007</v>
      </c>
      <c r="D6480" s="51">
        <v>68.0</v>
      </c>
      <c r="E6480" s="52" t="s">
        <v>25</v>
      </c>
      <c r="F6480" s="52" t="s">
        <v>26</v>
      </c>
      <c r="G6480" s="53"/>
    </row>
    <row r="6481">
      <c r="A6481" s="49">
        <v>45089.19207283565</v>
      </c>
      <c r="B6481" s="50">
        <v>45089.3170415509</v>
      </c>
      <c r="C6481" s="51">
        <v>1.006</v>
      </c>
      <c r="D6481" s="51">
        <v>68.0</v>
      </c>
      <c r="E6481" s="52" t="s">
        <v>25</v>
      </c>
      <c r="F6481" s="52" t="s">
        <v>26</v>
      </c>
      <c r="G6481" s="53"/>
    </row>
    <row r="6482">
      <c r="A6482" s="49">
        <v>45089.20248662037</v>
      </c>
      <c r="B6482" s="50">
        <v>45089.3274638541</v>
      </c>
      <c r="C6482" s="51">
        <v>1.007</v>
      </c>
      <c r="D6482" s="51">
        <v>68.0</v>
      </c>
      <c r="E6482" s="52" t="s">
        <v>25</v>
      </c>
      <c r="F6482" s="52" t="s">
        <v>26</v>
      </c>
      <c r="G6482" s="53"/>
    </row>
    <row r="6483">
      <c r="A6483" s="49">
        <v>45089.21291552084</v>
      </c>
      <c r="B6483" s="50">
        <v>45089.3378856713</v>
      </c>
      <c r="C6483" s="51">
        <v>1.007</v>
      </c>
      <c r="D6483" s="51">
        <v>68.0</v>
      </c>
      <c r="E6483" s="52" t="s">
        <v>25</v>
      </c>
      <c r="F6483" s="52" t="s">
        <v>26</v>
      </c>
      <c r="G6483" s="53"/>
    </row>
    <row r="6484">
      <c r="A6484" s="49">
        <v>45089.223333437505</v>
      </c>
      <c r="B6484" s="50">
        <v>45089.3483073842</v>
      </c>
      <c r="C6484" s="51">
        <v>1.007</v>
      </c>
      <c r="D6484" s="51">
        <v>68.0</v>
      </c>
      <c r="E6484" s="52" t="s">
        <v>25</v>
      </c>
      <c r="F6484" s="52" t="s">
        <v>26</v>
      </c>
      <c r="G6484" s="53"/>
    </row>
    <row r="6485">
      <c r="A6485" s="49">
        <v>45089.23375989583</v>
      </c>
      <c r="B6485" s="50">
        <v>45089.3587404398</v>
      </c>
      <c r="C6485" s="51">
        <v>1.007</v>
      </c>
      <c r="D6485" s="51">
        <v>68.0</v>
      </c>
      <c r="E6485" s="52" t="s">
        <v>25</v>
      </c>
      <c r="F6485" s="52" t="s">
        <v>26</v>
      </c>
      <c r="G6485" s="53"/>
    </row>
    <row r="6486">
      <c r="A6486" s="49">
        <v>45089.24418325232</v>
      </c>
      <c r="B6486" s="50">
        <v>45089.3691597338</v>
      </c>
      <c r="C6486" s="51">
        <v>1.006</v>
      </c>
      <c r="D6486" s="51">
        <v>68.0</v>
      </c>
      <c r="E6486" s="52" t="s">
        <v>25</v>
      </c>
      <c r="F6486" s="52" t="s">
        <v>26</v>
      </c>
      <c r="G6486" s="53"/>
    </row>
    <row r="6487">
      <c r="A6487" s="49">
        <v>45089.2546237037</v>
      </c>
      <c r="B6487" s="50">
        <v>45089.3795818634</v>
      </c>
      <c r="C6487" s="51">
        <v>1.007</v>
      </c>
      <c r="D6487" s="51">
        <v>68.0</v>
      </c>
      <c r="E6487" s="52" t="s">
        <v>25</v>
      </c>
      <c r="F6487" s="52" t="s">
        <v>26</v>
      </c>
      <c r="G6487" s="53"/>
    </row>
    <row r="6488">
      <c r="A6488" s="49">
        <v>45089.26502585648</v>
      </c>
      <c r="B6488" s="50">
        <v>45089.3900050578</v>
      </c>
      <c r="C6488" s="51">
        <v>1.007</v>
      </c>
      <c r="D6488" s="51">
        <v>68.0</v>
      </c>
      <c r="E6488" s="52" t="s">
        <v>25</v>
      </c>
      <c r="F6488" s="52" t="s">
        <v>26</v>
      </c>
      <c r="G6488" s="53"/>
    </row>
    <row r="6489">
      <c r="A6489" s="49">
        <v>45089.275461412035</v>
      </c>
      <c r="B6489" s="50">
        <v>45089.4004252083</v>
      </c>
      <c r="C6489" s="51">
        <v>1.007</v>
      </c>
      <c r="D6489" s="51">
        <v>68.0</v>
      </c>
      <c r="E6489" s="52" t="s">
        <v>25</v>
      </c>
      <c r="F6489" s="52" t="s">
        <v>26</v>
      </c>
      <c r="G6489" s="53"/>
    </row>
    <row r="6490">
      <c r="A6490" s="49">
        <v>45089.28587482639</v>
      </c>
      <c r="B6490" s="50">
        <v>45089.4108453819</v>
      </c>
      <c r="C6490" s="51">
        <v>1.006</v>
      </c>
      <c r="D6490" s="51">
        <v>68.0</v>
      </c>
      <c r="E6490" s="52" t="s">
        <v>25</v>
      </c>
      <c r="F6490" s="52" t="s">
        <v>26</v>
      </c>
      <c r="G6490" s="53"/>
    </row>
    <row r="6491">
      <c r="A6491" s="49">
        <v>45089.29629091435</v>
      </c>
      <c r="B6491" s="50">
        <v>45089.421265081</v>
      </c>
      <c r="C6491" s="51">
        <v>1.007</v>
      </c>
      <c r="D6491" s="51">
        <v>68.0</v>
      </c>
      <c r="E6491" s="52" t="s">
        <v>25</v>
      </c>
      <c r="F6491" s="52" t="s">
        <v>26</v>
      </c>
      <c r="G6491" s="53"/>
    </row>
    <row r="6492">
      <c r="A6492" s="49">
        <v>45089.30670659722</v>
      </c>
      <c r="B6492" s="50">
        <v>45089.4316859606</v>
      </c>
      <c r="C6492" s="51">
        <v>1.007</v>
      </c>
      <c r="D6492" s="51">
        <v>68.0</v>
      </c>
      <c r="E6492" s="52" t="s">
        <v>25</v>
      </c>
      <c r="F6492" s="52" t="s">
        <v>26</v>
      </c>
      <c r="G6492" s="53"/>
    </row>
    <row r="6493">
      <c r="A6493" s="49">
        <v>45089.31713947917</v>
      </c>
      <c r="B6493" s="50">
        <v>45089.4421069675</v>
      </c>
      <c r="C6493" s="51">
        <v>1.006</v>
      </c>
      <c r="D6493" s="51">
        <v>68.0</v>
      </c>
      <c r="E6493" s="52" t="s">
        <v>25</v>
      </c>
      <c r="F6493" s="52" t="s">
        <v>26</v>
      </c>
      <c r="G6493" s="53"/>
    </row>
    <row r="6494">
      <c r="A6494" s="49">
        <v>45089.327565995365</v>
      </c>
      <c r="B6494" s="50">
        <v>45089.4525383217</v>
      </c>
      <c r="C6494" s="51">
        <v>1.007</v>
      </c>
      <c r="D6494" s="51">
        <v>68.0</v>
      </c>
      <c r="E6494" s="52" t="s">
        <v>25</v>
      </c>
      <c r="F6494" s="52" t="s">
        <v>26</v>
      </c>
      <c r="G6494" s="53"/>
    </row>
    <row r="6495">
      <c r="A6495" s="49">
        <v>45089.33797663194</v>
      </c>
      <c r="B6495" s="50">
        <v>45089.4629609953</v>
      </c>
      <c r="C6495" s="51">
        <v>1.006</v>
      </c>
      <c r="D6495" s="51">
        <v>68.0</v>
      </c>
      <c r="E6495" s="52" t="s">
        <v>25</v>
      </c>
      <c r="F6495" s="52" t="s">
        <v>26</v>
      </c>
      <c r="G6495" s="53"/>
    </row>
    <row r="6496">
      <c r="A6496" s="49">
        <v>45089.3484060301</v>
      </c>
      <c r="B6496" s="50">
        <v>45089.4733817708</v>
      </c>
      <c r="C6496" s="51">
        <v>1.006</v>
      </c>
      <c r="D6496" s="51">
        <v>68.0</v>
      </c>
      <c r="E6496" s="52" t="s">
        <v>25</v>
      </c>
      <c r="F6496" s="52" t="s">
        <v>26</v>
      </c>
      <c r="G6496" s="53"/>
    </row>
    <row r="6497">
      <c r="A6497" s="49">
        <v>45089.35884559028</v>
      </c>
      <c r="B6497" s="50">
        <v>45089.4838251967</v>
      </c>
      <c r="C6497" s="51">
        <v>1.007</v>
      </c>
      <c r="D6497" s="51">
        <v>68.0</v>
      </c>
      <c r="E6497" s="52" t="s">
        <v>25</v>
      </c>
      <c r="F6497" s="52" t="s">
        <v>26</v>
      </c>
      <c r="G6497" s="53"/>
    </row>
    <row r="6498">
      <c r="A6498" s="49">
        <v>45089.36928363426</v>
      </c>
      <c r="B6498" s="50">
        <v>45089.4942593981</v>
      </c>
      <c r="C6498" s="51">
        <v>1.007</v>
      </c>
      <c r="D6498" s="51">
        <v>68.0</v>
      </c>
      <c r="E6498" s="52" t="s">
        <v>25</v>
      </c>
      <c r="F6498" s="52" t="s">
        <v>26</v>
      </c>
      <c r="G6498" s="53"/>
    </row>
    <row r="6499">
      <c r="A6499" s="49">
        <v>45089.379699826386</v>
      </c>
      <c r="B6499" s="50">
        <v>45089.5046807523</v>
      </c>
      <c r="C6499" s="51">
        <v>1.007</v>
      </c>
      <c r="D6499" s="51">
        <v>68.0</v>
      </c>
      <c r="E6499" s="52" t="s">
        <v>25</v>
      </c>
      <c r="F6499" s="52" t="s">
        <v>26</v>
      </c>
      <c r="G6499" s="53"/>
    </row>
    <row r="6500">
      <c r="A6500" s="49">
        <v>45089.39012798612</v>
      </c>
      <c r="B6500" s="50">
        <v>45089.5151019791</v>
      </c>
      <c r="C6500" s="51">
        <v>1.006</v>
      </c>
      <c r="D6500" s="51">
        <v>68.0</v>
      </c>
      <c r="E6500" s="52" t="s">
        <v>25</v>
      </c>
      <c r="F6500" s="52" t="s">
        <v>26</v>
      </c>
      <c r="G6500" s="53"/>
    </row>
    <row r="6501">
      <c r="A6501" s="49">
        <v>45089.4005525463</v>
      </c>
      <c r="B6501" s="50">
        <v>45089.5255231944</v>
      </c>
      <c r="C6501" s="51">
        <v>1.006</v>
      </c>
      <c r="D6501" s="51">
        <v>68.0</v>
      </c>
      <c r="E6501" s="52" t="s">
        <v>25</v>
      </c>
      <c r="F6501" s="52" t="s">
        <v>26</v>
      </c>
      <c r="G6501" s="53"/>
    </row>
    <row r="6502">
      <c r="A6502" s="49">
        <v>45089.410968020835</v>
      </c>
      <c r="B6502" s="50">
        <v>45089.5359429976</v>
      </c>
      <c r="C6502" s="51">
        <v>1.006</v>
      </c>
      <c r="D6502" s="51">
        <v>68.0</v>
      </c>
      <c r="E6502" s="52" t="s">
        <v>25</v>
      </c>
      <c r="F6502" s="52" t="s">
        <v>26</v>
      </c>
      <c r="G6502" s="53"/>
    </row>
    <row r="6503">
      <c r="A6503" s="49">
        <v>45089.42139942129</v>
      </c>
      <c r="B6503" s="50">
        <v>45089.5463767708</v>
      </c>
      <c r="C6503" s="51">
        <v>1.007</v>
      </c>
      <c r="D6503" s="51">
        <v>68.0</v>
      </c>
      <c r="E6503" s="52" t="s">
        <v>25</v>
      </c>
      <c r="F6503" s="52" t="s">
        <v>26</v>
      </c>
      <c r="G6503" s="53"/>
    </row>
    <row r="6504">
      <c r="A6504" s="49">
        <v>45089.431826631946</v>
      </c>
      <c r="B6504" s="50">
        <v>45089.5567969097</v>
      </c>
      <c r="C6504" s="51">
        <v>1.006</v>
      </c>
      <c r="D6504" s="51">
        <v>68.0</v>
      </c>
      <c r="E6504" s="52" t="s">
        <v>25</v>
      </c>
      <c r="F6504" s="52" t="s">
        <v>26</v>
      </c>
      <c r="G6504" s="53"/>
    </row>
    <row r="6505">
      <c r="A6505" s="49">
        <v>45089.442255208334</v>
      </c>
      <c r="B6505" s="50">
        <v>45089.5672296296</v>
      </c>
      <c r="C6505" s="51">
        <v>1.006</v>
      </c>
      <c r="D6505" s="51">
        <v>68.0</v>
      </c>
      <c r="E6505" s="52" t="s">
        <v>25</v>
      </c>
      <c r="F6505" s="52" t="s">
        <v>26</v>
      </c>
      <c r="G6505" s="53"/>
    </row>
    <row r="6506">
      <c r="A6506" s="49">
        <v>45089.452667708334</v>
      </c>
      <c r="B6506" s="50">
        <v>45089.5776493287</v>
      </c>
      <c r="C6506" s="51">
        <v>1.006</v>
      </c>
      <c r="D6506" s="51">
        <v>68.0</v>
      </c>
      <c r="E6506" s="52" t="s">
        <v>25</v>
      </c>
      <c r="F6506" s="52" t="s">
        <v>26</v>
      </c>
      <c r="G6506" s="53"/>
    </row>
    <row r="6507">
      <c r="A6507" s="49">
        <v>45089.463097314816</v>
      </c>
      <c r="B6507" s="50">
        <v>45089.588070706</v>
      </c>
      <c r="C6507" s="51">
        <v>1.006</v>
      </c>
      <c r="D6507" s="51">
        <v>68.0</v>
      </c>
      <c r="E6507" s="52" t="s">
        <v>25</v>
      </c>
      <c r="F6507" s="52" t="s">
        <v>26</v>
      </c>
      <c r="G6507" s="53"/>
    </row>
    <row r="6508">
      <c r="A6508" s="49">
        <v>45089.47352372685</v>
      </c>
      <c r="B6508" s="50">
        <v>45089.5985040046</v>
      </c>
      <c r="C6508" s="51">
        <v>1.006</v>
      </c>
      <c r="D6508" s="51">
        <v>68.0</v>
      </c>
      <c r="E6508" s="52" t="s">
        <v>25</v>
      </c>
      <c r="F6508" s="52" t="s">
        <v>26</v>
      </c>
      <c r="G6508" s="53"/>
    </row>
    <row r="6509">
      <c r="A6509" s="49">
        <v>45089.483950740745</v>
      </c>
      <c r="B6509" s="50">
        <v>45089.6089255324</v>
      </c>
      <c r="C6509" s="51">
        <v>1.007</v>
      </c>
      <c r="D6509" s="51">
        <v>68.0</v>
      </c>
      <c r="E6509" s="52" t="s">
        <v>25</v>
      </c>
      <c r="F6509" s="52" t="s">
        <v>26</v>
      </c>
      <c r="G6509" s="53"/>
    </row>
    <row r="6510">
      <c r="A6510" s="49">
        <v>45089.494372581015</v>
      </c>
      <c r="B6510" s="50">
        <v>45089.6193477199</v>
      </c>
      <c r="C6510" s="51">
        <v>1.007</v>
      </c>
      <c r="D6510" s="51">
        <v>68.0</v>
      </c>
      <c r="E6510" s="52" t="s">
        <v>25</v>
      </c>
      <c r="F6510" s="52" t="s">
        <v>26</v>
      </c>
      <c r="G6510" s="53"/>
    </row>
    <row r="6511">
      <c r="A6511" s="49">
        <v>45089.504790011575</v>
      </c>
      <c r="B6511" s="50">
        <v>45089.6297696296</v>
      </c>
      <c r="C6511" s="51">
        <v>1.006</v>
      </c>
      <c r="D6511" s="51">
        <v>68.0</v>
      </c>
      <c r="E6511" s="52" t="s">
        <v>25</v>
      </c>
      <c r="F6511" s="52" t="s">
        <v>26</v>
      </c>
      <c r="G6511" s="53"/>
    </row>
    <row r="6512">
      <c r="A6512" s="49">
        <v>45089.515212638886</v>
      </c>
      <c r="B6512" s="50">
        <v>45089.6401913657</v>
      </c>
      <c r="C6512" s="51">
        <v>1.006</v>
      </c>
      <c r="D6512" s="51">
        <v>68.0</v>
      </c>
      <c r="E6512" s="52" t="s">
        <v>25</v>
      </c>
      <c r="F6512" s="52" t="s">
        <v>26</v>
      </c>
      <c r="G6512" s="53"/>
    </row>
    <row r="6513">
      <c r="A6513" s="49">
        <v>45089.52564241899</v>
      </c>
      <c r="B6513" s="50">
        <v>45089.6506117245</v>
      </c>
      <c r="C6513" s="51">
        <v>1.007</v>
      </c>
      <c r="D6513" s="51">
        <v>68.0</v>
      </c>
      <c r="E6513" s="52" t="s">
        <v>25</v>
      </c>
      <c r="F6513" s="52" t="s">
        <v>26</v>
      </c>
      <c r="G6513" s="53"/>
    </row>
    <row r="6514">
      <c r="A6514" s="49">
        <v>45089.53605738426</v>
      </c>
      <c r="B6514" s="50">
        <v>45089.6610362268</v>
      </c>
      <c r="C6514" s="51">
        <v>1.006</v>
      </c>
      <c r="D6514" s="51">
        <v>69.0</v>
      </c>
      <c r="E6514" s="52" t="s">
        <v>25</v>
      </c>
      <c r="F6514" s="52" t="s">
        <v>26</v>
      </c>
      <c r="G6514" s="53"/>
    </row>
    <row r="6515">
      <c r="A6515" s="49">
        <v>45089.546479641205</v>
      </c>
      <c r="B6515" s="50">
        <v>45089.6714560879</v>
      </c>
      <c r="C6515" s="51">
        <v>1.006</v>
      </c>
      <c r="D6515" s="51">
        <v>69.0</v>
      </c>
      <c r="E6515" s="52" t="s">
        <v>25</v>
      </c>
      <c r="F6515" s="52" t="s">
        <v>26</v>
      </c>
      <c r="G6515" s="53"/>
    </row>
    <row r="6516">
      <c r="A6516" s="49">
        <v>45089.55690568287</v>
      </c>
      <c r="B6516" s="50">
        <v>45089.6818773495</v>
      </c>
      <c r="C6516" s="51">
        <v>1.007</v>
      </c>
      <c r="D6516" s="51">
        <v>68.0</v>
      </c>
      <c r="E6516" s="52" t="s">
        <v>25</v>
      </c>
      <c r="F6516" s="52" t="s">
        <v>26</v>
      </c>
      <c r="G6516" s="53"/>
    </row>
    <row r="6517">
      <c r="A6517" s="49">
        <v>45089.56732991898</v>
      </c>
      <c r="B6517" s="50">
        <v>45089.6923003703</v>
      </c>
      <c r="C6517" s="51">
        <v>1.007</v>
      </c>
      <c r="D6517" s="51">
        <v>69.0</v>
      </c>
      <c r="E6517" s="52" t="s">
        <v>25</v>
      </c>
      <c r="F6517" s="52" t="s">
        <v>26</v>
      </c>
      <c r="G6517" s="53"/>
    </row>
    <row r="6518">
      <c r="A6518" s="49">
        <v>45089.58816827546</v>
      </c>
      <c r="B6518" s="50">
        <v>45089.7131421412</v>
      </c>
      <c r="C6518" s="51">
        <v>1.006</v>
      </c>
      <c r="D6518" s="51">
        <v>69.0</v>
      </c>
      <c r="E6518" s="52" t="s">
        <v>25</v>
      </c>
      <c r="F6518" s="52" t="s">
        <v>26</v>
      </c>
      <c r="G6518" s="53"/>
    </row>
    <row r="6519">
      <c r="A6519" s="49">
        <v>45089.59859013889</v>
      </c>
      <c r="B6519" s="50">
        <v>45089.7235635995</v>
      </c>
      <c r="C6519" s="51">
        <v>1.006</v>
      </c>
      <c r="D6519" s="51">
        <v>69.0</v>
      </c>
      <c r="E6519" s="52" t="s">
        <v>25</v>
      </c>
      <c r="F6519" s="52" t="s">
        <v>26</v>
      </c>
      <c r="G6519" s="53"/>
    </row>
    <row r="6520">
      <c r="A6520" s="49">
        <v>45089.609012800924</v>
      </c>
      <c r="B6520" s="50">
        <v>45089.733985949</v>
      </c>
      <c r="C6520" s="51">
        <v>1.006</v>
      </c>
      <c r="D6520" s="51">
        <v>69.0</v>
      </c>
      <c r="E6520" s="52" t="s">
        <v>25</v>
      </c>
      <c r="F6520" s="52" t="s">
        <v>26</v>
      </c>
      <c r="G6520" s="53"/>
    </row>
    <row r="6521">
      <c r="A6521" s="49">
        <v>45089.619430520834</v>
      </c>
      <c r="B6521" s="50">
        <v>45089.7444071064</v>
      </c>
      <c r="C6521" s="51">
        <v>1.007</v>
      </c>
      <c r="D6521" s="51">
        <v>69.0</v>
      </c>
      <c r="E6521" s="52" t="s">
        <v>25</v>
      </c>
      <c r="F6521" s="52" t="s">
        <v>26</v>
      </c>
      <c r="G6521" s="53"/>
    </row>
    <row r="6522">
      <c r="A6522" s="49">
        <v>45089.64030630787</v>
      </c>
      <c r="B6522" s="50">
        <v>45089.765273449</v>
      </c>
      <c r="C6522" s="51">
        <v>1.006</v>
      </c>
      <c r="D6522" s="51">
        <v>69.0</v>
      </c>
      <c r="E6522" s="52" t="s">
        <v>25</v>
      </c>
      <c r="F6522" s="52" t="s">
        <v>26</v>
      </c>
      <c r="G6522" s="53"/>
    </row>
    <row r="6523">
      <c r="A6523" s="49">
        <v>45089.65071476852</v>
      </c>
      <c r="B6523" s="50">
        <v>45089.7756946527</v>
      </c>
      <c r="C6523" s="51">
        <v>1.006</v>
      </c>
      <c r="D6523" s="51">
        <v>69.0</v>
      </c>
      <c r="E6523" s="52" t="s">
        <v>25</v>
      </c>
      <c r="F6523" s="52" t="s">
        <v>26</v>
      </c>
      <c r="G6523" s="53"/>
    </row>
    <row r="6524">
      <c r="A6524" s="49">
        <v>45089.661153124995</v>
      </c>
      <c r="B6524" s="50">
        <v>45089.7861271759</v>
      </c>
      <c r="C6524" s="51">
        <v>1.007</v>
      </c>
      <c r="D6524" s="51">
        <v>69.0</v>
      </c>
      <c r="E6524" s="52" t="s">
        <v>25</v>
      </c>
      <c r="F6524" s="52" t="s">
        <v>26</v>
      </c>
      <c r="G6524" s="53"/>
    </row>
    <row r="6525">
      <c r="A6525" s="49">
        <v>45089.67159074074</v>
      </c>
      <c r="B6525" s="50">
        <v>45089.7965707986</v>
      </c>
      <c r="C6525" s="51">
        <v>1.007</v>
      </c>
      <c r="D6525" s="51">
        <v>69.0</v>
      </c>
      <c r="E6525" s="52" t="s">
        <v>25</v>
      </c>
      <c r="F6525" s="52" t="s">
        <v>26</v>
      </c>
      <c r="G6525" s="53"/>
    </row>
    <row r="6526">
      <c r="A6526" s="49">
        <v>45089.68201751157</v>
      </c>
      <c r="B6526" s="50">
        <v>45089.8069909722</v>
      </c>
      <c r="C6526" s="51">
        <v>1.007</v>
      </c>
      <c r="D6526" s="51">
        <v>69.0</v>
      </c>
      <c r="E6526" s="52" t="s">
        <v>25</v>
      </c>
      <c r="F6526" s="52" t="s">
        <v>26</v>
      </c>
      <c r="G6526" s="53"/>
    </row>
    <row r="6527">
      <c r="A6527" s="49">
        <v>45089.6924362037</v>
      </c>
      <c r="B6527" s="50">
        <v>45089.8174131597</v>
      </c>
      <c r="C6527" s="51">
        <v>1.006</v>
      </c>
      <c r="D6527" s="51">
        <v>69.0</v>
      </c>
      <c r="E6527" s="52" t="s">
        <v>25</v>
      </c>
      <c r="F6527" s="52" t="s">
        <v>26</v>
      </c>
      <c r="G6527" s="53"/>
    </row>
    <row r="6528">
      <c r="A6528" s="49">
        <v>45089.702866875</v>
      </c>
      <c r="B6528" s="50">
        <v>45089.8278368055</v>
      </c>
      <c r="C6528" s="51">
        <v>1.007</v>
      </c>
      <c r="D6528" s="51">
        <v>69.0</v>
      </c>
      <c r="E6528" s="52" t="s">
        <v>25</v>
      </c>
      <c r="F6528" s="52" t="s">
        <v>26</v>
      </c>
      <c r="G6528" s="53"/>
    </row>
    <row r="6529">
      <c r="A6529" s="49">
        <v>45089.7132843287</v>
      </c>
      <c r="B6529" s="50">
        <v>45089.8382582986</v>
      </c>
      <c r="C6529" s="51">
        <v>1.006</v>
      </c>
      <c r="D6529" s="51">
        <v>69.0</v>
      </c>
      <c r="E6529" s="52" t="s">
        <v>25</v>
      </c>
      <c r="F6529" s="52" t="s">
        <v>26</v>
      </c>
      <c r="G6529" s="53"/>
    </row>
    <row r="6530">
      <c r="A6530" s="49">
        <v>45089.723714155094</v>
      </c>
      <c r="B6530" s="50">
        <v>45089.8486795486</v>
      </c>
      <c r="C6530" s="51">
        <v>1.006</v>
      </c>
      <c r="D6530" s="51">
        <v>69.0</v>
      </c>
      <c r="E6530" s="52" t="s">
        <v>25</v>
      </c>
      <c r="F6530" s="52" t="s">
        <v>26</v>
      </c>
      <c r="G6530" s="53"/>
    </row>
    <row r="6531">
      <c r="A6531" s="49">
        <v>45089.73411924769</v>
      </c>
      <c r="B6531" s="50">
        <v>45089.8591002893</v>
      </c>
      <c r="C6531" s="51">
        <v>1.006</v>
      </c>
      <c r="D6531" s="51">
        <v>69.0</v>
      </c>
      <c r="E6531" s="52" t="s">
        <v>25</v>
      </c>
      <c r="F6531" s="52" t="s">
        <v>26</v>
      </c>
      <c r="G6531" s="53"/>
    </row>
    <row r="6532">
      <c r="A6532" s="49">
        <v>45089.744543877314</v>
      </c>
      <c r="B6532" s="50">
        <v>45089.8695231018</v>
      </c>
      <c r="C6532" s="51">
        <v>1.007</v>
      </c>
      <c r="D6532" s="51">
        <v>69.0</v>
      </c>
      <c r="E6532" s="52" t="s">
        <v>25</v>
      </c>
      <c r="F6532" s="52" t="s">
        <v>26</v>
      </c>
      <c r="G6532" s="53"/>
    </row>
    <row r="6533">
      <c r="A6533" s="49">
        <v>45089.75497922454</v>
      </c>
      <c r="B6533" s="50">
        <v>45089.87995603</v>
      </c>
      <c r="C6533" s="51">
        <v>1.006</v>
      </c>
      <c r="D6533" s="51">
        <v>69.0</v>
      </c>
      <c r="E6533" s="52" t="s">
        <v>25</v>
      </c>
      <c r="F6533" s="52" t="s">
        <v>26</v>
      </c>
      <c r="G6533" s="53"/>
    </row>
    <row r="6534">
      <c r="A6534" s="49">
        <v>45089.765398194446</v>
      </c>
      <c r="B6534" s="50">
        <v>45089.8903771412</v>
      </c>
      <c r="C6534" s="51">
        <v>1.007</v>
      </c>
      <c r="D6534" s="51">
        <v>69.0</v>
      </c>
      <c r="E6534" s="52" t="s">
        <v>25</v>
      </c>
      <c r="F6534" s="52" t="s">
        <v>26</v>
      </c>
      <c r="G6534" s="53"/>
    </row>
    <row r="6535">
      <c r="A6535" s="49">
        <v>45089.77581922454</v>
      </c>
      <c r="B6535" s="50">
        <v>45089.900797118</v>
      </c>
      <c r="C6535" s="51">
        <v>1.006</v>
      </c>
      <c r="D6535" s="51">
        <v>69.0</v>
      </c>
      <c r="E6535" s="52" t="s">
        <v>25</v>
      </c>
      <c r="F6535" s="52" t="s">
        <v>26</v>
      </c>
      <c r="G6535" s="53"/>
    </row>
    <row r="6536">
      <c r="A6536" s="49">
        <v>45089.78624003472</v>
      </c>
      <c r="B6536" s="50">
        <v>45089.9112198958</v>
      </c>
      <c r="C6536" s="51">
        <v>1.007</v>
      </c>
      <c r="D6536" s="51">
        <v>69.0</v>
      </c>
      <c r="E6536" s="52" t="s">
        <v>25</v>
      </c>
      <c r="F6536" s="52" t="s">
        <v>26</v>
      </c>
      <c r="G6536" s="53"/>
    </row>
    <row r="6537">
      <c r="A6537" s="49">
        <v>45089.796665347225</v>
      </c>
      <c r="B6537" s="50">
        <v>45089.9216424421</v>
      </c>
      <c r="C6537" s="51">
        <v>1.006</v>
      </c>
      <c r="D6537" s="51">
        <v>69.0</v>
      </c>
      <c r="E6537" s="52" t="s">
        <v>25</v>
      </c>
      <c r="F6537" s="52" t="s">
        <v>26</v>
      </c>
      <c r="G6537" s="53"/>
    </row>
    <row r="6538">
      <c r="A6538" s="49">
        <v>45089.80708356481</v>
      </c>
      <c r="B6538" s="50">
        <v>45089.9320645486</v>
      </c>
      <c r="C6538" s="51">
        <v>1.006</v>
      </c>
      <c r="D6538" s="51">
        <v>69.0</v>
      </c>
      <c r="E6538" s="52" t="s">
        <v>25</v>
      </c>
      <c r="F6538" s="52" t="s">
        <v>26</v>
      </c>
      <c r="G6538" s="53"/>
    </row>
    <row r="6539">
      <c r="A6539" s="49">
        <v>45089.817515462964</v>
      </c>
      <c r="B6539" s="50">
        <v>45089.942487199</v>
      </c>
      <c r="C6539" s="51">
        <v>1.006</v>
      </c>
      <c r="D6539" s="51">
        <v>69.0</v>
      </c>
      <c r="E6539" s="52" t="s">
        <v>25</v>
      </c>
      <c r="F6539" s="52" t="s">
        <v>26</v>
      </c>
      <c r="G6539" s="53"/>
    </row>
    <row r="6540">
      <c r="A6540" s="49">
        <v>45089.82793221065</v>
      </c>
      <c r="B6540" s="50">
        <v>45089.9529084606</v>
      </c>
      <c r="C6540" s="51">
        <v>1.006</v>
      </c>
      <c r="D6540" s="51">
        <v>69.0</v>
      </c>
      <c r="E6540" s="52" t="s">
        <v>25</v>
      </c>
      <c r="F6540" s="52" t="s">
        <v>26</v>
      </c>
      <c r="G6540" s="53"/>
    </row>
    <row r="6541">
      <c r="A6541" s="49">
        <v>45089.83835857639</v>
      </c>
      <c r="B6541" s="50">
        <v>45089.9633307986</v>
      </c>
      <c r="C6541" s="51">
        <v>1.006</v>
      </c>
      <c r="D6541" s="51">
        <v>69.0</v>
      </c>
      <c r="E6541" s="52" t="s">
        <v>25</v>
      </c>
      <c r="F6541" s="52" t="s">
        <v>26</v>
      </c>
      <c r="G6541" s="53"/>
    </row>
    <row r="6542">
      <c r="A6542" s="49">
        <v>45089.848776342595</v>
      </c>
      <c r="B6542" s="50">
        <v>45089.9737506481</v>
      </c>
      <c r="C6542" s="51">
        <v>1.006</v>
      </c>
      <c r="D6542" s="51">
        <v>69.0</v>
      </c>
      <c r="E6542" s="52" t="s">
        <v>25</v>
      </c>
      <c r="F6542" s="52" t="s">
        <v>26</v>
      </c>
      <c r="G6542" s="53"/>
    </row>
    <row r="6543">
      <c r="A6543" s="49">
        <v>45089.85921185186</v>
      </c>
      <c r="B6543" s="50">
        <v>45089.9841825463</v>
      </c>
      <c r="C6543" s="51">
        <v>1.006</v>
      </c>
      <c r="D6543" s="51">
        <v>69.0</v>
      </c>
      <c r="E6543" s="52" t="s">
        <v>25</v>
      </c>
      <c r="F6543" s="52" t="s">
        <v>26</v>
      </c>
      <c r="G6543" s="53"/>
    </row>
    <row r="6544">
      <c r="A6544" s="49">
        <v>45089.869626747684</v>
      </c>
      <c r="B6544" s="50">
        <v>45089.9946045949</v>
      </c>
      <c r="C6544" s="51">
        <v>1.007</v>
      </c>
      <c r="D6544" s="51">
        <v>69.0</v>
      </c>
      <c r="E6544" s="52" t="s">
        <v>25</v>
      </c>
      <c r="F6544" s="52" t="s">
        <v>26</v>
      </c>
      <c r="G6544" s="53"/>
    </row>
    <row r="6545">
      <c r="A6545" s="49">
        <v>45089.88006622685</v>
      </c>
      <c r="B6545" s="50">
        <v>45090.0050374652</v>
      </c>
      <c r="C6545" s="51">
        <v>1.006</v>
      </c>
      <c r="D6545" s="51">
        <v>69.0</v>
      </c>
      <c r="E6545" s="52" t="s">
        <v>25</v>
      </c>
      <c r="F6545" s="52" t="s">
        <v>26</v>
      </c>
      <c r="G6545" s="53"/>
    </row>
    <row r="6546">
      <c r="A6546" s="49">
        <v>45089.890485497686</v>
      </c>
      <c r="B6546" s="50">
        <v>45090.0154584375</v>
      </c>
      <c r="C6546" s="51">
        <v>1.007</v>
      </c>
      <c r="D6546" s="51">
        <v>69.0</v>
      </c>
      <c r="E6546" s="52" t="s">
        <v>25</v>
      </c>
      <c r="F6546" s="52" t="s">
        <v>26</v>
      </c>
      <c r="G6546" s="53"/>
    </row>
    <row r="6547">
      <c r="A6547" s="49">
        <v>45089.900916053244</v>
      </c>
      <c r="B6547" s="50">
        <v>45090.0258922569</v>
      </c>
      <c r="C6547" s="51">
        <v>1.007</v>
      </c>
      <c r="D6547" s="51">
        <v>69.0</v>
      </c>
      <c r="E6547" s="52" t="s">
        <v>25</v>
      </c>
      <c r="F6547" s="52" t="s">
        <v>26</v>
      </c>
      <c r="G6547" s="53"/>
    </row>
    <row r="6548">
      <c r="A6548" s="49">
        <v>45089.91133952547</v>
      </c>
      <c r="B6548" s="50">
        <v>45090.0363133912</v>
      </c>
      <c r="C6548" s="51">
        <v>1.006</v>
      </c>
      <c r="D6548" s="51">
        <v>69.0</v>
      </c>
      <c r="E6548" s="52" t="s">
        <v>25</v>
      </c>
      <c r="F6548" s="52" t="s">
        <v>26</v>
      </c>
      <c r="G6548" s="53"/>
    </row>
    <row r="6549">
      <c r="A6549" s="49">
        <v>45089.92176684028</v>
      </c>
      <c r="B6549" s="50">
        <v>45090.0467352893</v>
      </c>
      <c r="C6549" s="51">
        <v>1.007</v>
      </c>
      <c r="D6549" s="51">
        <v>69.0</v>
      </c>
      <c r="E6549" s="52" t="s">
        <v>25</v>
      </c>
      <c r="F6549" s="52" t="s">
        <v>26</v>
      </c>
      <c r="G6549" s="53"/>
    </row>
    <row r="6550">
      <c r="A6550" s="49">
        <v>45089.93218920139</v>
      </c>
      <c r="B6550" s="50">
        <v>45090.0571565856</v>
      </c>
      <c r="C6550" s="51">
        <v>1.006</v>
      </c>
      <c r="D6550" s="51">
        <v>69.0</v>
      </c>
      <c r="E6550" s="52" t="s">
        <v>25</v>
      </c>
      <c r="F6550" s="52" t="s">
        <v>26</v>
      </c>
      <c r="G6550" s="53"/>
    </row>
    <row r="6551">
      <c r="A6551" s="49">
        <v>45089.94260090278</v>
      </c>
      <c r="B6551" s="50">
        <v>45090.0675779398</v>
      </c>
      <c r="C6551" s="51">
        <v>1.006</v>
      </c>
      <c r="D6551" s="51">
        <v>69.0</v>
      </c>
      <c r="E6551" s="52" t="s">
        <v>25</v>
      </c>
      <c r="F6551" s="52" t="s">
        <v>26</v>
      </c>
      <c r="G6551" s="53"/>
    </row>
    <row r="6552">
      <c r="A6552" s="49">
        <v>45089.953038148145</v>
      </c>
      <c r="B6552" s="50">
        <v>45090.078010949</v>
      </c>
      <c r="C6552" s="51">
        <v>1.006</v>
      </c>
      <c r="D6552" s="51">
        <v>69.0</v>
      </c>
      <c r="E6552" s="52" t="s">
        <v>25</v>
      </c>
      <c r="F6552" s="52" t="s">
        <v>26</v>
      </c>
      <c r="G6552" s="53"/>
    </row>
    <row r="6553">
      <c r="A6553" s="49">
        <v>45089.963473564814</v>
      </c>
      <c r="B6553" s="50">
        <v>45090.0884423263</v>
      </c>
      <c r="C6553" s="51">
        <v>1.006</v>
      </c>
      <c r="D6553" s="51">
        <v>69.0</v>
      </c>
      <c r="E6553" s="52" t="s">
        <v>25</v>
      </c>
      <c r="F6553" s="52" t="s">
        <v>26</v>
      </c>
      <c r="G6553" s="53"/>
    </row>
    <row r="6554">
      <c r="A6554" s="49">
        <v>45089.97390246528</v>
      </c>
      <c r="B6554" s="50">
        <v>45090.0988764814</v>
      </c>
      <c r="C6554" s="51">
        <v>1.006</v>
      </c>
      <c r="D6554" s="51">
        <v>69.0</v>
      </c>
      <c r="E6554" s="52" t="s">
        <v>25</v>
      </c>
      <c r="F6554" s="52" t="s">
        <v>26</v>
      </c>
      <c r="G6554" s="53"/>
    </row>
    <row r="6555">
      <c r="A6555" s="49">
        <v>45089.98432293981</v>
      </c>
      <c r="B6555" s="50">
        <v>45090.1092972453</v>
      </c>
      <c r="C6555" s="51">
        <v>1.006</v>
      </c>
      <c r="D6555" s="51">
        <v>69.0</v>
      </c>
      <c r="E6555" s="52" t="s">
        <v>25</v>
      </c>
      <c r="F6555" s="52" t="s">
        <v>26</v>
      </c>
      <c r="G6555" s="53"/>
    </row>
    <row r="6556">
      <c r="A6556" s="49">
        <v>45089.994739305555</v>
      </c>
      <c r="B6556" s="50">
        <v>45090.1197198032</v>
      </c>
      <c r="C6556" s="51">
        <v>1.006</v>
      </c>
      <c r="D6556" s="51">
        <v>69.0</v>
      </c>
      <c r="E6556" s="52" t="s">
        <v>25</v>
      </c>
      <c r="F6556" s="52" t="s">
        <v>26</v>
      </c>
      <c r="G6556" s="53"/>
    </row>
    <row r="6557">
      <c r="A6557" s="49">
        <v>45090.0051747338</v>
      </c>
      <c r="B6557" s="50">
        <v>45090.1301525115</v>
      </c>
      <c r="C6557" s="51">
        <v>1.006</v>
      </c>
      <c r="D6557" s="51">
        <v>69.0</v>
      </c>
      <c r="E6557" s="52" t="s">
        <v>25</v>
      </c>
      <c r="F6557" s="52" t="s">
        <v>26</v>
      </c>
      <c r="G6557" s="53"/>
    </row>
    <row r="6558">
      <c r="A6558" s="49">
        <v>45090.01560586806</v>
      </c>
      <c r="B6558" s="50">
        <v>45090.1405731712</v>
      </c>
      <c r="C6558" s="51">
        <v>1.006</v>
      </c>
      <c r="D6558" s="51">
        <v>69.0</v>
      </c>
      <c r="E6558" s="52" t="s">
        <v>25</v>
      </c>
      <c r="F6558" s="52" t="s">
        <v>26</v>
      </c>
      <c r="G6558" s="53"/>
    </row>
    <row r="6559">
      <c r="A6559" s="49">
        <v>45090.026114004635</v>
      </c>
      <c r="B6559" s="50">
        <v>45090.1509960648</v>
      </c>
      <c r="C6559" s="51">
        <v>1.006</v>
      </c>
      <c r="D6559" s="51">
        <v>69.0</v>
      </c>
      <c r="E6559" s="52" t="s">
        <v>25</v>
      </c>
      <c r="F6559" s="52" t="s">
        <v>26</v>
      </c>
      <c r="G6559" s="53"/>
    </row>
    <row r="6560">
      <c r="A6560" s="49">
        <v>45090.03644159722</v>
      </c>
      <c r="B6560" s="50">
        <v>45090.1614161458</v>
      </c>
      <c r="C6560" s="51">
        <v>1.007</v>
      </c>
      <c r="D6560" s="51">
        <v>69.0</v>
      </c>
      <c r="E6560" s="52" t="s">
        <v>25</v>
      </c>
      <c r="F6560" s="52" t="s">
        <v>26</v>
      </c>
      <c r="G6560" s="53"/>
    </row>
    <row r="6561">
      <c r="A6561" s="49">
        <v>45090.04686495371</v>
      </c>
      <c r="B6561" s="50">
        <v>45090.171837037</v>
      </c>
      <c r="C6561" s="51">
        <v>1.006</v>
      </c>
      <c r="D6561" s="51">
        <v>69.0</v>
      </c>
      <c r="E6561" s="52" t="s">
        <v>25</v>
      </c>
      <c r="F6561" s="52" t="s">
        <v>26</v>
      </c>
      <c r="G6561" s="53"/>
    </row>
    <row r="6562">
      <c r="A6562" s="49">
        <v>45090.05728612268</v>
      </c>
      <c r="B6562" s="50">
        <v>45090.1822585763</v>
      </c>
      <c r="C6562" s="51">
        <v>1.007</v>
      </c>
      <c r="D6562" s="51">
        <v>69.0</v>
      </c>
      <c r="E6562" s="52" t="s">
        <v>25</v>
      </c>
      <c r="F6562" s="52" t="s">
        <v>26</v>
      </c>
      <c r="G6562" s="53"/>
    </row>
    <row r="6563">
      <c r="A6563" s="49">
        <v>45090.067707291666</v>
      </c>
      <c r="B6563" s="50">
        <v>45090.1926770138</v>
      </c>
      <c r="C6563" s="51">
        <v>1.006</v>
      </c>
      <c r="D6563" s="51">
        <v>69.0</v>
      </c>
      <c r="E6563" s="52" t="s">
        <v>25</v>
      </c>
      <c r="F6563" s="52" t="s">
        <v>26</v>
      </c>
      <c r="G6563" s="53"/>
    </row>
    <row r="6564">
      <c r="A6564" s="49">
        <v>45090.078124085645</v>
      </c>
      <c r="B6564" s="50">
        <v>45090.2030983333</v>
      </c>
      <c r="C6564" s="51">
        <v>1.006</v>
      </c>
      <c r="D6564" s="51">
        <v>69.0</v>
      </c>
      <c r="E6564" s="52" t="s">
        <v>25</v>
      </c>
      <c r="F6564" s="52" t="s">
        <v>26</v>
      </c>
      <c r="G6564" s="53"/>
    </row>
    <row r="6565">
      <c r="A6565" s="49">
        <v>45090.08855074074</v>
      </c>
      <c r="B6565" s="50">
        <v>45090.2135199537</v>
      </c>
      <c r="C6565" s="51">
        <v>1.006</v>
      </c>
      <c r="D6565" s="51">
        <v>69.0</v>
      </c>
      <c r="E6565" s="52" t="s">
        <v>25</v>
      </c>
      <c r="F6565" s="52" t="s">
        <v>26</v>
      </c>
      <c r="G6565" s="53"/>
    </row>
    <row r="6566">
      <c r="A6566" s="49">
        <v>45090.09896541666</v>
      </c>
      <c r="B6566" s="50">
        <v>45090.2239416088</v>
      </c>
      <c r="C6566" s="51">
        <v>1.006</v>
      </c>
      <c r="D6566" s="51">
        <v>69.0</v>
      </c>
      <c r="E6566" s="52" t="s">
        <v>25</v>
      </c>
      <c r="F6566" s="52" t="s">
        <v>26</v>
      </c>
      <c r="G6566" s="53"/>
    </row>
    <row r="6567">
      <c r="A6567" s="49">
        <v>45090.10939240741</v>
      </c>
      <c r="B6567" s="50">
        <v>45090.2343626504</v>
      </c>
      <c r="C6567" s="51">
        <v>1.007</v>
      </c>
      <c r="D6567" s="51">
        <v>69.0</v>
      </c>
      <c r="E6567" s="52" t="s">
        <v>25</v>
      </c>
      <c r="F6567" s="52" t="s">
        <v>26</v>
      </c>
      <c r="G6567" s="53"/>
    </row>
    <row r="6568">
      <c r="A6568" s="49">
        <v>45090.11984438657</v>
      </c>
      <c r="B6568" s="50">
        <v>45090.2448068171</v>
      </c>
      <c r="C6568" s="51">
        <v>1.006</v>
      </c>
      <c r="D6568" s="51">
        <v>69.0</v>
      </c>
      <c r="E6568" s="52" t="s">
        <v>25</v>
      </c>
      <c r="F6568" s="52" t="s">
        <v>26</v>
      </c>
      <c r="G6568" s="53"/>
    </row>
    <row r="6569">
      <c r="A6569" s="49">
        <v>45090.13026696759</v>
      </c>
      <c r="B6569" s="50">
        <v>45090.2552392245</v>
      </c>
      <c r="C6569" s="51">
        <v>1.007</v>
      </c>
      <c r="D6569" s="51">
        <v>69.0</v>
      </c>
      <c r="E6569" s="52" t="s">
        <v>25</v>
      </c>
      <c r="F6569" s="52" t="s">
        <v>26</v>
      </c>
      <c r="G6569" s="53"/>
    </row>
    <row r="6570">
      <c r="A6570" s="49">
        <v>45090.14069001157</v>
      </c>
      <c r="B6570" s="50">
        <v>45090.2656626157</v>
      </c>
      <c r="C6570" s="51">
        <v>1.006</v>
      </c>
      <c r="D6570" s="51">
        <v>69.0</v>
      </c>
      <c r="E6570" s="52" t="s">
        <v>25</v>
      </c>
      <c r="F6570" s="52" t="s">
        <v>26</v>
      </c>
      <c r="G6570" s="53"/>
    </row>
    <row r="6571">
      <c r="A6571" s="49">
        <v>45090.15112699074</v>
      </c>
      <c r="B6571" s="50">
        <v>45090.2760938657</v>
      </c>
      <c r="C6571" s="51">
        <v>1.007</v>
      </c>
      <c r="D6571" s="51">
        <v>69.0</v>
      </c>
      <c r="E6571" s="52" t="s">
        <v>25</v>
      </c>
      <c r="F6571" s="52" t="s">
        <v>26</v>
      </c>
      <c r="G6571" s="53"/>
    </row>
    <row r="6572">
      <c r="A6572" s="49">
        <v>45090.16155047454</v>
      </c>
      <c r="B6572" s="50">
        <v>45090.2865269097</v>
      </c>
      <c r="C6572" s="51">
        <v>1.007</v>
      </c>
      <c r="D6572" s="51">
        <v>69.0</v>
      </c>
      <c r="E6572" s="52" t="s">
        <v>25</v>
      </c>
      <c r="F6572" s="52" t="s">
        <v>26</v>
      </c>
      <c r="G6572" s="53"/>
    </row>
    <row r="6573">
      <c r="A6573" s="49">
        <v>45090.17197646991</v>
      </c>
      <c r="B6573" s="50">
        <v>45090.2969490625</v>
      </c>
      <c r="C6573" s="51">
        <v>1.006</v>
      </c>
      <c r="D6573" s="51">
        <v>69.0</v>
      </c>
      <c r="E6573" s="52" t="s">
        <v>25</v>
      </c>
      <c r="F6573" s="52" t="s">
        <v>26</v>
      </c>
      <c r="G6573" s="53"/>
    </row>
    <row r="6574">
      <c r="A6574" s="49">
        <v>45090.18240152778</v>
      </c>
      <c r="B6574" s="50">
        <v>45090.3073689583</v>
      </c>
      <c r="C6574" s="51">
        <v>1.006</v>
      </c>
      <c r="D6574" s="51">
        <v>69.0</v>
      </c>
      <c r="E6574" s="52" t="s">
        <v>25</v>
      </c>
      <c r="F6574" s="52" t="s">
        <v>26</v>
      </c>
      <c r="G6574" s="53"/>
    </row>
    <row r="6575">
      <c r="A6575" s="49">
        <v>45090.2032362037</v>
      </c>
      <c r="B6575" s="50">
        <v>45090.3282090856</v>
      </c>
      <c r="C6575" s="51">
        <v>1.006</v>
      </c>
      <c r="D6575" s="51">
        <v>69.0</v>
      </c>
      <c r="E6575" s="52" t="s">
        <v>25</v>
      </c>
      <c r="F6575" s="52" t="s">
        <v>26</v>
      </c>
      <c r="G6575" s="53"/>
    </row>
    <row r="6576">
      <c r="A6576" s="49">
        <v>45090.213653217594</v>
      </c>
      <c r="B6576" s="50">
        <v>45090.3386303009</v>
      </c>
      <c r="C6576" s="51">
        <v>1.006</v>
      </c>
      <c r="D6576" s="51">
        <v>69.0</v>
      </c>
      <c r="E6576" s="52" t="s">
        <v>25</v>
      </c>
      <c r="F6576" s="52" t="s">
        <v>26</v>
      </c>
      <c r="G6576" s="53"/>
    </row>
    <row r="6577">
      <c r="A6577" s="49">
        <v>45090.22412868055</v>
      </c>
      <c r="B6577" s="50">
        <v>45090.3490985763</v>
      </c>
      <c r="C6577" s="51">
        <v>1.007</v>
      </c>
      <c r="D6577" s="51">
        <v>69.0</v>
      </c>
      <c r="E6577" s="52" t="s">
        <v>25</v>
      </c>
      <c r="F6577" s="52" t="s">
        <v>26</v>
      </c>
      <c r="G6577" s="53"/>
    </row>
    <row r="6578">
      <c r="A6578" s="49">
        <v>45090.234547280095</v>
      </c>
      <c r="B6578" s="50">
        <v>45090.3595190046</v>
      </c>
      <c r="C6578" s="51">
        <v>1.006</v>
      </c>
      <c r="D6578" s="51">
        <v>69.0</v>
      </c>
      <c r="E6578" s="52" t="s">
        <v>25</v>
      </c>
      <c r="F6578" s="52" t="s">
        <v>26</v>
      </c>
      <c r="G6578" s="53"/>
    </row>
    <row r="6579">
      <c r="A6579" s="49">
        <v>45090.24496561343</v>
      </c>
      <c r="B6579" s="50">
        <v>45090.3699383796</v>
      </c>
      <c r="C6579" s="51">
        <v>1.006</v>
      </c>
      <c r="D6579" s="51">
        <v>69.0</v>
      </c>
      <c r="E6579" s="52" t="s">
        <v>25</v>
      </c>
      <c r="F6579" s="52" t="s">
        <v>26</v>
      </c>
      <c r="G6579" s="53"/>
    </row>
    <row r="6580">
      <c r="A6580" s="49">
        <v>45090.25539842593</v>
      </c>
      <c r="B6580" s="50">
        <v>45090.3803695717</v>
      </c>
      <c r="C6580" s="51">
        <v>1.006</v>
      </c>
      <c r="D6580" s="51">
        <v>69.0</v>
      </c>
      <c r="E6580" s="52" t="s">
        <v>25</v>
      </c>
      <c r="F6580" s="52" t="s">
        <v>26</v>
      </c>
      <c r="G6580" s="53"/>
    </row>
    <row r="6581">
      <c r="A6581" s="49">
        <v>45090.26582148148</v>
      </c>
      <c r="B6581" s="50">
        <v>45090.3907914814</v>
      </c>
      <c r="C6581" s="51">
        <v>1.006</v>
      </c>
      <c r="D6581" s="51">
        <v>69.0</v>
      </c>
      <c r="E6581" s="52" t="s">
        <v>25</v>
      </c>
      <c r="F6581" s="52" t="s">
        <v>26</v>
      </c>
      <c r="G6581" s="53"/>
    </row>
    <row r="6582">
      <c r="A6582" s="49">
        <v>45090.27627325231</v>
      </c>
      <c r="B6582" s="50">
        <v>45090.4012117824</v>
      </c>
      <c r="C6582" s="51">
        <v>1.006</v>
      </c>
      <c r="D6582" s="51">
        <v>69.0</v>
      </c>
      <c r="E6582" s="52" t="s">
        <v>25</v>
      </c>
      <c r="F6582" s="52" t="s">
        <v>26</v>
      </c>
      <c r="G6582" s="53"/>
    </row>
    <row r="6583">
      <c r="A6583" s="49">
        <v>45090.28665297454</v>
      </c>
      <c r="B6583" s="50">
        <v>45090.4116331944</v>
      </c>
      <c r="C6583" s="51">
        <v>1.007</v>
      </c>
      <c r="D6583" s="51">
        <v>69.0</v>
      </c>
      <c r="E6583" s="52" t="s">
        <v>25</v>
      </c>
      <c r="F6583" s="52" t="s">
        <v>26</v>
      </c>
      <c r="G6583" s="53"/>
    </row>
    <row r="6584">
      <c r="A6584" s="49">
        <v>45090.29708063658</v>
      </c>
      <c r="B6584" s="50">
        <v>45090.4220537268</v>
      </c>
      <c r="C6584" s="51">
        <v>1.006</v>
      </c>
      <c r="D6584" s="51">
        <v>69.0</v>
      </c>
      <c r="E6584" s="52" t="s">
        <v>25</v>
      </c>
      <c r="F6584" s="52" t="s">
        <v>26</v>
      </c>
      <c r="G6584" s="53"/>
    </row>
    <row r="6585">
      <c r="A6585" s="49">
        <v>45090.30749662037</v>
      </c>
      <c r="B6585" s="50">
        <v>45090.4324747916</v>
      </c>
      <c r="C6585" s="51">
        <v>1.006</v>
      </c>
      <c r="D6585" s="51">
        <v>69.0</v>
      </c>
      <c r="E6585" s="52" t="s">
        <v>25</v>
      </c>
      <c r="F6585" s="52" t="s">
        <v>26</v>
      </c>
      <c r="G6585" s="53"/>
    </row>
    <row r="6586">
      <c r="A6586" s="49">
        <v>45090.31793653935</v>
      </c>
      <c r="B6586" s="50">
        <v>45090.4429062615</v>
      </c>
      <c r="C6586" s="51">
        <v>1.006</v>
      </c>
      <c r="D6586" s="51">
        <v>69.0</v>
      </c>
      <c r="E6586" s="52" t="s">
        <v>25</v>
      </c>
      <c r="F6586" s="52" t="s">
        <v>26</v>
      </c>
      <c r="G6586" s="53"/>
    </row>
    <row r="6587">
      <c r="A6587" s="49">
        <v>45090.32835240741</v>
      </c>
      <c r="B6587" s="50">
        <v>45090.4533270833</v>
      </c>
      <c r="C6587" s="51">
        <v>1.006</v>
      </c>
      <c r="D6587" s="51">
        <v>69.0</v>
      </c>
      <c r="E6587" s="52" t="s">
        <v>25</v>
      </c>
      <c r="F6587" s="52" t="s">
        <v>26</v>
      </c>
      <c r="G6587" s="53"/>
    </row>
    <row r="6588">
      <c r="A6588" s="49">
        <v>45090.33878061343</v>
      </c>
      <c r="B6588" s="50">
        <v>45090.4637503472</v>
      </c>
      <c r="C6588" s="51">
        <v>1.007</v>
      </c>
      <c r="D6588" s="51">
        <v>69.0</v>
      </c>
      <c r="E6588" s="52" t="s">
        <v>25</v>
      </c>
      <c r="F6588" s="52" t="s">
        <v>26</v>
      </c>
      <c r="G6588" s="53"/>
    </row>
    <row r="6589">
      <c r="A6589" s="49">
        <v>45090.34921219907</v>
      </c>
      <c r="B6589" s="50">
        <v>45090.4741825</v>
      </c>
      <c r="C6589" s="51">
        <v>1.006</v>
      </c>
      <c r="D6589" s="51">
        <v>69.0</v>
      </c>
      <c r="E6589" s="52" t="s">
        <v>25</v>
      </c>
      <c r="F6589" s="52" t="s">
        <v>26</v>
      </c>
      <c r="G6589" s="53"/>
    </row>
    <row r="6590">
      <c r="A6590" s="49">
        <v>45090.359641030096</v>
      </c>
      <c r="B6590" s="50">
        <v>45090.4846029282</v>
      </c>
      <c r="C6590" s="51">
        <v>1.006</v>
      </c>
      <c r="D6590" s="51">
        <v>69.0</v>
      </c>
      <c r="E6590" s="52" t="s">
        <v>25</v>
      </c>
      <c r="F6590" s="52" t="s">
        <v>26</v>
      </c>
      <c r="G6590" s="53"/>
    </row>
    <row r="6591">
      <c r="A6591" s="49">
        <v>45090.37004601852</v>
      </c>
      <c r="B6591" s="50">
        <v>45090.4950247106</v>
      </c>
      <c r="C6591" s="51">
        <v>1.006</v>
      </c>
      <c r="D6591" s="51">
        <v>69.0</v>
      </c>
      <c r="E6591" s="52" t="s">
        <v>25</v>
      </c>
      <c r="F6591" s="52" t="s">
        <v>26</v>
      </c>
      <c r="G6591" s="53"/>
    </row>
    <row r="6592">
      <c r="A6592" s="49">
        <v>45090.38046483796</v>
      </c>
      <c r="B6592" s="50">
        <v>45090.5054458217</v>
      </c>
      <c r="C6592" s="51">
        <v>1.007</v>
      </c>
      <c r="D6592" s="51">
        <v>69.0</v>
      </c>
      <c r="E6592" s="52" t="s">
        <v>25</v>
      </c>
      <c r="F6592" s="52" t="s">
        <v>26</v>
      </c>
      <c r="G6592" s="53"/>
    </row>
    <row r="6593">
      <c r="A6593" s="49">
        <v>45090.39092046296</v>
      </c>
      <c r="B6593" s="50">
        <v>45090.5158910763</v>
      </c>
      <c r="C6593" s="51">
        <v>1.006</v>
      </c>
      <c r="D6593" s="51">
        <v>69.0</v>
      </c>
      <c r="E6593" s="52" t="s">
        <v>25</v>
      </c>
      <c r="F6593" s="52" t="s">
        <v>26</v>
      </c>
      <c r="G6593" s="53"/>
    </row>
    <row r="6594">
      <c r="A6594" s="49">
        <v>45090.40134041666</v>
      </c>
      <c r="B6594" s="50">
        <v>45090.5263136805</v>
      </c>
      <c r="C6594" s="51">
        <v>1.007</v>
      </c>
      <c r="D6594" s="51">
        <v>69.0</v>
      </c>
      <c r="E6594" s="52" t="s">
        <v>25</v>
      </c>
      <c r="F6594" s="52" t="s">
        <v>26</v>
      </c>
      <c r="G6594" s="53"/>
    </row>
    <row r="6595">
      <c r="A6595" s="49">
        <v>45090.41176650463</v>
      </c>
      <c r="B6595" s="50">
        <v>45090.5367352199</v>
      </c>
      <c r="C6595" s="51">
        <v>1.006</v>
      </c>
      <c r="D6595" s="51">
        <v>69.0</v>
      </c>
      <c r="E6595" s="52" t="s">
        <v>25</v>
      </c>
      <c r="F6595" s="52" t="s">
        <v>26</v>
      </c>
      <c r="G6595" s="53"/>
    </row>
    <row r="6596">
      <c r="A6596" s="49">
        <v>45090.42217744213</v>
      </c>
      <c r="B6596" s="50">
        <v>45090.5471578588</v>
      </c>
      <c r="C6596" s="51">
        <v>1.006</v>
      </c>
      <c r="D6596" s="51">
        <v>69.0</v>
      </c>
      <c r="E6596" s="52" t="s">
        <v>25</v>
      </c>
      <c r="F6596" s="52" t="s">
        <v>26</v>
      </c>
      <c r="G6596" s="53"/>
    </row>
    <row r="6597">
      <c r="A6597" s="49">
        <v>45090.43260267361</v>
      </c>
      <c r="B6597" s="50">
        <v>45090.5575778819</v>
      </c>
      <c r="C6597" s="51">
        <v>1.006</v>
      </c>
      <c r="D6597" s="51">
        <v>69.0</v>
      </c>
      <c r="E6597" s="52" t="s">
        <v>25</v>
      </c>
      <c r="F6597" s="52" t="s">
        <v>26</v>
      </c>
      <c r="G6597" s="53"/>
    </row>
    <row r="6598">
      <c r="A6598" s="49">
        <v>45090.44305270833</v>
      </c>
      <c r="B6598" s="50">
        <v>45090.5679985532</v>
      </c>
      <c r="C6598" s="51">
        <v>1.007</v>
      </c>
      <c r="D6598" s="51">
        <v>69.0</v>
      </c>
      <c r="E6598" s="52" t="s">
        <v>25</v>
      </c>
      <c r="F6598" s="52" t="s">
        <v>26</v>
      </c>
      <c r="G6598" s="53"/>
    </row>
    <row r="6599">
      <c r="A6599" s="49">
        <v>45090.453450092595</v>
      </c>
      <c r="B6599" s="50">
        <v>45090.5784184838</v>
      </c>
      <c r="C6599" s="51">
        <v>1.007</v>
      </c>
      <c r="D6599" s="51">
        <v>69.0</v>
      </c>
      <c r="E6599" s="52" t="s">
        <v>25</v>
      </c>
      <c r="F6599" s="52" t="s">
        <v>26</v>
      </c>
      <c r="G6599" s="53"/>
    </row>
    <row r="6600">
      <c r="A6600" s="49">
        <v>45090.4638941088</v>
      </c>
      <c r="B6600" s="50">
        <v>45090.5888630324</v>
      </c>
      <c r="C6600" s="51">
        <v>1.006</v>
      </c>
      <c r="D6600" s="51">
        <v>69.0</v>
      </c>
      <c r="E6600" s="52" t="s">
        <v>25</v>
      </c>
      <c r="F6600" s="52" t="s">
        <v>26</v>
      </c>
      <c r="G6600" s="53"/>
    </row>
    <row r="6601">
      <c r="A6601" s="49">
        <v>45090.474337962965</v>
      </c>
      <c r="B6601" s="50">
        <v>45090.59930875</v>
      </c>
      <c r="C6601" s="51">
        <v>1.006</v>
      </c>
      <c r="D6601" s="51">
        <v>69.0</v>
      </c>
      <c r="E6601" s="52" t="s">
        <v>25</v>
      </c>
      <c r="F6601" s="52" t="s">
        <v>26</v>
      </c>
      <c r="G6601" s="53"/>
    </row>
    <row r="6602">
      <c r="A6602" s="49">
        <v>45090.48475516203</v>
      </c>
      <c r="B6602" s="50">
        <v>45090.6097297453</v>
      </c>
      <c r="C6602" s="51">
        <v>1.006</v>
      </c>
      <c r="D6602" s="51">
        <v>69.0</v>
      </c>
      <c r="E6602" s="52" t="s">
        <v>25</v>
      </c>
      <c r="F6602" s="52" t="s">
        <v>26</v>
      </c>
      <c r="G6602" s="53"/>
    </row>
    <row r="6603">
      <c r="A6603" s="49">
        <v>45090.49519217593</v>
      </c>
      <c r="B6603" s="50">
        <v>45090.620163449</v>
      </c>
      <c r="C6603" s="51">
        <v>1.006</v>
      </c>
      <c r="D6603" s="51">
        <v>69.0</v>
      </c>
      <c r="E6603" s="52" t="s">
        <v>25</v>
      </c>
      <c r="F6603" s="52" t="s">
        <v>26</v>
      </c>
      <c r="G6603" s="53"/>
    </row>
    <row r="6604">
      <c r="A6604" s="49">
        <v>45090.50561565973</v>
      </c>
      <c r="B6604" s="50">
        <v>45090.6305838888</v>
      </c>
      <c r="C6604" s="51">
        <v>1.007</v>
      </c>
      <c r="D6604" s="51">
        <v>69.0</v>
      </c>
      <c r="E6604" s="52" t="s">
        <v>25</v>
      </c>
      <c r="F6604" s="52" t="s">
        <v>26</v>
      </c>
      <c r="G6604" s="53"/>
    </row>
    <row r="6605">
      <c r="A6605" s="49">
        <v>45090.51603084491</v>
      </c>
      <c r="B6605" s="50">
        <v>45090.6410051851</v>
      </c>
      <c r="C6605" s="51">
        <v>1.006</v>
      </c>
      <c r="D6605" s="51">
        <v>69.0</v>
      </c>
      <c r="E6605" s="52" t="s">
        <v>25</v>
      </c>
      <c r="F6605" s="52" t="s">
        <v>26</v>
      </c>
      <c r="G6605" s="53"/>
    </row>
    <row r="6606">
      <c r="A6606" s="49">
        <v>45090.52644524306</v>
      </c>
      <c r="B6606" s="50">
        <v>45090.6514251157</v>
      </c>
      <c r="C6606" s="51">
        <v>1.006</v>
      </c>
      <c r="D6606" s="51">
        <v>69.0</v>
      </c>
      <c r="E6606" s="52" t="s">
        <v>25</v>
      </c>
      <c r="F6606" s="52" t="s">
        <v>26</v>
      </c>
      <c r="G6606" s="53"/>
    </row>
    <row r="6607">
      <c r="A6607" s="49">
        <v>45090.53689614583</v>
      </c>
      <c r="B6607" s="50">
        <v>45090.6618691435</v>
      </c>
      <c r="C6607" s="51">
        <v>1.006</v>
      </c>
      <c r="D6607" s="51">
        <v>69.0</v>
      </c>
      <c r="E6607" s="52" t="s">
        <v>25</v>
      </c>
      <c r="F6607" s="52" t="s">
        <v>26</v>
      </c>
      <c r="G6607" s="53"/>
    </row>
    <row r="6608">
      <c r="A6608" s="49">
        <v>45090.54733269676</v>
      </c>
      <c r="B6608" s="50">
        <v>45090.6723017361</v>
      </c>
      <c r="C6608" s="51">
        <v>1.006</v>
      </c>
      <c r="D6608" s="51">
        <v>69.0</v>
      </c>
      <c r="E6608" s="52" t="s">
        <v>25</v>
      </c>
      <c r="F6608" s="52" t="s">
        <v>26</v>
      </c>
      <c r="G6608" s="53"/>
    </row>
    <row r="6609">
      <c r="A6609" s="49">
        <v>45090.55774430555</v>
      </c>
      <c r="B6609" s="50">
        <v>45090.6827231134</v>
      </c>
      <c r="C6609" s="51">
        <v>1.006</v>
      </c>
      <c r="D6609" s="51">
        <v>69.0</v>
      </c>
      <c r="E6609" s="52" t="s">
        <v>25</v>
      </c>
      <c r="F6609" s="52" t="s">
        <v>26</v>
      </c>
      <c r="G6609" s="53"/>
    </row>
    <row r="6610">
      <c r="A6610" s="49">
        <v>45090.56817061343</v>
      </c>
      <c r="B6610" s="50">
        <v>45090.6931440046</v>
      </c>
      <c r="C6610" s="51">
        <v>1.006</v>
      </c>
      <c r="D6610" s="51">
        <v>69.0</v>
      </c>
      <c r="E6610" s="52" t="s">
        <v>25</v>
      </c>
      <c r="F6610" s="52" t="s">
        <v>26</v>
      </c>
      <c r="G6610" s="53"/>
    </row>
    <row r="6611">
      <c r="A6611" s="49">
        <v>45090.578605601855</v>
      </c>
      <c r="B6611" s="50">
        <v>45090.7035772916</v>
      </c>
      <c r="C6611" s="51">
        <v>1.006</v>
      </c>
      <c r="D6611" s="51">
        <v>69.0</v>
      </c>
      <c r="E6611" s="52" t="s">
        <v>25</v>
      </c>
      <c r="F6611" s="52" t="s">
        <v>26</v>
      </c>
      <c r="G6611" s="53"/>
    </row>
    <row r="6612">
      <c r="A6612" s="49">
        <v>45090.58901984953</v>
      </c>
      <c r="B6612" s="50">
        <v>45090.7139975926</v>
      </c>
      <c r="C6612" s="51">
        <v>1.006</v>
      </c>
      <c r="D6612" s="51">
        <v>69.0</v>
      </c>
      <c r="E6612" s="52" t="s">
        <v>25</v>
      </c>
      <c r="F6612" s="52" t="s">
        <v>26</v>
      </c>
      <c r="G6612" s="53"/>
    </row>
    <row r="6613">
      <c r="A6613" s="49">
        <v>45090.599445092594</v>
      </c>
      <c r="B6613" s="50">
        <v>45090.724419618</v>
      </c>
      <c r="C6613" s="51">
        <v>1.006</v>
      </c>
      <c r="D6613" s="51">
        <v>69.0</v>
      </c>
      <c r="E6613" s="52" t="s">
        <v>25</v>
      </c>
      <c r="F6613" s="52" t="s">
        <v>26</v>
      </c>
      <c r="G6613" s="53"/>
    </row>
    <row r="6614">
      <c r="A6614" s="49">
        <v>45090.609876180555</v>
      </c>
      <c r="B6614" s="50">
        <v>45090.7348519907</v>
      </c>
      <c r="C6614" s="51">
        <v>1.006</v>
      </c>
      <c r="D6614" s="51">
        <v>69.0</v>
      </c>
      <c r="E6614" s="52" t="s">
        <v>25</v>
      </c>
      <c r="F6614" s="52" t="s">
        <v>26</v>
      </c>
      <c r="G6614" s="53"/>
    </row>
    <row r="6615">
      <c r="A6615" s="49">
        <v>45090.62029910879</v>
      </c>
      <c r="B6615" s="50">
        <v>45090.7452731481</v>
      </c>
      <c r="C6615" s="51">
        <v>1.006</v>
      </c>
      <c r="D6615" s="51">
        <v>69.0</v>
      </c>
      <c r="E6615" s="52" t="s">
        <v>25</v>
      </c>
      <c r="F6615" s="52" t="s">
        <v>26</v>
      </c>
      <c r="G6615" s="53"/>
    </row>
    <row r="6616">
      <c r="A6616" s="49">
        <v>45090.63071640047</v>
      </c>
      <c r="B6616" s="50">
        <v>45090.7556947453</v>
      </c>
      <c r="C6616" s="51">
        <v>1.006</v>
      </c>
      <c r="D6616" s="51">
        <v>69.0</v>
      </c>
      <c r="E6616" s="52" t="s">
        <v>25</v>
      </c>
      <c r="F6616" s="52" t="s">
        <v>26</v>
      </c>
      <c r="G6616" s="53"/>
    </row>
    <row r="6617">
      <c r="A6617" s="49">
        <v>45090.64114756945</v>
      </c>
      <c r="B6617" s="50">
        <v>45090.7661272801</v>
      </c>
      <c r="C6617" s="51">
        <v>1.006</v>
      </c>
      <c r="D6617" s="51">
        <v>69.0</v>
      </c>
      <c r="E6617" s="52" t="s">
        <v>25</v>
      </c>
      <c r="F6617" s="52" t="s">
        <v>26</v>
      </c>
      <c r="G6617" s="53"/>
    </row>
    <row r="6618">
      <c r="A6618" s="49">
        <v>45090.65157153935</v>
      </c>
      <c r="B6618" s="50">
        <v>45090.7765499768</v>
      </c>
      <c r="C6618" s="51">
        <v>1.006</v>
      </c>
      <c r="D6618" s="51">
        <v>69.0</v>
      </c>
      <c r="E6618" s="52" t="s">
        <v>25</v>
      </c>
      <c r="F6618" s="52" t="s">
        <v>26</v>
      </c>
      <c r="G6618" s="53"/>
    </row>
    <row r="6619">
      <c r="A6619" s="49">
        <v>45090.6620155787</v>
      </c>
      <c r="B6619" s="50">
        <v>45090.7869933449</v>
      </c>
      <c r="C6619" s="51">
        <v>1.006</v>
      </c>
      <c r="D6619" s="51">
        <v>69.0</v>
      </c>
      <c r="E6619" s="52" t="s">
        <v>25</v>
      </c>
      <c r="F6619" s="52" t="s">
        <v>26</v>
      </c>
      <c r="G6619" s="53"/>
    </row>
    <row r="6620">
      <c r="A6620" s="49">
        <v>45090.68285636574</v>
      </c>
      <c r="B6620" s="50">
        <v>45090.807835706</v>
      </c>
      <c r="C6620" s="51">
        <v>1.006</v>
      </c>
      <c r="D6620" s="51">
        <v>69.0</v>
      </c>
      <c r="E6620" s="52" t="s">
        <v>25</v>
      </c>
      <c r="F6620" s="52" t="s">
        <v>26</v>
      </c>
      <c r="G6620" s="53"/>
    </row>
    <row r="6621">
      <c r="A6621" s="49">
        <v>45090.693285636575</v>
      </c>
      <c r="B6621" s="50">
        <v>45090.8182549652</v>
      </c>
      <c r="C6621" s="51">
        <v>1.006</v>
      </c>
      <c r="D6621" s="51">
        <v>69.0</v>
      </c>
      <c r="E6621" s="52" t="s">
        <v>25</v>
      </c>
      <c r="F6621" s="52" t="s">
        <v>26</v>
      </c>
      <c r="G6621" s="53"/>
    </row>
    <row r="6622">
      <c r="A6622" s="49">
        <v>45090.70370012731</v>
      </c>
      <c r="B6622" s="50">
        <v>45090.8286768402</v>
      </c>
      <c r="C6622" s="51">
        <v>1.006</v>
      </c>
      <c r="D6622" s="51">
        <v>69.0</v>
      </c>
      <c r="E6622" s="52" t="s">
        <v>25</v>
      </c>
      <c r="F6622" s="52" t="s">
        <v>26</v>
      </c>
      <c r="G6622" s="53"/>
    </row>
    <row r="6623">
      <c r="A6623" s="49">
        <v>45090.7141274537</v>
      </c>
      <c r="B6623" s="50">
        <v>45090.8390986111</v>
      </c>
      <c r="C6623" s="51">
        <v>1.006</v>
      </c>
      <c r="D6623" s="51">
        <v>69.0</v>
      </c>
      <c r="E6623" s="52" t="s">
        <v>25</v>
      </c>
      <c r="F6623" s="52" t="s">
        <v>26</v>
      </c>
      <c r="G6623" s="53"/>
    </row>
    <row r="6624">
      <c r="A6624" s="49">
        <v>45090.72455972222</v>
      </c>
      <c r="B6624" s="50">
        <v>45090.8495317708</v>
      </c>
      <c r="C6624" s="51">
        <v>1.006</v>
      </c>
      <c r="D6624" s="51">
        <v>69.0</v>
      </c>
      <c r="E6624" s="52" t="s">
        <v>25</v>
      </c>
      <c r="F6624" s="52" t="s">
        <v>26</v>
      </c>
      <c r="G6624" s="53"/>
    </row>
    <row r="6625">
      <c r="A6625" s="49">
        <v>45090.73499561343</v>
      </c>
      <c r="B6625" s="50">
        <v>45090.8599760879</v>
      </c>
      <c r="C6625" s="51">
        <v>1.006</v>
      </c>
      <c r="D6625" s="51">
        <v>69.0</v>
      </c>
      <c r="E6625" s="52" t="s">
        <v>25</v>
      </c>
      <c r="F6625" s="52" t="s">
        <v>26</v>
      </c>
      <c r="G6625" s="53"/>
    </row>
    <row r="6626">
      <c r="A6626" s="49">
        <v>45090.74542740741</v>
      </c>
      <c r="B6626" s="50">
        <v>45090.87039875</v>
      </c>
      <c r="C6626" s="51">
        <v>1.006</v>
      </c>
      <c r="D6626" s="51">
        <v>69.0</v>
      </c>
      <c r="E6626" s="52" t="s">
        <v>25</v>
      </c>
      <c r="F6626" s="52" t="s">
        <v>26</v>
      </c>
      <c r="G6626" s="53"/>
    </row>
    <row r="6627">
      <c r="A6627" s="49">
        <v>45090.75585313658</v>
      </c>
      <c r="B6627" s="50">
        <v>45090.8808202083</v>
      </c>
      <c r="C6627" s="51">
        <v>1.006</v>
      </c>
      <c r="D6627" s="51">
        <v>69.0</v>
      </c>
      <c r="E6627" s="52" t="s">
        <v>25</v>
      </c>
      <c r="F6627" s="52" t="s">
        <v>26</v>
      </c>
      <c r="G6627" s="53"/>
    </row>
    <row r="6628">
      <c r="A6628" s="49">
        <v>45090.766269942134</v>
      </c>
      <c r="B6628" s="50">
        <v>45090.891242118</v>
      </c>
      <c r="C6628" s="51">
        <v>1.006</v>
      </c>
      <c r="D6628" s="51">
        <v>69.0</v>
      </c>
      <c r="E6628" s="52" t="s">
        <v>25</v>
      </c>
      <c r="F6628" s="52" t="s">
        <v>26</v>
      </c>
      <c r="G6628" s="53"/>
    </row>
    <row r="6629">
      <c r="A6629" s="49">
        <v>45090.776693761574</v>
      </c>
      <c r="B6629" s="50">
        <v>45090.9016635879</v>
      </c>
      <c r="C6629" s="51">
        <v>1.006</v>
      </c>
      <c r="D6629" s="51">
        <v>69.0</v>
      </c>
      <c r="E6629" s="52" t="s">
        <v>25</v>
      </c>
      <c r="F6629" s="52" t="s">
        <v>26</v>
      </c>
      <c r="G6629" s="53"/>
    </row>
    <row r="6630">
      <c r="A6630" s="49">
        <v>45090.78711996527</v>
      </c>
      <c r="B6630" s="50">
        <v>45090.9120942245</v>
      </c>
      <c r="C6630" s="51">
        <v>1.006</v>
      </c>
      <c r="D6630" s="51">
        <v>69.0</v>
      </c>
      <c r="E6630" s="52" t="s">
        <v>25</v>
      </c>
      <c r="F6630" s="52" t="s">
        <v>26</v>
      </c>
      <c r="G6630" s="53"/>
    </row>
    <row r="6631">
      <c r="A6631" s="49">
        <v>45090.7975443287</v>
      </c>
      <c r="B6631" s="50">
        <v>45090.9225162731</v>
      </c>
      <c r="C6631" s="51">
        <v>1.006</v>
      </c>
      <c r="D6631" s="51">
        <v>69.0</v>
      </c>
      <c r="E6631" s="52" t="s">
        <v>25</v>
      </c>
      <c r="F6631" s="52" t="s">
        <v>26</v>
      </c>
      <c r="G6631" s="53"/>
    </row>
    <row r="6632">
      <c r="A6632" s="49">
        <v>45090.80797861111</v>
      </c>
      <c r="B6632" s="50">
        <v>45090.9329491319</v>
      </c>
      <c r="C6632" s="51">
        <v>1.006</v>
      </c>
      <c r="D6632" s="51">
        <v>69.0</v>
      </c>
      <c r="E6632" s="52" t="s">
        <v>25</v>
      </c>
      <c r="F6632" s="52" t="s">
        <v>26</v>
      </c>
      <c r="G6632" s="53"/>
    </row>
    <row r="6633">
      <c r="A6633" s="49">
        <v>45090.81840887731</v>
      </c>
      <c r="B6633" s="50">
        <v>45090.9433823263</v>
      </c>
      <c r="C6633" s="51">
        <v>1.006</v>
      </c>
      <c r="D6633" s="51">
        <v>69.0</v>
      </c>
      <c r="E6633" s="52" t="s">
        <v>25</v>
      </c>
      <c r="F6633" s="52" t="s">
        <v>26</v>
      </c>
      <c r="G6633" s="53"/>
    </row>
    <row r="6634">
      <c r="A6634" s="49">
        <v>45090.82883859954</v>
      </c>
      <c r="B6634" s="50">
        <v>45090.9538038888</v>
      </c>
      <c r="C6634" s="51">
        <v>1.006</v>
      </c>
      <c r="D6634" s="51">
        <v>69.0</v>
      </c>
      <c r="E6634" s="52" t="s">
        <v>25</v>
      </c>
      <c r="F6634" s="52" t="s">
        <v>26</v>
      </c>
      <c r="G6634" s="53"/>
    </row>
    <row r="6635">
      <c r="A6635" s="49">
        <v>45090.83925721065</v>
      </c>
      <c r="B6635" s="50">
        <v>45090.9642241319</v>
      </c>
      <c r="C6635" s="51">
        <v>1.006</v>
      </c>
      <c r="D6635" s="51">
        <v>69.0</v>
      </c>
      <c r="E6635" s="52" t="s">
        <v>25</v>
      </c>
      <c r="F6635" s="52" t="s">
        <v>26</v>
      </c>
      <c r="G6635" s="53"/>
    </row>
    <row r="6636">
      <c r="A6636" s="49">
        <v>45090.849675844904</v>
      </c>
      <c r="B6636" s="50">
        <v>45090.9746452314</v>
      </c>
      <c r="C6636" s="51">
        <v>1.006</v>
      </c>
      <c r="D6636" s="51">
        <v>69.0</v>
      </c>
      <c r="E6636" s="52" t="s">
        <v>25</v>
      </c>
      <c r="F6636" s="52" t="s">
        <v>26</v>
      </c>
      <c r="G6636" s="53"/>
    </row>
    <row r="6637">
      <c r="A6637" s="49">
        <v>45090.86009475694</v>
      </c>
      <c r="B6637" s="50">
        <v>45090.9850649189</v>
      </c>
      <c r="C6637" s="51">
        <v>1.006</v>
      </c>
      <c r="D6637" s="51">
        <v>69.0</v>
      </c>
      <c r="E6637" s="52" t="s">
        <v>25</v>
      </c>
      <c r="F6637" s="52" t="s">
        <v>26</v>
      </c>
      <c r="G6637" s="53"/>
    </row>
    <row r="6638">
      <c r="A6638" s="49">
        <v>45090.87051692129</v>
      </c>
      <c r="B6638" s="50">
        <v>45090.9954876041</v>
      </c>
      <c r="C6638" s="51">
        <v>1.006</v>
      </c>
      <c r="D6638" s="51">
        <v>69.0</v>
      </c>
      <c r="E6638" s="52" t="s">
        <v>25</v>
      </c>
      <c r="F6638" s="52" t="s">
        <v>26</v>
      </c>
      <c r="G6638" s="53"/>
    </row>
    <row r="6639">
      <c r="A6639" s="49">
        <v>45090.880929837964</v>
      </c>
      <c r="B6639" s="50">
        <v>45091.005910625</v>
      </c>
      <c r="C6639" s="51">
        <v>1.006</v>
      </c>
      <c r="D6639" s="51">
        <v>69.0</v>
      </c>
      <c r="E6639" s="52" t="s">
        <v>25</v>
      </c>
      <c r="F6639" s="52" t="s">
        <v>26</v>
      </c>
      <c r="G6639" s="53"/>
    </row>
    <row r="6640">
      <c r="A6640" s="49">
        <v>45090.8913600463</v>
      </c>
      <c r="B6640" s="50">
        <v>45091.016333287</v>
      </c>
      <c r="C6640" s="51">
        <v>1.006</v>
      </c>
      <c r="D6640" s="51">
        <v>69.0</v>
      </c>
      <c r="E6640" s="52" t="s">
        <v>25</v>
      </c>
      <c r="F6640" s="52" t="s">
        <v>26</v>
      </c>
      <c r="G6640" s="53"/>
    </row>
    <row r="6641">
      <c r="A6641" s="49">
        <v>45090.90177631944</v>
      </c>
      <c r="B6641" s="50">
        <v>45091.0267554166</v>
      </c>
      <c r="C6641" s="51">
        <v>1.007</v>
      </c>
      <c r="D6641" s="51">
        <v>69.0</v>
      </c>
      <c r="E6641" s="52" t="s">
        <v>25</v>
      </c>
      <c r="F6641" s="52" t="s">
        <v>26</v>
      </c>
      <c r="G6641" s="53"/>
    </row>
    <row r="6642">
      <c r="A6642" s="49">
        <v>45090.91220847222</v>
      </c>
      <c r="B6642" s="50">
        <v>45091.0371766319</v>
      </c>
      <c r="C6642" s="51">
        <v>1.006</v>
      </c>
      <c r="D6642" s="51">
        <v>69.0</v>
      </c>
      <c r="E6642" s="52" t="s">
        <v>25</v>
      </c>
      <c r="F6642" s="52" t="s">
        <v>26</v>
      </c>
      <c r="G6642" s="53"/>
    </row>
    <row r="6643">
      <c r="A6643" s="49">
        <v>45090.92262652778</v>
      </c>
      <c r="B6643" s="50">
        <v>45091.0475961342</v>
      </c>
      <c r="C6643" s="51">
        <v>1.006</v>
      </c>
      <c r="D6643" s="51">
        <v>69.0</v>
      </c>
      <c r="E6643" s="52" t="s">
        <v>25</v>
      </c>
      <c r="F6643" s="52" t="s">
        <v>26</v>
      </c>
      <c r="G6643" s="53"/>
    </row>
    <row r="6644">
      <c r="A6644" s="49">
        <v>45090.93304611111</v>
      </c>
      <c r="B6644" s="50">
        <v>45091.0580158101</v>
      </c>
      <c r="C6644" s="51">
        <v>1.007</v>
      </c>
      <c r="D6644" s="51">
        <v>69.0</v>
      </c>
      <c r="E6644" s="52" t="s">
        <v>25</v>
      </c>
      <c r="F6644" s="52" t="s">
        <v>26</v>
      </c>
      <c r="G6644" s="53"/>
    </row>
    <row r="6645">
      <c r="A6645" s="49">
        <v>45090.95388324074</v>
      </c>
      <c r="B6645" s="50">
        <v>45091.0788569907</v>
      </c>
      <c r="C6645" s="51">
        <v>1.006</v>
      </c>
      <c r="D6645" s="51">
        <v>69.0</v>
      </c>
      <c r="E6645" s="52" t="s">
        <v>25</v>
      </c>
      <c r="F6645" s="52" t="s">
        <v>26</v>
      </c>
      <c r="G6645" s="53"/>
    </row>
    <row r="6646">
      <c r="A6646" s="49">
        <v>45090.96430115741</v>
      </c>
      <c r="B6646" s="50">
        <v>45091.0892787268</v>
      </c>
      <c r="C6646" s="51">
        <v>1.007</v>
      </c>
      <c r="D6646" s="51">
        <v>69.0</v>
      </c>
      <c r="E6646" s="52" t="s">
        <v>25</v>
      </c>
      <c r="F6646" s="52" t="s">
        <v>26</v>
      </c>
      <c r="G6646" s="53"/>
    </row>
    <row r="6647">
      <c r="A6647" s="49">
        <v>45090.97473141203</v>
      </c>
      <c r="B6647" s="50">
        <v>45091.0997007291</v>
      </c>
      <c r="C6647" s="51">
        <v>1.006</v>
      </c>
      <c r="D6647" s="51">
        <v>69.0</v>
      </c>
      <c r="E6647" s="52" t="s">
        <v>25</v>
      </c>
      <c r="F6647" s="52" t="s">
        <v>26</v>
      </c>
      <c r="G6647" s="53"/>
    </row>
    <row r="6648">
      <c r="A6648" s="49">
        <v>45090.98520275463</v>
      </c>
      <c r="B6648" s="50">
        <v>45091.1101334375</v>
      </c>
      <c r="C6648" s="51">
        <v>1.006</v>
      </c>
      <c r="D6648" s="51">
        <v>69.0</v>
      </c>
      <c r="E6648" s="52" t="s">
        <v>25</v>
      </c>
      <c r="F6648" s="52" t="s">
        <v>26</v>
      </c>
      <c r="G6648" s="53"/>
    </row>
    <row r="6649">
      <c r="A6649" s="49">
        <v>45090.995585439814</v>
      </c>
      <c r="B6649" s="50">
        <v>45091.1205561921</v>
      </c>
      <c r="C6649" s="51">
        <v>1.007</v>
      </c>
      <c r="D6649" s="51">
        <v>69.0</v>
      </c>
      <c r="E6649" s="52" t="s">
        <v>25</v>
      </c>
      <c r="F6649" s="52" t="s">
        <v>26</v>
      </c>
      <c r="G6649" s="53"/>
    </row>
    <row r="6650">
      <c r="A6650" s="49">
        <v>45091.0059974537</v>
      </c>
      <c r="B6650" s="50">
        <v>45091.1309779166</v>
      </c>
      <c r="C6650" s="51">
        <v>1.006</v>
      </c>
      <c r="D6650" s="51">
        <v>69.0</v>
      </c>
      <c r="E6650" s="52" t="s">
        <v>25</v>
      </c>
      <c r="F6650" s="52" t="s">
        <v>26</v>
      </c>
      <c r="G6650" s="53"/>
    </row>
    <row r="6651">
      <c r="A6651" s="49">
        <v>45091.01642690972</v>
      </c>
      <c r="B6651" s="50">
        <v>45091.14139875</v>
      </c>
      <c r="C6651" s="51">
        <v>1.006</v>
      </c>
      <c r="D6651" s="51">
        <v>69.0</v>
      </c>
      <c r="E6651" s="52" t="s">
        <v>25</v>
      </c>
      <c r="F6651" s="52" t="s">
        <v>26</v>
      </c>
      <c r="G6651" s="53"/>
    </row>
    <row r="6652">
      <c r="A6652" s="49">
        <v>45091.02685840278</v>
      </c>
      <c r="B6652" s="50">
        <v>45091.1518324189</v>
      </c>
      <c r="C6652" s="51">
        <v>1.006</v>
      </c>
      <c r="D6652" s="51">
        <v>69.0</v>
      </c>
      <c r="E6652" s="52" t="s">
        <v>25</v>
      </c>
      <c r="F6652" s="52" t="s">
        <v>26</v>
      </c>
      <c r="G6652" s="53"/>
    </row>
    <row r="6653">
      <c r="A6653" s="49">
        <v>45091.03728400463</v>
      </c>
      <c r="B6653" s="50">
        <v>45091.1622544097</v>
      </c>
      <c r="C6653" s="51">
        <v>1.006</v>
      </c>
      <c r="D6653" s="51">
        <v>69.0</v>
      </c>
      <c r="E6653" s="52" t="s">
        <v>25</v>
      </c>
      <c r="F6653" s="52" t="s">
        <v>26</v>
      </c>
      <c r="G6653" s="53"/>
    </row>
    <row r="6654">
      <c r="A6654" s="49">
        <v>45091.047703449076</v>
      </c>
      <c r="B6654" s="50">
        <v>45091.1726752777</v>
      </c>
      <c r="C6654" s="51">
        <v>1.007</v>
      </c>
      <c r="D6654" s="51">
        <v>69.0</v>
      </c>
      <c r="E6654" s="52" t="s">
        <v>25</v>
      </c>
      <c r="F6654" s="52" t="s">
        <v>26</v>
      </c>
      <c r="G6654" s="53"/>
    </row>
    <row r="6655">
      <c r="A6655" s="49">
        <v>45091.058125752315</v>
      </c>
      <c r="B6655" s="50">
        <v>45091.1830958217</v>
      </c>
      <c r="C6655" s="51">
        <v>1.006</v>
      </c>
      <c r="D6655" s="51">
        <v>69.0</v>
      </c>
      <c r="E6655" s="52" t="s">
        <v>25</v>
      </c>
      <c r="F6655" s="52" t="s">
        <v>26</v>
      </c>
      <c r="G6655" s="53"/>
    </row>
    <row r="6656">
      <c r="A6656" s="49">
        <v>45091.068544062495</v>
      </c>
      <c r="B6656" s="50">
        <v>45091.1935167476</v>
      </c>
      <c r="C6656" s="51">
        <v>1.006</v>
      </c>
      <c r="D6656" s="51">
        <v>69.0</v>
      </c>
      <c r="E6656" s="52" t="s">
        <v>25</v>
      </c>
      <c r="F6656" s="52" t="s">
        <v>26</v>
      </c>
      <c r="G6656" s="53"/>
    </row>
    <row r="6657">
      <c r="A6657" s="49">
        <v>45091.07898658565</v>
      </c>
      <c r="B6657" s="50">
        <v>45091.2039498263</v>
      </c>
      <c r="C6657" s="51">
        <v>1.006</v>
      </c>
      <c r="D6657" s="51">
        <v>69.0</v>
      </c>
      <c r="E6657" s="52" t="s">
        <v>25</v>
      </c>
      <c r="F6657" s="52" t="s">
        <v>26</v>
      </c>
      <c r="G6657" s="53"/>
    </row>
    <row r="6658">
      <c r="A6658" s="49">
        <v>45091.08940733796</v>
      </c>
      <c r="B6658" s="50">
        <v>45091.2143807638</v>
      </c>
      <c r="C6658" s="51">
        <v>1.006</v>
      </c>
      <c r="D6658" s="51">
        <v>69.0</v>
      </c>
      <c r="E6658" s="52" t="s">
        <v>25</v>
      </c>
      <c r="F6658" s="52" t="s">
        <v>26</v>
      </c>
      <c r="G6658" s="53"/>
    </row>
    <row r="6659">
      <c r="A6659" s="49">
        <v>45091.09983032408</v>
      </c>
      <c r="B6659" s="50">
        <v>45091.2248019097</v>
      </c>
      <c r="C6659" s="51">
        <v>1.006</v>
      </c>
      <c r="D6659" s="51">
        <v>69.0</v>
      </c>
      <c r="E6659" s="52" t="s">
        <v>25</v>
      </c>
      <c r="F6659" s="52" t="s">
        <v>26</v>
      </c>
      <c r="G6659" s="53"/>
    </row>
    <row r="6660">
      <c r="A6660" s="49">
        <v>45091.11025391203</v>
      </c>
      <c r="B6660" s="50">
        <v>45091.2352247916</v>
      </c>
      <c r="C6660" s="51">
        <v>1.006</v>
      </c>
      <c r="D6660" s="51">
        <v>69.0</v>
      </c>
      <c r="E6660" s="52" t="s">
        <v>25</v>
      </c>
      <c r="F6660" s="52" t="s">
        <v>26</v>
      </c>
      <c r="G6660" s="53"/>
    </row>
    <row r="6661">
      <c r="A6661" s="49">
        <v>45091.120669930555</v>
      </c>
      <c r="B6661" s="50">
        <v>45091.2456455439</v>
      </c>
      <c r="C6661" s="51">
        <v>1.006</v>
      </c>
      <c r="D6661" s="51">
        <v>69.0</v>
      </c>
      <c r="E6661" s="52" t="s">
        <v>25</v>
      </c>
      <c r="F6661" s="52" t="s">
        <v>26</v>
      </c>
      <c r="G6661" s="53"/>
    </row>
    <row r="6662">
      <c r="A6662" s="49">
        <v>45091.13109243056</v>
      </c>
      <c r="B6662" s="50">
        <v>45091.2560664004</v>
      </c>
      <c r="C6662" s="51">
        <v>1.006</v>
      </c>
      <c r="D6662" s="51">
        <v>69.0</v>
      </c>
      <c r="E6662" s="52" t="s">
        <v>25</v>
      </c>
      <c r="F6662" s="52" t="s">
        <v>26</v>
      </c>
      <c r="G6662" s="53"/>
    </row>
    <row r="6663">
      <c r="A6663" s="49">
        <v>45091.14153482638</v>
      </c>
      <c r="B6663" s="50">
        <v>45091.2665108101</v>
      </c>
      <c r="C6663" s="51">
        <v>1.006</v>
      </c>
      <c r="D6663" s="51">
        <v>69.0</v>
      </c>
      <c r="E6663" s="52" t="s">
        <v>25</v>
      </c>
      <c r="F6663" s="52" t="s">
        <v>26</v>
      </c>
      <c r="G6663" s="53"/>
    </row>
    <row r="6664">
      <c r="A6664" s="49">
        <v>45091.151975057874</v>
      </c>
      <c r="B6664" s="50">
        <v>45091.2769548726</v>
      </c>
      <c r="C6664" s="51">
        <v>1.006</v>
      </c>
      <c r="D6664" s="51">
        <v>69.0</v>
      </c>
      <c r="E6664" s="52" t="s">
        <v>25</v>
      </c>
      <c r="F6664" s="52" t="s">
        <v>26</v>
      </c>
      <c r="G6664" s="53"/>
    </row>
    <row r="6665">
      <c r="A6665" s="49">
        <v>45091.16239751157</v>
      </c>
      <c r="B6665" s="50">
        <v>45091.2873765277</v>
      </c>
      <c r="C6665" s="51">
        <v>1.006</v>
      </c>
      <c r="D6665" s="51">
        <v>69.0</v>
      </c>
      <c r="E6665" s="52" t="s">
        <v>25</v>
      </c>
      <c r="F6665" s="52" t="s">
        <v>26</v>
      </c>
      <c r="G6665" s="53"/>
    </row>
    <row r="6666">
      <c r="A6666" s="49">
        <v>45091.172824733796</v>
      </c>
      <c r="B6666" s="50">
        <v>45091.2977957407</v>
      </c>
      <c r="C6666" s="51">
        <v>1.006</v>
      </c>
      <c r="D6666" s="51">
        <v>69.0</v>
      </c>
      <c r="E6666" s="52" t="s">
        <v>25</v>
      </c>
      <c r="F6666" s="52" t="s">
        <v>26</v>
      </c>
      <c r="G6666" s="53"/>
    </row>
    <row r="6667">
      <c r="A6667" s="49">
        <v>45091.1832593287</v>
      </c>
      <c r="B6667" s="50">
        <v>45091.3082273032</v>
      </c>
      <c r="C6667" s="51">
        <v>1.006</v>
      </c>
      <c r="D6667" s="51">
        <v>69.0</v>
      </c>
      <c r="E6667" s="52" t="s">
        <v>25</v>
      </c>
      <c r="F6667" s="52" t="s">
        <v>26</v>
      </c>
      <c r="G6667" s="53"/>
    </row>
    <row r="6668">
      <c r="A6668" s="49">
        <v>45091.19366655093</v>
      </c>
      <c r="B6668" s="50">
        <v>45091.3186474768</v>
      </c>
      <c r="C6668" s="51">
        <v>1.006</v>
      </c>
      <c r="D6668" s="51">
        <v>69.0</v>
      </c>
      <c r="E6668" s="52" t="s">
        <v>25</v>
      </c>
      <c r="F6668" s="52" t="s">
        <v>26</v>
      </c>
      <c r="G6668" s="53"/>
    </row>
    <row r="6669">
      <c r="A6669" s="49">
        <v>45091.20410219907</v>
      </c>
      <c r="B6669" s="50">
        <v>45091.3290797916</v>
      </c>
      <c r="C6669" s="51">
        <v>1.007</v>
      </c>
      <c r="D6669" s="51">
        <v>69.0</v>
      </c>
      <c r="E6669" s="52" t="s">
        <v>25</v>
      </c>
      <c r="F6669" s="52" t="s">
        <v>26</v>
      </c>
      <c r="G6669" s="53"/>
    </row>
    <row r="6670">
      <c r="A6670" s="49">
        <v>45091.21453777778</v>
      </c>
      <c r="B6670" s="50">
        <v>45091.3395123032</v>
      </c>
      <c r="C6670" s="51">
        <v>1.006</v>
      </c>
      <c r="D6670" s="51">
        <v>69.0</v>
      </c>
      <c r="E6670" s="52" t="s">
        <v>25</v>
      </c>
      <c r="F6670" s="52" t="s">
        <v>26</v>
      </c>
      <c r="G6670" s="53"/>
    </row>
    <row r="6671">
      <c r="A6671" s="49">
        <v>45091.22496356482</v>
      </c>
      <c r="B6671" s="50">
        <v>45091.349933287</v>
      </c>
      <c r="C6671" s="51">
        <v>1.006</v>
      </c>
      <c r="D6671" s="51">
        <v>69.0</v>
      </c>
      <c r="E6671" s="52" t="s">
        <v>25</v>
      </c>
      <c r="F6671" s="52" t="s">
        <v>26</v>
      </c>
      <c r="G6671" s="53"/>
    </row>
    <row r="6672">
      <c r="A6672" s="49">
        <v>45091.235436145835</v>
      </c>
      <c r="B6672" s="50">
        <v>45091.3603779051</v>
      </c>
      <c r="C6672" s="51">
        <v>1.006</v>
      </c>
      <c r="D6672" s="51">
        <v>69.0</v>
      </c>
      <c r="E6672" s="52" t="s">
        <v>25</v>
      </c>
      <c r="F6672" s="52" t="s">
        <v>26</v>
      </c>
      <c r="G6672" s="53"/>
    </row>
    <row r="6673">
      <c r="A6673" s="49">
        <v>45091.24586401621</v>
      </c>
      <c r="B6673" s="50">
        <v>45091.3708358796</v>
      </c>
      <c r="C6673" s="51">
        <v>1.006</v>
      </c>
      <c r="D6673" s="51">
        <v>69.0</v>
      </c>
      <c r="E6673" s="52" t="s">
        <v>25</v>
      </c>
      <c r="F6673" s="52" t="s">
        <v>26</v>
      </c>
      <c r="G6673" s="53"/>
    </row>
    <row r="6674">
      <c r="A6674" s="49">
        <v>45091.26672130787</v>
      </c>
      <c r="B6674" s="50">
        <v>45091.3916798148</v>
      </c>
      <c r="C6674" s="51">
        <v>1.006</v>
      </c>
      <c r="D6674" s="51">
        <v>69.0</v>
      </c>
      <c r="E6674" s="52" t="s">
        <v>25</v>
      </c>
      <c r="F6674" s="52" t="s">
        <v>26</v>
      </c>
      <c r="G6674" s="53"/>
    </row>
    <row r="6675">
      <c r="A6675" s="49">
        <v>45091.277133923606</v>
      </c>
      <c r="B6675" s="50">
        <v>45091.4021006365</v>
      </c>
      <c r="C6675" s="51">
        <v>1.006</v>
      </c>
      <c r="D6675" s="51">
        <v>69.0</v>
      </c>
      <c r="E6675" s="52" t="s">
        <v>25</v>
      </c>
      <c r="F6675" s="52" t="s">
        <v>26</v>
      </c>
      <c r="G6675" s="53"/>
    </row>
    <row r="6676">
      <c r="A6676" s="49">
        <v>45091.29799280093</v>
      </c>
      <c r="B6676" s="50">
        <v>45091.4229542361</v>
      </c>
      <c r="C6676" s="51">
        <v>1.006</v>
      </c>
      <c r="D6676" s="51">
        <v>69.0</v>
      </c>
      <c r="E6676" s="52" t="s">
        <v>25</v>
      </c>
      <c r="F6676" s="52" t="s">
        <v>26</v>
      </c>
      <c r="G6676" s="53"/>
    </row>
    <row r="6677">
      <c r="A6677" s="49">
        <v>45091.30842796296</v>
      </c>
      <c r="B6677" s="50">
        <v>45091.4333756134</v>
      </c>
      <c r="C6677" s="51">
        <v>1.006</v>
      </c>
      <c r="D6677" s="51">
        <v>69.0</v>
      </c>
      <c r="E6677" s="52" t="s">
        <v>25</v>
      </c>
      <c r="F6677" s="52" t="s">
        <v>26</v>
      </c>
      <c r="G6677" s="53"/>
    </row>
    <row r="6678">
      <c r="A6678" s="49">
        <v>45091.318852083336</v>
      </c>
      <c r="B6678" s="50">
        <v>45091.4437962963</v>
      </c>
      <c r="C6678" s="51">
        <v>1.006</v>
      </c>
      <c r="D6678" s="51">
        <v>69.0</v>
      </c>
      <c r="E6678" s="52" t="s">
        <v>25</v>
      </c>
      <c r="F6678" s="52" t="s">
        <v>26</v>
      </c>
      <c r="G6678" s="53"/>
    </row>
    <row r="6679">
      <c r="A6679" s="49">
        <v>45091.32927127315</v>
      </c>
      <c r="B6679" s="50">
        <v>45091.4542279282</v>
      </c>
      <c r="C6679" s="51">
        <v>1.007</v>
      </c>
      <c r="D6679" s="51">
        <v>69.0</v>
      </c>
      <c r="E6679" s="52" t="s">
        <v>25</v>
      </c>
      <c r="F6679" s="52" t="s">
        <v>26</v>
      </c>
      <c r="G6679" s="53"/>
    </row>
    <row r="6680">
      <c r="A6680" s="49">
        <v>45091.339695532406</v>
      </c>
      <c r="B6680" s="50">
        <v>45091.4646613888</v>
      </c>
      <c r="C6680" s="51">
        <v>1.006</v>
      </c>
      <c r="D6680" s="51">
        <v>69.0</v>
      </c>
      <c r="E6680" s="52" t="s">
        <v>25</v>
      </c>
      <c r="F6680" s="52" t="s">
        <v>26</v>
      </c>
      <c r="G6680" s="53"/>
    </row>
    <row r="6681">
      <c r="A6681" s="49">
        <v>45091.350132997686</v>
      </c>
      <c r="B6681" s="50">
        <v>45091.4750816782</v>
      </c>
      <c r="C6681" s="51">
        <v>1.006</v>
      </c>
      <c r="D6681" s="51">
        <v>69.0</v>
      </c>
      <c r="E6681" s="52" t="s">
        <v>25</v>
      </c>
      <c r="F6681" s="52" t="s">
        <v>26</v>
      </c>
      <c r="G6681" s="53"/>
    </row>
    <row r="6682">
      <c r="A6682" s="49">
        <v>45091.36053651621</v>
      </c>
      <c r="B6682" s="50">
        <v>45091.485502743</v>
      </c>
      <c r="C6682" s="51">
        <v>1.006</v>
      </c>
      <c r="D6682" s="51">
        <v>69.0</v>
      </c>
      <c r="E6682" s="52" t="s">
        <v>25</v>
      </c>
      <c r="F6682" s="52" t="s">
        <v>26</v>
      </c>
      <c r="G6682" s="53"/>
    </row>
    <row r="6683">
      <c r="A6683" s="49">
        <v>45091.37096260417</v>
      </c>
      <c r="B6683" s="50">
        <v>45091.4959221875</v>
      </c>
      <c r="C6683" s="51">
        <v>1.006</v>
      </c>
      <c r="D6683" s="51">
        <v>69.0</v>
      </c>
      <c r="E6683" s="52" t="s">
        <v>25</v>
      </c>
      <c r="F6683" s="52" t="s">
        <v>26</v>
      </c>
      <c r="G6683" s="53"/>
    </row>
    <row r="6684">
      <c r="A6684" s="49">
        <v>45091.38139217593</v>
      </c>
      <c r="B6684" s="50">
        <v>45091.5063552199</v>
      </c>
      <c r="C6684" s="51">
        <v>1.006</v>
      </c>
      <c r="D6684" s="51">
        <v>69.0</v>
      </c>
      <c r="E6684" s="52" t="s">
        <v>25</v>
      </c>
      <c r="F6684" s="52" t="s">
        <v>26</v>
      </c>
      <c r="G6684" s="53"/>
    </row>
    <row r="6685">
      <c r="A6685" s="49">
        <v>45091.39182686343</v>
      </c>
      <c r="B6685" s="50">
        <v>45091.5167873032</v>
      </c>
      <c r="C6685" s="51">
        <v>1.006</v>
      </c>
      <c r="D6685" s="51">
        <v>69.0</v>
      </c>
      <c r="E6685" s="52" t="s">
        <v>25</v>
      </c>
      <c r="F6685" s="52" t="s">
        <v>26</v>
      </c>
      <c r="G6685" s="53"/>
    </row>
    <row r="6686">
      <c r="A6686" s="49">
        <v>45091.402235381946</v>
      </c>
      <c r="B6686" s="50">
        <v>45091.527208287</v>
      </c>
      <c r="C6686" s="51">
        <v>1.006</v>
      </c>
      <c r="D6686" s="51">
        <v>69.0</v>
      </c>
      <c r="E6686" s="52" t="s">
        <v>25</v>
      </c>
      <c r="F6686" s="52" t="s">
        <v>26</v>
      </c>
      <c r="G6686" s="53"/>
    </row>
    <row r="6687">
      <c r="A6687" s="49">
        <v>45091.4126525926</v>
      </c>
      <c r="B6687" s="50">
        <v>45091.5376277777</v>
      </c>
      <c r="C6687" s="51">
        <v>1.006</v>
      </c>
      <c r="D6687" s="51">
        <v>69.0</v>
      </c>
      <c r="E6687" s="52" t="s">
        <v>25</v>
      </c>
      <c r="F6687" s="52" t="s">
        <v>26</v>
      </c>
      <c r="G6687" s="53"/>
    </row>
    <row r="6688">
      <c r="A6688" s="49">
        <v>45091.423073680555</v>
      </c>
      <c r="B6688" s="50">
        <v>45091.548049074</v>
      </c>
      <c r="C6688" s="51">
        <v>1.006</v>
      </c>
      <c r="D6688" s="51">
        <v>69.0</v>
      </c>
      <c r="E6688" s="52" t="s">
        <v>25</v>
      </c>
      <c r="F6688" s="52" t="s">
        <v>26</v>
      </c>
      <c r="G6688" s="53"/>
    </row>
    <row r="6689">
      <c r="A6689" s="49">
        <v>45091.43349157408</v>
      </c>
      <c r="B6689" s="50">
        <v>45091.5584698379</v>
      </c>
      <c r="C6689" s="51">
        <v>1.006</v>
      </c>
      <c r="D6689" s="51">
        <v>69.0</v>
      </c>
      <c r="E6689" s="52" t="s">
        <v>25</v>
      </c>
      <c r="F6689" s="52" t="s">
        <v>26</v>
      </c>
      <c r="G6689" s="53"/>
    </row>
    <row r="6690">
      <c r="A6690" s="49">
        <v>45091.443919618054</v>
      </c>
      <c r="B6690" s="50">
        <v>45091.5688922801</v>
      </c>
      <c r="C6690" s="51">
        <v>1.006</v>
      </c>
      <c r="D6690" s="51">
        <v>69.0</v>
      </c>
      <c r="E6690" s="52" t="s">
        <v>25</v>
      </c>
      <c r="F6690" s="52" t="s">
        <v>26</v>
      </c>
      <c r="G6690" s="53"/>
    </row>
    <row r="6691">
      <c r="A6691" s="49">
        <v>45091.454347430554</v>
      </c>
      <c r="B6691" s="50">
        <v>45091.579315625</v>
      </c>
      <c r="C6691" s="51">
        <v>1.006</v>
      </c>
      <c r="D6691" s="51">
        <v>69.0</v>
      </c>
      <c r="E6691" s="52" t="s">
        <v>25</v>
      </c>
      <c r="F6691" s="52" t="s">
        <v>26</v>
      </c>
      <c r="G6691" s="53"/>
    </row>
    <row r="6692">
      <c r="A6692" s="49">
        <v>45091.46476174769</v>
      </c>
      <c r="B6692" s="50">
        <v>45091.589736875</v>
      </c>
      <c r="C6692" s="51">
        <v>1.006</v>
      </c>
      <c r="D6692" s="51">
        <v>69.0</v>
      </c>
      <c r="E6692" s="52" t="s">
        <v>25</v>
      </c>
      <c r="F6692" s="52" t="s">
        <v>26</v>
      </c>
      <c r="G6692" s="53"/>
    </row>
    <row r="6693">
      <c r="A6693" s="49">
        <v>45091.47519185185</v>
      </c>
      <c r="B6693" s="50">
        <v>45091.600158449</v>
      </c>
      <c r="C6693" s="51">
        <v>1.006</v>
      </c>
      <c r="D6693" s="51">
        <v>69.0</v>
      </c>
      <c r="E6693" s="52" t="s">
        <v>25</v>
      </c>
      <c r="F6693" s="52" t="s">
        <v>26</v>
      </c>
      <c r="G6693" s="53"/>
    </row>
    <row r="6694">
      <c r="A6694" s="49">
        <v>45091.48561740741</v>
      </c>
      <c r="B6694" s="50">
        <v>45091.610579618</v>
      </c>
      <c r="C6694" s="51">
        <v>1.006</v>
      </c>
      <c r="D6694" s="51">
        <v>69.0</v>
      </c>
      <c r="E6694" s="52" t="s">
        <v>25</v>
      </c>
      <c r="F6694" s="52" t="s">
        <v>26</v>
      </c>
      <c r="G6694" s="53"/>
    </row>
    <row r="6695">
      <c r="A6695" s="49">
        <v>45091.496061701386</v>
      </c>
      <c r="B6695" s="50">
        <v>45091.621012824</v>
      </c>
      <c r="C6695" s="51">
        <v>1.006</v>
      </c>
      <c r="D6695" s="51">
        <v>69.0</v>
      </c>
      <c r="E6695" s="52" t="s">
        <v>25</v>
      </c>
      <c r="F6695" s="52" t="s">
        <v>26</v>
      </c>
      <c r="G6695" s="53"/>
    </row>
    <row r="6696">
      <c r="A6696" s="49">
        <v>45091.506486412036</v>
      </c>
      <c r="B6696" s="50">
        <v>45091.6314442476</v>
      </c>
      <c r="C6696" s="51">
        <v>1.006</v>
      </c>
      <c r="D6696" s="51">
        <v>69.0</v>
      </c>
      <c r="E6696" s="52" t="s">
        <v>25</v>
      </c>
      <c r="F6696" s="52" t="s">
        <v>26</v>
      </c>
      <c r="G6696" s="53"/>
    </row>
    <row r="6697">
      <c r="A6697" s="49">
        <v>45091.516910543985</v>
      </c>
      <c r="B6697" s="50">
        <v>45091.6418663194</v>
      </c>
      <c r="C6697" s="51">
        <v>1.006</v>
      </c>
      <c r="D6697" s="51">
        <v>69.0</v>
      </c>
      <c r="E6697" s="52" t="s">
        <v>25</v>
      </c>
      <c r="F6697" s="52" t="s">
        <v>26</v>
      </c>
      <c r="G6697" s="53"/>
    </row>
    <row r="6698">
      <c r="A6698" s="49">
        <v>45091.52732111111</v>
      </c>
      <c r="B6698" s="50">
        <v>45091.6522996527</v>
      </c>
      <c r="C6698" s="51">
        <v>1.006</v>
      </c>
      <c r="D6698" s="51">
        <v>69.0</v>
      </c>
      <c r="E6698" s="52" t="s">
        <v>25</v>
      </c>
      <c r="F6698" s="52" t="s">
        <v>26</v>
      </c>
      <c r="G6698" s="53"/>
    </row>
    <row r="6699">
      <c r="A6699" s="49">
        <v>45091.53775071759</v>
      </c>
      <c r="B6699" s="50">
        <v>45091.662720868</v>
      </c>
      <c r="C6699" s="51">
        <v>1.006</v>
      </c>
      <c r="D6699" s="51">
        <v>69.0</v>
      </c>
      <c r="E6699" s="52" t="s">
        <v>25</v>
      </c>
      <c r="F6699" s="52" t="s">
        <v>26</v>
      </c>
      <c r="G6699" s="53"/>
    </row>
    <row r="6700">
      <c r="A6700" s="49">
        <v>45091.5481734375</v>
      </c>
      <c r="B6700" s="50">
        <v>45091.6731405324</v>
      </c>
      <c r="C6700" s="51">
        <v>1.006</v>
      </c>
      <c r="D6700" s="51">
        <v>69.0</v>
      </c>
      <c r="E6700" s="52" t="s">
        <v>25</v>
      </c>
      <c r="F6700" s="52" t="s">
        <v>26</v>
      </c>
      <c r="G6700" s="53"/>
    </row>
    <row r="6701">
      <c r="A6701" s="49">
        <v>45091.55860259259</v>
      </c>
      <c r="B6701" s="50">
        <v>45091.6835742245</v>
      </c>
      <c r="C6701" s="51">
        <v>1.006</v>
      </c>
      <c r="D6701" s="51">
        <v>69.0</v>
      </c>
      <c r="E6701" s="52" t="s">
        <v>25</v>
      </c>
      <c r="F6701" s="52" t="s">
        <v>26</v>
      </c>
      <c r="G6701" s="53"/>
    </row>
    <row r="6702">
      <c r="A6702" s="49">
        <v>45091.5690196875</v>
      </c>
      <c r="B6702" s="50">
        <v>45091.6939943634</v>
      </c>
      <c r="C6702" s="51">
        <v>1.006</v>
      </c>
      <c r="D6702" s="51">
        <v>69.0</v>
      </c>
      <c r="E6702" s="52" t="s">
        <v>25</v>
      </c>
      <c r="F6702" s="52" t="s">
        <v>26</v>
      </c>
      <c r="G6702" s="53"/>
    </row>
    <row r="6703">
      <c r="A6703" s="49">
        <v>45091.57946119213</v>
      </c>
      <c r="B6703" s="50">
        <v>45091.7044386921</v>
      </c>
      <c r="C6703" s="51">
        <v>1.006</v>
      </c>
      <c r="D6703" s="51">
        <v>69.0</v>
      </c>
      <c r="E6703" s="52" t="s">
        <v>25</v>
      </c>
      <c r="F6703" s="52" t="s">
        <v>26</v>
      </c>
      <c r="G6703" s="53"/>
    </row>
    <row r="6704">
      <c r="A6704" s="49">
        <v>45091.58989859954</v>
      </c>
      <c r="B6704" s="50">
        <v>45091.714872743</v>
      </c>
      <c r="C6704" s="51">
        <v>1.006</v>
      </c>
      <c r="D6704" s="51">
        <v>69.0</v>
      </c>
      <c r="E6704" s="52" t="s">
        <v>25</v>
      </c>
      <c r="F6704" s="52" t="s">
        <v>26</v>
      </c>
      <c r="G6704" s="53"/>
    </row>
    <row r="6705">
      <c r="A6705" s="49">
        <v>45091.60032261574</v>
      </c>
      <c r="B6705" s="50">
        <v>45091.7252940393</v>
      </c>
      <c r="C6705" s="51">
        <v>1.006</v>
      </c>
      <c r="D6705" s="51">
        <v>69.0</v>
      </c>
      <c r="E6705" s="52" t="s">
        <v>25</v>
      </c>
      <c r="F6705" s="52" t="s">
        <v>26</v>
      </c>
      <c r="G6705" s="53"/>
    </row>
    <row r="6706">
      <c r="A6706" s="49">
        <v>45091.61074336806</v>
      </c>
      <c r="B6706" s="50">
        <v>45091.735714537</v>
      </c>
      <c r="C6706" s="51">
        <v>1.006</v>
      </c>
      <c r="D6706" s="51">
        <v>69.0</v>
      </c>
      <c r="E6706" s="52" t="s">
        <v>25</v>
      </c>
      <c r="F6706" s="52" t="s">
        <v>26</v>
      </c>
      <c r="G6706" s="53"/>
    </row>
    <row r="6707">
      <c r="A6707" s="49">
        <v>45091.62115680556</v>
      </c>
      <c r="B6707" s="50">
        <v>45091.7461346643</v>
      </c>
      <c r="C6707" s="51">
        <v>1.006</v>
      </c>
      <c r="D6707" s="51">
        <v>69.0</v>
      </c>
      <c r="E6707" s="52" t="s">
        <v>25</v>
      </c>
      <c r="F6707" s="52" t="s">
        <v>26</v>
      </c>
      <c r="G6707" s="53"/>
    </row>
    <row r="6708">
      <c r="A6708" s="49">
        <v>45091.63163386574</v>
      </c>
      <c r="B6708" s="50">
        <v>45091.7565562615</v>
      </c>
      <c r="C6708" s="51">
        <v>1.006</v>
      </c>
      <c r="D6708" s="51">
        <v>69.0</v>
      </c>
      <c r="E6708" s="52" t="s">
        <v>25</v>
      </c>
      <c r="F6708" s="52" t="s">
        <v>26</v>
      </c>
      <c r="G6708" s="53"/>
    </row>
    <row r="6709">
      <c r="A6709" s="49">
        <v>45091.6420055787</v>
      </c>
      <c r="B6709" s="50">
        <v>45091.7669770486</v>
      </c>
      <c r="C6709" s="51">
        <v>1.006</v>
      </c>
      <c r="D6709" s="51">
        <v>69.0</v>
      </c>
      <c r="E6709" s="52" t="s">
        <v>25</v>
      </c>
      <c r="F6709" s="52" t="s">
        <v>26</v>
      </c>
      <c r="G6709" s="53"/>
    </row>
    <row r="6710">
      <c r="A6710" s="49">
        <v>45091.65242922454</v>
      </c>
      <c r="B6710" s="50">
        <v>45091.7773991319</v>
      </c>
      <c r="C6710" s="51">
        <v>1.006</v>
      </c>
      <c r="D6710" s="51">
        <v>69.0</v>
      </c>
      <c r="E6710" s="52" t="s">
        <v>25</v>
      </c>
      <c r="F6710" s="52" t="s">
        <v>26</v>
      </c>
      <c r="G6710" s="53"/>
    </row>
    <row r="6711">
      <c r="A6711" s="49">
        <v>45091.662859131946</v>
      </c>
      <c r="B6711" s="50">
        <v>45091.7878304861</v>
      </c>
      <c r="C6711" s="51">
        <v>1.006</v>
      </c>
      <c r="D6711" s="51">
        <v>69.0</v>
      </c>
      <c r="E6711" s="52" t="s">
        <v>25</v>
      </c>
      <c r="F6711" s="52" t="s">
        <v>26</v>
      </c>
      <c r="G6711" s="53"/>
    </row>
    <row r="6712">
      <c r="A6712" s="49">
        <v>45091.673277118054</v>
      </c>
      <c r="B6712" s="50">
        <v>45091.7982508333</v>
      </c>
      <c r="C6712" s="51">
        <v>1.006</v>
      </c>
      <c r="D6712" s="51">
        <v>69.0</v>
      </c>
      <c r="E6712" s="52" t="s">
        <v>25</v>
      </c>
      <c r="F6712" s="52" t="s">
        <v>26</v>
      </c>
      <c r="G6712" s="53"/>
    </row>
    <row r="6713">
      <c r="A6713" s="49">
        <v>45091.68369578704</v>
      </c>
      <c r="B6713" s="50">
        <v>45091.808672118</v>
      </c>
      <c r="C6713" s="51">
        <v>1.006</v>
      </c>
      <c r="D6713" s="51">
        <v>69.0</v>
      </c>
      <c r="E6713" s="52" t="s">
        <v>25</v>
      </c>
      <c r="F6713" s="52" t="s">
        <v>26</v>
      </c>
      <c r="G6713" s="53"/>
    </row>
    <row r="6714">
      <c r="A6714" s="49">
        <v>45091.694132442135</v>
      </c>
      <c r="B6714" s="50">
        <v>45091.8191051041</v>
      </c>
      <c r="C6714" s="51">
        <v>1.006</v>
      </c>
      <c r="D6714" s="51">
        <v>69.0</v>
      </c>
      <c r="E6714" s="52" t="s">
        <v>25</v>
      </c>
      <c r="F6714" s="52" t="s">
        <v>26</v>
      </c>
      <c r="G6714" s="53"/>
    </row>
    <row r="6715">
      <c r="A6715" s="49">
        <v>45091.704549201386</v>
      </c>
      <c r="B6715" s="50">
        <v>45091.829526412</v>
      </c>
      <c r="C6715" s="51">
        <v>1.006</v>
      </c>
      <c r="D6715" s="51">
        <v>69.0</v>
      </c>
      <c r="E6715" s="52" t="s">
        <v>25</v>
      </c>
      <c r="F6715" s="52" t="s">
        <v>26</v>
      </c>
      <c r="G6715" s="53"/>
    </row>
    <row r="6716">
      <c r="A6716" s="49">
        <v>45091.71498792824</v>
      </c>
      <c r="B6716" s="50">
        <v>45091.8399588888</v>
      </c>
      <c r="C6716" s="51">
        <v>1.006</v>
      </c>
      <c r="D6716" s="51">
        <v>69.0</v>
      </c>
      <c r="E6716" s="52" t="s">
        <v>25</v>
      </c>
      <c r="F6716" s="52" t="s">
        <v>26</v>
      </c>
      <c r="G6716" s="53"/>
    </row>
    <row r="6717">
      <c r="A6717" s="49">
        <v>45091.725404212964</v>
      </c>
      <c r="B6717" s="50">
        <v>45091.8503784838</v>
      </c>
      <c r="C6717" s="51">
        <v>1.006</v>
      </c>
      <c r="D6717" s="51">
        <v>69.0</v>
      </c>
      <c r="E6717" s="52" t="s">
        <v>25</v>
      </c>
      <c r="F6717" s="52" t="s">
        <v>26</v>
      </c>
      <c r="G6717" s="53"/>
    </row>
    <row r="6718">
      <c r="A6718" s="49">
        <v>45091.73584912037</v>
      </c>
      <c r="B6718" s="50">
        <v>45091.8608223148</v>
      </c>
      <c r="C6718" s="51">
        <v>1.006</v>
      </c>
      <c r="D6718" s="51">
        <v>69.0</v>
      </c>
      <c r="E6718" s="52" t="s">
        <v>25</v>
      </c>
      <c r="F6718" s="52" t="s">
        <v>26</v>
      </c>
      <c r="G6718" s="53"/>
    </row>
    <row r="6719">
      <c r="A6719" s="49">
        <v>45091.74626922453</v>
      </c>
      <c r="B6719" s="50">
        <v>45091.871242824</v>
      </c>
      <c r="C6719" s="51">
        <v>1.006</v>
      </c>
      <c r="D6719" s="51">
        <v>69.0</v>
      </c>
      <c r="E6719" s="52" t="s">
        <v>25</v>
      </c>
      <c r="F6719" s="52" t="s">
        <v>26</v>
      </c>
      <c r="G6719" s="53"/>
    </row>
    <row r="6720">
      <c r="A6720" s="49">
        <v>45091.75669194444</v>
      </c>
      <c r="B6720" s="50">
        <v>45091.8816640972</v>
      </c>
      <c r="C6720" s="51">
        <v>1.006</v>
      </c>
      <c r="D6720" s="51">
        <v>69.0</v>
      </c>
      <c r="E6720" s="52" t="s">
        <v>25</v>
      </c>
      <c r="F6720" s="52" t="s">
        <v>26</v>
      </c>
      <c r="G6720" s="53"/>
    </row>
    <row r="6721">
      <c r="A6721" s="49">
        <v>45091.76711375</v>
      </c>
      <c r="B6721" s="50">
        <v>45091.8920854513</v>
      </c>
      <c r="C6721" s="51">
        <v>1.006</v>
      </c>
      <c r="D6721" s="51">
        <v>69.0</v>
      </c>
      <c r="E6721" s="52" t="s">
        <v>25</v>
      </c>
      <c r="F6721" s="52" t="s">
        <v>26</v>
      </c>
      <c r="G6721" s="53"/>
    </row>
    <row r="6722">
      <c r="A6722" s="49">
        <v>45091.777595011576</v>
      </c>
      <c r="B6722" s="50">
        <v>45091.9025193287</v>
      </c>
      <c r="C6722" s="51">
        <v>1.006</v>
      </c>
      <c r="D6722" s="51">
        <v>69.0</v>
      </c>
      <c r="E6722" s="52" t="s">
        <v>25</v>
      </c>
      <c r="F6722" s="52" t="s">
        <v>26</v>
      </c>
      <c r="G6722" s="53"/>
    </row>
    <row r="6723">
      <c r="A6723" s="49">
        <v>45091.798402395834</v>
      </c>
      <c r="B6723" s="50">
        <v>45091.9233724884</v>
      </c>
      <c r="C6723" s="51">
        <v>1.006</v>
      </c>
      <c r="D6723" s="51">
        <v>69.0</v>
      </c>
      <c r="E6723" s="52" t="s">
        <v>25</v>
      </c>
      <c r="F6723" s="52" t="s">
        <v>26</v>
      </c>
      <c r="G6723" s="53"/>
    </row>
    <row r="6724">
      <c r="A6724" s="49">
        <v>45091.80882162037</v>
      </c>
      <c r="B6724" s="50">
        <v>45091.9337940625</v>
      </c>
      <c r="C6724" s="51">
        <v>1.006</v>
      </c>
      <c r="D6724" s="51">
        <v>69.0</v>
      </c>
      <c r="E6724" s="52" t="s">
        <v>25</v>
      </c>
      <c r="F6724" s="52" t="s">
        <v>26</v>
      </c>
      <c r="G6724" s="53"/>
    </row>
    <row r="6725">
      <c r="A6725" s="49">
        <v>45091.8192315625</v>
      </c>
      <c r="B6725" s="50">
        <v>45091.944215949</v>
      </c>
      <c r="C6725" s="51">
        <v>1.006</v>
      </c>
      <c r="D6725" s="51">
        <v>69.0</v>
      </c>
      <c r="E6725" s="52" t="s">
        <v>25</v>
      </c>
      <c r="F6725" s="52" t="s">
        <v>26</v>
      </c>
      <c r="G6725" s="53"/>
    </row>
    <row r="6726">
      <c r="A6726" s="49">
        <v>45091.82966267361</v>
      </c>
      <c r="B6726" s="50">
        <v>45091.9546365046</v>
      </c>
      <c r="C6726" s="51">
        <v>1.006</v>
      </c>
      <c r="D6726" s="51">
        <v>69.0</v>
      </c>
      <c r="E6726" s="52" t="s">
        <v>25</v>
      </c>
      <c r="F6726" s="52" t="s">
        <v>26</v>
      </c>
      <c r="G6726" s="53"/>
    </row>
    <row r="6727">
      <c r="A6727" s="49">
        <v>45091.84008391204</v>
      </c>
      <c r="B6727" s="50">
        <v>45091.9650565509</v>
      </c>
      <c r="C6727" s="51">
        <v>1.006</v>
      </c>
      <c r="D6727" s="51">
        <v>69.0</v>
      </c>
      <c r="E6727" s="52" t="s">
        <v>25</v>
      </c>
      <c r="F6727" s="52" t="s">
        <v>26</v>
      </c>
      <c r="G6727" s="53"/>
    </row>
    <row r="6728">
      <c r="A6728" s="49">
        <v>45091.85053193287</v>
      </c>
      <c r="B6728" s="50">
        <v>45091.9755015856</v>
      </c>
      <c r="C6728" s="51">
        <v>1.006</v>
      </c>
      <c r="D6728" s="51">
        <v>69.0</v>
      </c>
      <c r="E6728" s="52" t="s">
        <v>25</v>
      </c>
      <c r="F6728" s="52" t="s">
        <v>26</v>
      </c>
      <c r="G6728" s="53"/>
    </row>
    <row r="6729">
      <c r="A6729" s="49">
        <v>45091.86094675926</v>
      </c>
      <c r="B6729" s="50">
        <v>45091.9859215509</v>
      </c>
      <c r="C6729" s="51">
        <v>1.006</v>
      </c>
      <c r="D6729" s="51">
        <v>69.0</v>
      </c>
      <c r="E6729" s="52" t="s">
        <v>25</v>
      </c>
      <c r="F6729" s="52" t="s">
        <v>26</v>
      </c>
      <c r="G6729" s="53"/>
    </row>
    <row r="6730">
      <c r="A6730" s="49">
        <v>45091.87136730324</v>
      </c>
      <c r="B6730" s="50">
        <v>45091.9963431597</v>
      </c>
      <c r="C6730" s="51">
        <v>1.006</v>
      </c>
      <c r="D6730" s="51">
        <v>69.0</v>
      </c>
      <c r="E6730" s="52" t="s">
        <v>25</v>
      </c>
      <c r="F6730" s="52" t="s">
        <v>26</v>
      </c>
      <c r="G6730" s="53"/>
    </row>
    <row r="6731">
      <c r="A6731" s="49">
        <v>45091.88178869213</v>
      </c>
      <c r="B6731" s="50">
        <v>45092.0067631944</v>
      </c>
      <c r="C6731" s="51">
        <v>1.006</v>
      </c>
      <c r="D6731" s="51">
        <v>69.0</v>
      </c>
      <c r="E6731" s="52" t="s">
        <v>25</v>
      </c>
      <c r="F6731" s="52" t="s">
        <v>26</v>
      </c>
      <c r="G6731" s="53"/>
    </row>
    <row r="6732">
      <c r="A6732" s="49">
        <v>45091.89223655092</v>
      </c>
      <c r="B6732" s="50">
        <v>45092.0172083333</v>
      </c>
      <c r="C6732" s="51">
        <v>1.006</v>
      </c>
      <c r="D6732" s="51">
        <v>69.0</v>
      </c>
      <c r="E6732" s="52" t="s">
        <v>25</v>
      </c>
      <c r="F6732" s="52" t="s">
        <v>26</v>
      </c>
      <c r="G6732" s="53"/>
    </row>
    <row r="6733">
      <c r="A6733" s="49">
        <v>45091.90264901621</v>
      </c>
      <c r="B6733" s="50">
        <v>45092.0276296875</v>
      </c>
      <c r="C6733" s="51">
        <v>1.006</v>
      </c>
      <c r="D6733" s="51">
        <v>69.0</v>
      </c>
      <c r="E6733" s="52" t="s">
        <v>25</v>
      </c>
      <c r="F6733" s="52" t="s">
        <v>26</v>
      </c>
      <c r="G6733" s="53"/>
    </row>
    <row r="6734">
      <c r="A6734" s="49">
        <v>45091.913089525464</v>
      </c>
      <c r="B6734" s="50">
        <v>45092.0380627199</v>
      </c>
      <c r="C6734" s="51">
        <v>1.006</v>
      </c>
      <c r="D6734" s="51">
        <v>69.0</v>
      </c>
      <c r="E6734" s="52" t="s">
        <v>25</v>
      </c>
      <c r="F6734" s="52" t="s">
        <v>26</v>
      </c>
      <c r="G6734" s="53"/>
    </row>
    <row r="6735">
      <c r="A6735" s="49">
        <v>45091.92351003472</v>
      </c>
      <c r="B6735" s="50">
        <v>45092.048484074</v>
      </c>
      <c r="C6735" s="51">
        <v>1.006</v>
      </c>
      <c r="D6735" s="51">
        <v>69.0</v>
      </c>
      <c r="E6735" s="52" t="s">
        <v>25</v>
      </c>
      <c r="F6735" s="52" t="s">
        <v>26</v>
      </c>
      <c r="G6735" s="53"/>
    </row>
    <row r="6736">
      <c r="A6736" s="49">
        <v>45091.933923530094</v>
      </c>
      <c r="B6736" s="50">
        <v>45092.05890603</v>
      </c>
      <c r="C6736" s="51">
        <v>1.006</v>
      </c>
      <c r="D6736" s="51">
        <v>69.0</v>
      </c>
      <c r="E6736" s="52" t="s">
        <v>25</v>
      </c>
      <c r="F6736" s="52" t="s">
        <v>26</v>
      </c>
      <c r="G6736" s="53"/>
    </row>
    <row r="6737">
      <c r="A6737" s="49">
        <v>45091.94436337963</v>
      </c>
      <c r="B6737" s="50">
        <v>45092.0693396875</v>
      </c>
      <c r="C6737" s="51">
        <v>1.006</v>
      </c>
      <c r="D6737" s="51">
        <v>69.0</v>
      </c>
      <c r="E6737" s="52" t="s">
        <v>25</v>
      </c>
      <c r="F6737" s="52" t="s">
        <v>26</v>
      </c>
      <c r="G6737" s="53"/>
    </row>
    <row r="6738">
      <c r="A6738" s="49">
        <v>45091.95480190973</v>
      </c>
      <c r="B6738" s="50">
        <v>45092.0797611921</v>
      </c>
      <c r="C6738" s="51">
        <v>1.006</v>
      </c>
      <c r="D6738" s="51">
        <v>69.0</v>
      </c>
      <c r="E6738" s="52" t="s">
        <v>25</v>
      </c>
      <c r="F6738" s="52" t="s">
        <v>26</v>
      </c>
      <c r="G6738" s="53"/>
    </row>
    <row r="6739">
      <c r="A6739" s="49">
        <v>45091.96521263889</v>
      </c>
      <c r="B6739" s="50">
        <v>45092.0901823379</v>
      </c>
      <c r="C6739" s="51">
        <v>1.006</v>
      </c>
      <c r="D6739" s="51">
        <v>69.0</v>
      </c>
      <c r="E6739" s="52" t="s">
        <v>25</v>
      </c>
      <c r="F6739" s="52" t="s">
        <v>26</v>
      </c>
      <c r="G6739" s="53"/>
    </row>
    <row r="6740">
      <c r="A6740" s="49">
        <v>45091.97562297454</v>
      </c>
      <c r="B6740" s="50">
        <v>45092.1006043402</v>
      </c>
      <c r="C6740" s="51">
        <v>1.006</v>
      </c>
      <c r="D6740" s="51">
        <v>69.0</v>
      </c>
      <c r="E6740" s="52" t="s">
        <v>25</v>
      </c>
      <c r="F6740" s="52" t="s">
        <v>26</v>
      </c>
      <c r="G6740" s="53"/>
    </row>
    <row r="6741">
      <c r="A6741" s="49">
        <v>45091.98605417824</v>
      </c>
      <c r="B6741" s="50">
        <v>45092.11102625</v>
      </c>
      <c r="C6741" s="51">
        <v>1.006</v>
      </c>
      <c r="D6741" s="51">
        <v>69.0</v>
      </c>
      <c r="E6741" s="52" t="s">
        <v>25</v>
      </c>
      <c r="F6741" s="52" t="s">
        <v>26</v>
      </c>
      <c r="G6741" s="53"/>
    </row>
    <row r="6742">
      <c r="A6742" s="49">
        <v>45091.99646761574</v>
      </c>
      <c r="B6742" s="50">
        <v>45092.1214477314</v>
      </c>
      <c r="C6742" s="51">
        <v>1.006</v>
      </c>
      <c r="D6742" s="51">
        <v>69.0</v>
      </c>
      <c r="E6742" s="52" t="s">
        <v>25</v>
      </c>
      <c r="F6742" s="52" t="s">
        <v>26</v>
      </c>
      <c r="G6742" s="53"/>
    </row>
    <row r="6743">
      <c r="A6743" s="49">
        <v>45092.01732297454</v>
      </c>
      <c r="B6743" s="50">
        <v>45092.1422910301</v>
      </c>
      <c r="C6743" s="51">
        <v>1.006</v>
      </c>
      <c r="D6743" s="51">
        <v>69.0</v>
      </c>
      <c r="E6743" s="52" t="s">
        <v>25</v>
      </c>
      <c r="F6743" s="52" t="s">
        <v>26</v>
      </c>
      <c r="G6743" s="53"/>
    </row>
    <row r="6744">
      <c r="A6744" s="49">
        <v>45092.02774203704</v>
      </c>
      <c r="B6744" s="50">
        <v>45092.1527119907</v>
      </c>
      <c r="C6744" s="51">
        <v>1.006</v>
      </c>
      <c r="D6744" s="51">
        <v>69.0</v>
      </c>
      <c r="E6744" s="52" t="s">
        <v>25</v>
      </c>
      <c r="F6744" s="52" t="s">
        <v>26</v>
      </c>
      <c r="G6744" s="53"/>
    </row>
    <row r="6745">
      <c r="A6745" s="49">
        <v>45092.03816892361</v>
      </c>
      <c r="B6745" s="50">
        <v>45092.1631341203</v>
      </c>
      <c r="C6745" s="51">
        <v>1.006</v>
      </c>
      <c r="D6745" s="51">
        <v>69.0</v>
      </c>
      <c r="E6745" s="52" t="s">
        <v>25</v>
      </c>
      <c r="F6745" s="52" t="s">
        <v>26</v>
      </c>
      <c r="G6745" s="53"/>
    </row>
    <row r="6746">
      <c r="A6746" s="49">
        <v>45092.04857846065</v>
      </c>
      <c r="B6746" s="50">
        <v>45092.1735538657</v>
      </c>
      <c r="C6746" s="51">
        <v>1.006</v>
      </c>
      <c r="D6746" s="51">
        <v>69.0</v>
      </c>
      <c r="E6746" s="52" t="s">
        <v>25</v>
      </c>
      <c r="F6746" s="52" t="s">
        <v>26</v>
      </c>
      <c r="G6746" s="53"/>
    </row>
    <row r="6747">
      <c r="A6747" s="49">
        <v>45092.059019409724</v>
      </c>
      <c r="B6747" s="50">
        <v>45092.1839881944</v>
      </c>
      <c r="C6747" s="51">
        <v>1.006</v>
      </c>
      <c r="D6747" s="51">
        <v>69.0</v>
      </c>
      <c r="E6747" s="52" t="s">
        <v>25</v>
      </c>
      <c r="F6747" s="52" t="s">
        <v>26</v>
      </c>
      <c r="G6747" s="53"/>
    </row>
    <row r="6748">
      <c r="A6748" s="49">
        <v>45092.06944065972</v>
      </c>
      <c r="B6748" s="50">
        <v>45092.1944094213</v>
      </c>
      <c r="C6748" s="51">
        <v>1.006</v>
      </c>
      <c r="D6748" s="51">
        <v>69.0</v>
      </c>
      <c r="E6748" s="52" t="s">
        <v>25</v>
      </c>
      <c r="F6748" s="52" t="s">
        <v>26</v>
      </c>
      <c r="G6748" s="53"/>
    </row>
    <row r="6749">
      <c r="A6749" s="49">
        <v>45092.07987619213</v>
      </c>
      <c r="B6749" s="50">
        <v>45092.2048422222</v>
      </c>
      <c r="C6749" s="51">
        <v>1.006</v>
      </c>
      <c r="D6749" s="51">
        <v>69.0</v>
      </c>
      <c r="E6749" s="52" t="s">
        <v>25</v>
      </c>
      <c r="F6749" s="52" t="s">
        <v>26</v>
      </c>
      <c r="G6749" s="53"/>
    </row>
    <row r="6750">
      <c r="A6750" s="49">
        <v>45092.09029287037</v>
      </c>
      <c r="B6750" s="50">
        <v>45092.2152636458</v>
      </c>
      <c r="C6750" s="51">
        <v>1.006</v>
      </c>
      <c r="D6750" s="51">
        <v>69.0</v>
      </c>
      <c r="E6750" s="52" t="s">
        <v>25</v>
      </c>
      <c r="F6750" s="52" t="s">
        <v>26</v>
      </c>
      <c r="G6750" s="53"/>
    </row>
    <row r="6751">
      <c r="A6751" s="49">
        <v>45092.10071908565</v>
      </c>
      <c r="B6751" s="50">
        <v>45092.2256863773</v>
      </c>
      <c r="C6751" s="51">
        <v>1.006</v>
      </c>
      <c r="D6751" s="51">
        <v>69.0</v>
      </c>
      <c r="E6751" s="52" t="s">
        <v>25</v>
      </c>
      <c r="F6751" s="52" t="s">
        <v>26</v>
      </c>
      <c r="G6751" s="53"/>
    </row>
    <row r="6752">
      <c r="A6752" s="49">
        <v>45092.11115457176</v>
      </c>
      <c r="B6752" s="50">
        <v>45092.2361212963</v>
      </c>
      <c r="C6752" s="51">
        <v>1.006</v>
      </c>
      <c r="D6752" s="51">
        <v>69.0</v>
      </c>
      <c r="E6752" s="52" t="s">
        <v>25</v>
      </c>
      <c r="F6752" s="52" t="s">
        <v>26</v>
      </c>
      <c r="G6752" s="53"/>
    </row>
    <row r="6753">
      <c r="A6753" s="49">
        <v>45092.12159460648</v>
      </c>
      <c r="B6753" s="50">
        <v>45092.2465642245</v>
      </c>
      <c r="C6753" s="51">
        <v>1.006</v>
      </c>
      <c r="D6753" s="51">
        <v>69.0</v>
      </c>
      <c r="E6753" s="52" t="s">
        <v>25</v>
      </c>
      <c r="F6753" s="52" t="s">
        <v>26</v>
      </c>
      <c r="G6753" s="53"/>
    </row>
    <row r="6754">
      <c r="A6754" s="49">
        <v>45092.13201202547</v>
      </c>
      <c r="B6754" s="50">
        <v>45092.2569840972</v>
      </c>
      <c r="C6754" s="51">
        <v>1.006</v>
      </c>
      <c r="D6754" s="51">
        <v>69.0</v>
      </c>
      <c r="E6754" s="52" t="s">
        <v>25</v>
      </c>
      <c r="F6754" s="52" t="s">
        <v>26</v>
      </c>
      <c r="G6754" s="53"/>
    </row>
    <row r="6755">
      <c r="A6755" s="49">
        <v>45092.14243504629</v>
      </c>
      <c r="B6755" s="50">
        <v>45092.2674042245</v>
      </c>
      <c r="C6755" s="51">
        <v>1.006</v>
      </c>
      <c r="D6755" s="51">
        <v>69.0</v>
      </c>
      <c r="E6755" s="52" t="s">
        <v>25</v>
      </c>
      <c r="F6755" s="52" t="s">
        <v>26</v>
      </c>
      <c r="G6755" s="53"/>
    </row>
    <row r="6756">
      <c r="A6756" s="49">
        <v>45092.15287157407</v>
      </c>
      <c r="B6756" s="50">
        <v>45092.2778383912</v>
      </c>
      <c r="C6756" s="51">
        <v>1.006</v>
      </c>
      <c r="D6756" s="51">
        <v>69.0</v>
      </c>
      <c r="E6756" s="52" t="s">
        <v>25</v>
      </c>
      <c r="F6756" s="52" t="s">
        <v>26</v>
      </c>
      <c r="G6756" s="53"/>
    </row>
    <row r="6757">
      <c r="A6757" s="49">
        <v>45092.16330259259</v>
      </c>
      <c r="B6757" s="50">
        <v>45092.2882720949</v>
      </c>
      <c r="C6757" s="51">
        <v>1.006</v>
      </c>
      <c r="D6757" s="51">
        <v>69.0</v>
      </c>
      <c r="E6757" s="52" t="s">
        <v>25</v>
      </c>
      <c r="F6757" s="52" t="s">
        <v>26</v>
      </c>
      <c r="G6757" s="53"/>
    </row>
    <row r="6758">
      <c r="A6758" s="49">
        <v>45092.17373415509</v>
      </c>
      <c r="B6758" s="50">
        <v>45092.2986940856</v>
      </c>
      <c r="C6758" s="51">
        <v>1.006</v>
      </c>
      <c r="D6758" s="51">
        <v>69.0</v>
      </c>
      <c r="E6758" s="52" t="s">
        <v>25</v>
      </c>
      <c r="F6758" s="52" t="s">
        <v>26</v>
      </c>
      <c r="G6758" s="53"/>
    </row>
    <row r="6759">
      <c r="A6759" s="49">
        <v>45092.18414690973</v>
      </c>
      <c r="B6759" s="50">
        <v>45092.3091163541</v>
      </c>
      <c r="C6759" s="51">
        <v>1.006</v>
      </c>
      <c r="D6759" s="51">
        <v>69.0</v>
      </c>
      <c r="E6759" s="52" t="s">
        <v>25</v>
      </c>
      <c r="F6759" s="52" t="s">
        <v>26</v>
      </c>
      <c r="G6759" s="53"/>
    </row>
    <row r="6760">
      <c r="A6760" s="49">
        <v>45092.19456537037</v>
      </c>
      <c r="B6760" s="50">
        <v>45092.3195385532</v>
      </c>
      <c r="C6760" s="51">
        <v>1.006</v>
      </c>
      <c r="D6760" s="51">
        <v>69.0</v>
      </c>
      <c r="E6760" s="52" t="s">
        <v>25</v>
      </c>
      <c r="F6760" s="52" t="s">
        <v>26</v>
      </c>
      <c r="G6760" s="53"/>
    </row>
    <row r="6761">
      <c r="A6761" s="49">
        <v>45092.20499032407</v>
      </c>
      <c r="B6761" s="50">
        <v>45092.3299598611</v>
      </c>
      <c r="C6761" s="51">
        <v>1.006</v>
      </c>
      <c r="D6761" s="51">
        <v>69.0</v>
      </c>
      <c r="E6761" s="52" t="s">
        <v>25</v>
      </c>
      <c r="F6761" s="52" t="s">
        <v>26</v>
      </c>
      <c r="G6761" s="53"/>
    </row>
    <row r="6762">
      <c r="A6762" s="49">
        <v>45092.21540858796</v>
      </c>
      <c r="B6762" s="50">
        <v>45092.3403808912</v>
      </c>
      <c r="C6762" s="51">
        <v>1.006</v>
      </c>
      <c r="D6762" s="51">
        <v>69.0</v>
      </c>
      <c r="E6762" s="52" t="s">
        <v>25</v>
      </c>
      <c r="F6762" s="52" t="s">
        <v>26</v>
      </c>
      <c r="G6762" s="53"/>
    </row>
    <row r="6763">
      <c r="A6763" s="49">
        <v>45092.22583152778</v>
      </c>
      <c r="B6763" s="50">
        <v>45092.3508010879</v>
      </c>
      <c r="C6763" s="51">
        <v>1.006</v>
      </c>
      <c r="D6763" s="51">
        <v>69.0</v>
      </c>
      <c r="E6763" s="52" t="s">
        <v>25</v>
      </c>
      <c r="F6763" s="52" t="s">
        <v>26</v>
      </c>
      <c r="G6763" s="53"/>
    </row>
    <row r="6764">
      <c r="A6764" s="49">
        <v>45092.23628996528</v>
      </c>
      <c r="B6764" s="50">
        <v>45092.3612458912</v>
      </c>
      <c r="C6764" s="51">
        <v>1.006</v>
      </c>
      <c r="D6764" s="51">
        <v>69.0</v>
      </c>
      <c r="E6764" s="52" t="s">
        <v>25</v>
      </c>
      <c r="F6764" s="52" t="s">
        <v>26</v>
      </c>
      <c r="G6764" s="53"/>
    </row>
    <row r="6765">
      <c r="A6765" s="49">
        <v>45092.2467142824</v>
      </c>
      <c r="B6765" s="50">
        <v>45092.3716689814</v>
      </c>
      <c r="C6765" s="51">
        <v>1.006</v>
      </c>
      <c r="D6765" s="51">
        <v>69.0</v>
      </c>
      <c r="E6765" s="52" t="s">
        <v>25</v>
      </c>
      <c r="F6765" s="52" t="s">
        <v>26</v>
      </c>
      <c r="G6765" s="53"/>
    </row>
    <row r="6766">
      <c r="A6766" s="49">
        <v>45092.25713670139</v>
      </c>
      <c r="B6766" s="50">
        <v>45092.3821020833</v>
      </c>
      <c r="C6766" s="51">
        <v>1.006</v>
      </c>
      <c r="D6766" s="51">
        <v>69.0</v>
      </c>
      <c r="E6766" s="52" t="s">
        <v>25</v>
      </c>
      <c r="F6766" s="52" t="s">
        <v>26</v>
      </c>
      <c r="G6766" s="53"/>
    </row>
    <row r="6767">
      <c r="A6767" s="49">
        <v>45092.26758954861</v>
      </c>
      <c r="B6767" s="50">
        <v>45092.3925582291</v>
      </c>
      <c r="C6767" s="51">
        <v>1.006</v>
      </c>
      <c r="D6767" s="51">
        <v>69.0</v>
      </c>
      <c r="E6767" s="52" t="s">
        <v>25</v>
      </c>
      <c r="F6767" s="52" t="s">
        <v>26</v>
      </c>
      <c r="G6767" s="53"/>
    </row>
    <row r="6768">
      <c r="A6768" s="49">
        <v>45092.27800125</v>
      </c>
      <c r="B6768" s="50">
        <v>45092.4029790046</v>
      </c>
      <c r="C6768" s="51">
        <v>1.006</v>
      </c>
      <c r="D6768" s="51">
        <v>69.0</v>
      </c>
      <c r="E6768" s="52" t="s">
        <v>25</v>
      </c>
      <c r="F6768" s="52" t="s">
        <v>26</v>
      </c>
      <c r="G6768" s="53"/>
    </row>
    <row r="6769">
      <c r="A6769" s="49">
        <v>45092.288445439815</v>
      </c>
      <c r="B6769" s="50">
        <v>45092.4134115277</v>
      </c>
      <c r="C6769" s="51">
        <v>1.006</v>
      </c>
      <c r="D6769" s="51">
        <v>69.0</v>
      </c>
      <c r="E6769" s="52" t="s">
        <v>25</v>
      </c>
      <c r="F6769" s="52" t="s">
        <v>26</v>
      </c>
      <c r="G6769" s="53"/>
    </row>
    <row r="6770">
      <c r="A6770" s="49">
        <v>45092.29886833334</v>
      </c>
      <c r="B6770" s="50">
        <v>45092.423834375</v>
      </c>
      <c r="C6770" s="51">
        <v>1.006</v>
      </c>
      <c r="D6770" s="51">
        <v>69.0</v>
      </c>
      <c r="E6770" s="52" t="s">
        <v>25</v>
      </c>
      <c r="F6770" s="52" t="s">
        <v>26</v>
      </c>
      <c r="G6770" s="53"/>
    </row>
    <row r="6771">
      <c r="A6771" s="49">
        <v>45092.30929584491</v>
      </c>
      <c r="B6771" s="50">
        <v>45092.4342687384</v>
      </c>
      <c r="C6771" s="51">
        <v>1.006</v>
      </c>
      <c r="D6771" s="51">
        <v>69.0</v>
      </c>
      <c r="E6771" s="52" t="s">
        <v>25</v>
      </c>
      <c r="F6771" s="52" t="s">
        <v>26</v>
      </c>
      <c r="G6771" s="53"/>
    </row>
    <row r="6772">
      <c r="A6772" s="49">
        <v>45092.31972481481</v>
      </c>
      <c r="B6772" s="50">
        <v>45092.4446914236</v>
      </c>
      <c r="C6772" s="51">
        <v>1.006</v>
      </c>
      <c r="D6772" s="51">
        <v>69.0</v>
      </c>
      <c r="E6772" s="52" t="s">
        <v>25</v>
      </c>
      <c r="F6772" s="52" t="s">
        <v>26</v>
      </c>
      <c r="G6772" s="53"/>
    </row>
    <row r="6773">
      <c r="A6773" s="49">
        <v>45092.33013908565</v>
      </c>
      <c r="B6773" s="50">
        <v>45092.4551118287</v>
      </c>
      <c r="C6773" s="51">
        <v>1.006</v>
      </c>
      <c r="D6773" s="51">
        <v>69.0</v>
      </c>
      <c r="E6773" s="52" t="s">
        <v>25</v>
      </c>
      <c r="F6773" s="52" t="s">
        <v>26</v>
      </c>
      <c r="G6773" s="53"/>
    </row>
    <row r="6774">
      <c r="A6774" s="49">
        <v>45092.340558888885</v>
      </c>
      <c r="B6774" s="50">
        <v>45092.4655323495</v>
      </c>
      <c r="C6774" s="51">
        <v>1.006</v>
      </c>
      <c r="D6774" s="51">
        <v>69.0</v>
      </c>
      <c r="E6774" s="52" t="s">
        <v>25</v>
      </c>
      <c r="F6774" s="52" t="s">
        <v>26</v>
      </c>
      <c r="G6774" s="53"/>
    </row>
    <row r="6775">
      <c r="A6775" s="49">
        <v>45092.35099460648</v>
      </c>
      <c r="B6775" s="50">
        <v>45092.4759667013</v>
      </c>
      <c r="C6775" s="51">
        <v>1.006</v>
      </c>
      <c r="D6775" s="51">
        <v>69.0</v>
      </c>
      <c r="E6775" s="52" t="s">
        <v>25</v>
      </c>
      <c r="F6775" s="52" t="s">
        <v>26</v>
      </c>
      <c r="G6775" s="53"/>
    </row>
    <row r="6776">
      <c r="A6776" s="49">
        <v>45092.36143092593</v>
      </c>
      <c r="B6776" s="50">
        <v>45092.4863997685</v>
      </c>
      <c r="C6776" s="51">
        <v>1.006</v>
      </c>
      <c r="D6776" s="51">
        <v>69.0</v>
      </c>
      <c r="E6776" s="52" t="s">
        <v>25</v>
      </c>
      <c r="F6776" s="52" t="s">
        <v>26</v>
      </c>
      <c r="G6776" s="53"/>
    </row>
    <row r="6777">
      <c r="A6777" s="49">
        <v>45092.371863333334</v>
      </c>
      <c r="B6777" s="50">
        <v>45092.4968307754</v>
      </c>
      <c r="C6777" s="51">
        <v>1.006</v>
      </c>
      <c r="D6777" s="51">
        <v>69.0</v>
      </c>
      <c r="E6777" s="52" t="s">
        <v>25</v>
      </c>
      <c r="F6777" s="52" t="s">
        <v>26</v>
      </c>
      <c r="G6777" s="53"/>
    </row>
    <row r="6778">
      <c r="A6778" s="49">
        <v>45092.38228479167</v>
      </c>
      <c r="B6778" s="50">
        <v>45092.5072509143</v>
      </c>
      <c r="C6778" s="51">
        <v>1.006</v>
      </c>
      <c r="D6778" s="51">
        <v>69.0</v>
      </c>
      <c r="E6778" s="52" t="s">
        <v>25</v>
      </c>
      <c r="F6778" s="52" t="s">
        <v>26</v>
      </c>
      <c r="G6778" s="53"/>
    </row>
    <row r="6779">
      <c r="A6779" s="49">
        <v>45092.39270537037</v>
      </c>
      <c r="B6779" s="50">
        <v>45092.5176722338</v>
      </c>
      <c r="C6779" s="51">
        <v>1.006</v>
      </c>
      <c r="D6779" s="51">
        <v>69.0</v>
      </c>
      <c r="E6779" s="52" t="s">
        <v>25</v>
      </c>
      <c r="F6779" s="52" t="s">
        <v>26</v>
      </c>
      <c r="G6779" s="53"/>
    </row>
    <row r="6780">
      <c r="A6780" s="49">
        <v>45092.40313614583</v>
      </c>
      <c r="B6780" s="50">
        <v>45092.5281040046</v>
      </c>
      <c r="C6780" s="51">
        <v>1.006</v>
      </c>
      <c r="D6780" s="51">
        <v>69.0</v>
      </c>
      <c r="E6780" s="52" t="s">
        <v>25</v>
      </c>
      <c r="F6780" s="52" t="s">
        <v>26</v>
      </c>
      <c r="G6780" s="53"/>
    </row>
    <row r="6781">
      <c r="A6781" s="49">
        <v>45092.41356390047</v>
      </c>
      <c r="B6781" s="50">
        <v>45092.53853625</v>
      </c>
      <c r="C6781" s="51">
        <v>1.006</v>
      </c>
      <c r="D6781" s="51">
        <v>69.0</v>
      </c>
      <c r="E6781" s="52" t="s">
        <v>25</v>
      </c>
      <c r="F6781" s="52" t="s">
        <v>26</v>
      </c>
      <c r="G6781" s="53"/>
    </row>
    <row r="6782">
      <c r="A6782" s="49">
        <v>45092.42399645833</v>
      </c>
      <c r="B6782" s="50">
        <v>45092.5489685995</v>
      </c>
      <c r="C6782" s="51">
        <v>1.006</v>
      </c>
      <c r="D6782" s="51">
        <v>69.0</v>
      </c>
      <c r="E6782" s="52" t="s">
        <v>25</v>
      </c>
      <c r="F6782" s="52" t="s">
        <v>26</v>
      </c>
      <c r="G6782" s="53"/>
    </row>
    <row r="6783">
      <c r="A6783" s="49">
        <v>45092.434433229166</v>
      </c>
      <c r="B6783" s="50">
        <v>45092.5593908449</v>
      </c>
      <c r="C6783" s="51">
        <v>1.006</v>
      </c>
      <c r="D6783" s="51">
        <v>69.0</v>
      </c>
      <c r="E6783" s="52" t="s">
        <v>25</v>
      </c>
      <c r="F6783" s="52" t="s">
        <v>26</v>
      </c>
      <c r="G6783" s="53"/>
    </row>
    <row r="6784">
      <c r="A6784" s="49">
        <v>45092.4448346875</v>
      </c>
      <c r="B6784" s="50">
        <v>45092.5698102546</v>
      </c>
      <c r="C6784" s="51">
        <v>1.006</v>
      </c>
      <c r="D6784" s="51">
        <v>69.0</v>
      </c>
      <c r="E6784" s="52" t="s">
        <v>25</v>
      </c>
      <c r="F6784" s="52" t="s">
        <v>26</v>
      </c>
      <c r="G6784" s="53"/>
    </row>
    <row r="6785">
      <c r="A6785" s="49">
        <v>45092.455263634256</v>
      </c>
      <c r="B6785" s="50">
        <v>45092.5802311921</v>
      </c>
      <c r="C6785" s="51">
        <v>1.006</v>
      </c>
      <c r="D6785" s="51">
        <v>69.0</v>
      </c>
      <c r="E6785" s="52" t="s">
        <v>25</v>
      </c>
      <c r="F6785" s="52" t="s">
        <v>26</v>
      </c>
      <c r="G6785" s="53"/>
    </row>
    <row r="6786">
      <c r="A6786" s="49">
        <v>45092.4656902662</v>
      </c>
      <c r="B6786" s="50">
        <v>45092.5906647453</v>
      </c>
      <c r="C6786" s="51">
        <v>1.006</v>
      </c>
      <c r="D6786" s="51">
        <v>69.0</v>
      </c>
      <c r="E6786" s="52" t="s">
        <v>25</v>
      </c>
      <c r="F6786" s="52" t="s">
        <v>26</v>
      </c>
      <c r="G6786" s="53"/>
    </row>
    <row r="6787">
      <c r="A6787" s="49">
        <v>45092.476121053245</v>
      </c>
      <c r="B6787" s="50">
        <v>45092.6010851388</v>
      </c>
      <c r="C6787" s="51">
        <v>1.006</v>
      </c>
      <c r="D6787" s="51">
        <v>69.0</v>
      </c>
      <c r="E6787" s="52" t="s">
        <v>25</v>
      </c>
      <c r="F6787" s="52" t="s">
        <v>26</v>
      </c>
      <c r="G6787" s="53"/>
    </row>
    <row r="6788">
      <c r="A6788" s="49">
        <v>45092.486532662035</v>
      </c>
      <c r="B6788" s="50">
        <v>45092.6115053935</v>
      </c>
      <c r="C6788" s="51">
        <v>1.006</v>
      </c>
      <c r="D6788" s="51">
        <v>69.0</v>
      </c>
      <c r="E6788" s="52" t="s">
        <v>25</v>
      </c>
      <c r="F6788" s="52" t="s">
        <v>26</v>
      </c>
      <c r="G6788" s="53"/>
    </row>
    <row r="6789">
      <c r="A6789" s="49">
        <v>45092.496946747684</v>
      </c>
      <c r="B6789" s="50">
        <v>45092.6219279514</v>
      </c>
      <c r="C6789" s="51">
        <v>1.006</v>
      </c>
      <c r="D6789" s="51">
        <v>69.0</v>
      </c>
      <c r="E6789" s="52" t="s">
        <v>25</v>
      </c>
      <c r="F6789" s="52" t="s">
        <v>26</v>
      </c>
      <c r="G6789" s="53"/>
    </row>
    <row r="6790">
      <c r="A6790" s="49">
        <v>45092.50738454861</v>
      </c>
      <c r="B6790" s="50">
        <v>45092.632350324</v>
      </c>
      <c r="C6790" s="51">
        <v>1.006</v>
      </c>
      <c r="D6790" s="51">
        <v>69.0</v>
      </c>
      <c r="E6790" s="52" t="s">
        <v>25</v>
      </c>
      <c r="F6790" s="52" t="s">
        <v>26</v>
      </c>
      <c r="G6790" s="53"/>
    </row>
    <row r="6791">
      <c r="A6791" s="49">
        <v>45092.51780631945</v>
      </c>
      <c r="B6791" s="50">
        <v>45092.642772662</v>
      </c>
      <c r="C6791" s="51">
        <v>1.006</v>
      </c>
      <c r="D6791" s="51">
        <v>69.0</v>
      </c>
      <c r="E6791" s="52" t="s">
        <v>25</v>
      </c>
      <c r="F6791" s="52" t="s">
        <v>26</v>
      </c>
      <c r="G6791" s="53"/>
    </row>
    <row r="6792">
      <c r="A6792" s="49">
        <v>45092.52822665509</v>
      </c>
      <c r="B6792" s="50">
        <v>45092.6531942592</v>
      </c>
      <c r="C6792" s="51">
        <v>1.006</v>
      </c>
      <c r="D6792" s="51">
        <v>69.0</v>
      </c>
      <c r="E6792" s="52" t="s">
        <v>25</v>
      </c>
      <c r="F6792" s="52" t="s">
        <v>26</v>
      </c>
      <c r="G6792" s="53"/>
    </row>
    <row r="6793">
      <c r="A6793" s="49">
        <v>45092.5386443287</v>
      </c>
      <c r="B6793" s="50">
        <v>45092.6636149305</v>
      </c>
      <c r="C6793" s="51">
        <v>1.006</v>
      </c>
      <c r="D6793" s="51">
        <v>69.0</v>
      </c>
      <c r="E6793" s="52" t="s">
        <v>25</v>
      </c>
      <c r="F6793" s="52" t="s">
        <v>26</v>
      </c>
      <c r="G6793" s="53"/>
    </row>
    <row r="6794">
      <c r="A6794" s="49">
        <v>45092.54906708334</v>
      </c>
      <c r="B6794" s="50">
        <v>45092.6740354282</v>
      </c>
      <c r="C6794" s="51">
        <v>1.006</v>
      </c>
      <c r="D6794" s="51">
        <v>69.0</v>
      </c>
      <c r="E6794" s="52" t="s">
        <v>25</v>
      </c>
      <c r="F6794" s="52" t="s">
        <v>26</v>
      </c>
      <c r="G6794" s="53"/>
    </row>
    <row r="6795">
      <c r="A6795" s="49">
        <v>45092.55948229167</v>
      </c>
      <c r="B6795" s="50">
        <v>45092.6844569675</v>
      </c>
      <c r="C6795" s="51">
        <v>1.006</v>
      </c>
      <c r="D6795" s="51">
        <v>69.0</v>
      </c>
      <c r="E6795" s="52" t="s">
        <v>25</v>
      </c>
      <c r="F6795" s="52" t="s">
        <v>26</v>
      </c>
      <c r="G6795" s="53"/>
    </row>
    <row r="6796">
      <c r="A6796" s="49">
        <v>45092.569909108795</v>
      </c>
      <c r="B6796" s="50">
        <v>45092.6948781828</v>
      </c>
      <c r="C6796" s="51">
        <v>1.006</v>
      </c>
      <c r="D6796" s="51">
        <v>69.0</v>
      </c>
      <c r="E6796" s="52" t="s">
        <v>25</v>
      </c>
      <c r="F6796" s="52" t="s">
        <v>26</v>
      </c>
      <c r="G6796" s="53"/>
    </row>
    <row r="6797">
      <c r="A6797" s="49">
        <v>45092.58033189815</v>
      </c>
      <c r="B6797" s="50">
        <v>45092.7052989236</v>
      </c>
      <c r="C6797" s="51">
        <v>1.006</v>
      </c>
      <c r="D6797" s="51">
        <v>69.0</v>
      </c>
      <c r="E6797" s="52" t="s">
        <v>25</v>
      </c>
      <c r="F6797" s="52" t="s">
        <v>26</v>
      </c>
      <c r="G6797" s="53"/>
    </row>
    <row r="6798">
      <c r="A6798" s="49">
        <v>45092.59076047454</v>
      </c>
      <c r="B6798" s="50">
        <v>45092.7157298958</v>
      </c>
      <c r="C6798" s="51">
        <v>1.006</v>
      </c>
      <c r="D6798" s="51">
        <v>69.0</v>
      </c>
      <c r="E6798" s="52" t="s">
        <v>25</v>
      </c>
      <c r="F6798" s="52" t="s">
        <v>26</v>
      </c>
      <c r="G6798" s="53"/>
    </row>
    <row r="6799">
      <c r="A6799" s="49">
        <v>45092.60117568287</v>
      </c>
      <c r="B6799" s="50">
        <v>45092.7261511111</v>
      </c>
      <c r="C6799" s="51">
        <v>1.006</v>
      </c>
      <c r="D6799" s="51">
        <v>69.0</v>
      </c>
      <c r="E6799" s="52" t="s">
        <v>25</v>
      </c>
      <c r="F6799" s="52" t="s">
        <v>26</v>
      </c>
      <c r="G6799" s="53"/>
    </row>
    <row r="6800">
      <c r="A6800" s="49">
        <v>45092.611602731486</v>
      </c>
      <c r="B6800" s="50">
        <v>45092.7365724305</v>
      </c>
      <c r="C6800" s="51">
        <v>1.006</v>
      </c>
      <c r="D6800" s="51">
        <v>69.0</v>
      </c>
      <c r="E6800" s="52" t="s">
        <v>25</v>
      </c>
      <c r="F6800" s="52" t="s">
        <v>26</v>
      </c>
      <c r="G6800" s="53"/>
    </row>
    <row r="6801">
      <c r="A6801" s="49">
        <v>45092.622034618056</v>
      </c>
      <c r="B6801" s="50">
        <v>45092.7470055671</v>
      </c>
      <c r="C6801" s="51">
        <v>1.006</v>
      </c>
      <c r="D6801" s="51">
        <v>69.0</v>
      </c>
      <c r="E6801" s="52" t="s">
        <v>25</v>
      </c>
      <c r="F6801" s="52" t="s">
        <v>26</v>
      </c>
      <c r="G6801" s="53"/>
    </row>
    <row r="6802">
      <c r="A6802" s="49">
        <v>45092.63246439815</v>
      </c>
      <c r="B6802" s="50">
        <v>45092.7574382523</v>
      </c>
      <c r="C6802" s="51">
        <v>1.006</v>
      </c>
      <c r="D6802" s="51">
        <v>69.0</v>
      </c>
      <c r="E6802" s="52" t="s">
        <v>25</v>
      </c>
      <c r="F6802" s="52" t="s">
        <v>26</v>
      </c>
      <c r="G6802" s="53"/>
    </row>
    <row r="6803">
      <c r="A6803" s="49">
        <v>45092.64288118055</v>
      </c>
      <c r="B6803" s="50">
        <v>45092.7678574652</v>
      </c>
      <c r="C6803" s="51">
        <v>1.006</v>
      </c>
      <c r="D6803" s="51">
        <v>69.0</v>
      </c>
      <c r="E6803" s="52" t="s">
        <v>25</v>
      </c>
      <c r="F6803" s="52" t="s">
        <v>26</v>
      </c>
      <c r="G6803" s="53"/>
    </row>
    <row r="6804">
      <c r="A6804" s="49">
        <v>45092.653302349536</v>
      </c>
      <c r="B6804" s="50">
        <v>45092.7782788426</v>
      </c>
      <c r="C6804" s="51">
        <v>1.006</v>
      </c>
      <c r="D6804" s="51">
        <v>69.0</v>
      </c>
      <c r="E6804" s="52" t="s">
        <v>25</v>
      </c>
      <c r="F6804" s="52" t="s">
        <v>26</v>
      </c>
      <c r="G6804" s="53"/>
    </row>
    <row r="6805">
      <c r="A6805" s="49">
        <v>45092.66372762731</v>
      </c>
      <c r="B6805" s="50">
        <v>45092.7887009722</v>
      </c>
      <c r="C6805" s="51">
        <v>1.006</v>
      </c>
      <c r="D6805" s="51">
        <v>69.0</v>
      </c>
      <c r="E6805" s="52" t="s">
        <v>25</v>
      </c>
      <c r="F6805" s="52" t="s">
        <v>26</v>
      </c>
      <c r="G6805" s="53"/>
    </row>
    <row r="6806">
      <c r="A6806" s="49">
        <v>45092.67415709491</v>
      </c>
      <c r="B6806" s="50">
        <v>45092.7991332407</v>
      </c>
      <c r="C6806" s="51">
        <v>1.006</v>
      </c>
      <c r="D6806" s="51">
        <v>69.0</v>
      </c>
      <c r="E6806" s="52" t="s">
        <v>25</v>
      </c>
      <c r="F6806" s="52" t="s">
        <v>26</v>
      </c>
      <c r="G6806" s="53"/>
    </row>
    <row r="6807">
      <c r="A6807" s="49">
        <v>45092.68458042824</v>
      </c>
      <c r="B6807" s="50">
        <v>45092.8095546412</v>
      </c>
      <c r="C6807" s="51">
        <v>1.006</v>
      </c>
      <c r="D6807" s="51">
        <v>69.0</v>
      </c>
      <c r="E6807" s="52" t="s">
        <v>25</v>
      </c>
      <c r="F6807" s="52" t="s">
        <v>26</v>
      </c>
      <c r="G6807" s="53"/>
    </row>
    <row r="6808">
      <c r="A6808" s="49">
        <v>45092.69500946759</v>
      </c>
      <c r="B6808" s="50">
        <v>45092.8199852662</v>
      </c>
      <c r="C6808" s="51">
        <v>1.006</v>
      </c>
      <c r="D6808" s="51">
        <v>69.0</v>
      </c>
      <c r="E6808" s="52" t="s">
        <v>25</v>
      </c>
      <c r="F6808" s="52" t="s">
        <v>26</v>
      </c>
      <c r="G6808" s="53"/>
    </row>
    <row r="6809">
      <c r="A6809" s="49">
        <v>45092.70543430556</v>
      </c>
      <c r="B6809" s="50">
        <v>45092.8304070833</v>
      </c>
      <c r="C6809" s="51">
        <v>1.006</v>
      </c>
      <c r="D6809" s="51">
        <v>69.0</v>
      </c>
      <c r="E6809" s="52" t="s">
        <v>25</v>
      </c>
      <c r="F6809" s="52" t="s">
        <v>26</v>
      </c>
      <c r="G6809" s="53"/>
    </row>
    <row r="6810">
      <c r="A6810" s="49">
        <v>45092.71588216435</v>
      </c>
      <c r="B6810" s="50">
        <v>45092.8408381828</v>
      </c>
      <c r="C6810" s="51">
        <v>1.006</v>
      </c>
      <c r="D6810" s="51">
        <v>69.0</v>
      </c>
      <c r="E6810" s="52" t="s">
        <v>25</v>
      </c>
      <c r="F6810" s="52" t="s">
        <v>26</v>
      </c>
      <c r="G6810" s="53"/>
    </row>
    <row r="6811">
      <c r="A6811" s="49">
        <v>45092.72628495371</v>
      </c>
      <c r="B6811" s="50">
        <v>45092.8512581018</v>
      </c>
      <c r="C6811" s="51">
        <v>1.006</v>
      </c>
      <c r="D6811" s="51">
        <v>69.0</v>
      </c>
      <c r="E6811" s="52" t="s">
        <v>25</v>
      </c>
      <c r="F6811" s="52" t="s">
        <v>26</v>
      </c>
      <c r="G6811" s="53"/>
    </row>
    <row r="6812">
      <c r="A6812" s="49">
        <v>45092.736704386574</v>
      </c>
      <c r="B6812" s="50">
        <v>45092.8616793865</v>
      </c>
      <c r="C6812" s="51">
        <v>1.006</v>
      </c>
      <c r="D6812" s="51">
        <v>69.0</v>
      </c>
      <c r="E6812" s="52" t="s">
        <v>25</v>
      </c>
      <c r="F6812" s="52" t="s">
        <v>26</v>
      </c>
      <c r="G6812" s="53"/>
    </row>
    <row r="6813">
      <c r="A6813" s="49">
        <v>45092.74712774306</v>
      </c>
      <c r="B6813" s="50">
        <v>45092.8721001388</v>
      </c>
      <c r="C6813" s="51">
        <v>1.006</v>
      </c>
      <c r="D6813" s="51">
        <v>69.0</v>
      </c>
      <c r="E6813" s="52" t="s">
        <v>25</v>
      </c>
      <c r="F6813" s="52" t="s">
        <v>26</v>
      </c>
      <c r="G6813" s="53"/>
    </row>
    <row r="6814">
      <c r="A6814" s="49">
        <v>45092.75755601852</v>
      </c>
      <c r="B6814" s="50">
        <v>45092.8825334606</v>
      </c>
      <c r="C6814" s="51">
        <v>1.006</v>
      </c>
      <c r="D6814" s="51">
        <v>69.0</v>
      </c>
      <c r="E6814" s="52" t="s">
        <v>25</v>
      </c>
      <c r="F6814" s="52" t="s">
        <v>26</v>
      </c>
      <c r="G6814" s="53"/>
    </row>
    <row r="6815">
      <c r="A6815" s="49">
        <v>45092.76797497685</v>
      </c>
      <c r="B6815" s="50">
        <v>45092.89295375</v>
      </c>
      <c r="C6815" s="51">
        <v>1.006</v>
      </c>
      <c r="D6815" s="51">
        <v>69.0</v>
      </c>
      <c r="E6815" s="52" t="s">
        <v>25</v>
      </c>
      <c r="F6815" s="52" t="s">
        <v>26</v>
      </c>
      <c r="G6815" s="53"/>
    </row>
    <row r="6816">
      <c r="A6816" s="49">
        <v>45092.778411782405</v>
      </c>
      <c r="B6816" s="50">
        <v>45092.9033870949</v>
      </c>
      <c r="C6816" s="51">
        <v>1.006</v>
      </c>
      <c r="D6816" s="51">
        <v>69.0</v>
      </c>
      <c r="E6816" s="52" t="s">
        <v>25</v>
      </c>
      <c r="F6816" s="52" t="s">
        <v>26</v>
      </c>
      <c r="G6816" s="53"/>
    </row>
    <row r="6817">
      <c r="A6817" s="49">
        <v>45092.78882663195</v>
      </c>
      <c r="B6817" s="50">
        <v>45092.9138097106</v>
      </c>
      <c r="C6817" s="51">
        <v>1.006</v>
      </c>
      <c r="D6817" s="51">
        <v>69.0</v>
      </c>
      <c r="E6817" s="52" t="s">
        <v>25</v>
      </c>
      <c r="F6817" s="52" t="s">
        <v>26</v>
      </c>
      <c r="G6817" s="53"/>
    </row>
    <row r="6818">
      <c r="A6818" s="49">
        <v>45092.79925336805</v>
      </c>
      <c r="B6818" s="50">
        <v>45092.9242298495</v>
      </c>
      <c r="C6818" s="51">
        <v>1.006</v>
      </c>
      <c r="D6818" s="51">
        <v>69.0</v>
      </c>
      <c r="E6818" s="52" t="s">
        <v>25</v>
      </c>
      <c r="F6818" s="52" t="s">
        <v>26</v>
      </c>
      <c r="G6818" s="53"/>
    </row>
    <row r="6819">
      <c r="A6819" s="49">
        <v>45092.80967239583</v>
      </c>
      <c r="B6819" s="50">
        <v>45092.9346509143</v>
      </c>
      <c r="C6819" s="51">
        <v>1.006</v>
      </c>
      <c r="D6819" s="51">
        <v>69.0</v>
      </c>
      <c r="E6819" s="52" t="s">
        <v>25</v>
      </c>
      <c r="F6819" s="52" t="s">
        <v>26</v>
      </c>
      <c r="G6819" s="53"/>
    </row>
    <row r="6820">
      <c r="A6820" s="49">
        <v>45092.82009071759</v>
      </c>
      <c r="B6820" s="50">
        <v>45092.9450726851</v>
      </c>
      <c r="C6820" s="51">
        <v>1.006</v>
      </c>
      <c r="D6820" s="51">
        <v>69.0</v>
      </c>
      <c r="E6820" s="52" t="s">
        <v>25</v>
      </c>
      <c r="F6820" s="52" t="s">
        <v>26</v>
      </c>
      <c r="G6820" s="53"/>
    </row>
    <row r="6821">
      <c r="A6821" s="49">
        <v>45092.83052053241</v>
      </c>
      <c r="B6821" s="50">
        <v>45092.9554943055</v>
      </c>
      <c r="C6821" s="51">
        <v>1.006</v>
      </c>
      <c r="D6821" s="51">
        <v>69.0</v>
      </c>
      <c r="E6821" s="52" t="s">
        <v>25</v>
      </c>
      <c r="F6821" s="52" t="s">
        <v>26</v>
      </c>
      <c r="G6821" s="53"/>
    </row>
    <row r="6822">
      <c r="A6822" s="49">
        <v>45092.85138094907</v>
      </c>
      <c r="B6822" s="50">
        <v>45092.9763496875</v>
      </c>
      <c r="C6822" s="51">
        <v>1.006</v>
      </c>
      <c r="D6822" s="51">
        <v>69.0</v>
      </c>
      <c r="E6822" s="52" t="s">
        <v>25</v>
      </c>
      <c r="F6822" s="52" t="s">
        <v>26</v>
      </c>
      <c r="G6822" s="53"/>
    </row>
    <row r="6823">
      <c r="A6823" s="49">
        <v>45092.87222346065</v>
      </c>
      <c r="B6823" s="50">
        <v>45092.9971910879</v>
      </c>
      <c r="C6823" s="51">
        <v>1.006</v>
      </c>
      <c r="D6823" s="51">
        <v>69.0</v>
      </c>
      <c r="E6823" s="52" t="s">
        <v>25</v>
      </c>
      <c r="F6823" s="52" t="s">
        <v>26</v>
      </c>
      <c r="G6823" s="53"/>
    </row>
    <row r="6824">
      <c r="A6824" s="49">
        <v>45092.88264704861</v>
      </c>
      <c r="B6824" s="50">
        <v>45093.0076119907</v>
      </c>
      <c r="C6824" s="51">
        <v>1.006</v>
      </c>
      <c r="D6824" s="51">
        <v>69.0</v>
      </c>
      <c r="E6824" s="52" t="s">
        <v>25</v>
      </c>
      <c r="F6824" s="52" t="s">
        <v>26</v>
      </c>
      <c r="G6824" s="53"/>
    </row>
    <row r="6825">
      <c r="A6825" s="49">
        <v>45092.89308306713</v>
      </c>
      <c r="B6825" s="50">
        <v>45093.018058125</v>
      </c>
      <c r="C6825" s="51">
        <v>1.006</v>
      </c>
      <c r="D6825" s="51">
        <v>69.0</v>
      </c>
      <c r="E6825" s="52" t="s">
        <v>25</v>
      </c>
      <c r="F6825" s="52" t="s">
        <v>26</v>
      </c>
      <c r="G6825" s="53"/>
    </row>
    <row r="6826">
      <c r="A6826" s="49">
        <v>45092.90350383102</v>
      </c>
      <c r="B6826" s="50">
        <v>45093.0284786921</v>
      </c>
      <c r="C6826" s="51">
        <v>1.006</v>
      </c>
      <c r="D6826" s="51">
        <v>69.0</v>
      </c>
      <c r="E6826" s="52" t="s">
        <v>25</v>
      </c>
      <c r="F6826" s="52" t="s">
        <v>26</v>
      </c>
      <c r="G6826" s="53"/>
    </row>
    <row r="6827">
      <c r="A6827" s="49">
        <v>45092.9139297338</v>
      </c>
      <c r="B6827" s="50">
        <v>45093.0389004745</v>
      </c>
      <c r="C6827" s="51">
        <v>1.006</v>
      </c>
      <c r="D6827" s="51">
        <v>69.0</v>
      </c>
      <c r="E6827" s="52" t="s">
        <v>25</v>
      </c>
      <c r="F6827" s="52" t="s">
        <v>26</v>
      </c>
      <c r="G6827" s="53"/>
    </row>
    <row r="6828">
      <c r="A6828" s="49">
        <v>45092.92434886574</v>
      </c>
      <c r="B6828" s="50">
        <v>45093.0493225347</v>
      </c>
      <c r="C6828" s="51">
        <v>1.006</v>
      </c>
      <c r="D6828" s="51">
        <v>69.0</v>
      </c>
      <c r="E6828" s="52" t="s">
        <v>25</v>
      </c>
      <c r="F6828" s="52" t="s">
        <v>26</v>
      </c>
      <c r="G6828" s="53"/>
    </row>
    <row r="6829">
      <c r="A6829" s="49">
        <v>45092.934771064814</v>
      </c>
      <c r="B6829" s="50">
        <v>45093.0597429513</v>
      </c>
      <c r="C6829" s="51">
        <v>1.006</v>
      </c>
      <c r="D6829" s="51">
        <v>69.0</v>
      </c>
      <c r="E6829" s="52" t="s">
        <v>25</v>
      </c>
      <c r="F6829" s="52" t="s">
        <v>26</v>
      </c>
      <c r="G6829" s="53"/>
    </row>
    <row r="6830">
      <c r="A6830" s="49">
        <v>45092.9451941088</v>
      </c>
      <c r="B6830" s="50">
        <v>45093.0701654166</v>
      </c>
      <c r="C6830" s="51">
        <v>1.006</v>
      </c>
      <c r="D6830" s="51">
        <v>69.0</v>
      </c>
      <c r="E6830" s="52" t="s">
        <v>25</v>
      </c>
      <c r="F6830" s="52" t="s">
        <v>26</v>
      </c>
      <c r="G6830" s="53"/>
    </row>
    <row r="6831">
      <c r="A6831" s="49">
        <v>45092.955631296296</v>
      </c>
      <c r="B6831" s="50">
        <v>45093.080597037</v>
      </c>
      <c r="C6831" s="51">
        <v>1.006</v>
      </c>
      <c r="D6831" s="51">
        <v>69.0</v>
      </c>
      <c r="E6831" s="52" t="s">
        <v>25</v>
      </c>
      <c r="F6831" s="52" t="s">
        <v>26</v>
      </c>
      <c r="G6831" s="53"/>
    </row>
    <row r="6832">
      <c r="A6832" s="49">
        <v>45092.96604484954</v>
      </c>
      <c r="B6832" s="50">
        <v>45093.0910178356</v>
      </c>
      <c r="C6832" s="51">
        <v>1.006</v>
      </c>
      <c r="D6832" s="51">
        <v>69.0</v>
      </c>
      <c r="E6832" s="52" t="s">
        <v>25</v>
      </c>
      <c r="F6832" s="52" t="s">
        <v>26</v>
      </c>
      <c r="G6832" s="53"/>
    </row>
    <row r="6833">
      <c r="A6833" s="49">
        <v>45092.97648166667</v>
      </c>
      <c r="B6833" s="50">
        <v>45093.1014502662</v>
      </c>
      <c r="C6833" s="51">
        <v>1.006</v>
      </c>
      <c r="D6833" s="51">
        <v>69.0</v>
      </c>
      <c r="E6833" s="52" t="s">
        <v>25</v>
      </c>
      <c r="F6833" s="52" t="s">
        <v>26</v>
      </c>
      <c r="G6833" s="53"/>
    </row>
    <row r="6834">
      <c r="A6834" s="49">
        <v>45092.98690278935</v>
      </c>
      <c r="B6834" s="50">
        <v>45093.1118699884</v>
      </c>
      <c r="C6834" s="51">
        <v>1.006</v>
      </c>
      <c r="D6834" s="51">
        <v>69.0</v>
      </c>
      <c r="E6834" s="52" t="s">
        <v>25</v>
      </c>
      <c r="F6834" s="52" t="s">
        <v>26</v>
      </c>
      <c r="G6834" s="53"/>
    </row>
    <row r="6835">
      <c r="A6835" s="49">
        <v>45092.99732350695</v>
      </c>
      <c r="B6835" s="50">
        <v>45093.1222919907</v>
      </c>
      <c r="C6835" s="51">
        <v>1.006</v>
      </c>
      <c r="D6835" s="51">
        <v>69.0</v>
      </c>
      <c r="E6835" s="52" t="s">
        <v>25</v>
      </c>
      <c r="F6835" s="52" t="s">
        <v>26</v>
      </c>
      <c r="G6835" s="53"/>
    </row>
    <row r="6836">
      <c r="A6836" s="49">
        <v>45093.007761076384</v>
      </c>
      <c r="B6836" s="50">
        <v>45093.1327263078</v>
      </c>
      <c r="C6836" s="51">
        <v>1.006</v>
      </c>
      <c r="D6836" s="51">
        <v>69.0</v>
      </c>
      <c r="E6836" s="52" t="s">
        <v>25</v>
      </c>
      <c r="F6836" s="52" t="s">
        <v>26</v>
      </c>
      <c r="G6836" s="53"/>
    </row>
    <row r="6837">
      <c r="A6837" s="49">
        <v>45093.01818226852</v>
      </c>
      <c r="B6837" s="50">
        <v>45093.1431485532</v>
      </c>
      <c r="C6837" s="51">
        <v>1.006</v>
      </c>
      <c r="D6837" s="51">
        <v>69.0</v>
      </c>
      <c r="E6837" s="52" t="s">
        <v>25</v>
      </c>
      <c r="F6837" s="52" t="s">
        <v>26</v>
      </c>
      <c r="G6837" s="53"/>
    </row>
    <row r="6838">
      <c r="A6838" s="49">
        <v>45093.028600844904</v>
      </c>
      <c r="B6838" s="50">
        <v>45093.1535695717</v>
      </c>
      <c r="C6838" s="51">
        <v>1.006</v>
      </c>
      <c r="D6838" s="51">
        <v>69.0</v>
      </c>
      <c r="E6838" s="52" t="s">
        <v>25</v>
      </c>
      <c r="F6838" s="52" t="s">
        <v>26</v>
      </c>
      <c r="G6838" s="53"/>
    </row>
    <row r="6839">
      <c r="A6839" s="49">
        <v>45093.03901612268</v>
      </c>
      <c r="B6839" s="50">
        <v>45093.1639907291</v>
      </c>
      <c r="C6839" s="51">
        <v>1.006</v>
      </c>
      <c r="D6839" s="51">
        <v>69.0</v>
      </c>
      <c r="E6839" s="52" t="s">
        <v>25</v>
      </c>
      <c r="F6839" s="52" t="s">
        <v>26</v>
      </c>
      <c r="G6839" s="53"/>
    </row>
    <row r="6840">
      <c r="A6840" s="49">
        <v>45093.0494415162</v>
      </c>
      <c r="B6840" s="50">
        <v>45093.1744115972</v>
      </c>
      <c r="C6840" s="51">
        <v>1.006</v>
      </c>
      <c r="D6840" s="51">
        <v>69.0</v>
      </c>
      <c r="E6840" s="52" t="s">
        <v>25</v>
      </c>
      <c r="F6840" s="52" t="s">
        <v>26</v>
      </c>
      <c r="G6840" s="53"/>
    </row>
    <row r="6841">
      <c r="A6841" s="49">
        <v>45093.05986196759</v>
      </c>
      <c r="B6841" s="50">
        <v>45093.1848321759</v>
      </c>
      <c r="C6841" s="51">
        <v>1.006</v>
      </c>
      <c r="D6841" s="51">
        <v>69.0</v>
      </c>
      <c r="E6841" s="52" t="s">
        <v>25</v>
      </c>
      <c r="F6841" s="52" t="s">
        <v>26</v>
      </c>
      <c r="G6841" s="53"/>
    </row>
    <row r="6842">
      <c r="A6842" s="49">
        <v>45093.07028060185</v>
      </c>
      <c r="B6842" s="50">
        <v>45093.1952534375</v>
      </c>
      <c r="C6842" s="51">
        <v>1.006</v>
      </c>
      <c r="D6842" s="51">
        <v>69.0</v>
      </c>
      <c r="E6842" s="52" t="s">
        <v>25</v>
      </c>
      <c r="F6842" s="52" t="s">
        <v>26</v>
      </c>
      <c r="G6842" s="53"/>
    </row>
    <row r="6843">
      <c r="A6843" s="49">
        <v>45093.08070356482</v>
      </c>
      <c r="B6843" s="50">
        <v>45093.2056759143</v>
      </c>
      <c r="C6843" s="51">
        <v>1.006</v>
      </c>
      <c r="D6843" s="51">
        <v>69.0</v>
      </c>
      <c r="E6843" s="52" t="s">
        <v>25</v>
      </c>
      <c r="F6843" s="52" t="s">
        <v>26</v>
      </c>
      <c r="G6843" s="53"/>
    </row>
    <row r="6844">
      <c r="A6844" s="49">
        <v>45093.09112653935</v>
      </c>
      <c r="B6844" s="50">
        <v>45093.2160984606</v>
      </c>
      <c r="C6844" s="51">
        <v>1.006</v>
      </c>
      <c r="D6844" s="51">
        <v>69.0</v>
      </c>
      <c r="E6844" s="52" t="s">
        <v>25</v>
      </c>
      <c r="F6844" s="52" t="s">
        <v>26</v>
      </c>
      <c r="G6844" s="53"/>
    </row>
    <row r="6845">
      <c r="A6845" s="49">
        <v>45093.101545763886</v>
      </c>
      <c r="B6845" s="50">
        <v>45093.2265191203</v>
      </c>
      <c r="C6845" s="51">
        <v>1.006</v>
      </c>
      <c r="D6845" s="51">
        <v>69.0</v>
      </c>
      <c r="E6845" s="52" t="s">
        <v>25</v>
      </c>
      <c r="F6845" s="52" t="s">
        <v>26</v>
      </c>
      <c r="G6845" s="53"/>
    </row>
    <row r="6846">
      <c r="A6846" s="49">
        <v>45093.11196998843</v>
      </c>
      <c r="B6846" s="50">
        <v>45093.236940081</v>
      </c>
      <c r="C6846" s="51">
        <v>1.006</v>
      </c>
      <c r="D6846" s="51">
        <v>69.0</v>
      </c>
      <c r="E6846" s="52" t="s">
        <v>25</v>
      </c>
      <c r="F6846" s="52" t="s">
        <v>26</v>
      </c>
      <c r="G6846" s="53"/>
    </row>
    <row r="6847">
      <c r="A6847" s="49">
        <v>45093.12240199074</v>
      </c>
      <c r="B6847" s="50">
        <v>45093.247369375</v>
      </c>
      <c r="C6847" s="51">
        <v>1.006</v>
      </c>
      <c r="D6847" s="51">
        <v>69.0</v>
      </c>
      <c r="E6847" s="52" t="s">
        <v>25</v>
      </c>
      <c r="F6847" s="52" t="s">
        <v>26</v>
      </c>
      <c r="G6847" s="53"/>
    </row>
    <row r="6848">
      <c r="A6848" s="49">
        <v>45093.13281765046</v>
      </c>
      <c r="B6848" s="50">
        <v>45093.2577898032</v>
      </c>
      <c r="C6848" s="51">
        <v>1.006</v>
      </c>
      <c r="D6848" s="51">
        <v>69.0</v>
      </c>
      <c r="E6848" s="52" t="s">
        <v>25</v>
      </c>
      <c r="F6848" s="52" t="s">
        <v>26</v>
      </c>
      <c r="G6848" s="53"/>
    </row>
    <row r="6849">
      <c r="A6849" s="49">
        <v>45093.14323623842</v>
      </c>
      <c r="B6849" s="50">
        <v>45093.2682084953</v>
      </c>
      <c r="C6849" s="51">
        <v>1.006</v>
      </c>
      <c r="D6849" s="51">
        <v>69.0</v>
      </c>
      <c r="E6849" s="52" t="s">
        <v>25</v>
      </c>
      <c r="F6849" s="52" t="s">
        <v>26</v>
      </c>
      <c r="G6849" s="53"/>
    </row>
    <row r="6850">
      <c r="A6850" s="49">
        <v>45093.15366766204</v>
      </c>
      <c r="B6850" s="50">
        <v>45093.2786411226</v>
      </c>
      <c r="C6850" s="51">
        <v>1.006</v>
      </c>
      <c r="D6850" s="51">
        <v>69.0</v>
      </c>
      <c r="E6850" s="52" t="s">
        <v>25</v>
      </c>
      <c r="F6850" s="52" t="s">
        <v>26</v>
      </c>
      <c r="G6850" s="53"/>
    </row>
    <row r="6851">
      <c r="A6851" s="49">
        <v>45093.164090879625</v>
      </c>
      <c r="B6851" s="50">
        <v>45093.2890616088</v>
      </c>
      <c r="C6851" s="51">
        <v>1.006</v>
      </c>
      <c r="D6851" s="51">
        <v>69.0</v>
      </c>
      <c r="E6851" s="52" t="s">
        <v>25</v>
      </c>
      <c r="F6851" s="52" t="s">
        <v>26</v>
      </c>
      <c r="G6851" s="53"/>
    </row>
    <row r="6852">
      <c r="A6852" s="49">
        <v>45093.174502696755</v>
      </c>
      <c r="B6852" s="50">
        <v>45093.2994825578</v>
      </c>
      <c r="C6852" s="51">
        <v>1.006</v>
      </c>
      <c r="D6852" s="51">
        <v>69.0</v>
      </c>
      <c r="E6852" s="52" t="s">
        <v>25</v>
      </c>
      <c r="F6852" s="52" t="s">
        <v>26</v>
      </c>
      <c r="G6852" s="53"/>
    </row>
    <row r="6853">
      <c r="A6853" s="49">
        <v>45093.184929166666</v>
      </c>
      <c r="B6853" s="50">
        <v>45093.3099048611</v>
      </c>
      <c r="C6853" s="51">
        <v>1.006</v>
      </c>
      <c r="D6853" s="51">
        <v>69.0</v>
      </c>
      <c r="E6853" s="52" t="s">
        <v>25</v>
      </c>
      <c r="F6853" s="52" t="s">
        <v>26</v>
      </c>
      <c r="G6853" s="53"/>
    </row>
    <row r="6854">
      <c r="A6854" s="49">
        <v>45093.19535112269</v>
      </c>
      <c r="B6854" s="50">
        <v>45093.3203251967</v>
      </c>
      <c r="C6854" s="51">
        <v>1.006</v>
      </c>
      <c r="D6854" s="51">
        <v>69.0</v>
      </c>
      <c r="E6854" s="52" t="s">
        <v>25</v>
      </c>
      <c r="F6854" s="52" t="s">
        <v>26</v>
      </c>
      <c r="G6854" s="53"/>
    </row>
    <row r="6855">
      <c r="A6855" s="49">
        <v>45093.205807465274</v>
      </c>
      <c r="B6855" s="50">
        <v>45093.3307808912</v>
      </c>
      <c r="C6855" s="51">
        <v>1.006</v>
      </c>
      <c r="D6855" s="51">
        <v>69.0</v>
      </c>
      <c r="E6855" s="52" t="s">
        <v>25</v>
      </c>
      <c r="F6855" s="52" t="s">
        <v>26</v>
      </c>
      <c r="G6855" s="53"/>
    </row>
    <row r="6856">
      <c r="A6856" s="49">
        <v>45093.216225972224</v>
      </c>
      <c r="B6856" s="50">
        <v>45093.341201331</v>
      </c>
      <c r="C6856" s="51">
        <v>1.006</v>
      </c>
      <c r="D6856" s="51">
        <v>69.0</v>
      </c>
      <c r="E6856" s="52" t="s">
        <v>25</v>
      </c>
      <c r="F6856" s="52" t="s">
        <v>26</v>
      </c>
      <c r="G6856" s="53"/>
    </row>
    <row r="6857">
      <c r="A6857" s="49">
        <v>45093.22665622685</v>
      </c>
      <c r="B6857" s="50">
        <v>45093.3516226736</v>
      </c>
      <c r="C6857" s="51">
        <v>1.006</v>
      </c>
      <c r="D6857" s="51">
        <v>69.0</v>
      </c>
      <c r="E6857" s="52" t="s">
        <v>25</v>
      </c>
      <c r="F6857" s="52" t="s">
        <v>26</v>
      </c>
      <c r="G6857" s="53"/>
    </row>
    <row r="6858">
      <c r="A6858" s="49">
        <v>45093.23707313657</v>
      </c>
      <c r="B6858" s="50">
        <v>45093.3620460069</v>
      </c>
      <c r="C6858" s="51">
        <v>1.006</v>
      </c>
      <c r="D6858" s="51">
        <v>69.0</v>
      </c>
      <c r="E6858" s="52" t="s">
        <v>25</v>
      </c>
      <c r="F6858" s="52" t="s">
        <v>26</v>
      </c>
      <c r="G6858" s="53"/>
    </row>
    <row r="6859">
      <c r="A6859" s="49">
        <v>45093.247491111106</v>
      </c>
      <c r="B6859" s="50">
        <v>45093.3724671875</v>
      </c>
      <c r="C6859" s="51">
        <v>1.006</v>
      </c>
      <c r="D6859" s="51">
        <v>69.0</v>
      </c>
      <c r="E6859" s="52" t="s">
        <v>25</v>
      </c>
      <c r="F6859" s="52" t="s">
        <v>26</v>
      </c>
      <c r="G6859" s="53"/>
    </row>
    <row r="6860">
      <c r="A6860" s="49">
        <v>45093.25790383102</v>
      </c>
      <c r="B6860" s="50">
        <v>45093.3828884143</v>
      </c>
      <c r="C6860" s="51">
        <v>1.006</v>
      </c>
      <c r="D6860" s="51">
        <v>69.0</v>
      </c>
      <c r="E6860" s="52" t="s">
        <v>25</v>
      </c>
      <c r="F6860" s="52" t="s">
        <v>26</v>
      </c>
      <c r="G6860" s="53"/>
    </row>
    <row r="6861">
      <c r="A6861" s="49">
        <v>45093.26837130787</v>
      </c>
      <c r="B6861" s="50">
        <v>45093.3933433333</v>
      </c>
      <c r="C6861" s="51">
        <v>1.006</v>
      </c>
      <c r="D6861" s="51">
        <v>69.0</v>
      </c>
      <c r="E6861" s="52" t="s">
        <v>25</v>
      </c>
      <c r="F6861" s="52" t="s">
        <v>26</v>
      </c>
      <c r="G6861" s="53"/>
    </row>
    <row r="6862">
      <c r="A6862" s="49">
        <v>45093.27878716435</v>
      </c>
      <c r="B6862" s="50">
        <v>45093.4037654051</v>
      </c>
      <c r="C6862" s="51">
        <v>1.006</v>
      </c>
      <c r="D6862" s="51">
        <v>69.0</v>
      </c>
      <c r="E6862" s="52" t="s">
        <v>25</v>
      </c>
      <c r="F6862" s="52" t="s">
        <v>26</v>
      </c>
      <c r="G6862" s="53"/>
    </row>
    <row r="6863">
      <c r="A6863" s="49">
        <v>45093.28923274306</v>
      </c>
      <c r="B6863" s="50">
        <v>45093.4142087615</v>
      </c>
      <c r="C6863" s="51">
        <v>1.006</v>
      </c>
      <c r="D6863" s="51">
        <v>69.0</v>
      </c>
      <c r="E6863" s="52" t="s">
        <v>25</v>
      </c>
      <c r="F6863" s="52" t="s">
        <v>26</v>
      </c>
      <c r="G6863" s="53"/>
    </row>
    <row r="6864">
      <c r="A6864" s="49">
        <v>45093.299677939816</v>
      </c>
      <c r="B6864" s="50">
        <v>45093.4246523611</v>
      </c>
      <c r="C6864" s="51">
        <v>1.006</v>
      </c>
      <c r="D6864" s="51">
        <v>69.0</v>
      </c>
      <c r="E6864" s="52" t="s">
        <v>25</v>
      </c>
      <c r="F6864" s="52" t="s">
        <v>26</v>
      </c>
      <c r="G6864" s="53"/>
    </row>
    <row r="6865">
      <c r="A6865" s="49">
        <v>45093.31009809028</v>
      </c>
      <c r="B6865" s="50">
        <v>45093.435074155</v>
      </c>
      <c r="C6865" s="51">
        <v>1.006</v>
      </c>
      <c r="D6865" s="51">
        <v>69.0</v>
      </c>
      <c r="E6865" s="52" t="s">
        <v>25</v>
      </c>
      <c r="F6865" s="52" t="s">
        <v>26</v>
      </c>
      <c r="G6865" s="53"/>
    </row>
    <row r="6866">
      <c r="A6866" s="49">
        <v>45093.3205168287</v>
      </c>
      <c r="B6866" s="50">
        <v>45093.4454949421</v>
      </c>
      <c r="C6866" s="51">
        <v>1.006</v>
      </c>
      <c r="D6866" s="51">
        <v>69.0</v>
      </c>
      <c r="E6866" s="52" t="s">
        <v>25</v>
      </c>
      <c r="F6866" s="52" t="s">
        <v>26</v>
      </c>
      <c r="G6866" s="53"/>
    </row>
    <row r="6867">
      <c r="A6867" s="49">
        <v>45093.33093174768</v>
      </c>
      <c r="B6867" s="50">
        <v>45093.4559152662</v>
      </c>
      <c r="C6867" s="51">
        <v>1.006</v>
      </c>
      <c r="D6867" s="51">
        <v>69.0</v>
      </c>
      <c r="E6867" s="52" t="s">
        <v>25</v>
      </c>
      <c r="F6867" s="52" t="s">
        <v>26</v>
      </c>
      <c r="G6867" s="53"/>
    </row>
    <row r="6868">
      <c r="A6868" s="49">
        <v>45093.34136637731</v>
      </c>
      <c r="B6868" s="50">
        <v>45093.466335162</v>
      </c>
      <c r="C6868" s="51">
        <v>1.006</v>
      </c>
      <c r="D6868" s="51">
        <v>69.0</v>
      </c>
      <c r="E6868" s="52" t="s">
        <v>25</v>
      </c>
      <c r="F6868" s="52" t="s">
        <v>26</v>
      </c>
      <c r="G6868" s="53"/>
    </row>
    <row r="6869">
      <c r="A6869" s="49">
        <v>45093.35177866898</v>
      </c>
      <c r="B6869" s="50">
        <v>45093.4767570601</v>
      </c>
      <c r="C6869" s="51">
        <v>1.006</v>
      </c>
      <c r="D6869" s="51">
        <v>69.0</v>
      </c>
      <c r="E6869" s="52" t="s">
        <v>25</v>
      </c>
      <c r="F6869" s="52" t="s">
        <v>26</v>
      </c>
      <c r="G6869" s="53"/>
    </row>
    <row r="6870">
      <c r="A6870" s="49">
        <v>45093.36222726852</v>
      </c>
      <c r="B6870" s="50">
        <v>45093.4871876041</v>
      </c>
      <c r="C6870" s="51">
        <v>1.006</v>
      </c>
      <c r="D6870" s="51">
        <v>69.0</v>
      </c>
      <c r="E6870" s="52" t="s">
        <v>25</v>
      </c>
      <c r="F6870" s="52" t="s">
        <v>26</v>
      </c>
      <c r="G6870" s="53"/>
    </row>
    <row r="6871">
      <c r="A6871" s="49">
        <v>45093.37263759259</v>
      </c>
      <c r="B6871" s="50">
        <v>45093.4976084027</v>
      </c>
      <c r="C6871" s="51">
        <v>1.006</v>
      </c>
      <c r="D6871" s="51">
        <v>69.0</v>
      </c>
      <c r="E6871" s="52" t="s">
        <v>25</v>
      </c>
      <c r="F6871" s="52" t="s">
        <v>26</v>
      </c>
      <c r="G6871" s="53"/>
    </row>
    <row r="6872">
      <c r="A6872" s="49">
        <v>45093.383060636574</v>
      </c>
      <c r="B6872" s="50">
        <v>45093.5080410879</v>
      </c>
      <c r="C6872" s="51">
        <v>1.006</v>
      </c>
      <c r="D6872" s="51">
        <v>69.0</v>
      </c>
      <c r="E6872" s="52" t="s">
        <v>25</v>
      </c>
      <c r="F6872" s="52" t="s">
        <v>26</v>
      </c>
      <c r="G6872" s="53"/>
    </row>
    <row r="6873">
      <c r="A6873" s="49">
        <v>45093.403936250004</v>
      </c>
      <c r="B6873" s="50">
        <v>45093.5289058101</v>
      </c>
      <c r="C6873" s="51">
        <v>1.006</v>
      </c>
      <c r="D6873" s="51">
        <v>69.0</v>
      </c>
      <c r="E6873" s="52" t="s">
        <v>25</v>
      </c>
      <c r="F6873" s="52" t="s">
        <v>26</v>
      </c>
      <c r="G6873" s="53"/>
    </row>
    <row r="6874">
      <c r="A6874" s="49">
        <v>45093.41437853009</v>
      </c>
      <c r="B6874" s="50">
        <v>45093.5393523032</v>
      </c>
      <c r="C6874" s="51">
        <v>1.006</v>
      </c>
      <c r="D6874" s="51">
        <v>69.0</v>
      </c>
      <c r="E6874" s="52" t="s">
        <v>25</v>
      </c>
      <c r="F6874" s="52" t="s">
        <v>26</v>
      </c>
      <c r="G6874" s="53"/>
    </row>
    <row r="6875">
      <c r="A6875" s="49">
        <v>45093.42481752315</v>
      </c>
      <c r="B6875" s="50">
        <v>45093.5497854629</v>
      </c>
      <c r="C6875" s="51">
        <v>1.006</v>
      </c>
      <c r="D6875" s="51">
        <v>69.0</v>
      </c>
      <c r="E6875" s="52" t="s">
        <v>25</v>
      </c>
      <c r="F6875" s="52" t="s">
        <v>26</v>
      </c>
      <c r="G6875" s="53"/>
    </row>
    <row r="6876">
      <c r="A6876" s="49">
        <v>45093.435258541664</v>
      </c>
      <c r="B6876" s="50">
        <v>45093.5602304745</v>
      </c>
      <c r="C6876" s="51">
        <v>1.006</v>
      </c>
      <c r="D6876" s="51">
        <v>69.0</v>
      </c>
      <c r="E6876" s="52" t="s">
        <v>25</v>
      </c>
      <c r="F6876" s="52" t="s">
        <v>26</v>
      </c>
      <c r="G6876" s="53"/>
    </row>
    <row r="6877">
      <c r="A6877" s="49">
        <v>45093.44567988426</v>
      </c>
      <c r="B6877" s="50">
        <v>45093.5706494907</v>
      </c>
      <c r="C6877" s="51">
        <v>1.006</v>
      </c>
      <c r="D6877" s="51">
        <v>69.0</v>
      </c>
      <c r="E6877" s="52" t="s">
        <v>25</v>
      </c>
      <c r="F6877" s="52" t="s">
        <v>26</v>
      </c>
      <c r="G6877" s="53"/>
    </row>
    <row r="6878">
      <c r="A6878" s="49">
        <v>45093.45611626157</v>
      </c>
      <c r="B6878" s="50">
        <v>45093.5810841319</v>
      </c>
      <c r="C6878" s="51">
        <v>1.006</v>
      </c>
      <c r="D6878" s="51">
        <v>69.0</v>
      </c>
      <c r="E6878" s="52" t="s">
        <v>25</v>
      </c>
      <c r="F6878" s="52" t="s">
        <v>26</v>
      </c>
      <c r="G6878" s="53"/>
    </row>
    <row r="6879">
      <c r="A6879" s="49">
        <v>45093.466533136576</v>
      </c>
      <c r="B6879" s="50">
        <v>45093.5915047453</v>
      </c>
      <c r="C6879" s="51">
        <v>1.006</v>
      </c>
      <c r="D6879" s="51">
        <v>69.0</v>
      </c>
      <c r="E6879" s="52" t="s">
        <v>25</v>
      </c>
      <c r="F6879" s="52" t="s">
        <v>26</v>
      </c>
      <c r="G6879" s="53"/>
    </row>
    <row r="6880">
      <c r="A6880" s="49">
        <v>45093.487384583335</v>
      </c>
      <c r="B6880" s="50">
        <v>45093.6123588078</v>
      </c>
      <c r="C6880" s="51">
        <v>1.006</v>
      </c>
      <c r="D6880" s="51">
        <v>69.0</v>
      </c>
      <c r="E6880" s="52" t="s">
        <v>25</v>
      </c>
      <c r="F6880" s="52" t="s">
        <v>26</v>
      </c>
      <c r="G6880" s="53"/>
    </row>
    <row r="6881">
      <c r="A6881" s="49">
        <v>45093.49780118055</v>
      </c>
      <c r="B6881" s="50">
        <v>45093.6227799652</v>
      </c>
      <c r="C6881" s="51">
        <v>1.006</v>
      </c>
      <c r="D6881" s="51">
        <v>69.0</v>
      </c>
      <c r="E6881" s="52" t="s">
        <v>25</v>
      </c>
      <c r="F6881" s="52" t="s">
        <v>26</v>
      </c>
      <c r="G6881" s="53"/>
    </row>
    <row r="6882">
      <c r="A6882" s="49">
        <v>45093.50823824074</v>
      </c>
      <c r="B6882" s="50">
        <v>45093.6332120601</v>
      </c>
      <c r="C6882" s="51">
        <v>1.006</v>
      </c>
      <c r="D6882" s="51">
        <v>69.0</v>
      </c>
      <c r="E6882" s="52" t="s">
        <v>25</v>
      </c>
      <c r="F6882" s="52" t="s">
        <v>26</v>
      </c>
      <c r="G6882" s="53"/>
    </row>
    <row r="6883">
      <c r="A6883" s="49">
        <v>45093.51865582176</v>
      </c>
      <c r="B6883" s="50">
        <v>45093.6436336574</v>
      </c>
      <c r="C6883" s="51">
        <v>1.006</v>
      </c>
      <c r="D6883" s="51">
        <v>69.0</v>
      </c>
      <c r="E6883" s="52" t="s">
        <v>25</v>
      </c>
      <c r="F6883" s="52" t="s">
        <v>26</v>
      </c>
      <c r="G6883" s="53"/>
    </row>
    <row r="6884">
      <c r="A6884" s="49">
        <v>45093.52908537037</v>
      </c>
      <c r="B6884" s="50">
        <v>45093.654054699</v>
      </c>
      <c r="C6884" s="51">
        <v>1.006</v>
      </c>
      <c r="D6884" s="51">
        <v>69.0</v>
      </c>
      <c r="E6884" s="52" t="s">
        <v>25</v>
      </c>
      <c r="F6884" s="52" t="s">
        <v>26</v>
      </c>
      <c r="G6884" s="53"/>
    </row>
    <row r="6885">
      <c r="A6885" s="49">
        <v>45093.53952505787</v>
      </c>
      <c r="B6885" s="50">
        <v>45093.6644988773</v>
      </c>
      <c r="C6885" s="51">
        <v>1.006</v>
      </c>
      <c r="D6885" s="51">
        <v>69.0</v>
      </c>
      <c r="E6885" s="52" t="s">
        <v>25</v>
      </c>
      <c r="F6885" s="52" t="s">
        <v>26</v>
      </c>
      <c r="G6885" s="53"/>
    </row>
    <row r="6886">
      <c r="A6886" s="49">
        <v>45093.54994351852</v>
      </c>
      <c r="B6886" s="50">
        <v>45093.6749183912</v>
      </c>
      <c r="C6886" s="51">
        <v>1.006</v>
      </c>
      <c r="D6886" s="51">
        <v>69.0</v>
      </c>
      <c r="E6886" s="52" t="s">
        <v>25</v>
      </c>
      <c r="F6886" s="52" t="s">
        <v>26</v>
      </c>
      <c r="G6886" s="53"/>
    </row>
    <row r="6887">
      <c r="A6887" s="49">
        <v>45093.56039745371</v>
      </c>
      <c r="B6887" s="50">
        <v>45093.6853745023</v>
      </c>
      <c r="C6887" s="51">
        <v>1.006</v>
      </c>
      <c r="D6887" s="51">
        <v>69.0</v>
      </c>
      <c r="E6887" s="52" t="s">
        <v>25</v>
      </c>
      <c r="F6887" s="52" t="s">
        <v>26</v>
      </c>
      <c r="G6887" s="53"/>
    </row>
    <row r="6888">
      <c r="A6888" s="49">
        <v>45093.570827627314</v>
      </c>
      <c r="B6888" s="50">
        <v>45093.6957958912</v>
      </c>
      <c r="C6888" s="51">
        <v>1.006</v>
      </c>
      <c r="D6888" s="51">
        <v>69.0</v>
      </c>
      <c r="E6888" s="52" t="s">
        <v>25</v>
      </c>
      <c r="F6888" s="52" t="s">
        <v>26</v>
      </c>
      <c r="G6888" s="53"/>
    </row>
    <row r="6889">
      <c r="A6889" s="49">
        <v>45093.58126181713</v>
      </c>
      <c r="B6889" s="50">
        <v>45093.7062424421</v>
      </c>
      <c r="C6889" s="51">
        <v>1.006</v>
      </c>
      <c r="D6889" s="51">
        <v>69.0</v>
      </c>
      <c r="E6889" s="52" t="s">
        <v>25</v>
      </c>
      <c r="F6889" s="52" t="s">
        <v>26</v>
      </c>
      <c r="G6889" s="53"/>
    </row>
    <row r="6890">
      <c r="A6890" s="49">
        <v>45093.59169547453</v>
      </c>
      <c r="B6890" s="50">
        <v>45093.7166645254</v>
      </c>
      <c r="C6890" s="51">
        <v>1.006</v>
      </c>
      <c r="D6890" s="51">
        <v>69.0</v>
      </c>
      <c r="E6890" s="52" t="s">
        <v>25</v>
      </c>
      <c r="F6890" s="52" t="s">
        <v>26</v>
      </c>
      <c r="G6890" s="53"/>
    </row>
    <row r="6891">
      <c r="A6891" s="49">
        <v>45093.60214828704</v>
      </c>
      <c r="B6891" s="50">
        <v>45093.7271086342</v>
      </c>
      <c r="C6891" s="51">
        <v>1.006</v>
      </c>
      <c r="D6891" s="51">
        <v>69.0</v>
      </c>
      <c r="E6891" s="52" t="s">
        <v>25</v>
      </c>
      <c r="F6891" s="52" t="s">
        <v>26</v>
      </c>
      <c r="G6891" s="53"/>
    </row>
    <row r="6892">
      <c r="A6892" s="49">
        <v>45093.61255885416</v>
      </c>
      <c r="B6892" s="50">
        <v>45093.7375297916</v>
      </c>
      <c r="C6892" s="51">
        <v>1.006</v>
      </c>
      <c r="D6892" s="51">
        <v>69.0</v>
      </c>
      <c r="E6892" s="52" t="s">
        <v>25</v>
      </c>
      <c r="F6892" s="52" t="s">
        <v>26</v>
      </c>
      <c r="G6892" s="53"/>
    </row>
    <row r="6893">
      <c r="A6893" s="49">
        <v>45093.62300815972</v>
      </c>
      <c r="B6893" s="50">
        <v>45093.7479750578</v>
      </c>
      <c r="C6893" s="51">
        <v>1.006</v>
      </c>
      <c r="D6893" s="51">
        <v>69.0</v>
      </c>
      <c r="E6893" s="52" t="s">
        <v>25</v>
      </c>
      <c r="F6893" s="52" t="s">
        <v>26</v>
      </c>
      <c r="G6893" s="53"/>
    </row>
    <row r="6894">
      <c r="A6894" s="49">
        <v>45093.63342479167</v>
      </c>
      <c r="B6894" s="50">
        <v>45093.7583960532</v>
      </c>
      <c r="C6894" s="51">
        <v>1.006</v>
      </c>
      <c r="D6894" s="51">
        <v>69.0</v>
      </c>
      <c r="E6894" s="52" t="s">
        <v>25</v>
      </c>
      <c r="F6894" s="52" t="s">
        <v>26</v>
      </c>
      <c r="G6894" s="53"/>
    </row>
    <row r="6895">
      <c r="A6895" s="49">
        <v>45093.64384600695</v>
      </c>
      <c r="B6895" s="50">
        <v>45093.7688167476</v>
      </c>
      <c r="C6895" s="51">
        <v>1.006</v>
      </c>
      <c r="D6895" s="51">
        <v>69.0</v>
      </c>
      <c r="E6895" s="52" t="s">
        <v>25</v>
      </c>
      <c r="F6895" s="52" t="s">
        <v>26</v>
      </c>
      <c r="G6895" s="53"/>
    </row>
    <row r="6896">
      <c r="A6896" s="49">
        <v>45093.65425716435</v>
      </c>
      <c r="B6896" s="50">
        <v>45093.7792380671</v>
      </c>
      <c r="C6896" s="51">
        <v>1.006</v>
      </c>
      <c r="D6896" s="51">
        <v>69.0</v>
      </c>
      <c r="E6896" s="52" t="s">
        <v>25</v>
      </c>
      <c r="F6896" s="52" t="s">
        <v>26</v>
      </c>
      <c r="G6896" s="53"/>
    </row>
    <row r="6897">
      <c r="A6897" s="49">
        <v>45093.66470395833</v>
      </c>
      <c r="B6897" s="50">
        <v>45093.7896823495</v>
      </c>
      <c r="C6897" s="51">
        <v>1.006</v>
      </c>
      <c r="D6897" s="51">
        <v>69.0</v>
      </c>
      <c r="E6897" s="52" t="s">
        <v>25</v>
      </c>
      <c r="F6897" s="52" t="s">
        <v>26</v>
      </c>
      <c r="G6897" s="53"/>
    </row>
    <row r="6898">
      <c r="A6898" s="49">
        <v>45093.67513309028</v>
      </c>
      <c r="B6898" s="50">
        <v>45093.8001029398</v>
      </c>
      <c r="C6898" s="51">
        <v>1.006</v>
      </c>
      <c r="D6898" s="51">
        <v>69.0</v>
      </c>
      <c r="E6898" s="52" t="s">
        <v>25</v>
      </c>
      <c r="F6898" s="52" t="s">
        <v>26</v>
      </c>
      <c r="G6898" s="53"/>
    </row>
    <row r="6899">
      <c r="A6899" s="49">
        <v>45093.685556446755</v>
      </c>
      <c r="B6899" s="50">
        <v>45093.8105251967</v>
      </c>
      <c r="C6899" s="51">
        <v>1.006</v>
      </c>
      <c r="D6899" s="51">
        <v>69.0</v>
      </c>
      <c r="E6899" s="52" t="s">
        <v>25</v>
      </c>
      <c r="F6899" s="52" t="s">
        <v>26</v>
      </c>
      <c r="G6899" s="53"/>
    </row>
    <row r="6900">
      <c r="A6900" s="49">
        <v>45093.695971064815</v>
      </c>
      <c r="B6900" s="50">
        <v>45093.8209458101</v>
      </c>
      <c r="C6900" s="51">
        <v>1.006</v>
      </c>
      <c r="D6900" s="51">
        <v>69.0</v>
      </c>
      <c r="E6900" s="52" t="s">
        <v>25</v>
      </c>
      <c r="F6900" s="52" t="s">
        <v>26</v>
      </c>
      <c r="G6900" s="53"/>
    </row>
    <row r="6901">
      <c r="A6901" s="49">
        <v>45093.706419050926</v>
      </c>
      <c r="B6901" s="50">
        <v>45093.8313899189</v>
      </c>
      <c r="C6901" s="51">
        <v>1.006</v>
      </c>
      <c r="D6901" s="51">
        <v>69.0</v>
      </c>
      <c r="E6901" s="52" t="s">
        <v>25</v>
      </c>
      <c r="F6901" s="52" t="s">
        <v>26</v>
      </c>
      <c r="G6901" s="53"/>
    </row>
    <row r="6902">
      <c r="A6902" s="49">
        <v>45093.716840196765</v>
      </c>
      <c r="B6902" s="50">
        <v>45093.8418103935</v>
      </c>
      <c r="C6902" s="51">
        <v>1.006</v>
      </c>
      <c r="D6902" s="51">
        <v>69.0</v>
      </c>
      <c r="E6902" s="52" t="s">
        <v>25</v>
      </c>
      <c r="F6902" s="52" t="s">
        <v>26</v>
      </c>
      <c r="G6902" s="53"/>
    </row>
    <row r="6903">
      <c r="A6903" s="49">
        <v>45093.72725861111</v>
      </c>
      <c r="B6903" s="50">
        <v>45093.8522312962</v>
      </c>
      <c r="C6903" s="51">
        <v>1.006</v>
      </c>
      <c r="D6903" s="51">
        <v>69.0</v>
      </c>
      <c r="E6903" s="52" t="s">
        <v>25</v>
      </c>
      <c r="F6903" s="52" t="s">
        <v>26</v>
      </c>
      <c r="G6903" s="53"/>
    </row>
    <row r="6904">
      <c r="A6904" s="49">
        <v>45093.73768335648</v>
      </c>
      <c r="B6904" s="50">
        <v>45093.8626641088</v>
      </c>
      <c r="C6904" s="51">
        <v>1.006</v>
      </c>
      <c r="D6904" s="51">
        <v>69.0</v>
      </c>
      <c r="E6904" s="52" t="s">
        <v>25</v>
      </c>
      <c r="F6904" s="52" t="s">
        <v>26</v>
      </c>
      <c r="G6904" s="53"/>
    </row>
    <row r="6905">
      <c r="A6905" s="49">
        <v>45093.748112800924</v>
      </c>
      <c r="B6905" s="50">
        <v>45093.8730863194</v>
      </c>
      <c r="C6905" s="51">
        <v>1.006</v>
      </c>
      <c r="D6905" s="51">
        <v>69.0</v>
      </c>
      <c r="E6905" s="52" t="s">
        <v>25</v>
      </c>
      <c r="F6905" s="52" t="s">
        <v>26</v>
      </c>
      <c r="G6905" s="53"/>
    </row>
    <row r="6906">
      <c r="A6906" s="49">
        <v>45093.75853409722</v>
      </c>
      <c r="B6906" s="50">
        <v>45093.8835061458</v>
      </c>
      <c r="C6906" s="51">
        <v>1.006</v>
      </c>
      <c r="D6906" s="51">
        <v>69.0</v>
      </c>
      <c r="E6906" s="52" t="s">
        <v>25</v>
      </c>
      <c r="F6906" s="52" t="s">
        <v>26</v>
      </c>
      <c r="G6906" s="53"/>
    </row>
    <row r="6907">
      <c r="A6907" s="49">
        <v>45093.76900516204</v>
      </c>
      <c r="B6907" s="50">
        <v>45093.8939735416</v>
      </c>
      <c r="C6907" s="51">
        <v>1.006</v>
      </c>
      <c r="D6907" s="51">
        <v>69.0</v>
      </c>
      <c r="E6907" s="52" t="s">
        <v>25</v>
      </c>
      <c r="F6907" s="52" t="s">
        <v>26</v>
      </c>
      <c r="G6907" s="53"/>
    </row>
    <row r="6908">
      <c r="A6908" s="49">
        <v>45093.77942040509</v>
      </c>
      <c r="B6908" s="50">
        <v>45093.9043969907</v>
      </c>
      <c r="C6908" s="51">
        <v>1.006</v>
      </c>
      <c r="D6908" s="51">
        <v>69.0</v>
      </c>
      <c r="E6908" s="52" t="s">
        <v>25</v>
      </c>
      <c r="F6908" s="52" t="s">
        <v>26</v>
      </c>
      <c r="G6908" s="53"/>
    </row>
    <row r="6909">
      <c r="A6909" s="49">
        <v>45093.78983822917</v>
      </c>
      <c r="B6909" s="50">
        <v>45093.9148181134</v>
      </c>
      <c r="C6909" s="51">
        <v>1.006</v>
      </c>
      <c r="D6909" s="51">
        <v>69.0</v>
      </c>
      <c r="E6909" s="52" t="s">
        <v>25</v>
      </c>
      <c r="F6909" s="52" t="s">
        <v>26</v>
      </c>
      <c r="G6909" s="53"/>
    </row>
    <row r="6910">
      <c r="A6910" s="49">
        <v>45093.80029035879</v>
      </c>
      <c r="B6910" s="50">
        <v>45093.9252636458</v>
      </c>
      <c r="C6910" s="51">
        <v>1.006</v>
      </c>
      <c r="D6910" s="51">
        <v>69.0</v>
      </c>
      <c r="E6910" s="52" t="s">
        <v>25</v>
      </c>
      <c r="F6910" s="52" t="s">
        <v>26</v>
      </c>
      <c r="G6910" s="53"/>
    </row>
    <row r="6911">
      <c r="A6911" s="49">
        <v>45093.810720532405</v>
      </c>
      <c r="B6911" s="50">
        <v>45093.9356973958</v>
      </c>
      <c r="C6911" s="51">
        <v>1.006</v>
      </c>
      <c r="D6911" s="51">
        <v>69.0</v>
      </c>
      <c r="E6911" s="52" t="s">
        <v>25</v>
      </c>
      <c r="F6911" s="52" t="s">
        <v>26</v>
      </c>
      <c r="G6911" s="53"/>
    </row>
    <row r="6912">
      <c r="A6912" s="49">
        <v>45093.82119045139</v>
      </c>
      <c r="B6912" s="50">
        <v>45093.9461649768</v>
      </c>
      <c r="C6912" s="51">
        <v>1.006</v>
      </c>
      <c r="D6912" s="51">
        <v>69.0</v>
      </c>
      <c r="E6912" s="52" t="s">
        <v>25</v>
      </c>
      <c r="F6912" s="52" t="s">
        <v>26</v>
      </c>
      <c r="G6912" s="53"/>
    </row>
    <row r="6913">
      <c r="A6913" s="49">
        <v>45093.83161453703</v>
      </c>
      <c r="B6913" s="50">
        <v>45093.9565865856</v>
      </c>
      <c r="C6913" s="51">
        <v>1.006</v>
      </c>
      <c r="D6913" s="51">
        <v>69.0</v>
      </c>
      <c r="E6913" s="52" t="s">
        <v>25</v>
      </c>
      <c r="F6913" s="52" t="s">
        <v>26</v>
      </c>
      <c r="G6913" s="53"/>
    </row>
    <row r="6914">
      <c r="A6914" s="49">
        <v>45093.84203497686</v>
      </c>
      <c r="B6914" s="50">
        <v>45093.9670088541</v>
      </c>
      <c r="C6914" s="51">
        <v>1.006</v>
      </c>
      <c r="D6914" s="51">
        <v>69.0</v>
      </c>
      <c r="E6914" s="52" t="s">
        <v>25</v>
      </c>
      <c r="F6914" s="52" t="s">
        <v>26</v>
      </c>
      <c r="G6914" s="53"/>
    </row>
    <row r="6915">
      <c r="A6915" s="49">
        <v>45093.85246898148</v>
      </c>
      <c r="B6915" s="50">
        <v>45093.9774411111</v>
      </c>
      <c r="C6915" s="51">
        <v>1.006</v>
      </c>
      <c r="D6915" s="51">
        <v>69.0</v>
      </c>
      <c r="E6915" s="52" t="s">
        <v>25</v>
      </c>
      <c r="F6915" s="52" t="s">
        <v>26</v>
      </c>
      <c r="G6915" s="53"/>
    </row>
    <row r="6916">
      <c r="A6916" s="49">
        <v>45093.862889502314</v>
      </c>
      <c r="B6916" s="50">
        <v>45093.9878622801</v>
      </c>
      <c r="C6916" s="51">
        <v>1.006</v>
      </c>
      <c r="D6916" s="51">
        <v>69.0</v>
      </c>
      <c r="E6916" s="52" t="s">
        <v>25</v>
      </c>
      <c r="F6916" s="52" t="s">
        <v>26</v>
      </c>
      <c r="G6916" s="53"/>
    </row>
    <row r="6917">
      <c r="A6917" s="49">
        <v>45093.87331217593</v>
      </c>
      <c r="B6917" s="50">
        <v>45093.9982832523</v>
      </c>
      <c r="C6917" s="51">
        <v>1.006</v>
      </c>
      <c r="D6917" s="51">
        <v>69.0</v>
      </c>
      <c r="E6917" s="52" t="s">
        <v>25</v>
      </c>
      <c r="F6917" s="52" t="s">
        <v>26</v>
      </c>
      <c r="G6917" s="53"/>
    </row>
    <row r="6918">
      <c r="A6918" s="49">
        <v>45093.883728263885</v>
      </c>
      <c r="B6918" s="50">
        <v>45094.0087043865</v>
      </c>
      <c r="C6918" s="51">
        <v>1.006</v>
      </c>
      <c r="D6918" s="51">
        <v>69.0</v>
      </c>
      <c r="E6918" s="52" t="s">
        <v>25</v>
      </c>
      <c r="F6918" s="52" t="s">
        <v>26</v>
      </c>
      <c r="G6918" s="53"/>
    </row>
    <row r="6919">
      <c r="A6919" s="49">
        <v>45093.89414127315</v>
      </c>
      <c r="B6919" s="50">
        <v>45094.019124699</v>
      </c>
      <c r="C6919" s="51">
        <v>1.006</v>
      </c>
      <c r="D6919" s="51">
        <v>69.0</v>
      </c>
      <c r="E6919" s="52" t="s">
        <v>25</v>
      </c>
      <c r="F6919" s="52" t="s">
        <v>26</v>
      </c>
      <c r="G6919" s="53"/>
    </row>
    <row r="6920">
      <c r="A6920" s="49">
        <v>45093.90456880787</v>
      </c>
      <c r="B6920" s="50">
        <v>45094.0295471759</v>
      </c>
      <c r="C6920" s="51">
        <v>1.006</v>
      </c>
      <c r="D6920" s="51">
        <v>69.0</v>
      </c>
      <c r="E6920" s="52" t="s">
        <v>25</v>
      </c>
      <c r="F6920" s="52" t="s">
        <v>26</v>
      </c>
      <c r="G6920" s="53"/>
    </row>
    <row r="6921">
      <c r="A6921" s="49">
        <v>45093.915005636576</v>
      </c>
      <c r="B6921" s="50">
        <v>45094.0399797801</v>
      </c>
      <c r="C6921" s="51">
        <v>1.006</v>
      </c>
      <c r="D6921" s="51">
        <v>69.0</v>
      </c>
      <c r="E6921" s="52" t="s">
        <v>25</v>
      </c>
      <c r="F6921" s="52" t="s">
        <v>26</v>
      </c>
      <c r="G6921" s="53"/>
    </row>
    <row r="6922">
      <c r="A6922" s="49">
        <v>45093.92542915509</v>
      </c>
      <c r="B6922" s="50">
        <v>45094.0504010995</v>
      </c>
      <c r="C6922" s="51">
        <v>1.006</v>
      </c>
      <c r="D6922" s="51">
        <v>69.0</v>
      </c>
      <c r="E6922" s="52" t="s">
        <v>25</v>
      </c>
      <c r="F6922" s="52" t="s">
        <v>26</v>
      </c>
      <c r="G6922" s="53"/>
    </row>
    <row r="6923">
      <c r="A6923" s="49">
        <v>45093.9358375463</v>
      </c>
      <c r="B6923" s="50">
        <v>45094.0608208217</v>
      </c>
      <c r="C6923" s="51">
        <v>1.006</v>
      </c>
      <c r="D6923" s="51">
        <v>69.0</v>
      </c>
      <c r="E6923" s="52" t="s">
        <v>25</v>
      </c>
      <c r="F6923" s="52" t="s">
        <v>26</v>
      </c>
      <c r="G6923" s="53"/>
    </row>
    <row r="6924">
      <c r="A6924" s="49">
        <v>45093.94625662037</v>
      </c>
      <c r="B6924" s="50">
        <v>45094.071241331</v>
      </c>
      <c r="C6924" s="51">
        <v>1.006</v>
      </c>
      <c r="D6924" s="51">
        <v>69.0</v>
      </c>
      <c r="E6924" s="52" t="s">
        <v>25</v>
      </c>
      <c r="F6924" s="52" t="s">
        <v>26</v>
      </c>
      <c r="G6924" s="53"/>
    </row>
    <row r="6925">
      <c r="A6925" s="49">
        <v>45093.956702951386</v>
      </c>
      <c r="B6925" s="50">
        <v>45094.0816747685</v>
      </c>
      <c r="C6925" s="51">
        <v>1.006</v>
      </c>
      <c r="D6925" s="51">
        <v>69.0</v>
      </c>
      <c r="E6925" s="52" t="s">
        <v>25</v>
      </c>
      <c r="F6925" s="52" t="s">
        <v>26</v>
      </c>
      <c r="G6925" s="53"/>
    </row>
    <row r="6926">
      <c r="A6926" s="49">
        <v>45093.96712555556</v>
      </c>
      <c r="B6926" s="50">
        <v>45094.0920970254</v>
      </c>
      <c r="C6926" s="51">
        <v>1.006</v>
      </c>
      <c r="D6926" s="51">
        <v>69.0</v>
      </c>
      <c r="E6926" s="52" t="s">
        <v>25</v>
      </c>
      <c r="F6926" s="52" t="s">
        <v>26</v>
      </c>
      <c r="G6926" s="53"/>
    </row>
    <row r="6927">
      <c r="A6927" s="49">
        <v>45093.97756118055</v>
      </c>
      <c r="B6927" s="50">
        <v>45094.1025311226</v>
      </c>
      <c r="C6927" s="51">
        <v>1.006</v>
      </c>
      <c r="D6927" s="51">
        <v>69.0</v>
      </c>
      <c r="E6927" s="52" t="s">
        <v>25</v>
      </c>
      <c r="F6927" s="52" t="s">
        <v>26</v>
      </c>
      <c r="G6927" s="53"/>
    </row>
    <row r="6928">
      <c r="A6928" s="49">
        <v>45093.98797569444</v>
      </c>
      <c r="B6928" s="50">
        <v>45094.1129532175</v>
      </c>
      <c r="C6928" s="51">
        <v>1.006</v>
      </c>
      <c r="D6928" s="51">
        <v>69.0</v>
      </c>
      <c r="E6928" s="52" t="s">
        <v>25</v>
      </c>
      <c r="F6928" s="52" t="s">
        <v>26</v>
      </c>
      <c r="G6928" s="53"/>
    </row>
    <row r="6929">
      <c r="A6929" s="49">
        <v>45093.99839197917</v>
      </c>
      <c r="B6929" s="50">
        <v>45094.1233753009</v>
      </c>
      <c r="C6929" s="51">
        <v>1.006</v>
      </c>
      <c r="D6929" s="51">
        <v>69.0</v>
      </c>
      <c r="E6929" s="52" t="s">
        <v>25</v>
      </c>
      <c r="F6929" s="52" t="s">
        <v>26</v>
      </c>
      <c r="G6929" s="53"/>
    </row>
    <row r="6930">
      <c r="A6930" s="49">
        <v>45094.00883224537</v>
      </c>
      <c r="B6930" s="50">
        <v>45094.1338077662</v>
      </c>
      <c r="C6930" s="51">
        <v>1.006</v>
      </c>
      <c r="D6930" s="51">
        <v>69.0</v>
      </c>
      <c r="E6930" s="52" t="s">
        <v>25</v>
      </c>
      <c r="F6930" s="52" t="s">
        <v>26</v>
      </c>
      <c r="G6930" s="53"/>
    </row>
    <row r="6931">
      <c r="A6931" s="49">
        <v>45094.01925861111</v>
      </c>
      <c r="B6931" s="50">
        <v>45094.1442290277</v>
      </c>
      <c r="C6931" s="51">
        <v>1.006</v>
      </c>
      <c r="D6931" s="51">
        <v>69.0</v>
      </c>
      <c r="E6931" s="52" t="s">
        <v>25</v>
      </c>
      <c r="F6931" s="52" t="s">
        <v>26</v>
      </c>
      <c r="G6931" s="53"/>
    </row>
    <row r="6932">
      <c r="A6932" s="49">
        <v>45094.02967747685</v>
      </c>
      <c r="B6932" s="50">
        <v>45094.1546498726</v>
      </c>
      <c r="C6932" s="51">
        <v>1.006</v>
      </c>
      <c r="D6932" s="51">
        <v>69.0</v>
      </c>
      <c r="E6932" s="52" t="s">
        <v>25</v>
      </c>
      <c r="F6932" s="52" t="s">
        <v>26</v>
      </c>
      <c r="G6932" s="53"/>
    </row>
    <row r="6933">
      <c r="A6933" s="49">
        <v>45094.0401003588</v>
      </c>
      <c r="B6933" s="50">
        <v>45094.165069456</v>
      </c>
      <c r="C6933" s="51">
        <v>1.006</v>
      </c>
      <c r="D6933" s="51">
        <v>69.0</v>
      </c>
      <c r="E6933" s="52" t="s">
        <v>25</v>
      </c>
      <c r="F6933" s="52" t="s">
        <v>26</v>
      </c>
      <c r="G6933" s="53"/>
    </row>
    <row r="6934">
      <c r="A6934" s="49">
        <v>45094.05051341435</v>
      </c>
      <c r="B6934" s="50">
        <v>45094.1754909259</v>
      </c>
      <c r="C6934" s="51">
        <v>1.006</v>
      </c>
      <c r="D6934" s="51">
        <v>69.0</v>
      </c>
      <c r="E6934" s="52" t="s">
        <v>25</v>
      </c>
      <c r="F6934" s="52" t="s">
        <v>26</v>
      </c>
      <c r="G6934" s="53"/>
    </row>
    <row r="6935">
      <c r="A6935" s="49">
        <v>45094.06093907407</v>
      </c>
      <c r="B6935" s="50">
        <v>45094.1859107638</v>
      </c>
      <c r="C6935" s="51">
        <v>1.006</v>
      </c>
      <c r="D6935" s="51">
        <v>69.0</v>
      </c>
      <c r="E6935" s="52" t="s">
        <v>25</v>
      </c>
      <c r="F6935" s="52" t="s">
        <v>26</v>
      </c>
      <c r="G6935" s="53"/>
    </row>
    <row r="6936">
      <c r="A6936" s="49">
        <v>45094.071351990744</v>
      </c>
      <c r="B6936" s="50">
        <v>45094.1963307638</v>
      </c>
      <c r="C6936" s="51">
        <v>1.006</v>
      </c>
      <c r="D6936" s="51">
        <v>69.0</v>
      </c>
      <c r="E6936" s="52" t="s">
        <v>25</v>
      </c>
      <c r="F6936" s="52" t="s">
        <v>26</v>
      </c>
      <c r="G6936" s="53"/>
    </row>
    <row r="6937">
      <c r="A6937" s="49">
        <v>45094.08178896991</v>
      </c>
      <c r="B6937" s="50">
        <v>45094.2067650231</v>
      </c>
      <c r="C6937" s="51">
        <v>1.006</v>
      </c>
      <c r="D6937" s="51">
        <v>69.0</v>
      </c>
      <c r="E6937" s="52" t="s">
        <v>25</v>
      </c>
      <c r="F6937" s="52" t="s">
        <v>26</v>
      </c>
      <c r="G6937" s="53"/>
    </row>
    <row r="6938">
      <c r="A6938" s="49">
        <v>45094.092215578705</v>
      </c>
      <c r="B6938" s="50">
        <v>45094.2171870138</v>
      </c>
      <c r="C6938" s="51">
        <v>1.006</v>
      </c>
      <c r="D6938" s="51">
        <v>69.0</v>
      </c>
      <c r="E6938" s="52" t="s">
        <v>25</v>
      </c>
      <c r="F6938" s="52" t="s">
        <v>26</v>
      </c>
      <c r="G6938" s="53"/>
    </row>
    <row r="6939">
      <c r="A6939" s="49">
        <v>45094.10264305555</v>
      </c>
      <c r="B6939" s="50">
        <v>45094.2276194213</v>
      </c>
      <c r="C6939" s="51">
        <v>1.006</v>
      </c>
      <c r="D6939" s="51">
        <v>69.0</v>
      </c>
      <c r="E6939" s="52" t="s">
        <v>25</v>
      </c>
      <c r="F6939" s="52" t="s">
        <v>26</v>
      </c>
      <c r="G6939" s="53"/>
    </row>
    <row r="6940">
      <c r="A6940" s="49">
        <v>45094.113058483796</v>
      </c>
      <c r="B6940" s="50">
        <v>45094.2380399305</v>
      </c>
      <c r="C6940" s="51">
        <v>1.006</v>
      </c>
      <c r="D6940" s="51">
        <v>69.0</v>
      </c>
      <c r="E6940" s="52" t="s">
        <v>25</v>
      </c>
      <c r="F6940" s="52" t="s">
        <v>26</v>
      </c>
      <c r="G6940" s="53"/>
    </row>
    <row r="6941">
      <c r="A6941" s="49">
        <v>45094.12349943287</v>
      </c>
      <c r="B6941" s="50">
        <v>45094.2484734722</v>
      </c>
      <c r="C6941" s="51">
        <v>1.006</v>
      </c>
      <c r="D6941" s="51">
        <v>69.0</v>
      </c>
      <c r="E6941" s="52" t="s">
        <v>25</v>
      </c>
      <c r="F6941" s="52" t="s">
        <v>26</v>
      </c>
      <c r="G6941" s="53"/>
    </row>
    <row r="6942">
      <c r="A6942" s="49">
        <v>45094.13391736111</v>
      </c>
      <c r="B6942" s="50">
        <v>45094.2588950694</v>
      </c>
      <c r="C6942" s="51">
        <v>1.006</v>
      </c>
      <c r="D6942" s="51">
        <v>69.0</v>
      </c>
      <c r="E6942" s="52" t="s">
        <v>25</v>
      </c>
      <c r="F6942" s="52" t="s">
        <v>26</v>
      </c>
      <c r="G6942" s="53"/>
    </row>
    <row r="6943">
      <c r="A6943" s="49">
        <v>45094.14434318287</v>
      </c>
      <c r="B6943" s="50">
        <v>45094.2693160532</v>
      </c>
      <c r="C6943" s="51">
        <v>1.006</v>
      </c>
      <c r="D6943" s="51">
        <v>69.0</v>
      </c>
      <c r="E6943" s="52" t="s">
        <v>25</v>
      </c>
      <c r="F6943" s="52" t="s">
        <v>26</v>
      </c>
      <c r="G6943" s="53"/>
    </row>
    <row r="6944">
      <c r="A6944" s="49">
        <v>45094.15475605324</v>
      </c>
      <c r="B6944" s="50">
        <v>45094.2797370486</v>
      </c>
      <c r="C6944" s="51">
        <v>1.006</v>
      </c>
      <c r="D6944" s="51">
        <v>69.0</v>
      </c>
      <c r="E6944" s="52" t="s">
        <v>25</v>
      </c>
      <c r="F6944" s="52" t="s">
        <v>26</v>
      </c>
      <c r="G6944" s="53"/>
    </row>
    <row r="6945">
      <c r="A6945" s="49">
        <v>45094.165183784724</v>
      </c>
      <c r="B6945" s="50">
        <v>45094.2901585648</v>
      </c>
      <c r="C6945" s="51">
        <v>1.006</v>
      </c>
      <c r="D6945" s="51">
        <v>69.0</v>
      </c>
      <c r="E6945" s="52" t="s">
        <v>25</v>
      </c>
      <c r="F6945" s="52" t="s">
        <v>26</v>
      </c>
      <c r="G6945" s="53"/>
    </row>
    <row r="6946">
      <c r="A6946" s="49">
        <v>45094.1756065625</v>
      </c>
      <c r="B6946" s="50">
        <v>45094.300580625</v>
      </c>
      <c r="C6946" s="51">
        <v>1.006</v>
      </c>
      <c r="D6946" s="51">
        <v>69.0</v>
      </c>
      <c r="E6946" s="52" t="s">
        <v>25</v>
      </c>
      <c r="F6946" s="52" t="s">
        <v>26</v>
      </c>
      <c r="G6946" s="53"/>
    </row>
    <row r="6947">
      <c r="A6947" s="49">
        <v>45094.18602738426</v>
      </c>
      <c r="B6947" s="50">
        <v>45094.311002199</v>
      </c>
      <c r="C6947" s="51">
        <v>1.006</v>
      </c>
      <c r="D6947" s="51">
        <v>69.0</v>
      </c>
      <c r="E6947" s="52" t="s">
        <v>25</v>
      </c>
      <c r="F6947" s="52" t="s">
        <v>26</v>
      </c>
      <c r="G6947" s="53"/>
    </row>
    <row r="6948">
      <c r="A6948" s="49">
        <v>45094.19644115741</v>
      </c>
      <c r="B6948" s="50">
        <v>45094.3214233101</v>
      </c>
      <c r="C6948" s="51">
        <v>1.006</v>
      </c>
      <c r="D6948" s="51">
        <v>69.0</v>
      </c>
      <c r="E6948" s="52" t="s">
        <v>25</v>
      </c>
      <c r="F6948" s="52" t="s">
        <v>26</v>
      </c>
      <c r="G6948" s="53"/>
    </row>
    <row r="6949">
      <c r="A6949" s="49">
        <v>45094.20687212963</v>
      </c>
      <c r="B6949" s="50">
        <v>45094.3318446412</v>
      </c>
      <c r="C6949" s="51">
        <v>1.006</v>
      </c>
      <c r="D6949" s="51">
        <v>69.0</v>
      </c>
      <c r="E6949" s="52" t="s">
        <v>25</v>
      </c>
      <c r="F6949" s="52" t="s">
        <v>26</v>
      </c>
      <c r="G6949" s="53"/>
    </row>
    <row r="6950">
      <c r="A6950" s="49">
        <v>45094.21729721065</v>
      </c>
      <c r="B6950" s="50">
        <v>45094.3422680671</v>
      </c>
      <c r="C6950" s="51">
        <v>1.006</v>
      </c>
      <c r="D6950" s="51">
        <v>69.0</v>
      </c>
      <c r="E6950" s="52" t="s">
        <v>25</v>
      </c>
      <c r="F6950" s="52" t="s">
        <v>26</v>
      </c>
      <c r="G6950" s="53"/>
    </row>
    <row r="6951">
      <c r="A6951" s="49">
        <v>45094.22771931713</v>
      </c>
      <c r="B6951" s="50">
        <v>45094.3526895601</v>
      </c>
      <c r="C6951" s="51">
        <v>1.006</v>
      </c>
      <c r="D6951" s="51">
        <v>69.0</v>
      </c>
      <c r="E6951" s="52" t="s">
        <v>25</v>
      </c>
      <c r="F6951" s="52" t="s">
        <v>26</v>
      </c>
      <c r="G6951" s="53"/>
    </row>
    <row r="6952">
      <c r="A6952" s="49">
        <v>45094.238134942134</v>
      </c>
      <c r="B6952" s="50">
        <v>45094.3631075926</v>
      </c>
      <c r="C6952" s="51">
        <v>1.006</v>
      </c>
      <c r="D6952" s="51">
        <v>69.0</v>
      </c>
      <c r="E6952" s="52" t="s">
        <v>25</v>
      </c>
      <c r="F6952" s="52" t="s">
        <v>26</v>
      </c>
      <c r="G6952" s="53"/>
    </row>
    <row r="6953">
      <c r="A6953" s="49">
        <v>45094.24857394676</v>
      </c>
      <c r="B6953" s="50">
        <v>45094.3735516666</v>
      </c>
      <c r="C6953" s="51">
        <v>1.006</v>
      </c>
      <c r="D6953" s="51">
        <v>69.0</v>
      </c>
      <c r="E6953" s="52" t="s">
        <v>25</v>
      </c>
      <c r="F6953" s="52" t="s">
        <v>26</v>
      </c>
      <c r="G6953" s="53"/>
    </row>
    <row r="6954">
      <c r="A6954" s="49">
        <v>45094.258991319446</v>
      </c>
      <c r="B6954" s="50">
        <v>45094.3839733449</v>
      </c>
      <c r="C6954" s="51">
        <v>1.006</v>
      </c>
      <c r="D6954" s="51">
        <v>69.0</v>
      </c>
      <c r="E6954" s="52" t="s">
        <v>25</v>
      </c>
      <c r="F6954" s="52" t="s">
        <v>26</v>
      </c>
      <c r="G6954" s="53"/>
    </row>
    <row r="6955">
      <c r="A6955" s="49">
        <v>45094.269437800926</v>
      </c>
      <c r="B6955" s="50">
        <v>45094.3944161342</v>
      </c>
      <c r="C6955" s="51">
        <v>1.006</v>
      </c>
      <c r="D6955" s="51">
        <v>69.0</v>
      </c>
      <c r="E6955" s="52" t="s">
        <v>25</v>
      </c>
      <c r="F6955" s="52" t="s">
        <v>26</v>
      </c>
      <c r="G6955" s="53"/>
    </row>
    <row r="6956">
      <c r="A6956" s="49">
        <v>45094.279876898145</v>
      </c>
      <c r="B6956" s="50">
        <v>45094.4048492245</v>
      </c>
      <c r="C6956" s="51">
        <v>1.006</v>
      </c>
      <c r="D6956" s="51">
        <v>69.0</v>
      </c>
      <c r="E6956" s="52" t="s">
        <v>25</v>
      </c>
      <c r="F6956" s="52" t="s">
        <v>26</v>
      </c>
      <c r="G6956" s="53"/>
    </row>
    <row r="6957">
      <c r="A6957" s="49">
        <v>45094.29029981482</v>
      </c>
      <c r="B6957" s="50">
        <v>45094.4152704282</v>
      </c>
      <c r="C6957" s="51">
        <v>1.006</v>
      </c>
      <c r="D6957" s="51">
        <v>69.0</v>
      </c>
      <c r="E6957" s="52" t="s">
        <v>25</v>
      </c>
      <c r="F6957" s="52" t="s">
        <v>26</v>
      </c>
      <c r="G6957" s="53"/>
    </row>
    <row r="6958">
      <c r="A6958" s="49">
        <v>45094.300717025464</v>
      </c>
      <c r="B6958" s="50">
        <v>45094.4256929282</v>
      </c>
      <c r="C6958" s="51">
        <v>1.006</v>
      </c>
      <c r="D6958" s="51">
        <v>69.0</v>
      </c>
      <c r="E6958" s="52" t="s">
        <v>25</v>
      </c>
      <c r="F6958" s="52" t="s">
        <v>26</v>
      </c>
      <c r="G6958" s="53"/>
    </row>
    <row r="6959">
      <c r="A6959" s="49">
        <v>45094.31113523148</v>
      </c>
      <c r="B6959" s="50">
        <v>45094.4361148726</v>
      </c>
      <c r="C6959" s="51">
        <v>1.006</v>
      </c>
      <c r="D6959" s="51">
        <v>69.0</v>
      </c>
      <c r="E6959" s="52" t="s">
        <v>25</v>
      </c>
      <c r="F6959" s="52" t="s">
        <v>26</v>
      </c>
      <c r="G6959" s="53"/>
    </row>
    <row r="6960">
      <c r="A6960" s="49">
        <v>45094.321551562505</v>
      </c>
      <c r="B6960" s="50">
        <v>45094.446535324</v>
      </c>
      <c r="C6960" s="51">
        <v>1.006</v>
      </c>
      <c r="D6960" s="51">
        <v>69.0</v>
      </c>
      <c r="E6960" s="52" t="s">
        <v>25</v>
      </c>
      <c r="F6960" s="52" t="s">
        <v>26</v>
      </c>
      <c r="G6960" s="53"/>
    </row>
    <row r="6961">
      <c r="A6961" s="49">
        <v>45094.3319740625</v>
      </c>
      <c r="B6961" s="50">
        <v>45094.4569564236</v>
      </c>
      <c r="C6961" s="51">
        <v>1.006</v>
      </c>
      <c r="D6961" s="51">
        <v>69.0</v>
      </c>
      <c r="E6961" s="52" t="s">
        <v>25</v>
      </c>
      <c r="F6961" s="52" t="s">
        <v>26</v>
      </c>
      <c r="G6961" s="53"/>
    </row>
    <row r="6962">
      <c r="A6962" s="49">
        <v>45094.342424884264</v>
      </c>
      <c r="B6962" s="50">
        <v>45094.4674012268</v>
      </c>
      <c r="C6962" s="51">
        <v>1.006</v>
      </c>
      <c r="D6962" s="51">
        <v>69.0</v>
      </c>
      <c r="E6962" s="52" t="s">
        <v>25</v>
      </c>
      <c r="F6962" s="52" t="s">
        <v>26</v>
      </c>
      <c r="G6962" s="53"/>
    </row>
    <row r="6963">
      <c r="A6963" s="49">
        <v>45094.3528455787</v>
      </c>
      <c r="B6963" s="50">
        <v>45094.4778224652</v>
      </c>
      <c r="C6963" s="51">
        <v>1.006</v>
      </c>
      <c r="D6963" s="51">
        <v>69.0</v>
      </c>
      <c r="E6963" s="52" t="s">
        <v>25</v>
      </c>
      <c r="F6963" s="52" t="s">
        <v>26</v>
      </c>
      <c r="G6963" s="53"/>
    </row>
    <row r="6964">
      <c r="A6964" s="49">
        <v>45094.36328135416</v>
      </c>
      <c r="B6964" s="50">
        <v>45094.4882552893</v>
      </c>
      <c r="C6964" s="51">
        <v>1.006</v>
      </c>
      <c r="D6964" s="51">
        <v>69.0</v>
      </c>
      <c r="E6964" s="52" t="s">
        <v>25</v>
      </c>
      <c r="F6964" s="52" t="s">
        <v>26</v>
      </c>
      <c r="G6964" s="53"/>
    </row>
    <row r="6965">
      <c r="A6965" s="49">
        <v>45094.37371230324</v>
      </c>
      <c r="B6965" s="50">
        <v>45094.4986873263</v>
      </c>
      <c r="C6965" s="51">
        <v>1.006</v>
      </c>
      <c r="D6965" s="51">
        <v>69.0</v>
      </c>
      <c r="E6965" s="52" t="s">
        <v>25</v>
      </c>
      <c r="F6965" s="52" t="s">
        <v>26</v>
      </c>
      <c r="G6965" s="53"/>
    </row>
    <row r="6966">
      <c r="A6966" s="49">
        <v>45094.38414260416</v>
      </c>
      <c r="B6966" s="50">
        <v>45094.5091203703</v>
      </c>
      <c r="C6966" s="51">
        <v>1.006</v>
      </c>
      <c r="D6966" s="51">
        <v>69.0</v>
      </c>
      <c r="E6966" s="52" t="s">
        <v>25</v>
      </c>
      <c r="F6966" s="52" t="s">
        <v>26</v>
      </c>
      <c r="G6966" s="53"/>
    </row>
    <row r="6967">
      <c r="A6967" s="49">
        <v>45094.394569027776</v>
      </c>
      <c r="B6967" s="50">
        <v>45094.519542037</v>
      </c>
      <c r="C6967" s="51">
        <v>1.006</v>
      </c>
      <c r="D6967" s="51">
        <v>69.0</v>
      </c>
      <c r="E6967" s="52" t="s">
        <v>25</v>
      </c>
      <c r="F6967" s="52" t="s">
        <v>26</v>
      </c>
      <c r="G6967" s="53"/>
    </row>
    <row r="6968">
      <c r="A6968" s="49">
        <v>45094.40499193287</v>
      </c>
      <c r="B6968" s="50">
        <v>45094.5299621296</v>
      </c>
      <c r="C6968" s="51">
        <v>1.006</v>
      </c>
      <c r="D6968" s="51">
        <v>69.0</v>
      </c>
      <c r="E6968" s="52" t="s">
        <v>25</v>
      </c>
      <c r="F6968" s="52" t="s">
        <v>26</v>
      </c>
      <c r="G6968" s="53"/>
    </row>
    <row r="6969">
      <c r="A6969" s="49">
        <v>45094.415409849535</v>
      </c>
      <c r="B6969" s="50">
        <v>45094.5403842245</v>
      </c>
      <c r="C6969" s="51">
        <v>1.006</v>
      </c>
      <c r="D6969" s="51">
        <v>69.0</v>
      </c>
      <c r="E6969" s="52" t="s">
        <v>25</v>
      </c>
      <c r="F6969" s="52" t="s">
        <v>26</v>
      </c>
      <c r="G6969" s="53"/>
    </row>
    <row r="6970">
      <c r="A6970" s="49">
        <v>45094.42587008102</v>
      </c>
      <c r="B6970" s="50">
        <v>45094.5508422106</v>
      </c>
      <c r="C6970" s="51">
        <v>1.006</v>
      </c>
      <c r="D6970" s="51">
        <v>69.0</v>
      </c>
      <c r="E6970" s="52" t="s">
        <v>25</v>
      </c>
      <c r="F6970" s="52" t="s">
        <v>26</v>
      </c>
      <c r="G6970" s="53"/>
    </row>
    <row r="6971">
      <c r="A6971" s="49">
        <v>45094.43628966435</v>
      </c>
      <c r="B6971" s="50">
        <v>45094.5612651967</v>
      </c>
      <c r="C6971" s="51">
        <v>1.006</v>
      </c>
      <c r="D6971" s="51">
        <v>69.0</v>
      </c>
      <c r="E6971" s="52" t="s">
        <v>25</v>
      </c>
      <c r="F6971" s="52" t="s">
        <v>26</v>
      </c>
      <c r="G6971" s="53"/>
    </row>
    <row r="6972">
      <c r="A6972" s="49">
        <v>45094.44672425926</v>
      </c>
      <c r="B6972" s="50">
        <v>45094.571698287</v>
      </c>
      <c r="C6972" s="51">
        <v>1.006</v>
      </c>
      <c r="D6972" s="51">
        <v>69.0</v>
      </c>
      <c r="E6972" s="52" t="s">
        <v>25</v>
      </c>
      <c r="F6972" s="52" t="s">
        <v>26</v>
      </c>
      <c r="G6972" s="53"/>
    </row>
    <row r="6973">
      <c r="A6973" s="49">
        <v>45094.45716024305</v>
      </c>
      <c r="B6973" s="50">
        <v>45094.5821316435</v>
      </c>
      <c r="C6973" s="51">
        <v>1.006</v>
      </c>
      <c r="D6973" s="51">
        <v>69.0</v>
      </c>
      <c r="E6973" s="52" t="s">
        <v>25</v>
      </c>
      <c r="F6973" s="52" t="s">
        <v>26</v>
      </c>
      <c r="G6973" s="53"/>
    </row>
    <row r="6974">
      <c r="A6974" s="49">
        <v>45094.46757800926</v>
      </c>
      <c r="B6974" s="50">
        <v>45094.5925535763</v>
      </c>
      <c r="C6974" s="51">
        <v>1.006</v>
      </c>
      <c r="D6974" s="51">
        <v>69.0</v>
      </c>
      <c r="E6974" s="52" t="s">
        <v>25</v>
      </c>
      <c r="F6974" s="52" t="s">
        <v>26</v>
      </c>
      <c r="G6974" s="53"/>
    </row>
    <row r="6975">
      <c r="A6975" s="49">
        <v>45094.47799859954</v>
      </c>
      <c r="B6975" s="50">
        <v>45094.6029745717</v>
      </c>
      <c r="C6975" s="51">
        <v>1.006</v>
      </c>
      <c r="D6975" s="51">
        <v>69.0</v>
      </c>
      <c r="E6975" s="52" t="s">
        <v>25</v>
      </c>
      <c r="F6975" s="52" t="s">
        <v>26</v>
      </c>
      <c r="G6975" s="53"/>
    </row>
    <row r="6976">
      <c r="A6976" s="49">
        <v>45094.48841900463</v>
      </c>
      <c r="B6976" s="50">
        <v>45094.6133952777</v>
      </c>
      <c r="C6976" s="51">
        <v>1.006</v>
      </c>
      <c r="D6976" s="51">
        <v>69.0</v>
      </c>
      <c r="E6976" s="52" t="s">
        <v>25</v>
      </c>
      <c r="F6976" s="52" t="s">
        <v>26</v>
      </c>
      <c r="G6976" s="53"/>
    </row>
    <row r="6977">
      <c r="A6977" s="49">
        <v>45094.49885920139</v>
      </c>
      <c r="B6977" s="50">
        <v>45094.623841493</v>
      </c>
      <c r="C6977" s="51">
        <v>1.006</v>
      </c>
      <c r="D6977" s="51">
        <v>69.0</v>
      </c>
      <c r="E6977" s="52" t="s">
        <v>25</v>
      </c>
      <c r="F6977" s="52" t="s">
        <v>26</v>
      </c>
      <c r="G6977" s="53"/>
    </row>
    <row r="6978">
      <c r="A6978" s="49">
        <v>45094.50928820602</v>
      </c>
      <c r="B6978" s="50">
        <v>45094.6342634953</v>
      </c>
      <c r="C6978" s="51">
        <v>1.006</v>
      </c>
      <c r="D6978" s="51">
        <v>69.0</v>
      </c>
      <c r="E6978" s="52" t="s">
        <v>25</v>
      </c>
      <c r="F6978" s="52" t="s">
        <v>26</v>
      </c>
      <c r="G6978" s="53"/>
    </row>
    <row r="6979">
      <c r="A6979" s="49">
        <v>45094.51973133102</v>
      </c>
      <c r="B6979" s="50">
        <v>45094.6447078472</v>
      </c>
      <c r="C6979" s="51">
        <v>1.006</v>
      </c>
      <c r="D6979" s="51">
        <v>69.0</v>
      </c>
      <c r="E6979" s="52" t="s">
        <v>25</v>
      </c>
      <c r="F6979" s="52" t="s">
        <v>26</v>
      </c>
      <c r="G6979" s="53"/>
    </row>
    <row r="6980">
      <c r="A6980" s="49">
        <v>45094.53014697917</v>
      </c>
      <c r="B6980" s="50">
        <v>45094.6551292361</v>
      </c>
      <c r="C6980" s="51">
        <v>1.006</v>
      </c>
      <c r="D6980" s="51">
        <v>69.0</v>
      </c>
      <c r="E6980" s="52" t="s">
        <v>25</v>
      </c>
      <c r="F6980" s="52" t="s">
        <v>26</v>
      </c>
      <c r="G6980" s="53"/>
    </row>
    <row r="6981">
      <c r="A6981" s="49">
        <v>45094.54056842593</v>
      </c>
      <c r="B6981" s="50">
        <v>45094.6655496296</v>
      </c>
      <c r="C6981" s="51">
        <v>1.006</v>
      </c>
      <c r="D6981" s="51">
        <v>69.0</v>
      </c>
      <c r="E6981" s="52" t="s">
        <v>25</v>
      </c>
      <c r="F6981" s="52" t="s">
        <v>26</v>
      </c>
      <c r="G6981" s="53"/>
    </row>
    <row r="6982">
      <c r="A6982" s="49">
        <v>45094.550992476856</v>
      </c>
      <c r="B6982" s="50">
        <v>45094.6759711574</v>
      </c>
      <c r="C6982" s="51">
        <v>1.006</v>
      </c>
      <c r="D6982" s="51">
        <v>69.0</v>
      </c>
      <c r="E6982" s="52" t="s">
        <v>25</v>
      </c>
      <c r="F6982" s="52" t="s">
        <v>26</v>
      </c>
      <c r="G6982" s="53"/>
    </row>
    <row r="6983">
      <c r="A6983" s="49">
        <v>45094.56141369213</v>
      </c>
      <c r="B6983" s="50">
        <v>45094.6863924768</v>
      </c>
      <c r="C6983" s="51">
        <v>1.006</v>
      </c>
      <c r="D6983" s="51">
        <v>69.0</v>
      </c>
      <c r="E6983" s="52" t="s">
        <v>25</v>
      </c>
      <c r="F6983" s="52" t="s">
        <v>26</v>
      </c>
      <c r="G6983" s="53"/>
    </row>
    <row r="6984">
      <c r="A6984" s="49">
        <v>45094.57183572916</v>
      </c>
      <c r="B6984" s="50">
        <v>45094.6968143634</v>
      </c>
      <c r="C6984" s="51">
        <v>1.006</v>
      </c>
      <c r="D6984" s="51">
        <v>69.0</v>
      </c>
      <c r="E6984" s="52" t="s">
        <v>25</v>
      </c>
      <c r="F6984" s="52" t="s">
        <v>26</v>
      </c>
      <c r="G6984" s="53"/>
    </row>
    <row r="6985">
      <c r="A6985" s="49">
        <v>45094.58228091435</v>
      </c>
      <c r="B6985" s="50">
        <v>45094.70726125</v>
      </c>
      <c r="C6985" s="51">
        <v>1.006</v>
      </c>
      <c r="D6985" s="51">
        <v>69.0</v>
      </c>
      <c r="E6985" s="52" t="s">
        <v>25</v>
      </c>
      <c r="F6985" s="52" t="s">
        <v>26</v>
      </c>
      <c r="G6985" s="53"/>
    </row>
    <row r="6986">
      <c r="A6986" s="49">
        <v>45094.59269958333</v>
      </c>
      <c r="B6986" s="50">
        <v>45094.7176824305</v>
      </c>
      <c r="C6986" s="51">
        <v>1.006</v>
      </c>
      <c r="D6986" s="51">
        <v>69.0</v>
      </c>
      <c r="E6986" s="52" t="s">
        <v>25</v>
      </c>
      <c r="F6986" s="52" t="s">
        <v>26</v>
      </c>
      <c r="G6986" s="53"/>
    </row>
    <row r="6987">
      <c r="A6987" s="49">
        <v>45094.60312601852</v>
      </c>
      <c r="B6987" s="50">
        <v>45094.7281039699</v>
      </c>
      <c r="C6987" s="51">
        <v>1.006</v>
      </c>
      <c r="D6987" s="51">
        <v>69.0</v>
      </c>
      <c r="E6987" s="52" t="s">
        <v>25</v>
      </c>
      <c r="F6987" s="52" t="s">
        <v>26</v>
      </c>
      <c r="G6987" s="53"/>
    </row>
    <row r="6988">
      <c r="A6988" s="49">
        <v>45094.6135428125</v>
      </c>
      <c r="B6988" s="50">
        <v>45094.738525706</v>
      </c>
      <c r="C6988" s="51">
        <v>1.006</v>
      </c>
      <c r="D6988" s="51">
        <v>69.0</v>
      </c>
      <c r="E6988" s="52" t="s">
        <v>25</v>
      </c>
      <c r="F6988" s="52" t="s">
        <v>26</v>
      </c>
      <c r="G6988" s="53"/>
    </row>
    <row r="6989">
      <c r="A6989" s="49">
        <v>45094.62397905093</v>
      </c>
      <c r="B6989" s="50">
        <v>45094.7489567939</v>
      </c>
      <c r="C6989" s="51">
        <v>1.006</v>
      </c>
      <c r="D6989" s="51">
        <v>69.0</v>
      </c>
      <c r="E6989" s="52" t="s">
        <v>25</v>
      </c>
      <c r="F6989" s="52" t="s">
        <v>26</v>
      </c>
      <c r="G6989" s="53"/>
    </row>
    <row r="6990">
      <c r="A6990" s="49">
        <v>45094.63439828704</v>
      </c>
      <c r="B6990" s="50">
        <v>45094.7593773379</v>
      </c>
      <c r="C6990" s="51">
        <v>1.005</v>
      </c>
      <c r="D6990" s="51">
        <v>69.0</v>
      </c>
      <c r="E6990" s="52" t="s">
        <v>25</v>
      </c>
      <c r="F6990" s="52" t="s">
        <v>26</v>
      </c>
      <c r="G6990" s="53"/>
    </row>
    <row r="6991">
      <c r="A6991" s="49">
        <v>45094.644832743055</v>
      </c>
      <c r="B6991" s="50">
        <v>45094.7697987731</v>
      </c>
      <c r="C6991" s="51">
        <v>1.006</v>
      </c>
      <c r="D6991" s="51">
        <v>69.0</v>
      </c>
      <c r="E6991" s="52" t="s">
        <v>25</v>
      </c>
      <c r="F6991" s="52" t="s">
        <v>26</v>
      </c>
      <c r="G6991" s="53"/>
    </row>
    <row r="6992">
      <c r="A6992" s="49">
        <v>45094.65524202546</v>
      </c>
      <c r="B6992" s="50">
        <v>45094.7802193865</v>
      </c>
      <c r="C6992" s="51">
        <v>1.006</v>
      </c>
      <c r="D6992" s="51">
        <v>69.0</v>
      </c>
      <c r="E6992" s="52" t="s">
        <v>25</v>
      </c>
      <c r="F6992" s="52" t="s">
        <v>26</v>
      </c>
      <c r="G6992" s="53"/>
    </row>
    <row r="6993">
      <c r="A6993" s="49">
        <v>45094.66566006944</v>
      </c>
      <c r="B6993" s="50">
        <v>45094.7906408564</v>
      </c>
      <c r="C6993" s="51">
        <v>1.005</v>
      </c>
      <c r="D6993" s="51">
        <v>69.0</v>
      </c>
      <c r="E6993" s="52" t="s">
        <v>25</v>
      </c>
      <c r="F6993" s="52" t="s">
        <v>26</v>
      </c>
      <c r="G6993" s="53"/>
    </row>
    <row r="6994">
      <c r="A6994" s="49">
        <v>45094.67608478009</v>
      </c>
      <c r="B6994" s="50">
        <v>45094.8010634259</v>
      </c>
      <c r="C6994" s="51">
        <v>1.006</v>
      </c>
      <c r="D6994" s="51">
        <v>69.0</v>
      </c>
      <c r="E6994" s="52" t="s">
        <v>25</v>
      </c>
      <c r="F6994" s="52" t="s">
        <v>26</v>
      </c>
      <c r="G6994" s="53"/>
    </row>
    <row r="6995">
      <c r="A6995" s="49">
        <v>45094.68652538194</v>
      </c>
      <c r="B6995" s="50">
        <v>45094.8114963773</v>
      </c>
      <c r="C6995" s="51">
        <v>1.006</v>
      </c>
      <c r="D6995" s="51">
        <v>69.0</v>
      </c>
      <c r="E6995" s="52" t="s">
        <v>25</v>
      </c>
      <c r="F6995" s="52" t="s">
        <v>26</v>
      </c>
      <c r="G6995" s="53"/>
    </row>
    <row r="6996">
      <c r="A6996" s="49">
        <v>45094.69694091435</v>
      </c>
      <c r="B6996" s="50">
        <v>45094.8219174537</v>
      </c>
      <c r="C6996" s="51">
        <v>1.006</v>
      </c>
      <c r="D6996" s="51">
        <v>69.0</v>
      </c>
      <c r="E6996" s="52" t="s">
        <v>25</v>
      </c>
      <c r="F6996" s="52" t="s">
        <v>26</v>
      </c>
      <c r="G6996" s="53"/>
    </row>
    <row r="6997">
      <c r="A6997" s="49">
        <v>45094.70736915509</v>
      </c>
      <c r="B6997" s="50">
        <v>45094.8323500347</v>
      </c>
      <c r="C6997" s="51">
        <v>1.006</v>
      </c>
      <c r="D6997" s="51">
        <v>69.0</v>
      </c>
      <c r="E6997" s="52" t="s">
        <v>25</v>
      </c>
      <c r="F6997" s="52" t="s">
        <v>26</v>
      </c>
      <c r="G6997" s="53"/>
    </row>
    <row r="6998">
      <c r="A6998" s="49">
        <v>45094.71778872685</v>
      </c>
      <c r="B6998" s="50">
        <v>45094.8427699768</v>
      </c>
      <c r="C6998" s="51">
        <v>1.006</v>
      </c>
      <c r="D6998" s="51">
        <v>69.0</v>
      </c>
      <c r="E6998" s="52" t="s">
        <v>25</v>
      </c>
      <c r="F6998" s="52" t="s">
        <v>26</v>
      </c>
      <c r="G6998" s="53"/>
    </row>
    <row r="6999">
      <c r="A6999" s="49">
        <v>45094.72822828704</v>
      </c>
      <c r="B6999" s="50">
        <v>45094.8532037731</v>
      </c>
      <c r="C6999" s="51">
        <v>1.006</v>
      </c>
      <c r="D6999" s="51">
        <v>69.0</v>
      </c>
      <c r="E6999" s="52" t="s">
        <v>25</v>
      </c>
      <c r="F6999" s="52" t="s">
        <v>26</v>
      </c>
      <c r="G6999" s="53"/>
    </row>
    <row r="7000">
      <c r="A7000" s="49">
        <v>45094.73867313657</v>
      </c>
      <c r="B7000" s="50">
        <v>45094.8636489467</v>
      </c>
      <c r="C7000" s="51">
        <v>1.006</v>
      </c>
      <c r="D7000" s="51">
        <v>69.0</v>
      </c>
      <c r="E7000" s="52" t="s">
        <v>25</v>
      </c>
      <c r="F7000" s="52" t="s">
        <v>26</v>
      </c>
      <c r="G7000" s="53"/>
    </row>
    <row r="7001">
      <c r="A7001" s="49">
        <v>45094.749088136574</v>
      </c>
      <c r="B7001" s="50">
        <v>45094.8740692129</v>
      </c>
      <c r="C7001" s="51">
        <v>1.005</v>
      </c>
      <c r="D7001" s="51">
        <v>69.0</v>
      </c>
      <c r="E7001" s="52" t="s">
        <v>25</v>
      </c>
      <c r="F7001" s="52" t="s">
        <v>26</v>
      </c>
      <c r="G7001" s="53"/>
    </row>
    <row r="7002">
      <c r="A7002" s="49">
        <v>45094.759520057865</v>
      </c>
      <c r="B7002" s="50">
        <v>45094.8845012037</v>
      </c>
      <c r="C7002" s="51">
        <v>1.006</v>
      </c>
      <c r="D7002" s="51">
        <v>69.0</v>
      </c>
      <c r="E7002" s="52" t="s">
        <v>25</v>
      </c>
      <c r="F7002" s="52" t="s">
        <v>26</v>
      </c>
      <c r="G7002" s="53"/>
    </row>
    <row r="7003">
      <c r="A7003" s="49">
        <v>45094.7699622338</v>
      </c>
      <c r="B7003" s="50">
        <v>45094.8949346064</v>
      </c>
      <c r="C7003" s="51">
        <v>1.006</v>
      </c>
      <c r="D7003" s="51">
        <v>69.0</v>
      </c>
      <c r="E7003" s="52" t="s">
        <v>25</v>
      </c>
      <c r="F7003" s="52" t="s">
        <v>26</v>
      </c>
      <c r="G7003" s="53"/>
    </row>
    <row r="7004">
      <c r="A7004" s="49">
        <v>45094.7804152662</v>
      </c>
      <c r="B7004" s="50">
        <v>45094.905390324</v>
      </c>
      <c r="C7004" s="51">
        <v>1.006</v>
      </c>
      <c r="D7004" s="51">
        <v>69.0</v>
      </c>
      <c r="E7004" s="52" t="s">
        <v>25</v>
      </c>
      <c r="F7004" s="52" t="s">
        <v>26</v>
      </c>
      <c r="G7004" s="53"/>
    </row>
    <row r="7005">
      <c r="A7005" s="49">
        <v>45094.79084221065</v>
      </c>
      <c r="B7005" s="50">
        <v>45094.9158235879</v>
      </c>
      <c r="C7005" s="51">
        <v>1.006</v>
      </c>
      <c r="D7005" s="51">
        <v>69.0</v>
      </c>
      <c r="E7005" s="52" t="s">
        <v>25</v>
      </c>
      <c r="F7005" s="52" t="s">
        <v>26</v>
      </c>
      <c r="G7005" s="53"/>
    </row>
    <row r="7006">
      <c r="A7006" s="49">
        <v>45094.80126013889</v>
      </c>
      <c r="B7006" s="50">
        <v>45094.9262448264</v>
      </c>
      <c r="C7006" s="51">
        <v>1.006</v>
      </c>
      <c r="D7006" s="51">
        <v>69.0</v>
      </c>
      <c r="E7006" s="52" t="s">
        <v>25</v>
      </c>
      <c r="F7006" s="52" t="s">
        <v>26</v>
      </c>
      <c r="G7006" s="53"/>
    </row>
    <row r="7007">
      <c r="A7007" s="49">
        <v>45094.81168993056</v>
      </c>
      <c r="B7007" s="50">
        <v>45094.9366659143</v>
      </c>
      <c r="C7007" s="51">
        <v>1.006</v>
      </c>
      <c r="D7007" s="51">
        <v>69.0</v>
      </c>
      <c r="E7007" s="52" t="s">
        <v>25</v>
      </c>
      <c r="F7007" s="52" t="s">
        <v>26</v>
      </c>
      <c r="G7007" s="53"/>
    </row>
    <row r="7008">
      <c r="A7008" s="49">
        <v>45094.82212755787</v>
      </c>
      <c r="B7008" s="50">
        <v>45094.9470993518</v>
      </c>
      <c r="C7008" s="51">
        <v>1.006</v>
      </c>
      <c r="D7008" s="51">
        <v>69.0</v>
      </c>
      <c r="E7008" s="52" t="s">
        <v>25</v>
      </c>
      <c r="F7008" s="52" t="s">
        <v>26</v>
      </c>
      <c r="G7008" s="53"/>
    </row>
    <row r="7009">
      <c r="A7009" s="49">
        <v>45094.832547673606</v>
      </c>
      <c r="B7009" s="50">
        <v>45094.9575198263</v>
      </c>
      <c r="C7009" s="51">
        <v>1.006</v>
      </c>
      <c r="D7009" s="51">
        <v>69.0</v>
      </c>
      <c r="E7009" s="52" t="s">
        <v>25</v>
      </c>
      <c r="F7009" s="52" t="s">
        <v>26</v>
      </c>
      <c r="G7009" s="53"/>
    </row>
    <row r="7010">
      <c r="A7010" s="49">
        <v>45094.84296072916</v>
      </c>
      <c r="B7010" s="50">
        <v>45094.9679408101</v>
      </c>
      <c r="C7010" s="51">
        <v>1.006</v>
      </c>
      <c r="D7010" s="51">
        <v>69.0</v>
      </c>
      <c r="E7010" s="52" t="s">
        <v>25</v>
      </c>
      <c r="F7010" s="52" t="s">
        <v>26</v>
      </c>
      <c r="G7010" s="53"/>
    </row>
    <row r="7011">
      <c r="A7011" s="49">
        <v>45094.85338702546</v>
      </c>
      <c r="B7011" s="50">
        <v>45094.9783617824</v>
      </c>
      <c r="C7011" s="51">
        <v>1.006</v>
      </c>
      <c r="D7011" s="51">
        <v>69.0</v>
      </c>
      <c r="E7011" s="52" t="s">
        <v>25</v>
      </c>
      <c r="F7011" s="52" t="s">
        <v>26</v>
      </c>
      <c r="G7011" s="53"/>
    </row>
    <row r="7012">
      <c r="A7012" s="49">
        <v>45094.863819328704</v>
      </c>
      <c r="B7012" s="50">
        <v>45094.9887838078</v>
      </c>
      <c r="C7012" s="51">
        <v>1.005</v>
      </c>
      <c r="D7012" s="51">
        <v>69.0</v>
      </c>
      <c r="E7012" s="52" t="s">
        <v>25</v>
      </c>
      <c r="F7012" s="52" t="s">
        <v>26</v>
      </c>
      <c r="G7012" s="53"/>
    </row>
    <row r="7013">
      <c r="A7013" s="49">
        <v>45094.87424453704</v>
      </c>
      <c r="B7013" s="50">
        <v>45094.9992168981</v>
      </c>
      <c r="C7013" s="51">
        <v>1.006</v>
      </c>
      <c r="D7013" s="51">
        <v>69.0</v>
      </c>
      <c r="E7013" s="52" t="s">
        <v>25</v>
      </c>
      <c r="F7013" s="52" t="s">
        <v>26</v>
      </c>
      <c r="G7013" s="53"/>
    </row>
    <row r="7014">
      <c r="A7014" s="49">
        <v>45094.884681550924</v>
      </c>
      <c r="B7014" s="50">
        <v>45095.0096517361</v>
      </c>
      <c r="C7014" s="51">
        <v>1.006</v>
      </c>
      <c r="D7014" s="51">
        <v>69.0</v>
      </c>
      <c r="E7014" s="52" t="s">
        <v>25</v>
      </c>
      <c r="F7014" s="52" t="s">
        <v>26</v>
      </c>
      <c r="G7014" s="53"/>
    </row>
    <row r="7015">
      <c r="A7015" s="49">
        <v>45094.89510081019</v>
      </c>
      <c r="B7015" s="50">
        <v>45095.0200847453</v>
      </c>
      <c r="C7015" s="51">
        <v>1.006</v>
      </c>
      <c r="D7015" s="51">
        <v>69.0</v>
      </c>
      <c r="E7015" s="52" t="s">
        <v>25</v>
      </c>
      <c r="F7015" s="52" t="s">
        <v>26</v>
      </c>
      <c r="G7015" s="53"/>
    </row>
    <row r="7016">
      <c r="A7016" s="49">
        <v>45094.905524050926</v>
      </c>
      <c r="B7016" s="50">
        <v>45095.0305073958</v>
      </c>
      <c r="C7016" s="51">
        <v>1.006</v>
      </c>
      <c r="D7016" s="51">
        <v>69.0</v>
      </c>
      <c r="E7016" s="52" t="s">
        <v>25</v>
      </c>
      <c r="F7016" s="52" t="s">
        <v>26</v>
      </c>
      <c r="G7016" s="53"/>
    </row>
    <row r="7017">
      <c r="A7017" s="49">
        <v>45094.9159627662</v>
      </c>
      <c r="B7017" s="50">
        <v>45095.0409382175</v>
      </c>
      <c r="C7017" s="51">
        <v>1.005</v>
      </c>
      <c r="D7017" s="51">
        <v>69.0</v>
      </c>
      <c r="E7017" s="52" t="s">
        <v>25</v>
      </c>
      <c r="F7017" s="52" t="s">
        <v>26</v>
      </c>
      <c r="G7017" s="53"/>
    </row>
    <row r="7018">
      <c r="A7018" s="49">
        <v>45094.92638636574</v>
      </c>
      <c r="B7018" s="50">
        <v>45095.0513585069</v>
      </c>
      <c r="C7018" s="51">
        <v>1.005</v>
      </c>
      <c r="D7018" s="51">
        <v>69.0</v>
      </c>
      <c r="E7018" s="52" t="s">
        <v>25</v>
      </c>
      <c r="F7018" s="52" t="s">
        <v>26</v>
      </c>
      <c r="G7018" s="53"/>
    </row>
    <row r="7019">
      <c r="A7019" s="49">
        <v>45094.93679811343</v>
      </c>
      <c r="B7019" s="50">
        <v>45095.0617804861</v>
      </c>
      <c r="C7019" s="51">
        <v>1.006</v>
      </c>
      <c r="D7019" s="51">
        <v>69.0</v>
      </c>
      <c r="E7019" s="52" t="s">
        <v>25</v>
      </c>
      <c r="F7019" s="52" t="s">
        <v>26</v>
      </c>
      <c r="G7019" s="53"/>
    </row>
    <row r="7020">
      <c r="A7020" s="49">
        <v>45094.94723709491</v>
      </c>
      <c r="B7020" s="50">
        <v>45095.0722120601</v>
      </c>
      <c r="C7020" s="51">
        <v>1.006</v>
      </c>
      <c r="D7020" s="51">
        <v>69.0</v>
      </c>
      <c r="E7020" s="52" t="s">
        <v>25</v>
      </c>
      <c r="F7020" s="52" t="s">
        <v>26</v>
      </c>
      <c r="G7020" s="53"/>
    </row>
    <row r="7021">
      <c r="A7021" s="49">
        <v>45094.95766836806</v>
      </c>
      <c r="B7021" s="50">
        <v>45095.0826445949</v>
      </c>
      <c r="C7021" s="51">
        <v>1.006</v>
      </c>
      <c r="D7021" s="51">
        <v>69.0</v>
      </c>
      <c r="E7021" s="52" t="s">
        <v>25</v>
      </c>
      <c r="F7021" s="52" t="s">
        <v>26</v>
      </c>
      <c r="G7021" s="53"/>
    </row>
    <row r="7022">
      <c r="A7022" s="49">
        <v>45094.96808686343</v>
      </c>
      <c r="B7022" s="50">
        <v>45095.0930650463</v>
      </c>
      <c r="C7022" s="51">
        <v>1.006</v>
      </c>
      <c r="D7022" s="51">
        <v>69.0</v>
      </c>
      <c r="E7022" s="52" t="s">
        <v>25</v>
      </c>
      <c r="F7022" s="52" t="s">
        <v>26</v>
      </c>
      <c r="G7022" s="53"/>
    </row>
    <row r="7023">
      <c r="A7023" s="49">
        <v>45094.98894186343</v>
      </c>
      <c r="B7023" s="50">
        <v>45095.1139196064</v>
      </c>
      <c r="C7023" s="51">
        <v>1.005</v>
      </c>
      <c r="D7023" s="51">
        <v>69.0</v>
      </c>
      <c r="E7023" s="52" t="s">
        <v>25</v>
      </c>
      <c r="F7023" s="52" t="s">
        <v>26</v>
      </c>
      <c r="G7023" s="53"/>
    </row>
    <row r="7024">
      <c r="A7024" s="49">
        <v>45094.99937109953</v>
      </c>
      <c r="B7024" s="50">
        <v>45095.1243423148</v>
      </c>
      <c r="C7024" s="51">
        <v>1.006</v>
      </c>
      <c r="D7024" s="51">
        <v>69.0</v>
      </c>
      <c r="E7024" s="52" t="s">
        <v>25</v>
      </c>
      <c r="F7024" s="52" t="s">
        <v>26</v>
      </c>
      <c r="G7024" s="53"/>
    </row>
    <row r="7025">
      <c r="A7025" s="49">
        <v>45095.009789675925</v>
      </c>
      <c r="B7025" s="50">
        <v>45095.1347626388</v>
      </c>
      <c r="C7025" s="51">
        <v>1.006</v>
      </c>
      <c r="D7025" s="51">
        <v>69.0</v>
      </c>
      <c r="E7025" s="52" t="s">
        <v>25</v>
      </c>
      <c r="F7025" s="52" t="s">
        <v>26</v>
      </c>
      <c r="G7025" s="53"/>
    </row>
    <row r="7026">
      <c r="A7026" s="49">
        <v>45095.02021015046</v>
      </c>
      <c r="B7026" s="50">
        <v>45095.1451829745</v>
      </c>
      <c r="C7026" s="51">
        <v>1.005</v>
      </c>
      <c r="D7026" s="51">
        <v>69.0</v>
      </c>
      <c r="E7026" s="52" t="s">
        <v>25</v>
      </c>
      <c r="F7026" s="52" t="s">
        <v>26</v>
      </c>
      <c r="G7026" s="53"/>
    </row>
    <row r="7027">
      <c r="A7027" s="49">
        <v>45095.03062543982</v>
      </c>
      <c r="B7027" s="50">
        <v>45095.1556016666</v>
      </c>
      <c r="C7027" s="51">
        <v>1.005</v>
      </c>
      <c r="D7027" s="51">
        <v>69.0</v>
      </c>
      <c r="E7027" s="52" t="s">
        <v>25</v>
      </c>
      <c r="F7027" s="52" t="s">
        <v>26</v>
      </c>
      <c r="G7027" s="53"/>
    </row>
    <row r="7028">
      <c r="A7028" s="49">
        <v>45095.04106508102</v>
      </c>
      <c r="B7028" s="50">
        <v>45095.1660331481</v>
      </c>
      <c r="C7028" s="51">
        <v>1.005</v>
      </c>
      <c r="D7028" s="51">
        <v>69.0</v>
      </c>
      <c r="E7028" s="52" t="s">
        <v>25</v>
      </c>
      <c r="F7028" s="52" t="s">
        <v>26</v>
      </c>
      <c r="G7028" s="53"/>
    </row>
    <row r="7029">
      <c r="A7029" s="49">
        <v>45095.05149518518</v>
      </c>
      <c r="B7029" s="50">
        <v>45095.1764643518</v>
      </c>
      <c r="C7029" s="51">
        <v>1.006</v>
      </c>
      <c r="D7029" s="51">
        <v>69.0</v>
      </c>
      <c r="E7029" s="52" t="s">
        <v>25</v>
      </c>
      <c r="F7029" s="52" t="s">
        <v>26</v>
      </c>
      <c r="G7029" s="53"/>
    </row>
    <row r="7030">
      <c r="A7030" s="49">
        <v>45095.06190822917</v>
      </c>
      <c r="B7030" s="50">
        <v>45095.186885949</v>
      </c>
      <c r="C7030" s="51">
        <v>1.005</v>
      </c>
      <c r="D7030" s="51">
        <v>69.0</v>
      </c>
      <c r="E7030" s="52" t="s">
        <v>25</v>
      </c>
      <c r="F7030" s="52" t="s">
        <v>26</v>
      </c>
      <c r="G7030" s="53"/>
    </row>
    <row r="7031">
      <c r="A7031" s="49">
        <v>45095.07233501157</v>
      </c>
      <c r="B7031" s="50">
        <v>45095.1973053819</v>
      </c>
      <c r="C7031" s="51">
        <v>1.005</v>
      </c>
      <c r="D7031" s="51">
        <v>69.0</v>
      </c>
      <c r="E7031" s="52" t="s">
        <v>25</v>
      </c>
      <c r="F7031" s="52" t="s">
        <v>26</v>
      </c>
      <c r="G7031" s="53"/>
    </row>
    <row r="7032">
      <c r="A7032" s="49">
        <v>45095.09317792824</v>
      </c>
      <c r="B7032" s="50">
        <v>45095.2181473495</v>
      </c>
      <c r="C7032" s="51">
        <v>1.005</v>
      </c>
      <c r="D7032" s="51">
        <v>69.0</v>
      </c>
      <c r="E7032" s="52" t="s">
        <v>25</v>
      </c>
      <c r="F7032" s="52" t="s">
        <v>26</v>
      </c>
      <c r="G7032" s="53"/>
    </row>
    <row r="7033">
      <c r="A7033" s="49">
        <v>45095.103606979166</v>
      </c>
      <c r="B7033" s="50">
        <v>45095.2285811342</v>
      </c>
      <c r="C7033" s="51">
        <v>1.006</v>
      </c>
      <c r="D7033" s="51">
        <v>69.0</v>
      </c>
      <c r="E7033" s="52" t="s">
        <v>25</v>
      </c>
      <c r="F7033" s="52" t="s">
        <v>26</v>
      </c>
      <c r="G7033" s="53"/>
    </row>
    <row r="7034">
      <c r="A7034" s="49">
        <v>45095.1140356713</v>
      </c>
      <c r="B7034" s="50">
        <v>45095.2390023958</v>
      </c>
      <c r="C7034" s="51">
        <v>1.006</v>
      </c>
      <c r="D7034" s="51">
        <v>69.0</v>
      </c>
      <c r="E7034" s="52" t="s">
        <v>25</v>
      </c>
      <c r="F7034" s="52" t="s">
        <v>26</v>
      </c>
      <c r="G7034" s="53"/>
    </row>
    <row r="7035">
      <c r="A7035" s="49">
        <v>45095.12447083333</v>
      </c>
      <c r="B7035" s="50">
        <v>45095.2494456134</v>
      </c>
      <c r="C7035" s="51">
        <v>1.006</v>
      </c>
      <c r="D7035" s="51">
        <v>69.0</v>
      </c>
      <c r="E7035" s="52" t="s">
        <v>25</v>
      </c>
      <c r="F7035" s="52" t="s">
        <v>26</v>
      </c>
      <c r="G7035" s="53"/>
    </row>
    <row r="7036">
      <c r="A7036" s="49">
        <v>45095.134898715274</v>
      </c>
      <c r="B7036" s="50">
        <v>45095.2598658449</v>
      </c>
      <c r="C7036" s="51">
        <v>1.006</v>
      </c>
      <c r="D7036" s="51">
        <v>69.0</v>
      </c>
      <c r="E7036" s="52" t="s">
        <v>25</v>
      </c>
      <c r="F7036" s="52" t="s">
        <v>26</v>
      </c>
      <c r="G7036" s="53"/>
    </row>
    <row r="7037">
      <c r="A7037" s="49">
        <v>45095.145305300925</v>
      </c>
      <c r="B7037" s="50">
        <v>45095.2702860648</v>
      </c>
      <c r="C7037" s="51">
        <v>1.006</v>
      </c>
      <c r="D7037" s="51">
        <v>69.0</v>
      </c>
      <c r="E7037" s="52" t="s">
        <v>25</v>
      </c>
      <c r="F7037" s="52" t="s">
        <v>26</v>
      </c>
      <c r="G7037" s="53"/>
    </row>
    <row r="7038">
      <c r="A7038" s="49">
        <v>45095.15573549768</v>
      </c>
      <c r="B7038" s="50">
        <v>45095.2807178588</v>
      </c>
      <c r="C7038" s="51">
        <v>1.006</v>
      </c>
      <c r="D7038" s="51">
        <v>69.0</v>
      </c>
      <c r="E7038" s="52" t="s">
        <v>25</v>
      </c>
      <c r="F7038" s="52" t="s">
        <v>26</v>
      </c>
      <c r="G7038" s="53"/>
    </row>
    <row r="7039">
      <c r="A7039" s="49">
        <v>45095.176585</v>
      </c>
      <c r="B7039" s="50">
        <v>45095.3015613078</v>
      </c>
      <c r="C7039" s="51">
        <v>1.005</v>
      </c>
      <c r="D7039" s="51">
        <v>69.0</v>
      </c>
      <c r="E7039" s="52" t="s">
        <v>25</v>
      </c>
      <c r="F7039" s="52" t="s">
        <v>26</v>
      </c>
      <c r="G7039" s="53"/>
    </row>
    <row r="7040">
      <c r="A7040" s="49">
        <v>45095.18700076389</v>
      </c>
      <c r="B7040" s="50">
        <v>45095.3119794097</v>
      </c>
      <c r="C7040" s="51">
        <v>1.006</v>
      </c>
      <c r="D7040" s="51">
        <v>69.0</v>
      </c>
      <c r="E7040" s="52" t="s">
        <v>25</v>
      </c>
      <c r="F7040" s="52" t="s">
        <v>26</v>
      </c>
      <c r="G7040" s="53"/>
    </row>
    <row r="7041">
      <c r="A7041" s="49">
        <v>45095.197452962966</v>
      </c>
      <c r="B7041" s="50">
        <v>45095.3224232638</v>
      </c>
      <c r="C7041" s="51">
        <v>1.005</v>
      </c>
      <c r="D7041" s="51">
        <v>69.0</v>
      </c>
      <c r="E7041" s="52" t="s">
        <v>25</v>
      </c>
      <c r="F7041" s="52" t="s">
        <v>26</v>
      </c>
      <c r="G7041" s="53"/>
    </row>
    <row r="7042">
      <c r="A7042" s="49">
        <v>45095.20788569444</v>
      </c>
      <c r="B7042" s="50">
        <v>45095.332855787</v>
      </c>
      <c r="C7042" s="51">
        <v>1.005</v>
      </c>
      <c r="D7042" s="51">
        <v>69.0</v>
      </c>
      <c r="E7042" s="52" t="s">
        <v>25</v>
      </c>
      <c r="F7042" s="52" t="s">
        <v>26</v>
      </c>
      <c r="G7042" s="53"/>
    </row>
    <row r="7043">
      <c r="A7043" s="49">
        <v>45095.21829881944</v>
      </c>
      <c r="B7043" s="50">
        <v>45095.3432773495</v>
      </c>
      <c r="C7043" s="51">
        <v>1.005</v>
      </c>
      <c r="D7043" s="51">
        <v>69.0</v>
      </c>
      <c r="E7043" s="52" t="s">
        <v>25</v>
      </c>
      <c r="F7043" s="52" t="s">
        <v>26</v>
      </c>
      <c r="G7043" s="53"/>
    </row>
    <row r="7044">
      <c r="A7044" s="49">
        <v>45095.22872817129</v>
      </c>
      <c r="B7044" s="50">
        <v>45095.3536991666</v>
      </c>
      <c r="C7044" s="51">
        <v>1.006</v>
      </c>
      <c r="D7044" s="51">
        <v>69.0</v>
      </c>
      <c r="E7044" s="52" t="s">
        <v>25</v>
      </c>
      <c r="F7044" s="52" t="s">
        <v>26</v>
      </c>
      <c r="G7044" s="53"/>
    </row>
    <row r="7045">
      <c r="A7045" s="49">
        <v>45095.239160219906</v>
      </c>
      <c r="B7045" s="50">
        <v>45095.3641316666</v>
      </c>
      <c r="C7045" s="51">
        <v>1.005</v>
      </c>
      <c r="D7045" s="51">
        <v>69.0</v>
      </c>
      <c r="E7045" s="52" t="s">
        <v>25</v>
      </c>
      <c r="F7045" s="52" t="s">
        <v>26</v>
      </c>
      <c r="G7045" s="53"/>
    </row>
    <row r="7046">
      <c r="A7046" s="49">
        <v>45095.249581435186</v>
      </c>
      <c r="B7046" s="50">
        <v>45095.3745536574</v>
      </c>
      <c r="C7046" s="51">
        <v>1.006</v>
      </c>
      <c r="D7046" s="51">
        <v>69.0</v>
      </c>
      <c r="E7046" s="52" t="s">
        <v>25</v>
      </c>
      <c r="F7046" s="52" t="s">
        <v>26</v>
      </c>
      <c r="G7046" s="53"/>
    </row>
    <row r="7047">
      <c r="A7047" s="49">
        <v>45095.26000166667</v>
      </c>
      <c r="B7047" s="50">
        <v>45095.3849743518</v>
      </c>
      <c r="C7047" s="51">
        <v>1.006</v>
      </c>
      <c r="D7047" s="51">
        <v>69.0</v>
      </c>
      <c r="E7047" s="52" t="s">
        <v>25</v>
      </c>
      <c r="F7047" s="52" t="s">
        <v>26</v>
      </c>
      <c r="G7047" s="53"/>
    </row>
    <row r="7048">
      <c r="A7048" s="49">
        <v>45095.27042597222</v>
      </c>
      <c r="B7048" s="50">
        <v>45095.3954079282</v>
      </c>
      <c r="C7048" s="51">
        <v>1.006</v>
      </c>
      <c r="D7048" s="51">
        <v>69.0</v>
      </c>
      <c r="E7048" s="52" t="s">
        <v>25</v>
      </c>
      <c r="F7048" s="52" t="s">
        <v>26</v>
      </c>
      <c r="G7048" s="53"/>
    </row>
    <row r="7049">
      <c r="A7049" s="49">
        <v>45095.280858240745</v>
      </c>
      <c r="B7049" s="50">
        <v>45095.4058291087</v>
      </c>
      <c r="C7049" s="51">
        <v>1.005</v>
      </c>
      <c r="D7049" s="51">
        <v>69.0</v>
      </c>
      <c r="E7049" s="52" t="s">
        <v>25</v>
      </c>
      <c r="F7049" s="52" t="s">
        <v>26</v>
      </c>
      <c r="G7049" s="53"/>
    </row>
    <row r="7050">
      <c r="A7050" s="49">
        <v>45095.29131581019</v>
      </c>
      <c r="B7050" s="50">
        <v>45095.4162855208</v>
      </c>
      <c r="C7050" s="51">
        <v>1.005</v>
      </c>
      <c r="D7050" s="51">
        <v>69.0</v>
      </c>
      <c r="E7050" s="52" t="s">
        <v>25</v>
      </c>
      <c r="F7050" s="52" t="s">
        <v>26</v>
      </c>
      <c r="G7050" s="53"/>
    </row>
    <row r="7051">
      <c r="A7051" s="49">
        <v>45095.30173494213</v>
      </c>
      <c r="B7051" s="50">
        <v>45095.4267069675</v>
      </c>
      <c r="C7051" s="51">
        <v>1.006</v>
      </c>
      <c r="D7051" s="51">
        <v>69.0</v>
      </c>
      <c r="E7051" s="52" t="s">
        <v>25</v>
      </c>
      <c r="F7051" s="52" t="s">
        <v>26</v>
      </c>
      <c r="G7051" s="53"/>
    </row>
    <row r="7052">
      <c r="A7052" s="49">
        <v>45095.31215695602</v>
      </c>
      <c r="B7052" s="50">
        <v>45095.4371266898</v>
      </c>
      <c r="C7052" s="51">
        <v>1.005</v>
      </c>
      <c r="D7052" s="51">
        <v>69.0</v>
      </c>
      <c r="E7052" s="52" t="s">
        <v>25</v>
      </c>
      <c r="F7052" s="52" t="s">
        <v>26</v>
      </c>
      <c r="G7052" s="53"/>
    </row>
    <row r="7053">
      <c r="A7053" s="49">
        <v>45095.322579513886</v>
      </c>
      <c r="B7053" s="50">
        <v>45095.4475483217</v>
      </c>
      <c r="C7053" s="51">
        <v>1.006</v>
      </c>
      <c r="D7053" s="51">
        <v>69.0</v>
      </c>
      <c r="E7053" s="52" t="s">
        <v>25</v>
      </c>
      <c r="F7053" s="52" t="s">
        <v>26</v>
      </c>
      <c r="G7053" s="53"/>
    </row>
    <row r="7054">
      <c r="A7054" s="49">
        <v>45095.33301122685</v>
      </c>
      <c r="B7054" s="50">
        <v>45095.4579817592</v>
      </c>
      <c r="C7054" s="51">
        <v>1.005</v>
      </c>
      <c r="D7054" s="51">
        <v>69.0</v>
      </c>
      <c r="E7054" s="52" t="s">
        <v>25</v>
      </c>
      <c r="F7054" s="52" t="s">
        <v>26</v>
      </c>
      <c r="G7054" s="53"/>
    </row>
    <row r="7055">
      <c r="A7055" s="49">
        <v>45095.34344340277</v>
      </c>
      <c r="B7055" s="50">
        <v>45095.4684143518</v>
      </c>
      <c r="C7055" s="51">
        <v>1.005</v>
      </c>
      <c r="D7055" s="51">
        <v>69.0</v>
      </c>
      <c r="E7055" s="52" t="s">
        <v>25</v>
      </c>
      <c r="F7055" s="52" t="s">
        <v>26</v>
      </c>
      <c r="G7055" s="53"/>
    </row>
    <row r="7056">
      <c r="A7056" s="49">
        <v>45095.353862627315</v>
      </c>
      <c r="B7056" s="50">
        <v>45095.4788356365</v>
      </c>
      <c r="C7056" s="51">
        <v>1.005</v>
      </c>
      <c r="D7056" s="51">
        <v>69.0</v>
      </c>
      <c r="E7056" s="52" t="s">
        <v>25</v>
      </c>
      <c r="F7056" s="52" t="s">
        <v>26</v>
      </c>
      <c r="G7056" s="53"/>
    </row>
    <row r="7057">
      <c r="A7057" s="49">
        <v>45095.364277280096</v>
      </c>
      <c r="B7057" s="50">
        <v>45095.4892557407</v>
      </c>
      <c r="C7057" s="51">
        <v>1.006</v>
      </c>
      <c r="D7057" s="51">
        <v>69.0</v>
      </c>
      <c r="E7057" s="52" t="s">
        <v>25</v>
      </c>
      <c r="F7057" s="52" t="s">
        <v>26</v>
      </c>
      <c r="G7057" s="53"/>
    </row>
    <row r="7058">
      <c r="A7058" s="49">
        <v>45095.374702719906</v>
      </c>
      <c r="B7058" s="50">
        <v>45095.4996758912</v>
      </c>
      <c r="C7058" s="51">
        <v>1.006</v>
      </c>
      <c r="D7058" s="51">
        <v>69.0</v>
      </c>
      <c r="E7058" s="52" t="s">
        <v>25</v>
      </c>
      <c r="F7058" s="52" t="s">
        <v>26</v>
      </c>
      <c r="G7058" s="53"/>
    </row>
    <row r="7059">
      <c r="A7059" s="49">
        <v>45095.38512346065</v>
      </c>
      <c r="B7059" s="50">
        <v>45095.5100967476</v>
      </c>
      <c r="C7059" s="51">
        <v>1.005</v>
      </c>
      <c r="D7059" s="51">
        <v>69.0</v>
      </c>
      <c r="E7059" s="52" t="s">
        <v>25</v>
      </c>
      <c r="F7059" s="52" t="s">
        <v>26</v>
      </c>
      <c r="G7059" s="53"/>
    </row>
    <row r="7060">
      <c r="A7060" s="49">
        <v>45095.39553995371</v>
      </c>
      <c r="B7060" s="50">
        <v>45095.5205190046</v>
      </c>
      <c r="C7060" s="51">
        <v>1.005</v>
      </c>
      <c r="D7060" s="51">
        <v>69.0</v>
      </c>
      <c r="E7060" s="52" t="s">
        <v>25</v>
      </c>
      <c r="F7060" s="52" t="s">
        <v>26</v>
      </c>
      <c r="G7060" s="53"/>
    </row>
    <row r="7061">
      <c r="A7061" s="49">
        <v>45095.40596822917</v>
      </c>
      <c r="B7061" s="50">
        <v>45095.5309406134</v>
      </c>
      <c r="C7061" s="51">
        <v>1.005</v>
      </c>
      <c r="D7061" s="51">
        <v>69.0</v>
      </c>
      <c r="E7061" s="52" t="s">
        <v>25</v>
      </c>
      <c r="F7061" s="52" t="s">
        <v>26</v>
      </c>
      <c r="G7061" s="53"/>
    </row>
    <row r="7062">
      <c r="A7062" s="49">
        <v>45095.41639728009</v>
      </c>
      <c r="B7062" s="50">
        <v>45095.5413626273</v>
      </c>
      <c r="C7062" s="51">
        <v>1.006</v>
      </c>
      <c r="D7062" s="51">
        <v>69.0</v>
      </c>
      <c r="E7062" s="52" t="s">
        <v>25</v>
      </c>
      <c r="F7062" s="52" t="s">
        <v>26</v>
      </c>
      <c r="G7062" s="53"/>
    </row>
    <row r="7063">
      <c r="A7063" s="49">
        <v>45095.426808668984</v>
      </c>
      <c r="B7063" s="50">
        <v>45095.5517822337</v>
      </c>
      <c r="C7063" s="51">
        <v>1.006</v>
      </c>
      <c r="D7063" s="51">
        <v>69.0</v>
      </c>
      <c r="E7063" s="52" t="s">
        <v>25</v>
      </c>
      <c r="F7063" s="52" t="s">
        <v>26</v>
      </c>
      <c r="G7063" s="53"/>
    </row>
    <row r="7064">
      <c r="A7064" s="49">
        <v>45095.43722857639</v>
      </c>
      <c r="B7064" s="50">
        <v>45095.5622041782</v>
      </c>
      <c r="C7064" s="51">
        <v>1.005</v>
      </c>
      <c r="D7064" s="51">
        <v>69.0</v>
      </c>
      <c r="E7064" s="52" t="s">
        <v>25</v>
      </c>
      <c r="F7064" s="52" t="s">
        <v>26</v>
      </c>
      <c r="G7064" s="53"/>
    </row>
    <row r="7065">
      <c r="A7065" s="49">
        <v>45095.44765488426</v>
      </c>
      <c r="B7065" s="50">
        <v>45095.5726250231</v>
      </c>
      <c r="C7065" s="51">
        <v>1.005</v>
      </c>
      <c r="D7065" s="51">
        <v>69.0</v>
      </c>
      <c r="E7065" s="52" t="s">
        <v>25</v>
      </c>
      <c r="F7065" s="52" t="s">
        <v>26</v>
      </c>
      <c r="G7065" s="53"/>
    </row>
    <row r="7066">
      <c r="A7066" s="49">
        <v>45095.45807728009</v>
      </c>
      <c r="B7066" s="50">
        <v>45095.5830480208</v>
      </c>
      <c r="C7066" s="51">
        <v>1.006</v>
      </c>
      <c r="D7066" s="51">
        <v>69.0</v>
      </c>
      <c r="E7066" s="52" t="s">
        <v>25</v>
      </c>
      <c r="F7066" s="52" t="s">
        <v>26</v>
      </c>
      <c r="G7066" s="53"/>
    </row>
    <row r="7067">
      <c r="A7067" s="49">
        <v>45095.468497326394</v>
      </c>
      <c r="B7067" s="50">
        <v>45095.593469456</v>
      </c>
      <c r="C7067" s="51">
        <v>1.005</v>
      </c>
      <c r="D7067" s="51">
        <v>69.0</v>
      </c>
      <c r="E7067" s="52" t="s">
        <v>25</v>
      </c>
      <c r="F7067" s="52" t="s">
        <v>26</v>
      </c>
      <c r="G7067" s="53"/>
    </row>
    <row r="7068">
      <c r="A7068" s="49">
        <v>45095.47891767361</v>
      </c>
      <c r="B7068" s="50">
        <v>45095.6038918634</v>
      </c>
      <c r="C7068" s="51">
        <v>1.005</v>
      </c>
      <c r="D7068" s="51">
        <v>69.0</v>
      </c>
      <c r="E7068" s="52" t="s">
        <v>25</v>
      </c>
      <c r="F7068" s="52" t="s">
        <v>26</v>
      </c>
      <c r="G7068" s="53"/>
    </row>
    <row r="7069">
      <c r="A7069" s="49">
        <v>45095.489340405096</v>
      </c>
      <c r="B7069" s="50">
        <v>45095.6143124768</v>
      </c>
      <c r="C7069" s="51">
        <v>1.005</v>
      </c>
      <c r="D7069" s="51">
        <v>69.0</v>
      </c>
      <c r="E7069" s="52" t="s">
        <v>25</v>
      </c>
      <c r="F7069" s="52" t="s">
        <v>26</v>
      </c>
      <c r="G7069" s="53"/>
    </row>
    <row r="7070">
      <c r="A7070" s="49">
        <v>45095.49976320602</v>
      </c>
      <c r="B7070" s="50">
        <v>45095.6247346412</v>
      </c>
      <c r="C7070" s="51">
        <v>1.005</v>
      </c>
      <c r="D7070" s="51">
        <v>69.0</v>
      </c>
      <c r="E7070" s="52" t="s">
        <v>25</v>
      </c>
      <c r="F7070" s="52" t="s">
        <v>26</v>
      </c>
      <c r="G7070" s="53"/>
    </row>
    <row r="7071">
      <c r="A7071" s="49">
        <v>45095.51018527777</v>
      </c>
      <c r="B7071" s="50">
        <v>45095.6351553935</v>
      </c>
      <c r="C7071" s="51">
        <v>1.005</v>
      </c>
      <c r="D7071" s="51">
        <v>69.0</v>
      </c>
      <c r="E7071" s="52" t="s">
        <v>25</v>
      </c>
      <c r="F7071" s="52" t="s">
        <v>26</v>
      </c>
      <c r="G7071" s="53"/>
    </row>
    <row r="7072">
      <c r="A7072" s="49">
        <v>45095.520604398145</v>
      </c>
      <c r="B7072" s="50">
        <v>45095.6455761458</v>
      </c>
      <c r="C7072" s="51">
        <v>1.005</v>
      </c>
      <c r="D7072" s="51">
        <v>69.0</v>
      </c>
      <c r="E7072" s="52" t="s">
        <v>25</v>
      </c>
      <c r="F7072" s="52" t="s">
        <v>26</v>
      </c>
      <c r="G7072" s="53"/>
    </row>
    <row r="7073">
      <c r="A7073" s="49">
        <v>45095.53102756944</v>
      </c>
      <c r="B7073" s="50">
        <v>45095.6559962152</v>
      </c>
      <c r="C7073" s="51">
        <v>1.005</v>
      </c>
      <c r="D7073" s="51">
        <v>69.0</v>
      </c>
      <c r="E7073" s="52" t="s">
        <v>25</v>
      </c>
      <c r="F7073" s="52" t="s">
        <v>26</v>
      </c>
      <c r="G7073" s="53"/>
    </row>
    <row r="7074">
      <c r="A7074" s="49">
        <v>45095.54144444445</v>
      </c>
      <c r="B7074" s="50">
        <v>45095.6664154166</v>
      </c>
      <c r="C7074" s="51">
        <v>1.005</v>
      </c>
      <c r="D7074" s="51">
        <v>69.0</v>
      </c>
      <c r="E7074" s="52" t="s">
        <v>25</v>
      </c>
      <c r="F7074" s="52" t="s">
        <v>26</v>
      </c>
      <c r="G7074" s="53"/>
    </row>
    <row r="7075">
      <c r="A7075" s="49">
        <v>45095.551865138885</v>
      </c>
      <c r="B7075" s="50">
        <v>45095.6768344328</v>
      </c>
      <c r="C7075" s="51">
        <v>1.006</v>
      </c>
      <c r="D7075" s="51">
        <v>69.0</v>
      </c>
      <c r="E7075" s="52" t="s">
        <v>25</v>
      </c>
      <c r="F7075" s="52" t="s">
        <v>26</v>
      </c>
      <c r="G7075" s="53"/>
    </row>
    <row r="7076">
      <c r="A7076" s="49">
        <v>45095.562283136576</v>
      </c>
      <c r="B7076" s="50">
        <v>45095.6872540972</v>
      </c>
      <c r="C7076" s="51">
        <v>1.006</v>
      </c>
      <c r="D7076" s="51">
        <v>69.0</v>
      </c>
      <c r="E7076" s="52" t="s">
        <v>25</v>
      </c>
      <c r="F7076" s="52" t="s">
        <v>26</v>
      </c>
      <c r="G7076" s="53"/>
    </row>
    <row r="7077">
      <c r="A7077" s="49">
        <v>45095.57270106481</v>
      </c>
      <c r="B7077" s="50">
        <v>45095.6976749189</v>
      </c>
      <c r="C7077" s="51">
        <v>1.005</v>
      </c>
      <c r="D7077" s="51">
        <v>69.0</v>
      </c>
      <c r="E7077" s="52" t="s">
        <v>25</v>
      </c>
      <c r="F7077" s="52" t="s">
        <v>26</v>
      </c>
      <c r="G7077" s="53"/>
    </row>
    <row r="7078">
      <c r="A7078" s="49">
        <v>45095.583128125</v>
      </c>
      <c r="B7078" s="50">
        <v>45095.7080956712</v>
      </c>
      <c r="C7078" s="51">
        <v>1.006</v>
      </c>
      <c r="D7078" s="51">
        <v>69.0</v>
      </c>
      <c r="E7078" s="52" t="s">
        <v>25</v>
      </c>
      <c r="F7078" s="52" t="s">
        <v>26</v>
      </c>
      <c r="G7078" s="53"/>
    </row>
    <row r="7079">
      <c r="A7079" s="49">
        <v>45095.59354290509</v>
      </c>
      <c r="B7079" s="50">
        <v>45095.7185177662</v>
      </c>
      <c r="C7079" s="51">
        <v>1.005</v>
      </c>
      <c r="D7079" s="51">
        <v>69.0</v>
      </c>
      <c r="E7079" s="52" t="s">
        <v>25</v>
      </c>
      <c r="F7079" s="52" t="s">
        <v>26</v>
      </c>
      <c r="G7079" s="53"/>
    </row>
    <row r="7080">
      <c r="A7080" s="49">
        <v>45095.6039808912</v>
      </c>
      <c r="B7080" s="50">
        <v>45095.7289501967</v>
      </c>
      <c r="C7080" s="51">
        <v>1.006</v>
      </c>
      <c r="D7080" s="51">
        <v>69.0</v>
      </c>
      <c r="E7080" s="52" t="s">
        <v>25</v>
      </c>
      <c r="F7080" s="52" t="s">
        <v>26</v>
      </c>
      <c r="G7080" s="53"/>
    </row>
    <row r="7081">
      <c r="A7081" s="49">
        <v>45095.61441927083</v>
      </c>
      <c r="B7081" s="50">
        <v>45095.7393931134</v>
      </c>
      <c r="C7081" s="51">
        <v>1.005</v>
      </c>
      <c r="D7081" s="51">
        <v>69.0</v>
      </c>
      <c r="E7081" s="52" t="s">
        <v>25</v>
      </c>
      <c r="F7081" s="52" t="s">
        <v>26</v>
      </c>
      <c r="G7081" s="53"/>
    </row>
    <row r="7082">
      <c r="A7082" s="49">
        <v>45095.624857835646</v>
      </c>
      <c r="B7082" s="50">
        <v>45095.7498372916</v>
      </c>
      <c r="C7082" s="51">
        <v>1.006</v>
      </c>
      <c r="D7082" s="51">
        <v>69.0</v>
      </c>
      <c r="E7082" s="52" t="s">
        <v>25</v>
      </c>
      <c r="F7082" s="52" t="s">
        <v>26</v>
      </c>
      <c r="G7082" s="53"/>
    </row>
    <row r="7083">
      <c r="A7083" s="49">
        <v>45095.63528826389</v>
      </c>
      <c r="B7083" s="50">
        <v>45095.7602585648</v>
      </c>
      <c r="C7083" s="51">
        <v>1.005</v>
      </c>
      <c r="D7083" s="51">
        <v>69.0</v>
      </c>
      <c r="E7083" s="52" t="s">
        <v>25</v>
      </c>
      <c r="F7083" s="52" t="s">
        <v>26</v>
      </c>
      <c r="G7083" s="53"/>
    </row>
    <row r="7084">
      <c r="A7084" s="49">
        <v>45095.64570630787</v>
      </c>
      <c r="B7084" s="50">
        <v>45095.7706803125</v>
      </c>
      <c r="C7084" s="51">
        <v>1.005</v>
      </c>
      <c r="D7084" s="51">
        <v>69.0</v>
      </c>
      <c r="E7084" s="52" t="s">
        <v>25</v>
      </c>
      <c r="F7084" s="52" t="s">
        <v>26</v>
      </c>
      <c r="G7084" s="53"/>
    </row>
    <row r="7085">
      <c r="A7085" s="49">
        <v>45095.65612459491</v>
      </c>
      <c r="B7085" s="50">
        <v>45095.7811014467</v>
      </c>
      <c r="C7085" s="51">
        <v>1.005</v>
      </c>
      <c r="D7085" s="51">
        <v>69.0</v>
      </c>
      <c r="E7085" s="52" t="s">
        <v>25</v>
      </c>
      <c r="F7085" s="52" t="s">
        <v>26</v>
      </c>
      <c r="G7085" s="53"/>
    </row>
    <row r="7086">
      <c r="A7086" s="49">
        <v>45095.66653952547</v>
      </c>
      <c r="B7086" s="50">
        <v>45095.7915204976</v>
      </c>
      <c r="C7086" s="51">
        <v>1.005</v>
      </c>
      <c r="D7086" s="51">
        <v>69.0</v>
      </c>
      <c r="E7086" s="52" t="s">
        <v>25</v>
      </c>
      <c r="F7086" s="52" t="s">
        <v>26</v>
      </c>
      <c r="G7086" s="53"/>
    </row>
    <row r="7087">
      <c r="A7087" s="49">
        <v>45095.676983831014</v>
      </c>
      <c r="B7087" s="50">
        <v>45095.8019535763</v>
      </c>
      <c r="C7087" s="51">
        <v>1.006</v>
      </c>
      <c r="D7087" s="51">
        <v>69.0</v>
      </c>
      <c r="E7087" s="52" t="s">
        <v>25</v>
      </c>
      <c r="F7087" s="52" t="s">
        <v>26</v>
      </c>
      <c r="G7087" s="53"/>
    </row>
    <row r="7088">
      <c r="A7088" s="49">
        <v>45095.68740458333</v>
      </c>
      <c r="B7088" s="50">
        <v>45095.8123745023</v>
      </c>
      <c r="C7088" s="51">
        <v>1.005</v>
      </c>
      <c r="D7088" s="51">
        <v>69.0</v>
      </c>
      <c r="E7088" s="52" t="s">
        <v>25</v>
      </c>
      <c r="F7088" s="52" t="s">
        <v>26</v>
      </c>
      <c r="G7088" s="53"/>
    </row>
    <row r="7089">
      <c r="A7089" s="49">
        <v>45095.697825752315</v>
      </c>
      <c r="B7089" s="50">
        <v>45095.8227975578</v>
      </c>
      <c r="C7089" s="51">
        <v>1.005</v>
      </c>
      <c r="D7089" s="51">
        <v>69.0</v>
      </c>
      <c r="E7089" s="52" t="s">
        <v>25</v>
      </c>
      <c r="F7089" s="52" t="s">
        <v>26</v>
      </c>
      <c r="G7089" s="53"/>
    </row>
    <row r="7090">
      <c r="A7090" s="49">
        <v>45095.70825116898</v>
      </c>
      <c r="B7090" s="50">
        <v>45095.8332291319</v>
      </c>
      <c r="C7090" s="51">
        <v>1.006</v>
      </c>
      <c r="D7090" s="51">
        <v>69.0</v>
      </c>
      <c r="E7090" s="52" t="s">
        <v>25</v>
      </c>
      <c r="F7090" s="52" t="s">
        <v>26</v>
      </c>
      <c r="G7090" s="53"/>
    </row>
    <row r="7091">
      <c r="A7091" s="49">
        <v>45095.71868421296</v>
      </c>
      <c r="B7091" s="50">
        <v>45095.8436501157</v>
      </c>
      <c r="C7091" s="51">
        <v>1.006</v>
      </c>
      <c r="D7091" s="51">
        <v>69.0</v>
      </c>
      <c r="E7091" s="52" t="s">
        <v>25</v>
      </c>
      <c r="F7091" s="52" t="s">
        <v>26</v>
      </c>
      <c r="G7091" s="53"/>
    </row>
    <row r="7092">
      <c r="A7092" s="49">
        <v>45095.72910081019</v>
      </c>
      <c r="B7092" s="50">
        <v>45095.854070405</v>
      </c>
      <c r="C7092" s="51">
        <v>1.005</v>
      </c>
      <c r="D7092" s="51">
        <v>69.0</v>
      </c>
      <c r="E7092" s="52" t="s">
        <v>25</v>
      </c>
      <c r="F7092" s="52" t="s">
        <v>26</v>
      </c>
      <c r="G7092" s="53"/>
    </row>
    <row r="7093">
      <c r="A7093" s="49">
        <v>45095.73951667824</v>
      </c>
      <c r="B7093" s="50">
        <v>45095.8644928588</v>
      </c>
      <c r="C7093" s="51">
        <v>1.005</v>
      </c>
      <c r="D7093" s="51">
        <v>69.0</v>
      </c>
      <c r="E7093" s="52" t="s">
        <v>25</v>
      </c>
      <c r="F7093" s="52" t="s">
        <v>26</v>
      </c>
      <c r="G7093" s="53"/>
    </row>
    <row r="7094">
      <c r="A7094" s="49">
        <v>45095.74994840278</v>
      </c>
      <c r="B7094" s="50">
        <v>45095.8749256828</v>
      </c>
      <c r="C7094" s="51">
        <v>1.005</v>
      </c>
      <c r="D7094" s="51">
        <v>69.0</v>
      </c>
      <c r="E7094" s="52" t="s">
        <v>25</v>
      </c>
      <c r="F7094" s="52" t="s">
        <v>26</v>
      </c>
      <c r="G7094" s="53"/>
    </row>
    <row r="7095">
      <c r="A7095" s="49">
        <v>45095.7603747338</v>
      </c>
      <c r="B7095" s="50">
        <v>45095.8853467476</v>
      </c>
      <c r="C7095" s="51">
        <v>1.005</v>
      </c>
      <c r="D7095" s="51">
        <v>69.0</v>
      </c>
      <c r="E7095" s="52" t="s">
        <v>25</v>
      </c>
      <c r="F7095" s="52" t="s">
        <v>26</v>
      </c>
      <c r="G7095" s="53"/>
    </row>
    <row r="7096">
      <c r="A7096" s="49">
        <v>45095.77079962963</v>
      </c>
      <c r="B7096" s="50">
        <v>45095.8957685995</v>
      </c>
      <c r="C7096" s="51">
        <v>1.005</v>
      </c>
      <c r="D7096" s="51">
        <v>69.0</v>
      </c>
      <c r="E7096" s="52" t="s">
        <v>25</v>
      </c>
      <c r="F7096" s="52" t="s">
        <v>26</v>
      </c>
      <c r="G7096" s="53"/>
    </row>
    <row r="7097">
      <c r="A7097" s="49">
        <v>45095.78121528935</v>
      </c>
      <c r="B7097" s="50">
        <v>45095.9061895717</v>
      </c>
      <c r="C7097" s="51">
        <v>1.005</v>
      </c>
      <c r="D7097" s="51">
        <v>69.0</v>
      </c>
      <c r="E7097" s="52" t="s">
        <v>25</v>
      </c>
      <c r="F7097" s="52" t="s">
        <v>26</v>
      </c>
      <c r="G7097" s="53"/>
    </row>
    <row r="7098">
      <c r="A7098" s="49">
        <v>45095.791628611114</v>
      </c>
      <c r="B7098" s="50">
        <v>45095.9166095023</v>
      </c>
      <c r="C7098" s="51">
        <v>1.006</v>
      </c>
      <c r="D7098" s="51">
        <v>69.0</v>
      </c>
      <c r="E7098" s="52" t="s">
        <v>25</v>
      </c>
      <c r="F7098" s="52" t="s">
        <v>26</v>
      </c>
      <c r="G7098" s="53"/>
    </row>
    <row r="7099">
      <c r="A7099" s="49">
        <v>45095.802056493056</v>
      </c>
      <c r="B7099" s="50">
        <v>45095.9270309375</v>
      </c>
      <c r="C7099" s="51">
        <v>1.005</v>
      </c>
      <c r="D7099" s="51">
        <v>69.0</v>
      </c>
      <c r="E7099" s="52" t="s">
        <v>25</v>
      </c>
      <c r="F7099" s="52" t="s">
        <v>26</v>
      </c>
      <c r="G7099" s="53"/>
    </row>
    <row r="7100">
      <c r="A7100" s="49">
        <v>45095.81247664352</v>
      </c>
      <c r="B7100" s="50">
        <v>45095.9374521412</v>
      </c>
      <c r="C7100" s="51">
        <v>1.005</v>
      </c>
      <c r="D7100" s="51">
        <v>69.0</v>
      </c>
      <c r="E7100" s="52" t="s">
        <v>25</v>
      </c>
      <c r="F7100" s="52" t="s">
        <v>26</v>
      </c>
      <c r="G7100" s="53"/>
    </row>
    <row r="7101">
      <c r="A7101" s="49">
        <v>45095.822904016204</v>
      </c>
      <c r="B7101" s="50">
        <v>45095.9478746527</v>
      </c>
      <c r="C7101" s="51">
        <v>1.006</v>
      </c>
      <c r="D7101" s="51">
        <v>69.0</v>
      </c>
      <c r="E7101" s="52" t="s">
        <v>25</v>
      </c>
      <c r="F7101" s="52" t="s">
        <v>26</v>
      </c>
      <c r="G7101" s="53"/>
    </row>
    <row r="7102">
      <c r="A7102" s="49">
        <v>45095.83331663195</v>
      </c>
      <c r="B7102" s="50">
        <v>45095.9582939467</v>
      </c>
      <c r="C7102" s="51">
        <v>1.006</v>
      </c>
      <c r="D7102" s="51">
        <v>69.0</v>
      </c>
      <c r="E7102" s="52" t="s">
        <v>25</v>
      </c>
      <c r="F7102" s="52" t="s">
        <v>26</v>
      </c>
      <c r="G7102" s="53"/>
    </row>
    <row r="7103">
      <c r="A7103" s="49">
        <v>45095.84374790509</v>
      </c>
      <c r="B7103" s="50">
        <v>45095.968726493</v>
      </c>
      <c r="C7103" s="51">
        <v>1.005</v>
      </c>
      <c r="D7103" s="51">
        <v>69.0</v>
      </c>
      <c r="E7103" s="52" t="s">
        <v>25</v>
      </c>
      <c r="F7103" s="52" t="s">
        <v>26</v>
      </c>
      <c r="G7103" s="53"/>
    </row>
    <row r="7104">
      <c r="A7104" s="49">
        <v>45095.85417423611</v>
      </c>
      <c r="B7104" s="50">
        <v>45095.9791468981</v>
      </c>
      <c r="C7104" s="51">
        <v>1.005</v>
      </c>
      <c r="D7104" s="51">
        <v>69.0</v>
      </c>
      <c r="E7104" s="52" t="s">
        <v>25</v>
      </c>
      <c r="F7104" s="52" t="s">
        <v>26</v>
      </c>
      <c r="G7104" s="53"/>
    </row>
    <row r="7105">
      <c r="A7105" s="49">
        <v>45095.86461630787</v>
      </c>
      <c r="B7105" s="50">
        <v>45095.9895909722</v>
      </c>
      <c r="C7105" s="51">
        <v>1.006</v>
      </c>
      <c r="D7105" s="51">
        <v>69.0</v>
      </c>
      <c r="E7105" s="52" t="s">
        <v>25</v>
      </c>
      <c r="F7105" s="52" t="s">
        <v>26</v>
      </c>
      <c r="G7105" s="53"/>
    </row>
    <row r="7106">
      <c r="A7106" s="49">
        <v>45095.87503313657</v>
      </c>
      <c r="B7106" s="50">
        <v>45096.0000123611</v>
      </c>
      <c r="C7106" s="51">
        <v>1.005</v>
      </c>
      <c r="D7106" s="51">
        <v>69.0</v>
      </c>
      <c r="E7106" s="52" t="s">
        <v>25</v>
      </c>
      <c r="F7106" s="52" t="s">
        <v>26</v>
      </c>
      <c r="G7106" s="53"/>
    </row>
    <row r="7107">
      <c r="A7107" s="49">
        <v>45095.885462060185</v>
      </c>
      <c r="B7107" s="50">
        <v>45096.0104342013</v>
      </c>
      <c r="C7107" s="51">
        <v>1.005</v>
      </c>
      <c r="D7107" s="51">
        <v>69.0</v>
      </c>
      <c r="E7107" s="52" t="s">
        <v>25</v>
      </c>
      <c r="F7107" s="52" t="s">
        <v>26</v>
      </c>
      <c r="G7107" s="53"/>
    </row>
    <row r="7108">
      <c r="A7108" s="49">
        <v>45095.89589097222</v>
      </c>
      <c r="B7108" s="50">
        <v>45096.0208566088</v>
      </c>
      <c r="C7108" s="51">
        <v>1.005</v>
      </c>
      <c r="D7108" s="51">
        <v>69.0</v>
      </c>
      <c r="E7108" s="52" t="s">
        <v>25</v>
      </c>
      <c r="F7108" s="52" t="s">
        <v>26</v>
      </c>
      <c r="G7108" s="53"/>
    </row>
    <row r="7109">
      <c r="A7109" s="49">
        <v>45095.90630619213</v>
      </c>
      <c r="B7109" s="50">
        <v>45096.0312780208</v>
      </c>
      <c r="C7109" s="51">
        <v>1.006</v>
      </c>
      <c r="D7109" s="51">
        <v>69.0</v>
      </c>
      <c r="E7109" s="52" t="s">
        <v>25</v>
      </c>
      <c r="F7109" s="52" t="s">
        <v>26</v>
      </c>
      <c r="G7109" s="53"/>
    </row>
    <row r="7110">
      <c r="A7110" s="49">
        <v>45095.91674403935</v>
      </c>
      <c r="B7110" s="50">
        <v>45096.0417223032</v>
      </c>
      <c r="C7110" s="51">
        <v>1.006</v>
      </c>
      <c r="D7110" s="51">
        <v>69.0</v>
      </c>
      <c r="E7110" s="52" t="s">
        <v>25</v>
      </c>
      <c r="F7110" s="52" t="s">
        <v>26</v>
      </c>
      <c r="G7110" s="53"/>
    </row>
    <row r="7111">
      <c r="A7111" s="49">
        <v>45095.92718525463</v>
      </c>
      <c r="B7111" s="50">
        <v>45096.0521549652</v>
      </c>
      <c r="C7111" s="51">
        <v>1.005</v>
      </c>
      <c r="D7111" s="51">
        <v>69.0</v>
      </c>
      <c r="E7111" s="52" t="s">
        <v>25</v>
      </c>
      <c r="F7111" s="52" t="s">
        <v>26</v>
      </c>
      <c r="G7111" s="53"/>
    </row>
    <row r="7112">
      <c r="A7112" s="49">
        <v>45095.93761177083</v>
      </c>
      <c r="B7112" s="50">
        <v>45096.0625875</v>
      </c>
      <c r="C7112" s="51">
        <v>1.005</v>
      </c>
      <c r="D7112" s="51">
        <v>69.0</v>
      </c>
      <c r="E7112" s="52" t="s">
        <v>25</v>
      </c>
      <c r="F7112" s="52" t="s">
        <v>26</v>
      </c>
      <c r="G7112" s="53"/>
    </row>
    <row r="7113">
      <c r="A7113" s="49">
        <v>45095.948045682875</v>
      </c>
      <c r="B7113" s="50">
        <v>45096.0730083217</v>
      </c>
      <c r="C7113" s="51">
        <v>1.005</v>
      </c>
      <c r="D7113" s="51">
        <v>69.0</v>
      </c>
      <c r="E7113" s="52" t="s">
        <v>25</v>
      </c>
      <c r="F7113" s="52" t="s">
        <v>26</v>
      </c>
      <c r="G7113" s="53"/>
    </row>
    <row r="7114">
      <c r="A7114" s="49">
        <v>45095.95847848379</v>
      </c>
      <c r="B7114" s="50">
        <v>45096.0834537037</v>
      </c>
      <c r="C7114" s="51">
        <v>1.005</v>
      </c>
      <c r="D7114" s="51">
        <v>69.0</v>
      </c>
      <c r="E7114" s="52" t="s">
        <v>25</v>
      </c>
      <c r="F7114" s="52" t="s">
        <v>26</v>
      </c>
      <c r="G7114" s="53"/>
    </row>
    <row r="7115">
      <c r="A7115" s="49">
        <v>45095.96890384259</v>
      </c>
      <c r="B7115" s="50">
        <v>45096.0938734027</v>
      </c>
      <c r="C7115" s="51">
        <v>1.005</v>
      </c>
      <c r="D7115" s="51">
        <v>69.0</v>
      </c>
      <c r="E7115" s="52" t="s">
        <v>25</v>
      </c>
      <c r="F7115" s="52" t="s">
        <v>26</v>
      </c>
      <c r="G7115" s="53"/>
    </row>
    <row r="7116">
      <c r="A7116" s="49">
        <v>45095.979316655095</v>
      </c>
      <c r="B7116" s="50">
        <v>45096.1042968287</v>
      </c>
      <c r="C7116" s="51">
        <v>1.005</v>
      </c>
      <c r="D7116" s="51">
        <v>69.0</v>
      </c>
      <c r="E7116" s="52" t="s">
        <v>25</v>
      </c>
      <c r="F7116" s="52" t="s">
        <v>26</v>
      </c>
      <c r="G7116" s="53"/>
    </row>
    <row r="7117">
      <c r="A7117" s="49">
        <v>45095.9897458912</v>
      </c>
      <c r="B7117" s="50">
        <v>45096.1147186111</v>
      </c>
      <c r="C7117" s="51">
        <v>1.005</v>
      </c>
      <c r="D7117" s="51">
        <v>69.0</v>
      </c>
      <c r="E7117" s="52" t="s">
        <v>25</v>
      </c>
      <c r="F7117" s="52" t="s">
        <v>26</v>
      </c>
      <c r="G7117" s="53"/>
    </row>
    <row r="7118">
      <c r="A7118" s="49">
        <v>45096.0001625</v>
      </c>
      <c r="B7118" s="50">
        <v>45096.1251403125</v>
      </c>
      <c r="C7118" s="51">
        <v>1.006</v>
      </c>
      <c r="D7118" s="51">
        <v>69.0</v>
      </c>
      <c r="E7118" s="52" t="s">
        <v>25</v>
      </c>
      <c r="F7118" s="52" t="s">
        <v>26</v>
      </c>
      <c r="G7118" s="53"/>
    </row>
    <row r="7119">
      <c r="A7119" s="49">
        <v>45096.01061087963</v>
      </c>
      <c r="B7119" s="50">
        <v>45096.1355844675</v>
      </c>
      <c r="C7119" s="51">
        <v>1.005</v>
      </c>
      <c r="D7119" s="51">
        <v>69.0</v>
      </c>
      <c r="E7119" s="52" t="s">
        <v>25</v>
      </c>
      <c r="F7119" s="52" t="s">
        <v>26</v>
      </c>
      <c r="G7119" s="53"/>
    </row>
    <row r="7120">
      <c r="A7120" s="49">
        <v>45096.021038182866</v>
      </c>
      <c r="B7120" s="50">
        <v>45096.1460055902</v>
      </c>
      <c r="C7120" s="51">
        <v>1.005</v>
      </c>
      <c r="D7120" s="51">
        <v>69.0</v>
      </c>
      <c r="E7120" s="52" t="s">
        <v>25</v>
      </c>
      <c r="F7120" s="52" t="s">
        <v>26</v>
      </c>
      <c r="G7120" s="53"/>
    </row>
    <row r="7121">
      <c r="A7121" s="49">
        <v>45096.031458391204</v>
      </c>
      <c r="B7121" s="50">
        <v>45096.1564263888</v>
      </c>
      <c r="C7121" s="51">
        <v>1.005</v>
      </c>
      <c r="D7121" s="51">
        <v>69.0</v>
      </c>
      <c r="E7121" s="52" t="s">
        <v>25</v>
      </c>
      <c r="F7121" s="52" t="s">
        <v>26</v>
      </c>
      <c r="G7121" s="53"/>
    </row>
    <row r="7122">
      <c r="A7122" s="49">
        <v>45096.0418759375</v>
      </c>
      <c r="B7122" s="50">
        <v>45096.1668477314</v>
      </c>
      <c r="C7122" s="51">
        <v>1.005</v>
      </c>
      <c r="D7122" s="51">
        <v>69.0</v>
      </c>
      <c r="E7122" s="52" t="s">
        <v>25</v>
      </c>
      <c r="F7122" s="52" t="s">
        <v>26</v>
      </c>
      <c r="G7122" s="53"/>
    </row>
    <row r="7123">
      <c r="A7123" s="49">
        <v>45096.052296712965</v>
      </c>
      <c r="B7123" s="50">
        <v>45096.1772683217</v>
      </c>
      <c r="C7123" s="51">
        <v>1.005</v>
      </c>
      <c r="D7123" s="51">
        <v>69.0</v>
      </c>
      <c r="E7123" s="52" t="s">
        <v>25</v>
      </c>
      <c r="F7123" s="52" t="s">
        <v>26</v>
      </c>
      <c r="G7123" s="53"/>
    </row>
    <row r="7124">
      <c r="A7124" s="49">
        <v>45096.06273126157</v>
      </c>
      <c r="B7124" s="50">
        <v>45096.1877010879</v>
      </c>
      <c r="C7124" s="51">
        <v>1.006</v>
      </c>
      <c r="D7124" s="51">
        <v>69.0</v>
      </c>
      <c r="E7124" s="52" t="s">
        <v>25</v>
      </c>
      <c r="F7124" s="52" t="s">
        <v>26</v>
      </c>
      <c r="G7124" s="53"/>
    </row>
    <row r="7125">
      <c r="A7125" s="49">
        <v>45096.07314719907</v>
      </c>
      <c r="B7125" s="50">
        <v>45096.1981214814</v>
      </c>
      <c r="C7125" s="51">
        <v>1.005</v>
      </c>
      <c r="D7125" s="51">
        <v>69.0</v>
      </c>
      <c r="E7125" s="52" t="s">
        <v>25</v>
      </c>
      <c r="F7125" s="52" t="s">
        <v>26</v>
      </c>
      <c r="G7125" s="53"/>
    </row>
    <row r="7126">
      <c r="A7126" s="49">
        <v>45096.08357083333</v>
      </c>
      <c r="B7126" s="50">
        <v>45096.2085434027</v>
      </c>
      <c r="C7126" s="51">
        <v>1.005</v>
      </c>
      <c r="D7126" s="51">
        <v>69.0</v>
      </c>
      <c r="E7126" s="52" t="s">
        <v>25</v>
      </c>
      <c r="F7126" s="52" t="s">
        <v>26</v>
      </c>
      <c r="G7126" s="53"/>
    </row>
    <row r="7127">
      <c r="A7127" s="49">
        <v>45096.09398914352</v>
      </c>
      <c r="B7127" s="50">
        <v>45096.218965405</v>
      </c>
      <c r="C7127" s="51">
        <v>1.005</v>
      </c>
      <c r="D7127" s="51">
        <v>69.0</v>
      </c>
      <c r="E7127" s="52" t="s">
        <v>25</v>
      </c>
      <c r="F7127" s="52" t="s">
        <v>26</v>
      </c>
      <c r="G7127" s="53"/>
    </row>
    <row r="7128">
      <c r="A7128" s="49">
        <v>45096.10441679398</v>
      </c>
      <c r="B7128" s="50">
        <v>45096.2293875926</v>
      </c>
      <c r="C7128" s="51">
        <v>1.005</v>
      </c>
      <c r="D7128" s="51">
        <v>69.0</v>
      </c>
      <c r="E7128" s="52" t="s">
        <v>25</v>
      </c>
      <c r="F7128" s="52" t="s">
        <v>26</v>
      </c>
      <c r="G7128" s="53"/>
    </row>
    <row r="7129">
      <c r="A7129" s="49">
        <v>45096.114837256944</v>
      </c>
      <c r="B7129" s="50">
        <v>45096.2398099884</v>
      </c>
      <c r="C7129" s="51">
        <v>1.005</v>
      </c>
      <c r="D7129" s="51">
        <v>69.0</v>
      </c>
      <c r="E7129" s="52" t="s">
        <v>25</v>
      </c>
      <c r="F7129" s="52" t="s">
        <v>26</v>
      </c>
      <c r="G7129" s="53"/>
    </row>
    <row r="7130">
      <c r="A7130" s="49">
        <v>45096.12526342593</v>
      </c>
      <c r="B7130" s="50">
        <v>45096.250230625</v>
      </c>
      <c r="C7130" s="51">
        <v>1.005</v>
      </c>
      <c r="D7130" s="51">
        <v>69.0</v>
      </c>
      <c r="E7130" s="52" t="s">
        <v>25</v>
      </c>
      <c r="F7130" s="52" t="s">
        <v>26</v>
      </c>
      <c r="G7130" s="53"/>
    </row>
    <row r="7131">
      <c r="A7131" s="49">
        <v>45096.13567924769</v>
      </c>
      <c r="B7131" s="50">
        <v>45096.2606517361</v>
      </c>
      <c r="C7131" s="51">
        <v>1.005</v>
      </c>
      <c r="D7131" s="51">
        <v>69.0</v>
      </c>
      <c r="E7131" s="52" t="s">
        <v>25</v>
      </c>
      <c r="F7131" s="52" t="s">
        <v>26</v>
      </c>
      <c r="G7131" s="53"/>
    </row>
    <row r="7132">
      <c r="A7132" s="49">
        <v>45096.14611425926</v>
      </c>
      <c r="B7132" s="50">
        <v>45096.271083831</v>
      </c>
      <c r="C7132" s="51">
        <v>1.005</v>
      </c>
      <c r="D7132" s="51">
        <v>69.0</v>
      </c>
      <c r="E7132" s="52" t="s">
        <v>25</v>
      </c>
      <c r="F7132" s="52" t="s">
        <v>26</v>
      </c>
      <c r="G7132" s="53"/>
    </row>
    <row r="7133">
      <c r="A7133" s="49">
        <v>45096.1565275</v>
      </c>
      <c r="B7133" s="50">
        <v>45096.2815063194</v>
      </c>
      <c r="C7133" s="51">
        <v>1.006</v>
      </c>
      <c r="D7133" s="51">
        <v>69.0</v>
      </c>
      <c r="E7133" s="52" t="s">
        <v>25</v>
      </c>
      <c r="F7133" s="52" t="s">
        <v>26</v>
      </c>
      <c r="G7133" s="53"/>
    </row>
    <row r="7134">
      <c r="A7134" s="49">
        <v>45096.166954201384</v>
      </c>
      <c r="B7134" s="50">
        <v>45096.2919277083</v>
      </c>
      <c r="C7134" s="51">
        <v>1.006</v>
      </c>
      <c r="D7134" s="51">
        <v>69.0</v>
      </c>
      <c r="E7134" s="52" t="s">
        <v>25</v>
      </c>
      <c r="F7134" s="52" t="s">
        <v>26</v>
      </c>
      <c r="G7134" s="53"/>
    </row>
    <row r="7135">
      <c r="A7135" s="49">
        <v>45096.177377824075</v>
      </c>
      <c r="B7135" s="50">
        <v>45096.3023492708</v>
      </c>
      <c r="C7135" s="51">
        <v>1.005</v>
      </c>
      <c r="D7135" s="51">
        <v>69.0</v>
      </c>
      <c r="E7135" s="52" t="s">
        <v>25</v>
      </c>
      <c r="F7135" s="52" t="s">
        <v>26</v>
      </c>
      <c r="G7135" s="53"/>
    </row>
    <row r="7136">
      <c r="A7136" s="49">
        <v>45096.18782568287</v>
      </c>
      <c r="B7136" s="50">
        <v>45096.3128050694</v>
      </c>
      <c r="C7136" s="51">
        <v>1.005</v>
      </c>
      <c r="D7136" s="51">
        <v>69.0</v>
      </c>
      <c r="E7136" s="52" t="s">
        <v>25</v>
      </c>
      <c r="F7136" s="52" t="s">
        <v>26</v>
      </c>
      <c r="G7136" s="53"/>
    </row>
    <row r="7137">
      <c r="A7137" s="49">
        <v>45096.198275532406</v>
      </c>
      <c r="B7137" s="50">
        <v>45096.3232505439</v>
      </c>
      <c r="C7137" s="51">
        <v>1.005</v>
      </c>
      <c r="D7137" s="51">
        <v>69.0</v>
      </c>
      <c r="E7137" s="52" t="s">
        <v>25</v>
      </c>
      <c r="F7137" s="52" t="s">
        <v>26</v>
      </c>
      <c r="G7137" s="53"/>
    </row>
    <row r="7138">
      <c r="A7138" s="49">
        <v>45096.20869331018</v>
      </c>
      <c r="B7138" s="50">
        <v>45096.3336712384</v>
      </c>
      <c r="C7138" s="51">
        <v>1.005</v>
      </c>
      <c r="D7138" s="51">
        <v>69.0</v>
      </c>
      <c r="E7138" s="52" t="s">
        <v>25</v>
      </c>
      <c r="F7138" s="52" t="s">
        <v>26</v>
      </c>
      <c r="G7138" s="53"/>
    </row>
    <row r="7139">
      <c r="A7139" s="49">
        <v>45096.21913074074</v>
      </c>
      <c r="B7139" s="50">
        <v>45096.3441041898</v>
      </c>
      <c r="C7139" s="51">
        <v>1.005</v>
      </c>
      <c r="D7139" s="51">
        <v>69.0</v>
      </c>
      <c r="E7139" s="52" t="s">
        <v>25</v>
      </c>
      <c r="F7139" s="52" t="s">
        <v>26</v>
      </c>
      <c r="G7139" s="53"/>
    </row>
    <row r="7140">
      <c r="A7140" s="49">
        <v>45096.229546030096</v>
      </c>
      <c r="B7140" s="50">
        <v>45096.3545247453</v>
      </c>
      <c r="C7140" s="51">
        <v>1.005</v>
      </c>
      <c r="D7140" s="51">
        <v>69.0</v>
      </c>
      <c r="E7140" s="52" t="s">
        <v>25</v>
      </c>
      <c r="F7140" s="52" t="s">
        <v>26</v>
      </c>
      <c r="G7140" s="53"/>
    </row>
    <row r="7141">
      <c r="A7141" s="49">
        <v>45096.23999671296</v>
      </c>
      <c r="B7141" s="50">
        <v>45096.3649695486</v>
      </c>
      <c r="C7141" s="51">
        <v>1.005</v>
      </c>
      <c r="D7141" s="51">
        <v>69.0</v>
      </c>
      <c r="E7141" s="52" t="s">
        <v>25</v>
      </c>
      <c r="F7141" s="52" t="s">
        <v>26</v>
      </c>
      <c r="G7141" s="53"/>
    </row>
    <row r="7142">
      <c r="A7142" s="49">
        <v>45096.250408125</v>
      </c>
      <c r="B7142" s="50">
        <v>45096.3753902662</v>
      </c>
      <c r="C7142" s="51">
        <v>1.005</v>
      </c>
      <c r="D7142" s="51">
        <v>69.0</v>
      </c>
      <c r="E7142" s="52" t="s">
        <v>25</v>
      </c>
      <c r="F7142" s="52" t="s">
        <v>26</v>
      </c>
      <c r="G7142" s="53"/>
    </row>
    <row r="7143">
      <c r="A7143" s="49">
        <v>45096.260833900466</v>
      </c>
      <c r="B7143" s="50">
        <v>45096.3858118171</v>
      </c>
      <c r="C7143" s="51">
        <v>1.005</v>
      </c>
      <c r="D7143" s="51">
        <v>69.0</v>
      </c>
      <c r="E7143" s="52" t="s">
        <v>25</v>
      </c>
      <c r="F7143" s="52" t="s">
        <v>26</v>
      </c>
      <c r="G7143" s="53"/>
    </row>
    <row r="7144">
      <c r="A7144" s="49">
        <v>45096.27124884259</v>
      </c>
      <c r="B7144" s="50">
        <v>45096.3962302199</v>
      </c>
      <c r="C7144" s="51">
        <v>1.005</v>
      </c>
      <c r="D7144" s="51">
        <v>69.0</v>
      </c>
      <c r="E7144" s="52" t="s">
        <v>25</v>
      </c>
      <c r="F7144" s="52" t="s">
        <v>26</v>
      </c>
      <c r="G7144" s="53"/>
    </row>
    <row r="7145">
      <c r="A7145" s="49">
        <v>45096.28168126158</v>
      </c>
      <c r="B7145" s="50">
        <v>45096.4066623958</v>
      </c>
      <c r="C7145" s="51">
        <v>1.005</v>
      </c>
      <c r="D7145" s="51">
        <v>69.0</v>
      </c>
      <c r="E7145" s="52" t="s">
        <v>25</v>
      </c>
      <c r="F7145" s="52" t="s">
        <v>26</v>
      </c>
      <c r="G7145" s="53"/>
    </row>
    <row r="7146">
      <c r="A7146" s="49">
        <v>45096.292102974534</v>
      </c>
      <c r="B7146" s="50">
        <v>45096.4170831597</v>
      </c>
      <c r="C7146" s="51">
        <v>1.005</v>
      </c>
      <c r="D7146" s="51">
        <v>69.0</v>
      </c>
      <c r="E7146" s="52" t="s">
        <v>25</v>
      </c>
      <c r="F7146" s="52" t="s">
        <v>26</v>
      </c>
      <c r="G7146" s="53"/>
    </row>
    <row r="7147">
      <c r="A7147" s="49">
        <v>45096.302536585645</v>
      </c>
      <c r="B7147" s="50">
        <v>45096.4275147569</v>
      </c>
      <c r="C7147" s="51">
        <v>1.005</v>
      </c>
      <c r="D7147" s="51">
        <v>69.0</v>
      </c>
      <c r="E7147" s="52" t="s">
        <v>25</v>
      </c>
      <c r="F7147" s="52" t="s">
        <v>26</v>
      </c>
      <c r="G7147" s="53"/>
    </row>
    <row r="7148">
      <c r="A7148" s="49">
        <v>45096.31296090278</v>
      </c>
      <c r="B7148" s="50">
        <v>45096.4379373842</v>
      </c>
      <c r="C7148" s="51">
        <v>1.005</v>
      </c>
      <c r="D7148" s="51">
        <v>69.0</v>
      </c>
      <c r="E7148" s="52" t="s">
        <v>25</v>
      </c>
      <c r="F7148" s="52" t="s">
        <v>26</v>
      </c>
      <c r="G7148" s="53"/>
    </row>
    <row r="7149">
      <c r="A7149" s="49">
        <v>45096.32338623842</v>
      </c>
      <c r="B7149" s="50">
        <v>45096.4483573726</v>
      </c>
      <c r="C7149" s="51">
        <v>1.005</v>
      </c>
      <c r="D7149" s="51">
        <v>69.0</v>
      </c>
      <c r="E7149" s="52" t="s">
        <v>25</v>
      </c>
      <c r="F7149" s="52" t="s">
        <v>26</v>
      </c>
      <c r="G7149" s="53"/>
    </row>
    <row r="7150">
      <c r="A7150" s="49">
        <v>45096.33387478009</v>
      </c>
      <c r="B7150" s="50">
        <v>45096.4588385763</v>
      </c>
      <c r="C7150" s="51">
        <v>1.005</v>
      </c>
      <c r="D7150" s="51">
        <v>69.0</v>
      </c>
      <c r="E7150" s="52" t="s">
        <v>25</v>
      </c>
      <c r="F7150" s="52" t="s">
        <v>26</v>
      </c>
      <c r="G7150" s="53"/>
    </row>
    <row r="7151">
      <c r="A7151" s="49">
        <v>45096.34428842593</v>
      </c>
      <c r="B7151" s="50">
        <v>45096.4692595486</v>
      </c>
      <c r="C7151" s="51">
        <v>1.005</v>
      </c>
      <c r="D7151" s="51">
        <v>69.0</v>
      </c>
      <c r="E7151" s="52" t="s">
        <v>25</v>
      </c>
      <c r="F7151" s="52" t="s">
        <v>26</v>
      </c>
      <c r="G7151" s="53"/>
    </row>
    <row r="7152">
      <c r="A7152" s="49">
        <v>45096.3546971412</v>
      </c>
      <c r="B7152" s="50">
        <v>45096.4796816088</v>
      </c>
      <c r="C7152" s="51">
        <v>1.005</v>
      </c>
      <c r="D7152" s="51">
        <v>69.0</v>
      </c>
      <c r="E7152" s="52" t="s">
        <v>25</v>
      </c>
      <c r="F7152" s="52" t="s">
        <v>26</v>
      </c>
      <c r="G7152" s="53"/>
    </row>
    <row r="7153">
      <c r="A7153" s="49">
        <v>45096.36513009259</v>
      </c>
      <c r="B7153" s="50">
        <v>45096.4901033217</v>
      </c>
      <c r="C7153" s="51">
        <v>1.005</v>
      </c>
      <c r="D7153" s="51">
        <v>69.0</v>
      </c>
      <c r="E7153" s="52" t="s">
        <v>25</v>
      </c>
      <c r="F7153" s="52" t="s">
        <v>26</v>
      </c>
      <c r="G7153" s="53"/>
    </row>
    <row r="7154">
      <c r="A7154" s="49">
        <v>45096.37555996528</v>
      </c>
      <c r="B7154" s="50">
        <v>45096.5005348495</v>
      </c>
      <c r="C7154" s="51">
        <v>1.005</v>
      </c>
      <c r="D7154" s="51">
        <v>69.0</v>
      </c>
      <c r="E7154" s="52" t="s">
        <v>25</v>
      </c>
      <c r="F7154" s="52" t="s">
        <v>26</v>
      </c>
      <c r="G7154" s="53"/>
    </row>
    <row r="7155">
      <c r="A7155" s="49">
        <v>45096.385978969905</v>
      </c>
      <c r="B7155" s="50">
        <v>45096.5109554745</v>
      </c>
      <c r="C7155" s="51">
        <v>1.005</v>
      </c>
      <c r="D7155" s="51">
        <v>69.0</v>
      </c>
      <c r="E7155" s="52" t="s">
        <v>25</v>
      </c>
      <c r="F7155" s="52" t="s">
        <v>26</v>
      </c>
      <c r="G7155" s="53"/>
    </row>
    <row r="7156">
      <c r="A7156" s="49">
        <v>45096.396396689815</v>
      </c>
      <c r="B7156" s="50">
        <v>45096.5213756365</v>
      </c>
      <c r="C7156" s="51">
        <v>1.005</v>
      </c>
      <c r="D7156" s="51">
        <v>69.0</v>
      </c>
      <c r="E7156" s="52" t="s">
        <v>25</v>
      </c>
      <c r="F7156" s="52" t="s">
        <v>26</v>
      </c>
      <c r="G7156" s="53"/>
    </row>
    <row r="7157">
      <c r="A7157" s="49">
        <v>45096.40682012732</v>
      </c>
      <c r="B7157" s="50">
        <v>45096.5317977199</v>
      </c>
      <c r="C7157" s="51">
        <v>1.005</v>
      </c>
      <c r="D7157" s="51">
        <v>69.0</v>
      </c>
      <c r="E7157" s="52" t="s">
        <v>25</v>
      </c>
      <c r="F7157" s="52" t="s">
        <v>26</v>
      </c>
      <c r="G7157" s="53"/>
    </row>
    <row r="7158">
      <c r="A7158" s="49">
        <v>45096.41724141204</v>
      </c>
      <c r="B7158" s="50">
        <v>45096.5422194791</v>
      </c>
      <c r="C7158" s="51">
        <v>1.005</v>
      </c>
      <c r="D7158" s="51">
        <v>69.0</v>
      </c>
      <c r="E7158" s="52" t="s">
        <v>25</v>
      </c>
      <c r="F7158" s="52" t="s">
        <v>26</v>
      </c>
      <c r="G7158" s="53"/>
    </row>
    <row r="7159">
      <c r="A7159" s="49">
        <v>45096.42767119213</v>
      </c>
      <c r="B7159" s="50">
        <v>45096.552652905</v>
      </c>
      <c r="C7159" s="51">
        <v>1.005</v>
      </c>
      <c r="D7159" s="51">
        <v>69.0</v>
      </c>
      <c r="E7159" s="52" t="s">
        <v>25</v>
      </c>
      <c r="F7159" s="52" t="s">
        <v>26</v>
      </c>
      <c r="G7159" s="53"/>
    </row>
    <row r="7160">
      <c r="A7160" s="49">
        <v>45096.4381003125</v>
      </c>
      <c r="B7160" s="50">
        <v>45096.5630760648</v>
      </c>
      <c r="C7160" s="51">
        <v>1.005</v>
      </c>
      <c r="D7160" s="51">
        <v>69.0</v>
      </c>
      <c r="E7160" s="52" t="s">
        <v>25</v>
      </c>
      <c r="F7160" s="52" t="s">
        <v>26</v>
      </c>
      <c r="G7160" s="53"/>
    </row>
    <row r="7161">
      <c r="A7161" s="49">
        <v>45096.448514895834</v>
      </c>
      <c r="B7161" s="50">
        <v>45096.5734975</v>
      </c>
      <c r="C7161" s="51">
        <v>1.005</v>
      </c>
      <c r="D7161" s="51">
        <v>69.0</v>
      </c>
      <c r="E7161" s="52" t="s">
        <v>25</v>
      </c>
      <c r="F7161" s="52" t="s">
        <v>26</v>
      </c>
      <c r="G7161" s="53"/>
    </row>
    <row r="7162">
      <c r="A7162" s="49">
        <v>45096.45895605324</v>
      </c>
      <c r="B7162" s="50">
        <v>45096.5839305671</v>
      </c>
      <c r="C7162" s="51">
        <v>1.005</v>
      </c>
      <c r="D7162" s="51">
        <v>69.0</v>
      </c>
      <c r="E7162" s="52" t="s">
        <v>25</v>
      </c>
      <c r="F7162" s="52" t="s">
        <v>26</v>
      </c>
      <c r="G7162" s="53"/>
    </row>
    <row r="7163">
      <c r="A7163" s="49">
        <v>45096.500679247685</v>
      </c>
      <c r="B7163" s="50">
        <v>45096.6256522453</v>
      </c>
      <c r="C7163" s="51">
        <v>1.005</v>
      </c>
      <c r="D7163" s="51">
        <v>69.0</v>
      </c>
      <c r="E7163" s="52" t="s">
        <v>25</v>
      </c>
      <c r="F7163" s="52" t="s">
        <v>26</v>
      </c>
      <c r="G7163" s="53"/>
    </row>
    <row r="7164">
      <c r="A7164" s="49">
        <v>45096.511099675925</v>
      </c>
      <c r="B7164" s="50">
        <v>45096.6360747338</v>
      </c>
      <c r="C7164" s="51">
        <v>1.005</v>
      </c>
      <c r="D7164" s="51">
        <v>69.0</v>
      </c>
      <c r="E7164" s="52" t="s">
        <v>25</v>
      </c>
      <c r="F7164" s="52" t="s">
        <v>26</v>
      </c>
      <c r="G7164" s="53"/>
    </row>
    <row r="7165">
      <c r="A7165" s="49">
        <v>45096.52152333333</v>
      </c>
      <c r="B7165" s="50">
        <v>45096.6464959606</v>
      </c>
      <c r="C7165" s="51">
        <v>1.005</v>
      </c>
      <c r="D7165" s="51">
        <v>69.0</v>
      </c>
      <c r="E7165" s="52" t="s">
        <v>25</v>
      </c>
      <c r="F7165" s="52" t="s">
        <v>26</v>
      </c>
      <c r="G7165" s="53"/>
    </row>
    <row r="7166">
      <c r="A7166" s="49">
        <v>45096.531937997686</v>
      </c>
      <c r="B7166" s="50">
        <v>45096.6569181481</v>
      </c>
      <c r="C7166" s="51">
        <v>1.005</v>
      </c>
      <c r="D7166" s="51">
        <v>69.0</v>
      </c>
      <c r="E7166" s="52" t="s">
        <v>25</v>
      </c>
      <c r="F7166" s="52" t="s">
        <v>26</v>
      </c>
      <c r="G7166" s="53"/>
    </row>
    <row r="7167">
      <c r="A7167" s="49">
        <v>45096.54236741898</v>
      </c>
      <c r="B7167" s="50">
        <v>45096.6673400578</v>
      </c>
      <c r="C7167" s="51">
        <v>1.005</v>
      </c>
      <c r="D7167" s="51">
        <v>69.0</v>
      </c>
      <c r="E7167" s="52" t="s">
        <v>25</v>
      </c>
      <c r="F7167" s="52" t="s">
        <v>26</v>
      </c>
      <c r="G7167" s="53"/>
    </row>
    <row r="7168">
      <c r="A7168" s="49">
        <v>45096.55279574074</v>
      </c>
      <c r="B7168" s="50">
        <v>45096.6777726157</v>
      </c>
      <c r="C7168" s="51">
        <v>1.005</v>
      </c>
      <c r="D7168" s="51">
        <v>69.0</v>
      </c>
      <c r="E7168" s="52" t="s">
        <v>25</v>
      </c>
      <c r="F7168" s="52" t="s">
        <v>26</v>
      </c>
      <c r="G7168" s="53"/>
    </row>
    <row r="7169">
      <c r="A7169" s="49">
        <v>45096.56321364583</v>
      </c>
      <c r="B7169" s="50">
        <v>45096.6881937384</v>
      </c>
      <c r="C7169" s="51">
        <v>1.005</v>
      </c>
      <c r="D7169" s="51">
        <v>69.0</v>
      </c>
      <c r="E7169" s="52" t="s">
        <v>25</v>
      </c>
      <c r="F7169" s="52" t="s">
        <v>26</v>
      </c>
      <c r="G7169" s="53"/>
    </row>
    <row r="7170">
      <c r="A7170" s="49">
        <v>45096.573638773145</v>
      </c>
      <c r="B7170" s="50">
        <v>45096.6986160069</v>
      </c>
      <c r="C7170" s="51">
        <v>1.005</v>
      </c>
      <c r="D7170" s="51">
        <v>69.0</v>
      </c>
      <c r="E7170" s="52" t="s">
        <v>25</v>
      </c>
      <c r="F7170" s="52" t="s">
        <v>26</v>
      </c>
      <c r="G7170" s="53"/>
    </row>
    <row r="7171">
      <c r="A7171" s="49">
        <v>45096.58406628472</v>
      </c>
      <c r="B7171" s="50">
        <v>45096.7090486111</v>
      </c>
      <c r="C7171" s="51">
        <v>1.005</v>
      </c>
      <c r="D7171" s="51">
        <v>69.0</v>
      </c>
      <c r="E7171" s="52" t="s">
        <v>25</v>
      </c>
      <c r="F7171" s="52" t="s">
        <v>26</v>
      </c>
      <c r="G7171" s="53"/>
    </row>
    <row r="7172">
      <c r="A7172" s="49">
        <v>45096.59452799769</v>
      </c>
      <c r="B7172" s="50">
        <v>45096.7195054398</v>
      </c>
      <c r="C7172" s="51">
        <v>1.006</v>
      </c>
      <c r="D7172" s="51">
        <v>69.0</v>
      </c>
      <c r="E7172" s="52" t="s">
        <v>25</v>
      </c>
      <c r="F7172" s="52" t="s">
        <v>26</v>
      </c>
      <c r="G7172" s="53"/>
    </row>
    <row r="7173">
      <c r="A7173" s="49">
        <v>45096.60494628472</v>
      </c>
      <c r="B7173" s="50">
        <v>45096.7299270486</v>
      </c>
      <c r="C7173" s="51">
        <v>1.005</v>
      </c>
      <c r="D7173" s="51">
        <v>69.0</v>
      </c>
      <c r="E7173" s="52" t="s">
        <v>25</v>
      </c>
      <c r="F7173" s="52" t="s">
        <v>26</v>
      </c>
      <c r="G7173" s="53"/>
    </row>
    <row r="7174">
      <c r="A7174" s="49">
        <v>45096.61538927083</v>
      </c>
      <c r="B7174" s="50">
        <v>45096.7403596527</v>
      </c>
      <c r="C7174" s="51">
        <v>1.005</v>
      </c>
      <c r="D7174" s="51">
        <v>69.0</v>
      </c>
      <c r="E7174" s="52" t="s">
        <v>25</v>
      </c>
      <c r="F7174" s="52" t="s">
        <v>26</v>
      </c>
      <c r="G7174" s="53"/>
    </row>
    <row r="7175">
      <c r="A7175" s="49">
        <v>45096.6258103125</v>
      </c>
      <c r="B7175" s="50">
        <v>45096.7507823032</v>
      </c>
      <c r="C7175" s="51">
        <v>1.005</v>
      </c>
      <c r="D7175" s="51">
        <v>69.0</v>
      </c>
      <c r="E7175" s="52" t="s">
        <v>25</v>
      </c>
      <c r="F7175" s="52" t="s">
        <v>26</v>
      </c>
      <c r="G7175" s="53"/>
    </row>
    <row r="7176">
      <c r="A7176" s="49">
        <v>45096.63622108796</v>
      </c>
      <c r="B7176" s="50">
        <v>45096.7612032754</v>
      </c>
      <c r="C7176" s="51">
        <v>1.005</v>
      </c>
      <c r="D7176" s="51">
        <v>69.0</v>
      </c>
      <c r="E7176" s="52" t="s">
        <v>25</v>
      </c>
      <c r="F7176" s="52" t="s">
        <v>26</v>
      </c>
      <c r="G7176" s="53"/>
    </row>
    <row r="7177">
      <c r="A7177" s="49">
        <v>45096.646649525464</v>
      </c>
      <c r="B7177" s="50">
        <v>45096.7716254976</v>
      </c>
      <c r="C7177" s="51">
        <v>1.005</v>
      </c>
      <c r="D7177" s="51">
        <v>69.0</v>
      </c>
      <c r="E7177" s="52" t="s">
        <v>25</v>
      </c>
      <c r="F7177" s="52" t="s">
        <v>26</v>
      </c>
      <c r="G7177" s="53"/>
    </row>
    <row r="7178">
      <c r="A7178" s="49">
        <v>45096.65707427083</v>
      </c>
      <c r="B7178" s="50">
        <v>45096.7820570138</v>
      </c>
      <c r="C7178" s="51">
        <v>1.005</v>
      </c>
      <c r="D7178" s="51">
        <v>69.0</v>
      </c>
      <c r="E7178" s="52" t="s">
        <v>25</v>
      </c>
      <c r="F7178" s="52" t="s">
        <v>26</v>
      </c>
      <c r="G7178" s="53"/>
    </row>
    <row r="7179">
      <c r="A7179" s="49">
        <v>45096.66749474537</v>
      </c>
      <c r="B7179" s="50">
        <v>45096.7924780208</v>
      </c>
      <c r="C7179" s="51">
        <v>1.005</v>
      </c>
      <c r="D7179" s="51">
        <v>69.0</v>
      </c>
      <c r="E7179" s="52" t="s">
        <v>25</v>
      </c>
      <c r="F7179" s="52" t="s">
        <v>26</v>
      </c>
      <c r="G7179" s="53"/>
    </row>
    <row r="7180">
      <c r="A7180" s="49">
        <v>45096.67792202546</v>
      </c>
      <c r="B7180" s="50">
        <v>45096.8028993287</v>
      </c>
      <c r="C7180" s="51">
        <v>1.005</v>
      </c>
      <c r="D7180" s="51">
        <v>69.0</v>
      </c>
      <c r="E7180" s="52" t="s">
        <v>25</v>
      </c>
      <c r="F7180" s="52" t="s">
        <v>26</v>
      </c>
      <c r="G7180" s="53"/>
    </row>
    <row r="7181">
      <c r="A7181" s="49">
        <v>45096.68834258102</v>
      </c>
      <c r="B7181" s="50">
        <v>45096.8133195949</v>
      </c>
      <c r="C7181" s="51">
        <v>1.005</v>
      </c>
      <c r="D7181" s="51">
        <v>69.0</v>
      </c>
      <c r="E7181" s="52" t="s">
        <v>25</v>
      </c>
      <c r="F7181" s="52" t="s">
        <v>26</v>
      </c>
      <c r="G7181" s="53"/>
    </row>
    <row r="7182">
      <c r="A7182" s="49">
        <v>45096.698769814815</v>
      </c>
      <c r="B7182" s="50">
        <v>45096.8237416435</v>
      </c>
      <c r="C7182" s="51">
        <v>1.005</v>
      </c>
      <c r="D7182" s="51">
        <v>69.0</v>
      </c>
      <c r="E7182" s="52" t="s">
        <v>25</v>
      </c>
      <c r="F7182" s="52" t="s">
        <v>26</v>
      </c>
      <c r="G7182" s="53"/>
    </row>
    <row r="7183">
      <c r="A7183" s="49">
        <v>45096.70919934028</v>
      </c>
      <c r="B7183" s="50">
        <v>45096.8341627546</v>
      </c>
      <c r="C7183" s="51">
        <v>1.005</v>
      </c>
      <c r="D7183" s="51">
        <v>69.0</v>
      </c>
      <c r="E7183" s="52" t="s">
        <v>25</v>
      </c>
      <c r="F7183" s="52" t="s">
        <v>26</v>
      </c>
      <c r="G7183" s="53"/>
    </row>
    <row r="7184">
      <c r="A7184" s="49">
        <v>45096.71960189815</v>
      </c>
      <c r="B7184" s="50">
        <v>45096.8445842245</v>
      </c>
      <c r="C7184" s="51">
        <v>1.005</v>
      </c>
      <c r="D7184" s="51">
        <v>69.0</v>
      </c>
      <c r="E7184" s="52" t="s">
        <v>25</v>
      </c>
      <c r="F7184" s="52" t="s">
        <v>26</v>
      </c>
      <c r="G7184" s="53"/>
    </row>
    <row r="7185">
      <c r="A7185" s="49">
        <v>45096.730046261575</v>
      </c>
      <c r="B7185" s="50">
        <v>45096.8550172685</v>
      </c>
      <c r="C7185" s="51">
        <v>1.005</v>
      </c>
      <c r="D7185" s="51">
        <v>69.0</v>
      </c>
      <c r="E7185" s="52" t="s">
        <v>25</v>
      </c>
      <c r="F7185" s="52" t="s">
        <v>26</v>
      </c>
      <c r="G7185" s="53"/>
    </row>
    <row r="7186">
      <c r="A7186" s="49">
        <v>45096.74047560185</v>
      </c>
      <c r="B7186" s="50">
        <v>45096.8654488773</v>
      </c>
      <c r="C7186" s="51">
        <v>1.005</v>
      </c>
      <c r="D7186" s="51">
        <v>69.0</v>
      </c>
      <c r="E7186" s="52" t="s">
        <v>25</v>
      </c>
      <c r="F7186" s="52" t="s">
        <v>26</v>
      </c>
      <c r="G7186" s="53"/>
    </row>
    <row r="7187">
      <c r="A7187" s="49">
        <v>45096.75089998843</v>
      </c>
      <c r="B7187" s="50">
        <v>45096.8758799537</v>
      </c>
      <c r="C7187" s="51">
        <v>1.005</v>
      </c>
      <c r="D7187" s="51">
        <v>69.0</v>
      </c>
      <c r="E7187" s="52" t="s">
        <v>25</v>
      </c>
      <c r="F7187" s="52" t="s">
        <v>26</v>
      </c>
      <c r="G7187" s="53"/>
    </row>
    <row r="7188">
      <c r="A7188" s="49">
        <v>45096.76132741898</v>
      </c>
      <c r="B7188" s="50">
        <v>45096.8863017708</v>
      </c>
      <c r="C7188" s="51">
        <v>1.005</v>
      </c>
      <c r="D7188" s="51">
        <v>69.0</v>
      </c>
      <c r="E7188" s="52" t="s">
        <v>25</v>
      </c>
      <c r="F7188" s="52" t="s">
        <v>26</v>
      </c>
      <c r="G7188" s="53"/>
    </row>
    <row r="7189">
      <c r="A7189" s="49">
        <v>45096.771744247686</v>
      </c>
      <c r="B7189" s="50">
        <v>45096.8967228356</v>
      </c>
      <c r="C7189" s="51">
        <v>1.005</v>
      </c>
      <c r="D7189" s="51">
        <v>69.0</v>
      </c>
      <c r="E7189" s="52" t="s">
        <v>25</v>
      </c>
      <c r="F7189" s="52" t="s">
        <v>26</v>
      </c>
      <c r="G7189" s="53"/>
    </row>
    <row r="7190">
      <c r="A7190" s="49">
        <v>45096.79260537037</v>
      </c>
      <c r="B7190" s="50">
        <v>45096.9175753125</v>
      </c>
      <c r="C7190" s="51">
        <v>1.005</v>
      </c>
      <c r="D7190" s="51">
        <v>69.0</v>
      </c>
      <c r="E7190" s="52" t="s">
        <v>25</v>
      </c>
      <c r="F7190" s="52" t="s">
        <v>26</v>
      </c>
      <c r="G7190" s="53"/>
    </row>
    <row r="7191">
      <c r="A7191" s="49">
        <v>45096.80305298611</v>
      </c>
      <c r="B7191" s="50">
        <v>45096.9280196527</v>
      </c>
      <c r="C7191" s="51">
        <v>1.005</v>
      </c>
      <c r="D7191" s="51">
        <v>69.0</v>
      </c>
      <c r="E7191" s="52" t="s">
        <v>25</v>
      </c>
      <c r="F7191" s="52" t="s">
        <v>26</v>
      </c>
      <c r="G7191" s="53"/>
    </row>
    <row r="7192">
      <c r="A7192" s="49">
        <v>45096.81346392361</v>
      </c>
      <c r="B7192" s="50">
        <v>45096.9384402777</v>
      </c>
      <c r="C7192" s="51">
        <v>1.005</v>
      </c>
      <c r="D7192" s="51">
        <v>69.0</v>
      </c>
      <c r="E7192" s="52" t="s">
        <v>25</v>
      </c>
      <c r="F7192" s="52" t="s">
        <v>26</v>
      </c>
      <c r="G7192" s="53"/>
    </row>
    <row r="7193">
      <c r="A7193" s="49">
        <v>45096.82389534722</v>
      </c>
      <c r="B7193" s="50">
        <v>45096.9488615509</v>
      </c>
      <c r="C7193" s="51">
        <v>1.005</v>
      </c>
      <c r="D7193" s="51">
        <v>69.0</v>
      </c>
      <c r="E7193" s="52" t="s">
        <v>25</v>
      </c>
      <c r="F7193" s="52" t="s">
        <v>26</v>
      </c>
      <c r="G7193" s="53"/>
    </row>
    <row r="7194">
      <c r="A7194" s="49">
        <v>45096.83433603009</v>
      </c>
      <c r="B7194" s="50">
        <v>45096.9593055555</v>
      </c>
      <c r="C7194" s="51">
        <v>1.005</v>
      </c>
      <c r="D7194" s="51">
        <v>69.0</v>
      </c>
      <c r="E7194" s="52" t="s">
        <v>25</v>
      </c>
      <c r="F7194" s="52" t="s">
        <v>26</v>
      </c>
      <c r="G7194" s="53"/>
    </row>
    <row r="7195">
      <c r="A7195" s="49">
        <v>45096.84474721065</v>
      </c>
      <c r="B7195" s="50">
        <v>45096.9697263426</v>
      </c>
      <c r="C7195" s="51">
        <v>1.005</v>
      </c>
      <c r="D7195" s="51">
        <v>69.0</v>
      </c>
      <c r="E7195" s="52" t="s">
        <v>25</v>
      </c>
      <c r="F7195" s="52" t="s">
        <v>26</v>
      </c>
      <c r="G7195" s="53"/>
    </row>
    <row r="7196">
      <c r="A7196" s="49">
        <v>45096.85517684028</v>
      </c>
      <c r="B7196" s="50">
        <v>45096.9801451851</v>
      </c>
      <c r="C7196" s="51">
        <v>1.005</v>
      </c>
      <c r="D7196" s="51">
        <v>69.0</v>
      </c>
      <c r="E7196" s="52" t="s">
        <v>25</v>
      </c>
      <c r="F7196" s="52" t="s">
        <v>26</v>
      </c>
      <c r="G7196" s="53"/>
    </row>
    <row r="7197">
      <c r="A7197" s="49">
        <v>45096.86559087963</v>
      </c>
      <c r="B7197" s="50">
        <v>45096.9905645138</v>
      </c>
      <c r="C7197" s="51">
        <v>1.005</v>
      </c>
      <c r="D7197" s="51">
        <v>69.0</v>
      </c>
      <c r="E7197" s="52" t="s">
        <v>25</v>
      </c>
      <c r="F7197" s="52" t="s">
        <v>26</v>
      </c>
      <c r="G7197" s="53"/>
    </row>
    <row r="7198">
      <c r="A7198" s="49">
        <v>45096.87602555555</v>
      </c>
      <c r="B7198" s="50">
        <v>45097.0009967476</v>
      </c>
      <c r="C7198" s="51">
        <v>1.005</v>
      </c>
      <c r="D7198" s="51">
        <v>69.0</v>
      </c>
      <c r="E7198" s="52" t="s">
        <v>25</v>
      </c>
      <c r="F7198" s="52" t="s">
        <v>26</v>
      </c>
      <c r="G7198" s="53"/>
    </row>
    <row r="7199">
      <c r="A7199" s="49">
        <v>45096.88648177084</v>
      </c>
      <c r="B7199" s="50">
        <v>45097.0114433449</v>
      </c>
      <c r="C7199" s="51">
        <v>1.005</v>
      </c>
      <c r="D7199" s="51">
        <v>69.0</v>
      </c>
      <c r="E7199" s="52" t="s">
        <v>25</v>
      </c>
      <c r="F7199" s="52" t="s">
        <v>26</v>
      </c>
      <c r="G7199" s="53"/>
    </row>
    <row r="7200">
      <c r="A7200" s="49">
        <v>45096.89689417824</v>
      </c>
      <c r="B7200" s="50">
        <v>45097.0218660185</v>
      </c>
      <c r="C7200" s="51">
        <v>1.005</v>
      </c>
      <c r="D7200" s="51">
        <v>69.0</v>
      </c>
      <c r="E7200" s="52" t="s">
        <v>25</v>
      </c>
      <c r="F7200" s="52" t="s">
        <v>26</v>
      </c>
      <c r="G7200" s="53"/>
    </row>
    <row r="7201">
      <c r="A7201" s="49">
        <v>45096.907318356476</v>
      </c>
      <c r="B7201" s="50">
        <v>45097.0322863078</v>
      </c>
      <c r="C7201" s="51">
        <v>1.005</v>
      </c>
      <c r="D7201" s="51">
        <v>69.0</v>
      </c>
      <c r="E7201" s="52" t="s">
        <v>25</v>
      </c>
      <c r="F7201" s="52" t="s">
        <v>26</v>
      </c>
      <c r="G7201" s="53"/>
    </row>
    <row r="7202">
      <c r="A7202" s="49">
        <v>45096.91773216435</v>
      </c>
      <c r="B7202" s="50">
        <v>45097.0427079514</v>
      </c>
      <c r="C7202" s="51">
        <v>1.005</v>
      </c>
      <c r="D7202" s="51">
        <v>69.0</v>
      </c>
      <c r="E7202" s="52" t="s">
        <v>25</v>
      </c>
      <c r="F7202" s="52" t="s">
        <v>26</v>
      </c>
      <c r="G7202" s="53"/>
    </row>
    <row r="7203">
      <c r="A7203" s="49">
        <v>45096.92815150463</v>
      </c>
      <c r="B7203" s="50">
        <v>45097.0531295023</v>
      </c>
      <c r="C7203" s="51">
        <v>1.005</v>
      </c>
      <c r="D7203" s="51">
        <v>70.0</v>
      </c>
      <c r="E7203" s="52" t="s">
        <v>25</v>
      </c>
      <c r="F7203" s="52" t="s">
        <v>26</v>
      </c>
      <c r="G7203" s="53"/>
    </row>
    <row r="7204">
      <c r="A7204" s="49">
        <v>45096.93857655092</v>
      </c>
      <c r="B7204" s="50">
        <v>45097.063551331</v>
      </c>
      <c r="C7204" s="51">
        <v>1.005</v>
      </c>
      <c r="D7204" s="51">
        <v>69.0</v>
      </c>
      <c r="E7204" s="52" t="s">
        <v>25</v>
      </c>
      <c r="F7204" s="52" t="s">
        <v>26</v>
      </c>
      <c r="G7204" s="53"/>
    </row>
    <row r="7205">
      <c r="A7205" s="49">
        <v>45096.949008993055</v>
      </c>
      <c r="B7205" s="50">
        <v>45097.0739739467</v>
      </c>
      <c r="C7205" s="51">
        <v>1.005</v>
      </c>
      <c r="D7205" s="51">
        <v>70.0</v>
      </c>
      <c r="E7205" s="52" t="s">
        <v>25</v>
      </c>
      <c r="F7205" s="52" t="s">
        <v>26</v>
      </c>
      <c r="G7205" s="53"/>
    </row>
    <row r="7206">
      <c r="A7206" s="49">
        <v>45096.959423622684</v>
      </c>
      <c r="B7206" s="50">
        <v>45097.0843962615</v>
      </c>
      <c r="C7206" s="51">
        <v>1.005</v>
      </c>
      <c r="D7206" s="51">
        <v>70.0</v>
      </c>
      <c r="E7206" s="52" t="s">
        <v>25</v>
      </c>
      <c r="F7206" s="52" t="s">
        <v>26</v>
      </c>
      <c r="G7206" s="53"/>
    </row>
    <row r="7207">
      <c r="A7207" s="49">
        <v>45096.969849375004</v>
      </c>
      <c r="B7207" s="50">
        <v>45097.0948194675</v>
      </c>
      <c r="C7207" s="51">
        <v>1.005</v>
      </c>
      <c r="D7207" s="51">
        <v>70.0</v>
      </c>
      <c r="E7207" s="52" t="s">
        <v>25</v>
      </c>
      <c r="F7207" s="52" t="s">
        <v>26</v>
      </c>
      <c r="G7207" s="53"/>
    </row>
    <row r="7208">
      <c r="A7208" s="49">
        <v>45096.980276585644</v>
      </c>
      <c r="B7208" s="50">
        <v>45097.1052529398</v>
      </c>
      <c r="C7208" s="51">
        <v>1.005</v>
      </c>
      <c r="D7208" s="51">
        <v>70.0</v>
      </c>
      <c r="E7208" s="52" t="s">
        <v>25</v>
      </c>
      <c r="F7208" s="52" t="s">
        <v>26</v>
      </c>
      <c r="G7208" s="53"/>
    </row>
    <row r="7209">
      <c r="A7209" s="49">
        <v>45096.99072239583</v>
      </c>
      <c r="B7209" s="50">
        <v>45097.1156973379</v>
      </c>
      <c r="C7209" s="51">
        <v>1.006</v>
      </c>
      <c r="D7209" s="51">
        <v>70.0</v>
      </c>
      <c r="E7209" s="52" t="s">
        <v>25</v>
      </c>
      <c r="F7209" s="52" t="s">
        <v>26</v>
      </c>
      <c r="G7209" s="53"/>
    </row>
    <row r="7210">
      <c r="A7210" s="49">
        <v>45097.001143738424</v>
      </c>
      <c r="B7210" s="50">
        <v>45097.126117743</v>
      </c>
      <c r="C7210" s="51">
        <v>1.005</v>
      </c>
      <c r="D7210" s="51">
        <v>70.0</v>
      </c>
      <c r="E7210" s="52" t="s">
        <v>25</v>
      </c>
      <c r="F7210" s="52" t="s">
        <v>26</v>
      </c>
      <c r="G7210" s="53"/>
    </row>
    <row r="7211">
      <c r="A7211" s="49">
        <v>45097.01158096065</v>
      </c>
      <c r="B7211" s="50">
        <v>45097.1365502893</v>
      </c>
      <c r="C7211" s="51">
        <v>1.005</v>
      </c>
      <c r="D7211" s="51">
        <v>69.0</v>
      </c>
      <c r="E7211" s="52" t="s">
        <v>25</v>
      </c>
      <c r="F7211" s="52" t="s">
        <v>26</v>
      </c>
      <c r="G7211" s="53"/>
    </row>
    <row r="7212">
      <c r="A7212" s="49">
        <v>45097.02199835648</v>
      </c>
      <c r="B7212" s="50">
        <v>45097.1469708333</v>
      </c>
      <c r="C7212" s="51">
        <v>1.005</v>
      </c>
      <c r="D7212" s="51">
        <v>70.0</v>
      </c>
      <c r="E7212" s="52" t="s">
        <v>25</v>
      </c>
      <c r="F7212" s="52" t="s">
        <v>26</v>
      </c>
      <c r="G7212" s="53"/>
    </row>
    <row r="7213">
      <c r="A7213" s="49">
        <v>45097.03241509259</v>
      </c>
      <c r="B7213" s="50">
        <v>45097.1573906828</v>
      </c>
      <c r="C7213" s="51">
        <v>1.005</v>
      </c>
      <c r="D7213" s="51">
        <v>70.0</v>
      </c>
      <c r="E7213" s="52" t="s">
        <v>25</v>
      </c>
      <c r="F7213" s="52" t="s">
        <v>26</v>
      </c>
      <c r="G7213" s="53"/>
    </row>
    <row r="7214">
      <c r="A7214" s="49">
        <v>45097.04283892361</v>
      </c>
      <c r="B7214" s="50">
        <v>45097.1678115162</v>
      </c>
      <c r="C7214" s="51">
        <v>1.005</v>
      </c>
      <c r="D7214" s="51">
        <v>70.0</v>
      </c>
      <c r="E7214" s="52" t="s">
        <v>25</v>
      </c>
      <c r="F7214" s="52" t="s">
        <v>26</v>
      </c>
      <c r="G7214" s="53"/>
    </row>
    <row r="7215">
      <c r="A7215" s="49">
        <v>45097.05325378472</v>
      </c>
      <c r="B7215" s="50">
        <v>45097.1782329051</v>
      </c>
      <c r="C7215" s="51">
        <v>1.005</v>
      </c>
      <c r="D7215" s="51">
        <v>70.0</v>
      </c>
      <c r="E7215" s="52" t="s">
        <v>25</v>
      </c>
      <c r="F7215" s="52" t="s">
        <v>26</v>
      </c>
      <c r="G7215" s="53"/>
    </row>
    <row r="7216">
      <c r="A7216" s="49">
        <v>45097.063687974536</v>
      </c>
      <c r="B7216" s="50">
        <v>45097.1886556134</v>
      </c>
      <c r="C7216" s="51">
        <v>1.005</v>
      </c>
      <c r="D7216" s="51">
        <v>70.0</v>
      </c>
      <c r="E7216" s="52" t="s">
        <v>25</v>
      </c>
      <c r="F7216" s="52" t="s">
        <v>26</v>
      </c>
      <c r="G7216" s="53"/>
    </row>
    <row r="7217">
      <c r="A7217" s="49">
        <v>45097.07410895833</v>
      </c>
      <c r="B7217" s="50">
        <v>45097.1990762963</v>
      </c>
      <c r="C7217" s="51">
        <v>1.005</v>
      </c>
      <c r="D7217" s="51">
        <v>70.0</v>
      </c>
      <c r="E7217" s="52" t="s">
        <v>25</v>
      </c>
      <c r="F7217" s="52" t="s">
        <v>26</v>
      </c>
      <c r="G7217" s="53"/>
    </row>
    <row r="7218">
      <c r="A7218" s="49">
        <v>45097.08452405092</v>
      </c>
      <c r="B7218" s="50">
        <v>45097.2094973263</v>
      </c>
      <c r="C7218" s="51">
        <v>1.005</v>
      </c>
      <c r="D7218" s="51">
        <v>70.0</v>
      </c>
      <c r="E7218" s="52" t="s">
        <v>25</v>
      </c>
      <c r="F7218" s="52" t="s">
        <v>26</v>
      </c>
      <c r="G7218" s="53"/>
    </row>
    <row r="7219">
      <c r="A7219" s="49">
        <v>45097.09494599537</v>
      </c>
      <c r="B7219" s="50">
        <v>45097.2199174884</v>
      </c>
      <c r="C7219" s="51">
        <v>1.005</v>
      </c>
      <c r="D7219" s="51">
        <v>70.0</v>
      </c>
      <c r="E7219" s="52" t="s">
        <v>25</v>
      </c>
      <c r="F7219" s="52" t="s">
        <v>26</v>
      </c>
      <c r="G7219" s="53"/>
    </row>
    <row r="7220">
      <c r="A7220" s="49">
        <v>45097.105384490744</v>
      </c>
      <c r="B7220" s="50">
        <v>45097.2303507176</v>
      </c>
      <c r="C7220" s="51">
        <v>1.005</v>
      </c>
      <c r="D7220" s="51">
        <v>70.0</v>
      </c>
      <c r="E7220" s="52" t="s">
        <v>25</v>
      </c>
      <c r="F7220" s="52" t="s">
        <v>26</v>
      </c>
      <c r="G7220" s="53"/>
    </row>
    <row r="7221">
      <c r="A7221" s="49">
        <v>45097.11582200231</v>
      </c>
      <c r="B7221" s="50">
        <v>45097.2407968055</v>
      </c>
      <c r="C7221" s="51">
        <v>1.005</v>
      </c>
      <c r="D7221" s="51">
        <v>70.0</v>
      </c>
      <c r="E7221" s="52" t="s">
        <v>25</v>
      </c>
      <c r="F7221" s="52" t="s">
        <v>26</v>
      </c>
      <c r="G7221" s="53"/>
    </row>
    <row r="7222">
      <c r="A7222" s="49">
        <v>45097.12624894676</v>
      </c>
      <c r="B7222" s="50">
        <v>45097.2512290509</v>
      </c>
      <c r="C7222" s="51">
        <v>1.005</v>
      </c>
      <c r="D7222" s="51">
        <v>70.0</v>
      </c>
      <c r="E7222" s="52" t="s">
        <v>25</v>
      </c>
      <c r="F7222" s="52" t="s">
        <v>26</v>
      </c>
      <c r="G7222" s="53"/>
    </row>
    <row r="7223">
      <c r="A7223" s="49">
        <v>45097.13668840278</v>
      </c>
      <c r="B7223" s="50">
        <v>45097.2616503009</v>
      </c>
      <c r="C7223" s="51">
        <v>1.005</v>
      </c>
      <c r="D7223" s="51">
        <v>70.0</v>
      </c>
      <c r="E7223" s="52" t="s">
        <v>25</v>
      </c>
      <c r="F7223" s="52" t="s">
        <v>26</v>
      </c>
      <c r="G7223" s="53"/>
    </row>
    <row r="7224">
      <c r="A7224" s="49">
        <v>45097.147098622685</v>
      </c>
      <c r="B7224" s="50">
        <v>45097.2720710416</v>
      </c>
      <c r="C7224" s="51">
        <v>1.005</v>
      </c>
      <c r="D7224" s="51">
        <v>70.0</v>
      </c>
      <c r="E7224" s="52" t="s">
        <v>25</v>
      </c>
      <c r="F7224" s="52" t="s">
        <v>26</v>
      </c>
      <c r="G7224" s="53"/>
    </row>
    <row r="7225">
      <c r="A7225" s="49">
        <v>45097.15752340278</v>
      </c>
      <c r="B7225" s="50">
        <v>45097.2825027083</v>
      </c>
      <c r="C7225" s="51">
        <v>1.005</v>
      </c>
      <c r="D7225" s="51">
        <v>70.0</v>
      </c>
      <c r="E7225" s="52" t="s">
        <v>25</v>
      </c>
      <c r="F7225" s="52" t="s">
        <v>26</v>
      </c>
      <c r="G7225" s="53"/>
    </row>
    <row r="7226">
      <c r="A7226" s="49">
        <v>45097.16795540509</v>
      </c>
      <c r="B7226" s="50">
        <v>45097.2929230555</v>
      </c>
      <c r="C7226" s="51">
        <v>1.005</v>
      </c>
      <c r="D7226" s="51">
        <v>70.0</v>
      </c>
      <c r="E7226" s="52" t="s">
        <v>25</v>
      </c>
      <c r="F7226" s="52" t="s">
        <v>26</v>
      </c>
      <c r="G7226" s="53"/>
    </row>
    <row r="7227">
      <c r="A7227" s="49">
        <v>45097.17840300926</v>
      </c>
      <c r="B7227" s="50">
        <v>45097.3033440972</v>
      </c>
      <c r="C7227" s="51">
        <v>1.005</v>
      </c>
      <c r="D7227" s="51">
        <v>70.0</v>
      </c>
      <c r="E7227" s="52" t="s">
        <v>25</v>
      </c>
      <c r="F7227" s="52" t="s">
        <v>26</v>
      </c>
      <c r="G7227" s="53"/>
    </row>
    <row r="7228">
      <c r="A7228" s="49">
        <v>45097.18880027778</v>
      </c>
      <c r="B7228" s="50">
        <v>45097.3137766088</v>
      </c>
      <c r="C7228" s="51">
        <v>1.005</v>
      </c>
      <c r="D7228" s="51">
        <v>70.0</v>
      </c>
      <c r="E7228" s="52" t="s">
        <v>25</v>
      </c>
      <c r="F7228" s="52" t="s">
        <v>26</v>
      </c>
      <c r="G7228" s="53"/>
    </row>
    <row r="7229">
      <c r="A7229" s="49">
        <v>45097.19924341435</v>
      </c>
      <c r="B7229" s="50">
        <v>45097.3242096296</v>
      </c>
      <c r="C7229" s="51">
        <v>1.005</v>
      </c>
      <c r="D7229" s="51">
        <v>70.0</v>
      </c>
      <c r="E7229" s="52" t="s">
        <v>25</v>
      </c>
      <c r="F7229" s="52" t="s">
        <v>26</v>
      </c>
      <c r="G7229" s="53"/>
    </row>
    <row r="7230">
      <c r="A7230" s="49">
        <v>45097.2096544213</v>
      </c>
      <c r="B7230" s="50">
        <v>45097.3346287384</v>
      </c>
      <c r="C7230" s="51">
        <v>1.005</v>
      </c>
      <c r="D7230" s="51">
        <v>70.0</v>
      </c>
      <c r="E7230" s="52" t="s">
        <v>25</v>
      </c>
      <c r="F7230" s="52" t="s">
        <v>26</v>
      </c>
      <c r="G7230" s="53"/>
    </row>
    <row r="7231">
      <c r="A7231" s="49">
        <v>45097.22009412037</v>
      </c>
      <c r="B7231" s="50">
        <v>45097.3450632523</v>
      </c>
      <c r="C7231" s="51">
        <v>1.005</v>
      </c>
      <c r="D7231" s="51">
        <v>70.0</v>
      </c>
      <c r="E7231" s="52" t="s">
        <v>25</v>
      </c>
      <c r="F7231" s="52" t="s">
        <v>26</v>
      </c>
      <c r="G7231" s="53"/>
    </row>
    <row r="7232">
      <c r="A7232" s="49">
        <v>45097.23050988426</v>
      </c>
      <c r="B7232" s="50">
        <v>45097.3554847685</v>
      </c>
      <c r="C7232" s="51">
        <v>1.005</v>
      </c>
      <c r="D7232" s="51">
        <v>70.0</v>
      </c>
      <c r="E7232" s="52" t="s">
        <v>25</v>
      </c>
      <c r="F7232" s="52" t="s">
        <v>26</v>
      </c>
      <c r="G7232" s="53"/>
    </row>
    <row r="7233">
      <c r="A7233" s="49">
        <v>45097.24095582176</v>
      </c>
      <c r="B7233" s="50">
        <v>45097.3659279861</v>
      </c>
      <c r="C7233" s="51">
        <v>1.005</v>
      </c>
      <c r="D7233" s="51">
        <v>70.0</v>
      </c>
      <c r="E7233" s="52" t="s">
        <v>25</v>
      </c>
      <c r="F7233" s="52" t="s">
        <v>26</v>
      </c>
      <c r="G7233" s="53"/>
    </row>
    <row r="7234">
      <c r="A7234" s="49">
        <v>45097.251416354164</v>
      </c>
      <c r="B7234" s="50">
        <v>45097.3763831828</v>
      </c>
      <c r="C7234" s="51">
        <v>1.005</v>
      </c>
      <c r="D7234" s="51">
        <v>70.0</v>
      </c>
      <c r="E7234" s="52" t="s">
        <v>25</v>
      </c>
      <c r="F7234" s="52" t="s">
        <v>26</v>
      </c>
      <c r="G7234" s="53"/>
    </row>
    <row r="7235">
      <c r="A7235" s="49">
        <v>45097.26183869213</v>
      </c>
      <c r="B7235" s="50">
        <v>45097.3868045949</v>
      </c>
      <c r="C7235" s="51">
        <v>1.005</v>
      </c>
      <c r="D7235" s="51">
        <v>70.0</v>
      </c>
      <c r="E7235" s="52" t="s">
        <v>25</v>
      </c>
      <c r="F7235" s="52" t="s">
        <v>26</v>
      </c>
      <c r="G7235" s="53"/>
    </row>
    <row r="7236">
      <c r="A7236" s="49">
        <v>45097.272256655095</v>
      </c>
      <c r="B7236" s="50">
        <v>45097.3972252083</v>
      </c>
      <c r="C7236" s="51">
        <v>1.005</v>
      </c>
      <c r="D7236" s="51">
        <v>70.0</v>
      </c>
      <c r="E7236" s="52" t="s">
        <v>25</v>
      </c>
      <c r="F7236" s="52" t="s">
        <v>26</v>
      </c>
      <c r="G7236" s="53"/>
    </row>
    <row r="7237">
      <c r="A7237" s="49">
        <v>45097.28267771991</v>
      </c>
      <c r="B7237" s="50">
        <v>45097.4076462152</v>
      </c>
      <c r="C7237" s="51">
        <v>1.005</v>
      </c>
      <c r="D7237" s="51">
        <v>70.0</v>
      </c>
      <c r="E7237" s="52" t="s">
        <v>25</v>
      </c>
      <c r="F7237" s="52" t="s">
        <v>26</v>
      </c>
      <c r="G7237" s="53"/>
    </row>
    <row r="7238">
      <c r="A7238" s="49">
        <v>45097.29309708333</v>
      </c>
      <c r="B7238" s="50">
        <v>45097.4180661458</v>
      </c>
      <c r="C7238" s="51">
        <v>1.005</v>
      </c>
      <c r="D7238" s="51">
        <v>70.0</v>
      </c>
      <c r="E7238" s="52" t="s">
        <v>25</v>
      </c>
      <c r="F7238" s="52" t="s">
        <v>26</v>
      </c>
      <c r="G7238" s="53"/>
    </row>
    <row r="7239">
      <c r="A7239" s="49">
        <v>45097.303534039354</v>
      </c>
      <c r="B7239" s="50">
        <v>45097.4284994907</v>
      </c>
      <c r="C7239" s="51">
        <v>1.005</v>
      </c>
      <c r="D7239" s="51">
        <v>70.0</v>
      </c>
      <c r="E7239" s="52" t="s">
        <v>25</v>
      </c>
      <c r="F7239" s="52" t="s">
        <v>26</v>
      </c>
      <c r="G7239" s="53"/>
    </row>
    <row r="7240">
      <c r="A7240" s="49">
        <v>45097.31395048611</v>
      </c>
      <c r="B7240" s="50">
        <v>45097.438920625</v>
      </c>
      <c r="C7240" s="51">
        <v>1.005</v>
      </c>
      <c r="D7240" s="51">
        <v>70.0</v>
      </c>
      <c r="E7240" s="52" t="s">
        <v>25</v>
      </c>
      <c r="F7240" s="52" t="s">
        <v>26</v>
      </c>
      <c r="G7240" s="53"/>
    </row>
    <row r="7241">
      <c r="A7241" s="49">
        <v>45097.324383217594</v>
      </c>
      <c r="B7241" s="50">
        <v>45097.4493542245</v>
      </c>
      <c r="C7241" s="51">
        <v>1.005</v>
      </c>
      <c r="D7241" s="51">
        <v>70.0</v>
      </c>
      <c r="E7241" s="52" t="s">
        <v>25</v>
      </c>
      <c r="F7241" s="52" t="s">
        <v>26</v>
      </c>
      <c r="G7241" s="53"/>
    </row>
    <row r="7242">
      <c r="A7242" s="49">
        <v>45097.33481539352</v>
      </c>
      <c r="B7242" s="50">
        <v>45097.4597860185</v>
      </c>
      <c r="C7242" s="51">
        <v>1.005</v>
      </c>
      <c r="D7242" s="51">
        <v>70.0</v>
      </c>
      <c r="E7242" s="52" t="s">
        <v>25</v>
      </c>
      <c r="F7242" s="52" t="s">
        <v>26</v>
      </c>
      <c r="G7242" s="53"/>
    </row>
    <row r="7243">
      <c r="A7243" s="49">
        <v>45097.3452575</v>
      </c>
      <c r="B7243" s="50">
        <v>45097.4702188657</v>
      </c>
      <c r="C7243" s="51">
        <v>1.005</v>
      </c>
      <c r="D7243" s="51">
        <v>70.0</v>
      </c>
      <c r="E7243" s="52" t="s">
        <v>25</v>
      </c>
      <c r="F7243" s="52" t="s">
        <v>26</v>
      </c>
      <c r="G7243" s="53"/>
    </row>
    <row r="7244">
      <c r="A7244" s="49">
        <v>45097.35567291667</v>
      </c>
      <c r="B7244" s="50">
        <v>45097.4806407523</v>
      </c>
      <c r="C7244" s="51">
        <v>1.005</v>
      </c>
      <c r="D7244" s="51">
        <v>70.0</v>
      </c>
      <c r="E7244" s="52" t="s">
        <v>25</v>
      </c>
      <c r="F7244" s="52" t="s">
        <v>26</v>
      </c>
      <c r="G7244" s="53"/>
    </row>
    <row r="7245">
      <c r="A7245" s="49">
        <v>45097.36608797454</v>
      </c>
      <c r="B7245" s="50">
        <v>45097.4910611458</v>
      </c>
      <c r="C7245" s="51">
        <v>1.005</v>
      </c>
      <c r="D7245" s="51">
        <v>70.0</v>
      </c>
      <c r="E7245" s="52" t="s">
        <v>25</v>
      </c>
      <c r="F7245" s="52" t="s">
        <v>26</v>
      </c>
      <c r="G7245" s="53"/>
    </row>
    <row r="7246">
      <c r="A7246" s="49">
        <v>45097.376518310186</v>
      </c>
      <c r="B7246" s="50">
        <v>45097.5014922916</v>
      </c>
      <c r="C7246" s="51">
        <v>1.005</v>
      </c>
      <c r="D7246" s="51">
        <v>70.0</v>
      </c>
      <c r="E7246" s="52" t="s">
        <v>25</v>
      </c>
      <c r="F7246" s="52" t="s">
        <v>26</v>
      </c>
      <c r="G7246" s="53"/>
    </row>
    <row r="7247">
      <c r="A7247" s="49">
        <v>45097.386947997686</v>
      </c>
      <c r="B7247" s="50">
        <v>45097.5119132523</v>
      </c>
      <c r="C7247" s="51">
        <v>1.005</v>
      </c>
      <c r="D7247" s="51">
        <v>70.0</v>
      </c>
      <c r="E7247" s="52" t="s">
        <v>25</v>
      </c>
      <c r="F7247" s="52" t="s">
        <v>26</v>
      </c>
      <c r="G7247" s="53"/>
    </row>
    <row r="7248">
      <c r="A7248" s="49">
        <v>45097.39736209491</v>
      </c>
      <c r="B7248" s="50">
        <v>45097.5223345138</v>
      </c>
      <c r="C7248" s="51">
        <v>1.005</v>
      </c>
      <c r="D7248" s="51">
        <v>70.0</v>
      </c>
      <c r="E7248" s="52" t="s">
        <v>25</v>
      </c>
      <c r="F7248" s="52" t="s">
        <v>26</v>
      </c>
      <c r="G7248" s="53"/>
    </row>
    <row r="7249">
      <c r="A7249" s="49">
        <v>45097.40778728009</v>
      </c>
      <c r="B7249" s="50">
        <v>45097.5327555324</v>
      </c>
      <c r="C7249" s="51">
        <v>1.005</v>
      </c>
      <c r="D7249" s="51">
        <v>70.0</v>
      </c>
      <c r="E7249" s="52" t="s">
        <v>25</v>
      </c>
      <c r="F7249" s="52" t="s">
        <v>26</v>
      </c>
      <c r="G7249" s="53"/>
    </row>
    <row r="7250">
      <c r="A7250" s="49">
        <v>45097.41822247685</v>
      </c>
      <c r="B7250" s="50">
        <v>45097.543186574</v>
      </c>
      <c r="C7250" s="51">
        <v>1.005</v>
      </c>
      <c r="D7250" s="51">
        <v>70.0</v>
      </c>
      <c r="E7250" s="52" t="s">
        <v>25</v>
      </c>
      <c r="F7250" s="52" t="s">
        <v>26</v>
      </c>
      <c r="G7250" s="53"/>
    </row>
    <row r="7251">
      <c r="A7251" s="49">
        <v>45097.42864158565</v>
      </c>
      <c r="B7251" s="50">
        <v>45097.5536087152</v>
      </c>
      <c r="C7251" s="51">
        <v>1.005</v>
      </c>
      <c r="D7251" s="51">
        <v>70.0</v>
      </c>
      <c r="E7251" s="52" t="s">
        <v>25</v>
      </c>
      <c r="F7251" s="52" t="s">
        <v>26</v>
      </c>
      <c r="G7251" s="53"/>
    </row>
    <row r="7252">
      <c r="A7252" s="49">
        <v>45097.439078842595</v>
      </c>
      <c r="B7252" s="50">
        <v>45097.5640424074</v>
      </c>
      <c r="C7252" s="51">
        <v>1.005</v>
      </c>
      <c r="D7252" s="51">
        <v>70.0</v>
      </c>
      <c r="E7252" s="52" t="s">
        <v>25</v>
      </c>
      <c r="F7252" s="52" t="s">
        <v>26</v>
      </c>
      <c r="G7252" s="53"/>
    </row>
    <row r="7253">
      <c r="A7253" s="49">
        <v>45097.44949679398</v>
      </c>
      <c r="B7253" s="50">
        <v>45097.5744638888</v>
      </c>
      <c r="C7253" s="51">
        <v>1.005</v>
      </c>
      <c r="D7253" s="51">
        <v>70.0</v>
      </c>
      <c r="E7253" s="52" t="s">
        <v>25</v>
      </c>
      <c r="F7253" s="52" t="s">
        <v>26</v>
      </c>
      <c r="G7253" s="53"/>
    </row>
    <row r="7254">
      <c r="A7254" s="49">
        <v>45097.45991534722</v>
      </c>
      <c r="B7254" s="50">
        <v>45097.5848837268</v>
      </c>
      <c r="C7254" s="51">
        <v>1.005</v>
      </c>
      <c r="D7254" s="51">
        <v>70.0</v>
      </c>
      <c r="E7254" s="52" t="s">
        <v>25</v>
      </c>
      <c r="F7254" s="52" t="s">
        <v>26</v>
      </c>
      <c r="G7254" s="53"/>
    </row>
    <row r="7255">
      <c r="A7255" s="49">
        <v>45097.47033134259</v>
      </c>
      <c r="B7255" s="50">
        <v>45097.59530478</v>
      </c>
      <c r="C7255" s="51">
        <v>1.005</v>
      </c>
      <c r="D7255" s="51">
        <v>70.0</v>
      </c>
      <c r="E7255" s="52" t="s">
        <v>25</v>
      </c>
      <c r="F7255" s="52" t="s">
        <v>26</v>
      </c>
      <c r="G7255" s="53"/>
    </row>
    <row r="7256">
      <c r="A7256" s="49">
        <v>45097.48076835649</v>
      </c>
      <c r="B7256" s="50">
        <v>45097.6057254282</v>
      </c>
      <c r="C7256" s="51">
        <v>1.005</v>
      </c>
      <c r="D7256" s="51">
        <v>70.0</v>
      </c>
      <c r="E7256" s="52" t="s">
        <v>25</v>
      </c>
      <c r="F7256" s="52" t="s">
        <v>26</v>
      </c>
      <c r="G7256" s="53"/>
    </row>
    <row r="7257">
      <c r="A7257" s="49">
        <v>45097.49119053241</v>
      </c>
      <c r="B7257" s="50">
        <v>45097.6161576273</v>
      </c>
      <c r="C7257" s="51">
        <v>1.005</v>
      </c>
      <c r="D7257" s="51">
        <v>70.0</v>
      </c>
      <c r="E7257" s="52" t="s">
        <v>25</v>
      </c>
      <c r="F7257" s="52" t="s">
        <v>26</v>
      </c>
      <c r="G7257" s="53"/>
    </row>
    <row r="7258">
      <c r="A7258" s="49">
        <v>45097.5016071875</v>
      </c>
      <c r="B7258" s="50">
        <v>45097.6265787268</v>
      </c>
      <c r="C7258" s="51">
        <v>1.005</v>
      </c>
      <c r="D7258" s="51">
        <v>70.0</v>
      </c>
      <c r="E7258" s="52" t="s">
        <v>25</v>
      </c>
      <c r="F7258" s="52" t="s">
        <v>26</v>
      </c>
      <c r="G7258" s="53"/>
    </row>
    <row r="7259">
      <c r="A7259" s="49">
        <v>45097.51203005787</v>
      </c>
      <c r="B7259" s="50">
        <v>45097.6369992824</v>
      </c>
      <c r="C7259" s="51">
        <v>1.005</v>
      </c>
      <c r="D7259" s="51">
        <v>70.0</v>
      </c>
      <c r="E7259" s="52" t="s">
        <v>25</v>
      </c>
      <c r="F7259" s="52" t="s">
        <v>26</v>
      </c>
      <c r="G7259" s="53"/>
    </row>
    <row r="7260">
      <c r="A7260" s="49">
        <v>45097.52245322916</v>
      </c>
      <c r="B7260" s="50">
        <v>45097.647420787</v>
      </c>
      <c r="C7260" s="51">
        <v>1.005</v>
      </c>
      <c r="D7260" s="51">
        <v>70.0</v>
      </c>
      <c r="E7260" s="52" t="s">
        <v>25</v>
      </c>
      <c r="F7260" s="52" t="s">
        <v>26</v>
      </c>
      <c r="G7260" s="53"/>
    </row>
    <row r="7261">
      <c r="A7261" s="49">
        <v>45097.53289162037</v>
      </c>
      <c r="B7261" s="50">
        <v>45097.6578533449</v>
      </c>
      <c r="C7261" s="51">
        <v>1.005</v>
      </c>
      <c r="D7261" s="51">
        <v>70.0</v>
      </c>
      <c r="E7261" s="52" t="s">
        <v>25</v>
      </c>
      <c r="F7261" s="52" t="s">
        <v>26</v>
      </c>
      <c r="G7261" s="53"/>
    </row>
    <row r="7262">
      <c r="A7262" s="49">
        <v>45097.54329984954</v>
      </c>
      <c r="B7262" s="50">
        <v>45097.668272824</v>
      </c>
      <c r="C7262" s="51">
        <v>1.005</v>
      </c>
      <c r="D7262" s="51">
        <v>70.0</v>
      </c>
      <c r="E7262" s="52" t="s">
        <v>25</v>
      </c>
      <c r="F7262" s="52" t="s">
        <v>26</v>
      </c>
      <c r="G7262" s="53"/>
    </row>
    <row r="7263">
      <c r="A7263" s="49">
        <v>45097.55372429398</v>
      </c>
      <c r="B7263" s="50">
        <v>45097.6786960995</v>
      </c>
      <c r="C7263" s="51">
        <v>1.005</v>
      </c>
      <c r="D7263" s="51">
        <v>70.0</v>
      </c>
      <c r="E7263" s="52" t="s">
        <v>25</v>
      </c>
      <c r="F7263" s="52" t="s">
        <v>26</v>
      </c>
      <c r="G7263" s="53"/>
    </row>
    <row r="7264">
      <c r="A7264" s="49">
        <v>45097.564158402776</v>
      </c>
      <c r="B7264" s="50">
        <v>45097.6891289236</v>
      </c>
      <c r="C7264" s="51">
        <v>1.005</v>
      </c>
      <c r="D7264" s="51">
        <v>70.0</v>
      </c>
      <c r="E7264" s="52" t="s">
        <v>25</v>
      </c>
      <c r="F7264" s="52" t="s">
        <v>26</v>
      </c>
      <c r="G7264" s="53"/>
    </row>
    <row r="7265">
      <c r="A7265" s="49">
        <v>45097.57461688657</v>
      </c>
      <c r="B7265" s="50">
        <v>45097.6995848263</v>
      </c>
      <c r="C7265" s="51">
        <v>1.005</v>
      </c>
      <c r="D7265" s="51">
        <v>70.0</v>
      </c>
      <c r="E7265" s="52" t="s">
        <v>25</v>
      </c>
      <c r="F7265" s="52" t="s">
        <v>26</v>
      </c>
      <c r="G7265" s="53"/>
    </row>
    <row r="7266">
      <c r="A7266" s="49">
        <v>45097.58503986111</v>
      </c>
      <c r="B7266" s="50">
        <v>45097.7100060532</v>
      </c>
      <c r="C7266" s="51">
        <v>1.005</v>
      </c>
      <c r="D7266" s="51">
        <v>70.0</v>
      </c>
      <c r="E7266" s="52" t="s">
        <v>25</v>
      </c>
      <c r="F7266" s="52" t="s">
        <v>26</v>
      </c>
      <c r="G7266" s="53"/>
    </row>
    <row r="7267">
      <c r="A7267" s="49">
        <v>45097.59547053241</v>
      </c>
      <c r="B7267" s="50">
        <v>45097.7204395833</v>
      </c>
      <c r="C7267" s="51">
        <v>1.005</v>
      </c>
      <c r="D7267" s="51">
        <v>70.0</v>
      </c>
      <c r="E7267" s="52" t="s">
        <v>25</v>
      </c>
      <c r="F7267" s="52" t="s">
        <v>26</v>
      </c>
      <c r="G7267" s="53"/>
    </row>
    <row r="7268">
      <c r="A7268" s="49">
        <v>45097.60589486111</v>
      </c>
      <c r="B7268" s="50">
        <v>45097.7308607407</v>
      </c>
      <c r="C7268" s="51">
        <v>1.005</v>
      </c>
      <c r="D7268" s="51">
        <v>70.0</v>
      </c>
      <c r="E7268" s="52" t="s">
        <v>25</v>
      </c>
      <c r="F7268" s="52" t="s">
        <v>26</v>
      </c>
      <c r="G7268" s="53"/>
    </row>
    <row r="7269">
      <c r="A7269" s="49">
        <v>45097.61631626157</v>
      </c>
      <c r="B7269" s="50">
        <v>45097.7412815972</v>
      </c>
      <c r="C7269" s="51">
        <v>1.005</v>
      </c>
      <c r="D7269" s="51">
        <v>70.0</v>
      </c>
      <c r="E7269" s="52" t="s">
        <v>25</v>
      </c>
      <c r="F7269" s="52" t="s">
        <v>26</v>
      </c>
      <c r="G7269" s="53"/>
    </row>
    <row r="7270">
      <c r="A7270" s="49">
        <v>45097.626725486116</v>
      </c>
      <c r="B7270" s="50">
        <v>45097.7517017361</v>
      </c>
      <c r="C7270" s="51">
        <v>1.005</v>
      </c>
      <c r="D7270" s="51">
        <v>70.0</v>
      </c>
      <c r="E7270" s="52" t="s">
        <v>25</v>
      </c>
      <c r="F7270" s="52" t="s">
        <v>26</v>
      </c>
      <c r="G7270" s="53"/>
    </row>
    <row r="7271">
      <c r="A7271" s="49">
        <v>45097.63715618056</v>
      </c>
      <c r="B7271" s="50">
        <v>45097.7621216666</v>
      </c>
      <c r="C7271" s="51">
        <v>1.005</v>
      </c>
      <c r="D7271" s="51">
        <v>70.0</v>
      </c>
      <c r="E7271" s="52" t="s">
        <v>25</v>
      </c>
      <c r="F7271" s="52" t="s">
        <v>26</v>
      </c>
      <c r="G7271" s="53"/>
    </row>
    <row r="7272">
      <c r="A7272" s="49">
        <v>45097.647586817126</v>
      </c>
      <c r="B7272" s="50">
        <v>45097.7725527314</v>
      </c>
      <c r="C7272" s="51">
        <v>1.005</v>
      </c>
      <c r="D7272" s="51">
        <v>70.0</v>
      </c>
      <c r="E7272" s="52" t="s">
        <v>25</v>
      </c>
      <c r="F7272" s="52" t="s">
        <v>26</v>
      </c>
      <c r="G7272" s="53"/>
    </row>
    <row r="7273">
      <c r="A7273" s="49">
        <v>45097.65801292824</v>
      </c>
      <c r="B7273" s="50">
        <v>45097.7829724768</v>
      </c>
      <c r="C7273" s="51">
        <v>1.005</v>
      </c>
      <c r="D7273" s="51">
        <v>70.0</v>
      </c>
      <c r="E7273" s="52" t="s">
        <v>25</v>
      </c>
      <c r="F7273" s="52" t="s">
        <v>26</v>
      </c>
      <c r="G7273" s="53"/>
    </row>
    <row r="7274">
      <c r="A7274" s="49">
        <v>45097.66843423611</v>
      </c>
      <c r="B7274" s="50">
        <v>45097.793405949</v>
      </c>
      <c r="C7274" s="51">
        <v>1.005</v>
      </c>
      <c r="D7274" s="51">
        <v>70.0</v>
      </c>
      <c r="E7274" s="52" t="s">
        <v>25</v>
      </c>
      <c r="F7274" s="52" t="s">
        <v>26</v>
      </c>
      <c r="G7274" s="53"/>
    </row>
    <row r="7275">
      <c r="A7275" s="49">
        <v>45097.678855289356</v>
      </c>
      <c r="B7275" s="50">
        <v>45097.8038272222</v>
      </c>
      <c r="C7275" s="51">
        <v>1.005</v>
      </c>
      <c r="D7275" s="51">
        <v>70.0</v>
      </c>
      <c r="E7275" s="52" t="s">
        <v>25</v>
      </c>
      <c r="F7275" s="52" t="s">
        <v>26</v>
      </c>
      <c r="G7275" s="53"/>
    </row>
    <row r="7276">
      <c r="A7276" s="49">
        <v>45097.689282604166</v>
      </c>
      <c r="B7276" s="50">
        <v>45097.8142602546</v>
      </c>
      <c r="C7276" s="51">
        <v>1.005</v>
      </c>
      <c r="D7276" s="51">
        <v>70.0</v>
      </c>
      <c r="E7276" s="52" t="s">
        <v>25</v>
      </c>
      <c r="F7276" s="52" t="s">
        <v>26</v>
      </c>
      <c r="G7276" s="53"/>
    </row>
    <row r="7277">
      <c r="A7277" s="49">
        <v>45097.69972758101</v>
      </c>
      <c r="B7277" s="50">
        <v>45097.824706655</v>
      </c>
      <c r="C7277" s="51">
        <v>1.005</v>
      </c>
      <c r="D7277" s="51">
        <v>70.0</v>
      </c>
      <c r="E7277" s="52" t="s">
        <v>25</v>
      </c>
      <c r="F7277" s="52" t="s">
        <v>26</v>
      </c>
      <c r="G7277" s="53"/>
    </row>
    <row r="7278">
      <c r="A7278" s="49">
        <v>45097.710153101856</v>
      </c>
      <c r="B7278" s="50">
        <v>45097.8351283796</v>
      </c>
      <c r="C7278" s="51">
        <v>1.005</v>
      </c>
      <c r="D7278" s="51">
        <v>70.0</v>
      </c>
      <c r="E7278" s="52" t="s">
        <v>25</v>
      </c>
      <c r="F7278" s="52" t="s">
        <v>26</v>
      </c>
      <c r="G7278" s="53"/>
    </row>
    <row r="7279">
      <c r="A7279" s="49">
        <v>45097.720582361115</v>
      </c>
      <c r="B7279" s="50">
        <v>45097.8455477546</v>
      </c>
      <c r="C7279" s="51">
        <v>1.005</v>
      </c>
      <c r="D7279" s="51">
        <v>70.0</v>
      </c>
      <c r="E7279" s="52" t="s">
        <v>25</v>
      </c>
      <c r="F7279" s="52" t="s">
        <v>26</v>
      </c>
      <c r="G7279" s="53"/>
    </row>
    <row r="7280">
      <c r="A7280" s="49">
        <v>45097.73098759259</v>
      </c>
      <c r="B7280" s="50">
        <v>45097.8559686342</v>
      </c>
      <c r="C7280" s="51">
        <v>1.005</v>
      </c>
      <c r="D7280" s="51">
        <v>70.0</v>
      </c>
      <c r="E7280" s="52" t="s">
        <v>25</v>
      </c>
      <c r="F7280" s="52" t="s">
        <v>26</v>
      </c>
      <c r="G7280" s="53"/>
    </row>
    <row r="7281">
      <c r="A7281" s="49">
        <v>45097.74143204861</v>
      </c>
      <c r="B7281" s="50">
        <v>45097.8664011921</v>
      </c>
      <c r="C7281" s="51">
        <v>1.005</v>
      </c>
      <c r="D7281" s="51">
        <v>70.0</v>
      </c>
      <c r="E7281" s="52" t="s">
        <v>25</v>
      </c>
      <c r="F7281" s="52" t="s">
        <v>26</v>
      </c>
      <c r="G7281" s="53"/>
    </row>
    <row r="7282">
      <c r="A7282" s="49">
        <v>45097.75185197916</v>
      </c>
      <c r="B7282" s="50">
        <v>45097.8768208564</v>
      </c>
      <c r="C7282" s="51">
        <v>1.005</v>
      </c>
      <c r="D7282" s="51">
        <v>70.0</v>
      </c>
      <c r="E7282" s="52" t="s">
        <v>25</v>
      </c>
      <c r="F7282" s="52" t="s">
        <v>26</v>
      </c>
      <c r="G7282" s="53"/>
    </row>
    <row r="7283">
      <c r="A7283" s="49">
        <v>45097.76226982639</v>
      </c>
      <c r="B7283" s="50">
        <v>45097.8872427546</v>
      </c>
      <c r="C7283" s="51">
        <v>1.005</v>
      </c>
      <c r="D7283" s="51">
        <v>70.0</v>
      </c>
      <c r="E7283" s="52" t="s">
        <v>25</v>
      </c>
      <c r="F7283" s="52" t="s">
        <v>26</v>
      </c>
      <c r="G7283" s="53"/>
    </row>
    <row r="7284">
      <c r="A7284" s="49">
        <v>45097.7726903125</v>
      </c>
      <c r="B7284" s="50">
        <v>45097.8976625115</v>
      </c>
      <c r="C7284" s="51">
        <v>1.005</v>
      </c>
      <c r="D7284" s="51">
        <v>70.0</v>
      </c>
      <c r="E7284" s="52" t="s">
        <v>25</v>
      </c>
      <c r="F7284" s="52" t="s">
        <v>26</v>
      </c>
      <c r="G7284" s="53"/>
    </row>
    <row r="7285">
      <c r="A7285" s="49">
        <v>45097.7831121875</v>
      </c>
      <c r="B7285" s="50">
        <v>45097.9080834838</v>
      </c>
      <c r="C7285" s="51">
        <v>1.005</v>
      </c>
      <c r="D7285" s="51">
        <v>70.0</v>
      </c>
      <c r="E7285" s="52" t="s">
        <v>25</v>
      </c>
      <c r="F7285" s="52" t="s">
        <v>26</v>
      </c>
      <c r="G7285" s="53"/>
    </row>
    <row r="7286">
      <c r="A7286" s="49">
        <v>45097.79354261574</v>
      </c>
      <c r="B7286" s="50">
        <v>45097.9185156944</v>
      </c>
      <c r="C7286" s="51">
        <v>1.005</v>
      </c>
      <c r="D7286" s="51">
        <v>70.0</v>
      </c>
      <c r="E7286" s="52" t="s">
        <v>25</v>
      </c>
      <c r="F7286" s="52" t="s">
        <v>26</v>
      </c>
      <c r="G7286" s="53"/>
    </row>
    <row r="7287">
      <c r="A7287" s="49">
        <v>45097.803961620375</v>
      </c>
      <c r="B7287" s="50">
        <v>45097.9289385185</v>
      </c>
      <c r="C7287" s="51">
        <v>1.005</v>
      </c>
      <c r="D7287" s="51">
        <v>70.0</v>
      </c>
      <c r="E7287" s="52" t="s">
        <v>25</v>
      </c>
      <c r="F7287" s="52" t="s">
        <v>26</v>
      </c>
      <c r="G7287" s="53"/>
    </row>
    <row r="7288">
      <c r="A7288" s="49">
        <v>45097.814390520834</v>
      </c>
      <c r="B7288" s="50">
        <v>45097.9393595023</v>
      </c>
      <c r="C7288" s="51">
        <v>1.005</v>
      </c>
      <c r="D7288" s="51">
        <v>70.0</v>
      </c>
      <c r="E7288" s="52" t="s">
        <v>25</v>
      </c>
      <c r="F7288" s="52" t="s">
        <v>26</v>
      </c>
      <c r="G7288" s="53"/>
    </row>
    <row r="7289">
      <c r="A7289" s="49">
        <v>45097.82480728009</v>
      </c>
      <c r="B7289" s="50">
        <v>45097.9497793634</v>
      </c>
      <c r="C7289" s="51">
        <v>1.005</v>
      </c>
      <c r="D7289" s="51">
        <v>70.0</v>
      </c>
      <c r="E7289" s="52" t="s">
        <v>25</v>
      </c>
      <c r="F7289" s="52" t="s">
        <v>26</v>
      </c>
      <c r="G7289" s="53"/>
    </row>
    <row r="7290">
      <c r="A7290" s="49">
        <v>45097.83522260417</v>
      </c>
      <c r="B7290" s="50">
        <v>45097.9601991088</v>
      </c>
      <c r="C7290" s="51">
        <v>1.005</v>
      </c>
      <c r="D7290" s="51">
        <v>70.0</v>
      </c>
      <c r="E7290" s="52" t="s">
        <v>25</v>
      </c>
      <c r="F7290" s="52" t="s">
        <v>26</v>
      </c>
      <c r="G7290" s="53"/>
    </row>
    <row r="7291">
      <c r="A7291" s="49">
        <v>45097.84565644676</v>
      </c>
      <c r="B7291" s="50">
        <v>45097.9706314583</v>
      </c>
      <c r="C7291" s="51">
        <v>1.005</v>
      </c>
      <c r="D7291" s="51">
        <v>70.0</v>
      </c>
      <c r="E7291" s="52" t="s">
        <v>25</v>
      </c>
      <c r="F7291" s="52" t="s">
        <v>26</v>
      </c>
      <c r="G7291" s="53"/>
    </row>
    <row r="7292">
      <c r="A7292" s="49">
        <v>45097.8560730787</v>
      </c>
      <c r="B7292" s="50">
        <v>45097.9810523148</v>
      </c>
      <c r="C7292" s="51">
        <v>1.005</v>
      </c>
      <c r="D7292" s="51">
        <v>70.0</v>
      </c>
      <c r="E7292" s="52" t="s">
        <v>25</v>
      </c>
      <c r="F7292" s="52" t="s">
        <v>26</v>
      </c>
      <c r="G7292" s="53"/>
    </row>
    <row r="7293">
      <c r="A7293" s="49">
        <v>45097.86650266204</v>
      </c>
      <c r="B7293" s="50">
        <v>45097.9914731713</v>
      </c>
      <c r="C7293" s="51">
        <v>1.005</v>
      </c>
      <c r="D7293" s="51">
        <v>70.0</v>
      </c>
      <c r="E7293" s="52" t="s">
        <v>25</v>
      </c>
      <c r="F7293" s="52" t="s">
        <v>26</v>
      </c>
      <c r="G7293" s="53"/>
    </row>
    <row r="7294">
      <c r="A7294" s="49">
        <v>45097.87692293982</v>
      </c>
      <c r="B7294" s="50">
        <v>45098.0018930092</v>
      </c>
      <c r="C7294" s="51">
        <v>1.005</v>
      </c>
      <c r="D7294" s="51">
        <v>70.0</v>
      </c>
      <c r="E7294" s="52" t="s">
        <v>25</v>
      </c>
      <c r="F7294" s="52" t="s">
        <v>26</v>
      </c>
      <c r="G7294" s="53"/>
    </row>
    <row r="7295">
      <c r="A7295" s="49">
        <v>45097.88733423611</v>
      </c>
      <c r="B7295" s="50">
        <v>45098.0123141319</v>
      </c>
      <c r="C7295" s="51">
        <v>1.005</v>
      </c>
      <c r="D7295" s="51">
        <v>70.0</v>
      </c>
      <c r="E7295" s="52" t="s">
        <v>25</v>
      </c>
      <c r="F7295" s="52" t="s">
        <v>26</v>
      </c>
      <c r="G7295" s="53"/>
    </row>
    <row r="7296">
      <c r="A7296" s="49">
        <v>45097.89777027778</v>
      </c>
      <c r="B7296" s="50">
        <v>45098.0227347685</v>
      </c>
      <c r="C7296" s="51">
        <v>1.005</v>
      </c>
      <c r="D7296" s="51">
        <v>70.0</v>
      </c>
      <c r="E7296" s="52" t="s">
        <v>25</v>
      </c>
      <c r="F7296" s="52" t="s">
        <v>26</v>
      </c>
      <c r="G7296" s="53"/>
    </row>
    <row r="7297">
      <c r="A7297" s="49">
        <v>45097.908179791666</v>
      </c>
      <c r="B7297" s="50">
        <v>45098.0331573032</v>
      </c>
      <c r="C7297" s="51">
        <v>1.005</v>
      </c>
      <c r="D7297" s="51">
        <v>70.0</v>
      </c>
      <c r="E7297" s="52" t="s">
        <v>25</v>
      </c>
      <c r="F7297" s="52" t="s">
        <v>26</v>
      </c>
      <c r="G7297" s="53"/>
    </row>
    <row r="7298">
      <c r="A7298" s="49">
        <v>45097.918610486115</v>
      </c>
      <c r="B7298" s="50">
        <v>45098.0435766782</v>
      </c>
      <c r="C7298" s="51">
        <v>1.005</v>
      </c>
      <c r="D7298" s="51">
        <v>70.0</v>
      </c>
      <c r="E7298" s="52" t="s">
        <v>25</v>
      </c>
      <c r="F7298" s="52" t="s">
        <v>26</v>
      </c>
      <c r="G7298" s="53"/>
    </row>
    <row r="7299">
      <c r="A7299" s="49">
        <v>45097.92903803241</v>
      </c>
      <c r="B7299" s="50">
        <v>45098.0540086458</v>
      </c>
      <c r="C7299" s="51">
        <v>1.005</v>
      </c>
      <c r="D7299" s="51">
        <v>70.0</v>
      </c>
      <c r="E7299" s="52" t="s">
        <v>25</v>
      </c>
      <c r="F7299" s="52" t="s">
        <v>26</v>
      </c>
      <c r="G7299" s="53"/>
    </row>
    <row r="7300">
      <c r="A7300" s="49">
        <v>45097.939468032404</v>
      </c>
      <c r="B7300" s="50">
        <v>45098.0644415509</v>
      </c>
      <c r="C7300" s="51">
        <v>1.005</v>
      </c>
      <c r="D7300" s="51">
        <v>70.0</v>
      </c>
      <c r="E7300" s="52" t="s">
        <v>25</v>
      </c>
      <c r="F7300" s="52" t="s">
        <v>26</v>
      </c>
      <c r="G7300" s="53"/>
    </row>
    <row r="7301">
      <c r="A7301" s="49">
        <v>45097.94988936343</v>
      </c>
      <c r="B7301" s="50">
        <v>45098.0748625694</v>
      </c>
      <c r="C7301" s="51">
        <v>1.005</v>
      </c>
      <c r="D7301" s="51">
        <v>70.0</v>
      </c>
      <c r="E7301" s="52" t="s">
        <v>25</v>
      </c>
      <c r="F7301" s="52" t="s">
        <v>26</v>
      </c>
      <c r="G7301" s="53"/>
    </row>
    <row r="7302">
      <c r="A7302" s="49">
        <v>45097.960322175924</v>
      </c>
      <c r="B7302" s="50">
        <v>45098.0852973611</v>
      </c>
      <c r="C7302" s="51">
        <v>1.005</v>
      </c>
      <c r="D7302" s="51">
        <v>70.0</v>
      </c>
      <c r="E7302" s="52" t="s">
        <v>25</v>
      </c>
      <c r="F7302" s="52" t="s">
        <v>26</v>
      </c>
      <c r="G7302" s="53"/>
    </row>
    <row r="7303">
      <c r="A7303" s="49">
        <v>45097.970744502316</v>
      </c>
      <c r="B7303" s="50">
        <v>45098.0957179398</v>
      </c>
      <c r="C7303" s="51">
        <v>1.005</v>
      </c>
      <c r="D7303" s="51">
        <v>70.0</v>
      </c>
      <c r="E7303" s="52" t="s">
        <v>25</v>
      </c>
      <c r="F7303" s="52" t="s">
        <v>26</v>
      </c>
      <c r="G7303" s="53"/>
    </row>
    <row r="7304">
      <c r="A7304" s="49">
        <v>45097.981164780096</v>
      </c>
      <c r="B7304" s="50">
        <v>45098.1061395486</v>
      </c>
      <c r="C7304" s="51">
        <v>1.005</v>
      </c>
      <c r="D7304" s="51">
        <v>70.0</v>
      </c>
      <c r="E7304" s="52" t="s">
        <v>25</v>
      </c>
      <c r="F7304" s="52" t="s">
        <v>26</v>
      </c>
      <c r="G7304" s="53"/>
    </row>
    <row r="7305">
      <c r="A7305" s="49">
        <v>45097.991585497686</v>
      </c>
      <c r="B7305" s="50">
        <v>45098.1165588657</v>
      </c>
      <c r="C7305" s="51">
        <v>1.005</v>
      </c>
      <c r="D7305" s="51">
        <v>70.0</v>
      </c>
      <c r="E7305" s="52" t="s">
        <v>25</v>
      </c>
      <c r="F7305" s="52" t="s">
        <v>26</v>
      </c>
      <c r="G7305" s="53"/>
    </row>
    <row r="7306">
      <c r="A7306" s="49">
        <v>45098.002005856484</v>
      </c>
      <c r="B7306" s="50">
        <v>45098.1269801851</v>
      </c>
      <c r="C7306" s="51">
        <v>1.005</v>
      </c>
      <c r="D7306" s="51">
        <v>70.0</v>
      </c>
      <c r="E7306" s="52" t="s">
        <v>25</v>
      </c>
      <c r="F7306" s="52" t="s">
        <v>26</v>
      </c>
      <c r="G7306" s="53"/>
    </row>
    <row r="7307">
      <c r="A7307" s="49">
        <v>45098.012429571754</v>
      </c>
      <c r="B7307" s="50">
        <v>45098.1374000231</v>
      </c>
      <c r="C7307" s="51">
        <v>1.005</v>
      </c>
      <c r="D7307" s="51">
        <v>70.0</v>
      </c>
      <c r="E7307" s="52" t="s">
        <v>25</v>
      </c>
      <c r="F7307" s="52" t="s">
        <v>26</v>
      </c>
      <c r="G7307" s="53"/>
    </row>
    <row r="7308">
      <c r="A7308" s="49">
        <v>45098.02284392361</v>
      </c>
      <c r="B7308" s="50">
        <v>45098.1478230787</v>
      </c>
      <c r="C7308" s="51">
        <v>1.005</v>
      </c>
      <c r="D7308" s="51">
        <v>70.0</v>
      </c>
      <c r="E7308" s="52" t="s">
        <v>25</v>
      </c>
      <c r="F7308" s="52" t="s">
        <v>26</v>
      </c>
      <c r="G7308" s="53"/>
    </row>
    <row r="7309">
      <c r="A7309" s="49">
        <v>45098.03328768519</v>
      </c>
      <c r="B7309" s="50">
        <v>45098.158256875</v>
      </c>
      <c r="C7309" s="51">
        <v>1.005</v>
      </c>
      <c r="D7309" s="51">
        <v>70.0</v>
      </c>
      <c r="E7309" s="52" t="s">
        <v>25</v>
      </c>
      <c r="F7309" s="52" t="s">
        <v>26</v>
      </c>
      <c r="G7309" s="53"/>
    </row>
    <row r="7310">
      <c r="A7310" s="49">
        <v>45098.04370905092</v>
      </c>
      <c r="B7310" s="50">
        <v>45098.1686770949</v>
      </c>
      <c r="C7310" s="51">
        <v>1.005</v>
      </c>
      <c r="D7310" s="51">
        <v>70.0</v>
      </c>
      <c r="E7310" s="52" t="s">
        <v>25</v>
      </c>
      <c r="F7310" s="52" t="s">
        <v>26</v>
      </c>
      <c r="G7310" s="53"/>
    </row>
    <row r="7311">
      <c r="A7311" s="49">
        <v>45098.05413428241</v>
      </c>
      <c r="B7311" s="50">
        <v>45098.1790983796</v>
      </c>
      <c r="C7311" s="51">
        <v>1.005</v>
      </c>
      <c r="D7311" s="51">
        <v>70.0</v>
      </c>
      <c r="E7311" s="52" t="s">
        <v>25</v>
      </c>
      <c r="F7311" s="52" t="s">
        <v>26</v>
      </c>
      <c r="G7311" s="53"/>
    </row>
    <row r="7312">
      <c r="A7312" s="49">
        <v>45098.06454003473</v>
      </c>
      <c r="B7312" s="50">
        <v>45098.189519155</v>
      </c>
      <c r="C7312" s="51">
        <v>1.005</v>
      </c>
      <c r="D7312" s="51">
        <v>70.0</v>
      </c>
      <c r="E7312" s="52" t="s">
        <v>25</v>
      </c>
      <c r="F7312" s="52" t="s">
        <v>26</v>
      </c>
      <c r="G7312" s="53"/>
    </row>
    <row r="7313">
      <c r="A7313" s="49">
        <v>45098.07496578703</v>
      </c>
      <c r="B7313" s="50">
        <v>45098.1999409143</v>
      </c>
      <c r="C7313" s="51">
        <v>1.005</v>
      </c>
      <c r="D7313" s="51">
        <v>70.0</v>
      </c>
      <c r="E7313" s="52" t="s">
        <v>25</v>
      </c>
      <c r="F7313" s="52" t="s">
        <v>26</v>
      </c>
      <c r="G7313" s="53"/>
    </row>
    <row r="7314">
      <c r="A7314" s="49">
        <v>45098.08538982639</v>
      </c>
      <c r="B7314" s="50">
        <v>45098.2103613078</v>
      </c>
      <c r="C7314" s="51">
        <v>1.005</v>
      </c>
      <c r="D7314" s="51">
        <v>70.0</v>
      </c>
      <c r="E7314" s="52" t="s">
        <v>25</v>
      </c>
      <c r="F7314" s="52" t="s">
        <v>26</v>
      </c>
      <c r="G7314" s="53"/>
    </row>
    <row r="7315">
      <c r="A7315" s="49">
        <v>45098.095808541664</v>
      </c>
      <c r="B7315" s="50">
        <v>45098.2207839814</v>
      </c>
      <c r="C7315" s="51">
        <v>1.005</v>
      </c>
      <c r="D7315" s="51">
        <v>70.0</v>
      </c>
      <c r="E7315" s="52" t="s">
        <v>25</v>
      </c>
      <c r="F7315" s="52" t="s">
        <v>26</v>
      </c>
      <c r="G7315" s="53"/>
    </row>
    <row r="7316">
      <c r="A7316" s="49">
        <v>45098.10623856481</v>
      </c>
      <c r="B7316" s="50">
        <v>45098.2312056944</v>
      </c>
      <c r="C7316" s="51">
        <v>1.005</v>
      </c>
      <c r="D7316" s="51">
        <v>70.0</v>
      </c>
      <c r="E7316" s="52" t="s">
        <v>25</v>
      </c>
      <c r="F7316" s="52" t="s">
        <v>26</v>
      </c>
      <c r="G7316" s="53"/>
    </row>
    <row r="7317">
      <c r="A7317" s="49">
        <v>45098.11665314814</v>
      </c>
      <c r="B7317" s="50">
        <v>45098.2416282175</v>
      </c>
      <c r="C7317" s="51">
        <v>1.005</v>
      </c>
      <c r="D7317" s="51">
        <v>70.0</v>
      </c>
      <c r="E7317" s="52" t="s">
        <v>25</v>
      </c>
      <c r="F7317" s="52" t="s">
        <v>26</v>
      </c>
      <c r="G7317" s="53"/>
    </row>
    <row r="7318">
      <c r="A7318" s="49">
        <v>45098.12709226852</v>
      </c>
      <c r="B7318" s="50">
        <v>45098.2520621296</v>
      </c>
      <c r="C7318" s="51">
        <v>1.005</v>
      </c>
      <c r="D7318" s="51">
        <v>70.0</v>
      </c>
      <c r="E7318" s="52" t="s">
        <v>25</v>
      </c>
      <c r="F7318" s="52" t="s">
        <v>26</v>
      </c>
      <c r="G7318" s="53"/>
    </row>
    <row r="7319">
      <c r="A7319" s="49">
        <v>45098.13751444445</v>
      </c>
      <c r="B7319" s="50">
        <v>45098.2624850925</v>
      </c>
      <c r="C7319" s="51">
        <v>1.005</v>
      </c>
      <c r="D7319" s="51">
        <v>70.0</v>
      </c>
      <c r="E7319" s="52" t="s">
        <v>25</v>
      </c>
      <c r="F7319" s="52" t="s">
        <v>26</v>
      </c>
      <c r="G7319" s="53"/>
    </row>
    <row r="7320">
      <c r="A7320" s="49">
        <v>45098.14792891203</v>
      </c>
      <c r="B7320" s="50">
        <v>45098.2729048263</v>
      </c>
      <c r="C7320" s="51">
        <v>1.005</v>
      </c>
      <c r="D7320" s="51">
        <v>70.0</v>
      </c>
      <c r="E7320" s="52" t="s">
        <v>25</v>
      </c>
      <c r="F7320" s="52" t="s">
        <v>26</v>
      </c>
      <c r="G7320" s="53"/>
    </row>
    <row r="7321">
      <c r="A7321" s="49">
        <v>45098.158359884255</v>
      </c>
      <c r="B7321" s="50">
        <v>45098.2833265509</v>
      </c>
      <c r="C7321" s="51">
        <v>1.005</v>
      </c>
      <c r="D7321" s="51">
        <v>70.0</v>
      </c>
      <c r="E7321" s="52" t="s">
        <v>25</v>
      </c>
      <c r="F7321" s="52" t="s">
        <v>26</v>
      </c>
      <c r="G7321" s="53"/>
    </row>
    <row r="7322">
      <c r="A7322" s="49">
        <v>45098.16878099537</v>
      </c>
      <c r="B7322" s="50">
        <v>45098.2937480324</v>
      </c>
      <c r="C7322" s="51">
        <v>1.005</v>
      </c>
      <c r="D7322" s="51">
        <v>70.0</v>
      </c>
      <c r="E7322" s="52" t="s">
        <v>25</v>
      </c>
      <c r="F7322" s="52" t="s">
        <v>26</v>
      </c>
      <c r="G7322" s="53"/>
    </row>
    <row r="7323">
      <c r="A7323" s="49">
        <v>45098.17919730324</v>
      </c>
      <c r="B7323" s="50">
        <v>45098.3041699421</v>
      </c>
      <c r="C7323" s="51">
        <v>1.005</v>
      </c>
      <c r="D7323" s="51">
        <v>70.0</v>
      </c>
      <c r="E7323" s="52" t="s">
        <v>25</v>
      </c>
      <c r="F7323" s="52" t="s">
        <v>26</v>
      </c>
      <c r="G7323" s="53"/>
    </row>
    <row r="7324">
      <c r="A7324" s="49">
        <v>45098.189619212964</v>
      </c>
      <c r="B7324" s="50">
        <v>45098.3145918055</v>
      </c>
      <c r="C7324" s="51">
        <v>1.005</v>
      </c>
      <c r="D7324" s="51">
        <v>70.0</v>
      </c>
      <c r="E7324" s="52" t="s">
        <v>25</v>
      </c>
      <c r="F7324" s="52" t="s">
        <v>26</v>
      </c>
      <c r="G7324" s="53"/>
    </row>
    <row r="7325">
      <c r="A7325" s="49">
        <v>45098.2000427662</v>
      </c>
      <c r="B7325" s="50">
        <v>45098.3250121643</v>
      </c>
      <c r="C7325" s="51">
        <v>1.005</v>
      </c>
      <c r="D7325" s="51">
        <v>70.0</v>
      </c>
      <c r="E7325" s="52" t="s">
        <v>25</v>
      </c>
      <c r="F7325" s="52" t="s">
        <v>26</v>
      </c>
      <c r="G7325" s="53"/>
    </row>
    <row r="7326">
      <c r="A7326" s="49">
        <v>45098.21045597222</v>
      </c>
      <c r="B7326" s="50">
        <v>45098.3354323263</v>
      </c>
      <c r="C7326" s="51">
        <v>1.005</v>
      </c>
      <c r="D7326" s="51">
        <v>70.0</v>
      </c>
      <c r="E7326" s="52" t="s">
        <v>25</v>
      </c>
      <c r="F7326" s="52" t="s">
        <v>26</v>
      </c>
      <c r="G7326" s="53"/>
    </row>
    <row r="7327">
      <c r="A7327" s="49">
        <v>45098.220879942135</v>
      </c>
      <c r="B7327" s="50">
        <v>45098.3458550578</v>
      </c>
      <c r="C7327" s="51">
        <v>1.005</v>
      </c>
      <c r="D7327" s="51">
        <v>70.0</v>
      </c>
      <c r="E7327" s="52" t="s">
        <v>25</v>
      </c>
      <c r="F7327" s="52" t="s">
        <v>26</v>
      </c>
      <c r="G7327" s="53"/>
    </row>
    <row r="7328">
      <c r="A7328" s="49">
        <v>45098.23131008101</v>
      </c>
      <c r="B7328" s="50">
        <v>45098.3562776967</v>
      </c>
      <c r="C7328" s="51">
        <v>1.005</v>
      </c>
      <c r="D7328" s="51">
        <v>70.0</v>
      </c>
      <c r="E7328" s="52" t="s">
        <v>25</v>
      </c>
      <c r="F7328" s="52" t="s">
        <v>26</v>
      </c>
      <c r="G7328" s="53"/>
    </row>
    <row r="7329">
      <c r="A7329" s="49">
        <v>45098.24174326389</v>
      </c>
      <c r="B7329" s="50">
        <v>45098.3667102546</v>
      </c>
      <c r="C7329" s="51">
        <v>1.005</v>
      </c>
      <c r="D7329" s="51">
        <v>70.0</v>
      </c>
      <c r="E7329" s="52" t="s">
        <v>25</v>
      </c>
      <c r="F7329" s="52" t="s">
        <v>26</v>
      </c>
      <c r="G7329" s="53"/>
    </row>
    <row r="7330">
      <c r="A7330" s="49">
        <v>45098.252158993055</v>
      </c>
      <c r="B7330" s="50">
        <v>45098.3771328009</v>
      </c>
      <c r="C7330" s="51">
        <v>1.005</v>
      </c>
      <c r="D7330" s="51">
        <v>70.0</v>
      </c>
      <c r="E7330" s="52" t="s">
        <v>25</v>
      </c>
      <c r="F7330" s="52" t="s">
        <v>26</v>
      </c>
      <c r="G7330" s="53"/>
    </row>
    <row r="7331">
      <c r="A7331" s="49">
        <v>45098.26258501157</v>
      </c>
      <c r="B7331" s="50">
        <v>45098.3875540277</v>
      </c>
      <c r="C7331" s="51">
        <v>1.005</v>
      </c>
      <c r="D7331" s="51">
        <v>70.0</v>
      </c>
      <c r="E7331" s="52" t="s">
        <v>25</v>
      </c>
      <c r="F7331" s="52" t="s">
        <v>26</v>
      </c>
      <c r="G7331" s="53"/>
    </row>
    <row r="7332">
      <c r="A7332" s="49">
        <v>45098.27304353009</v>
      </c>
      <c r="B7332" s="50">
        <v>45098.3980221875</v>
      </c>
      <c r="C7332" s="51">
        <v>1.005</v>
      </c>
      <c r="D7332" s="51">
        <v>70.0</v>
      </c>
      <c r="E7332" s="52" t="s">
        <v>25</v>
      </c>
      <c r="F7332" s="52" t="s">
        <v>26</v>
      </c>
      <c r="G7332" s="53"/>
    </row>
    <row r="7333">
      <c r="A7333" s="49">
        <v>45098.283472546296</v>
      </c>
      <c r="B7333" s="50">
        <v>45098.4084426273</v>
      </c>
      <c r="C7333" s="51">
        <v>1.005</v>
      </c>
      <c r="D7333" s="51">
        <v>70.0</v>
      </c>
      <c r="E7333" s="52" t="s">
        <v>25</v>
      </c>
      <c r="F7333" s="52" t="s">
        <v>26</v>
      </c>
      <c r="G7333" s="53"/>
    </row>
    <row r="7334">
      <c r="A7334" s="49">
        <v>45098.29388989584</v>
      </c>
      <c r="B7334" s="50">
        <v>45098.4188626273</v>
      </c>
      <c r="C7334" s="51">
        <v>1.005</v>
      </c>
      <c r="D7334" s="51">
        <v>70.0</v>
      </c>
      <c r="E7334" s="52" t="s">
        <v>25</v>
      </c>
      <c r="F7334" s="52" t="s">
        <v>26</v>
      </c>
      <c r="G7334" s="53"/>
    </row>
    <row r="7335">
      <c r="A7335" s="49">
        <v>45098.304336099536</v>
      </c>
      <c r="B7335" s="50">
        <v>45098.4292954629</v>
      </c>
      <c r="C7335" s="51">
        <v>1.005</v>
      </c>
      <c r="D7335" s="51">
        <v>70.0</v>
      </c>
      <c r="E7335" s="52" t="s">
        <v>25</v>
      </c>
      <c r="F7335" s="52" t="s">
        <v>26</v>
      </c>
      <c r="G7335" s="53"/>
    </row>
    <row r="7336">
      <c r="A7336" s="49">
        <v>45098.31474615741</v>
      </c>
      <c r="B7336" s="50">
        <v>45098.4397169328</v>
      </c>
      <c r="C7336" s="51">
        <v>1.005</v>
      </c>
      <c r="D7336" s="51">
        <v>70.0</v>
      </c>
      <c r="E7336" s="52" t="s">
        <v>25</v>
      </c>
      <c r="F7336" s="52" t="s">
        <v>26</v>
      </c>
      <c r="G7336" s="53"/>
    </row>
    <row r="7337">
      <c r="A7337" s="49">
        <v>45098.325160162036</v>
      </c>
      <c r="B7337" s="50">
        <v>45098.450138831</v>
      </c>
      <c r="C7337" s="51">
        <v>1.005</v>
      </c>
      <c r="D7337" s="51">
        <v>70.0</v>
      </c>
      <c r="E7337" s="52" t="s">
        <v>25</v>
      </c>
      <c r="F7337" s="52" t="s">
        <v>26</v>
      </c>
      <c r="G7337" s="53"/>
    </row>
    <row r="7338">
      <c r="A7338" s="49">
        <v>45098.335595625</v>
      </c>
      <c r="B7338" s="50">
        <v>45098.4605608796</v>
      </c>
      <c r="C7338" s="51">
        <v>1.005</v>
      </c>
      <c r="D7338" s="51">
        <v>70.0</v>
      </c>
      <c r="E7338" s="52" t="s">
        <v>25</v>
      </c>
      <c r="F7338" s="52" t="s">
        <v>26</v>
      </c>
      <c r="G7338" s="53"/>
    </row>
    <row r="7339">
      <c r="A7339" s="49">
        <v>45098.346007175925</v>
      </c>
      <c r="B7339" s="50">
        <v>45098.4709815162</v>
      </c>
      <c r="C7339" s="51">
        <v>1.005</v>
      </c>
      <c r="D7339" s="51">
        <v>70.0</v>
      </c>
      <c r="E7339" s="52" t="s">
        <v>25</v>
      </c>
      <c r="F7339" s="52" t="s">
        <v>26</v>
      </c>
      <c r="G7339" s="53"/>
    </row>
    <row r="7340">
      <c r="A7340" s="49">
        <v>45098.35643644676</v>
      </c>
      <c r="B7340" s="50">
        <v>45098.4814033912</v>
      </c>
      <c r="C7340" s="51">
        <v>1.005</v>
      </c>
      <c r="D7340" s="51">
        <v>70.0</v>
      </c>
      <c r="E7340" s="52" t="s">
        <v>25</v>
      </c>
      <c r="F7340" s="52" t="s">
        <v>26</v>
      </c>
      <c r="G7340" s="53"/>
    </row>
    <row r="7341">
      <c r="A7341" s="49">
        <v>45098.3668505324</v>
      </c>
      <c r="B7341" s="50">
        <v>45098.4918239351</v>
      </c>
      <c r="C7341" s="51">
        <v>1.005</v>
      </c>
      <c r="D7341" s="51">
        <v>70.0</v>
      </c>
      <c r="E7341" s="52" t="s">
        <v>25</v>
      </c>
      <c r="F7341" s="52" t="s">
        <v>26</v>
      </c>
      <c r="G7341" s="53"/>
    </row>
    <row r="7342">
      <c r="A7342" s="49">
        <v>45098.37728178241</v>
      </c>
      <c r="B7342" s="50">
        <v>45098.5022450115</v>
      </c>
      <c r="C7342" s="51">
        <v>1.005</v>
      </c>
      <c r="D7342" s="51">
        <v>70.0</v>
      </c>
      <c r="E7342" s="52" t="s">
        <v>25</v>
      </c>
      <c r="F7342" s="52" t="s">
        <v>26</v>
      </c>
      <c r="G7342" s="53"/>
    </row>
    <row r="7343">
      <c r="A7343" s="49">
        <v>45098.38770957176</v>
      </c>
      <c r="B7343" s="50">
        <v>45098.5126781134</v>
      </c>
      <c r="C7343" s="51">
        <v>1.005</v>
      </c>
      <c r="D7343" s="51">
        <v>70.0</v>
      </c>
      <c r="E7343" s="52" t="s">
        <v>25</v>
      </c>
      <c r="F7343" s="52" t="s">
        <v>26</v>
      </c>
      <c r="G7343" s="53"/>
    </row>
    <row r="7344">
      <c r="A7344" s="49">
        <v>45098.39814896991</v>
      </c>
      <c r="B7344" s="50">
        <v>45098.5231214583</v>
      </c>
      <c r="C7344" s="51">
        <v>1.005</v>
      </c>
      <c r="D7344" s="51">
        <v>70.0</v>
      </c>
      <c r="E7344" s="52" t="s">
        <v>25</v>
      </c>
      <c r="F7344" s="52" t="s">
        <v>26</v>
      </c>
      <c r="G7344" s="53"/>
    </row>
    <row r="7345">
      <c r="A7345" s="49">
        <v>45098.40856758102</v>
      </c>
      <c r="B7345" s="50">
        <v>45098.5335426967</v>
      </c>
      <c r="C7345" s="51">
        <v>1.005</v>
      </c>
      <c r="D7345" s="51">
        <v>70.0</v>
      </c>
      <c r="E7345" s="52" t="s">
        <v>25</v>
      </c>
      <c r="F7345" s="52" t="s">
        <v>26</v>
      </c>
      <c r="G7345" s="53"/>
    </row>
    <row r="7346">
      <c r="A7346" s="49">
        <v>45098.419011481485</v>
      </c>
      <c r="B7346" s="50">
        <v>45098.54397478</v>
      </c>
      <c r="C7346" s="51">
        <v>1.005</v>
      </c>
      <c r="D7346" s="51">
        <v>70.0</v>
      </c>
      <c r="E7346" s="52" t="s">
        <v>25</v>
      </c>
      <c r="F7346" s="52" t="s">
        <v>26</v>
      </c>
      <c r="G7346" s="53"/>
    </row>
    <row r="7347">
      <c r="A7347" s="49">
        <v>45098.42941818287</v>
      </c>
      <c r="B7347" s="50">
        <v>45098.5543951504</v>
      </c>
      <c r="C7347" s="51">
        <v>1.005</v>
      </c>
      <c r="D7347" s="51">
        <v>70.0</v>
      </c>
      <c r="E7347" s="52" t="s">
        <v>25</v>
      </c>
      <c r="F7347" s="52" t="s">
        <v>26</v>
      </c>
      <c r="G7347" s="53"/>
    </row>
    <row r="7348">
      <c r="A7348" s="49">
        <v>45098.439849120376</v>
      </c>
      <c r="B7348" s="50">
        <v>45098.5648172453</v>
      </c>
      <c r="C7348" s="51">
        <v>1.005</v>
      </c>
      <c r="D7348" s="51">
        <v>70.0</v>
      </c>
      <c r="E7348" s="52" t="s">
        <v>25</v>
      </c>
      <c r="F7348" s="52" t="s">
        <v>26</v>
      </c>
      <c r="G7348" s="53"/>
    </row>
    <row r="7349">
      <c r="A7349" s="49">
        <v>45098.4502636574</v>
      </c>
      <c r="B7349" s="50">
        <v>45098.5752390625</v>
      </c>
      <c r="C7349" s="51">
        <v>1.005</v>
      </c>
      <c r="D7349" s="51">
        <v>70.0</v>
      </c>
      <c r="E7349" s="52" t="s">
        <v>25</v>
      </c>
      <c r="F7349" s="52" t="s">
        <v>26</v>
      </c>
      <c r="G7349" s="53"/>
    </row>
    <row r="7350">
      <c r="A7350" s="49">
        <v>45098.46070252315</v>
      </c>
      <c r="B7350" s="50">
        <v>45098.5856594907</v>
      </c>
      <c r="C7350" s="51">
        <v>1.005</v>
      </c>
      <c r="D7350" s="51">
        <v>70.0</v>
      </c>
      <c r="E7350" s="52" t="s">
        <v>25</v>
      </c>
      <c r="F7350" s="52" t="s">
        <v>26</v>
      </c>
      <c r="G7350" s="53"/>
    </row>
    <row r="7351">
      <c r="A7351" s="49">
        <v>45098.47110928241</v>
      </c>
      <c r="B7351" s="50">
        <v>45098.5960810416</v>
      </c>
      <c r="C7351" s="51">
        <v>1.005</v>
      </c>
      <c r="D7351" s="51">
        <v>70.0</v>
      </c>
      <c r="E7351" s="52" t="s">
        <v>25</v>
      </c>
      <c r="F7351" s="52" t="s">
        <v>26</v>
      </c>
      <c r="G7351" s="53"/>
    </row>
    <row r="7352">
      <c r="A7352" s="49">
        <v>45098.48153881944</v>
      </c>
      <c r="B7352" s="50">
        <v>45098.6065142361</v>
      </c>
      <c r="C7352" s="51">
        <v>1.005</v>
      </c>
      <c r="D7352" s="51">
        <v>70.0</v>
      </c>
      <c r="E7352" s="52" t="s">
        <v>25</v>
      </c>
      <c r="F7352" s="52" t="s">
        <v>26</v>
      </c>
      <c r="G7352" s="53"/>
    </row>
    <row r="7353">
      <c r="A7353" s="49">
        <v>45098.491965451394</v>
      </c>
      <c r="B7353" s="50">
        <v>45098.6169380671</v>
      </c>
      <c r="C7353" s="51">
        <v>1.005</v>
      </c>
      <c r="D7353" s="51">
        <v>70.0</v>
      </c>
      <c r="E7353" s="52" t="s">
        <v>25</v>
      </c>
      <c r="F7353" s="52" t="s">
        <v>26</v>
      </c>
      <c r="G7353" s="53"/>
    </row>
    <row r="7354">
      <c r="A7354" s="49">
        <v>45098.50240067129</v>
      </c>
      <c r="B7354" s="50">
        <v>45098.627359155</v>
      </c>
      <c r="C7354" s="51">
        <v>1.005</v>
      </c>
      <c r="D7354" s="51">
        <v>70.0</v>
      </c>
      <c r="E7354" s="52" t="s">
        <v>25</v>
      </c>
      <c r="F7354" s="52" t="s">
        <v>26</v>
      </c>
      <c r="G7354" s="53"/>
    </row>
    <row r="7355">
      <c r="A7355" s="49">
        <v>45098.51282981482</v>
      </c>
      <c r="B7355" s="50">
        <v>45098.6378037037</v>
      </c>
      <c r="C7355" s="51">
        <v>1.005</v>
      </c>
      <c r="D7355" s="51">
        <v>70.0</v>
      </c>
      <c r="E7355" s="52" t="s">
        <v>25</v>
      </c>
      <c r="F7355" s="52" t="s">
        <v>26</v>
      </c>
      <c r="G7355" s="53"/>
    </row>
    <row r="7356">
      <c r="A7356" s="49">
        <v>45098.52325940972</v>
      </c>
      <c r="B7356" s="50">
        <v>45098.6482369097</v>
      </c>
      <c r="C7356" s="51">
        <v>1.005</v>
      </c>
      <c r="D7356" s="51">
        <v>70.0</v>
      </c>
      <c r="E7356" s="52" t="s">
        <v>25</v>
      </c>
      <c r="F7356" s="52" t="s">
        <v>26</v>
      </c>
      <c r="G7356" s="53"/>
    </row>
    <row r="7357">
      <c r="A7357" s="49">
        <v>45098.533686689814</v>
      </c>
      <c r="B7357" s="50">
        <v>45098.6586591666</v>
      </c>
      <c r="C7357" s="51">
        <v>1.005</v>
      </c>
      <c r="D7357" s="51">
        <v>70.0</v>
      </c>
      <c r="E7357" s="52" t="s">
        <v>25</v>
      </c>
      <c r="F7357" s="52" t="s">
        <v>26</v>
      </c>
      <c r="G7357" s="53"/>
    </row>
    <row r="7358">
      <c r="A7358" s="49">
        <v>45098.54411575232</v>
      </c>
      <c r="B7358" s="50">
        <v>45098.6690908912</v>
      </c>
      <c r="C7358" s="51">
        <v>1.005</v>
      </c>
      <c r="D7358" s="51">
        <v>70.0</v>
      </c>
      <c r="E7358" s="52" t="s">
        <v>25</v>
      </c>
      <c r="F7358" s="52" t="s">
        <v>26</v>
      </c>
      <c r="G7358" s="53"/>
    </row>
    <row r="7359">
      <c r="A7359" s="49">
        <v>45098.55454096065</v>
      </c>
      <c r="B7359" s="50">
        <v>45098.6795120717</v>
      </c>
      <c r="C7359" s="51">
        <v>1.005</v>
      </c>
      <c r="D7359" s="51">
        <v>70.0</v>
      </c>
      <c r="E7359" s="52" t="s">
        <v>25</v>
      </c>
      <c r="F7359" s="52" t="s">
        <v>26</v>
      </c>
      <c r="G7359" s="53"/>
    </row>
    <row r="7360">
      <c r="A7360" s="49">
        <v>45098.56495564815</v>
      </c>
      <c r="B7360" s="50">
        <v>45098.68993478</v>
      </c>
      <c r="C7360" s="51">
        <v>1.005</v>
      </c>
      <c r="D7360" s="51">
        <v>70.0</v>
      </c>
      <c r="E7360" s="52" t="s">
        <v>25</v>
      </c>
      <c r="F7360" s="52" t="s">
        <v>26</v>
      </c>
      <c r="G7360" s="53"/>
    </row>
    <row r="7361">
      <c r="A7361" s="49">
        <v>45098.57538578704</v>
      </c>
      <c r="B7361" s="50">
        <v>45098.7003547916</v>
      </c>
      <c r="C7361" s="51">
        <v>1.005</v>
      </c>
      <c r="D7361" s="51">
        <v>70.0</v>
      </c>
      <c r="E7361" s="52" t="s">
        <v>25</v>
      </c>
      <c r="F7361" s="52" t="s">
        <v>26</v>
      </c>
      <c r="G7361" s="53"/>
    </row>
    <row r="7362">
      <c r="A7362" s="49">
        <v>45098.58581296296</v>
      </c>
      <c r="B7362" s="50">
        <v>45098.7107884375</v>
      </c>
      <c r="C7362" s="51">
        <v>1.005</v>
      </c>
      <c r="D7362" s="51">
        <v>70.0</v>
      </c>
      <c r="E7362" s="52" t="s">
        <v>25</v>
      </c>
      <c r="F7362" s="52" t="s">
        <v>26</v>
      </c>
      <c r="G7362" s="53"/>
    </row>
    <row r="7363">
      <c r="A7363" s="49">
        <v>45098.59624280092</v>
      </c>
      <c r="B7363" s="50">
        <v>45098.7212096412</v>
      </c>
      <c r="C7363" s="51">
        <v>1.005</v>
      </c>
      <c r="D7363" s="51">
        <v>70.0</v>
      </c>
      <c r="E7363" s="52" t="s">
        <v>25</v>
      </c>
      <c r="F7363" s="52" t="s">
        <v>26</v>
      </c>
      <c r="G7363" s="53"/>
    </row>
    <row r="7364">
      <c r="A7364" s="49">
        <v>45098.606662025464</v>
      </c>
      <c r="B7364" s="50">
        <v>45098.7316306481</v>
      </c>
      <c r="C7364" s="51">
        <v>1.005</v>
      </c>
      <c r="D7364" s="51">
        <v>70.0</v>
      </c>
      <c r="E7364" s="52" t="s">
        <v>25</v>
      </c>
      <c r="F7364" s="52" t="s">
        <v>26</v>
      </c>
      <c r="G7364" s="53"/>
    </row>
    <row r="7365">
      <c r="A7365" s="49">
        <v>45098.617105682875</v>
      </c>
      <c r="B7365" s="50">
        <v>45098.7420759606</v>
      </c>
      <c r="C7365" s="51">
        <v>1.005</v>
      </c>
      <c r="D7365" s="51">
        <v>70.0</v>
      </c>
      <c r="E7365" s="52" t="s">
        <v>25</v>
      </c>
      <c r="F7365" s="52" t="s">
        <v>26</v>
      </c>
      <c r="G7365" s="53"/>
    </row>
    <row r="7366">
      <c r="A7366" s="49">
        <v>45098.62753023148</v>
      </c>
      <c r="B7366" s="50">
        <v>45098.7524976157</v>
      </c>
      <c r="C7366" s="51">
        <v>1.005</v>
      </c>
      <c r="D7366" s="51">
        <v>70.0</v>
      </c>
      <c r="E7366" s="52" t="s">
        <v>25</v>
      </c>
      <c r="F7366" s="52" t="s">
        <v>26</v>
      </c>
      <c r="G7366" s="53"/>
    </row>
    <row r="7367">
      <c r="A7367" s="49">
        <v>45098.6379584838</v>
      </c>
      <c r="B7367" s="50">
        <v>45098.7629200463</v>
      </c>
      <c r="C7367" s="51">
        <v>1.005</v>
      </c>
      <c r="D7367" s="51">
        <v>70.0</v>
      </c>
      <c r="E7367" s="52" t="s">
        <v>25</v>
      </c>
      <c r="F7367" s="52" t="s">
        <v>26</v>
      </c>
      <c r="G7367" s="53"/>
    </row>
    <row r="7368">
      <c r="A7368" s="49">
        <v>45098.64836934028</v>
      </c>
      <c r="B7368" s="50">
        <v>45098.7733407407</v>
      </c>
      <c r="C7368" s="51">
        <v>1.005</v>
      </c>
      <c r="D7368" s="51">
        <v>70.0</v>
      </c>
      <c r="E7368" s="52" t="s">
        <v>25</v>
      </c>
      <c r="F7368" s="52" t="s">
        <v>26</v>
      </c>
      <c r="G7368" s="53"/>
    </row>
    <row r="7369">
      <c r="A7369" s="49">
        <v>45098.65880041667</v>
      </c>
      <c r="B7369" s="50">
        <v>45098.7837742013</v>
      </c>
      <c r="C7369" s="51">
        <v>1.005</v>
      </c>
      <c r="D7369" s="51">
        <v>70.0</v>
      </c>
      <c r="E7369" s="52" t="s">
        <v>25</v>
      </c>
      <c r="F7369" s="52" t="s">
        <v>26</v>
      </c>
      <c r="G7369" s="53"/>
    </row>
    <row r="7370">
      <c r="A7370" s="49">
        <v>45098.66923315972</v>
      </c>
      <c r="B7370" s="50">
        <v>45098.7942078588</v>
      </c>
      <c r="C7370" s="51">
        <v>1.005</v>
      </c>
      <c r="D7370" s="51">
        <v>70.0</v>
      </c>
      <c r="E7370" s="52" t="s">
        <v>25</v>
      </c>
      <c r="F7370" s="52" t="s">
        <v>26</v>
      </c>
      <c r="G7370" s="53"/>
    </row>
    <row r="7371">
      <c r="A7371" s="49">
        <v>45098.67964891204</v>
      </c>
      <c r="B7371" s="50">
        <v>45098.80462853</v>
      </c>
      <c r="C7371" s="51">
        <v>1.005</v>
      </c>
      <c r="D7371" s="51">
        <v>70.0</v>
      </c>
      <c r="E7371" s="52" t="s">
        <v>25</v>
      </c>
      <c r="F7371" s="52" t="s">
        <v>26</v>
      </c>
      <c r="G7371" s="53"/>
    </row>
    <row r="7372">
      <c r="A7372" s="49">
        <v>45098.69007855324</v>
      </c>
      <c r="B7372" s="50">
        <v>45098.8150496296</v>
      </c>
      <c r="C7372" s="51">
        <v>1.005</v>
      </c>
      <c r="D7372" s="51">
        <v>70.0</v>
      </c>
      <c r="E7372" s="52" t="s">
        <v>25</v>
      </c>
      <c r="F7372" s="52" t="s">
        <v>26</v>
      </c>
      <c r="G7372" s="53"/>
    </row>
    <row r="7373">
      <c r="A7373" s="49">
        <v>45098.700505127315</v>
      </c>
      <c r="B7373" s="50">
        <v>45098.8254839814</v>
      </c>
      <c r="C7373" s="51">
        <v>1.005</v>
      </c>
      <c r="D7373" s="51">
        <v>70.0</v>
      </c>
      <c r="E7373" s="52" t="s">
        <v>25</v>
      </c>
      <c r="F7373" s="52" t="s">
        <v>26</v>
      </c>
      <c r="G7373" s="53"/>
    </row>
    <row r="7374">
      <c r="A7374" s="49">
        <v>45098.710941921294</v>
      </c>
      <c r="B7374" s="50">
        <v>45098.8359060879</v>
      </c>
      <c r="C7374" s="51">
        <v>1.005</v>
      </c>
      <c r="D7374" s="51">
        <v>70.0</v>
      </c>
      <c r="E7374" s="52" t="s">
        <v>25</v>
      </c>
      <c r="F7374" s="52" t="s">
        <v>26</v>
      </c>
      <c r="G7374" s="53"/>
    </row>
    <row r="7375">
      <c r="A7375" s="49">
        <v>45098.721368680555</v>
      </c>
      <c r="B7375" s="50">
        <v>45098.8463364236</v>
      </c>
      <c r="C7375" s="51">
        <v>1.005</v>
      </c>
      <c r="D7375" s="51">
        <v>70.0</v>
      </c>
      <c r="E7375" s="52" t="s">
        <v>25</v>
      </c>
      <c r="F7375" s="52" t="s">
        <v>26</v>
      </c>
      <c r="G7375" s="53"/>
    </row>
    <row r="7376">
      <c r="A7376" s="49">
        <v>45098.731783449075</v>
      </c>
      <c r="B7376" s="50">
        <v>45098.8567580208</v>
      </c>
      <c r="C7376" s="51">
        <v>1.005</v>
      </c>
      <c r="D7376" s="51">
        <v>70.0</v>
      </c>
      <c r="E7376" s="52" t="s">
        <v>25</v>
      </c>
      <c r="F7376" s="52" t="s">
        <v>26</v>
      </c>
      <c r="G7376" s="53"/>
    </row>
    <row r="7377">
      <c r="A7377" s="49">
        <v>45098.74220094907</v>
      </c>
      <c r="B7377" s="50">
        <v>45098.8671778125</v>
      </c>
      <c r="C7377" s="51">
        <v>1.005</v>
      </c>
      <c r="D7377" s="51">
        <v>70.0</v>
      </c>
      <c r="E7377" s="52" t="s">
        <v>25</v>
      </c>
      <c r="F7377" s="52" t="s">
        <v>26</v>
      </c>
      <c r="G7377" s="53"/>
    </row>
    <row r="7378">
      <c r="A7378" s="49">
        <v>45098.75262273148</v>
      </c>
      <c r="B7378" s="50">
        <v>45098.8775992245</v>
      </c>
      <c r="C7378" s="51">
        <v>1.005</v>
      </c>
      <c r="D7378" s="51">
        <v>70.0</v>
      </c>
      <c r="E7378" s="52" t="s">
        <v>25</v>
      </c>
      <c r="F7378" s="52" t="s">
        <v>26</v>
      </c>
      <c r="G7378" s="53"/>
    </row>
    <row r="7379">
      <c r="A7379" s="49">
        <v>45098.763050775466</v>
      </c>
      <c r="B7379" s="50">
        <v>45098.888021493</v>
      </c>
      <c r="C7379" s="51">
        <v>1.005</v>
      </c>
      <c r="D7379" s="51">
        <v>70.0</v>
      </c>
      <c r="E7379" s="52" t="s">
        <v>25</v>
      </c>
      <c r="F7379" s="52" t="s">
        <v>26</v>
      </c>
      <c r="G7379" s="53"/>
    </row>
    <row r="7380">
      <c r="A7380" s="49">
        <v>45098.77346871528</v>
      </c>
      <c r="B7380" s="50">
        <v>45098.8984426504</v>
      </c>
      <c r="C7380" s="51">
        <v>1.005</v>
      </c>
      <c r="D7380" s="51">
        <v>70.0</v>
      </c>
      <c r="E7380" s="52" t="s">
        <v>25</v>
      </c>
      <c r="F7380" s="52" t="s">
        <v>26</v>
      </c>
      <c r="G7380" s="53"/>
    </row>
    <row r="7381">
      <c r="A7381" s="49">
        <v>45098.783894583335</v>
      </c>
      <c r="B7381" s="50">
        <v>45098.9088635879</v>
      </c>
      <c r="C7381" s="51">
        <v>1.005</v>
      </c>
      <c r="D7381" s="51">
        <v>70.0</v>
      </c>
      <c r="E7381" s="52" t="s">
        <v>25</v>
      </c>
      <c r="F7381" s="52" t="s">
        <v>26</v>
      </c>
      <c r="G7381" s="53"/>
    </row>
    <row r="7382">
      <c r="A7382" s="49">
        <v>45098.7943140162</v>
      </c>
      <c r="B7382" s="50">
        <v>45098.9192845023</v>
      </c>
      <c r="C7382" s="51">
        <v>1.005</v>
      </c>
      <c r="D7382" s="51">
        <v>70.0</v>
      </c>
      <c r="E7382" s="52" t="s">
        <v>25</v>
      </c>
      <c r="F7382" s="52" t="s">
        <v>26</v>
      </c>
      <c r="G7382" s="53"/>
    </row>
    <row r="7383">
      <c r="A7383" s="49">
        <v>45098.80472767361</v>
      </c>
      <c r="B7383" s="50">
        <v>45098.9297053819</v>
      </c>
      <c r="C7383" s="51">
        <v>1.005</v>
      </c>
      <c r="D7383" s="51">
        <v>70.0</v>
      </c>
      <c r="E7383" s="52" t="s">
        <v>25</v>
      </c>
      <c r="F7383" s="52" t="s">
        <v>26</v>
      </c>
      <c r="G7383" s="53"/>
    </row>
    <row r="7384">
      <c r="A7384" s="49">
        <v>45098.815180081016</v>
      </c>
      <c r="B7384" s="50">
        <v>45098.9401491898</v>
      </c>
      <c r="C7384" s="51">
        <v>1.005</v>
      </c>
      <c r="D7384" s="51">
        <v>70.0</v>
      </c>
      <c r="E7384" s="52" t="s">
        <v>25</v>
      </c>
      <c r="F7384" s="52" t="s">
        <v>26</v>
      </c>
      <c r="G7384" s="53"/>
    </row>
    <row r="7385">
      <c r="A7385" s="49">
        <v>45098.82560975694</v>
      </c>
      <c r="B7385" s="50">
        <v>45098.9505819213</v>
      </c>
      <c r="C7385" s="51">
        <v>1.005</v>
      </c>
      <c r="D7385" s="51">
        <v>70.0</v>
      </c>
      <c r="E7385" s="52" t="s">
        <v>25</v>
      </c>
      <c r="F7385" s="52" t="s">
        <v>26</v>
      </c>
      <c r="G7385" s="53"/>
    </row>
    <row r="7386">
      <c r="A7386" s="49">
        <v>45098.83603523148</v>
      </c>
      <c r="B7386" s="50">
        <v>45098.9610046759</v>
      </c>
      <c r="C7386" s="51">
        <v>1.005</v>
      </c>
      <c r="D7386" s="51">
        <v>70.0</v>
      </c>
      <c r="E7386" s="52" t="s">
        <v>25</v>
      </c>
      <c r="F7386" s="52" t="s">
        <v>26</v>
      </c>
      <c r="G7386" s="53"/>
    </row>
    <row r="7387">
      <c r="A7387" s="49">
        <v>45098.84644871528</v>
      </c>
      <c r="B7387" s="50">
        <v>45098.9714244213</v>
      </c>
      <c r="C7387" s="51">
        <v>1.005</v>
      </c>
      <c r="D7387" s="51">
        <v>70.0</v>
      </c>
      <c r="E7387" s="52" t="s">
        <v>25</v>
      </c>
      <c r="F7387" s="52" t="s">
        <v>26</v>
      </c>
      <c r="G7387" s="53"/>
    </row>
    <row r="7388">
      <c r="A7388" s="49">
        <v>45098.85688810185</v>
      </c>
      <c r="B7388" s="50">
        <v>45098.981856875</v>
      </c>
      <c r="C7388" s="51">
        <v>1.005</v>
      </c>
      <c r="D7388" s="51">
        <v>70.0</v>
      </c>
      <c r="E7388" s="52" t="s">
        <v>25</v>
      </c>
      <c r="F7388" s="52" t="s">
        <v>26</v>
      </c>
      <c r="G7388" s="53"/>
    </row>
    <row r="7389">
      <c r="A7389" s="49">
        <v>45098.867302569444</v>
      </c>
      <c r="B7389" s="50">
        <v>45098.9922787731</v>
      </c>
      <c r="C7389" s="51">
        <v>1.005</v>
      </c>
      <c r="D7389" s="51">
        <v>70.0</v>
      </c>
      <c r="E7389" s="52" t="s">
        <v>25</v>
      </c>
      <c r="F7389" s="52" t="s">
        <v>26</v>
      </c>
      <c r="G7389" s="53"/>
    </row>
    <row r="7390">
      <c r="A7390" s="49">
        <v>45098.87773126157</v>
      </c>
      <c r="B7390" s="50">
        <v>45099.0027017245</v>
      </c>
      <c r="C7390" s="51">
        <v>1.005</v>
      </c>
      <c r="D7390" s="51">
        <v>70.0</v>
      </c>
      <c r="E7390" s="52" t="s">
        <v>25</v>
      </c>
      <c r="F7390" s="52" t="s">
        <v>26</v>
      </c>
      <c r="G7390" s="53"/>
    </row>
    <row r="7391">
      <c r="A7391" s="49">
        <v>45098.88814822916</v>
      </c>
      <c r="B7391" s="50">
        <v>45099.0131216898</v>
      </c>
      <c r="C7391" s="51">
        <v>1.005</v>
      </c>
      <c r="D7391" s="51">
        <v>70.0</v>
      </c>
      <c r="E7391" s="52" t="s">
        <v>25</v>
      </c>
      <c r="F7391" s="52" t="s">
        <v>26</v>
      </c>
      <c r="G7391" s="53"/>
    </row>
    <row r="7392">
      <c r="A7392" s="49">
        <v>45098.89858818287</v>
      </c>
      <c r="B7392" s="50">
        <v>45099.0235544444</v>
      </c>
      <c r="C7392" s="51">
        <v>1.005</v>
      </c>
      <c r="D7392" s="51">
        <v>70.0</v>
      </c>
      <c r="E7392" s="52" t="s">
        <v>25</v>
      </c>
      <c r="F7392" s="52" t="s">
        <v>26</v>
      </c>
      <c r="G7392" s="53"/>
    </row>
    <row r="7393">
      <c r="A7393" s="49">
        <v>45098.909005497684</v>
      </c>
      <c r="B7393" s="50">
        <v>45099.0339765393</v>
      </c>
      <c r="C7393" s="51">
        <v>1.005</v>
      </c>
      <c r="D7393" s="51">
        <v>70.0</v>
      </c>
      <c r="E7393" s="52" t="s">
        <v>25</v>
      </c>
      <c r="F7393" s="52" t="s">
        <v>26</v>
      </c>
      <c r="G7393" s="53"/>
    </row>
    <row r="7394">
      <c r="A7394" s="49">
        <v>45098.91942497685</v>
      </c>
      <c r="B7394" s="50">
        <v>45099.0443977083</v>
      </c>
      <c r="C7394" s="51">
        <v>1.005</v>
      </c>
      <c r="D7394" s="51">
        <v>70.0</v>
      </c>
      <c r="E7394" s="52" t="s">
        <v>25</v>
      </c>
      <c r="F7394" s="52" t="s">
        <v>26</v>
      </c>
      <c r="G7394" s="53"/>
    </row>
    <row r="7395">
      <c r="A7395" s="49">
        <v>45098.92984296296</v>
      </c>
      <c r="B7395" s="50">
        <v>45099.0548168402</v>
      </c>
      <c r="C7395" s="51">
        <v>1.005</v>
      </c>
      <c r="D7395" s="51">
        <v>70.0</v>
      </c>
      <c r="E7395" s="52" t="s">
        <v>25</v>
      </c>
      <c r="F7395" s="52" t="s">
        <v>26</v>
      </c>
      <c r="G7395" s="53"/>
    </row>
    <row r="7396">
      <c r="A7396" s="49">
        <v>45098.94026109954</v>
      </c>
      <c r="B7396" s="50">
        <v>45099.0652387615</v>
      </c>
      <c r="C7396" s="51">
        <v>1.005</v>
      </c>
      <c r="D7396" s="51">
        <v>70.0</v>
      </c>
      <c r="E7396" s="52" t="s">
        <v>25</v>
      </c>
      <c r="F7396" s="52" t="s">
        <v>26</v>
      </c>
      <c r="G7396" s="53"/>
    </row>
    <row r="7397">
      <c r="A7397" s="49">
        <v>45098.9506937963</v>
      </c>
      <c r="B7397" s="50">
        <v>45099.0756606944</v>
      </c>
      <c r="C7397" s="51">
        <v>1.005</v>
      </c>
      <c r="D7397" s="51">
        <v>70.0</v>
      </c>
      <c r="E7397" s="52" t="s">
        <v>25</v>
      </c>
      <c r="F7397" s="52" t="s">
        <v>26</v>
      </c>
      <c r="G7397" s="53"/>
    </row>
    <row r="7398">
      <c r="A7398" s="49">
        <v>45098.961109895834</v>
      </c>
      <c r="B7398" s="50">
        <v>45099.0860829629</v>
      </c>
      <c r="C7398" s="51">
        <v>1.005</v>
      </c>
      <c r="D7398" s="51">
        <v>70.0</v>
      </c>
      <c r="E7398" s="52" t="s">
        <v>25</v>
      </c>
      <c r="F7398" s="52" t="s">
        <v>26</v>
      </c>
      <c r="G7398" s="53"/>
    </row>
    <row r="7399">
      <c r="A7399" s="49">
        <v>45098.971544155094</v>
      </c>
      <c r="B7399" s="50">
        <v>45099.0965178009</v>
      </c>
      <c r="C7399" s="51">
        <v>1.005</v>
      </c>
      <c r="D7399" s="51">
        <v>70.0</v>
      </c>
      <c r="E7399" s="52" t="s">
        <v>25</v>
      </c>
      <c r="F7399" s="52" t="s">
        <v>26</v>
      </c>
      <c r="G7399" s="53"/>
    </row>
    <row r="7400">
      <c r="A7400" s="49">
        <v>45098.98195402778</v>
      </c>
      <c r="B7400" s="50">
        <v>45099.1069381944</v>
      </c>
      <c r="C7400" s="51">
        <v>1.005</v>
      </c>
      <c r="D7400" s="51">
        <v>70.0</v>
      </c>
      <c r="E7400" s="52" t="s">
        <v>25</v>
      </c>
      <c r="F7400" s="52" t="s">
        <v>26</v>
      </c>
      <c r="G7400" s="53"/>
    </row>
    <row r="7401">
      <c r="A7401" s="49">
        <v>45098.99238606481</v>
      </c>
      <c r="B7401" s="50">
        <v>45099.1173600231</v>
      </c>
      <c r="C7401" s="51">
        <v>1.005</v>
      </c>
      <c r="D7401" s="51">
        <v>70.0</v>
      </c>
      <c r="E7401" s="52" t="s">
        <v>25</v>
      </c>
      <c r="F7401" s="52" t="s">
        <v>26</v>
      </c>
      <c r="G7401" s="53"/>
    </row>
    <row r="7402">
      <c r="A7402" s="49">
        <v>45099.00280482639</v>
      </c>
      <c r="B7402" s="50">
        <v>45099.1277807291</v>
      </c>
      <c r="C7402" s="51">
        <v>1.005</v>
      </c>
      <c r="D7402" s="51">
        <v>70.0</v>
      </c>
      <c r="E7402" s="52" t="s">
        <v>25</v>
      </c>
      <c r="F7402" s="52" t="s">
        <v>26</v>
      </c>
      <c r="G7402" s="53"/>
    </row>
    <row r="7403">
      <c r="A7403" s="49">
        <v>45099.01323490741</v>
      </c>
      <c r="B7403" s="50">
        <v>45099.1382010532</v>
      </c>
      <c r="C7403" s="51">
        <v>1.005</v>
      </c>
      <c r="D7403" s="51">
        <v>70.0</v>
      </c>
      <c r="E7403" s="52" t="s">
        <v>25</v>
      </c>
      <c r="F7403" s="52" t="s">
        <v>26</v>
      </c>
      <c r="G7403" s="53"/>
    </row>
    <row r="7404">
      <c r="A7404" s="49">
        <v>45099.02364559028</v>
      </c>
      <c r="B7404" s="50">
        <v>45099.1486217013</v>
      </c>
      <c r="C7404" s="51">
        <v>1.005</v>
      </c>
      <c r="D7404" s="51">
        <v>70.0</v>
      </c>
      <c r="E7404" s="52" t="s">
        <v>25</v>
      </c>
      <c r="F7404" s="52" t="s">
        <v>26</v>
      </c>
      <c r="G7404" s="53"/>
    </row>
    <row r="7405">
      <c r="A7405" s="49">
        <v>45099.03406038195</v>
      </c>
      <c r="B7405" s="50">
        <v>45099.159042199</v>
      </c>
      <c r="C7405" s="51">
        <v>1.005</v>
      </c>
      <c r="D7405" s="51">
        <v>70.0</v>
      </c>
      <c r="E7405" s="52" t="s">
        <v>25</v>
      </c>
      <c r="F7405" s="52" t="s">
        <v>26</v>
      </c>
      <c r="G7405" s="53"/>
    </row>
    <row r="7406">
      <c r="A7406" s="49">
        <v>45099.04449042824</v>
      </c>
      <c r="B7406" s="50">
        <v>45099.1694636226</v>
      </c>
      <c r="C7406" s="51">
        <v>1.005</v>
      </c>
      <c r="D7406" s="51">
        <v>70.0</v>
      </c>
      <c r="E7406" s="52" t="s">
        <v>25</v>
      </c>
      <c r="F7406" s="52" t="s">
        <v>26</v>
      </c>
      <c r="G7406" s="53"/>
    </row>
    <row r="7407">
      <c r="A7407" s="49">
        <v>45099.05491659722</v>
      </c>
      <c r="B7407" s="50">
        <v>45099.1798843634</v>
      </c>
      <c r="C7407" s="51">
        <v>1.005</v>
      </c>
      <c r="D7407" s="51">
        <v>70.0</v>
      </c>
      <c r="E7407" s="52" t="s">
        <v>25</v>
      </c>
      <c r="F7407" s="52" t="s">
        <v>26</v>
      </c>
      <c r="G7407" s="53"/>
    </row>
    <row r="7408">
      <c r="A7408" s="49">
        <v>45099.06533145833</v>
      </c>
      <c r="B7408" s="50">
        <v>45099.190306574</v>
      </c>
      <c r="C7408" s="51">
        <v>1.005</v>
      </c>
      <c r="D7408" s="51">
        <v>70.0</v>
      </c>
      <c r="E7408" s="52" t="s">
        <v>25</v>
      </c>
      <c r="F7408" s="52" t="s">
        <v>26</v>
      </c>
      <c r="G7408" s="53"/>
    </row>
    <row r="7409">
      <c r="A7409" s="49">
        <v>45099.075794652774</v>
      </c>
      <c r="B7409" s="50">
        <v>45099.2007637268</v>
      </c>
      <c r="C7409" s="51">
        <v>1.005</v>
      </c>
      <c r="D7409" s="51">
        <v>70.0</v>
      </c>
      <c r="E7409" s="52" t="s">
        <v>25</v>
      </c>
      <c r="F7409" s="52" t="s">
        <v>26</v>
      </c>
      <c r="G7409" s="53"/>
    </row>
    <row r="7410">
      <c r="A7410" s="49">
        <v>45099.0862064699</v>
      </c>
      <c r="B7410" s="50">
        <v>45099.2111837615</v>
      </c>
      <c r="C7410" s="51">
        <v>1.005</v>
      </c>
      <c r="D7410" s="51">
        <v>70.0</v>
      </c>
      <c r="E7410" s="52" t="s">
        <v>25</v>
      </c>
      <c r="F7410" s="52" t="s">
        <v>26</v>
      </c>
      <c r="G7410" s="53"/>
    </row>
    <row r="7411">
      <c r="A7411" s="49">
        <v>45099.096661793985</v>
      </c>
      <c r="B7411" s="50">
        <v>45099.2216276504</v>
      </c>
      <c r="C7411" s="51">
        <v>1.005</v>
      </c>
      <c r="D7411" s="51">
        <v>70.0</v>
      </c>
      <c r="E7411" s="52" t="s">
        <v>25</v>
      </c>
      <c r="F7411" s="52" t="s">
        <v>26</v>
      </c>
      <c r="G7411" s="53"/>
    </row>
    <row r="7412">
      <c r="A7412" s="49">
        <v>45099.10708289352</v>
      </c>
      <c r="B7412" s="50">
        <v>45099.2320606597</v>
      </c>
      <c r="C7412" s="51">
        <v>1.005</v>
      </c>
      <c r="D7412" s="51">
        <v>70.0</v>
      </c>
      <c r="E7412" s="52" t="s">
        <v>25</v>
      </c>
      <c r="F7412" s="52" t="s">
        <v>26</v>
      </c>
      <c r="G7412" s="53"/>
    </row>
    <row r="7413">
      <c r="A7413" s="49">
        <v>45099.11751315973</v>
      </c>
      <c r="B7413" s="50">
        <v>45099.2424851388</v>
      </c>
      <c r="C7413" s="51">
        <v>1.005</v>
      </c>
      <c r="D7413" s="51">
        <v>70.0</v>
      </c>
      <c r="E7413" s="52" t="s">
        <v>25</v>
      </c>
      <c r="F7413" s="52" t="s">
        <v>26</v>
      </c>
      <c r="G7413" s="53"/>
    </row>
    <row r="7414">
      <c r="A7414" s="49">
        <v>45099.12793431713</v>
      </c>
      <c r="B7414" s="50">
        <v>45099.2529058564</v>
      </c>
      <c r="C7414" s="51">
        <v>1.005</v>
      </c>
      <c r="D7414" s="51">
        <v>70.0</v>
      </c>
      <c r="E7414" s="52" t="s">
        <v>25</v>
      </c>
      <c r="F7414" s="52" t="s">
        <v>26</v>
      </c>
      <c r="G7414" s="53"/>
    </row>
    <row r="7415">
      <c r="A7415" s="49">
        <v>45099.13835253472</v>
      </c>
      <c r="B7415" s="50">
        <v>45099.2633274537</v>
      </c>
      <c r="C7415" s="51">
        <v>1.005</v>
      </c>
      <c r="D7415" s="51">
        <v>70.0</v>
      </c>
      <c r="E7415" s="52" t="s">
        <v>25</v>
      </c>
      <c r="F7415" s="52" t="s">
        <v>26</v>
      </c>
      <c r="G7415" s="53"/>
    </row>
    <row r="7416">
      <c r="A7416" s="49">
        <v>45099.14877006944</v>
      </c>
      <c r="B7416" s="50">
        <v>45099.2737488657</v>
      </c>
      <c r="C7416" s="51">
        <v>1.005</v>
      </c>
      <c r="D7416" s="51">
        <v>70.0</v>
      </c>
      <c r="E7416" s="52" t="s">
        <v>25</v>
      </c>
      <c r="F7416" s="52" t="s">
        <v>26</v>
      </c>
      <c r="G7416" s="53"/>
    </row>
    <row r="7417">
      <c r="A7417" s="49">
        <v>45099.15919181713</v>
      </c>
      <c r="B7417" s="50">
        <v>45099.2841705902</v>
      </c>
      <c r="C7417" s="51">
        <v>1.005</v>
      </c>
      <c r="D7417" s="51">
        <v>70.0</v>
      </c>
      <c r="E7417" s="52" t="s">
        <v>25</v>
      </c>
      <c r="F7417" s="52" t="s">
        <v>26</v>
      </c>
      <c r="G7417" s="53"/>
    </row>
    <row r="7418">
      <c r="A7418" s="49">
        <v>45099.169610474535</v>
      </c>
      <c r="B7418" s="50">
        <v>45099.2945910301</v>
      </c>
      <c r="C7418" s="51">
        <v>1.005</v>
      </c>
      <c r="D7418" s="51">
        <v>70.0</v>
      </c>
      <c r="E7418" s="52" t="s">
        <v>25</v>
      </c>
      <c r="F7418" s="52" t="s">
        <v>26</v>
      </c>
      <c r="G7418" s="53"/>
    </row>
    <row r="7419">
      <c r="A7419" s="49">
        <v>45099.18004695602</v>
      </c>
      <c r="B7419" s="50">
        <v>45099.3050112152</v>
      </c>
      <c r="C7419" s="51">
        <v>1.005</v>
      </c>
      <c r="D7419" s="51">
        <v>70.0</v>
      </c>
      <c r="E7419" s="52" t="s">
        <v>25</v>
      </c>
      <c r="F7419" s="52" t="s">
        <v>26</v>
      </c>
      <c r="G7419" s="53"/>
    </row>
    <row r="7420">
      <c r="A7420" s="49">
        <v>45099.19045879629</v>
      </c>
      <c r="B7420" s="50">
        <v>45099.3154342939</v>
      </c>
      <c r="C7420" s="51">
        <v>1.005</v>
      </c>
      <c r="D7420" s="51">
        <v>70.0</v>
      </c>
      <c r="E7420" s="52" t="s">
        <v>25</v>
      </c>
      <c r="F7420" s="52" t="s">
        <v>26</v>
      </c>
      <c r="G7420" s="53"/>
    </row>
    <row r="7421">
      <c r="A7421" s="49">
        <v>45099.2008793287</v>
      </c>
      <c r="B7421" s="50">
        <v>45099.3258540046</v>
      </c>
      <c r="C7421" s="51">
        <v>1.005</v>
      </c>
      <c r="D7421" s="51">
        <v>70.0</v>
      </c>
      <c r="E7421" s="52" t="s">
        <v>25</v>
      </c>
      <c r="F7421" s="52" t="s">
        <v>26</v>
      </c>
      <c r="G7421" s="53"/>
    </row>
    <row r="7422">
      <c r="A7422" s="49">
        <v>45099.21129752314</v>
      </c>
      <c r="B7422" s="50">
        <v>45099.3362749768</v>
      </c>
      <c r="C7422" s="51">
        <v>1.005</v>
      </c>
      <c r="D7422" s="51">
        <v>70.0</v>
      </c>
      <c r="E7422" s="52" t="s">
        <v>25</v>
      </c>
      <c r="F7422" s="52" t="s">
        <v>26</v>
      </c>
      <c r="G7422" s="53"/>
    </row>
    <row r="7423">
      <c r="A7423" s="49">
        <v>45099.22172366898</v>
      </c>
      <c r="B7423" s="50">
        <v>45099.3466949884</v>
      </c>
      <c r="C7423" s="51">
        <v>1.005</v>
      </c>
      <c r="D7423" s="51">
        <v>70.0</v>
      </c>
      <c r="E7423" s="52" t="s">
        <v>25</v>
      </c>
      <c r="F7423" s="52" t="s">
        <v>26</v>
      </c>
      <c r="G7423" s="53"/>
    </row>
    <row r="7424">
      <c r="A7424" s="49">
        <v>45099.23214767361</v>
      </c>
      <c r="B7424" s="50">
        <v>45099.3571164699</v>
      </c>
      <c r="C7424" s="51">
        <v>1.005</v>
      </c>
      <c r="D7424" s="51">
        <v>70.0</v>
      </c>
      <c r="E7424" s="52" t="s">
        <v>25</v>
      </c>
      <c r="F7424" s="52" t="s">
        <v>26</v>
      </c>
      <c r="G7424" s="53"/>
    </row>
    <row r="7425">
      <c r="A7425" s="49">
        <v>45099.24257876158</v>
      </c>
      <c r="B7425" s="50">
        <v>45099.3675378819</v>
      </c>
      <c r="C7425" s="51">
        <v>1.005</v>
      </c>
      <c r="D7425" s="51">
        <v>70.0</v>
      </c>
      <c r="E7425" s="52" t="s">
        <v>25</v>
      </c>
      <c r="F7425" s="52" t="s">
        <v>26</v>
      </c>
      <c r="G7425" s="53"/>
    </row>
    <row r="7426">
      <c r="A7426" s="49">
        <v>45099.252980000005</v>
      </c>
      <c r="B7426" s="50">
        <v>45099.3779594444</v>
      </c>
      <c r="C7426" s="51">
        <v>1.005</v>
      </c>
      <c r="D7426" s="51">
        <v>70.0</v>
      </c>
      <c r="E7426" s="52" t="s">
        <v>25</v>
      </c>
      <c r="F7426" s="52" t="s">
        <v>26</v>
      </c>
      <c r="G7426" s="53"/>
    </row>
    <row r="7427">
      <c r="A7427" s="49">
        <v>45099.263422881944</v>
      </c>
      <c r="B7427" s="50">
        <v>45099.3883916319</v>
      </c>
      <c r="C7427" s="51">
        <v>1.005</v>
      </c>
      <c r="D7427" s="51">
        <v>70.0</v>
      </c>
      <c r="E7427" s="52" t="s">
        <v>25</v>
      </c>
      <c r="F7427" s="52" t="s">
        <v>26</v>
      </c>
      <c r="G7427" s="53"/>
    </row>
    <row r="7428">
      <c r="A7428" s="49">
        <v>45099.273842083334</v>
      </c>
      <c r="B7428" s="50">
        <v>45099.3988119791</v>
      </c>
      <c r="C7428" s="51">
        <v>1.005</v>
      </c>
      <c r="D7428" s="51">
        <v>70.0</v>
      </c>
      <c r="E7428" s="52" t="s">
        <v>25</v>
      </c>
      <c r="F7428" s="52" t="s">
        <v>26</v>
      </c>
      <c r="G7428" s="53"/>
    </row>
    <row r="7429">
      <c r="A7429" s="49">
        <v>45099.284286678245</v>
      </c>
      <c r="B7429" s="50">
        <v>45099.4092573611</v>
      </c>
      <c r="C7429" s="51">
        <v>1.005</v>
      </c>
      <c r="D7429" s="51">
        <v>70.0</v>
      </c>
      <c r="E7429" s="52" t="s">
        <v>25</v>
      </c>
      <c r="F7429" s="52" t="s">
        <v>26</v>
      </c>
      <c r="G7429" s="53"/>
    </row>
    <row r="7430">
      <c r="A7430" s="49">
        <v>45099.294710891205</v>
      </c>
      <c r="B7430" s="50">
        <v>45099.4196791782</v>
      </c>
      <c r="C7430" s="51">
        <v>1.005</v>
      </c>
      <c r="D7430" s="51">
        <v>70.0</v>
      </c>
      <c r="E7430" s="52" t="s">
        <v>25</v>
      </c>
      <c r="F7430" s="52" t="s">
        <v>26</v>
      </c>
      <c r="G7430" s="53"/>
    </row>
    <row r="7431">
      <c r="A7431" s="49">
        <v>45099.30512975695</v>
      </c>
      <c r="B7431" s="50">
        <v>45099.4301006828</v>
      </c>
      <c r="C7431" s="51">
        <v>1.005</v>
      </c>
      <c r="D7431" s="51">
        <v>70.0</v>
      </c>
      <c r="E7431" s="52" t="s">
        <v>25</v>
      </c>
      <c r="F7431" s="52" t="s">
        <v>26</v>
      </c>
      <c r="G7431" s="53"/>
    </row>
    <row r="7432">
      <c r="A7432" s="49">
        <v>45099.315545798614</v>
      </c>
      <c r="B7432" s="50">
        <v>45099.4405219791</v>
      </c>
      <c r="C7432" s="51">
        <v>1.005</v>
      </c>
      <c r="D7432" s="51">
        <v>70.0</v>
      </c>
      <c r="E7432" s="52" t="s">
        <v>25</v>
      </c>
      <c r="F7432" s="52" t="s">
        <v>26</v>
      </c>
      <c r="G7432" s="53"/>
    </row>
    <row r="7433">
      <c r="A7433" s="49">
        <v>45099.32596929398</v>
      </c>
      <c r="B7433" s="50">
        <v>45099.4509423842</v>
      </c>
      <c r="C7433" s="51">
        <v>1.005</v>
      </c>
      <c r="D7433" s="51">
        <v>70.0</v>
      </c>
      <c r="E7433" s="52" t="s">
        <v>25</v>
      </c>
      <c r="F7433" s="52" t="s">
        <v>26</v>
      </c>
      <c r="G7433" s="53"/>
    </row>
    <row r="7434">
      <c r="A7434" s="49">
        <v>45099.336387013886</v>
      </c>
      <c r="B7434" s="50">
        <v>45099.4613647106</v>
      </c>
      <c r="C7434" s="51">
        <v>1.005</v>
      </c>
      <c r="D7434" s="51">
        <v>70.0</v>
      </c>
      <c r="E7434" s="52" t="s">
        <v>25</v>
      </c>
      <c r="F7434" s="52" t="s">
        <v>26</v>
      </c>
      <c r="G7434" s="53"/>
    </row>
    <row r="7435">
      <c r="A7435" s="49">
        <v>45099.3468070949</v>
      </c>
      <c r="B7435" s="50">
        <v>45099.4717882291</v>
      </c>
      <c r="C7435" s="51">
        <v>1.005</v>
      </c>
      <c r="D7435" s="51">
        <v>70.0</v>
      </c>
      <c r="E7435" s="52" t="s">
        <v>25</v>
      </c>
      <c r="F7435" s="52" t="s">
        <v>26</v>
      </c>
      <c r="G7435" s="53"/>
    </row>
    <row r="7436">
      <c r="A7436" s="49">
        <v>45099.35723547454</v>
      </c>
      <c r="B7436" s="50">
        <v>45099.4822105902</v>
      </c>
      <c r="C7436" s="51">
        <v>1.005</v>
      </c>
      <c r="D7436" s="51">
        <v>70.0</v>
      </c>
      <c r="E7436" s="52" t="s">
        <v>25</v>
      </c>
      <c r="F7436" s="52" t="s">
        <v>26</v>
      </c>
      <c r="G7436" s="53"/>
    </row>
    <row r="7437">
      <c r="A7437" s="49">
        <v>45099.367651875</v>
      </c>
      <c r="B7437" s="50">
        <v>45099.4926319791</v>
      </c>
      <c r="C7437" s="51">
        <v>1.005</v>
      </c>
      <c r="D7437" s="51">
        <v>70.0</v>
      </c>
      <c r="E7437" s="52" t="s">
        <v>25</v>
      </c>
      <c r="F7437" s="52" t="s">
        <v>26</v>
      </c>
      <c r="G7437" s="53"/>
    </row>
    <row r="7438">
      <c r="A7438" s="49">
        <v>45099.37807597222</v>
      </c>
      <c r="B7438" s="50">
        <v>45099.503051412</v>
      </c>
      <c r="C7438" s="51">
        <v>1.005</v>
      </c>
      <c r="D7438" s="51">
        <v>70.0</v>
      </c>
      <c r="E7438" s="52" t="s">
        <v>25</v>
      </c>
      <c r="F7438" s="52" t="s">
        <v>26</v>
      </c>
      <c r="G7438" s="53"/>
    </row>
    <row r="7439">
      <c r="A7439" s="49">
        <v>45099.38852199074</v>
      </c>
      <c r="B7439" s="50">
        <v>45099.5134962847</v>
      </c>
      <c r="C7439" s="51">
        <v>1.005</v>
      </c>
      <c r="D7439" s="51">
        <v>70.0</v>
      </c>
      <c r="E7439" s="52" t="s">
        <v>25</v>
      </c>
      <c r="F7439" s="52" t="s">
        <v>26</v>
      </c>
      <c r="G7439" s="53"/>
    </row>
    <row r="7440">
      <c r="A7440" s="49">
        <v>45099.398958425925</v>
      </c>
      <c r="B7440" s="50">
        <v>45099.5239275463</v>
      </c>
      <c r="C7440" s="51">
        <v>1.005</v>
      </c>
      <c r="D7440" s="51">
        <v>70.0</v>
      </c>
      <c r="E7440" s="52" t="s">
        <v>25</v>
      </c>
      <c r="F7440" s="52" t="s">
        <v>26</v>
      </c>
      <c r="G7440" s="53"/>
    </row>
    <row r="7441">
      <c r="A7441" s="49">
        <v>45099.40938413194</v>
      </c>
      <c r="B7441" s="50">
        <v>45099.5343499421</v>
      </c>
      <c r="C7441" s="51">
        <v>1.005</v>
      </c>
      <c r="D7441" s="51">
        <v>70.0</v>
      </c>
      <c r="E7441" s="52" t="s">
        <v>25</v>
      </c>
      <c r="F7441" s="52" t="s">
        <v>26</v>
      </c>
      <c r="G7441" s="53"/>
    </row>
    <row r="7442">
      <c r="A7442" s="49">
        <v>45099.41981277778</v>
      </c>
      <c r="B7442" s="50">
        <v>45099.5447862731</v>
      </c>
      <c r="C7442" s="51">
        <v>1.005</v>
      </c>
      <c r="D7442" s="51">
        <v>70.0</v>
      </c>
      <c r="E7442" s="52" t="s">
        <v>25</v>
      </c>
      <c r="F7442" s="52" t="s">
        <v>26</v>
      </c>
      <c r="G7442" s="53"/>
    </row>
    <row r="7443">
      <c r="A7443" s="49">
        <v>45099.43023209491</v>
      </c>
      <c r="B7443" s="50">
        <v>45099.5552077314</v>
      </c>
      <c r="C7443" s="51">
        <v>1.005</v>
      </c>
      <c r="D7443" s="51">
        <v>70.0</v>
      </c>
      <c r="E7443" s="52" t="s">
        <v>25</v>
      </c>
      <c r="F7443" s="52" t="s">
        <v>26</v>
      </c>
      <c r="G7443" s="53"/>
    </row>
    <row r="7444">
      <c r="A7444" s="49">
        <v>45099.44066715278</v>
      </c>
      <c r="B7444" s="50">
        <v>45099.5656418865</v>
      </c>
      <c r="C7444" s="51">
        <v>1.005</v>
      </c>
      <c r="D7444" s="51">
        <v>70.0</v>
      </c>
      <c r="E7444" s="52" t="s">
        <v>25</v>
      </c>
      <c r="F7444" s="52" t="s">
        <v>26</v>
      </c>
      <c r="G7444" s="53"/>
    </row>
    <row r="7445">
      <c r="A7445" s="49">
        <v>45099.45108629629</v>
      </c>
      <c r="B7445" s="50">
        <v>45099.5760623495</v>
      </c>
      <c r="C7445" s="51">
        <v>1.005</v>
      </c>
      <c r="D7445" s="51">
        <v>70.0</v>
      </c>
      <c r="E7445" s="52" t="s">
        <v>25</v>
      </c>
      <c r="F7445" s="52" t="s">
        <v>26</v>
      </c>
      <c r="G7445" s="53"/>
    </row>
    <row r="7446">
      <c r="A7446" s="49">
        <v>45099.46150989583</v>
      </c>
      <c r="B7446" s="50">
        <v>45099.5864839814</v>
      </c>
      <c r="C7446" s="51">
        <v>1.005</v>
      </c>
      <c r="D7446" s="51">
        <v>70.0</v>
      </c>
      <c r="E7446" s="52" t="s">
        <v>25</v>
      </c>
      <c r="F7446" s="52" t="s">
        <v>26</v>
      </c>
      <c r="G7446" s="53"/>
    </row>
    <row r="7447">
      <c r="A7447" s="49">
        <v>45099.47193915509</v>
      </c>
      <c r="B7447" s="50">
        <v>45099.5969044328</v>
      </c>
      <c r="C7447" s="51">
        <v>1.005</v>
      </c>
      <c r="D7447" s="51">
        <v>70.0</v>
      </c>
      <c r="E7447" s="52" t="s">
        <v>25</v>
      </c>
      <c r="F7447" s="52" t="s">
        <v>26</v>
      </c>
      <c r="G7447" s="53"/>
    </row>
    <row r="7448">
      <c r="A7448" s="49">
        <v>45099.482352754625</v>
      </c>
      <c r="B7448" s="50">
        <v>45099.6073258333</v>
      </c>
      <c r="C7448" s="51">
        <v>1.005</v>
      </c>
      <c r="D7448" s="51">
        <v>70.0</v>
      </c>
      <c r="E7448" s="52" t="s">
        <v>25</v>
      </c>
      <c r="F7448" s="52" t="s">
        <v>26</v>
      </c>
      <c r="G7448" s="53"/>
    </row>
    <row r="7449">
      <c r="A7449" s="49">
        <v>45099.49278237269</v>
      </c>
      <c r="B7449" s="50">
        <v>45099.6177571296</v>
      </c>
      <c r="C7449" s="51">
        <v>1.005</v>
      </c>
      <c r="D7449" s="51">
        <v>70.0</v>
      </c>
      <c r="E7449" s="52" t="s">
        <v>25</v>
      </c>
      <c r="F7449" s="52" t="s">
        <v>26</v>
      </c>
      <c r="G7449" s="53"/>
    </row>
    <row r="7450">
      <c r="A7450" s="49">
        <v>45099.50319642361</v>
      </c>
      <c r="B7450" s="50">
        <v>45099.6281780092</v>
      </c>
      <c r="C7450" s="51">
        <v>1.005</v>
      </c>
      <c r="D7450" s="51">
        <v>70.0</v>
      </c>
      <c r="E7450" s="52" t="s">
        <v>25</v>
      </c>
      <c r="F7450" s="52" t="s">
        <v>26</v>
      </c>
      <c r="G7450" s="53"/>
    </row>
    <row r="7451">
      <c r="A7451" s="49">
        <v>45099.51363378472</v>
      </c>
      <c r="B7451" s="50">
        <v>45099.6385979282</v>
      </c>
      <c r="C7451" s="51">
        <v>1.005</v>
      </c>
      <c r="D7451" s="51">
        <v>70.0</v>
      </c>
      <c r="E7451" s="52" t="s">
        <v>25</v>
      </c>
      <c r="F7451" s="52" t="s">
        <v>26</v>
      </c>
      <c r="G7451" s="53"/>
    </row>
    <row r="7452">
      <c r="A7452" s="49">
        <v>45099.52404646991</v>
      </c>
      <c r="B7452" s="50">
        <v>45099.6490198958</v>
      </c>
      <c r="C7452" s="51">
        <v>1.005</v>
      </c>
      <c r="D7452" s="51">
        <v>70.0</v>
      </c>
      <c r="E7452" s="52" t="s">
        <v>25</v>
      </c>
      <c r="F7452" s="52" t="s">
        <v>26</v>
      </c>
      <c r="G7452" s="53"/>
    </row>
    <row r="7453">
      <c r="A7453" s="49">
        <v>45099.53447417824</v>
      </c>
      <c r="B7453" s="50">
        <v>45099.6594408796</v>
      </c>
      <c r="C7453" s="51">
        <v>1.005</v>
      </c>
      <c r="D7453" s="51">
        <v>70.0</v>
      </c>
      <c r="E7453" s="52" t="s">
        <v>25</v>
      </c>
      <c r="F7453" s="52" t="s">
        <v>26</v>
      </c>
      <c r="G7453" s="53"/>
    </row>
    <row r="7454">
      <c r="A7454" s="49">
        <v>45099.54488857639</v>
      </c>
      <c r="B7454" s="50">
        <v>45099.6698631944</v>
      </c>
      <c r="C7454" s="51">
        <v>1.005</v>
      </c>
      <c r="D7454" s="51">
        <v>70.0</v>
      </c>
      <c r="E7454" s="52" t="s">
        <v>25</v>
      </c>
      <c r="F7454" s="52" t="s">
        <v>26</v>
      </c>
      <c r="G7454" s="53"/>
    </row>
    <row r="7455">
      <c r="A7455" s="49">
        <v>45099.55532783565</v>
      </c>
      <c r="B7455" s="50">
        <v>45099.6802970254</v>
      </c>
      <c r="C7455" s="51">
        <v>1.005</v>
      </c>
      <c r="D7455" s="51">
        <v>70.0</v>
      </c>
      <c r="E7455" s="52" t="s">
        <v>25</v>
      </c>
      <c r="F7455" s="52" t="s">
        <v>26</v>
      </c>
      <c r="G7455" s="53"/>
    </row>
    <row r="7456">
      <c r="A7456" s="49">
        <v>45099.56574481481</v>
      </c>
      <c r="B7456" s="50">
        <v>45099.6907189583</v>
      </c>
      <c r="C7456" s="51">
        <v>1.005</v>
      </c>
      <c r="D7456" s="51">
        <v>70.0</v>
      </c>
      <c r="E7456" s="52" t="s">
        <v>25</v>
      </c>
      <c r="F7456" s="52" t="s">
        <v>26</v>
      </c>
      <c r="G7456" s="53"/>
    </row>
    <row r="7457">
      <c r="A7457" s="49">
        <v>45099.57617331018</v>
      </c>
      <c r="B7457" s="50">
        <v>45099.7011403588</v>
      </c>
      <c r="C7457" s="51">
        <v>1.005</v>
      </c>
      <c r="D7457" s="51">
        <v>70.0</v>
      </c>
      <c r="E7457" s="52" t="s">
        <v>25</v>
      </c>
      <c r="F7457" s="52" t="s">
        <v>26</v>
      </c>
      <c r="G7457" s="53"/>
    </row>
    <row r="7458">
      <c r="A7458" s="49">
        <v>45099.586592314816</v>
      </c>
      <c r="B7458" s="50">
        <v>45099.7115630902</v>
      </c>
      <c r="C7458" s="51">
        <v>1.005</v>
      </c>
      <c r="D7458" s="51">
        <v>70.0</v>
      </c>
      <c r="E7458" s="52" t="s">
        <v>25</v>
      </c>
      <c r="F7458" s="52" t="s">
        <v>26</v>
      </c>
      <c r="G7458" s="53"/>
    </row>
    <row r="7459">
      <c r="A7459" s="49">
        <v>45099.597011481485</v>
      </c>
      <c r="B7459" s="50">
        <v>45099.7219834953</v>
      </c>
      <c r="C7459" s="51">
        <v>1.005</v>
      </c>
      <c r="D7459" s="51">
        <v>70.0</v>
      </c>
      <c r="E7459" s="52" t="s">
        <v>25</v>
      </c>
      <c r="F7459" s="52" t="s">
        <v>26</v>
      </c>
      <c r="G7459" s="53"/>
    </row>
    <row r="7460">
      <c r="A7460" s="49">
        <v>45099.607443587964</v>
      </c>
      <c r="B7460" s="50">
        <v>45099.7324158796</v>
      </c>
      <c r="C7460" s="51">
        <v>1.005</v>
      </c>
      <c r="D7460" s="51">
        <v>70.0</v>
      </c>
      <c r="E7460" s="52" t="s">
        <v>25</v>
      </c>
      <c r="F7460" s="52" t="s">
        <v>26</v>
      </c>
      <c r="G7460" s="53"/>
    </row>
    <row r="7461">
      <c r="A7461" s="49">
        <v>45099.61786427083</v>
      </c>
      <c r="B7461" s="50">
        <v>45099.7428365393</v>
      </c>
      <c r="C7461" s="51">
        <v>1.005</v>
      </c>
      <c r="D7461" s="51">
        <v>70.0</v>
      </c>
      <c r="E7461" s="52" t="s">
        <v>25</v>
      </c>
      <c r="F7461" s="52" t="s">
        <v>26</v>
      </c>
      <c r="G7461" s="53"/>
    </row>
    <row r="7462">
      <c r="A7462" s="49">
        <v>45099.62827725694</v>
      </c>
      <c r="B7462" s="50">
        <v>45099.7532577314</v>
      </c>
      <c r="C7462" s="51">
        <v>1.005</v>
      </c>
      <c r="D7462" s="51">
        <v>70.0</v>
      </c>
      <c r="E7462" s="52" t="s">
        <v>25</v>
      </c>
      <c r="F7462" s="52" t="s">
        <v>26</v>
      </c>
      <c r="G7462" s="53"/>
    </row>
    <row r="7463">
      <c r="A7463" s="49">
        <v>45099.6387024537</v>
      </c>
      <c r="B7463" s="50">
        <v>45099.7636790046</v>
      </c>
      <c r="C7463" s="51">
        <v>1.005</v>
      </c>
      <c r="D7463" s="51">
        <v>70.0</v>
      </c>
      <c r="E7463" s="52" t="s">
        <v>25</v>
      </c>
      <c r="F7463" s="52" t="s">
        <v>26</v>
      </c>
      <c r="G7463" s="53"/>
    </row>
    <row r="7464">
      <c r="A7464" s="49">
        <v>45099.64912494213</v>
      </c>
      <c r="B7464" s="50">
        <v>45099.7741007407</v>
      </c>
      <c r="C7464" s="51">
        <v>1.005</v>
      </c>
      <c r="D7464" s="51">
        <v>70.0</v>
      </c>
      <c r="E7464" s="52" t="s">
        <v>25</v>
      </c>
      <c r="F7464" s="52" t="s">
        <v>26</v>
      </c>
      <c r="G7464" s="53"/>
    </row>
    <row r="7465">
      <c r="A7465" s="49">
        <v>45099.659564988426</v>
      </c>
      <c r="B7465" s="50">
        <v>45099.7845342361</v>
      </c>
      <c r="C7465" s="51">
        <v>1.005</v>
      </c>
      <c r="D7465" s="51">
        <v>70.0</v>
      </c>
      <c r="E7465" s="52" t="s">
        <v>25</v>
      </c>
      <c r="F7465" s="52" t="s">
        <v>26</v>
      </c>
      <c r="G7465" s="53"/>
    </row>
    <row r="7466">
      <c r="A7466" s="49">
        <v>45099.670034814815</v>
      </c>
      <c r="B7466" s="50">
        <v>45099.795003912</v>
      </c>
      <c r="C7466" s="51">
        <v>1.005</v>
      </c>
      <c r="D7466" s="51">
        <v>70.0</v>
      </c>
      <c r="E7466" s="52" t="s">
        <v>25</v>
      </c>
      <c r="F7466" s="52" t="s">
        <v>26</v>
      </c>
      <c r="G7466" s="53"/>
    </row>
    <row r="7467">
      <c r="A7467" s="49">
        <v>45099.68044972222</v>
      </c>
      <c r="B7467" s="50">
        <v>45099.805425706</v>
      </c>
      <c r="C7467" s="51">
        <v>1.005</v>
      </c>
      <c r="D7467" s="51">
        <v>70.0</v>
      </c>
      <c r="E7467" s="52" t="s">
        <v>25</v>
      </c>
      <c r="F7467" s="52" t="s">
        <v>26</v>
      </c>
      <c r="G7467" s="53"/>
    </row>
    <row r="7468">
      <c r="A7468" s="49">
        <v>45099.69089334491</v>
      </c>
      <c r="B7468" s="50">
        <v>45099.8158572338</v>
      </c>
      <c r="C7468" s="51">
        <v>1.005</v>
      </c>
      <c r="D7468" s="51">
        <v>70.0</v>
      </c>
      <c r="E7468" s="52" t="s">
        <v>25</v>
      </c>
      <c r="F7468" s="52" t="s">
        <v>26</v>
      </c>
      <c r="G7468" s="53"/>
    </row>
    <row r="7469">
      <c r="A7469" s="49">
        <v>45099.70130554398</v>
      </c>
      <c r="B7469" s="50">
        <v>45099.8262772222</v>
      </c>
      <c r="C7469" s="51">
        <v>1.005</v>
      </c>
      <c r="D7469" s="51">
        <v>70.0</v>
      </c>
      <c r="E7469" s="52" t="s">
        <v>25</v>
      </c>
      <c r="F7469" s="52" t="s">
        <v>26</v>
      </c>
      <c r="G7469" s="53"/>
    </row>
    <row r="7470">
      <c r="A7470" s="49">
        <v>45099.711742430554</v>
      </c>
      <c r="B7470" s="50">
        <v>45099.8367229629</v>
      </c>
      <c r="C7470" s="51">
        <v>1.005</v>
      </c>
      <c r="D7470" s="51">
        <v>70.0</v>
      </c>
      <c r="E7470" s="52" t="s">
        <v>25</v>
      </c>
      <c r="F7470" s="52" t="s">
        <v>26</v>
      </c>
      <c r="G7470" s="53"/>
    </row>
    <row r="7471">
      <c r="A7471" s="49">
        <v>45099.72219162037</v>
      </c>
      <c r="B7471" s="50">
        <v>45099.8471676041</v>
      </c>
      <c r="C7471" s="51">
        <v>1.005</v>
      </c>
      <c r="D7471" s="51">
        <v>70.0</v>
      </c>
      <c r="E7471" s="52" t="s">
        <v>25</v>
      </c>
      <c r="F7471" s="52" t="s">
        <v>26</v>
      </c>
      <c r="G7471" s="53"/>
    </row>
    <row r="7472">
      <c r="A7472" s="49">
        <v>45099.73261958333</v>
      </c>
      <c r="B7472" s="50">
        <v>45099.8575896296</v>
      </c>
      <c r="C7472" s="51">
        <v>1.005</v>
      </c>
      <c r="D7472" s="51">
        <v>70.0</v>
      </c>
      <c r="E7472" s="52" t="s">
        <v>25</v>
      </c>
      <c r="F7472" s="52" t="s">
        <v>26</v>
      </c>
      <c r="G7472" s="53"/>
    </row>
    <row r="7473">
      <c r="A7473" s="49">
        <v>45099.74303777778</v>
      </c>
      <c r="B7473" s="50">
        <v>45099.8680110995</v>
      </c>
      <c r="C7473" s="51">
        <v>1.005</v>
      </c>
      <c r="D7473" s="51">
        <v>70.0</v>
      </c>
      <c r="E7473" s="52" t="s">
        <v>25</v>
      </c>
      <c r="F7473" s="52" t="s">
        <v>26</v>
      </c>
      <c r="G7473" s="53"/>
    </row>
    <row r="7474">
      <c r="A7474" s="49">
        <v>45099.75348072917</v>
      </c>
      <c r="B7474" s="50">
        <v>45099.8784567245</v>
      </c>
      <c r="C7474" s="51">
        <v>1.005</v>
      </c>
      <c r="D7474" s="51">
        <v>70.0</v>
      </c>
      <c r="E7474" s="52" t="s">
        <v>25</v>
      </c>
      <c r="F7474" s="52" t="s">
        <v>26</v>
      </c>
      <c r="G7474" s="53"/>
    </row>
    <row r="7475">
      <c r="A7475" s="49">
        <v>45099.76393503472</v>
      </c>
      <c r="B7475" s="50">
        <v>45099.8889125694</v>
      </c>
      <c r="C7475" s="51">
        <v>1.005</v>
      </c>
      <c r="D7475" s="51">
        <v>70.0</v>
      </c>
      <c r="E7475" s="52" t="s">
        <v>25</v>
      </c>
      <c r="F7475" s="52" t="s">
        <v>26</v>
      </c>
      <c r="G7475" s="53"/>
    </row>
    <row r="7476">
      <c r="A7476" s="49">
        <v>45099.774355173606</v>
      </c>
      <c r="B7476" s="50">
        <v>45099.8993349189</v>
      </c>
      <c r="C7476" s="51">
        <v>1.005</v>
      </c>
      <c r="D7476" s="51">
        <v>70.0</v>
      </c>
      <c r="E7476" s="52" t="s">
        <v>25</v>
      </c>
      <c r="F7476" s="52" t="s">
        <v>26</v>
      </c>
      <c r="G7476" s="53"/>
    </row>
    <row r="7477">
      <c r="A7477" s="49">
        <v>45099.7847974537</v>
      </c>
      <c r="B7477" s="50">
        <v>45099.9097693634</v>
      </c>
      <c r="C7477" s="51">
        <v>1.005</v>
      </c>
      <c r="D7477" s="51">
        <v>70.0</v>
      </c>
      <c r="E7477" s="52" t="s">
        <v>25</v>
      </c>
      <c r="F7477" s="52" t="s">
        <v>26</v>
      </c>
      <c r="G7477" s="53"/>
    </row>
    <row r="7478">
      <c r="A7478" s="49">
        <v>45099.79521694445</v>
      </c>
      <c r="B7478" s="50">
        <v>45099.9201911805</v>
      </c>
      <c r="C7478" s="51">
        <v>1.005</v>
      </c>
      <c r="D7478" s="51">
        <v>70.0</v>
      </c>
      <c r="E7478" s="52" t="s">
        <v>25</v>
      </c>
      <c r="F7478" s="52" t="s">
        <v>26</v>
      </c>
      <c r="G7478" s="53"/>
    </row>
    <row r="7479">
      <c r="A7479" s="49">
        <v>45099.80563708334</v>
      </c>
      <c r="B7479" s="50">
        <v>45099.9306106018</v>
      </c>
      <c r="C7479" s="51">
        <v>1.005</v>
      </c>
      <c r="D7479" s="51">
        <v>70.0</v>
      </c>
      <c r="E7479" s="52" t="s">
        <v>25</v>
      </c>
      <c r="F7479" s="52" t="s">
        <v>26</v>
      </c>
      <c r="G7479" s="53"/>
    </row>
    <row r="7480">
      <c r="A7480" s="49">
        <v>45099.81605425926</v>
      </c>
      <c r="B7480" s="50">
        <v>45099.9410318634</v>
      </c>
      <c r="C7480" s="51">
        <v>1.005</v>
      </c>
      <c r="D7480" s="51">
        <v>70.0</v>
      </c>
      <c r="E7480" s="52" t="s">
        <v>25</v>
      </c>
      <c r="F7480" s="52" t="s">
        <v>26</v>
      </c>
      <c r="G7480" s="53"/>
    </row>
    <row r="7481">
      <c r="A7481" s="49">
        <v>45099.82647344907</v>
      </c>
      <c r="B7481" s="50">
        <v>45099.951451655</v>
      </c>
      <c r="C7481" s="51">
        <v>1.005</v>
      </c>
      <c r="D7481" s="51">
        <v>70.0</v>
      </c>
      <c r="E7481" s="52" t="s">
        <v>25</v>
      </c>
      <c r="F7481" s="52" t="s">
        <v>26</v>
      </c>
      <c r="G7481" s="53"/>
    </row>
    <row r="7482">
      <c r="A7482" s="49">
        <v>45099.83688834491</v>
      </c>
      <c r="B7482" s="50">
        <v>45099.9618705555</v>
      </c>
      <c r="C7482" s="51">
        <v>1.005</v>
      </c>
      <c r="D7482" s="51">
        <v>70.0</v>
      </c>
      <c r="E7482" s="52" t="s">
        <v>25</v>
      </c>
      <c r="F7482" s="52" t="s">
        <v>26</v>
      </c>
      <c r="G7482" s="53"/>
    </row>
    <row r="7483">
      <c r="A7483" s="49">
        <v>45099.8473219213</v>
      </c>
      <c r="B7483" s="50">
        <v>45099.9722932986</v>
      </c>
      <c r="C7483" s="51">
        <v>1.005</v>
      </c>
      <c r="D7483" s="51">
        <v>70.0</v>
      </c>
      <c r="E7483" s="52" t="s">
        <v>25</v>
      </c>
      <c r="F7483" s="52" t="s">
        <v>26</v>
      </c>
      <c r="G7483" s="53"/>
    </row>
    <row r="7484">
      <c r="A7484" s="49">
        <v>45099.8577338426</v>
      </c>
      <c r="B7484" s="50">
        <v>45099.9827142013</v>
      </c>
      <c r="C7484" s="51">
        <v>1.005</v>
      </c>
      <c r="D7484" s="51">
        <v>70.0</v>
      </c>
      <c r="E7484" s="52" t="s">
        <v>25</v>
      </c>
      <c r="F7484" s="52" t="s">
        <v>26</v>
      </c>
      <c r="G7484" s="53"/>
    </row>
    <row r="7485">
      <c r="A7485" s="49">
        <v>45099.86816791666</v>
      </c>
      <c r="B7485" s="50">
        <v>45099.9931367708</v>
      </c>
      <c r="C7485" s="51">
        <v>1.005</v>
      </c>
      <c r="D7485" s="51">
        <v>70.0</v>
      </c>
      <c r="E7485" s="52" t="s">
        <v>25</v>
      </c>
      <c r="F7485" s="52" t="s">
        <v>26</v>
      </c>
      <c r="G7485" s="53"/>
    </row>
    <row r="7486">
      <c r="A7486" s="49">
        <v>45099.87858510417</v>
      </c>
      <c r="B7486" s="50">
        <v>45100.0035581018</v>
      </c>
      <c r="C7486" s="51">
        <v>1.005</v>
      </c>
      <c r="D7486" s="51">
        <v>70.0</v>
      </c>
      <c r="E7486" s="52" t="s">
        <v>25</v>
      </c>
      <c r="F7486" s="52" t="s">
        <v>26</v>
      </c>
      <c r="G7486" s="53"/>
    </row>
    <row r="7487">
      <c r="A7487" s="49">
        <v>45099.889015567125</v>
      </c>
      <c r="B7487" s="50">
        <v>45100.0139898495</v>
      </c>
      <c r="C7487" s="51">
        <v>1.005</v>
      </c>
      <c r="D7487" s="51">
        <v>69.0</v>
      </c>
      <c r="E7487" s="52" t="s">
        <v>25</v>
      </c>
      <c r="F7487" s="52" t="s">
        <v>26</v>
      </c>
      <c r="G7487" s="53"/>
    </row>
    <row r="7488">
      <c r="A7488" s="49">
        <v>45099.899437685184</v>
      </c>
      <c r="B7488" s="50">
        <v>45100.0244105092</v>
      </c>
      <c r="C7488" s="51">
        <v>1.005</v>
      </c>
      <c r="D7488" s="51">
        <v>70.0</v>
      </c>
      <c r="E7488" s="52" t="s">
        <v>25</v>
      </c>
      <c r="F7488" s="52" t="s">
        <v>26</v>
      </c>
      <c r="G7488" s="53"/>
    </row>
    <row r="7489">
      <c r="A7489" s="49">
        <v>45099.90987362269</v>
      </c>
      <c r="B7489" s="50">
        <v>45100.0348540509</v>
      </c>
      <c r="C7489" s="51">
        <v>1.005</v>
      </c>
      <c r="D7489" s="51">
        <v>70.0</v>
      </c>
      <c r="E7489" s="52" t="s">
        <v>25</v>
      </c>
      <c r="F7489" s="52" t="s">
        <v>26</v>
      </c>
      <c r="G7489" s="53"/>
    </row>
    <row r="7490">
      <c r="A7490" s="49">
        <v>45099.920318125005</v>
      </c>
      <c r="B7490" s="50">
        <v>45100.0452866087</v>
      </c>
      <c r="C7490" s="51">
        <v>1.005</v>
      </c>
      <c r="D7490" s="51">
        <v>70.0</v>
      </c>
      <c r="E7490" s="52" t="s">
        <v>25</v>
      </c>
      <c r="F7490" s="52" t="s">
        <v>26</v>
      </c>
      <c r="G7490" s="53"/>
    </row>
    <row r="7491">
      <c r="A7491" s="49">
        <v>45099.93073436343</v>
      </c>
      <c r="B7491" s="50">
        <v>45100.0557077893</v>
      </c>
      <c r="C7491" s="51">
        <v>1.005</v>
      </c>
      <c r="D7491" s="51">
        <v>70.0</v>
      </c>
      <c r="E7491" s="52" t="s">
        <v>25</v>
      </c>
      <c r="F7491" s="52" t="s">
        <v>26</v>
      </c>
      <c r="G7491" s="53"/>
    </row>
    <row r="7492">
      <c r="A7492" s="49">
        <v>45099.941153321764</v>
      </c>
      <c r="B7492" s="50">
        <v>45100.0661302314</v>
      </c>
      <c r="C7492" s="51">
        <v>1.005</v>
      </c>
      <c r="D7492" s="51">
        <v>70.0</v>
      </c>
      <c r="E7492" s="52" t="s">
        <v>25</v>
      </c>
      <c r="F7492" s="52" t="s">
        <v>26</v>
      </c>
      <c r="G7492" s="53"/>
    </row>
    <row r="7493">
      <c r="A7493" s="49">
        <v>45099.95158425926</v>
      </c>
      <c r="B7493" s="50">
        <v>45100.076550324</v>
      </c>
      <c r="C7493" s="51">
        <v>1.005</v>
      </c>
      <c r="D7493" s="51">
        <v>70.0</v>
      </c>
      <c r="E7493" s="52" t="s">
        <v>25</v>
      </c>
      <c r="F7493" s="52" t="s">
        <v>26</v>
      </c>
      <c r="G7493" s="53"/>
    </row>
    <row r="7494">
      <c r="A7494" s="49">
        <v>45099.96199280093</v>
      </c>
      <c r="B7494" s="50">
        <v>45100.086970949</v>
      </c>
      <c r="C7494" s="51">
        <v>1.005</v>
      </c>
      <c r="D7494" s="51">
        <v>70.0</v>
      </c>
      <c r="E7494" s="52" t="s">
        <v>25</v>
      </c>
      <c r="F7494" s="52" t="s">
        <v>26</v>
      </c>
      <c r="G7494" s="53"/>
    </row>
    <row r="7495">
      <c r="A7495" s="49">
        <v>45099.972424293985</v>
      </c>
      <c r="B7495" s="50">
        <v>45100.0973924305</v>
      </c>
      <c r="C7495" s="51">
        <v>1.005</v>
      </c>
      <c r="D7495" s="51">
        <v>70.0</v>
      </c>
      <c r="E7495" s="52" t="s">
        <v>25</v>
      </c>
      <c r="F7495" s="52" t="s">
        <v>26</v>
      </c>
      <c r="G7495" s="53"/>
    </row>
    <row r="7496">
      <c r="A7496" s="49">
        <v>45099.982844432874</v>
      </c>
      <c r="B7496" s="50">
        <v>45100.107825243</v>
      </c>
      <c r="C7496" s="51">
        <v>1.005</v>
      </c>
      <c r="D7496" s="51">
        <v>70.0</v>
      </c>
      <c r="E7496" s="52" t="s">
        <v>25</v>
      </c>
      <c r="F7496" s="52" t="s">
        <v>26</v>
      </c>
      <c r="G7496" s="53"/>
    </row>
    <row r="7497">
      <c r="A7497" s="49">
        <v>45099.99326185185</v>
      </c>
      <c r="B7497" s="50">
        <v>45100.1182448495</v>
      </c>
      <c r="C7497" s="51">
        <v>1.005</v>
      </c>
      <c r="D7497" s="51">
        <v>70.0</v>
      </c>
      <c r="E7497" s="52" t="s">
        <v>25</v>
      </c>
      <c r="F7497" s="52" t="s">
        <v>26</v>
      </c>
      <c r="G7497" s="53"/>
    </row>
    <row r="7498">
      <c r="A7498" s="49">
        <v>45100.00369304398</v>
      </c>
      <c r="B7498" s="50">
        <v>45100.1286667592</v>
      </c>
      <c r="C7498" s="51">
        <v>1.005</v>
      </c>
      <c r="D7498" s="51">
        <v>69.0</v>
      </c>
      <c r="E7498" s="52" t="s">
        <v>25</v>
      </c>
      <c r="F7498" s="52" t="s">
        <v>26</v>
      </c>
      <c r="G7498" s="53"/>
    </row>
    <row r="7499">
      <c r="A7499" s="49">
        <v>45100.01410402778</v>
      </c>
      <c r="B7499" s="50">
        <v>45100.1390873726</v>
      </c>
      <c r="C7499" s="51">
        <v>1.005</v>
      </c>
      <c r="D7499" s="51">
        <v>69.0</v>
      </c>
      <c r="E7499" s="52" t="s">
        <v>25</v>
      </c>
      <c r="F7499" s="52" t="s">
        <v>26</v>
      </c>
      <c r="G7499" s="53"/>
    </row>
    <row r="7500">
      <c r="A7500" s="49">
        <v>45100.02455137731</v>
      </c>
      <c r="B7500" s="50">
        <v>45100.1495199189</v>
      </c>
      <c r="C7500" s="51">
        <v>1.005</v>
      </c>
      <c r="D7500" s="51">
        <v>69.0</v>
      </c>
      <c r="E7500" s="52" t="s">
        <v>25</v>
      </c>
      <c r="F7500" s="52" t="s">
        <v>26</v>
      </c>
      <c r="G7500" s="53"/>
    </row>
    <row r="7501">
      <c r="A7501" s="49">
        <v>45100.034974780094</v>
      </c>
      <c r="B7501" s="50">
        <v>45100.1599402199</v>
      </c>
      <c r="C7501" s="51">
        <v>1.005</v>
      </c>
      <c r="D7501" s="51">
        <v>69.0</v>
      </c>
      <c r="E7501" s="52" t="s">
        <v>25</v>
      </c>
      <c r="F7501" s="52" t="s">
        <v>26</v>
      </c>
      <c r="G7501" s="53"/>
    </row>
    <row r="7502">
      <c r="A7502" s="49">
        <v>45100.04542329861</v>
      </c>
      <c r="B7502" s="50">
        <v>45100.1703957176</v>
      </c>
      <c r="C7502" s="51">
        <v>1.005</v>
      </c>
      <c r="D7502" s="51">
        <v>69.0</v>
      </c>
      <c r="E7502" s="52" t="s">
        <v>25</v>
      </c>
      <c r="F7502" s="52" t="s">
        <v>26</v>
      </c>
      <c r="G7502" s="53"/>
    </row>
    <row r="7503">
      <c r="A7503" s="49">
        <v>45100.05583856482</v>
      </c>
      <c r="B7503" s="50">
        <v>45100.180817905</v>
      </c>
      <c r="C7503" s="51">
        <v>1.005</v>
      </c>
      <c r="D7503" s="51">
        <v>69.0</v>
      </c>
      <c r="E7503" s="52" t="s">
        <v>25</v>
      </c>
      <c r="F7503" s="52" t="s">
        <v>26</v>
      </c>
      <c r="G7503" s="53"/>
    </row>
    <row r="7504">
      <c r="A7504" s="49">
        <v>45100.06626457176</v>
      </c>
      <c r="B7504" s="50">
        <v>45100.1912392361</v>
      </c>
      <c r="C7504" s="51">
        <v>1.005</v>
      </c>
      <c r="D7504" s="51">
        <v>69.0</v>
      </c>
      <c r="E7504" s="52" t="s">
        <v>25</v>
      </c>
      <c r="F7504" s="52" t="s">
        <v>26</v>
      </c>
      <c r="G7504" s="53"/>
    </row>
    <row r="7505">
      <c r="A7505" s="49">
        <v>45100.07670954861</v>
      </c>
      <c r="B7505" s="50">
        <v>45100.2016829166</v>
      </c>
      <c r="C7505" s="51">
        <v>1.005</v>
      </c>
      <c r="D7505" s="51">
        <v>69.0</v>
      </c>
      <c r="E7505" s="52" t="s">
        <v>25</v>
      </c>
      <c r="F7505" s="52" t="s">
        <v>26</v>
      </c>
      <c r="G7505" s="53"/>
    </row>
    <row r="7506">
      <c r="A7506" s="49">
        <v>45100.08713202547</v>
      </c>
      <c r="B7506" s="50">
        <v>45100.2121031481</v>
      </c>
      <c r="C7506" s="51">
        <v>1.005</v>
      </c>
      <c r="D7506" s="51">
        <v>69.0</v>
      </c>
      <c r="E7506" s="52" t="s">
        <v>25</v>
      </c>
      <c r="F7506" s="52" t="s">
        <v>26</v>
      </c>
      <c r="G7506" s="53"/>
    </row>
    <row r="7507">
      <c r="A7507" s="49">
        <v>45100.097545682875</v>
      </c>
      <c r="B7507" s="50">
        <v>45100.2225247338</v>
      </c>
      <c r="C7507" s="51">
        <v>1.005</v>
      </c>
      <c r="D7507" s="51">
        <v>69.0</v>
      </c>
      <c r="E7507" s="52" t="s">
        <v>25</v>
      </c>
      <c r="F7507" s="52" t="s">
        <v>26</v>
      </c>
      <c r="G7507" s="53"/>
    </row>
    <row r="7508">
      <c r="A7508" s="49">
        <v>45100.10797471065</v>
      </c>
      <c r="B7508" s="50">
        <v>45100.2329462963</v>
      </c>
      <c r="C7508" s="51">
        <v>1.005</v>
      </c>
      <c r="D7508" s="51">
        <v>69.0</v>
      </c>
      <c r="E7508" s="52" t="s">
        <v>25</v>
      </c>
      <c r="F7508" s="52" t="s">
        <v>26</v>
      </c>
      <c r="G7508" s="53"/>
    </row>
    <row r="7509">
      <c r="A7509" s="49">
        <v>45100.11840180556</v>
      </c>
      <c r="B7509" s="50">
        <v>45100.2433783333</v>
      </c>
      <c r="C7509" s="51">
        <v>1.005</v>
      </c>
      <c r="D7509" s="51">
        <v>69.0</v>
      </c>
      <c r="E7509" s="52" t="s">
        <v>25</v>
      </c>
      <c r="F7509" s="52" t="s">
        <v>26</v>
      </c>
      <c r="G7509" s="53"/>
    </row>
    <row r="7510">
      <c r="A7510" s="49">
        <v>45100.12882539352</v>
      </c>
      <c r="B7510" s="50">
        <v>45100.2538004513</v>
      </c>
      <c r="C7510" s="51">
        <v>1.005</v>
      </c>
      <c r="D7510" s="51">
        <v>69.0</v>
      </c>
      <c r="E7510" s="52" t="s">
        <v>25</v>
      </c>
      <c r="F7510" s="52" t="s">
        <v>26</v>
      </c>
      <c r="G7510" s="53"/>
    </row>
    <row r="7511">
      <c r="A7511" s="49">
        <v>45100.13924246527</v>
      </c>
      <c r="B7511" s="50">
        <v>45100.2642200231</v>
      </c>
      <c r="C7511" s="51">
        <v>1.005</v>
      </c>
      <c r="D7511" s="51">
        <v>69.0</v>
      </c>
      <c r="E7511" s="52" t="s">
        <v>25</v>
      </c>
      <c r="F7511" s="52" t="s">
        <v>26</v>
      </c>
      <c r="G7511" s="53"/>
    </row>
    <row r="7512">
      <c r="A7512" s="49">
        <v>45100.14970347223</v>
      </c>
      <c r="B7512" s="50">
        <v>45100.2746758449</v>
      </c>
      <c r="C7512" s="51">
        <v>1.005</v>
      </c>
      <c r="D7512" s="51">
        <v>69.0</v>
      </c>
      <c r="E7512" s="52" t="s">
        <v>25</v>
      </c>
      <c r="F7512" s="52" t="s">
        <v>26</v>
      </c>
      <c r="G7512" s="53"/>
    </row>
    <row r="7513">
      <c r="A7513" s="49">
        <v>45100.16011915509</v>
      </c>
      <c r="B7513" s="50">
        <v>45100.2850968865</v>
      </c>
      <c r="C7513" s="51">
        <v>1.005</v>
      </c>
      <c r="D7513" s="51">
        <v>69.0</v>
      </c>
      <c r="E7513" s="52" t="s">
        <v>25</v>
      </c>
      <c r="F7513" s="52" t="s">
        <v>26</v>
      </c>
      <c r="G7513" s="53"/>
    </row>
    <row r="7514">
      <c r="A7514" s="49">
        <v>45100.17054767361</v>
      </c>
      <c r="B7514" s="50">
        <v>45100.2955190046</v>
      </c>
      <c r="C7514" s="51">
        <v>1.005</v>
      </c>
      <c r="D7514" s="51">
        <v>69.0</v>
      </c>
      <c r="E7514" s="52" t="s">
        <v>25</v>
      </c>
      <c r="F7514" s="52" t="s">
        <v>26</v>
      </c>
      <c r="G7514" s="53"/>
    </row>
    <row r="7515">
      <c r="A7515" s="49">
        <v>45100.18096791666</v>
      </c>
      <c r="B7515" s="50">
        <v>45100.3059409375</v>
      </c>
      <c r="C7515" s="51">
        <v>1.005</v>
      </c>
      <c r="D7515" s="51">
        <v>69.0</v>
      </c>
      <c r="E7515" s="52" t="s">
        <v>25</v>
      </c>
      <c r="F7515" s="52" t="s">
        <v>26</v>
      </c>
      <c r="G7515" s="53"/>
    </row>
    <row r="7516">
      <c r="A7516" s="49">
        <v>45100.191379537035</v>
      </c>
      <c r="B7516" s="50">
        <v>45100.3163624189</v>
      </c>
      <c r="C7516" s="51">
        <v>1.005</v>
      </c>
      <c r="D7516" s="51">
        <v>69.0</v>
      </c>
      <c r="E7516" s="52" t="s">
        <v>25</v>
      </c>
      <c r="F7516" s="52" t="s">
        <v>26</v>
      </c>
      <c r="G7516" s="53"/>
    </row>
    <row r="7517">
      <c r="A7517" s="49">
        <v>45100.2018108912</v>
      </c>
      <c r="B7517" s="50">
        <v>45100.3267841782</v>
      </c>
      <c r="C7517" s="51">
        <v>1.005</v>
      </c>
      <c r="D7517" s="51">
        <v>69.0</v>
      </c>
      <c r="E7517" s="52" t="s">
        <v>25</v>
      </c>
      <c r="F7517" s="52" t="s">
        <v>26</v>
      </c>
      <c r="G7517" s="53"/>
    </row>
    <row r="7518">
      <c r="A7518" s="49">
        <v>45100.21225652778</v>
      </c>
      <c r="B7518" s="50">
        <v>45100.3372264236</v>
      </c>
      <c r="C7518" s="51">
        <v>1.005</v>
      </c>
      <c r="D7518" s="51">
        <v>69.0</v>
      </c>
      <c r="E7518" s="52" t="s">
        <v>25</v>
      </c>
      <c r="F7518" s="52" t="s">
        <v>26</v>
      </c>
      <c r="G7518" s="53"/>
    </row>
    <row r="7519">
      <c r="A7519" s="49">
        <v>45100.22267216435</v>
      </c>
      <c r="B7519" s="50">
        <v>45100.347647199</v>
      </c>
      <c r="C7519" s="51">
        <v>1.005</v>
      </c>
      <c r="D7519" s="51">
        <v>69.0</v>
      </c>
      <c r="E7519" s="52" t="s">
        <v>25</v>
      </c>
      <c r="F7519" s="52" t="s">
        <v>26</v>
      </c>
      <c r="G7519" s="53"/>
    </row>
    <row r="7520">
      <c r="A7520" s="49">
        <v>45100.23309527778</v>
      </c>
      <c r="B7520" s="50">
        <v>45100.3580668518</v>
      </c>
      <c r="C7520" s="51">
        <v>1.005</v>
      </c>
      <c r="D7520" s="51">
        <v>69.0</v>
      </c>
      <c r="E7520" s="52" t="s">
        <v>25</v>
      </c>
      <c r="F7520" s="52" t="s">
        <v>26</v>
      </c>
      <c r="G7520" s="53"/>
    </row>
    <row r="7521">
      <c r="A7521" s="49">
        <v>45100.24352560185</v>
      </c>
      <c r="B7521" s="50">
        <v>45100.3685007986</v>
      </c>
      <c r="C7521" s="51">
        <v>1.005</v>
      </c>
      <c r="D7521" s="51">
        <v>69.0</v>
      </c>
      <c r="E7521" s="52" t="s">
        <v>25</v>
      </c>
      <c r="F7521" s="52" t="s">
        <v>26</v>
      </c>
      <c r="G7521" s="53"/>
    </row>
    <row r="7522">
      <c r="A7522" s="49">
        <v>45100.25394804398</v>
      </c>
      <c r="B7522" s="50">
        <v>45100.3789230902</v>
      </c>
      <c r="C7522" s="51">
        <v>1.005</v>
      </c>
      <c r="D7522" s="51">
        <v>69.0</v>
      </c>
      <c r="E7522" s="52" t="s">
        <v>25</v>
      </c>
      <c r="F7522" s="52" t="s">
        <v>26</v>
      </c>
      <c r="G7522" s="53"/>
    </row>
    <row r="7523">
      <c r="A7523" s="49">
        <v>45100.26438533565</v>
      </c>
      <c r="B7523" s="50">
        <v>45100.3893663078</v>
      </c>
      <c r="C7523" s="51">
        <v>1.005</v>
      </c>
      <c r="D7523" s="51">
        <v>69.0</v>
      </c>
      <c r="E7523" s="52" t="s">
        <v>25</v>
      </c>
      <c r="F7523" s="52" t="s">
        <v>26</v>
      </c>
      <c r="G7523" s="53"/>
    </row>
    <row r="7524">
      <c r="A7524" s="49">
        <v>45100.274812511576</v>
      </c>
      <c r="B7524" s="50">
        <v>45100.3997874537</v>
      </c>
      <c r="C7524" s="51">
        <v>1.005</v>
      </c>
      <c r="D7524" s="51">
        <v>69.0</v>
      </c>
      <c r="E7524" s="52" t="s">
        <v>25</v>
      </c>
      <c r="F7524" s="52" t="s">
        <v>26</v>
      </c>
      <c r="G7524" s="53"/>
    </row>
    <row r="7525">
      <c r="A7525" s="49">
        <v>45100.2852271875</v>
      </c>
      <c r="B7525" s="50">
        <v>45100.4102081828</v>
      </c>
      <c r="C7525" s="51">
        <v>1.005</v>
      </c>
      <c r="D7525" s="51">
        <v>69.0</v>
      </c>
      <c r="E7525" s="52" t="s">
        <v>25</v>
      </c>
      <c r="F7525" s="52" t="s">
        <v>26</v>
      </c>
      <c r="G7525" s="53"/>
    </row>
    <row r="7526">
      <c r="A7526" s="49">
        <v>45100.29565627315</v>
      </c>
      <c r="B7526" s="50">
        <v>45100.4206292824</v>
      </c>
      <c r="C7526" s="51">
        <v>1.005</v>
      </c>
      <c r="D7526" s="51">
        <v>69.0</v>
      </c>
      <c r="E7526" s="52" t="s">
        <v>25</v>
      </c>
      <c r="F7526" s="52" t="s">
        <v>26</v>
      </c>
      <c r="G7526" s="53"/>
    </row>
    <row r="7527">
      <c r="A7527" s="49">
        <v>45100.306083703705</v>
      </c>
      <c r="B7527" s="50">
        <v>45100.431050787</v>
      </c>
      <c r="C7527" s="51">
        <v>1.005</v>
      </c>
      <c r="D7527" s="51">
        <v>69.0</v>
      </c>
      <c r="E7527" s="52" t="s">
        <v>25</v>
      </c>
      <c r="F7527" s="52" t="s">
        <v>26</v>
      </c>
      <c r="G7527" s="53"/>
    </row>
    <row r="7528">
      <c r="A7528" s="49">
        <v>45100.31652552083</v>
      </c>
      <c r="B7528" s="50">
        <v>45100.4414866088</v>
      </c>
      <c r="C7528" s="51">
        <v>1.005</v>
      </c>
      <c r="D7528" s="51">
        <v>69.0</v>
      </c>
      <c r="E7528" s="52" t="s">
        <v>25</v>
      </c>
      <c r="F7528" s="52" t="s">
        <v>26</v>
      </c>
      <c r="G7528" s="53"/>
    </row>
    <row r="7529">
      <c r="A7529" s="49">
        <v>45100.326950601855</v>
      </c>
      <c r="B7529" s="50">
        <v>45100.4519201273</v>
      </c>
      <c r="C7529" s="51">
        <v>1.005</v>
      </c>
      <c r="D7529" s="51">
        <v>69.0</v>
      </c>
      <c r="E7529" s="52" t="s">
        <v>25</v>
      </c>
      <c r="F7529" s="52" t="s">
        <v>26</v>
      </c>
      <c r="G7529" s="53"/>
    </row>
    <row r="7530">
      <c r="A7530" s="49">
        <v>45100.337369201385</v>
      </c>
      <c r="B7530" s="50">
        <v>45100.4623409143</v>
      </c>
      <c r="C7530" s="51">
        <v>1.005</v>
      </c>
      <c r="D7530" s="51">
        <v>69.0</v>
      </c>
      <c r="E7530" s="52" t="s">
        <v>25</v>
      </c>
      <c r="F7530" s="52" t="s">
        <v>26</v>
      </c>
      <c r="G7530" s="53"/>
    </row>
    <row r="7531">
      <c r="A7531" s="49">
        <v>45100.3477891088</v>
      </c>
      <c r="B7531" s="50">
        <v>45100.4727633564</v>
      </c>
      <c r="C7531" s="51">
        <v>1.005</v>
      </c>
      <c r="D7531" s="51">
        <v>69.0</v>
      </c>
      <c r="E7531" s="52" t="s">
        <v>25</v>
      </c>
      <c r="F7531" s="52" t="s">
        <v>26</v>
      </c>
      <c r="G7531" s="53"/>
    </row>
    <row r="7532">
      <c r="A7532" s="49">
        <v>45100.35821034722</v>
      </c>
      <c r="B7532" s="50">
        <v>45100.483182662</v>
      </c>
      <c r="C7532" s="51">
        <v>1.005</v>
      </c>
      <c r="D7532" s="51">
        <v>69.0</v>
      </c>
      <c r="E7532" s="52" t="s">
        <v>25</v>
      </c>
      <c r="F7532" s="52" t="s">
        <v>26</v>
      </c>
      <c r="G7532" s="53"/>
    </row>
    <row r="7533">
      <c r="A7533" s="49">
        <v>45100.36862010417</v>
      </c>
      <c r="B7533" s="50">
        <v>45100.4936029166</v>
      </c>
      <c r="C7533" s="51">
        <v>1.005</v>
      </c>
      <c r="D7533" s="51">
        <v>69.0</v>
      </c>
      <c r="E7533" s="52" t="s">
        <v>25</v>
      </c>
      <c r="F7533" s="52" t="s">
        <v>26</v>
      </c>
      <c r="G7533" s="53"/>
    </row>
    <row r="7534">
      <c r="A7534" s="49">
        <v>45100.37905246528</v>
      </c>
      <c r="B7534" s="50">
        <v>45100.5040247569</v>
      </c>
      <c r="C7534" s="51">
        <v>1.005</v>
      </c>
      <c r="D7534" s="51">
        <v>69.0</v>
      </c>
      <c r="E7534" s="52" t="s">
        <v>25</v>
      </c>
      <c r="F7534" s="52" t="s">
        <v>26</v>
      </c>
      <c r="G7534" s="53"/>
    </row>
    <row r="7535">
      <c r="A7535" s="49">
        <v>45100.38947314815</v>
      </c>
      <c r="B7535" s="50">
        <v>45100.5144475578</v>
      </c>
      <c r="C7535" s="51">
        <v>1.005</v>
      </c>
      <c r="D7535" s="51">
        <v>69.0</v>
      </c>
      <c r="E7535" s="52" t="s">
        <v>25</v>
      </c>
      <c r="F7535" s="52" t="s">
        <v>26</v>
      </c>
      <c r="G7535" s="53"/>
    </row>
    <row r="7536">
      <c r="A7536" s="49">
        <v>45100.39989023148</v>
      </c>
      <c r="B7536" s="50">
        <v>45100.5248698842</v>
      </c>
      <c r="C7536" s="51">
        <v>1.005</v>
      </c>
      <c r="D7536" s="51">
        <v>69.0</v>
      </c>
      <c r="E7536" s="52" t="s">
        <v>25</v>
      </c>
      <c r="F7536" s="52" t="s">
        <v>26</v>
      </c>
      <c r="G7536" s="53"/>
    </row>
    <row r="7537">
      <c r="A7537" s="49">
        <v>45100.4105078125</v>
      </c>
      <c r="B7537" s="50">
        <v>45100.5352918287</v>
      </c>
      <c r="C7537" s="51">
        <v>1.005</v>
      </c>
      <c r="D7537" s="51">
        <v>69.0</v>
      </c>
      <c r="E7537" s="52" t="s">
        <v>25</v>
      </c>
      <c r="F7537" s="52" t="s">
        <v>26</v>
      </c>
      <c r="G7537" s="53"/>
    </row>
    <row r="7538">
      <c r="A7538" s="49">
        <v>45100.42073534722</v>
      </c>
      <c r="B7538" s="50">
        <v>45100.5457151041</v>
      </c>
      <c r="C7538" s="51">
        <v>1.005</v>
      </c>
      <c r="D7538" s="51">
        <v>69.0</v>
      </c>
      <c r="E7538" s="52" t="s">
        <v>25</v>
      </c>
      <c r="F7538" s="52" t="s">
        <v>26</v>
      </c>
      <c r="G7538" s="53"/>
    </row>
    <row r="7539">
      <c r="A7539" s="49">
        <v>45100.431162442124</v>
      </c>
      <c r="B7539" s="50">
        <v>45100.5561365162</v>
      </c>
      <c r="C7539" s="51">
        <v>1.005</v>
      </c>
      <c r="D7539" s="51">
        <v>69.0</v>
      </c>
      <c r="E7539" s="52" t="s">
        <v>25</v>
      </c>
      <c r="F7539" s="52" t="s">
        <v>26</v>
      </c>
      <c r="G7539" s="53"/>
    </row>
    <row r="7540">
      <c r="A7540" s="49">
        <v>45100.44157645833</v>
      </c>
      <c r="B7540" s="50">
        <v>45100.5665573032</v>
      </c>
      <c r="C7540" s="51">
        <v>1.005</v>
      </c>
      <c r="D7540" s="51">
        <v>69.0</v>
      </c>
      <c r="E7540" s="52" t="s">
        <v>25</v>
      </c>
      <c r="F7540" s="52" t="s">
        <v>26</v>
      </c>
      <c r="G7540" s="53"/>
    </row>
    <row r="7541">
      <c r="A7541" s="49">
        <v>45100.45199773148</v>
      </c>
      <c r="B7541" s="50">
        <v>45100.5769775578</v>
      </c>
      <c r="C7541" s="51">
        <v>1.005</v>
      </c>
      <c r="D7541" s="51">
        <v>69.0</v>
      </c>
      <c r="E7541" s="52" t="s">
        <v>25</v>
      </c>
      <c r="F7541" s="52" t="s">
        <v>26</v>
      </c>
      <c r="G7541" s="53"/>
    </row>
    <row r="7542">
      <c r="A7542" s="49">
        <v>45100.46244142361</v>
      </c>
      <c r="B7542" s="50">
        <v>45100.5874102662</v>
      </c>
      <c r="C7542" s="51">
        <v>1.005</v>
      </c>
      <c r="D7542" s="51">
        <v>69.0</v>
      </c>
      <c r="E7542" s="52" t="s">
        <v>25</v>
      </c>
      <c r="F7542" s="52" t="s">
        <v>26</v>
      </c>
      <c r="G7542" s="53"/>
    </row>
    <row r="7543">
      <c r="A7543" s="49">
        <v>45100.472865289354</v>
      </c>
      <c r="B7543" s="50">
        <v>45100.5978465162</v>
      </c>
      <c r="C7543" s="51">
        <v>1.005</v>
      </c>
      <c r="D7543" s="51">
        <v>69.0</v>
      </c>
      <c r="E7543" s="52" t="s">
        <v>25</v>
      </c>
      <c r="F7543" s="52" t="s">
        <v>26</v>
      </c>
      <c r="G7543" s="53"/>
    </row>
    <row r="7544">
      <c r="A7544" s="49">
        <v>45100.483293310186</v>
      </c>
      <c r="B7544" s="50">
        <v>45100.6082676967</v>
      </c>
      <c r="C7544" s="51">
        <v>1.005</v>
      </c>
      <c r="D7544" s="51">
        <v>69.0</v>
      </c>
      <c r="E7544" s="52" t="s">
        <v>25</v>
      </c>
      <c r="F7544" s="52" t="s">
        <v>26</v>
      </c>
      <c r="G7544" s="53"/>
    </row>
    <row r="7545">
      <c r="A7545" s="49">
        <v>45100.49371443287</v>
      </c>
      <c r="B7545" s="50">
        <v>45100.6186864236</v>
      </c>
      <c r="C7545" s="51">
        <v>1.005</v>
      </c>
      <c r="D7545" s="51">
        <v>69.0</v>
      </c>
      <c r="E7545" s="52" t="s">
        <v>25</v>
      </c>
      <c r="F7545" s="52" t="s">
        <v>26</v>
      </c>
      <c r="G7545" s="53"/>
    </row>
    <row r="7546">
      <c r="A7546" s="49">
        <v>45100.504157222225</v>
      </c>
      <c r="B7546" s="50">
        <v>45100.6291302546</v>
      </c>
      <c r="C7546" s="51">
        <v>1.005</v>
      </c>
      <c r="D7546" s="51">
        <v>69.0</v>
      </c>
      <c r="E7546" s="52" t="s">
        <v>25</v>
      </c>
      <c r="F7546" s="52" t="s">
        <v>26</v>
      </c>
      <c r="G7546" s="53"/>
    </row>
    <row r="7547">
      <c r="A7547" s="49">
        <v>45100.51458152778</v>
      </c>
      <c r="B7547" s="50">
        <v>45100.6395522916</v>
      </c>
      <c r="C7547" s="51">
        <v>1.005</v>
      </c>
      <c r="D7547" s="51">
        <v>69.0</v>
      </c>
      <c r="E7547" s="52" t="s">
        <v>25</v>
      </c>
      <c r="F7547" s="52" t="s">
        <v>26</v>
      </c>
      <c r="G7547" s="53"/>
    </row>
    <row r="7548">
      <c r="A7548" s="49">
        <v>45100.5250084838</v>
      </c>
      <c r="B7548" s="50">
        <v>45100.6499847569</v>
      </c>
      <c r="C7548" s="51">
        <v>1.005</v>
      </c>
      <c r="D7548" s="51">
        <v>69.0</v>
      </c>
      <c r="E7548" s="52" t="s">
        <v>25</v>
      </c>
      <c r="F7548" s="52" t="s">
        <v>26</v>
      </c>
      <c r="G7548" s="53"/>
    </row>
    <row r="7549">
      <c r="A7549" s="49">
        <v>45100.53542998843</v>
      </c>
      <c r="B7549" s="50">
        <v>45100.6604047338</v>
      </c>
      <c r="C7549" s="51">
        <v>1.005</v>
      </c>
      <c r="D7549" s="51">
        <v>69.0</v>
      </c>
      <c r="E7549" s="52" t="s">
        <v>25</v>
      </c>
      <c r="F7549" s="52" t="s">
        <v>26</v>
      </c>
      <c r="G7549" s="53"/>
    </row>
    <row r="7550">
      <c r="A7550" s="49">
        <v>45100.54584302084</v>
      </c>
      <c r="B7550" s="50">
        <v>45100.6708251273</v>
      </c>
      <c r="C7550" s="51">
        <v>1.005</v>
      </c>
      <c r="D7550" s="51">
        <v>69.0</v>
      </c>
      <c r="E7550" s="52" t="s">
        <v>25</v>
      </c>
      <c r="F7550" s="52" t="s">
        <v>26</v>
      </c>
      <c r="G7550" s="53"/>
    </row>
    <row r="7551">
      <c r="A7551" s="49">
        <v>45100.556271678244</v>
      </c>
      <c r="B7551" s="50">
        <v>45100.6812462963</v>
      </c>
      <c r="C7551" s="51">
        <v>1.005</v>
      </c>
      <c r="D7551" s="51">
        <v>69.0</v>
      </c>
      <c r="E7551" s="52" t="s">
        <v>25</v>
      </c>
      <c r="F7551" s="52" t="s">
        <v>26</v>
      </c>
      <c r="G7551" s="53"/>
    </row>
    <row r="7552">
      <c r="A7552" s="49">
        <v>45100.566693506946</v>
      </c>
      <c r="B7552" s="50">
        <v>45100.6916683912</v>
      </c>
      <c r="C7552" s="51">
        <v>1.005</v>
      </c>
      <c r="D7552" s="51">
        <v>69.0</v>
      </c>
      <c r="E7552" s="52" t="s">
        <v>25</v>
      </c>
      <c r="F7552" s="52" t="s">
        <v>26</v>
      </c>
      <c r="G7552" s="53"/>
    </row>
    <row r="7553">
      <c r="A7553" s="49">
        <v>45100.57711434028</v>
      </c>
      <c r="B7553" s="50">
        <v>45100.7020887847</v>
      </c>
      <c r="C7553" s="51">
        <v>1.005</v>
      </c>
      <c r="D7553" s="51">
        <v>69.0</v>
      </c>
      <c r="E7553" s="52" t="s">
        <v>25</v>
      </c>
      <c r="F7553" s="52" t="s">
        <v>26</v>
      </c>
      <c r="G7553" s="53"/>
    </row>
    <row r="7554">
      <c r="A7554" s="49">
        <v>45100.58753423611</v>
      </c>
      <c r="B7554" s="50">
        <v>45100.712507581</v>
      </c>
      <c r="C7554" s="51">
        <v>1.005</v>
      </c>
      <c r="D7554" s="51">
        <v>69.0</v>
      </c>
      <c r="E7554" s="52" t="s">
        <v>25</v>
      </c>
      <c r="F7554" s="52" t="s">
        <v>26</v>
      </c>
      <c r="G7554" s="53"/>
    </row>
    <row r="7555">
      <c r="A7555" s="49">
        <v>45100.597956157406</v>
      </c>
      <c r="B7555" s="50">
        <v>45100.7229291203</v>
      </c>
      <c r="C7555" s="51">
        <v>1.005</v>
      </c>
      <c r="D7555" s="51">
        <v>69.0</v>
      </c>
      <c r="E7555" s="52" t="s">
        <v>25</v>
      </c>
      <c r="F7555" s="52" t="s">
        <v>26</v>
      </c>
      <c r="G7555" s="53"/>
    </row>
    <row r="7556">
      <c r="A7556" s="49">
        <v>45100.60837594907</v>
      </c>
      <c r="B7556" s="50">
        <v>45100.733351412</v>
      </c>
      <c r="C7556" s="51">
        <v>1.005</v>
      </c>
      <c r="D7556" s="51">
        <v>69.0</v>
      </c>
      <c r="E7556" s="52" t="s">
        <v>25</v>
      </c>
      <c r="F7556" s="52" t="s">
        <v>26</v>
      </c>
      <c r="G7556" s="53"/>
    </row>
    <row r="7557">
      <c r="A7557" s="49">
        <v>45100.61879655093</v>
      </c>
      <c r="B7557" s="50">
        <v>45100.7437751388</v>
      </c>
      <c r="C7557" s="51">
        <v>1.005</v>
      </c>
      <c r="D7557" s="51">
        <v>69.0</v>
      </c>
      <c r="E7557" s="52" t="s">
        <v>25</v>
      </c>
      <c r="F7557" s="52" t="s">
        <v>26</v>
      </c>
      <c r="G7557" s="53"/>
    </row>
    <row r="7558">
      <c r="A7558" s="49">
        <v>45100.629218263886</v>
      </c>
      <c r="B7558" s="50">
        <v>45100.7541970717</v>
      </c>
      <c r="C7558" s="51">
        <v>1.005</v>
      </c>
      <c r="D7558" s="51">
        <v>69.0</v>
      </c>
      <c r="E7558" s="52" t="s">
        <v>25</v>
      </c>
      <c r="F7558" s="52" t="s">
        <v>26</v>
      </c>
      <c r="G7558" s="53"/>
    </row>
    <row r="7559">
      <c r="A7559" s="49">
        <v>45100.63965758102</v>
      </c>
      <c r="B7559" s="50">
        <v>45100.7646413194</v>
      </c>
      <c r="C7559" s="51">
        <v>1.005</v>
      </c>
      <c r="D7559" s="51">
        <v>69.0</v>
      </c>
      <c r="E7559" s="52" t="s">
        <v>25</v>
      </c>
      <c r="F7559" s="52" t="s">
        <v>26</v>
      </c>
      <c r="G7559" s="53"/>
    </row>
    <row r="7560">
      <c r="A7560" s="49">
        <v>45100.65013450231</v>
      </c>
      <c r="B7560" s="50">
        <v>45100.7750622916</v>
      </c>
      <c r="C7560" s="51">
        <v>1.005</v>
      </c>
      <c r="D7560" s="51">
        <v>69.0</v>
      </c>
      <c r="E7560" s="52" t="s">
        <v>25</v>
      </c>
      <c r="F7560" s="52" t="s">
        <v>26</v>
      </c>
      <c r="G7560" s="53"/>
    </row>
    <row r="7561">
      <c r="A7561" s="49">
        <v>45100.66051018519</v>
      </c>
      <c r="B7561" s="50">
        <v>45100.7854839699</v>
      </c>
      <c r="C7561" s="51">
        <v>1.005</v>
      </c>
      <c r="D7561" s="51">
        <v>69.0</v>
      </c>
      <c r="E7561" s="52" t="s">
        <v>25</v>
      </c>
      <c r="F7561" s="52" t="s">
        <v>26</v>
      </c>
      <c r="G7561" s="53"/>
    </row>
    <row r="7562">
      <c r="A7562" s="49">
        <v>45100.67092377315</v>
      </c>
      <c r="B7562" s="50">
        <v>45100.7959054861</v>
      </c>
      <c r="C7562" s="51">
        <v>1.005</v>
      </c>
      <c r="D7562" s="51">
        <v>69.0</v>
      </c>
      <c r="E7562" s="52" t="s">
        <v>25</v>
      </c>
      <c r="F7562" s="52" t="s">
        <v>26</v>
      </c>
      <c r="G7562" s="53"/>
    </row>
    <row r="7563">
      <c r="A7563" s="49">
        <v>45100.68137016204</v>
      </c>
      <c r="B7563" s="50">
        <v>45100.806338993</v>
      </c>
      <c r="C7563" s="51">
        <v>1.005</v>
      </c>
      <c r="D7563" s="51">
        <v>69.0</v>
      </c>
      <c r="E7563" s="52" t="s">
        <v>25</v>
      </c>
      <c r="F7563" s="52" t="s">
        <v>26</v>
      </c>
      <c r="G7563" s="53"/>
    </row>
    <row r="7564">
      <c r="A7564" s="49">
        <v>45100.691785891206</v>
      </c>
      <c r="B7564" s="50">
        <v>45100.8167598263</v>
      </c>
      <c r="C7564" s="51">
        <v>1.005</v>
      </c>
      <c r="D7564" s="51">
        <v>69.0</v>
      </c>
      <c r="E7564" s="52" t="s">
        <v>25</v>
      </c>
      <c r="F7564" s="52" t="s">
        <v>26</v>
      </c>
      <c r="G7564" s="53"/>
    </row>
    <row r="7565">
      <c r="A7565" s="49">
        <v>45100.70220825232</v>
      </c>
      <c r="B7565" s="50">
        <v>45100.8271825347</v>
      </c>
      <c r="C7565" s="51">
        <v>1.005</v>
      </c>
      <c r="D7565" s="51">
        <v>69.0</v>
      </c>
      <c r="E7565" s="52" t="s">
        <v>25</v>
      </c>
      <c r="F7565" s="52" t="s">
        <v>26</v>
      </c>
      <c r="G7565" s="53"/>
    </row>
    <row r="7566">
      <c r="A7566" s="49">
        <v>45100.7126300463</v>
      </c>
      <c r="B7566" s="50">
        <v>45100.8376046875</v>
      </c>
      <c r="C7566" s="51">
        <v>1.005</v>
      </c>
      <c r="D7566" s="51">
        <v>69.0</v>
      </c>
      <c r="E7566" s="52" t="s">
        <v>25</v>
      </c>
      <c r="F7566" s="52" t="s">
        <v>26</v>
      </c>
      <c r="G7566" s="53"/>
    </row>
    <row r="7567">
      <c r="A7567" s="49">
        <v>45100.72307361111</v>
      </c>
      <c r="B7567" s="50">
        <v>45100.8480491435</v>
      </c>
      <c r="C7567" s="51">
        <v>1.005</v>
      </c>
      <c r="D7567" s="51">
        <v>69.0</v>
      </c>
      <c r="E7567" s="52" t="s">
        <v>25</v>
      </c>
      <c r="F7567" s="52" t="s">
        <v>26</v>
      </c>
      <c r="G7567" s="53"/>
    </row>
    <row r="7568">
      <c r="A7568" s="49">
        <v>45100.73348876157</v>
      </c>
      <c r="B7568" s="50">
        <v>45100.8584686458</v>
      </c>
      <c r="C7568" s="51">
        <v>1.005</v>
      </c>
      <c r="D7568" s="51">
        <v>69.0</v>
      </c>
      <c r="E7568" s="52" t="s">
        <v>25</v>
      </c>
      <c r="F7568" s="52" t="s">
        <v>26</v>
      </c>
      <c r="G7568" s="53"/>
    </row>
    <row r="7569">
      <c r="A7569" s="49">
        <v>45100.74392230324</v>
      </c>
      <c r="B7569" s="50">
        <v>45100.8688912847</v>
      </c>
      <c r="C7569" s="51">
        <v>1.005</v>
      </c>
      <c r="D7569" s="51">
        <v>69.0</v>
      </c>
      <c r="E7569" s="52" t="s">
        <v>25</v>
      </c>
      <c r="F7569" s="52" t="s">
        <v>26</v>
      </c>
      <c r="G7569" s="53"/>
    </row>
    <row r="7570">
      <c r="A7570" s="49">
        <v>45100.75433457176</v>
      </c>
      <c r="B7570" s="50">
        <v>45100.8793126157</v>
      </c>
      <c r="C7570" s="51">
        <v>1.005</v>
      </c>
      <c r="D7570" s="51">
        <v>69.0</v>
      </c>
      <c r="E7570" s="52" t="s">
        <v>25</v>
      </c>
      <c r="F7570" s="52" t="s">
        <v>26</v>
      </c>
      <c r="G7570" s="53"/>
    </row>
    <row r="7571">
      <c r="A7571" s="49">
        <v>45100.76475829861</v>
      </c>
      <c r="B7571" s="50">
        <v>45100.8897312384</v>
      </c>
      <c r="C7571" s="51">
        <v>1.005</v>
      </c>
      <c r="D7571" s="51">
        <v>69.0</v>
      </c>
      <c r="E7571" s="52" t="s">
        <v>25</v>
      </c>
      <c r="F7571" s="52" t="s">
        <v>26</v>
      </c>
      <c r="G7571" s="53"/>
    </row>
    <row r="7572">
      <c r="A7572" s="49">
        <v>45100.77517876157</v>
      </c>
      <c r="B7572" s="50">
        <v>45100.9001523379</v>
      </c>
      <c r="C7572" s="51">
        <v>1.005</v>
      </c>
      <c r="D7572" s="51">
        <v>69.0</v>
      </c>
      <c r="E7572" s="52" t="s">
        <v>25</v>
      </c>
      <c r="F7572" s="52" t="s">
        <v>26</v>
      </c>
      <c r="G7572" s="53"/>
    </row>
    <row r="7573">
      <c r="A7573" s="49">
        <v>45100.785593877314</v>
      </c>
      <c r="B7573" s="50">
        <v>45100.9105742361</v>
      </c>
      <c r="C7573" s="51">
        <v>1.005</v>
      </c>
      <c r="D7573" s="51">
        <v>69.0</v>
      </c>
      <c r="E7573" s="52" t="s">
        <v>25</v>
      </c>
      <c r="F7573" s="52" t="s">
        <v>26</v>
      </c>
      <c r="G7573" s="53"/>
    </row>
    <row r="7574">
      <c r="A7574" s="49">
        <v>45100.796035057865</v>
      </c>
      <c r="B7574" s="50">
        <v>45100.9209956134</v>
      </c>
      <c r="C7574" s="51">
        <v>1.005</v>
      </c>
      <c r="D7574" s="51">
        <v>69.0</v>
      </c>
      <c r="E7574" s="52" t="s">
        <v>25</v>
      </c>
      <c r="F7574" s="52" t="s">
        <v>26</v>
      </c>
      <c r="G7574" s="53"/>
    </row>
    <row r="7575">
      <c r="A7575" s="49">
        <v>45100.806443113426</v>
      </c>
      <c r="B7575" s="50">
        <v>45100.9314167245</v>
      </c>
      <c r="C7575" s="51">
        <v>1.005</v>
      </c>
      <c r="D7575" s="51">
        <v>69.0</v>
      </c>
      <c r="E7575" s="52" t="s">
        <v>25</v>
      </c>
      <c r="F7575" s="52" t="s">
        <v>26</v>
      </c>
      <c r="G7575" s="53"/>
    </row>
    <row r="7576">
      <c r="A7576" s="49">
        <v>45100.81686677084</v>
      </c>
      <c r="B7576" s="50">
        <v>45100.9418384259</v>
      </c>
      <c r="C7576" s="51">
        <v>1.005</v>
      </c>
      <c r="D7576" s="51">
        <v>69.0</v>
      </c>
      <c r="E7576" s="52" t="s">
        <v>25</v>
      </c>
      <c r="F7576" s="52" t="s">
        <v>26</v>
      </c>
      <c r="G7576" s="53"/>
    </row>
    <row r="7577">
      <c r="A7577" s="49">
        <v>45100.82729822917</v>
      </c>
      <c r="B7577" s="50">
        <v>45100.9522740625</v>
      </c>
      <c r="C7577" s="51">
        <v>1.005</v>
      </c>
      <c r="D7577" s="51">
        <v>69.0</v>
      </c>
      <c r="E7577" s="52" t="s">
        <v>25</v>
      </c>
      <c r="F7577" s="52" t="s">
        <v>26</v>
      </c>
      <c r="G7577" s="53"/>
    </row>
    <row r="7578">
      <c r="A7578" s="49">
        <v>45100.837728391205</v>
      </c>
      <c r="B7578" s="50">
        <v>45100.9627069444</v>
      </c>
      <c r="C7578" s="51">
        <v>1.005</v>
      </c>
      <c r="D7578" s="51">
        <v>69.0</v>
      </c>
      <c r="E7578" s="52" t="s">
        <v>25</v>
      </c>
      <c r="F7578" s="52" t="s">
        <v>26</v>
      </c>
      <c r="G7578" s="53"/>
    </row>
    <row r="7579">
      <c r="A7579" s="49">
        <v>45100.84816032407</v>
      </c>
      <c r="B7579" s="50">
        <v>45100.9731287268</v>
      </c>
      <c r="C7579" s="51">
        <v>1.005</v>
      </c>
      <c r="D7579" s="51">
        <v>69.0</v>
      </c>
      <c r="E7579" s="52" t="s">
        <v>25</v>
      </c>
      <c r="F7579" s="52" t="s">
        <v>26</v>
      </c>
      <c r="G7579" s="53"/>
    </row>
    <row r="7580">
      <c r="A7580" s="49">
        <v>45100.85857438657</v>
      </c>
      <c r="B7580" s="50">
        <v>45100.9835499189</v>
      </c>
      <c r="C7580" s="51">
        <v>1.005</v>
      </c>
      <c r="D7580" s="51">
        <v>69.0</v>
      </c>
      <c r="E7580" s="52" t="s">
        <v>25</v>
      </c>
      <c r="F7580" s="52" t="s">
        <v>26</v>
      </c>
      <c r="G7580" s="53"/>
    </row>
    <row r="7581">
      <c r="A7581" s="49">
        <v>45100.86902763889</v>
      </c>
      <c r="B7581" s="50">
        <v>45100.9939942824</v>
      </c>
      <c r="C7581" s="51">
        <v>1.005</v>
      </c>
      <c r="D7581" s="51">
        <v>69.0</v>
      </c>
      <c r="E7581" s="52" t="s">
        <v>25</v>
      </c>
      <c r="F7581" s="52" t="s">
        <v>26</v>
      </c>
      <c r="G7581" s="53"/>
    </row>
    <row r="7582">
      <c r="A7582" s="49">
        <v>45100.879445555554</v>
      </c>
      <c r="B7582" s="50">
        <v>45101.0044156597</v>
      </c>
      <c r="C7582" s="51">
        <v>1.005</v>
      </c>
      <c r="D7582" s="51">
        <v>69.0</v>
      </c>
      <c r="E7582" s="52" t="s">
        <v>25</v>
      </c>
      <c r="F7582" s="52" t="s">
        <v>26</v>
      </c>
      <c r="G7582" s="53"/>
    </row>
    <row r="7583">
      <c r="A7583" s="49">
        <v>45100.889860972224</v>
      </c>
      <c r="B7583" s="50">
        <v>45101.0148379166</v>
      </c>
      <c r="C7583" s="51">
        <v>1.005</v>
      </c>
      <c r="D7583" s="51">
        <v>69.0</v>
      </c>
      <c r="E7583" s="52" t="s">
        <v>25</v>
      </c>
      <c r="F7583" s="52" t="s">
        <v>26</v>
      </c>
      <c r="G7583" s="53"/>
    </row>
    <row r="7584">
      <c r="A7584" s="49">
        <v>45100.9002777662</v>
      </c>
      <c r="B7584" s="50">
        <v>45101.0252591203</v>
      </c>
      <c r="C7584" s="51">
        <v>1.005</v>
      </c>
      <c r="D7584" s="51">
        <v>69.0</v>
      </c>
      <c r="E7584" s="52" t="s">
        <v>25</v>
      </c>
      <c r="F7584" s="52" t="s">
        <v>26</v>
      </c>
      <c r="G7584" s="53"/>
    </row>
    <row r="7585">
      <c r="A7585" s="49">
        <v>45100.91071297454</v>
      </c>
      <c r="B7585" s="50">
        <v>45101.0356818518</v>
      </c>
      <c r="C7585" s="51">
        <v>1.005</v>
      </c>
      <c r="D7585" s="51">
        <v>69.0</v>
      </c>
      <c r="E7585" s="52" t="s">
        <v>25</v>
      </c>
      <c r="F7585" s="52" t="s">
        <v>26</v>
      </c>
      <c r="G7585" s="53"/>
    </row>
    <row r="7586">
      <c r="A7586" s="49">
        <v>45100.92113295139</v>
      </c>
      <c r="B7586" s="50">
        <v>45101.0461030555</v>
      </c>
      <c r="C7586" s="51">
        <v>1.005</v>
      </c>
      <c r="D7586" s="51">
        <v>69.0</v>
      </c>
      <c r="E7586" s="52" t="s">
        <v>25</v>
      </c>
      <c r="F7586" s="52" t="s">
        <v>26</v>
      </c>
      <c r="G7586" s="53"/>
    </row>
    <row r="7587">
      <c r="A7587" s="49">
        <v>45100.931577916665</v>
      </c>
      <c r="B7587" s="50">
        <v>45101.0565461921</v>
      </c>
      <c r="C7587" s="51">
        <v>1.005</v>
      </c>
      <c r="D7587" s="51">
        <v>69.0</v>
      </c>
      <c r="E7587" s="52" t="s">
        <v>25</v>
      </c>
      <c r="F7587" s="52" t="s">
        <v>26</v>
      </c>
      <c r="G7587" s="53"/>
    </row>
    <row r="7588">
      <c r="A7588" s="49">
        <v>45100.94199327547</v>
      </c>
      <c r="B7588" s="50">
        <v>45101.0669674537</v>
      </c>
      <c r="C7588" s="51">
        <v>1.005</v>
      </c>
      <c r="D7588" s="51">
        <v>69.0</v>
      </c>
      <c r="E7588" s="52" t="s">
        <v>25</v>
      </c>
      <c r="F7588" s="52" t="s">
        <v>26</v>
      </c>
      <c r="G7588" s="53"/>
    </row>
    <row r="7589">
      <c r="A7589" s="49">
        <v>45100.952412349536</v>
      </c>
      <c r="B7589" s="50">
        <v>45101.0773884953</v>
      </c>
      <c r="C7589" s="51">
        <v>1.005</v>
      </c>
      <c r="D7589" s="51">
        <v>69.0</v>
      </c>
      <c r="E7589" s="52" t="s">
        <v>25</v>
      </c>
      <c r="F7589" s="52" t="s">
        <v>26</v>
      </c>
      <c r="G7589" s="53"/>
    </row>
    <row r="7590">
      <c r="A7590" s="49">
        <v>45100.96284003472</v>
      </c>
      <c r="B7590" s="50">
        <v>45101.0878092476</v>
      </c>
      <c r="C7590" s="51">
        <v>1.005</v>
      </c>
      <c r="D7590" s="51">
        <v>69.0</v>
      </c>
      <c r="E7590" s="52" t="s">
        <v>25</v>
      </c>
      <c r="F7590" s="52" t="s">
        <v>26</v>
      </c>
      <c r="G7590" s="53"/>
    </row>
    <row r="7591">
      <c r="A7591" s="49">
        <v>45100.973254930555</v>
      </c>
      <c r="B7591" s="50">
        <v>45101.0982301736</v>
      </c>
      <c r="C7591" s="51">
        <v>1.005</v>
      </c>
      <c r="D7591" s="51">
        <v>69.0</v>
      </c>
      <c r="E7591" s="52" t="s">
        <v>25</v>
      </c>
      <c r="F7591" s="52" t="s">
        <v>26</v>
      </c>
      <c r="G7591" s="53"/>
    </row>
    <row r="7592">
      <c r="A7592" s="49">
        <v>45100.98369017361</v>
      </c>
      <c r="B7592" s="50">
        <v>45101.1086624537</v>
      </c>
      <c r="C7592" s="51">
        <v>1.005</v>
      </c>
      <c r="D7592" s="51">
        <v>69.0</v>
      </c>
      <c r="E7592" s="52" t="s">
        <v>25</v>
      </c>
      <c r="F7592" s="52" t="s">
        <v>26</v>
      </c>
      <c r="G7592" s="53"/>
    </row>
    <row r="7593">
      <c r="A7593" s="49">
        <v>45100.99411005787</v>
      </c>
      <c r="B7593" s="50">
        <v>45101.1190830324</v>
      </c>
      <c r="C7593" s="51">
        <v>1.005</v>
      </c>
      <c r="D7593" s="51">
        <v>69.0</v>
      </c>
      <c r="E7593" s="52" t="s">
        <v>25</v>
      </c>
      <c r="F7593" s="52" t="s">
        <v>26</v>
      </c>
      <c r="G7593" s="53"/>
    </row>
    <row r="7594">
      <c r="A7594" s="49">
        <v>45101.00452608796</v>
      </c>
      <c r="B7594" s="50">
        <v>45101.1295041319</v>
      </c>
      <c r="C7594" s="51">
        <v>1.005</v>
      </c>
      <c r="D7594" s="51">
        <v>69.0</v>
      </c>
      <c r="E7594" s="52" t="s">
        <v>25</v>
      </c>
      <c r="F7594" s="52" t="s">
        <v>26</v>
      </c>
      <c r="G7594" s="53"/>
    </row>
    <row r="7595">
      <c r="A7595" s="49">
        <v>45101.01495438657</v>
      </c>
      <c r="B7595" s="50">
        <v>45101.139925787</v>
      </c>
      <c r="C7595" s="51">
        <v>1.005</v>
      </c>
      <c r="D7595" s="51">
        <v>69.0</v>
      </c>
      <c r="E7595" s="52" t="s">
        <v>25</v>
      </c>
      <c r="F7595" s="52" t="s">
        <v>26</v>
      </c>
      <c r="G7595" s="53"/>
    </row>
    <row r="7596">
      <c r="A7596" s="49">
        <v>45101.02536832176</v>
      </c>
      <c r="B7596" s="50">
        <v>45101.1503464236</v>
      </c>
      <c r="C7596" s="51">
        <v>1.005</v>
      </c>
      <c r="D7596" s="51">
        <v>69.0</v>
      </c>
      <c r="E7596" s="52" t="s">
        <v>25</v>
      </c>
      <c r="F7596" s="52" t="s">
        <v>26</v>
      </c>
      <c r="G7596" s="53"/>
    </row>
    <row r="7597">
      <c r="A7597" s="49">
        <v>45101.03579659722</v>
      </c>
      <c r="B7597" s="50">
        <v>45101.1607659259</v>
      </c>
      <c r="C7597" s="51">
        <v>1.005</v>
      </c>
      <c r="D7597" s="51">
        <v>69.0</v>
      </c>
      <c r="E7597" s="52" t="s">
        <v>25</v>
      </c>
      <c r="F7597" s="52" t="s">
        <v>26</v>
      </c>
      <c r="G7597" s="53"/>
    </row>
    <row r="7598">
      <c r="A7598" s="49">
        <v>45101.04621314815</v>
      </c>
      <c r="B7598" s="50">
        <v>45101.1711869791</v>
      </c>
      <c r="C7598" s="51">
        <v>1.005</v>
      </c>
      <c r="D7598" s="51">
        <v>69.0</v>
      </c>
      <c r="E7598" s="52" t="s">
        <v>25</v>
      </c>
      <c r="F7598" s="52" t="s">
        <v>26</v>
      </c>
      <c r="G7598" s="53"/>
    </row>
    <row r="7599">
      <c r="A7599" s="49">
        <v>45101.05663627315</v>
      </c>
      <c r="B7599" s="50">
        <v>45101.1816077314</v>
      </c>
      <c r="C7599" s="51">
        <v>1.005</v>
      </c>
      <c r="D7599" s="51">
        <v>69.0</v>
      </c>
      <c r="E7599" s="52" t="s">
        <v>25</v>
      </c>
      <c r="F7599" s="52" t="s">
        <v>26</v>
      </c>
      <c r="G7599" s="53"/>
    </row>
    <row r="7600">
      <c r="A7600" s="49">
        <v>45101.06706037037</v>
      </c>
      <c r="B7600" s="50">
        <v>45101.1920284838</v>
      </c>
      <c r="C7600" s="51">
        <v>1.005</v>
      </c>
      <c r="D7600" s="51">
        <v>69.0</v>
      </c>
      <c r="E7600" s="52" t="s">
        <v>25</v>
      </c>
      <c r="F7600" s="52" t="s">
        <v>26</v>
      </c>
      <c r="G7600" s="53"/>
    </row>
    <row r="7601">
      <c r="A7601" s="49">
        <v>45101.0774775</v>
      </c>
      <c r="B7601" s="50">
        <v>45101.2024495138</v>
      </c>
      <c r="C7601" s="51">
        <v>1.005</v>
      </c>
      <c r="D7601" s="51">
        <v>69.0</v>
      </c>
      <c r="E7601" s="52" t="s">
        <v>25</v>
      </c>
      <c r="F7601" s="52" t="s">
        <v>26</v>
      </c>
      <c r="G7601" s="53"/>
    </row>
    <row r="7602">
      <c r="A7602" s="49">
        <v>45101.087894212964</v>
      </c>
      <c r="B7602" s="50">
        <v>45101.2128703472</v>
      </c>
      <c r="C7602" s="51">
        <v>1.005</v>
      </c>
      <c r="D7602" s="51">
        <v>69.0</v>
      </c>
      <c r="E7602" s="52" t="s">
        <v>25</v>
      </c>
      <c r="F7602" s="52" t="s">
        <v>26</v>
      </c>
      <c r="G7602" s="53"/>
    </row>
    <row r="7603">
      <c r="A7603" s="49">
        <v>45101.09831311343</v>
      </c>
      <c r="B7603" s="50">
        <v>45101.2232914467</v>
      </c>
      <c r="C7603" s="51">
        <v>1.005</v>
      </c>
      <c r="D7603" s="51">
        <v>69.0</v>
      </c>
      <c r="E7603" s="52" t="s">
        <v>25</v>
      </c>
      <c r="F7603" s="52" t="s">
        <v>26</v>
      </c>
      <c r="G7603" s="53"/>
    </row>
    <row r="7604">
      <c r="A7604" s="49">
        <v>45101.105851643515</v>
      </c>
      <c r="B7604" s="50">
        <v>45101.2308036805</v>
      </c>
      <c r="C7604" s="51">
        <v>1.005</v>
      </c>
      <c r="D7604" s="51">
        <v>69.0</v>
      </c>
      <c r="E7604" s="52" t="s">
        <v>25</v>
      </c>
      <c r="F7604" s="52" t="s">
        <v>26</v>
      </c>
      <c r="G7604" s="53"/>
    </row>
    <row r="7605">
      <c r="A7605" s="49">
        <v>45101.11624783565</v>
      </c>
      <c r="B7605" s="50">
        <v>45101.2412249074</v>
      </c>
      <c r="C7605" s="51">
        <v>1.005</v>
      </c>
      <c r="D7605" s="51">
        <v>69.0</v>
      </c>
      <c r="E7605" s="52" t="s">
        <v>25</v>
      </c>
      <c r="F7605" s="52" t="s">
        <v>26</v>
      </c>
      <c r="G7605" s="53"/>
    </row>
    <row r="7606">
      <c r="A7606" s="49">
        <v>45101.12672738426</v>
      </c>
      <c r="B7606" s="50">
        <v>45101.2516700231</v>
      </c>
      <c r="C7606" s="51">
        <v>1.005</v>
      </c>
      <c r="D7606" s="51">
        <v>69.0</v>
      </c>
      <c r="E7606" s="52" t="s">
        <v>25</v>
      </c>
      <c r="F7606" s="52" t="s">
        <v>26</v>
      </c>
      <c r="G7606" s="53"/>
    </row>
    <row r="7607">
      <c r="A7607" s="49">
        <v>45101.13714614583</v>
      </c>
      <c r="B7607" s="50">
        <v>45101.2620924305</v>
      </c>
      <c r="C7607" s="51">
        <v>1.005</v>
      </c>
      <c r="D7607" s="51">
        <v>69.0</v>
      </c>
      <c r="E7607" s="52" t="s">
        <v>25</v>
      </c>
      <c r="F7607" s="52" t="s">
        <v>26</v>
      </c>
      <c r="G7607" s="53"/>
    </row>
    <row r="7608">
      <c r="A7608" s="49">
        <v>45101.147573009264</v>
      </c>
      <c r="B7608" s="50">
        <v>45101.2725127199</v>
      </c>
      <c r="C7608" s="51">
        <v>1.005</v>
      </c>
      <c r="D7608" s="51">
        <v>69.0</v>
      </c>
      <c r="E7608" s="52" t="s">
        <v>25</v>
      </c>
      <c r="F7608" s="52" t="s">
        <v>26</v>
      </c>
      <c r="G7608" s="53"/>
    </row>
    <row r="7609">
      <c r="A7609" s="49">
        <v>45101.158009108796</v>
      </c>
      <c r="B7609" s="50">
        <v>45101.2829808796</v>
      </c>
      <c r="C7609" s="51">
        <v>1.005</v>
      </c>
      <c r="D7609" s="51">
        <v>69.0</v>
      </c>
      <c r="E7609" s="52" t="s">
        <v>25</v>
      </c>
      <c r="F7609" s="52" t="s">
        <v>26</v>
      </c>
      <c r="G7609" s="53"/>
    </row>
    <row r="7610">
      <c r="A7610" s="49">
        <v>45101.16842886574</v>
      </c>
      <c r="B7610" s="50">
        <v>45101.2934023379</v>
      </c>
      <c r="C7610" s="51">
        <v>1.005</v>
      </c>
      <c r="D7610" s="51">
        <v>69.0</v>
      </c>
      <c r="E7610" s="52" t="s">
        <v>25</v>
      </c>
      <c r="F7610" s="52" t="s">
        <v>26</v>
      </c>
      <c r="G7610" s="53"/>
    </row>
    <row r="7611">
      <c r="A7611" s="49">
        <v>45101.17884766204</v>
      </c>
      <c r="B7611" s="50">
        <v>45101.3038232638</v>
      </c>
      <c r="C7611" s="51">
        <v>1.005</v>
      </c>
      <c r="D7611" s="51">
        <v>69.0</v>
      </c>
      <c r="E7611" s="52" t="s">
        <v>25</v>
      </c>
      <c r="F7611" s="52" t="s">
        <v>26</v>
      </c>
      <c r="G7611" s="53"/>
    </row>
    <row r="7612">
      <c r="A7612" s="49">
        <v>45101.189276516205</v>
      </c>
      <c r="B7612" s="50">
        <v>45101.3142562384</v>
      </c>
      <c r="C7612" s="51">
        <v>1.005</v>
      </c>
      <c r="D7612" s="51">
        <v>69.0</v>
      </c>
      <c r="E7612" s="52" t="s">
        <v>25</v>
      </c>
      <c r="F7612" s="52" t="s">
        <v>26</v>
      </c>
      <c r="G7612" s="53"/>
    </row>
    <row r="7613">
      <c r="A7613" s="49">
        <v>45101.19970383102</v>
      </c>
      <c r="B7613" s="50">
        <v>45101.3246782407</v>
      </c>
      <c r="C7613" s="51">
        <v>1.005</v>
      </c>
      <c r="D7613" s="51">
        <v>69.0</v>
      </c>
      <c r="E7613" s="52" t="s">
        <v>25</v>
      </c>
      <c r="F7613" s="52" t="s">
        <v>26</v>
      </c>
      <c r="G7613" s="53"/>
    </row>
    <row r="7614">
      <c r="A7614" s="49">
        <v>45101.21012372685</v>
      </c>
      <c r="B7614" s="50">
        <v>45101.3350979976</v>
      </c>
      <c r="C7614" s="51">
        <v>1.005</v>
      </c>
      <c r="D7614" s="51">
        <v>69.0</v>
      </c>
      <c r="E7614" s="52" t="s">
        <v>25</v>
      </c>
      <c r="F7614" s="52" t="s">
        <v>26</v>
      </c>
      <c r="G7614" s="53"/>
    </row>
    <row r="7615">
      <c r="A7615" s="49">
        <v>45101.220541145834</v>
      </c>
      <c r="B7615" s="50">
        <v>45101.3455209259</v>
      </c>
      <c r="C7615" s="51">
        <v>1.005</v>
      </c>
      <c r="D7615" s="51">
        <v>69.0</v>
      </c>
      <c r="E7615" s="52" t="s">
        <v>25</v>
      </c>
      <c r="F7615" s="52" t="s">
        <v>26</v>
      </c>
      <c r="G7615" s="53"/>
    </row>
    <row r="7616">
      <c r="A7616" s="49">
        <v>45101.230969490745</v>
      </c>
      <c r="B7616" s="50">
        <v>45101.355942905</v>
      </c>
      <c r="C7616" s="51">
        <v>1.005</v>
      </c>
      <c r="D7616" s="51">
        <v>69.0</v>
      </c>
      <c r="E7616" s="52" t="s">
        <v>25</v>
      </c>
      <c r="F7616" s="52" t="s">
        <v>26</v>
      </c>
      <c r="G7616" s="53"/>
    </row>
    <row r="7617">
      <c r="A7617" s="49">
        <v>45101.24139137732</v>
      </c>
      <c r="B7617" s="50">
        <v>45101.3663633912</v>
      </c>
      <c r="C7617" s="51">
        <v>1.005</v>
      </c>
      <c r="D7617" s="51">
        <v>69.0</v>
      </c>
      <c r="E7617" s="52" t="s">
        <v>25</v>
      </c>
      <c r="F7617" s="52" t="s">
        <v>26</v>
      </c>
      <c r="G7617" s="53"/>
    </row>
    <row r="7618">
      <c r="A7618" s="49">
        <v>45101.25181729167</v>
      </c>
      <c r="B7618" s="50">
        <v>45101.3767959606</v>
      </c>
      <c r="C7618" s="51">
        <v>1.005</v>
      </c>
      <c r="D7618" s="51">
        <v>69.0</v>
      </c>
      <c r="E7618" s="52" t="s">
        <v>25</v>
      </c>
      <c r="F7618" s="52" t="s">
        <v>26</v>
      </c>
      <c r="G7618" s="53"/>
    </row>
    <row r="7619">
      <c r="A7619" s="49">
        <v>45101.26225489583</v>
      </c>
      <c r="B7619" s="50">
        <v>45101.3872285069</v>
      </c>
      <c r="C7619" s="51">
        <v>1.005</v>
      </c>
      <c r="D7619" s="51">
        <v>69.0</v>
      </c>
      <c r="E7619" s="52" t="s">
        <v>25</v>
      </c>
      <c r="F7619" s="52" t="s">
        <v>26</v>
      </c>
      <c r="G7619" s="53"/>
    </row>
    <row r="7620">
      <c r="A7620" s="49">
        <v>45101.272672349536</v>
      </c>
      <c r="B7620" s="50">
        <v>45101.3976497106</v>
      </c>
      <c r="C7620" s="51">
        <v>1.005</v>
      </c>
      <c r="D7620" s="51">
        <v>69.0</v>
      </c>
      <c r="E7620" s="52" t="s">
        <v>25</v>
      </c>
      <c r="F7620" s="52" t="s">
        <v>26</v>
      </c>
      <c r="G7620" s="53"/>
    </row>
    <row r="7621">
      <c r="A7621" s="49">
        <v>45101.283109861106</v>
      </c>
      <c r="B7621" s="50">
        <v>45101.4080706597</v>
      </c>
      <c r="C7621" s="51">
        <v>1.005</v>
      </c>
      <c r="D7621" s="51">
        <v>69.0</v>
      </c>
      <c r="E7621" s="52" t="s">
        <v>25</v>
      </c>
      <c r="F7621" s="52" t="s">
        <v>26</v>
      </c>
      <c r="G7621" s="53"/>
    </row>
    <row r="7622">
      <c r="A7622" s="49">
        <v>45101.293515763886</v>
      </c>
      <c r="B7622" s="50">
        <v>45101.4184916666</v>
      </c>
      <c r="C7622" s="51">
        <v>1.005</v>
      </c>
      <c r="D7622" s="51">
        <v>69.0</v>
      </c>
      <c r="E7622" s="52" t="s">
        <v>25</v>
      </c>
      <c r="F7622" s="52" t="s">
        <v>26</v>
      </c>
      <c r="G7622" s="53"/>
    </row>
    <row r="7623">
      <c r="A7623" s="49">
        <v>45101.30393702546</v>
      </c>
      <c r="B7623" s="50">
        <v>45101.4289121296</v>
      </c>
      <c r="C7623" s="51">
        <v>1.005</v>
      </c>
      <c r="D7623" s="51">
        <v>69.0</v>
      </c>
      <c r="E7623" s="52" t="s">
        <v>25</v>
      </c>
      <c r="F7623" s="52" t="s">
        <v>26</v>
      </c>
      <c r="G7623" s="53"/>
    </row>
    <row r="7624">
      <c r="A7624" s="49">
        <v>45101.31436454861</v>
      </c>
      <c r="B7624" s="50">
        <v>45101.4393340277</v>
      </c>
      <c r="C7624" s="51">
        <v>1.005</v>
      </c>
      <c r="D7624" s="51">
        <v>69.0</v>
      </c>
      <c r="E7624" s="52" t="s">
        <v>25</v>
      </c>
      <c r="F7624" s="52" t="s">
        <v>26</v>
      </c>
      <c r="G7624" s="53"/>
    </row>
    <row r="7625">
      <c r="A7625" s="49">
        <v>45101.32480553241</v>
      </c>
      <c r="B7625" s="50">
        <v>45101.449779618</v>
      </c>
      <c r="C7625" s="51">
        <v>1.005</v>
      </c>
      <c r="D7625" s="51">
        <v>69.0</v>
      </c>
      <c r="E7625" s="52" t="s">
        <v>25</v>
      </c>
      <c r="F7625" s="52" t="s">
        <v>26</v>
      </c>
      <c r="G7625" s="53"/>
    </row>
    <row r="7626">
      <c r="A7626" s="49">
        <v>45101.33523024306</v>
      </c>
      <c r="B7626" s="50">
        <v>45101.4602015509</v>
      </c>
      <c r="C7626" s="51">
        <v>1.005</v>
      </c>
      <c r="D7626" s="51">
        <v>69.0</v>
      </c>
      <c r="E7626" s="52" t="s">
        <v>25</v>
      </c>
      <c r="F7626" s="52" t="s">
        <v>26</v>
      </c>
      <c r="G7626" s="53"/>
    </row>
    <row r="7627">
      <c r="A7627" s="49">
        <v>45101.34564782407</v>
      </c>
      <c r="B7627" s="50">
        <v>45101.47062228</v>
      </c>
      <c r="C7627" s="51">
        <v>1.005</v>
      </c>
      <c r="D7627" s="51">
        <v>69.0</v>
      </c>
      <c r="E7627" s="52" t="s">
        <v>25</v>
      </c>
      <c r="F7627" s="52" t="s">
        <v>26</v>
      </c>
      <c r="G7627" s="53"/>
    </row>
    <row r="7628">
      <c r="A7628" s="49">
        <v>45101.35606658565</v>
      </c>
      <c r="B7628" s="50">
        <v>45101.4810437615</v>
      </c>
      <c r="C7628" s="51">
        <v>1.005</v>
      </c>
      <c r="D7628" s="51">
        <v>69.0</v>
      </c>
      <c r="E7628" s="52" t="s">
        <v>25</v>
      </c>
      <c r="F7628" s="52" t="s">
        <v>26</v>
      </c>
      <c r="G7628" s="53"/>
    </row>
    <row r="7629">
      <c r="A7629" s="49">
        <v>45101.366484479164</v>
      </c>
      <c r="B7629" s="50">
        <v>45101.4914642245</v>
      </c>
      <c r="C7629" s="51">
        <v>1.005</v>
      </c>
      <c r="D7629" s="51">
        <v>69.0</v>
      </c>
      <c r="E7629" s="52" t="s">
        <v>25</v>
      </c>
      <c r="F7629" s="52" t="s">
        <v>26</v>
      </c>
      <c r="G7629" s="53"/>
    </row>
    <row r="7630">
      <c r="A7630" s="49">
        <v>45101.37691288194</v>
      </c>
      <c r="B7630" s="50">
        <v>45101.501885</v>
      </c>
      <c r="C7630" s="51">
        <v>1.005</v>
      </c>
      <c r="D7630" s="51">
        <v>69.0</v>
      </c>
      <c r="E7630" s="52" t="s">
        <v>25</v>
      </c>
      <c r="F7630" s="52" t="s">
        <v>26</v>
      </c>
      <c r="G7630" s="53"/>
    </row>
    <row r="7631">
      <c r="A7631" s="49">
        <v>45101.38732835648</v>
      </c>
      <c r="B7631" s="50">
        <v>45101.5123093055</v>
      </c>
      <c r="C7631" s="51">
        <v>1.005</v>
      </c>
      <c r="D7631" s="51">
        <v>69.0</v>
      </c>
      <c r="E7631" s="52" t="s">
        <v>25</v>
      </c>
      <c r="F7631" s="52" t="s">
        <v>26</v>
      </c>
      <c r="G7631" s="53"/>
    </row>
    <row r="7632">
      <c r="A7632" s="49">
        <v>45101.39778234954</v>
      </c>
      <c r="B7632" s="50">
        <v>45101.5227533796</v>
      </c>
      <c r="C7632" s="51">
        <v>1.005</v>
      </c>
      <c r="D7632" s="51">
        <v>69.0</v>
      </c>
      <c r="E7632" s="52" t="s">
        <v>25</v>
      </c>
      <c r="F7632" s="52" t="s">
        <v>26</v>
      </c>
      <c r="G7632" s="53"/>
    </row>
    <row r="7633">
      <c r="A7633" s="49">
        <v>45101.408200624996</v>
      </c>
      <c r="B7633" s="50">
        <v>45101.5331745023</v>
      </c>
      <c r="C7633" s="51">
        <v>1.005</v>
      </c>
      <c r="D7633" s="51">
        <v>69.0</v>
      </c>
      <c r="E7633" s="52" t="s">
        <v>25</v>
      </c>
      <c r="F7633" s="52" t="s">
        <v>26</v>
      </c>
      <c r="G7633" s="53"/>
    </row>
    <row r="7634">
      <c r="A7634" s="49">
        <v>45101.41862166667</v>
      </c>
      <c r="B7634" s="50">
        <v>45101.5435958912</v>
      </c>
      <c r="C7634" s="51">
        <v>1.005</v>
      </c>
      <c r="D7634" s="51">
        <v>69.0</v>
      </c>
      <c r="E7634" s="52" t="s">
        <v>25</v>
      </c>
      <c r="F7634" s="52" t="s">
        <v>26</v>
      </c>
      <c r="G7634" s="53"/>
    </row>
    <row r="7635">
      <c r="A7635" s="49">
        <v>45101.42904238426</v>
      </c>
      <c r="B7635" s="50">
        <v>45101.5540164236</v>
      </c>
      <c r="C7635" s="51">
        <v>1.005</v>
      </c>
      <c r="D7635" s="51">
        <v>69.0</v>
      </c>
      <c r="E7635" s="52" t="s">
        <v>25</v>
      </c>
      <c r="F7635" s="52" t="s">
        <v>26</v>
      </c>
      <c r="G7635" s="53"/>
    </row>
    <row r="7636">
      <c r="A7636" s="49">
        <v>45101.43945979167</v>
      </c>
      <c r="B7636" s="50">
        <v>45101.5644363541</v>
      </c>
      <c r="C7636" s="51">
        <v>1.005</v>
      </c>
      <c r="D7636" s="51">
        <v>69.0</v>
      </c>
      <c r="E7636" s="52" t="s">
        <v>25</v>
      </c>
      <c r="F7636" s="52" t="s">
        <v>26</v>
      </c>
      <c r="G7636" s="53"/>
    </row>
    <row r="7637">
      <c r="A7637" s="49">
        <v>45101.44988730324</v>
      </c>
      <c r="B7637" s="50">
        <v>45101.5748579513</v>
      </c>
      <c r="C7637" s="51">
        <v>1.005</v>
      </c>
      <c r="D7637" s="51">
        <v>69.0</v>
      </c>
      <c r="E7637" s="52" t="s">
        <v>25</v>
      </c>
      <c r="F7637" s="52" t="s">
        <v>26</v>
      </c>
      <c r="G7637" s="53"/>
    </row>
    <row r="7638">
      <c r="A7638" s="49">
        <v>45101.46031579861</v>
      </c>
      <c r="B7638" s="50">
        <v>45101.5852903472</v>
      </c>
      <c r="C7638" s="51">
        <v>1.005</v>
      </c>
      <c r="D7638" s="51">
        <v>69.0</v>
      </c>
      <c r="E7638" s="52" t="s">
        <v>25</v>
      </c>
      <c r="F7638" s="52" t="s">
        <v>26</v>
      </c>
      <c r="G7638" s="53"/>
    </row>
    <row r="7639">
      <c r="A7639" s="49">
        <v>45101.47074967592</v>
      </c>
      <c r="B7639" s="50">
        <v>45101.5957228009</v>
      </c>
      <c r="C7639" s="51">
        <v>1.005</v>
      </c>
      <c r="D7639" s="51">
        <v>69.0</v>
      </c>
      <c r="E7639" s="52" t="s">
        <v>25</v>
      </c>
      <c r="F7639" s="52" t="s">
        <v>26</v>
      </c>
      <c r="G7639" s="53"/>
    </row>
    <row r="7640">
      <c r="A7640" s="49">
        <v>45101.48117989583</v>
      </c>
      <c r="B7640" s="50">
        <v>45101.606143993</v>
      </c>
      <c r="C7640" s="51">
        <v>1.005</v>
      </c>
      <c r="D7640" s="51">
        <v>69.0</v>
      </c>
      <c r="E7640" s="52" t="s">
        <v>25</v>
      </c>
      <c r="F7640" s="52" t="s">
        <v>26</v>
      </c>
      <c r="G7640" s="53"/>
    </row>
    <row r="7641">
      <c r="A7641" s="49">
        <v>45101.49160162037</v>
      </c>
      <c r="B7641" s="50">
        <v>45101.6165773495</v>
      </c>
      <c r="C7641" s="51">
        <v>1.005</v>
      </c>
      <c r="D7641" s="51">
        <v>69.0</v>
      </c>
      <c r="E7641" s="52" t="s">
        <v>25</v>
      </c>
      <c r="F7641" s="52" t="s">
        <v>26</v>
      </c>
      <c r="G7641" s="53"/>
    </row>
    <row r="7642">
      <c r="A7642" s="49">
        <v>45101.50203643518</v>
      </c>
      <c r="B7642" s="50">
        <v>45101.6270094213</v>
      </c>
      <c r="C7642" s="51">
        <v>1.005</v>
      </c>
      <c r="D7642" s="51">
        <v>69.0</v>
      </c>
      <c r="E7642" s="52" t="s">
        <v>25</v>
      </c>
      <c r="F7642" s="52" t="s">
        <v>26</v>
      </c>
      <c r="G7642" s="53"/>
    </row>
    <row r="7643">
      <c r="A7643" s="49">
        <v>45101.51245678241</v>
      </c>
      <c r="B7643" s="50">
        <v>45101.6374308912</v>
      </c>
      <c r="C7643" s="51">
        <v>1.005</v>
      </c>
      <c r="D7643" s="51">
        <v>69.0</v>
      </c>
      <c r="E7643" s="52" t="s">
        <v>25</v>
      </c>
      <c r="F7643" s="52" t="s">
        <v>26</v>
      </c>
      <c r="G7643" s="53"/>
    </row>
    <row r="7644">
      <c r="A7644" s="49">
        <v>45101.52288042824</v>
      </c>
      <c r="B7644" s="50">
        <v>45101.6478530324</v>
      </c>
      <c r="C7644" s="51">
        <v>1.005</v>
      </c>
      <c r="D7644" s="51">
        <v>69.0</v>
      </c>
      <c r="E7644" s="52" t="s">
        <v>25</v>
      </c>
      <c r="F7644" s="52" t="s">
        <v>26</v>
      </c>
      <c r="G7644" s="53"/>
    </row>
    <row r="7645">
      <c r="A7645" s="49">
        <v>45101.53333803241</v>
      </c>
      <c r="B7645" s="50">
        <v>45101.6583080902</v>
      </c>
      <c r="C7645" s="51">
        <v>1.005</v>
      </c>
      <c r="D7645" s="51">
        <v>69.0</v>
      </c>
      <c r="E7645" s="52" t="s">
        <v>25</v>
      </c>
      <c r="F7645" s="52" t="s">
        <v>26</v>
      </c>
      <c r="G7645" s="53"/>
    </row>
    <row r="7646">
      <c r="A7646" s="49">
        <v>45101.54374982639</v>
      </c>
      <c r="B7646" s="50">
        <v>45101.6687282291</v>
      </c>
      <c r="C7646" s="51">
        <v>1.005</v>
      </c>
      <c r="D7646" s="51">
        <v>69.0</v>
      </c>
      <c r="E7646" s="52" t="s">
        <v>25</v>
      </c>
      <c r="F7646" s="52" t="s">
        <v>26</v>
      </c>
      <c r="G7646" s="53"/>
    </row>
    <row r="7647">
      <c r="A7647" s="49">
        <v>45101.55417263889</v>
      </c>
      <c r="B7647" s="50">
        <v>45101.6791509259</v>
      </c>
      <c r="C7647" s="51">
        <v>1.005</v>
      </c>
      <c r="D7647" s="51">
        <v>69.0</v>
      </c>
      <c r="E7647" s="52" t="s">
        <v>25</v>
      </c>
      <c r="F7647" s="52" t="s">
        <v>26</v>
      </c>
      <c r="G7647" s="53"/>
    </row>
    <row r="7648">
      <c r="A7648" s="49">
        <v>45101.56462827546</v>
      </c>
      <c r="B7648" s="50">
        <v>45101.6896066435</v>
      </c>
      <c r="C7648" s="51">
        <v>1.005</v>
      </c>
      <c r="D7648" s="51">
        <v>69.0</v>
      </c>
      <c r="E7648" s="52" t="s">
        <v>25</v>
      </c>
      <c r="F7648" s="52" t="s">
        <v>26</v>
      </c>
      <c r="G7648" s="53"/>
    </row>
    <row r="7649">
      <c r="A7649" s="49">
        <v>45101.575077118054</v>
      </c>
      <c r="B7649" s="50">
        <v>45101.7000507754</v>
      </c>
      <c r="C7649" s="51">
        <v>1.005</v>
      </c>
      <c r="D7649" s="51">
        <v>69.0</v>
      </c>
      <c r="E7649" s="52" t="s">
        <v>25</v>
      </c>
      <c r="F7649" s="52" t="s">
        <v>26</v>
      </c>
      <c r="G7649" s="53"/>
    </row>
    <row r="7650">
      <c r="A7650" s="49">
        <v>45101.58549809028</v>
      </c>
      <c r="B7650" s="50">
        <v>45101.7104711458</v>
      </c>
      <c r="C7650" s="51">
        <v>1.005</v>
      </c>
      <c r="D7650" s="51">
        <v>69.0</v>
      </c>
      <c r="E7650" s="52" t="s">
        <v>25</v>
      </c>
      <c r="F7650" s="52" t="s">
        <v>26</v>
      </c>
      <c r="G7650" s="53"/>
    </row>
    <row r="7651">
      <c r="A7651" s="49">
        <v>45101.59591495371</v>
      </c>
      <c r="B7651" s="50">
        <v>45101.7208899652</v>
      </c>
      <c r="C7651" s="51">
        <v>1.005</v>
      </c>
      <c r="D7651" s="51">
        <v>69.0</v>
      </c>
      <c r="E7651" s="52" t="s">
        <v>25</v>
      </c>
      <c r="F7651" s="52" t="s">
        <v>26</v>
      </c>
      <c r="G7651" s="53"/>
    </row>
    <row r="7652">
      <c r="A7652" s="49">
        <v>45101.60634013889</v>
      </c>
      <c r="B7652" s="50">
        <v>45101.7313116898</v>
      </c>
      <c r="C7652" s="51">
        <v>1.005</v>
      </c>
      <c r="D7652" s="51">
        <v>69.0</v>
      </c>
      <c r="E7652" s="52" t="s">
        <v>25</v>
      </c>
      <c r="F7652" s="52" t="s">
        <v>26</v>
      </c>
      <c r="G7652" s="53"/>
    </row>
    <row r="7653">
      <c r="A7653" s="49">
        <v>45101.61676482639</v>
      </c>
      <c r="B7653" s="50">
        <v>45101.7417440625</v>
      </c>
      <c r="C7653" s="51">
        <v>1.005</v>
      </c>
      <c r="D7653" s="51">
        <v>69.0</v>
      </c>
      <c r="E7653" s="52" t="s">
        <v>25</v>
      </c>
      <c r="F7653" s="52" t="s">
        <v>26</v>
      </c>
      <c r="G7653" s="53"/>
    </row>
    <row r="7654">
      <c r="A7654" s="49">
        <v>45101.62719395834</v>
      </c>
      <c r="B7654" s="50">
        <v>45101.7521643055</v>
      </c>
      <c r="C7654" s="51">
        <v>1.005</v>
      </c>
      <c r="D7654" s="51">
        <v>69.0</v>
      </c>
      <c r="E7654" s="52" t="s">
        <v>25</v>
      </c>
      <c r="F7654" s="52" t="s">
        <v>26</v>
      </c>
      <c r="G7654" s="53"/>
    </row>
    <row r="7655">
      <c r="A7655" s="49">
        <v>45101.63761872685</v>
      </c>
      <c r="B7655" s="50">
        <v>45101.7625873032</v>
      </c>
      <c r="C7655" s="51">
        <v>1.005</v>
      </c>
      <c r="D7655" s="51">
        <v>69.0</v>
      </c>
      <c r="E7655" s="52" t="s">
        <v>25</v>
      </c>
      <c r="F7655" s="52" t="s">
        <v>26</v>
      </c>
      <c r="G7655" s="53"/>
    </row>
    <row r="7656">
      <c r="A7656" s="49">
        <v>45101.648039583335</v>
      </c>
      <c r="B7656" s="50">
        <v>45101.7730090277</v>
      </c>
      <c r="C7656" s="51">
        <v>1.005</v>
      </c>
      <c r="D7656" s="51">
        <v>69.0</v>
      </c>
      <c r="E7656" s="52" t="s">
        <v>25</v>
      </c>
      <c r="F7656" s="52" t="s">
        <v>26</v>
      </c>
      <c r="G7656" s="53"/>
    </row>
    <row r="7657">
      <c r="A7657" s="49">
        <v>45101.65845795139</v>
      </c>
      <c r="B7657" s="50">
        <v>45101.783430625</v>
      </c>
      <c r="C7657" s="51">
        <v>1.005</v>
      </c>
      <c r="D7657" s="51">
        <v>69.0</v>
      </c>
      <c r="E7657" s="52" t="s">
        <v>25</v>
      </c>
      <c r="F7657" s="52" t="s">
        <v>26</v>
      </c>
      <c r="G7657" s="53"/>
    </row>
    <row r="7658">
      <c r="A7658" s="49">
        <v>45101.66887039352</v>
      </c>
      <c r="B7658" s="50">
        <v>45101.793850162</v>
      </c>
      <c r="C7658" s="51">
        <v>1.005</v>
      </c>
      <c r="D7658" s="51">
        <v>69.0</v>
      </c>
      <c r="E7658" s="52" t="s">
        <v>25</v>
      </c>
      <c r="F7658" s="52" t="s">
        <v>26</v>
      </c>
      <c r="G7658" s="53"/>
    </row>
    <row r="7659">
      <c r="A7659" s="49">
        <v>45101.67930046296</v>
      </c>
      <c r="B7659" s="50">
        <v>45101.804270949</v>
      </c>
      <c r="C7659" s="51">
        <v>1.005</v>
      </c>
      <c r="D7659" s="51">
        <v>69.0</v>
      </c>
      <c r="E7659" s="52" t="s">
        <v>25</v>
      </c>
      <c r="F7659" s="52" t="s">
        <v>26</v>
      </c>
      <c r="G7659" s="53"/>
    </row>
    <row r="7660">
      <c r="A7660" s="49">
        <v>45101.68971869213</v>
      </c>
      <c r="B7660" s="50">
        <v>45101.8146919907</v>
      </c>
      <c r="C7660" s="51">
        <v>1.005</v>
      </c>
      <c r="D7660" s="51">
        <v>69.0</v>
      </c>
      <c r="E7660" s="52" t="s">
        <v>25</v>
      </c>
      <c r="F7660" s="52" t="s">
        <v>26</v>
      </c>
      <c r="G7660" s="53"/>
    </row>
    <row r="7661">
      <c r="A7661" s="49">
        <v>45101.70014181713</v>
      </c>
      <c r="B7661" s="50">
        <v>45101.8251116319</v>
      </c>
      <c r="C7661" s="51">
        <v>1.005</v>
      </c>
      <c r="D7661" s="51">
        <v>69.0</v>
      </c>
      <c r="E7661" s="52" t="s">
        <v>25</v>
      </c>
      <c r="F7661" s="52" t="s">
        <v>26</v>
      </c>
      <c r="G7661" s="53"/>
    </row>
    <row r="7662">
      <c r="A7662" s="49">
        <v>45101.71056653935</v>
      </c>
      <c r="B7662" s="50">
        <v>45101.8355348958</v>
      </c>
      <c r="C7662" s="51">
        <v>1.005</v>
      </c>
      <c r="D7662" s="51">
        <v>69.0</v>
      </c>
      <c r="E7662" s="52" t="s">
        <v>25</v>
      </c>
      <c r="F7662" s="52" t="s">
        <v>26</v>
      </c>
      <c r="G7662" s="53"/>
    </row>
    <row r="7663">
      <c r="A7663" s="49">
        <v>45101.72098386574</v>
      </c>
      <c r="B7663" s="50">
        <v>45101.8459556944</v>
      </c>
      <c r="C7663" s="51">
        <v>1.005</v>
      </c>
      <c r="D7663" s="51">
        <v>69.0</v>
      </c>
      <c r="E7663" s="52" t="s">
        <v>25</v>
      </c>
      <c r="F7663" s="52" t="s">
        <v>26</v>
      </c>
      <c r="G7663" s="53"/>
    </row>
    <row r="7664">
      <c r="A7664" s="49">
        <v>45101.73140829861</v>
      </c>
      <c r="B7664" s="50">
        <v>45101.8563770486</v>
      </c>
      <c r="C7664" s="51">
        <v>1.005</v>
      </c>
      <c r="D7664" s="51">
        <v>69.0</v>
      </c>
      <c r="E7664" s="52" t="s">
        <v>25</v>
      </c>
      <c r="F7664" s="52" t="s">
        <v>26</v>
      </c>
      <c r="G7664" s="53"/>
    </row>
    <row r="7665">
      <c r="A7665" s="49">
        <v>45101.74183825232</v>
      </c>
      <c r="B7665" s="50">
        <v>45101.8668092129</v>
      </c>
      <c r="C7665" s="51">
        <v>1.005</v>
      </c>
      <c r="D7665" s="51">
        <v>69.0</v>
      </c>
      <c r="E7665" s="52" t="s">
        <v>25</v>
      </c>
      <c r="F7665" s="52" t="s">
        <v>26</v>
      </c>
      <c r="G7665" s="53"/>
    </row>
    <row r="7666">
      <c r="A7666" s="49">
        <v>45101.75227247685</v>
      </c>
      <c r="B7666" s="50">
        <v>45101.877241331</v>
      </c>
      <c r="C7666" s="51">
        <v>1.005</v>
      </c>
      <c r="D7666" s="51">
        <v>69.0</v>
      </c>
      <c r="E7666" s="52" t="s">
        <v>25</v>
      </c>
      <c r="F7666" s="52" t="s">
        <v>26</v>
      </c>
      <c r="G7666" s="53"/>
    </row>
    <row r="7667">
      <c r="A7667" s="49">
        <v>45101.76268745371</v>
      </c>
      <c r="B7667" s="50">
        <v>45101.8876628472</v>
      </c>
      <c r="C7667" s="51">
        <v>1.005</v>
      </c>
      <c r="D7667" s="51">
        <v>69.0</v>
      </c>
      <c r="E7667" s="52" t="s">
        <v>25</v>
      </c>
      <c r="F7667" s="52" t="s">
        <v>26</v>
      </c>
      <c r="G7667" s="53"/>
    </row>
    <row r="7668">
      <c r="A7668" s="49">
        <v>45101.77311724537</v>
      </c>
      <c r="B7668" s="50">
        <v>45101.8980852546</v>
      </c>
      <c r="C7668" s="51">
        <v>1.005</v>
      </c>
      <c r="D7668" s="51">
        <v>69.0</v>
      </c>
      <c r="E7668" s="52" t="s">
        <v>25</v>
      </c>
      <c r="F7668" s="52" t="s">
        <v>26</v>
      </c>
      <c r="G7668" s="53"/>
    </row>
    <row r="7669">
      <c r="A7669" s="49">
        <v>45101.78354795139</v>
      </c>
      <c r="B7669" s="50">
        <v>45101.9085066551</v>
      </c>
      <c r="C7669" s="51">
        <v>1.005</v>
      </c>
      <c r="D7669" s="51">
        <v>69.0</v>
      </c>
      <c r="E7669" s="52" t="s">
        <v>25</v>
      </c>
      <c r="F7669" s="52" t="s">
        <v>26</v>
      </c>
      <c r="G7669" s="53"/>
    </row>
    <row r="7670">
      <c r="A7670" s="49">
        <v>45101.79397483796</v>
      </c>
      <c r="B7670" s="50">
        <v>45101.9189384375</v>
      </c>
      <c r="C7670" s="51">
        <v>1.005</v>
      </c>
      <c r="D7670" s="51">
        <v>69.0</v>
      </c>
      <c r="E7670" s="52" t="s">
        <v>25</v>
      </c>
      <c r="F7670" s="52" t="s">
        <v>26</v>
      </c>
      <c r="G7670" s="53"/>
    </row>
    <row r="7671">
      <c r="A7671" s="49">
        <v>45101.80439875</v>
      </c>
      <c r="B7671" s="50">
        <v>45101.9293570833</v>
      </c>
      <c r="C7671" s="51">
        <v>1.005</v>
      </c>
      <c r="D7671" s="51">
        <v>69.0</v>
      </c>
      <c r="E7671" s="52" t="s">
        <v>25</v>
      </c>
      <c r="F7671" s="52" t="s">
        <v>26</v>
      </c>
      <c r="G7671" s="53"/>
    </row>
    <row r="7672">
      <c r="A7672" s="49">
        <v>45101.8148212963</v>
      </c>
      <c r="B7672" s="50">
        <v>45101.9397768402</v>
      </c>
      <c r="C7672" s="51">
        <v>1.005</v>
      </c>
      <c r="D7672" s="51">
        <v>69.0</v>
      </c>
      <c r="E7672" s="52" t="s">
        <v>25</v>
      </c>
      <c r="F7672" s="52" t="s">
        <v>26</v>
      </c>
      <c r="G7672" s="53"/>
    </row>
    <row r="7673">
      <c r="A7673" s="49">
        <v>45101.82523930556</v>
      </c>
      <c r="B7673" s="50">
        <v>45101.9501964583</v>
      </c>
      <c r="C7673" s="51">
        <v>1.005</v>
      </c>
      <c r="D7673" s="51">
        <v>69.0</v>
      </c>
      <c r="E7673" s="52" t="s">
        <v>25</v>
      </c>
      <c r="F7673" s="52" t="s">
        <v>26</v>
      </c>
      <c r="G7673" s="53"/>
    </row>
    <row r="7674">
      <c r="A7674" s="49">
        <v>45101.83565894676</v>
      </c>
      <c r="B7674" s="50">
        <v>45101.9606183449</v>
      </c>
      <c r="C7674" s="51">
        <v>1.005</v>
      </c>
      <c r="D7674" s="51">
        <v>69.0</v>
      </c>
      <c r="E7674" s="52" t="s">
        <v>25</v>
      </c>
      <c r="F7674" s="52" t="s">
        <v>26</v>
      </c>
      <c r="G7674" s="53"/>
    </row>
    <row r="7675">
      <c r="A7675" s="49">
        <v>45101.84608398148</v>
      </c>
      <c r="B7675" s="50">
        <v>45101.9710398726</v>
      </c>
      <c r="C7675" s="51">
        <v>1.005</v>
      </c>
      <c r="D7675" s="51">
        <v>69.0</v>
      </c>
      <c r="E7675" s="52" t="s">
        <v>25</v>
      </c>
      <c r="F7675" s="52" t="s">
        <v>26</v>
      </c>
      <c r="G7675" s="53"/>
    </row>
    <row r="7676">
      <c r="A7676" s="49">
        <v>45101.856500775466</v>
      </c>
      <c r="B7676" s="50">
        <v>45101.9814617708</v>
      </c>
      <c r="C7676" s="51">
        <v>1.005</v>
      </c>
      <c r="D7676" s="51">
        <v>69.0</v>
      </c>
      <c r="E7676" s="52" t="s">
        <v>25</v>
      </c>
      <c r="F7676" s="52" t="s">
        <v>26</v>
      </c>
      <c r="G7676" s="53"/>
    </row>
    <row r="7677">
      <c r="A7677" s="49">
        <v>45101.866917210646</v>
      </c>
      <c r="B7677" s="50">
        <v>45101.991882662</v>
      </c>
      <c r="C7677" s="51">
        <v>1.005</v>
      </c>
      <c r="D7677" s="51">
        <v>69.0</v>
      </c>
      <c r="E7677" s="52" t="s">
        <v>25</v>
      </c>
      <c r="F7677" s="52" t="s">
        <v>26</v>
      </c>
      <c r="G7677" s="53"/>
    </row>
    <row r="7678">
      <c r="A7678" s="49">
        <v>45101.877337453705</v>
      </c>
      <c r="B7678" s="50">
        <v>45102.0023160069</v>
      </c>
      <c r="C7678" s="51">
        <v>1.005</v>
      </c>
      <c r="D7678" s="51">
        <v>69.0</v>
      </c>
      <c r="E7678" s="52" t="s">
        <v>25</v>
      </c>
      <c r="F7678" s="52" t="s">
        <v>26</v>
      </c>
      <c r="G7678" s="53"/>
    </row>
    <row r="7679">
      <c r="A7679" s="49">
        <v>45101.88777908565</v>
      </c>
      <c r="B7679" s="50">
        <v>45102.0127368981</v>
      </c>
      <c r="C7679" s="51">
        <v>1.005</v>
      </c>
      <c r="D7679" s="51">
        <v>69.0</v>
      </c>
      <c r="E7679" s="52" t="s">
        <v>25</v>
      </c>
      <c r="F7679" s="52" t="s">
        <v>26</v>
      </c>
      <c r="G7679" s="53"/>
    </row>
    <row r="7680">
      <c r="A7680" s="49">
        <v>45101.89819532407</v>
      </c>
      <c r="B7680" s="50">
        <v>45102.023158287</v>
      </c>
      <c r="C7680" s="51">
        <v>1.005</v>
      </c>
      <c r="D7680" s="51">
        <v>69.0</v>
      </c>
      <c r="E7680" s="52" t="s">
        <v>25</v>
      </c>
      <c r="F7680" s="52" t="s">
        <v>26</v>
      </c>
      <c r="G7680" s="53"/>
    </row>
    <row r="7681">
      <c r="A7681" s="49">
        <v>45101.90861853009</v>
      </c>
      <c r="B7681" s="50">
        <v>45102.0335795023</v>
      </c>
      <c r="C7681" s="51">
        <v>1.005</v>
      </c>
      <c r="D7681" s="51">
        <v>69.0</v>
      </c>
      <c r="E7681" s="52" t="s">
        <v>25</v>
      </c>
      <c r="F7681" s="52" t="s">
        <v>26</v>
      </c>
      <c r="G7681" s="53"/>
    </row>
    <row r="7682">
      <c r="A7682" s="49">
        <v>45101.9190534375</v>
      </c>
      <c r="B7682" s="50">
        <v>45102.0440025</v>
      </c>
      <c r="C7682" s="51">
        <v>1.005</v>
      </c>
      <c r="D7682" s="51">
        <v>69.0</v>
      </c>
      <c r="E7682" s="52" t="s">
        <v>25</v>
      </c>
      <c r="F7682" s="52" t="s">
        <v>26</v>
      </c>
      <c r="G7682" s="53"/>
    </row>
    <row r="7683">
      <c r="A7683" s="49">
        <v>45101.92946787037</v>
      </c>
      <c r="B7683" s="50">
        <v>45102.0544224074</v>
      </c>
      <c r="C7683" s="51">
        <v>1.005</v>
      </c>
      <c r="D7683" s="51">
        <v>70.0</v>
      </c>
      <c r="E7683" s="52" t="s">
        <v>25</v>
      </c>
      <c r="F7683" s="52" t="s">
        <v>26</v>
      </c>
      <c r="G7683" s="53"/>
    </row>
    <row r="7684">
      <c r="A7684" s="49">
        <v>45101.93989446759</v>
      </c>
      <c r="B7684" s="50">
        <v>45102.064856331</v>
      </c>
      <c r="C7684" s="51">
        <v>1.005</v>
      </c>
      <c r="D7684" s="51">
        <v>70.0</v>
      </c>
      <c r="E7684" s="52" t="s">
        <v>25</v>
      </c>
      <c r="F7684" s="52" t="s">
        <v>26</v>
      </c>
      <c r="G7684" s="53"/>
    </row>
    <row r="7685">
      <c r="A7685" s="49">
        <v>45101.95032297454</v>
      </c>
      <c r="B7685" s="50">
        <v>45102.0752880324</v>
      </c>
      <c r="C7685" s="51">
        <v>1.005</v>
      </c>
      <c r="D7685" s="51">
        <v>69.0</v>
      </c>
      <c r="E7685" s="52" t="s">
        <v>25</v>
      </c>
      <c r="F7685" s="52" t="s">
        <v>26</v>
      </c>
      <c r="G7685" s="53"/>
    </row>
    <row r="7686">
      <c r="A7686" s="49">
        <v>45101.96073181713</v>
      </c>
      <c r="B7686" s="50">
        <v>45102.0857103356</v>
      </c>
      <c r="C7686" s="51">
        <v>1.005</v>
      </c>
      <c r="D7686" s="51">
        <v>69.0</v>
      </c>
      <c r="E7686" s="52" t="s">
        <v>25</v>
      </c>
      <c r="F7686" s="52" t="s">
        <v>26</v>
      </c>
      <c r="G7686" s="53"/>
    </row>
    <row r="7687">
      <c r="A7687" s="49">
        <v>45101.97116540509</v>
      </c>
      <c r="B7687" s="50">
        <v>45102.0961292245</v>
      </c>
      <c r="C7687" s="51">
        <v>1.005</v>
      </c>
      <c r="D7687" s="51">
        <v>70.0</v>
      </c>
      <c r="E7687" s="52" t="s">
        <v>25</v>
      </c>
      <c r="F7687" s="52" t="s">
        <v>26</v>
      </c>
      <c r="G7687" s="53"/>
    </row>
    <row r="7688">
      <c r="A7688" s="49">
        <v>45101.98158421296</v>
      </c>
      <c r="B7688" s="50">
        <v>45102.1065510069</v>
      </c>
      <c r="C7688" s="51">
        <v>1.005</v>
      </c>
      <c r="D7688" s="51">
        <v>69.0</v>
      </c>
      <c r="E7688" s="52" t="s">
        <v>25</v>
      </c>
      <c r="F7688" s="52" t="s">
        <v>26</v>
      </c>
      <c r="G7688" s="53"/>
    </row>
    <row r="7689">
      <c r="A7689" s="49">
        <v>45101.99201125</v>
      </c>
      <c r="B7689" s="50">
        <v>45102.1169827314</v>
      </c>
      <c r="C7689" s="51">
        <v>1.005</v>
      </c>
      <c r="D7689" s="51">
        <v>69.0</v>
      </c>
      <c r="E7689" s="52" t="s">
        <v>25</v>
      </c>
      <c r="F7689" s="52" t="s">
        <v>26</v>
      </c>
      <c r="G7689" s="53"/>
    </row>
    <row r="7690">
      <c r="A7690" s="49">
        <v>45102.00244434028</v>
      </c>
      <c r="B7690" s="50">
        <v>45102.1274146875</v>
      </c>
      <c r="C7690" s="51">
        <v>1.005</v>
      </c>
      <c r="D7690" s="51">
        <v>69.0</v>
      </c>
      <c r="E7690" s="52" t="s">
        <v>25</v>
      </c>
      <c r="F7690" s="52" t="s">
        <v>26</v>
      </c>
      <c r="G7690" s="53"/>
    </row>
    <row r="7691">
      <c r="A7691" s="49">
        <v>45102.012860636576</v>
      </c>
      <c r="B7691" s="50">
        <v>45102.1378344791</v>
      </c>
      <c r="C7691" s="51">
        <v>1.005</v>
      </c>
      <c r="D7691" s="51">
        <v>70.0</v>
      </c>
      <c r="E7691" s="52" t="s">
        <v>25</v>
      </c>
      <c r="F7691" s="52" t="s">
        <v>26</v>
      </c>
      <c r="G7691" s="53"/>
    </row>
    <row r="7692">
      <c r="A7692" s="49">
        <v>45102.02328381945</v>
      </c>
      <c r="B7692" s="50">
        <v>45102.1482568865</v>
      </c>
      <c r="C7692" s="51">
        <v>1.005</v>
      </c>
      <c r="D7692" s="51">
        <v>69.0</v>
      </c>
      <c r="E7692" s="52" t="s">
        <v>25</v>
      </c>
      <c r="F7692" s="52" t="s">
        <v>26</v>
      </c>
      <c r="G7692" s="53"/>
    </row>
    <row r="7693">
      <c r="A7693" s="49">
        <v>45102.033713854165</v>
      </c>
      <c r="B7693" s="50">
        <v>45102.1586881828</v>
      </c>
      <c r="C7693" s="51">
        <v>1.005</v>
      </c>
      <c r="D7693" s="51">
        <v>70.0</v>
      </c>
      <c r="E7693" s="52" t="s">
        <v>25</v>
      </c>
      <c r="F7693" s="52" t="s">
        <v>26</v>
      </c>
      <c r="G7693" s="53"/>
    </row>
    <row r="7694">
      <c r="A7694" s="49">
        <v>45102.04413126157</v>
      </c>
      <c r="B7694" s="50">
        <v>45102.1691088194</v>
      </c>
      <c r="C7694" s="51">
        <v>1.005</v>
      </c>
      <c r="D7694" s="51">
        <v>69.0</v>
      </c>
      <c r="E7694" s="52" t="s">
        <v>25</v>
      </c>
      <c r="F7694" s="52" t="s">
        <v>26</v>
      </c>
      <c r="G7694" s="53"/>
    </row>
    <row r="7695">
      <c r="A7695" s="49">
        <v>45102.054579814816</v>
      </c>
      <c r="B7695" s="50">
        <v>45102.1795397569</v>
      </c>
      <c r="C7695" s="51">
        <v>1.004</v>
      </c>
      <c r="D7695" s="51">
        <v>69.0</v>
      </c>
      <c r="E7695" s="52" t="s">
        <v>25</v>
      </c>
      <c r="F7695" s="52" t="s">
        <v>26</v>
      </c>
      <c r="G7695" s="53"/>
    </row>
    <row r="7696">
      <c r="A7696" s="49">
        <v>45102.06498446759</v>
      </c>
      <c r="B7696" s="50">
        <v>45102.1899603703</v>
      </c>
      <c r="C7696" s="51">
        <v>1.005</v>
      </c>
      <c r="D7696" s="51">
        <v>69.0</v>
      </c>
      <c r="E7696" s="52" t="s">
        <v>25</v>
      </c>
      <c r="F7696" s="52" t="s">
        <v>26</v>
      </c>
      <c r="G7696" s="53"/>
    </row>
    <row r="7697">
      <c r="A7697" s="49">
        <v>45102.07541346065</v>
      </c>
      <c r="B7697" s="50">
        <v>45102.2003825462</v>
      </c>
      <c r="C7697" s="51">
        <v>1.005</v>
      </c>
      <c r="D7697" s="51">
        <v>70.0</v>
      </c>
      <c r="E7697" s="52" t="s">
        <v>25</v>
      </c>
      <c r="F7697" s="52" t="s">
        <v>26</v>
      </c>
      <c r="G7697" s="53"/>
    </row>
    <row r="7698">
      <c r="A7698" s="49">
        <v>45102.085830474534</v>
      </c>
      <c r="B7698" s="50">
        <v>45102.2108026041</v>
      </c>
      <c r="C7698" s="51">
        <v>1.005</v>
      </c>
      <c r="D7698" s="51">
        <v>70.0</v>
      </c>
      <c r="E7698" s="52" t="s">
        <v>25</v>
      </c>
      <c r="F7698" s="52" t="s">
        <v>26</v>
      </c>
      <c r="G7698" s="53"/>
    </row>
    <row r="7699">
      <c r="A7699" s="49">
        <v>45102.09624726852</v>
      </c>
      <c r="B7699" s="50">
        <v>45102.2212233796</v>
      </c>
      <c r="C7699" s="51">
        <v>1.005</v>
      </c>
      <c r="D7699" s="51">
        <v>70.0</v>
      </c>
      <c r="E7699" s="52" t="s">
        <v>25</v>
      </c>
      <c r="F7699" s="52" t="s">
        <v>26</v>
      </c>
      <c r="G7699" s="53"/>
    </row>
    <row r="7700">
      <c r="A7700" s="49">
        <v>45102.10667547454</v>
      </c>
      <c r="B7700" s="50">
        <v>45102.2316457754</v>
      </c>
      <c r="C7700" s="51">
        <v>1.005</v>
      </c>
      <c r="D7700" s="51">
        <v>70.0</v>
      </c>
      <c r="E7700" s="52" t="s">
        <v>25</v>
      </c>
      <c r="F7700" s="52" t="s">
        <v>26</v>
      </c>
      <c r="G7700" s="53"/>
    </row>
    <row r="7701">
      <c r="A7701" s="49">
        <v>45102.1170919213</v>
      </c>
      <c r="B7701" s="50">
        <v>45102.2420672453</v>
      </c>
      <c r="C7701" s="51">
        <v>1.005</v>
      </c>
      <c r="D7701" s="51">
        <v>69.0</v>
      </c>
      <c r="E7701" s="52" t="s">
        <v>25</v>
      </c>
      <c r="F7701" s="52" t="s">
        <v>26</v>
      </c>
      <c r="G7701" s="53"/>
    </row>
    <row r="7702">
      <c r="A7702" s="49">
        <v>45102.127545868054</v>
      </c>
      <c r="B7702" s="50">
        <v>45102.2524893171</v>
      </c>
      <c r="C7702" s="51">
        <v>1.005</v>
      </c>
      <c r="D7702" s="51">
        <v>70.0</v>
      </c>
      <c r="E7702" s="52" t="s">
        <v>25</v>
      </c>
      <c r="F7702" s="52" t="s">
        <v>26</v>
      </c>
      <c r="G7702" s="53"/>
    </row>
    <row r="7703">
      <c r="A7703" s="49">
        <v>45102.13793896991</v>
      </c>
      <c r="B7703" s="50">
        <v>45102.2629110416</v>
      </c>
      <c r="C7703" s="51">
        <v>1.005</v>
      </c>
      <c r="D7703" s="51">
        <v>70.0</v>
      </c>
      <c r="E7703" s="52" t="s">
        <v>25</v>
      </c>
      <c r="F7703" s="52" t="s">
        <v>26</v>
      </c>
      <c r="G7703" s="53"/>
    </row>
    <row r="7704">
      <c r="A7704" s="49">
        <v>45102.14837260416</v>
      </c>
      <c r="B7704" s="50">
        <v>45102.2733314699</v>
      </c>
      <c r="C7704" s="51">
        <v>1.005</v>
      </c>
      <c r="D7704" s="51">
        <v>70.0</v>
      </c>
      <c r="E7704" s="52" t="s">
        <v>25</v>
      </c>
      <c r="F7704" s="52" t="s">
        <v>26</v>
      </c>
      <c r="G7704" s="53"/>
    </row>
    <row r="7705">
      <c r="A7705" s="49">
        <v>45102.15879434028</v>
      </c>
      <c r="B7705" s="50">
        <v>45102.2837630092</v>
      </c>
      <c r="C7705" s="51">
        <v>1.005</v>
      </c>
      <c r="D7705" s="51">
        <v>70.0</v>
      </c>
      <c r="E7705" s="52" t="s">
        <v>25</v>
      </c>
      <c r="F7705" s="52" t="s">
        <v>26</v>
      </c>
      <c r="G7705" s="53"/>
    </row>
    <row r="7706">
      <c r="A7706" s="49">
        <v>45102.169219560186</v>
      </c>
      <c r="B7706" s="50">
        <v>45102.2941841203</v>
      </c>
      <c r="C7706" s="51">
        <v>1.005</v>
      </c>
      <c r="D7706" s="51">
        <v>70.0</v>
      </c>
      <c r="E7706" s="52" t="s">
        <v>25</v>
      </c>
      <c r="F7706" s="52" t="s">
        <v>26</v>
      </c>
      <c r="G7706" s="53"/>
    </row>
    <row r="7707">
      <c r="A7707" s="49">
        <v>45102.179647083336</v>
      </c>
      <c r="B7707" s="50">
        <v>45102.304604537</v>
      </c>
      <c r="C7707" s="51">
        <v>1.005</v>
      </c>
      <c r="D7707" s="51">
        <v>70.0</v>
      </c>
      <c r="E7707" s="52" t="s">
        <v>25</v>
      </c>
      <c r="F7707" s="52" t="s">
        <v>26</v>
      </c>
      <c r="G7707" s="53"/>
    </row>
    <row r="7708">
      <c r="A7708" s="49">
        <v>45102.19006621528</v>
      </c>
      <c r="B7708" s="50">
        <v>45102.3150271064</v>
      </c>
      <c r="C7708" s="51">
        <v>1.005</v>
      </c>
      <c r="D7708" s="51">
        <v>70.0</v>
      </c>
      <c r="E7708" s="52" t="s">
        <v>25</v>
      </c>
      <c r="F7708" s="52" t="s">
        <v>26</v>
      </c>
      <c r="G7708" s="53"/>
    </row>
    <row r="7709">
      <c r="A7709" s="49">
        <v>45102.20049644676</v>
      </c>
      <c r="B7709" s="50">
        <v>45102.3254710648</v>
      </c>
      <c r="C7709" s="51">
        <v>1.005</v>
      </c>
      <c r="D7709" s="51">
        <v>70.0</v>
      </c>
      <c r="E7709" s="52" t="s">
        <v>25</v>
      </c>
      <c r="F7709" s="52" t="s">
        <v>26</v>
      </c>
      <c r="G7709" s="53"/>
    </row>
    <row r="7710">
      <c r="A7710" s="49">
        <v>45102.2109365162</v>
      </c>
      <c r="B7710" s="50">
        <v>45102.3359048379</v>
      </c>
      <c r="C7710" s="51">
        <v>1.005</v>
      </c>
      <c r="D7710" s="51">
        <v>70.0</v>
      </c>
      <c r="E7710" s="52" t="s">
        <v>25</v>
      </c>
      <c r="F7710" s="52" t="s">
        <v>26</v>
      </c>
      <c r="G7710" s="53"/>
    </row>
    <row r="7711">
      <c r="A7711" s="49">
        <v>45102.22135211805</v>
      </c>
      <c r="B7711" s="50">
        <v>45102.346325625</v>
      </c>
      <c r="C7711" s="51">
        <v>1.005</v>
      </c>
      <c r="D7711" s="51">
        <v>70.0</v>
      </c>
      <c r="E7711" s="52" t="s">
        <v>25</v>
      </c>
      <c r="F7711" s="52" t="s">
        <v>26</v>
      </c>
      <c r="G7711" s="53"/>
    </row>
    <row r="7712">
      <c r="A7712" s="49">
        <v>45102.231770300925</v>
      </c>
      <c r="B7712" s="50">
        <v>45102.356746331</v>
      </c>
      <c r="C7712" s="51">
        <v>1.005</v>
      </c>
      <c r="D7712" s="51">
        <v>70.0</v>
      </c>
      <c r="E7712" s="52" t="s">
        <v>25</v>
      </c>
      <c r="F7712" s="52" t="s">
        <v>26</v>
      </c>
      <c r="G7712" s="53"/>
    </row>
    <row r="7713">
      <c r="A7713" s="49">
        <v>45102.24218572916</v>
      </c>
      <c r="B7713" s="50">
        <v>45102.36716728</v>
      </c>
      <c r="C7713" s="51">
        <v>1.005</v>
      </c>
      <c r="D7713" s="51">
        <v>70.0</v>
      </c>
      <c r="E7713" s="52" t="s">
        <v>25</v>
      </c>
      <c r="F7713" s="52" t="s">
        <v>26</v>
      </c>
      <c r="G7713" s="53"/>
    </row>
    <row r="7714">
      <c r="A7714" s="49">
        <v>45102.252618506944</v>
      </c>
      <c r="B7714" s="50">
        <v>45102.3775901041</v>
      </c>
      <c r="C7714" s="51">
        <v>1.005</v>
      </c>
      <c r="D7714" s="51">
        <v>70.0</v>
      </c>
      <c r="E7714" s="52" t="s">
        <v>25</v>
      </c>
      <c r="F7714" s="52" t="s">
        <v>26</v>
      </c>
      <c r="G7714" s="53"/>
    </row>
    <row r="7715">
      <c r="A7715" s="49">
        <v>45102.263040000005</v>
      </c>
      <c r="B7715" s="50">
        <v>45102.3880110416</v>
      </c>
      <c r="C7715" s="51">
        <v>1.005</v>
      </c>
      <c r="D7715" s="51">
        <v>70.0</v>
      </c>
      <c r="E7715" s="52" t="s">
        <v>25</v>
      </c>
      <c r="F7715" s="52" t="s">
        <v>26</v>
      </c>
      <c r="G7715" s="53"/>
    </row>
    <row r="7716">
      <c r="A7716" s="49">
        <v>45102.273471458335</v>
      </c>
      <c r="B7716" s="50">
        <v>45102.3984450694</v>
      </c>
      <c r="C7716" s="51">
        <v>1.005</v>
      </c>
      <c r="D7716" s="51">
        <v>70.0</v>
      </c>
      <c r="E7716" s="52" t="s">
        <v>25</v>
      </c>
      <c r="F7716" s="52" t="s">
        <v>26</v>
      </c>
      <c r="G7716" s="53"/>
    </row>
    <row r="7717">
      <c r="A7717" s="49">
        <v>45102.283887349535</v>
      </c>
      <c r="B7717" s="50">
        <v>45102.408865243</v>
      </c>
      <c r="C7717" s="51">
        <v>1.005</v>
      </c>
      <c r="D7717" s="51">
        <v>70.0</v>
      </c>
      <c r="E7717" s="52" t="s">
        <v>25</v>
      </c>
      <c r="F7717" s="52" t="s">
        <v>26</v>
      </c>
      <c r="G7717" s="53"/>
    </row>
    <row r="7718">
      <c r="A7718" s="49">
        <v>45102.29431153936</v>
      </c>
      <c r="B7718" s="50">
        <v>45102.4192871412</v>
      </c>
      <c r="C7718" s="51">
        <v>1.004</v>
      </c>
      <c r="D7718" s="51">
        <v>70.0</v>
      </c>
      <c r="E7718" s="52" t="s">
        <v>25</v>
      </c>
      <c r="F7718" s="52" t="s">
        <v>26</v>
      </c>
      <c r="G7718" s="53"/>
    </row>
    <row r="7719">
      <c r="A7719" s="49">
        <v>45102.3047228588</v>
      </c>
      <c r="B7719" s="50">
        <v>45102.4297079282</v>
      </c>
      <c r="C7719" s="51">
        <v>1.005</v>
      </c>
      <c r="D7719" s="51">
        <v>70.0</v>
      </c>
      <c r="E7719" s="52" t="s">
        <v>25</v>
      </c>
      <c r="F7719" s="52" t="s">
        <v>26</v>
      </c>
      <c r="G7719" s="53"/>
    </row>
    <row r="7720">
      <c r="A7720" s="49">
        <v>45102.3151881713</v>
      </c>
      <c r="B7720" s="50">
        <v>45102.4401647106</v>
      </c>
      <c r="C7720" s="51">
        <v>1.005</v>
      </c>
      <c r="D7720" s="51">
        <v>70.0</v>
      </c>
      <c r="E7720" s="52" t="s">
        <v>25</v>
      </c>
      <c r="F7720" s="52" t="s">
        <v>26</v>
      </c>
      <c r="G7720" s="53"/>
    </row>
    <row r="7721">
      <c r="A7721" s="49">
        <v>45102.32561046296</v>
      </c>
      <c r="B7721" s="50">
        <v>45102.4505853009</v>
      </c>
      <c r="C7721" s="51">
        <v>1.005</v>
      </c>
      <c r="D7721" s="51">
        <v>70.0</v>
      </c>
      <c r="E7721" s="52" t="s">
        <v>25</v>
      </c>
      <c r="F7721" s="52" t="s">
        <v>26</v>
      </c>
      <c r="G7721" s="53"/>
    </row>
    <row r="7722">
      <c r="A7722" s="49">
        <v>45102.33602877315</v>
      </c>
      <c r="B7722" s="50">
        <v>45102.4610057754</v>
      </c>
      <c r="C7722" s="51">
        <v>1.005</v>
      </c>
      <c r="D7722" s="51">
        <v>70.0</v>
      </c>
      <c r="E7722" s="52" t="s">
        <v>25</v>
      </c>
      <c r="F7722" s="52" t="s">
        <v>26</v>
      </c>
      <c r="G7722" s="53"/>
    </row>
    <row r="7723">
      <c r="A7723" s="49">
        <v>45102.346453819446</v>
      </c>
      <c r="B7723" s="50">
        <v>45102.4714264814</v>
      </c>
      <c r="C7723" s="51">
        <v>1.005</v>
      </c>
      <c r="D7723" s="51">
        <v>70.0</v>
      </c>
      <c r="E7723" s="52" t="s">
        <v>25</v>
      </c>
      <c r="F7723" s="52" t="s">
        <v>26</v>
      </c>
      <c r="G7723" s="53"/>
    </row>
    <row r="7724">
      <c r="A7724" s="49">
        <v>45102.35687328703</v>
      </c>
      <c r="B7724" s="50">
        <v>45102.4818477662</v>
      </c>
      <c r="C7724" s="51">
        <v>1.005</v>
      </c>
      <c r="D7724" s="51">
        <v>70.0</v>
      </c>
      <c r="E7724" s="52" t="s">
        <v>25</v>
      </c>
      <c r="F7724" s="52" t="s">
        <v>26</v>
      </c>
      <c r="G7724" s="53"/>
    </row>
    <row r="7725">
      <c r="A7725" s="49">
        <v>45102.36728491898</v>
      </c>
      <c r="B7725" s="50">
        <v>45102.4922678472</v>
      </c>
      <c r="C7725" s="51">
        <v>1.005</v>
      </c>
      <c r="D7725" s="51">
        <v>70.0</v>
      </c>
      <c r="E7725" s="52" t="s">
        <v>25</v>
      </c>
      <c r="F7725" s="52" t="s">
        <v>26</v>
      </c>
      <c r="G7725" s="53"/>
    </row>
    <row r="7726">
      <c r="A7726" s="49">
        <v>45102.37771136574</v>
      </c>
      <c r="B7726" s="50">
        <v>45102.5026893402</v>
      </c>
      <c r="C7726" s="51">
        <v>1.005</v>
      </c>
      <c r="D7726" s="51">
        <v>70.0</v>
      </c>
      <c r="E7726" s="52" t="s">
        <v>25</v>
      </c>
      <c r="F7726" s="52" t="s">
        <v>26</v>
      </c>
      <c r="G7726" s="53"/>
    </row>
    <row r="7727">
      <c r="A7727" s="49">
        <v>45102.388131562504</v>
      </c>
      <c r="B7727" s="50">
        <v>45102.5131105439</v>
      </c>
      <c r="C7727" s="51">
        <v>1.005</v>
      </c>
      <c r="D7727" s="51">
        <v>70.0</v>
      </c>
      <c r="E7727" s="52" t="s">
        <v>25</v>
      </c>
      <c r="F7727" s="52" t="s">
        <v>26</v>
      </c>
      <c r="G7727" s="53"/>
    </row>
    <row r="7728">
      <c r="A7728" s="49">
        <v>45102.39855616898</v>
      </c>
      <c r="B7728" s="50">
        <v>45102.5235309143</v>
      </c>
      <c r="C7728" s="51">
        <v>1.005</v>
      </c>
      <c r="D7728" s="51">
        <v>70.0</v>
      </c>
      <c r="E7728" s="52" t="s">
        <v>25</v>
      </c>
      <c r="F7728" s="52" t="s">
        <v>26</v>
      </c>
      <c r="G7728" s="53"/>
    </row>
    <row r="7729">
      <c r="A7729" s="49">
        <v>45102.40897778935</v>
      </c>
      <c r="B7729" s="50">
        <v>45102.5339537384</v>
      </c>
      <c r="C7729" s="51">
        <v>1.005</v>
      </c>
      <c r="D7729" s="51">
        <v>70.0</v>
      </c>
      <c r="E7729" s="52" t="s">
        <v>25</v>
      </c>
      <c r="F7729" s="52" t="s">
        <v>26</v>
      </c>
      <c r="G7729" s="53"/>
    </row>
    <row r="7730">
      <c r="A7730" s="49">
        <v>45102.419510162035</v>
      </c>
      <c r="B7730" s="50">
        <v>45102.5443743055</v>
      </c>
      <c r="C7730" s="51">
        <v>1.005</v>
      </c>
      <c r="D7730" s="51">
        <v>70.0</v>
      </c>
      <c r="E7730" s="52" t="s">
        <v>25</v>
      </c>
      <c r="F7730" s="52" t="s">
        <v>26</v>
      </c>
      <c r="G7730" s="53"/>
    </row>
    <row r="7731">
      <c r="A7731" s="49">
        <v>45102.429820000005</v>
      </c>
      <c r="B7731" s="50">
        <v>45102.5547969907</v>
      </c>
      <c r="C7731" s="51">
        <v>1.005</v>
      </c>
      <c r="D7731" s="51">
        <v>70.0</v>
      </c>
      <c r="E7731" s="52" t="s">
        <v>25</v>
      </c>
      <c r="F7731" s="52" t="s">
        <v>26</v>
      </c>
      <c r="G7731" s="53"/>
    </row>
    <row r="7732">
      <c r="A7732" s="49">
        <v>45102.44024085648</v>
      </c>
      <c r="B7732" s="50">
        <v>45102.5652177314</v>
      </c>
      <c r="C7732" s="51">
        <v>1.005</v>
      </c>
      <c r="D7732" s="51">
        <v>70.0</v>
      </c>
      <c r="E7732" s="52" t="s">
        <v>25</v>
      </c>
      <c r="F7732" s="52" t="s">
        <v>26</v>
      </c>
      <c r="G7732" s="53"/>
    </row>
    <row r="7733">
      <c r="A7733" s="49">
        <v>45102.4506859838</v>
      </c>
      <c r="B7733" s="50">
        <v>45102.5756618981</v>
      </c>
      <c r="C7733" s="51">
        <v>1.005</v>
      </c>
      <c r="D7733" s="51">
        <v>70.0</v>
      </c>
      <c r="E7733" s="52" t="s">
        <v>25</v>
      </c>
      <c r="F7733" s="52" t="s">
        <v>26</v>
      </c>
      <c r="G7733" s="53"/>
    </row>
    <row r="7734">
      <c r="A7734" s="49">
        <v>45102.46110130787</v>
      </c>
      <c r="B7734" s="50">
        <v>45102.5860827314</v>
      </c>
      <c r="C7734" s="51">
        <v>1.005</v>
      </c>
      <c r="D7734" s="51">
        <v>70.0</v>
      </c>
      <c r="E7734" s="52" t="s">
        <v>25</v>
      </c>
      <c r="F7734" s="52" t="s">
        <v>26</v>
      </c>
      <c r="G7734" s="53"/>
    </row>
    <row r="7735">
      <c r="A7735" s="49">
        <v>45102.47152440972</v>
      </c>
      <c r="B7735" s="50">
        <v>45102.5965036689</v>
      </c>
      <c r="C7735" s="51">
        <v>1.005</v>
      </c>
      <c r="D7735" s="51">
        <v>70.0</v>
      </c>
      <c r="E7735" s="52" t="s">
        <v>25</v>
      </c>
      <c r="F7735" s="52" t="s">
        <v>26</v>
      </c>
      <c r="G7735" s="53"/>
    </row>
    <row r="7736">
      <c r="A7736" s="49">
        <v>45102.48194637732</v>
      </c>
      <c r="B7736" s="50">
        <v>45102.6069251967</v>
      </c>
      <c r="C7736" s="51">
        <v>1.005</v>
      </c>
      <c r="D7736" s="51">
        <v>70.0</v>
      </c>
      <c r="E7736" s="52" t="s">
        <v>25</v>
      </c>
      <c r="F7736" s="52" t="s">
        <v>26</v>
      </c>
      <c r="G7736" s="53"/>
    </row>
    <row r="7737">
      <c r="A7737" s="49">
        <v>45102.492367743056</v>
      </c>
      <c r="B7737" s="50">
        <v>45102.6173456365</v>
      </c>
      <c r="C7737" s="51">
        <v>1.005</v>
      </c>
      <c r="D7737" s="51">
        <v>70.0</v>
      </c>
      <c r="E7737" s="52" t="s">
        <v>25</v>
      </c>
      <c r="F7737" s="52" t="s">
        <v>26</v>
      </c>
      <c r="G7737" s="53"/>
    </row>
    <row r="7738">
      <c r="A7738" s="49">
        <v>45102.50279201389</v>
      </c>
      <c r="B7738" s="50">
        <v>45102.6277656481</v>
      </c>
      <c r="C7738" s="51">
        <v>1.005</v>
      </c>
      <c r="D7738" s="51">
        <v>70.0</v>
      </c>
      <c r="E7738" s="52" t="s">
        <v>25</v>
      </c>
      <c r="F7738" s="52" t="s">
        <v>26</v>
      </c>
      <c r="G7738" s="53"/>
    </row>
    <row r="7739">
      <c r="A7739" s="49">
        <v>45102.51322692129</v>
      </c>
      <c r="B7739" s="50">
        <v>45102.6381869675</v>
      </c>
      <c r="C7739" s="51">
        <v>1.005</v>
      </c>
      <c r="D7739" s="51">
        <v>70.0</v>
      </c>
      <c r="E7739" s="52" t="s">
        <v>25</v>
      </c>
      <c r="F7739" s="52" t="s">
        <v>26</v>
      </c>
      <c r="G7739" s="53"/>
    </row>
    <row r="7740">
      <c r="A7740" s="49">
        <v>45102.523659756946</v>
      </c>
      <c r="B7740" s="50">
        <v>45102.6486070486</v>
      </c>
      <c r="C7740" s="51">
        <v>1.005</v>
      </c>
      <c r="D7740" s="51">
        <v>70.0</v>
      </c>
      <c r="E7740" s="52" t="s">
        <v>25</v>
      </c>
      <c r="F7740" s="52" t="s">
        <v>26</v>
      </c>
      <c r="G7740" s="53"/>
    </row>
    <row r="7741">
      <c r="A7741" s="49">
        <v>45102.53407347223</v>
      </c>
      <c r="B7741" s="50">
        <v>45102.6590281828</v>
      </c>
      <c r="C7741" s="51">
        <v>1.005</v>
      </c>
      <c r="D7741" s="51">
        <v>69.0</v>
      </c>
      <c r="E7741" s="52" t="s">
        <v>25</v>
      </c>
      <c r="F7741" s="52" t="s">
        <v>26</v>
      </c>
      <c r="G7741" s="53"/>
    </row>
    <row r="7742">
      <c r="A7742" s="49">
        <v>45102.544513333334</v>
      </c>
      <c r="B7742" s="50">
        <v>45102.6694954051</v>
      </c>
      <c r="C7742" s="51">
        <v>1.005</v>
      </c>
      <c r="D7742" s="51">
        <v>70.0</v>
      </c>
      <c r="E7742" s="52" t="s">
        <v>25</v>
      </c>
      <c r="F7742" s="52" t="s">
        <v>26</v>
      </c>
      <c r="G7742" s="53"/>
    </row>
    <row r="7743">
      <c r="A7743" s="49">
        <v>45102.55495269676</v>
      </c>
      <c r="B7743" s="50">
        <v>45102.6799271759</v>
      </c>
      <c r="C7743" s="51">
        <v>1.005</v>
      </c>
      <c r="D7743" s="51">
        <v>70.0</v>
      </c>
      <c r="E7743" s="52" t="s">
        <v>25</v>
      </c>
      <c r="F7743" s="52" t="s">
        <v>26</v>
      </c>
      <c r="G7743" s="53"/>
    </row>
    <row r="7744">
      <c r="A7744" s="49">
        <v>45102.56536878472</v>
      </c>
      <c r="B7744" s="50">
        <v>45102.6903469328</v>
      </c>
      <c r="C7744" s="51">
        <v>1.005</v>
      </c>
      <c r="D7744" s="51">
        <v>70.0</v>
      </c>
      <c r="E7744" s="52" t="s">
        <v>25</v>
      </c>
      <c r="F7744" s="52" t="s">
        <v>26</v>
      </c>
      <c r="G7744" s="53"/>
    </row>
    <row r="7745">
      <c r="A7745" s="49">
        <v>45102.57578834491</v>
      </c>
      <c r="B7745" s="50">
        <v>45102.7007682638</v>
      </c>
      <c r="C7745" s="51">
        <v>1.005</v>
      </c>
      <c r="D7745" s="51">
        <v>70.0</v>
      </c>
      <c r="E7745" s="52" t="s">
        <v>25</v>
      </c>
      <c r="F7745" s="52" t="s">
        <v>26</v>
      </c>
      <c r="G7745" s="53"/>
    </row>
    <row r="7746">
      <c r="A7746" s="49">
        <v>45102.58621486111</v>
      </c>
      <c r="B7746" s="50">
        <v>45102.7111887615</v>
      </c>
      <c r="C7746" s="51">
        <v>1.005</v>
      </c>
      <c r="D7746" s="51">
        <v>70.0</v>
      </c>
      <c r="E7746" s="52" t="s">
        <v>25</v>
      </c>
      <c r="F7746" s="52" t="s">
        <v>26</v>
      </c>
      <c r="G7746" s="53"/>
    </row>
    <row r="7747">
      <c r="A7747" s="49">
        <v>45102.59663211806</v>
      </c>
      <c r="B7747" s="50">
        <v>45102.7216099189</v>
      </c>
      <c r="C7747" s="51">
        <v>1.005</v>
      </c>
      <c r="D7747" s="51">
        <v>70.0</v>
      </c>
      <c r="E7747" s="52" t="s">
        <v>25</v>
      </c>
      <c r="F7747" s="52" t="s">
        <v>26</v>
      </c>
      <c r="G7747" s="53"/>
    </row>
    <row r="7748">
      <c r="A7748" s="49">
        <v>45102.60706956018</v>
      </c>
      <c r="B7748" s="50">
        <v>45102.7320448495</v>
      </c>
      <c r="C7748" s="51">
        <v>1.005</v>
      </c>
      <c r="D7748" s="51">
        <v>70.0</v>
      </c>
      <c r="E7748" s="52" t="s">
        <v>25</v>
      </c>
      <c r="F7748" s="52" t="s">
        <v>26</v>
      </c>
      <c r="G7748" s="53"/>
    </row>
    <row r="7749">
      <c r="A7749" s="49">
        <v>45102.61748988426</v>
      </c>
      <c r="B7749" s="50">
        <v>45102.7424646527</v>
      </c>
      <c r="C7749" s="51">
        <v>1.005</v>
      </c>
      <c r="D7749" s="51">
        <v>70.0</v>
      </c>
      <c r="E7749" s="52" t="s">
        <v>25</v>
      </c>
      <c r="F7749" s="52" t="s">
        <v>26</v>
      </c>
      <c r="G7749" s="53"/>
    </row>
    <row r="7750">
      <c r="A7750" s="49">
        <v>45102.62790712963</v>
      </c>
      <c r="B7750" s="50">
        <v>45102.752885625</v>
      </c>
      <c r="C7750" s="51">
        <v>1.005</v>
      </c>
      <c r="D7750" s="51">
        <v>70.0</v>
      </c>
      <c r="E7750" s="52" t="s">
        <v>25</v>
      </c>
      <c r="F7750" s="52" t="s">
        <v>26</v>
      </c>
      <c r="G7750" s="53"/>
    </row>
    <row r="7751">
      <c r="A7751" s="49">
        <v>45102.638324432875</v>
      </c>
      <c r="B7751" s="50">
        <v>45102.7633046759</v>
      </c>
      <c r="C7751" s="51">
        <v>1.005</v>
      </c>
      <c r="D7751" s="51">
        <v>70.0</v>
      </c>
      <c r="E7751" s="52" t="s">
        <v>25</v>
      </c>
      <c r="F7751" s="52" t="s">
        <v>26</v>
      </c>
      <c r="G7751" s="53"/>
    </row>
    <row r="7752">
      <c r="A7752" s="49">
        <v>45102.64874247686</v>
      </c>
      <c r="B7752" s="50">
        <v>45102.7737253935</v>
      </c>
      <c r="C7752" s="51">
        <v>1.005</v>
      </c>
      <c r="D7752" s="51">
        <v>70.0</v>
      </c>
      <c r="E7752" s="52" t="s">
        <v>25</v>
      </c>
      <c r="F7752" s="52" t="s">
        <v>26</v>
      </c>
      <c r="G7752" s="53"/>
    </row>
    <row r="7753">
      <c r="A7753" s="49">
        <v>45102.65917</v>
      </c>
      <c r="B7753" s="50">
        <v>45102.7841465046</v>
      </c>
      <c r="C7753" s="51">
        <v>1.005</v>
      </c>
      <c r="D7753" s="51">
        <v>70.0</v>
      </c>
      <c r="E7753" s="52" t="s">
        <v>25</v>
      </c>
      <c r="F7753" s="52" t="s">
        <v>26</v>
      </c>
      <c r="G7753" s="53"/>
    </row>
    <row r="7754">
      <c r="A7754" s="49">
        <v>45102.66959363426</v>
      </c>
      <c r="B7754" s="50">
        <v>45102.794568206</v>
      </c>
      <c r="C7754" s="51">
        <v>1.005</v>
      </c>
      <c r="D7754" s="51">
        <v>70.0</v>
      </c>
      <c r="E7754" s="52" t="s">
        <v>25</v>
      </c>
      <c r="F7754" s="52" t="s">
        <v>26</v>
      </c>
      <c r="G7754" s="53"/>
    </row>
    <row r="7755">
      <c r="A7755" s="49">
        <v>45102.680013634264</v>
      </c>
      <c r="B7755" s="50">
        <v>45102.8049901041</v>
      </c>
      <c r="C7755" s="51">
        <v>1.005</v>
      </c>
      <c r="D7755" s="51">
        <v>70.0</v>
      </c>
      <c r="E7755" s="52" t="s">
        <v>25</v>
      </c>
      <c r="F7755" s="52" t="s">
        <v>26</v>
      </c>
      <c r="G7755" s="53"/>
    </row>
    <row r="7756">
      <c r="A7756" s="49">
        <v>45102.6904484838</v>
      </c>
      <c r="B7756" s="50">
        <v>45102.8154240625</v>
      </c>
      <c r="C7756" s="51">
        <v>1.005</v>
      </c>
      <c r="D7756" s="51">
        <v>70.0</v>
      </c>
      <c r="E7756" s="52" t="s">
        <v>25</v>
      </c>
      <c r="F7756" s="52" t="s">
        <v>26</v>
      </c>
      <c r="G7756" s="53"/>
    </row>
    <row r="7757">
      <c r="A7757" s="49">
        <v>45102.70087568287</v>
      </c>
      <c r="B7757" s="50">
        <v>45102.8258454745</v>
      </c>
      <c r="C7757" s="51">
        <v>1.005</v>
      </c>
      <c r="D7757" s="51">
        <v>70.0</v>
      </c>
      <c r="E7757" s="52" t="s">
        <v>25</v>
      </c>
      <c r="F7757" s="52" t="s">
        <v>26</v>
      </c>
      <c r="G7757" s="53"/>
    </row>
    <row r="7758">
      <c r="A7758" s="49">
        <v>45102.71129415509</v>
      </c>
      <c r="B7758" s="50">
        <v>45102.8362675115</v>
      </c>
      <c r="C7758" s="51">
        <v>1.005</v>
      </c>
      <c r="D7758" s="51">
        <v>70.0</v>
      </c>
      <c r="E7758" s="52" t="s">
        <v>25</v>
      </c>
      <c r="F7758" s="52" t="s">
        <v>26</v>
      </c>
      <c r="G7758" s="53"/>
    </row>
    <row r="7759">
      <c r="A7759" s="49">
        <v>45102.72171037037</v>
      </c>
      <c r="B7759" s="50">
        <v>45102.846687824</v>
      </c>
      <c r="C7759" s="51">
        <v>1.005</v>
      </c>
      <c r="D7759" s="51">
        <v>70.0</v>
      </c>
      <c r="E7759" s="52" t="s">
        <v>25</v>
      </c>
      <c r="F7759" s="52" t="s">
        <v>26</v>
      </c>
      <c r="G7759" s="53"/>
    </row>
    <row r="7760">
      <c r="A7760" s="49">
        <v>45102.73213690972</v>
      </c>
      <c r="B7760" s="50">
        <v>45102.857109699</v>
      </c>
      <c r="C7760" s="51">
        <v>1.005</v>
      </c>
      <c r="D7760" s="51">
        <v>70.0</v>
      </c>
      <c r="E7760" s="52" t="s">
        <v>25</v>
      </c>
      <c r="F7760" s="52" t="s">
        <v>26</v>
      </c>
      <c r="G7760" s="53"/>
    </row>
    <row r="7761">
      <c r="A7761" s="49">
        <v>45102.742565821754</v>
      </c>
      <c r="B7761" s="50">
        <v>45102.867542581</v>
      </c>
      <c r="C7761" s="51">
        <v>1.005</v>
      </c>
      <c r="D7761" s="51">
        <v>70.0</v>
      </c>
      <c r="E7761" s="52" t="s">
        <v>25</v>
      </c>
      <c r="F7761" s="52" t="s">
        <v>26</v>
      </c>
      <c r="G7761" s="53"/>
    </row>
    <row r="7762">
      <c r="A7762" s="49">
        <v>45102.752987581014</v>
      </c>
      <c r="B7762" s="50">
        <v>45102.8779622569</v>
      </c>
      <c r="C7762" s="51">
        <v>1.005</v>
      </c>
      <c r="D7762" s="51">
        <v>70.0</v>
      </c>
      <c r="E7762" s="52" t="s">
        <v>25</v>
      </c>
      <c r="F7762" s="52" t="s">
        <v>26</v>
      </c>
      <c r="G7762" s="53"/>
    </row>
    <row r="7763">
      <c r="A7763" s="49">
        <v>45102.76343295139</v>
      </c>
      <c r="B7763" s="50">
        <v>45102.8883937268</v>
      </c>
      <c r="C7763" s="51">
        <v>1.005</v>
      </c>
      <c r="D7763" s="51">
        <v>70.0</v>
      </c>
      <c r="E7763" s="52" t="s">
        <v>25</v>
      </c>
      <c r="F7763" s="52" t="s">
        <v>26</v>
      </c>
      <c r="G7763" s="53"/>
    </row>
    <row r="7764">
      <c r="A7764" s="49">
        <v>45102.773853125</v>
      </c>
      <c r="B7764" s="50">
        <v>45102.8988163773</v>
      </c>
      <c r="C7764" s="51">
        <v>1.005</v>
      </c>
      <c r="D7764" s="51">
        <v>70.0</v>
      </c>
      <c r="E7764" s="52" t="s">
        <v>25</v>
      </c>
      <c r="F7764" s="52" t="s">
        <v>26</v>
      </c>
      <c r="G7764" s="53"/>
    </row>
    <row r="7765">
      <c r="A7765" s="49">
        <v>45102.78430450232</v>
      </c>
      <c r="B7765" s="50">
        <v>45102.9092593287</v>
      </c>
      <c r="C7765" s="51">
        <v>1.005</v>
      </c>
      <c r="D7765" s="51">
        <v>70.0</v>
      </c>
      <c r="E7765" s="52" t="s">
        <v>25</v>
      </c>
      <c r="F7765" s="52" t="s">
        <v>26</v>
      </c>
      <c r="G7765" s="53"/>
    </row>
    <row r="7766">
      <c r="A7766" s="49">
        <v>45102.794727326385</v>
      </c>
      <c r="B7766" s="50">
        <v>45102.9196923495</v>
      </c>
      <c r="C7766" s="51">
        <v>1.005</v>
      </c>
      <c r="D7766" s="51">
        <v>70.0</v>
      </c>
      <c r="E7766" s="52" t="s">
        <v>25</v>
      </c>
      <c r="F7766" s="52" t="s">
        <v>26</v>
      </c>
      <c r="G7766" s="53"/>
    </row>
    <row r="7767">
      <c r="A7767" s="49">
        <v>45102.80515371528</v>
      </c>
      <c r="B7767" s="50">
        <v>45102.9301130555</v>
      </c>
      <c r="C7767" s="51">
        <v>1.005</v>
      </c>
      <c r="D7767" s="51">
        <v>70.0</v>
      </c>
      <c r="E7767" s="52" t="s">
        <v>25</v>
      </c>
      <c r="F7767" s="52" t="s">
        <v>26</v>
      </c>
      <c r="G7767" s="53"/>
    </row>
    <row r="7768">
      <c r="A7768" s="49">
        <v>45102.81557009259</v>
      </c>
      <c r="B7768" s="50">
        <v>45102.9405346759</v>
      </c>
      <c r="C7768" s="51">
        <v>1.005</v>
      </c>
      <c r="D7768" s="51">
        <v>70.0</v>
      </c>
      <c r="E7768" s="52" t="s">
        <v>25</v>
      </c>
      <c r="F7768" s="52" t="s">
        <v>26</v>
      </c>
      <c r="G7768" s="53"/>
    </row>
    <row r="7769">
      <c r="A7769" s="49">
        <v>45102.82599254629</v>
      </c>
      <c r="B7769" s="50">
        <v>45102.95096853</v>
      </c>
      <c r="C7769" s="51">
        <v>1.005</v>
      </c>
      <c r="D7769" s="51">
        <v>70.0</v>
      </c>
      <c r="E7769" s="52" t="s">
        <v>25</v>
      </c>
      <c r="F7769" s="52" t="s">
        <v>26</v>
      </c>
      <c r="G7769" s="53"/>
    </row>
    <row r="7770">
      <c r="A7770" s="49">
        <v>45102.83641667824</v>
      </c>
      <c r="B7770" s="50">
        <v>45102.9613912962</v>
      </c>
      <c r="C7770" s="51">
        <v>1.005</v>
      </c>
      <c r="D7770" s="51">
        <v>70.0</v>
      </c>
      <c r="E7770" s="52" t="s">
        <v>25</v>
      </c>
      <c r="F7770" s="52" t="s">
        <v>26</v>
      </c>
      <c r="G7770" s="53"/>
    </row>
    <row r="7771">
      <c r="A7771" s="49">
        <v>45102.84683502315</v>
      </c>
      <c r="B7771" s="50">
        <v>45102.9718103472</v>
      </c>
      <c r="C7771" s="51">
        <v>1.005</v>
      </c>
      <c r="D7771" s="51">
        <v>70.0</v>
      </c>
      <c r="E7771" s="52" t="s">
        <v>25</v>
      </c>
      <c r="F7771" s="52" t="s">
        <v>26</v>
      </c>
      <c r="G7771" s="53"/>
    </row>
    <row r="7772">
      <c r="A7772" s="49">
        <v>45102.85725368056</v>
      </c>
      <c r="B7772" s="50">
        <v>45102.9822296875</v>
      </c>
      <c r="C7772" s="51">
        <v>1.005</v>
      </c>
      <c r="D7772" s="51">
        <v>70.0</v>
      </c>
      <c r="E7772" s="52" t="s">
        <v>25</v>
      </c>
      <c r="F7772" s="52" t="s">
        <v>26</v>
      </c>
      <c r="G7772" s="53"/>
    </row>
    <row r="7773">
      <c r="A7773" s="49">
        <v>45102.86767262731</v>
      </c>
      <c r="B7773" s="50">
        <v>45102.9926540509</v>
      </c>
      <c r="C7773" s="51">
        <v>1.005</v>
      </c>
      <c r="D7773" s="51">
        <v>70.0</v>
      </c>
      <c r="E7773" s="52" t="s">
        <v>25</v>
      </c>
      <c r="F7773" s="52" t="s">
        <v>26</v>
      </c>
      <c r="G7773" s="53"/>
    </row>
    <row r="7774">
      <c r="A7774" s="49">
        <v>45102.87812388889</v>
      </c>
      <c r="B7774" s="50">
        <v>45103.0030989467</v>
      </c>
      <c r="C7774" s="51">
        <v>1.005</v>
      </c>
      <c r="D7774" s="51">
        <v>70.0</v>
      </c>
      <c r="E7774" s="52" t="s">
        <v>25</v>
      </c>
      <c r="F7774" s="52" t="s">
        <v>26</v>
      </c>
      <c r="G7774" s="53"/>
    </row>
    <row r="7775">
      <c r="A7775" s="49">
        <v>45102.88856763889</v>
      </c>
      <c r="B7775" s="50">
        <v>45103.0135452083</v>
      </c>
      <c r="C7775" s="51">
        <v>1.005</v>
      </c>
      <c r="D7775" s="51">
        <v>70.0</v>
      </c>
      <c r="E7775" s="52" t="s">
        <v>25</v>
      </c>
      <c r="F7775" s="52" t="s">
        <v>26</v>
      </c>
      <c r="G7775" s="53"/>
    </row>
    <row r="7776">
      <c r="A7776" s="49">
        <v>45102.89898644676</v>
      </c>
      <c r="B7776" s="50">
        <v>45103.0239661111</v>
      </c>
      <c r="C7776" s="51">
        <v>1.005</v>
      </c>
      <c r="D7776" s="51">
        <v>70.0</v>
      </c>
      <c r="E7776" s="52" t="s">
        <v>25</v>
      </c>
      <c r="F7776" s="52" t="s">
        <v>26</v>
      </c>
      <c r="G7776" s="53"/>
    </row>
    <row r="7777">
      <c r="A7777" s="49">
        <v>45102.909425081016</v>
      </c>
      <c r="B7777" s="50">
        <v>45103.0343870833</v>
      </c>
      <c r="C7777" s="51">
        <v>1.005</v>
      </c>
      <c r="D7777" s="51">
        <v>70.0</v>
      </c>
      <c r="E7777" s="52" t="s">
        <v>25</v>
      </c>
      <c r="F7777" s="52" t="s">
        <v>26</v>
      </c>
      <c r="G7777" s="53"/>
    </row>
    <row r="7778">
      <c r="A7778" s="49">
        <v>45102.91984341435</v>
      </c>
      <c r="B7778" s="50">
        <v>45103.0448199652</v>
      </c>
      <c r="C7778" s="51">
        <v>1.005</v>
      </c>
      <c r="D7778" s="51">
        <v>70.0</v>
      </c>
      <c r="E7778" s="52" t="s">
        <v>25</v>
      </c>
      <c r="F7778" s="52" t="s">
        <v>26</v>
      </c>
      <c r="G7778" s="53"/>
    </row>
    <row r="7779">
      <c r="A7779" s="49">
        <v>45102.930269398144</v>
      </c>
      <c r="B7779" s="50">
        <v>45103.0552423263</v>
      </c>
      <c r="C7779" s="51">
        <v>1.005</v>
      </c>
      <c r="D7779" s="51">
        <v>70.0</v>
      </c>
      <c r="E7779" s="52" t="s">
        <v>25</v>
      </c>
      <c r="F7779" s="52" t="s">
        <v>26</v>
      </c>
      <c r="G7779" s="53"/>
    </row>
    <row r="7780">
      <c r="A7780" s="49">
        <v>45102.94069403935</v>
      </c>
      <c r="B7780" s="50">
        <v>45103.065664618</v>
      </c>
      <c r="C7780" s="51">
        <v>1.005</v>
      </c>
      <c r="D7780" s="51">
        <v>70.0</v>
      </c>
      <c r="E7780" s="52" t="s">
        <v>25</v>
      </c>
      <c r="F7780" s="52" t="s">
        <v>26</v>
      </c>
      <c r="G7780" s="53"/>
    </row>
    <row r="7781">
      <c r="A7781" s="49">
        <v>45102.9511128125</v>
      </c>
      <c r="B7781" s="50">
        <v>45103.0760855439</v>
      </c>
      <c r="C7781" s="51">
        <v>1.005</v>
      </c>
      <c r="D7781" s="51">
        <v>70.0</v>
      </c>
      <c r="E7781" s="52" t="s">
        <v>25</v>
      </c>
      <c r="F7781" s="52" t="s">
        <v>26</v>
      </c>
      <c r="G7781" s="53"/>
    </row>
    <row r="7782">
      <c r="A7782" s="49">
        <v>45102.961533124995</v>
      </c>
      <c r="B7782" s="50">
        <v>45103.086505162</v>
      </c>
      <c r="C7782" s="51">
        <v>1.005</v>
      </c>
      <c r="D7782" s="51">
        <v>70.0</v>
      </c>
      <c r="E7782" s="52" t="s">
        <v>25</v>
      </c>
      <c r="F7782" s="52" t="s">
        <v>26</v>
      </c>
      <c r="G7782" s="53"/>
    </row>
    <row r="7783">
      <c r="A7783" s="49">
        <v>45102.971949548606</v>
      </c>
      <c r="B7783" s="50">
        <v>45103.0969248032</v>
      </c>
      <c r="C7783" s="51">
        <v>1.005</v>
      </c>
      <c r="D7783" s="51">
        <v>70.0</v>
      </c>
      <c r="E7783" s="52" t="s">
        <v>25</v>
      </c>
      <c r="F7783" s="52" t="s">
        <v>26</v>
      </c>
      <c r="G7783" s="53"/>
    </row>
    <row r="7784">
      <c r="A7784" s="49">
        <v>45102.98237540509</v>
      </c>
      <c r="B7784" s="50">
        <v>45103.1073593865</v>
      </c>
      <c r="C7784" s="51">
        <v>1.005</v>
      </c>
      <c r="D7784" s="51">
        <v>70.0</v>
      </c>
      <c r="E7784" s="52" t="s">
        <v>25</v>
      </c>
      <c r="F7784" s="52" t="s">
        <v>26</v>
      </c>
      <c r="G7784" s="53"/>
    </row>
    <row r="7785">
      <c r="A7785" s="49">
        <v>45102.992805671296</v>
      </c>
      <c r="B7785" s="50">
        <v>45103.1177814699</v>
      </c>
      <c r="C7785" s="51">
        <v>1.005</v>
      </c>
      <c r="D7785" s="51">
        <v>70.0</v>
      </c>
      <c r="E7785" s="52" t="s">
        <v>25</v>
      </c>
      <c r="F7785" s="52" t="s">
        <v>26</v>
      </c>
      <c r="G7785" s="53"/>
    </row>
    <row r="7786">
      <c r="A7786" s="49">
        <v>45103.00322195602</v>
      </c>
      <c r="B7786" s="50">
        <v>45103.1282024305</v>
      </c>
      <c r="C7786" s="51">
        <v>1.004</v>
      </c>
      <c r="D7786" s="51">
        <v>70.0</v>
      </c>
      <c r="E7786" s="52" t="s">
        <v>25</v>
      </c>
      <c r="F7786" s="52" t="s">
        <v>26</v>
      </c>
      <c r="G7786" s="53"/>
    </row>
    <row r="7787">
      <c r="A7787" s="49">
        <v>45103.01364990741</v>
      </c>
      <c r="B7787" s="50">
        <v>45103.1386227777</v>
      </c>
      <c r="C7787" s="51">
        <v>1.004</v>
      </c>
      <c r="D7787" s="51">
        <v>70.0</v>
      </c>
      <c r="E7787" s="52" t="s">
        <v>25</v>
      </c>
      <c r="F7787" s="52" t="s">
        <v>26</v>
      </c>
      <c r="G7787" s="53"/>
    </row>
    <row r="7788">
      <c r="A7788" s="49">
        <v>45103.02407018519</v>
      </c>
      <c r="B7788" s="50">
        <v>45103.1490435416</v>
      </c>
      <c r="C7788" s="51">
        <v>1.005</v>
      </c>
      <c r="D7788" s="51">
        <v>70.0</v>
      </c>
      <c r="E7788" s="52" t="s">
        <v>25</v>
      </c>
      <c r="F7788" s="52" t="s">
        <v>26</v>
      </c>
      <c r="G7788" s="53"/>
    </row>
    <row r="7789">
      <c r="A7789" s="49">
        <v>45103.03449943287</v>
      </c>
      <c r="B7789" s="50">
        <v>45103.159477118</v>
      </c>
      <c r="C7789" s="51">
        <v>1.005</v>
      </c>
      <c r="D7789" s="51">
        <v>70.0</v>
      </c>
      <c r="E7789" s="52" t="s">
        <v>25</v>
      </c>
      <c r="F7789" s="52" t="s">
        <v>26</v>
      </c>
      <c r="G7789" s="53"/>
    </row>
    <row r="7790">
      <c r="A7790" s="49">
        <v>45103.04492194444</v>
      </c>
      <c r="B7790" s="50">
        <v>45103.1698988194</v>
      </c>
      <c r="C7790" s="51">
        <v>1.005</v>
      </c>
      <c r="D7790" s="51">
        <v>70.0</v>
      </c>
      <c r="E7790" s="52" t="s">
        <v>25</v>
      </c>
      <c r="F7790" s="52" t="s">
        <v>26</v>
      </c>
      <c r="G7790" s="53"/>
    </row>
    <row r="7791">
      <c r="A7791" s="49">
        <v>45103.05535054398</v>
      </c>
      <c r="B7791" s="50">
        <v>45103.1803199305</v>
      </c>
      <c r="C7791" s="51">
        <v>1.005</v>
      </c>
      <c r="D7791" s="51">
        <v>70.0</v>
      </c>
      <c r="E7791" s="52" t="s">
        <v>25</v>
      </c>
      <c r="F7791" s="52" t="s">
        <v>26</v>
      </c>
      <c r="G7791" s="53"/>
    </row>
    <row r="7792">
      <c r="A7792" s="49">
        <v>45103.065804756945</v>
      </c>
      <c r="B7792" s="50">
        <v>45103.1907634375</v>
      </c>
      <c r="C7792" s="51">
        <v>1.005</v>
      </c>
      <c r="D7792" s="51">
        <v>70.0</v>
      </c>
      <c r="E7792" s="52" t="s">
        <v>25</v>
      </c>
      <c r="F7792" s="52" t="s">
        <v>26</v>
      </c>
      <c r="G7792" s="53"/>
    </row>
    <row r="7793">
      <c r="A7793" s="49">
        <v>45103.076213333334</v>
      </c>
      <c r="B7793" s="50">
        <v>45103.2011856481</v>
      </c>
      <c r="C7793" s="51">
        <v>1.005</v>
      </c>
      <c r="D7793" s="51">
        <v>70.0</v>
      </c>
      <c r="E7793" s="52" t="s">
        <v>25</v>
      </c>
      <c r="F7793" s="52" t="s">
        <v>26</v>
      </c>
      <c r="G7793" s="53"/>
    </row>
    <row r="7794">
      <c r="A7794" s="49">
        <v>45103.08664126157</v>
      </c>
      <c r="B7794" s="50">
        <v>45103.2116072916</v>
      </c>
      <c r="C7794" s="51">
        <v>1.005</v>
      </c>
      <c r="D7794" s="51">
        <v>70.0</v>
      </c>
      <c r="E7794" s="52" t="s">
        <v>25</v>
      </c>
      <c r="F7794" s="52" t="s">
        <v>26</v>
      </c>
      <c r="G7794" s="53"/>
    </row>
    <row r="7795">
      <c r="A7795" s="49">
        <v>45103.097081643515</v>
      </c>
      <c r="B7795" s="50">
        <v>45103.2220400925</v>
      </c>
      <c r="C7795" s="51">
        <v>1.005</v>
      </c>
      <c r="D7795" s="51">
        <v>70.0</v>
      </c>
      <c r="E7795" s="52" t="s">
        <v>25</v>
      </c>
      <c r="F7795" s="52" t="s">
        <v>26</v>
      </c>
      <c r="G7795" s="53"/>
    </row>
    <row r="7796">
      <c r="A7796" s="49">
        <v>45103.107489699076</v>
      </c>
      <c r="B7796" s="50">
        <v>45103.2324614236</v>
      </c>
      <c r="C7796" s="51">
        <v>1.005</v>
      </c>
      <c r="D7796" s="51">
        <v>70.0</v>
      </c>
      <c r="E7796" s="52" t="s">
        <v>25</v>
      </c>
      <c r="F7796" s="52" t="s">
        <v>26</v>
      </c>
      <c r="G7796" s="53"/>
    </row>
    <row r="7797">
      <c r="A7797" s="49">
        <v>45103.11791153935</v>
      </c>
      <c r="B7797" s="50">
        <v>45103.2428847106</v>
      </c>
      <c r="C7797" s="51">
        <v>1.005</v>
      </c>
      <c r="D7797" s="51">
        <v>70.0</v>
      </c>
      <c r="E7797" s="52" t="s">
        <v>25</v>
      </c>
      <c r="F7797" s="52" t="s">
        <v>26</v>
      </c>
      <c r="G7797" s="53"/>
    </row>
    <row r="7798">
      <c r="A7798" s="49">
        <v>45103.12832362269</v>
      </c>
      <c r="B7798" s="50">
        <v>45103.253305949</v>
      </c>
      <c r="C7798" s="51">
        <v>1.005</v>
      </c>
      <c r="D7798" s="51">
        <v>70.0</v>
      </c>
      <c r="E7798" s="52" t="s">
        <v>25</v>
      </c>
      <c r="F7798" s="52" t="s">
        <v>26</v>
      </c>
      <c r="G7798" s="53"/>
    </row>
    <row r="7799">
      <c r="A7799" s="49">
        <v>45103.138763344905</v>
      </c>
      <c r="B7799" s="50">
        <v>45103.2637392939</v>
      </c>
      <c r="C7799" s="51">
        <v>1.005</v>
      </c>
      <c r="D7799" s="51">
        <v>70.0</v>
      </c>
      <c r="E7799" s="52" t="s">
        <v>25</v>
      </c>
      <c r="F7799" s="52" t="s">
        <v>26</v>
      </c>
      <c r="G7799" s="53"/>
    </row>
    <row r="7800">
      <c r="A7800" s="49">
        <v>45103.14918436343</v>
      </c>
      <c r="B7800" s="50">
        <v>45103.2741600694</v>
      </c>
      <c r="C7800" s="51">
        <v>1.005</v>
      </c>
      <c r="D7800" s="51">
        <v>70.0</v>
      </c>
      <c r="E7800" s="52" t="s">
        <v>25</v>
      </c>
      <c r="F7800" s="52" t="s">
        <v>26</v>
      </c>
      <c r="G7800" s="53"/>
    </row>
    <row r="7801">
      <c r="A7801" s="49">
        <v>45103.159616805555</v>
      </c>
      <c r="B7801" s="50">
        <v>45103.2845932638</v>
      </c>
      <c r="C7801" s="51">
        <v>1.005</v>
      </c>
      <c r="D7801" s="51">
        <v>70.0</v>
      </c>
      <c r="E7801" s="52" t="s">
        <v>25</v>
      </c>
      <c r="F7801" s="52" t="s">
        <v>26</v>
      </c>
      <c r="G7801" s="53"/>
    </row>
    <row r="7802">
      <c r="A7802" s="49">
        <v>45103.1700365625</v>
      </c>
      <c r="B7802" s="50">
        <v>45103.2950147222</v>
      </c>
      <c r="C7802" s="51">
        <v>1.005</v>
      </c>
      <c r="D7802" s="51">
        <v>70.0</v>
      </c>
      <c r="E7802" s="52" t="s">
        <v>25</v>
      </c>
      <c r="F7802" s="52" t="s">
        <v>26</v>
      </c>
      <c r="G7802" s="53"/>
    </row>
    <row r="7803">
      <c r="A7803" s="49">
        <v>45103.18046068287</v>
      </c>
      <c r="B7803" s="50">
        <v>45103.3054358912</v>
      </c>
      <c r="C7803" s="51">
        <v>1.005</v>
      </c>
      <c r="D7803" s="51">
        <v>70.0</v>
      </c>
      <c r="E7803" s="52" t="s">
        <v>25</v>
      </c>
      <c r="F7803" s="52" t="s">
        <v>26</v>
      </c>
      <c r="G7803" s="53"/>
    </row>
    <row r="7804">
      <c r="A7804" s="49">
        <v>45103.19090028935</v>
      </c>
      <c r="B7804" s="50">
        <v>45103.3158808217</v>
      </c>
      <c r="C7804" s="51">
        <v>1.005</v>
      </c>
      <c r="D7804" s="51">
        <v>70.0</v>
      </c>
      <c r="E7804" s="52" t="s">
        <v>25</v>
      </c>
      <c r="F7804" s="52" t="s">
        <v>26</v>
      </c>
      <c r="G7804" s="53"/>
    </row>
    <row r="7805">
      <c r="A7805" s="49">
        <v>45103.20131962963</v>
      </c>
      <c r="B7805" s="50">
        <v>45103.3263019791</v>
      </c>
      <c r="C7805" s="51">
        <v>1.005</v>
      </c>
      <c r="D7805" s="51">
        <v>70.0</v>
      </c>
      <c r="E7805" s="52" t="s">
        <v>25</v>
      </c>
      <c r="F7805" s="52" t="s">
        <v>26</v>
      </c>
      <c r="G7805" s="53"/>
    </row>
    <row r="7806">
      <c r="A7806" s="49">
        <v>45103.211744872686</v>
      </c>
      <c r="B7806" s="50">
        <v>45103.3367234143</v>
      </c>
      <c r="C7806" s="51">
        <v>1.004</v>
      </c>
      <c r="D7806" s="51">
        <v>70.0</v>
      </c>
      <c r="E7806" s="52" t="s">
        <v>25</v>
      </c>
      <c r="F7806" s="52" t="s">
        <v>26</v>
      </c>
      <c r="G7806" s="53"/>
    </row>
    <row r="7807">
      <c r="A7807" s="49">
        <v>45103.22217327546</v>
      </c>
      <c r="B7807" s="50">
        <v>45103.3471447222</v>
      </c>
      <c r="C7807" s="51">
        <v>1.005</v>
      </c>
      <c r="D7807" s="51">
        <v>70.0</v>
      </c>
      <c r="E7807" s="52" t="s">
        <v>25</v>
      </c>
      <c r="F7807" s="52" t="s">
        <v>26</v>
      </c>
      <c r="G7807" s="53"/>
    </row>
    <row r="7808">
      <c r="A7808" s="49">
        <v>45103.23259393519</v>
      </c>
      <c r="B7808" s="50">
        <v>45103.3575657754</v>
      </c>
      <c r="C7808" s="51">
        <v>1.005</v>
      </c>
      <c r="D7808" s="51">
        <v>70.0</v>
      </c>
      <c r="E7808" s="52" t="s">
        <v>25</v>
      </c>
      <c r="F7808" s="52" t="s">
        <v>26</v>
      </c>
      <c r="G7808" s="53"/>
    </row>
    <row r="7809">
      <c r="A7809" s="49">
        <v>45103.243031770835</v>
      </c>
      <c r="B7809" s="50">
        <v>45103.3679997222</v>
      </c>
      <c r="C7809" s="51">
        <v>1.005</v>
      </c>
      <c r="D7809" s="51">
        <v>70.0</v>
      </c>
      <c r="E7809" s="52" t="s">
        <v>25</v>
      </c>
      <c r="F7809" s="52" t="s">
        <v>26</v>
      </c>
      <c r="G7809" s="53"/>
    </row>
    <row r="7810">
      <c r="A7810" s="49">
        <v>45103.25347835648</v>
      </c>
      <c r="B7810" s="50">
        <v>45103.3784310995</v>
      </c>
      <c r="C7810" s="51">
        <v>1.005</v>
      </c>
      <c r="D7810" s="51">
        <v>70.0</v>
      </c>
      <c r="E7810" s="52" t="s">
        <v>25</v>
      </c>
      <c r="F7810" s="52" t="s">
        <v>26</v>
      </c>
      <c r="G7810" s="53"/>
    </row>
    <row r="7811">
      <c r="A7811" s="49">
        <v>45103.26388694445</v>
      </c>
      <c r="B7811" s="50">
        <v>45103.3888531365</v>
      </c>
      <c r="C7811" s="51">
        <v>1.005</v>
      </c>
      <c r="D7811" s="51">
        <v>70.0</v>
      </c>
      <c r="E7811" s="52" t="s">
        <v>25</v>
      </c>
      <c r="F7811" s="52" t="s">
        <v>26</v>
      </c>
      <c r="G7811" s="53"/>
    </row>
    <row r="7812">
      <c r="A7812" s="49">
        <v>45103.27430292824</v>
      </c>
      <c r="B7812" s="50">
        <v>45103.3992753472</v>
      </c>
      <c r="C7812" s="51">
        <v>1.005</v>
      </c>
      <c r="D7812" s="51">
        <v>70.0</v>
      </c>
      <c r="E7812" s="52" t="s">
        <v>25</v>
      </c>
      <c r="F7812" s="52" t="s">
        <v>26</v>
      </c>
      <c r="G7812" s="53"/>
    </row>
    <row r="7813">
      <c r="A7813" s="49">
        <v>45103.284718483796</v>
      </c>
      <c r="B7813" s="50">
        <v>45103.4096949189</v>
      </c>
      <c r="C7813" s="51">
        <v>1.005</v>
      </c>
      <c r="D7813" s="51">
        <v>70.0</v>
      </c>
      <c r="E7813" s="52" t="s">
        <v>25</v>
      </c>
      <c r="F7813" s="52" t="s">
        <v>26</v>
      </c>
      <c r="G7813" s="53"/>
    </row>
    <row r="7814">
      <c r="A7814" s="49">
        <v>45103.29515466435</v>
      </c>
      <c r="B7814" s="50">
        <v>45103.420116574</v>
      </c>
      <c r="C7814" s="51">
        <v>1.005</v>
      </c>
      <c r="D7814" s="51">
        <v>70.0</v>
      </c>
      <c r="E7814" s="52" t="s">
        <v>25</v>
      </c>
      <c r="F7814" s="52" t="s">
        <v>26</v>
      </c>
      <c r="G7814" s="53"/>
    </row>
    <row r="7815">
      <c r="A7815" s="49">
        <v>45103.30563122685</v>
      </c>
      <c r="B7815" s="50">
        <v>45103.4305834838</v>
      </c>
      <c r="C7815" s="51">
        <v>1.004</v>
      </c>
      <c r="D7815" s="51">
        <v>70.0</v>
      </c>
      <c r="E7815" s="52" t="s">
        <v>25</v>
      </c>
      <c r="F7815" s="52" t="s">
        <v>26</v>
      </c>
      <c r="G7815" s="53"/>
    </row>
    <row r="7816">
      <c r="A7816" s="49">
        <v>45103.316029814814</v>
      </c>
      <c r="B7816" s="50">
        <v>45103.4410044213</v>
      </c>
      <c r="C7816" s="51">
        <v>1.005</v>
      </c>
      <c r="D7816" s="51">
        <v>70.0</v>
      </c>
      <c r="E7816" s="52" t="s">
        <v>25</v>
      </c>
      <c r="F7816" s="52" t="s">
        <v>26</v>
      </c>
      <c r="G7816" s="53"/>
    </row>
    <row r="7817">
      <c r="A7817" s="49">
        <v>45103.32645273148</v>
      </c>
      <c r="B7817" s="50">
        <v>45103.451425081</v>
      </c>
      <c r="C7817" s="51">
        <v>1.004</v>
      </c>
      <c r="D7817" s="51">
        <v>70.0</v>
      </c>
      <c r="E7817" s="52" t="s">
        <v>25</v>
      </c>
      <c r="F7817" s="52" t="s">
        <v>26</v>
      </c>
      <c r="G7817" s="53"/>
    </row>
    <row r="7818">
      <c r="A7818" s="49">
        <v>45103.33690902778</v>
      </c>
      <c r="B7818" s="50">
        <v>45103.4618811342</v>
      </c>
      <c r="C7818" s="51">
        <v>1.005</v>
      </c>
      <c r="D7818" s="51">
        <v>70.0</v>
      </c>
      <c r="E7818" s="52" t="s">
        <v>25</v>
      </c>
      <c r="F7818" s="52" t="s">
        <v>26</v>
      </c>
      <c r="G7818" s="53"/>
    </row>
    <row r="7819">
      <c r="A7819" s="49">
        <v>45103.347318761575</v>
      </c>
      <c r="B7819" s="50">
        <v>45103.4723033796</v>
      </c>
      <c r="C7819" s="51">
        <v>1.005</v>
      </c>
      <c r="D7819" s="51">
        <v>70.0</v>
      </c>
      <c r="E7819" s="52" t="s">
        <v>25</v>
      </c>
      <c r="F7819" s="52" t="s">
        <v>26</v>
      </c>
      <c r="G7819" s="53"/>
    </row>
    <row r="7820">
      <c r="A7820" s="49">
        <v>45103.35774869213</v>
      </c>
      <c r="B7820" s="50">
        <v>45103.4827241203</v>
      </c>
      <c r="C7820" s="51">
        <v>1.005</v>
      </c>
      <c r="D7820" s="51">
        <v>70.0</v>
      </c>
      <c r="E7820" s="52" t="s">
        <v>25</v>
      </c>
      <c r="F7820" s="52" t="s">
        <v>26</v>
      </c>
      <c r="G7820" s="53"/>
    </row>
    <row r="7821">
      <c r="A7821" s="49">
        <v>45103.36816622685</v>
      </c>
      <c r="B7821" s="50">
        <v>45103.4931429513</v>
      </c>
      <c r="C7821" s="51">
        <v>1.005</v>
      </c>
      <c r="D7821" s="51">
        <v>70.0</v>
      </c>
      <c r="E7821" s="52" t="s">
        <v>25</v>
      </c>
      <c r="F7821" s="52" t="s">
        <v>26</v>
      </c>
      <c r="G7821" s="53"/>
    </row>
    <row r="7822">
      <c r="A7822" s="49">
        <v>45103.37860344908</v>
      </c>
      <c r="B7822" s="50">
        <v>45103.5035765277</v>
      </c>
      <c r="C7822" s="51">
        <v>1.005</v>
      </c>
      <c r="D7822" s="51">
        <v>70.0</v>
      </c>
      <c r="E7822" s="52" t="s">
        <v>25</v>
      </c>
      <c r="F7822" s="52" t="s">
        <v>26</v>
      </c>
      <c r="G7822" s="53"/>
    </row>
    <row r="7823">
      <c r="A7823" s="49">
        <v>45103.38901748843</v>
      </c>
      <c r="B7823" s="50">
        <v>45103.51399625</v>
      </c>
      <c r="C7823" s="51">
        <v>1.005</v>
      </c>
      <c r="D7823" s="51">
        <v>70.0</v>
      </c>
      <c r="E7823" s="52" t="s">
        <v>25</v>
      </c>
      <c r="F7823" s="52" t="s">
        <v>26</v>
      </c>
      <c r="G7823" s="53"/>
    </row>
    <row r="7824">
      <c r="A7824" s="49">
        <v>45103.39943744213</v>
      </c>
      <c r="B7824" s="50">
        <v>45103.5244185995</v>
      </c>
      <c r="C7824" s="51">
        <v>1.005</v>
      </c>
      <c r="D7824" s="51">
        <v>70.0</v>
      </c>
      <c r="E7824" s="52" t="s">
        <v>25</v>
      </c>
      <c r="F7824" s="52" t="s">
        <v>26</v>
      </c>
      <c r="G7824" s="53"/>
    </row>
    <row r="7825">
      <c r="A7825" s="49">
        <v>45103.40986540509</v>
      </c>
      <c r="B7825" s="50">
        <v>45103.5348404976</v>
      </c>
      <c r="C7825" s="51">
        <v>1.004</v>
      </c>
      <c r="D7825" s="51">
        <v>70.0</v>
      </c>
      <c r="E7825" s="52" t="s">
        <v>25</v>
      </c>
      <c r="F7825" s="52" t="s">
        <v>26</v>
      </c>
      <c r="G7825" s="53"/>
    </row>
    <row r="7826">
      <c r="A7826" s="49">
        <v>45103.42029001158</v>
      </c>
      <c r="B7826" s="50">
        <v>45103.5452617939</v>
      </c>
      <c r="C7826" s="51">
        <v>1.005</v>
      </c>
      <c r="D7826" s="51">
        <v>70.0</v>
      </c>
      <c r="E7826" s="52" t="s">
        <v>25</v>
      </c>
      <c r="F7826" s="52" t="s">
        <v>26</v>
      </c>
      <c r="G7826" s="53"/>
    </row>
    <row r="7827">
      <c r="A7827" s="49">
        <v>45103.430712291665</v>
      </c>
      <c r="B7827" s="50">
        <v>45103.5556947453</v>
      </c>
      <c r="C7827" s="51">
        <v>1.005</v>
      </c>
      <c r="D7827" s="51">
        <v>70.0</v>
      </c>
      <c r="E7827" s="52" t="s">
        <v>25</v>
      </c>
      <c r="F7827" s="52" t="s">
        <v>26</v>
      </c>
      <c r="G7827" s="53"/>
    </row>
    <row r="7828">
      <c r="A7828" s="49">
        <v>45103.441173125</v>
      </c>
      <c r="B7828" s="50">
        <v>45103.5661505671</v>
      </c>
      <c r="C7828" s="51">
        <v>1.005</v>
      </c>
      <c r="D7828" s="51">
        <v>70.0</v>
      </c>
      <c r="E7828" s="52" t="s">
        <v>25</v>
      </c>
      <c r="F7828" s="52" t="s">
        <v>26</v>
      </c>
      <c r="G7828" s="53"/>
    </row>
    <row r="7829">
      <c r="A7829" s="49">
        <v>45103.45159517361</v>
      </c>
      <c r="B7829" s="50">
        <v>45103.576570949</v>
      </c>
      <c r="C7829" s="51">
        <v>1.005</v>
      </c>
      <c r="D7829" s="51">
        <v>70.0</v>
      </c>
      <c r="E7829" s="52" t="s">
        <v>25</v>
      </c>
      <c r="F7829" s="52" t="s">
        <v>26</v>
      </c>
      <c r="G7829" s="53"/>
    </row>
    <row r="7830">
      <c r="A7830" s="49">
        <v>45103.46201967592</v>
      </c>
      <c r="B7830" s="50">
        <v>45103.5869931018</v>
      </c>
      <c r="C7830" s="51">
        <v>1.005</v>
      </c>
      <c r="D7830" s="51">
        <v>70.0</v>
      </c>
      <c r="E7830" s="52" t="s">
        <v>25</v>
      </c>
      <c r="F7830" s="52" t="s">
        <v>26</v>
      </c>
      <c r="G7830" s="53"/>
    </row>
    <row r="7831">
      <c r="A7831" s="49">
        <v>45103.4724531713</v>
      </c>
      <c r="B7831" s="50">
        <v>45103.5974260185</v>
      </c>
      <c r="C7831" s="51">
        <v>1.005</v>
      </c>
      <c r="D7831" s="51">
        <v>70.0</v>
      </c>
      <c r="E7831" s="52" t="s">
        <v>25</v>
      </c>
      <c r="F7831" s="52" t="s">
        <v>26</v>
      </c>
      <c r="G7831" s="53"/>
    </row>
    <row r="7832">
      <c r="A7832" s="49">
        <v>45103.48286689815</v>
      </c>
      <c r="B7832" s="50">
        <v>45103.6078485763</v>
      </c>
      <c r="C7832" s="51">
        <v>1.005</v>
      </c>
      <c r="D7832" s="51">
        <v>70.0</v>
      </c>
      <c r="E7832" s="52" t="s">
        <v>25</v>
      </c>
      <c r="F7832" s="52" t="s">
        <v>26</v>
      </c>
      <c r="G7832" s="53"/>
    </row>
    <row r="7833">
      <c r="A7833" s="49">
        <v>45103.4933005787</v>
      </c>
      <c r="B7833" s="50">
        <v>45103.6182706481</v>
      </c>
      <c r="C7833" s="51">
        <v>1.005</v>
      </c>
      <c r="D7833" s="51">
        <v>70.0</v>
      </c>
      <c r="E7833" s="52" t="s">
        <v>25</v>
      </c>
      <c r="F7833" s="52" t="s">
        <v>26</v>
      </c>
      <c r="G7833" s="53"/>
    </row>
    <row r="7834">
      <c r="A7834" s="49">
        <v>45103.50371521991</v>
      </c>
      <c r="B7834" s="50">
        <v>45103.6286907407</v>
      </c>
      <c r="C7834" s="51">
        <v>1.005</v>
      </c>
      <c r="D7834" s="51">
        <v>70.0</v>
      </c>
      <c r="E7834" s="52" t="s">
        <v>25</v>
      </c>
      <c r="F7834" s="52" t="s">
        <v>26</v>
      </c>
      <c r="G7834" s="53"/>
    </row>
    <row r="7835">
      <c r="A7835" s="49">
        <v>45103.514134780096</v>
      </c>
      <c r="B7835" s="50">
        <v>45103.63911228</v>
      </c>
      <c r="C7835" s="51">
        <v>1.005</v>
      </c>
      <c r="D7835" s="51">
        <v>70.0</v>
      </c>
      <c r="E7835" s="52" t="s">
        <v>25</v>
      </c>
      <c r="F7835" s="52" t="s">
        <v>26</v>
      </c>
      <c r="G7835" s="53"/>
    </row>
    <row r="7836">
      <c r="A7836" s="49">
        <v>45103.524567569446</v>
      </c>
      <c r="B7836" s="50">
        <v>45103.6495446527</v>
      </c>
      <c r="C7836" s="51">
        <v>1.005</v>
      </c>
      <c r="D7836" s="51">
        <v>70.0</v>
      </c>
      <c r="E7836" s="52" t="s">
        <v>25</v>
      </c>
      <c r="F7836" s="52" t="s">
        <v>26</v>
      </c>
      <c r="G7836" s="53"/>
    </row>
    <row r="7837">
      <c r="A7837" s="49">
        <v>45103.534991736116</v>
      </c>
      <c r="B7837" s="50">
        <v>45103.6599652893</v>
      </c>
      <c r="C7837" s="51">
        <v>1.005</v>
      </c>
      <c r="D7837" s="51">
        <v>70.0</v>
      </c>
      <c r="E7837" s="52" t="s">
        <v>25</v>
      </c>
      <c r="F7837" s="52" t="s">
        <v>26</v>
      </c>
      <c r="G7837" s="53"/>
    </row>
    <row r="7838">
      <c r="A7838" s="49">
        <v>45103.54540754629</v>
      </c>
      <c r="B7838" s="50">
        <v>45103.6703863541</v>
      </c>
      <c r="C7838" s="51">
        <v>1.005</v>
      </c>
      <c r="D7838" s="51">
        <v>70.0</v>
      </c>
      <c r="E7838" s="52" t="s">
        <v>25</v>
      </c>
      <c r="F7838" s="52" t="s">
        <v>26</v>
      </c>
      <c r="G7838" s="53"/>
    </row>
    <row r="7839">
      <c r="A7839" s="49">
        <v>45103.5558290162</v>
      </c>
      <c r="B7839" s="50">
        <v>45103.6808066088</v>
      </c>
      <c r="C7839" s="51">
        <v>1.005</v>
      </c>
      <c r="D7839" s="51">
        <v>70.0</v>
      </c>
      <c r="E7839" s="52" t="s">
        <v>25</v>
      </c>
      <c r="F7839" s="52" t="s">
        <v>26</v>
      </c>
      <c r="G7839" s="53"/>
    </row>
    <row r="7840">
      <c r="A7840" s="49">
        <v>45103.566255937505</v>
      </c>
      <c r="B7840" s="50">
        <v>45103.6912392361</v>
      </c>
      <c r="C7840" s="51">
        <v>1.005</v>
      </c>
      <c r="D7840" s="51">
        <v>70.0</v>
      </c>
      <c r="E7840" s="52" t="s">
        <v>25</v>
      </c>
      <c r="F7840" s="52" t="s">
        <v>26</v>
      </c>
      <c r="G7840" s="53"/>
    </row>
    <row r="7841">
      <c r="A7841" s="49">
        <v>45103.57668453704</v>
      </c>
      <c r="B7841" s="50">
        <v>45103.7016593634</v>
      </c>
      <c r="C7841" s="51">
        <v>1.005</v>
      </c>
      <c r="D7841" s="51">
        <v>70.0</v>
      </c>
      <c r="E7841" s="52" t="s">
        <v>25</v>
      </c>
      <c r="F7841" s="52" t="s">
        <v>26</v>
      </c>
      <c r="G7841" s="53"/>
    </row>
    <row r="7842">
      <c r="A7842" s="49">
        <v>45103.58710664352</v>
      </c>
      <c r="B7842" s="50">
        <v>45103.7120808217</v>
      </c>
      <c r="C7842" s="51">
        <v>1.005</v>
      </c>
      <c r="D7842" s="51">
        <v>70.0</v>
      </c>
      <c r="E7842" s="52" t="s">
        <v>25</v>
      </c>
      <c r="F7842" s="52" t="s">
        <v>26</v>
      </c>
      <c r="G7842" s="53"/>
    </row>
    <row r="7843">
      <c r="A7843" s="49">
        <v>45103.597526157406</v>
      </c>
      <c r="B7843" s="50">
        <v>45103.7225023263</v>
      </c>
      <c r="C7843" s="51">
        <v>1.005</v>
      </c>
      <c r="D7843" s="51">
        <v>70.0</v>
      </c>
      <c r="E7843" s="52" t="s">
        <v>25</v>
      </c>
      <c r="F7843" s="52" t="s">
        <v>26</v>
      </c>
      <c r="G7843" s="53"/>
    </row>
    <row r="7844">
      <c r="A7844" s="49">
        <v>45103.607941608796</v>
      </c>
      <c r="B7844" s="50">
        <v>45103.7329229861</v>
      </c>
      <c r="C7844" s="51">
        <v>1.005</v>
      </c>
      <c r="D7844" s="51">
        <v>70.0</v>
      </c>
      <c r="E7844" s="52" t="s">
        <v>25</v>
      </c>
      <c r="F7844" s="52" t="s">
        <v>26</v>
      </c>
      <c r="G7844" s="53"/>
    </row>
    <row r="7845">
      <c r="A7845" s="49">
        <v>45103.6183715625</v>
      </c>
      <c r="B7845" s="50">
        <v>45103.7433457986</v>
      </c>
      <c r="C7845" s="51">
        <v>1.005</v>
      </c>
      <c r="D7845" s="51">
        <v>70.0</v>
      </c>
      <c r="E7845" s="52" t="s">
        <v>25</v>
      </c>
      <c r="F7845" s="52" t="s">
        <v>26</v>
      </c>
      <c r="G7845" s="53"/>
    </row>
    <row r="7846">
      <c r="A7846" s="49">
        <v>45103.628792800926</v>
      </c>
      <c r="B7846" s="50">
        <v>45103.753768206</v>
      </c>
      <c r="C7846" s="51">
        <v>1.005</v>
      </c>
      <c r="D7846" s="51">
        <v>70.0</v>
      </c>
      <c r="E7846" s="52" t="s">
        <v>25</v>
      </c>
      <c r="F7846" s="52" t="s">
        <v>26</v>
      </c>
      <c r="G7846" s="53"/>
    </row>
    <row r="7847">
      <c r="A7847" s="49">
        <v>45103.63921311343</v>
      </c>
      <c r="B7847" s="50">
        <v>45103.7641896527</v>
      </c>
      <c r="C7847" s="51">
        <v>1.005</v>
      </c>
      <c r="D7847" s="51">
        <v>70.0</v>
      </c>
      <c r="E7847" s="52" t="s">
        <v>25</v>
      </c>
      <c r="F7847" s="52" t="s">
        <v>26</v>
      </c>
      <c r="G7847" s="53"/>
    </row>
    <row r="7848">
      <c r="A7848" s="49">
        <v>45103.64963528935</v>
      </c>
      <c r="B7848" s="50">
        <v>45103.7746135185</v>
      </c>
      <c r="C7848" s="51">
        <v>1.004</v>
      </c>
      <c r="D7848" s="51">
        <v>70.0</v>
      </c>
      <c r="E7848" s="52" t="s">
        <v>25</v>
      </c>
      <c r="F7848" s="52" t="s">
        <v>26</v>
      </c>
      <c r="G7848" s="53"/>
    </row>
    <row r="7849">
      <c r="A7849" s="49">
        <v>45103.660072893515</v>
      </c>
      <c r="B7849" s="50">
        <v>45103.785047662</v>
      </c>
      <c r="C7849" s="51">
        <v>1.005</v>
      </c>
      <c r="D7849" s="51">
        <v>70.0</v>
      </c>
      <c r="E7849" s="52" t="s">
        <v>25</v>
      </c>
      <c r="F7849" s="52" t="s">
        <v>26</v>
      </c>
      <c r="G7849" s="53"/>
    </row>
    <row r="7850">
      <c r="A7850" s="49">
        <v>45103.670496273146</v>
      </c>
      <c r="B7850" s="50">
        <v>45103.7954679513</v>
      </c>
      <c r="C7850" s="51">
        <v>1.005</v>
      </c>
      <c r="D7850" s="51">
        <v>70.0</v>
      </c>
      <c r="E7850" s="52" t="s">
        <v>25</v>
      </c>
      <c r="F7850" s="52" t="s">
        <v>26</v>
      </c>
      <c r="G7850" s="53"/>
    </row>
    <row r="7851">
      <c r="A7851" s="49">
        <v>45103.68091587963</v>
      </c>
      <c r="B7851" s="50">
        <v>45103.8058900925</v>
      </c>
      <c r="C7851" s="51">
        <v>1.004</v>
      </c>
      <c r="D7851" s="51">
        <v>70.0</v>
      </c>
      <c r="E7851" s="52" t="s">
        <v>25</v>
      </c>
      <c r="F7851" s="52" t="s">
        <v>26</v>
      </c>
      <c r="G7851" s="53"/>
    </row>
    <row r="7852">
      <c r="A7852" s="49">
        <v>45103.6913696875</v>
      </c>
      <c r="B7852" s="50">
        <v>45103.816345706</v>
      </c>
      <c r="C7852" s="51">
        <v>1.005</v>
      </c>
      <c r="D7852" s="51">
        <v>70.0</v>
      </c>
      <c r="E7852" s="52" t="s">
        <v>25</v>
      </c>
      <c r="F7852" s="52" t="s">
        <v>26</v>
      </c>
      <c r="G7852" s="53"/>
    </row>
    <row r="7853">
      <c r="A7853" s="49">
        <v>45103.70180300926</v>
      </c>
      <c r="B7853" s="50">
        <v>45103.8267785532</v>
      </c>
      <c r="C7853" s="51">
        <v>1.005</v>
      </c>
      <c r="D7853" s="51">
        <v>70.0</v>
      </c>
      <c r="E7853" s="52" t="s">
        <v>25</v>
      </c>
      <c r="F7853" s="52" t="s">
        <v>26</v>
      </c>
      <c r="G7853" s="53"/>
    </row>
    <row r="7854">
      <c r="A7854" s="49">
        <v>45103.71222547453</v>
      </c>
      <c r="B7854" s="50">
        <v>45103.8371998148</v>
      </c>
      <c r="C7854" s="51">
        <v>1.005</v>
      </c>
      <c r="D7854" s="51">
        <v>70.0</v>
      </c>
      <c r="E7854" s="52" t="s">
        <v>25</v>
      </c>
      <c r="F7854" s="52" t="s">
        <v>26</v>
      </c>
      <c r="G7854" s="53"/>
    </row>
    <row r="7855">
      <c r="A7855" s="49">
        <v>45103.72264662037</v>
      </c>
      <c r="B7855" s="50">
        <v>45103.8476216435</v>
      </c>
      <c r="C7855" s="51">
        <v>1.005</v>
      </c>
      <c r="D7855" s="51">
        <v>70.0</v>
      </c>
      <c r="E7855" s="52" t="s">
        <v>25</v>
      </c>
      <c r="F7855" s="52" t="s">
        <v>26</v>
      </c>
      <c r="G7855" s="53"/>
    </row>
    <row r="7856">
      <c r="A7856" s="49">
        <v>45103.733061377316</v>
      </c>
      <c r="B7856" s="50">
        <v>45103.8580431828</v>
      </c>
      <c r="C7856" s="51">
        <v>1.004</v>
      </c>
      <c r="D7856" s="51">
        <v>70.0</v>
      </c>
      <c r="E7856" s="52" t="s">
        <v>25</v>
      </c>
      <c r="F7856" s="52" t="s">
        <v>26</v>
      </c>
      <c r="G7856" s="53"/>
    </row>
    <row r="7857">
      <c r="A7857" s="49">
        <v>45103.74348251158</v>
      </c>
      <c r="B7857" s="50">
        <v>45103.8684637384</v>
      </c>
      <c r="C7857" s="51">
        <v>1.005</v>
      </c>
      <c r="D7857" s="51">
        <v>70.0</v>
      </c>
      <c r="E7857" s="52" t="s">
        <v>25</v>
      </c>
      <c r="F7857" s="52" t="s">
        <v>26</v>
      </c>
      <c r="G7857" s="53"/>
    </row>
    <row r="7858">
      <c r="A7858" s="49">
        <v>45103.75390480324</v>
      </c>
      <c r="B7858" s="50">
        <v>45103.8788859027</v>
      </c>
      <c r="C7858" s="51">
        <v>1.005</v>
      </c>
      <c r="D7858" s="51">
        <v>70.0</v>
      </c>
      <c r="E7858" s="52" t="s">
        <v>25</v>
      </c>
      <c r="F7858" s="52" t="s">
        <v>26</v>
      </c>
      <c r="G7858" s="53"/>
    </row>
    <row r="7859">
      <c r="A7859" s="49">
        <v>45103.76433947917</v>
      </c>
      <c r="B7859" s="50">
        <v>45103.8893181018</v>
      </c>
      <c r="C7859" s="51">
        <v>1.005</v>
      </c>
      <c r="D7859" s="51">
        <v>70.0</v>
      </c>
      <c r="E7859" s="52" t="s">
        <v>25</v>
      </c>
      <c r="F7859" s="52" t="s">
        <v>26</v>
      </c>
      <c r="G7859" s="53"/>
    </row>
    <row r="7860">
      <c r="A7860" s="49">
        <v>45103.77477615741</v>
      </c>
      <c r="B7860" s="50">
        <v>45103.8997503703</v>
      </c>
      <c r="C7860" s="51">
        <v>1.005</v>
      </c>
      <c r="D7860" s="51">
        <v>70.0</v>
      </c>
      <c r="E7860" s="52" t="s">
        <v>25</v>
      </c>
      <c r="F7860" s="52" t="s">
        <v>26</v>
      </c>
      <c r="G7860" s="53"/>
    </row>
    <row r="7861">
      <c r="A7861" s="49">
        <v>45103.78519767361</v>
      </c>
      <c r="B7861" s="50">
        <v>45103.9101718634</v>
      </c>
      <c r="C7861" s="51">
        <v>1.005</v>
      </c>
      <c r="D7861" s="51">
        <v>70.0</v>
      </c>
      <c r="E7861" s="52" t="s">
        <v>25</v>
      </c>
      <c r="F7861" s="52" t="s">
        <v>26</v>
      </c>
      <c r="G7861" s="53"/>
    </row>
    <row r="7862">
      <c r="A7862" s="49">
        <v>45103.795619490746</v>
      </c>
      <c r="B7862" s="50">
        <v>45103.9205940972</v>
      </c>
      <c r="C7862" s="51">
        <v>1.005</v>
      </c>
      <c r="D7862" s="51">
        <v>70.0</v>
      </c>
      <c r="E7862" s="52" t="s">
        <v>25</v>
      </c>
      <c r="F7862" s="52" t="s">
        <v>26</v>
      </c>
      <c r="G7862" s="53"/>
    </row>
    <row r="7863">
      <c r="A7863" s="49">
        <v>45103.80604114583</v>
      </c>
      <c r="B7863" s="50">
        <v>45103.9310154282</v>
      </c>
      <c r="C7863" s="51">
        <v>1.005</v>
      </c>
      <c r="D7863" s="51">
        <v>70.0</v>
      </c>
      <c r="E7863" s="52" t="s">
        <v>25</v>
      </c>
      <c r="F7863" s="52" t="s">
        <v>26</v>
      </c>
      <c r="G7863" s="53"/>
    </row>
    <row r="7864">
      <c r="A7864" s="49">
        <v>45103.81647091435</v>
      </c>
      <c r="B7864" s="50">
        <v>45103.9414501157</v>
      </c>
      <c r="C7864" s="51">
        <v>1.005</v>
      </c>
      <c r="D7864" s="51">
        <v>70.0</v>
      </c>
      <c r="E7864" s="52" t="s">
        <v>25</v>
      </c>
      <c r="F7864" s="52" t="s">
        <v>26</v>
      </c>
      <c r="G7864" s="53"/>
    </row>
    <row r="7865">
      <c r="A7865" s="49">
        <v>45103.82689327546</v>
      </c>
      <c r="B7865" s="50">
        <v>45103.9518715625</v>
      </c>
      <c r="C7865" s="51">
        <v>1.004</v>
      </c>
      <c r="D7865" s="51">
        <v>70.0</v>
      </c>
      <c r="E7865" s="52" t="s">
        <v>25</v>
      </c>
      <c r="F7865" s="52" t="s">
        <v>26</v>
      </c>
      <c r="G7865" s="53"/>
    </row>
    <row r="7866">
      <c r="A7866" s="49">
        <v>45103.837314606484</v>
      </c>
      <c r="B7866" s="50">
        <v>45103.9622908449</v>
      </c>
      <c r="C7866" s="51">
        <v>1.005</v>
      </c>
      <c r="D7866" s="51">
        <v>70.0</v>
      </c>
      <c r="E7866" s="52" t="s">
        <v>25</v>
      </c>
      <c r="F7866" s="52" t="s">
        <v>26</v>
      </c>
      <c r="G7866" s="53"/>
    </row>
    <row r="7867">
      <c r="A7867" s="49">
        <v>45103.84773879629</v>
      </c>
      <c r="B7867" s="50">
        <v>45103.9727130902</v>
      </c>
      <c r="C7867" s="51">
        <v>1.005</v>
      </c>
      <c r="D7867" s="51">
        <v>70.0</v>
      </c>
      <c r="E7867" s="52" t="s">
        <v>25</v>
      </c>
      <c r="F7867" s="52" t="s">
        <v>26</v>
      </c>
      <c r="G7867" s="53"/>
    </row>
    <row r="7868">
      <c r="A7868" s="49">
        <v>45103.85821145833</v>
      </c>
      <c r="B7868" s="50">
        <v>45103.9831918287</v>
      </c>
      <c r="C7868" s="51">
        <v>1.005</v>
      </c>
      <c r="D7868" s="51">
        <v>70.0</v>
      </c>
      <c r="E7868" s="52" t="s">
        <v>25</v>
      </c>
      <c r="F7868" s="52" t="s">
        <v>26</v>
      </c>
      <c r="G7868" s="53"/>
    </row>
    <row r="7869">
      <c r="A7869" s="49">
        <v>45103.8686528588</v>
      </c>
      <c r="B7869" s="50">
        <v>45103.9936270138</v>
      </c>
      <c r="C7869" s="51">
        <v>1.005</v>
      </c>
      <c r="D7869" s="51">
        <v>70.0</v>
      </c>
      <c r="E7869" s="52" t="s">
        <v>25</v>
      </c>
      <c r="F7869" s="52" t="s">
        <v>26</v>
      </c>
      <c r="G7869" s="53"/>
    </row>
    <row r="7870">
      <c r="A7870" s="49">
        <v>45103.87907090278</v>
      </c>
      <c r="B7870" s="50">
        <v>45104.0040485069</v>
      </c>
      <c r="C7870" s="51">
        <v>1.004</v>
      </c>
      <c r="D7870" s="51">
        <v>70.0</v>
      </c>
      <c r="E7870" s="52" t="s">
        <v>25</v>
      </c>
      <c r="F7870" s="52" t="s">
        <v>26</v>
      </c>
      <c r="G7870" s="53"/>
    </row>
    <row r="7871">
      <c r="A7871" s="49">
        <v>45103.88948806713</v>
      </c>
      <c r="B7871" s="50">
        <v>45104.0144721643</v>
      </c>
      <c r="C7871" s="51">
        <v>1.005</v>
      </c>
      <c r="D7871" s="51">
        <v>70.0</v>
      </c>
      <c r="E7871" s="52" t="s">
        <v>25</v>
      </c>
      <c r="F7871" s="52" t="s">
        <v>26</v>
      </c>
      <c r="G7871" s="53"/>
    </row>
    <row r="7872">
      <c r="A7872" s="49">
        <v>45103.89992788194</v>
      </c>
      <c r="B7872" s="50">
        <v>45104.0249059953</v>
      </c>
      <c r="C7872" s="51">
        <v>1.005</v>
      </c>
      <c r="D7872" s="51">
        <v>70.0</v>
      </c>
      <c r="E7872" s="52" t="s">
        <v>25</v>
      </c>
      <c r="F7872" s="52" t="s">
        <v>26</v>
      </c>
      <c r="G7872" s="53"/>
    </row>
    <row r="7873">
      <c r="A7873" s="49">
        <v>45103.91034652777</v>
      </c>
      <c r="B7873" s="50">
        <v>45104.0353253703</v>
      </c>
      <c r="C7873" s="51">
        <v>1.005</v>
      </c>
      <c r="D7873" s="51">
        <v>70.0</v>
      </c>
      <c r="E7873" s="52" t="s">
        <v>25</v>
      </c>
      <c r="F7873" s="52" t="s">
        <v>26</v>
      </c>
      <c r="G7873" s="53"/>
    </row>
    <row r="7874">
      <c r="A7874" s="49">
        <v>45103.92077171296</v>
      </c>
      <c r="B7874" s="50">
        <v>45104.0457459838</v>
      </c>
      <c r="C7874" s="51">
        <v>1.005</v>
      </c>
      <c r="D7874" s="51">
        <v>70.0</v>
      </c>
      <c r="E7874" s="52" t="s">
        <v>25</v>
      </c>
      <c r="F7874" s="52" t="s">
        <v>26</v>
      </c>
      <c r="G7874" s="53"/>
    </row>
    <row r="7875">
      <c r="A7875" s="49">
        <v>45103.931189490744</v>
      </c>
      <c r="B7875" s="50">
        <v>45104.0561674537</v>
      </c>
      <c r="C7875" s="51">
        <v>1.004</v>
      </c>
      <c r="D7875" s="51">
        <v>70.0</v>
      </c>
      <c r="E7875" s="52" t="s">
        <v>25</v>
      </c>
      <c r="F7875" s="52" t="s">
        <v>26</v>
      </c>
      <c r="G7875" s="53"/>
    </row>
    <row r="7876">
      <c r="A7876" s="49">
        <v>45103.94160748842</v>
      </c>
      <c r="B7876" s="50">
        <v>45104.0665895717</v>
      </c>
      <c r="C7876" s="51">
        <v>1.005</v>
      </c>
      <c r="D7876" s="51">
        <v>70.0</v>
      </c>
      <c r="E7876" s="52" t="s">
        <v>25</v>
      </c>
      <c r="F7876" s="52" t="s">
        <v>26</v>
      </c>
      <c r="G7876" s="53"/>
    </row>
    <row r="7877">
      <c r="A7877" s="49">
        <v>45103.95203324074</v>
      </c>
      <c r="B7877" s="50">
        <v>45104.0770093402</v>
      </c>
      <c r="C7877" s="51">
        <v>1.004</v>
      </c>
      <c r="D7877" s="51">
        <v>70.0</v>
      </c>
      <c r="E7877" s="52" t="s">
        <v>25</v>
      </c>
      <c r="F7877" s="52" t="s">
        <v>26</v>
      </c>
      <c r="G7877" s="53"/>
    </row>
    <row r="7878">
      <c r="A7878" s="49">
        <v>45103.96246380787</v>
      </c>
      <c r="B7878" s="50">
        <v>45104.0874425925</v>
      </c>
      <c r="C7878" s="51">
        <v>1.005</v>
      </c>
      <c r="D7878" s="51">
        <v>70.0</v>
      </c>
      <c r="E7878" s="52" t="s">
        <v>25</v>
      </c>
      <c r="F7878" s="52" t="s">
        <v>26</v>
      </c>
      <c r="G7878" s="53"/>
    </row>
    <row r="7879">
      <c r="A7879" s="49">
        <v>45103.97288479167</v>
      </c>
      <c r="B7879" s="50">
        <v>45104.0978625231</v>
      </c>
      <c r="C7879" s="51">
        <v>1.004</v>
      </c>
      <c r="D7879" s="51">
        <v>70.0</v>
      </c>
      <c r="E7879" s="52" t="s">
        <v>25</v>
      </c>
      <c r="F7879" s="52" t="s">
        <v>26</v>
      </c>
      <c r="G7879" s="53"/>
    </row>
    <row r="7880">
      <c r="A7880" s="49">
        <v>45103.98334479167</v>
      </c>
      <c r="B7880" s="50">
        <v>45104.1083222569</v>
      </c>
      <c r="C7880" s="51">
        <v>1.004</v>
      </c>
      <c r="D7880" s="51">
        <v>70.0</v>
      </c>
      <c r="E7880" s="52" t="s">
        <v>25</v>
      </c>
      <c r="F7880" s="52" t="s">
        <v>26</v>
      </c>
      <c r="G7880" s="53"/>
    </row>
    <row r="7881">
      <c r="A7881" s="49">
        <v>45103.993800972225</v>
      </c>
      <c r="B7881" s="50">
        <v>45104.1187771527</v>
      </c>
      <c r="C7881" s="51">
        <v>1.005</v>
      </c>
      <c r="D7881" s="51">
        <v>70.0</v>
      </c>
      <c r="E7881" s="52" t="s">
        <v>25</v>
      </c>
      <c r="F7881" s="52" t="s">
        <v>26</v>
      </c>
      <c r="G7881" s="53"/>
    </row>
    <row r="7882">
      <c r="A7882" s="49">
        <v>45104.004222303236</v>
      </c>
      <c r="B7882" s="50">
        <v>45104.1291975231</v>
      </c>
      <c r="C7882" s="51">
        <v>1.004</v>
      </c>
      <c r="D7882" s="51">
        <v>70.0</v>
      </c>
      <c r="E7882" s="52" t="s">
        <v>25</v>
      </c>
      <c r="F7882" s="52" t="s">
        <v>26</v>
      </c>
      <c r="G7882" s="53"/>
    </row>
    <row r="7883">
      <c r="A7883" s="49">
        <v>45104.01464087963</v>
      </c>
      <c r="B7883" s="50">
        <v>45104.1396191666</v>
      </c>
      <c r="C7883" s="51">
        <v>1.004</v>
      </c>
      <c r="D7883" s="51">
        <v>70.0</v>
      </c>
      <c r="E7883" s="52" t="s">
        <v>25</v>
      </c>
      <c r="F7883" s="52" t="s">
        <v>26</v>
      </c>
      <c r="G7883" s="53"/>
    </row>
    <row r="7884">
      <c r="A7884" s="49">
        <v>45104.02505603009</v>
      </c>
      <c r="B7884" s="50">
        <v>45104.1500408101</v>
      </c>
      <c r="C7884" s="51">
        <v>1.005</v>
      </c>
      <c r="D7884" s="51">
        <v>70.0</v>
      </c>
      <c r="E7884" s="52" t="s">
        <v>25</v>
      </c>
      <c r="F7884" s="52" t="s">
        <v>26</v>
      </c>
      <c r="G7884" s="53"/>
    </row>
    <row r="7885">
      <c r="A7885" s="49">
        <v>45104.03548769676</v>
      </c>
      <c r="B7885" s="50">
        <v>45104.1604626388</v>
      </c>
      <c r="C7885" s="51">
        <v>1.004</v>
      </c>
      <c r="D7885" s="51">
        <v>70.0</v>
      </c>
      <c r="E7885" s="52" t="s">
        <v>25</v>
      </c>
      <c r="F7885" s="52" t="s">
        <v>26</v>
      </c>
      <c r="G7885" s="53"/>
    </row>
    <row r="7886">
      <c r="A7886" s="49">
        <v>45104.045902847225</v>
      </c>
      <c r="B7886" s="50">
        <v>45104.1708842361</v>
      </c>
      <c r="C7886" s="51">
        <v>1.004</v>
      </c>
      <c r="D7886" s="51">
        <v>70.0</v>
      </c>
      <c r="E7886" s="52" t="s">
        <v>25</v>
      </c>
      <c r="F7886" s="52" t="s">
        <v>26</v>
      </c>
      <c r="G7886" s="53"/>
    </row>
    <row r="7887">
      <c r="A7887" s="49">
        <v>45104.05632793982</v>
      </c>
      <c r="B7887" s="50">
        <v>45104.1813055092</v>
      </c>
      <c r="C7887" s="51">
        <v>1.005</v>
      </c>
      <c r="D7887" s="51">
        <v>70.0</v>
      </c>
      <c r="E7887" s="52" t="s">
        <v>25</v>
      </c>
      <c r="F7887" s="52" t="s">
        <v>26</v>
      </c>
      <c r="G7887" s="53"/>
    </row>
    <row r="7888">
      <c r="A7888" s="49">
        <v>45104.06675039352</v>
      </c>
      <c r="B7888" s="50">
        <v>45104.1917265393</v>
      </c>
      <c r="C7888" s="51">
        <v>1.005</v>
      </c>
      <c r="D7888" s="51">
        <v>70.0</v>
      </c>
      <c r="E7888" s="52" t="s">
        <v>25</v>
      </c>
      <c r="F7888" s="52" t="s">
        <v>26</v>
      </c>
      <c r="G7888" s="53"/>
    </row>
    <row r="7889">
      <c r="A7889" s="49">
        <v>45104.07717371528</v>
      </c>
      <c r="B7889" s="50">
        <v>45104.2021481597</v>
      </c>
      <c r="C7889" s="51">
        <v>1.005</v>
      </c>
      <c r="D7889" s="51">
        <v>70.0</v>
      </c>
      <c r="E7889" s="52" t="s">
        <v>25</v>
      </c>
      <c r="F7889" s="52" t="s">
        <v>26</v>
      </c>
      <c r="G7889" s="53"/>
    </row>
    <row r="7890">
      <c r="A7890" s="49">
        <v>45104.08759693287</v>
      </c>
      <c r="B7890" s="50">
        <v>45104.2125711689</v>
      </c>
      <c r="C7890" s="51">
        <v>1.005</v>
      </c>
      <c r="D7890" s="51">
        <v>70.0</v>
      </c>
      <c r="E7890" s="52" t="s">
        <v>25</v>
      </c>
      <c r="F7890" s="52" t="s">
        <v>26</v>
      </c>
      <c r="G7890" s="53"/>
    </row>
    <row r="7891">
      <c r="A7891" s="49">
        <v>45104.09801130787</v>
      </c>
      <c r="B7891" s="50">
        <v>45104.2229938888</v>
      </c>
      <c r="C7891" s="51">
        <v>1.004</v>
      </c>
      <c r="D7891" s="51">
        <v>70.0</v>
      </c>
      <c r="E7891" s="52" t="s">
        <v>25</v>
      </c>
      <c r="F7891" s="52" t="s">
        <v>26</v>
      </c>
      <c r="G7891" s="53"/>
    </row>
    <row r="7892">
      <c r="A7892" s="49">
        <v>45104.10843278935</v>
      </c>
      <c r="B7892" s="50">
        <v>45104.2334147338</v>
      </c>
      <c r="C7892" s="51">
        <v>1.004</v>
      </c>
      <c r="D7892" s="51">
        <v>70.0</v>
      </c>
      <c r="E7892" s="52" t="s">
        <v>25</v>
      </c>
      <c r="F7892" s="52" t="s">
        <v>26</v>
      </c>
      <c r="G7892" s="53"/>
    </row>
    <row r="7893">
      <c r="A7893" s="49">
        <v>45104.118860104165</v>
      </c>
      <c r="B7893" s="50">
        <v>45104.2438342824</v>
      </c>
      <c r="C7893" s="51">
        <v>1.005</v>
      </c>
      <c r="D7893" s="51">
        <v>70.0</v>
      </c>
      <c r="E7893" s="52" t="s">
        <v>25</v>
      </c>
      <c r="F7893" s="52" t="s">
        <v>26</v>
      </c>
      <c r="G7893" s="53"/>
    </row>
    <row r="7894">
      <c r="A7894" s="49">
        <v>45104.12927761574</v>
      </c>
      <c r="B7894" s="50">
        <v>45104.2542583217</v>
      </c>
      <c r="C7894" s="51">
        <v>1.005</v>
      </c>
      <c r="D7894" s="51">
        <v>70.0</v>
      </c>
      <c r="E7894" s="52" t="s">
        <v>25</v>
      </c>
      <c r="F7894" s="52" t="s">
        <v>26</v>
      </c>
      <c r="G7894" s="53"/>
    </row>
    <row r="7895">
      <c r="A7895" s="49">
        <v>45104.139713553246</v>
      </c>
      <c r="B7895" s="50">
        <v>45104.264691956</v>
      </c>
      <c r="C7895" s="51">
        <v>1.005</v>
      </c>
      <c r="D7895" s="51">
        <v>70.0</v>
      </c>
      <c r="E7895" s="52" t="s">
        <v>25</v>
      </c>
      <c r="F7895" s="52" t="s">
        <v>26</v>
      </c>
      <c r="G7895" s="53"/>
    </row>
    <row r="7896">
      <c r="A7896" s="49">
        <v>45104.15014085648</v>
      </c>
      <c r="B7896" s="50">
        <v>45104.2751153009</v>
      </c>
      <c r="C7896" s="51">
        <v>1.004</v>
      </c>
      <c r="D7896" s="51">
        <v>70.0</v>
      </c>
      <c r="E7896" s="52" t="s">
        <v>25</v>
      </c>
      <c r="F7896" s="52" t="s">
        <v>26</v>
      </c>
      <c r="G7896" s="53"/>
    </row>
    <row r="7897">
      <c r="A7897" s="49">
        <v>45104.1605706713</v>
      </c>
      <c r="B7897" s="50">
        <v>45104.2855480324</v>
      </c>
      <c r="C7897" s="51">
        <v>1.005</v>
      </c>
      <c r="D7897" s="51">
        <v>70.0</v>
      </c>
      <c r="E7897" s="52" t="s">
        <v>25</v>
      </c>
      <c r="F7897" s="52" t="s">
        <v>26</v>
      </c>
      <c r="G7897" s="53"/>
    </row>
    <row r="7898">
      <c r="A7898" s="49">
        <v>45104.17100482639</v>
      </c>
      <c r="B7898" s="50">
        <v>45104.2959812615</v>
      </c>
      <c r="C7898" s="51">
        <v>1.005</v>
      </c>
      <c r="D7898" s="51">
        <v>70.0</v>
      </c>
      <c r="E7898" s="52" t="s">
        <v>25</v>
      </c>
      <c r="F7898" s="52" t="s">
        <v>26</v>
      </c>
      <c r="G7898" s="53"/>
    </row>
    <row r="7899">
      <c r="A7899" s="49">
        <v>45104.18142709491</v>
      </c>
      <c r="B7899" s="50">
        <v>45104.3064020254</v>
      </c>
      <c r="C7899" s="51">
        <v>1.004</v>
      </c>
      <c r="D7899" s="51">
        <v>70.0</v>
      </c>
      <c r="E7899" s="52" t="s">
        <v>25</v>
      </c>
      <c r="F7899" s="52" t="s">
        <v>26</v>
      </c>
      <c r="G7899" s="53"/>
    </row>
    <row r="7900">
      <c r="A7900" s="49">
        <v>45104.19185107639</v>
      </c>
      <c r="B7900" s="50">
        <v>45104.3168223148</v>
      </c>
      <c r="C7900" s="51">
        <v>1.004</v>
      </c>
      <c r="D7900" s="51">
        <v>70.0</v>
      </c>
      <c r="E7900" s="52" t="s">
        <v>25</v>
      </c>
      <c r="F7900" s="52" t="s">
        <v>26</v>
      </c>
      <c r="G7900" s="53"/>
    </row>
    <row r="7901">
      <c r="A7901" s="49">
        <v>45104.2022803125</v>
      </c>
      <c r="B7901" s="50">
        <v>45104.3272559143</v>
      </c>
      <c r="C7901" s="51">
        <v>1.005</v>
      </c>
      <c r="D7901" s="51">
        <v>70.0</v>
      </c>
      <c r="E7901" s="52" t="s">
        <v>25</v>
      </c>
      <c r="F7901" s="52" t="s">
        <v>26</v>
      </c>
      <c r="G7901" s="53"/>
    </row>
    <row r="7902">
      <c r="A7902" s="49">
        <v>45104.2126975</v>
      </c>
      <c r="B7902" s="50">
        <v>45104.3376770949</v>
      </c>
      <c r="C7902" s="51">
        <v>1.005</v>
      </c>
      <c r="D7902" s="51">
        <v>70.0</v>
      </c>
      <c r="E7902" s="52" t="s">
        <v>25</v>
      </c>
      <c r="F7902" s="52" t="s">
        <v>26</v>
      </c>
      <c r="G7902" s="53"/>
    </row>
    <row r="7903">
      <c r="A7903" s="49">
        <v>45104.223115127315</v>
      </c>
      <c r="B7903" s="50">
        <v>45104.3480962963</v>
      </c>
      <c r="C7903" s="51">
        <v>1.005</v>
      </c>
      <c r="D7903" s="51">
        <v>70.0</v>
      </c>
      <c r="E7903" s="52" t="s">
        <v>25</v>
      </c>
      <c r="F7903" s="52" t="s">
        <v>26</v>
      </c>
      <c r="G7903" s="53"/>
    </row>
    <row r="7904">
      <c r="A7904" s="49">
        <v>45104.23355546297</v>
      </c>
      <c r="B7904" s="50">
        <v>45104.3585295833</v>
      </c>
      <c r="C7904" s="51">
        <v>1.005</v>
      </c>
      <c r="D7904" s="51">
        <v>70.0</v>
      </c>
      <c r="E7904" s="52" t="s">
        <v>25</v>
      </c>
      <c r="F7904" s="52" t="s">
        <v>26</v>
      </c>
      <c r="G7904" s="53"/>
    </row>
    <row r="7905">
      <c r="A7905" s="49">
        <v>45104.24399717593</v>
      </c>
      <c r="B7905" s="50">
        <v>45104.3689729745</v>
      </c>
      <c r="C7905" s="51">
        <v>1.005</v>
      </c>
      <c r="D7905" s="51">
        <v>70.0</v>
      </c>
      <c r="E7905" s="52" t="s">
        <v>25</v>
      </c>
      <c r="F7905" s="52" t="s">
        <v>26</v>
      </c>
      <c r="G7905" s="53"/>
    </row>
    <row r="7906">
      <c r="A7906" s="49">
        <v>45104.25441858797</v>
      </c>
      <c r="B7906" s="50">
        <v>45104.3793947453</v>
      </c>
      <c r="C7906" s="51">
        <v>1.005</v>
      </c>
      <c r="D7906" s="51">
        <v>70.0</v>
      </c>
      <c r="E7906" s="52" t="s">
        <v>25</v>
      </c>
      <c r="F7906" s="52" t="s">
        <v>26</v>
      </c>
      <c r="G7906" s="53"/>
    </row>
    <row r="7907">
      <c r="A7907" s="49">
        <v>45104.26483385416</v>
      </c>
      <c r="B7907" s="50">
        <v>45104.3898169213</v>
      </c>
      <c r="C7907" s="51">
        <v>1.004</v>
      </c>
      <c r="D7907" s="51">
        <v>70.0</v>
      </c>
      <c r="E7907" s="52" t="s">
        <v>25</v>
      </c>
      <c r="F7907" s="52" t="s">
        <v>26</v>
      </c>
      <c r="G7907" s="53"/>
    </row>
    <row r="7908">
      <c r="A7908" s="49">
        <v>45104.2752616088</v>
      </c>
      <c r="B7908" s="50">
        <v>45104.4002380555</v>
      </c>
      <c r="C7908" s="51">
        <v>1.005</v>
      </c>
      <c r="D7908" s="51">
        <v>70.0</v>
      </c>
      <c r="E7908" s="52" t="s">
        <v>25</v>
      </c>
      <c r="F7908" s="52" t="s">
        <v>26</v>
      </c>
      <c r="G7908" s="53"/>
    </row>
    <row r="7909">
      <c r="A7909" s="49">
        <v>45104.28568939815</v>
      </c>
      <c r="B7909" s="50">
        <v>45104.4106713657</v>
      </c>
      <c r="C7909" s="51">
        <v>1.005</v>
      </c>
      <c r="D7909" s="51">
        <v>70.0</v>
      </c>
      <c r="E7909" s="52" t="s">
        <v>25</v>
      </c>
      <c r="F7909" s="52" t="s">
        <v>26</v>
      </c>
      <c r="G7909" s="53"/>
    </row>
    <row r="7910">
      <c r="A7910" s="49">
        <v>45104.2961240625</v>
      </c>
      <c r="B7910" s="50">
        <v>45104.4210914236</v>
      </c>
      <c r="C7910" s="51">
        <v>1.005</v>
      </c>
      <c r="D7910" s="51">
        <v>70.0</v>
      </c>
      <c r="E7910" s="52" t="s">
        <v>25</v>
      </c>
      <c r="F7910" s="52" t="s">
        <v>26</v>
      </c>
      <c r="G7910" s="53"/>
    </row>
    <row r="7911">
      <c r="A7911" s="49">
        <v>45104.306540185185</v>
      </c>
      <c r="B7911" s="50">
        <v>45104.4315140162</v>
      </c>
      <c r="C7911" s="51">
        <v>1.004</v>
      </c>
      <c r="D7911" s="51">
        <v>70.0</v>
      </c>
      <c r="E7911" s="52" t="s">
        <v>25</v>
      </c>
      <c r="F7911" s="52" t="s">
        <v>26</v>
      </c>
      <c r="G7911" s="53"/>
    </row>
    <row r="7912">
      <c r="A7912" s="49">
        <v>45104.31695680556</v>
      </c>
      <c r="B7912" s="50">
        <v>45104.4419345138</v>
      </c>
      <c r="C7912" s="51">
        <v>1.005</v>
      </c>
      <c r="D7912" s="51">
        <v>70.0</v>
      </c>
      <c r="E7912" s="52" t="s">
        <v>25</v>
      </c>
      <c r="F7912" s="52" t="s">
        <v>26</v>
      </c>
      <c r="G7912" s="53"/>
    </row>
    <row r="7913">
      <c r="A7913" s="49">
        <v>45104.32737540509</v>
      </c>
      <c r="B7913" s="50">
        <v>45104.4523555787</v>
      </c>
      <c r="C7913" s="51">
        <v>1.004</v>
      </c>
      <c r="D7913" s="51">
        <v>70.0</v>
      </c>
      <c r="E7913" s="52" t="s">
        <v>25</v>
      </c>
      <c r="F7913" s="52" t="s">
        <v>26</v>
      </c>
      <c r="G7913" s="53"/>
    </row>
    <row r="7914">
      <c r="A7914" s="49">
        <v>45104.337797835644</v>
      </c>
      <c r="B7914" s="50">
        <v>45104.4627753472</v>
      </c>
      <c r="C7914" s="51">
        <v>1.004</v>
      </c>
      <c r="D7914" s="51">
        <v>70.0</v>
      </c>
      <c r="E7914" s="52" t="s">
        <v>25</v>
      </c>
      <c r="F7914" s="52" t="s">
        <v>26</v>
      </c>
      <c r="G7914" s="53"/>
    </row>
    <row r="7915">
      <c r="A7915" s="49">
        <v>45104.3482216088</v>
      </c>
      <c r="B7915" s="50">
        <v>45104.4731949305</v>
      </c>
      <c r="C7915" s="51">
        <v>1.005</v>
      </c>
      <c r="D7915" s="51">
        <v>70.0</v>
      </c>
      <c r="E7915" s="52" t="s">
        <v>25</v>
      </c>
      <c r="F7915" s="52" t="s">
        <v>26</v>
      </c>
      <c r="G7915" s="53"/>
    </row>
    <row r="7916">
      <c r="A7916" s="49">
        <v>45104.35864334491</v>
      </c>
      <c r="B7916" s="50">
        <v>45104.4836164814</v>
      </c>
      <c r="C7916" s="51">
        <v>1.005</v>
      </c>
      <c r="D7916" s="51">
        <v>70.0</v>
      </c>
      <c r="E7916" s="52" t="s">
        <v>25</v>
      </c>
      <c r="F7916" s="52" t="s">
        <v>26</v>
      </c>
      <c r="G7916" s="53"/>
    </row>
    <row r="7917">
      <c r="A7917" s="49">
        <v>45104.36907179398</v>
      </c>
      <c r="B7917" s="50">
        <v>45104.4940407638</v>
      </c>
      <c r="C7917" s="51">
        <v>1.004</v>
      </c>
      <c r="D7917" s="51">
        <v>70.0</v>
      </c>
      <c r="E7917" s="52" t="s">
        <v>25</v>
      </c>
      <c r="F7917" s="52" t="s">
        <v>26</v>
      </c>
      <c r="G7917" s="53"/>
    </row>
    <row r="7918">
      <c r="A7918" s="49">
        <v>45104.37948581019</v>
      </c>
      <c r="B7918" s="50">
        <v>45104.5044608564</v>
      </c>
      <c r="C7918" s="51">
        <v>1.005</v>
      </c>
      <c r="D7918" s="51">
        <v>70.0</v>
      </c>
      <c r="E7918" s="52" t="s">
        <v>25</v>
      </c>
      <c r="F7918" s="52" t="s">
        <v>26</v>
      </c>
      <c r="G7918" s="53"/>
    </row>
    <row r="7919">
      <c r="A7919" s="49">
        <v>45104.38990693287</v>
      </c>
      <c r="B7919" s="50">
        <v>45104.5148813773</v>
      </c>
      <c r="C7919" s="51">
        <v>1.005</v>
      </c>
      <c r="D7919" s="51">
        <v>70.0</v>
      </c>
      <c r="E7919" s="52" t="s">
        <v>25</v>
      </c>
      <c r="F7919" s="52" t="s">
        <v>26</v>
      </c>
      <c r="G7919" s="53"/>
    </row>
    <row r="7920">
      <c r="A7920" s="49">
        <v>45104.40034416667</v>
      </c>
      <c r="B7920" s="50">
        <v>45104.5253135648</v>
      </c>
      <c r="C7920" s="51">
        <v>1.005</v>
      </c>
      <c r="D7920" s="51">
        <v>70.0</v>
      </c>
      <c r="E7920" s="52" t="s">
        <v>25</v>
      </c>
      <c r="F7920" s="52" t="s">
        <v>26</v>
      </c>
      <c r="G7920" s="53"/>
    </row>
    <row r="7921">
      <c r="A7921" s="49">
        <v>45104.41075957176</v>
      </c>
      <c r="B7921" s="50">
        <v>45104.5357350694</v>
      </c>
      <c r="C7921" s="51">
        <v>1.005</v>
      </c>
      <c r="D7921" s="51">
        <v>70.0</v>
      </c>
      <c r="E7921" s="52" t="s">
        <v>25</v>
      </c>
      <c r="F7921" s="52" t="s">
        <v>26</v>
      </c>
      <c r="G7921" s="53"/>
    </row>
    <row r="7922">
      <c r="A7922" s="49">
        <v>45104.42119386574</v>
      </c>
      <c r="B7922" s="50">
        <v>45104.5461682523</v>
      </c>
      <c r="C7922" s="51">
        <v>1.004</v>
      </c>
      <c r="D7922" s="51">
        <v>70.0</v>
      </c>
      <c r="E7922" s="52" t="s">
        <v>25</v>
      </c>
      <c r="F7922" s="52" t="s">
        <v>26</v>
      </c>
      <c r="G7922" s="53"/>
    </row>
    <row r="7923">
      <c r="A7923" s="49">
        <v>45104.431616539354</v>
      </c>
      <c r="B7923" s="50">
        <v>45104.5565901504</v>
      </c>
      <c r="C7923" s="51">
        <v>1.005</v>
      </c>
      <c r="D7923" s="51">
        <v>70.0</v>
      </c>
      <c r="E7923" s="52" t="s">
        <v>25</v>
      </c>
      <c r="F7923" s="52" t="s">
        <v>26</v>
      </c>
      <c r="G7923" s="53"/>
    </row>
    <row r="7924">
      <c r="A7924" s="49">
        <v>45104.44203157407</v>
      </c>
      <c r="B7924" s="50">
        <v>45104.5670115509</v>
      </c>
      <c r="C7924" s="51">
        <v>1.005</v>
      </c>
      <c r="D7924" s="51">
        <v>70.0</v>
      </c>
      <c r="E7924" s="52" t="s">
        <v>25</v>
      </c>
      <c r="F7924" s="52" t="s">
        <v>26</v>
      </c>
      <c r="G7924" s="53"/>
    </row>
    <row r="7925">
      <c r="A7925" s="49">
        <v>45104.452468993055</v>
      </c>
      <c r="B7925" s="50">
        <v>45104.5774436574</v>
      </c>
      <c r="C7925" s="51">
        <v>1.004</v>
      </c>
      <c r="D7925" s="51">
        <v>70.0</v>
      </c>
      <c r="E7925" s="52" t="s">
        <v>25</v>
      </c>
      <c r="F7925" s="52" t="s">
        <v>26</v>
      </c>
      <c r="G7925" s="53"/>
    </row>
    <row r="7926">
      <c r="A7926" s="49">
        <v>45104.462889675924</v>
      </c>
      <c r="B7926" s="50">
        <v>45104.5878665162</v>
      </c>
      <c r="C7926" s="51">
        <v>1.005</v>
      </c>
      <c r="D7926" s="51">
        <v>70.0</v>
      </c>
      <c r="E7926" s="52" t="s">
        <v>25</v>
      </c>
      <c r="F7926" s="52" t="s">
        <v>26</v>
      </c>
      <c r="G7926" s="53"/>
    </row>
    <row r="7927">
      <c r="A7927" s="49">
        <v>45104.47331056713</v>
      </c>
      <c r="B7927" s="50">
        <v>45104.5982871875</v>
      </c>
      <c r="C7927" s="51">
        <v>1.005</v>
      </c>
      <c r="D7927" s="51">
        <v>70.0</v>
      </c>
      <c r="E7927" s="52" t="s">
        <v>25</v>
      </c>
      <c r="F7927" s="52" t="s">
        <v>26</v>
      </c>
      <c r="G7927" s="53"/>
    </row>
    <row r="7928">
      <c r="A7928" s="49">
        <v>45104.48372993055</v>
      </c>
      <c r="B7928" s="50">
        <v>45104.6087076851</v>
      </c>
      <c r="C7928" s="51">
        <v>1.004</v>
      </c>
      <c r="D7928" s="51">
        <v>70.0</v>
      </c>
      <c r="E7928" s="52" t="s">
        <v>25</v>
      </c>
      <c r="F7928" s="52" t="s">
        <v>26</v>
      </c>
      <c r="G7928" s="53"/>
    </row>
    <row r="7929">
      <c r="A7929" s="49">
        <v>45104.49416313657</v>
      </c>
      <c r="B7929" s="50">
        <v>45104.6191417245</v>
      </c>
      <c r="C7929" s="51">
        <v>1.004</v>
      </c>
      <c r="D7929" s="51">
        <v>70.0</v>
      </c>
      <c r="E7929" s="52" t="s">
        <v>25</v>
      </c>
      <c r="F7929" s="52" t="s">
        <v>26</v>
      </c>
      <c r="G7929" s="53"/>
    </row>
    <row r="7930">
      <c r="A7930" s="49">
        <v>45104.50458327546</v>
      </c>
      <c r="B7930" s="50">
        <v>45104.6295625115</v>
      </c>
      <c r="C7930" s="51">
        <v>1.004</v>
      </c>
      <c r="D7930" s="51">
        <v>70.0</v>
      </c>
      <c r="E7930" s="52" t="s">
        <v>25</v>
      </c>
      <c r="F7930" s="52" t="s">
        <v>26</v>
      </c>
      <c r="G7930" s="53"/>
    </row>
    <row r="7931">
      <c r="A7931" s="49">
        <v>45104.51503850694</v>
      </c>
      <c r="B7931" s="50">
        <v>45104.6400075115</v>
      </c>
      <c r="C7931" s="51">
        <v>1.005</v>
      </c>
      <c r="D7931" s="51">
        <v>70.0</v>
      </c>
      <c r="E7931" s="52" t="s">
        <v>25</v>
      </c>
      <c r="F7931" s="52" t="s">
        <v>26</v>
      </c>
      <c r="G7931" s="53"/>
    </row>
    <row r="7932">
      <c r="A7932" s="49">
        <v>45104.525455173614</v>
      </c>
      <c r="B7932" s="50">
        <v>45104.6504291666</v>
      </c>
      <c r="C7932" s="51">
        <v>1.005</v>
      </c>
      <c r="D7932" s="51">
        <v>70.0</v>
      </c>
      <c r="E7932" s="52" t="s">
        <v>25</v>
      </c>
      <c r="F7932" s="52" t="s">
        <v>26</v>
      </c>
      <c r="G7932" s="53"/>
    </row>
    <row r="7933">
      <c r="A7933" s="49">
        <v>45104.53586974537</v>
      </c>
      <c r="B7933" s="50">
        <v>45104.6608527546</v>
      </c>
      <c r="C7933" s="51">
        <v>1.005</v>
      </c>
      <c r="D7933" s="51">
        <v>70.0</v>
      </c>
      <c r="E7933" s="52" t="s">
        <v>25</v>
      </c>
      <c r="F7933" s="52" t="s">
        <v>26</v>
      </c>
      <c r="G7933" s="53"/>
    </row>
    <row r="7934">
      <c r="A7934" s="49">
        <v>45104.546296319444</v>
      </c>
      <c r="B7934" s="50">
        <v>45104.6712750925</v>
      </c>
      <c r="C7934" s="51">
        <v>1.004</v>
      </c>
      <c r="D7934" s="51">
        <v>70.0</v>
      </c>
      <c r="E7934" s="52" t="s">
        <v>25</v>
      </c>
      <c r="F7934" s="52" t="s">
        <v>26</v>
      </c>
      <c r="G7934" s="53"/>
    </row>
    <row r="7935">
      <c r="A7935" s="49">
        <v>45104.55672450231</v>
      </c>
      <c r="B7935" s="50">
        <v>45104.6816971643</v>
      </c>
      <c r="C7935" s="51">
        <v>1.004</v>
      </c>
      <c r="D7935" s="51">
        <v>70.0</v>
      </c>
      <c r="E7935" s="52" t="s">
        <v>25</v>
      </c>
      <c r="F7935" s="52" t="s">
        <v>26</v>
      </c>
      <c r="G7935" s="53"/>
    </row>
    <row r="7936">
      <c r="A7936" s="49">
        <v>45104.567138750004</v>
      </c>
      <c r="B7936" s="50">
        <v>45104.6921162615</v>
      </c>
      <c r="C7936" s="51">
        <v>1.004</v>
      </c>
      <c r="D7936" s="51">
        <v>70.0</v>
      </c>
      <c r="E7936" s="52" t="s">
        <v>25</v>
      </c>
      <c r="F7936" s="52" t="s">
        <v>26</v>
      </c>
      <c r="G7936" s="53"/>
    </row>
    <row r="7937">
      <c r="A7937" s="49">
        <v>45104.577556018514</v>
      </c>
      <c r="B7937" s="50">
        <v>45104.70253875</v>
      </c>
      <c r="C7937" s="51">
        <v>1.004</v>
      </c>
      <c r="D7937" s="51">
        <v>70.0</v>
      </c>
      <c r="E7937" s="52" t="s">
        <v>25</v>
      </c>
      <c r="F7937" s="52" t="s">
        <v>26</v>
      </c>
      <c r="G7937" s="53"/>
    </row>
    <row r="7938">
      <c r="A7938" s="49">
        <v>45104.588000185184</v>
      </c>
      <c r="B7938" s="50">
        <v>45104.7129716088</v>
      </c>
      <c r="C7938" s="51">
        <v>1.005</v>
      </c>
      <c r="D7938" s="51">
        <v>70.0</v>
      </c>
      <c r="E7938" s="52" t="s">
        <v>25</v>
      </c>
      <c r="F7938" s="52" t="s">
        <v>26</v>
      </c>
      <c r="G7938" s="53"/>
    </row>
    <row r="7939">
      <c r="A7939" s="49">
        <v>45104.59841733796</v>
      </c>
      <c r="B7939" s="50">
        <v>45104.7233930555</v>
      </c>
      <c r="C7939" s="51">
        <v>1.004</v>
      </c>
      <c r="D7939" s="51">
        <v>70.0</v>
      </c>
      <c r="E7939" s="52" t="s">
        <v>25</v>
      </c>
      <c r="F7939" s="52" t="s">
        <v>26</v>
      </c>
      <c r="G7939" s="53"/>
    </row>
    <row r="7940">
      <c r="A7940" s="49">
        <v>45104.60883293982</v>
      </c>
      <c r="B7940" s="50">
        <v>45104.7338144907</v>
      </c>
      <c r="C7940" s="51">
        <v>1.005</v>
      </c>
      <c r="D7940" s="51">
        <v>70.0</v>
      </c>
      <c r="E7940" s="52" t="s">
        <v>25</v>
      </c>
      <c r="F7940" s="52" t="s">
        <v>26</v>
      </c>
      <c r="G7940" s="53"/>
    </row>
    <row r="7941">
      <c r="A7941" s="49">
        <v>45104.61927491898</v>
      </c>
      <c r="B7941" s="50">
        <v>45104.7442487615</v>
      </c>
      <c r="C7941" s="51">
        <v>1.004</v>
      </c>
      <c r="D7941" s="51">
        <v>70.0</v>
      </c>
      <c r="E7941" s="52" t="s">
        <v>25</v>
      </c>
      <c r="F7941" s="52" t="s">
        <v>26</v>
      </c>
      <c r="G7941" s="53"/>
    </row>
    <row r="7942">
      <c r="A7942" s="49">
        <v>45104.62968770834</v>
      </c>
      <c r="B7942" s="50">
        <v>45104.7546698958</v>
      </c>
      <c r="C7942" s="51">
        <v>1.005</v>
      </c>
      <c r="D7942" s="51">
        <v>70.0</v>
      </c>
      <c r="E7942" s="52" t="s">
        <v>25</v>
      </c>
      <c r="F7942" s="52" t="s">
        <v>26</v>
      </c>
      <c r="G7942" s="53"/>
    </row>
    <row r="7943">
      <c r="A7943" s="49">
        <v>45104.64011613426</v>
      </c>
      <c r="B7943" s="50">
        <v>45104.7650920023</v>
      </c>
      <c r="C7943" s="51">
        <v>1.005</v>
      </c>
      <c r="D7943" s="51">
        <v>70.0</v>
      </c>
      <c r="E7943" s="52" t="s">
        <v>25</v>
      </c>
      <c r="F7943" s="52" t="s">
        <v>26</v>
      </c>
      <c r="G7943" s="53"/>
    </row>
    <row r="7944">
      <c r="A7944" s="49">
        <v>45104.65052952546</v>
      </c>
      <c r="B7944" s="50">
        <v>45104.7755131944</v>
      </c>
      <c r="C7944" s="51">
        <v>1.004</v>
      </c>
      <c r="D7944" s="51">
        <v>70.0</v>
      </c>
      <c r="E7944" s="52" t="s">
        <v>25</v>
      </c>
      <c r="F7944" s="52" t="s">
        <v>26</v>
      </c>
      <c r="G7944" s="53"/>
    </row>
    <row r="7945">
      <c r="A7945" s="49">
        <v>45104.66095737269</v>
      </c>
      <c r="B7945" s="50">
        <v>45104.785933912</v>
      </c>
      <c r="C7945" s="51">
        <v>1.004</v>
      </c>
      <c r="D7945" s="51">
        <v>70.0</v>
      </c>
      <c r="E7945" s="52" t="s">
        <v>25</v>
      </c>
      <c r="F7945" s="52" t="s">
        <v>26</v>
      </c>
      <c r="G7945" s="53"/>
    </row>
    <row r="7946">
      <c r="A7946" s="49">
        <v>45104.671375659724</v>
      </c>
      <c r="B7946" s="50">
        <v>45104.7963569097</v>
      </c>
      <c r="C7946" s="51">
        <v>1.005</v>
      </c>
      <c r="D7946" s="51">
        <v>70.0</v>
      </c>
      <c r="E7946" s="52" t="s">
        <v>25</v>
      </c>
      <c r="F7946" s="52" t="s">
        <v>26</v>
      </c>
      <c r="G7946" s="53"/>
    </row>
    <row r="7947">
      <c r="A7947" s="49">
        <v>45104.68181350695</v>
      </c>
      <c r="B7947" s="50">
        <v>45104.8067891319</v>
      </c>
      <c r="C7947" s="51">
        <v>1.004</v>
      </c>
      <c r="D7947" s="51">
        <v>70.0</v>
      </c>
      <c r="E7947" s="52" t="s">
        <v>25</v>
      </c>
      <c r="F7947" s="52" t="s">
        <v>26</v>
      </c>
      <c r="G7947" s="53"/>
    </row>
    <row r="7948">
      <c r="A7948" s="49">
        <v>45104.69223252315</v>
      </c>
      <c r="B7948" s="50">
        <v>45104.8172098379</v>
      </c>
      <c r="C7948" s="51">
        <v>1.004</v>
      </c>
      <c r="D7948" s="51">
        <v>70.0</v>
      </c>
      <c r="E7948" s="52" t="s">
        <v>25</v>
      </c>
      <c r="F7948" s="52" t="s">
        <v>26</v>
      </c>
      <c r="G7948" s="53"/>
    </row>
    <row r="7949">
      <c r="A7949" s="49">
        <v>45104.70265865741</v>
      </c>
      <c r="B7949" s="50">
        <v>45104.8276418981</v>
      </c>
      <c r="C7949" s="51">
        <v>1.005</v>
      </c>
      <c r="D7949" s="51">
        <v>70.0</v>
      </c>
      <c r="E7949" s="52" t="s">
        <v>25</v>
      </c>
      <c r="F7949" s="52" t="s">
        <v>26</v>
      </c>
      <c r="G7949" s="53"/>
    </row>
    <row r="7950">
      <c r="A7950" s="49">
        <v>45104.71308952547</v>
      </c>
      <c r="B7950" s="50">
        <v>45104.8380631944</v>
      </c>
      <c r="C7950" s="51">
        <v>1.005</v>
      </c>
      <c r="D7950" s="51">
        <v>70.0</v>
      </c>
      <c r="E7950" s="52" t="s">
        <v>25</v>
      </c>
      <c r="F7950" s="52" t="s">
        <v>26</v>
      </c>
      <c r="G7950" s="53"/>
    </row>
    <row r="7951">
      <c r="A7951" s="49">
        <v>45104.72350570602</v>
      </c>
      <c r="B7951" s="50">
        <v>45104.8484866088</v>
      </c>
      <c r="C7951" s="51">
        <v>1.004</v>
      </c>
      <c r="D7951" s="51">
        <v>70.0</v>
      </c>
      <c r="E7951" s="52" t="s">
        <v>25</v>
      </c>
      <c r="F7951" s="52" t="s">
        <v>26</v>
      </c>
      <c r="G7951" s="53"/>
    </row>
    <row r="7952">
      <c r="A7952" s="49">
        <v>45104.73393480324</v>
      </c>
      <c r="B7952" s="50">
        <v>45104.8589065972</v>
      </c>
      <c r="C7952" s="51">
        <v>1.004</v>
      </c>
      <c r="D7952" s="51">
        <v>70.0</v>
      </c>
      <c r="E7952" s="52" t="s">
        <v>25</v>
      </c>
      <c r="F7952" s="52" t="s">
        <v>26</v>
      </c>
      <c r="G7952" s="53"/>
    </row>
    <row r="7953">
      <c r="A7953" s="49">
        <v>45104.74434636574</v>
      </c>
      <c r="B7953" s="50">
        <v>45104.8693273032</v>
      </c>
      <c r="C7953" s="51">
        <v>1.005</v>
      </c>
      <c r="D7953" s="51">
        <v>70.0</v>
      </c>
      <c r="E7953" s="52" t="s">
        <v>25</v>
      </c>
      <c r="F7953" s="52" t="s">
        <v>26</v>
      </c>
      <c r="G7953" s="53"/>
    </row>
    <row r="7954">
      <c r="A7954" s="49">
        <v>45104.754777152775</v>
      </c>
      <c r="B7954" s="50">
        <v>45104.8797496064</v>
      </c>
      <c r="C7954" s="51">
        <v>1.004</v>
      </c>
      <c r="D7954" s="51">
        <v>70.0</v>
      </c>
      <c r="E7954" s="52" t="s">
        <v>25</v>
      </c>
      <c r="F7954" s="52" t="s">
        <v>26</v>
      </c>
      <c r="G7954" s="53"/>
    </row>
    <row r="7955">
      <c r="A7955" s="49">
        <v>45104.76520675926</v>
      </c>
      <c r="B7955" s="50">
        <v>45104.8901828356</v>
      </c>
      <c r="C7955" s="51">
        <v>1.004</v>
      </c>
      <c r="D7955" s="51">
        <v>70.0</v>
      </c>
      <c r="E7955" s="52" t="s">
        <v>25</v>
      </c>
      <c r="F7955" s="52" t="s">
        <v>26</v>
      </c>
      <c r="G7955" s="53"/>
    </row>
    <row r="7956">
      <c r="A7956" s="49">
        <v>45104.77562835648</v>
      </c>
      <c r="B7956" s="50">
        <v>45104.9006033333</v>
      </c>
      <c r="C7956" s="51">
        <v>1.004</v>
      </c>
      <c r="D7956" s="51">
        <v>70.0</v>
      </c>
      <c r="E7956" s="52" t="s">
        <v>25</v>
      </c>
      <c r="F7956" s="52" t="s">
        <v>26</v>
      </c>
      <c r="G7956" s="53"/>
    </row>
    <row r="7957">
      <c r="A7957" s="49">
        <v>45104.78605263889</v>
      </c>
      <c r="B7957" s="50">
        <v>45104.9110253472</v>
      </c>
      <c r="C7957" s="51">
        <v>1.004</v>
      </c>
      <c r="D7957" s="51">
        <v>70.0</v>
      </c>
      <c r="E7957" s="52" t="s">
        <v>25</v>
      </c>
      <c r="F7957" s="52" t="s">
        <v>26</v>
      </c>
      <c r="G7957" s="53"/>
    </row>
    <row r="7958">
      <c r="A7958" s="49">
        <v>45104.79648094907</v>
      </c>
      <c r="B7958" s="50">
        <v>45104.9214580092</v>
      </c>
      <c r="C7958" s="51">
        <v>1.005</v>
      </c>
      <c r="D7958" s="51">
        <v>70.0</v>
      </c>
      <c r="E7958" s="52" t="s">
        <v>25</v>
      </c>
      <c r="F7958" s="52" t="s">
        <v>26</v>
      </c>
      <c r="G7958" s="53"/>
    </row>
    <row r="7959">
      <c r="A7959" s="49">
        <v>45104.80692575232</v>
      </c>
      <c r="B7959" s="50">
        <v>45104.9319030555</v>
      </c>
      <c r="C7959" s="51">
        <v>1.005</v>
      </c>
      <c r="D7959" s="51">
        <v>70.0</v>
      </c>
      <c r="E7959" s="52" t="s">
        <v>25</v>
      </c>
      <c r="F7959" s="52" t="s">
        <v>26</v>
      </c>
      <c r="G7959" s="53"/>
    </row>
    <row r="7960">
      <c r="A7960" s="49">
        <v>45104.81735856482</v>
      </c>
      <c r="B7960" s="50">
        <v>45104.9423373032</v>
      </c>
      <c r="C7960" s="51">
        <v>1.005</v>
      </c>
      <c r="D7960" s="51">
        <v>70.0</v>
      </c>
      <c r="E7960" s="52" t="s">
        <v>25</v>
      </c>
      <c r="F7960" s="52" t="s">
        <v>26</v>
      </c>
      <c r="G7960" s="53"/>
    </row>
    <row r="7961">
      <c r="A7961" s="49">
        <v>45104.82779357639</v>
      </c>
      <c r="B7961" s="50">
        <v>45104.9527701736</v>
      </c>
      <c r="C7961" s="51">
        <v>1.004</v>
      </c>
      <c r="D7961" s="51">
        <v>70.0</v>
      </c>
      <c r="E7961" s="52" t="s">
        <v>25</v>
      </c>
      <c r="F7961" s="52" t="s">
        <v>26</v>
      </c>
      <c r="G7961" s="53"/>
    </row>
    <row r="7962">
      <c r="A7962" s="49">
        <v>45104.83821769676</v>
      </c>
      <c r="B7962" s="50">
        <v>45104.96319</v>
      </c>
      <c r="C7962" s="51">
        <v>1.004</v>
      </c>
      <c r="D7962" s="51">
        <v>70.0</v>
      </c>
      <c r="E7962" s="52" t="s">
        <v>25</v>
      </c>
      <c r="F7962" s="52" t="s">
        <v>26</v>
      </c>
      <c r="G7962" s="53"/>
    </row>
    <row r="7963">
      <c r="A7963" s="49">
        <v>45104.848639178235</v>
      </c>
      <c r="B7963" s="50">
        <v>45104.9736130092</v>
      </c>
      <c r="C7963" s="51">
        <v>1.005</v>
      </c>
      <c r="D7963" s="51">
        <v>70.0</v>
      </c>
      <c r="E7963" s="52" t="s">
        <v>25</v>
      </c>
      <c r="F7963" s="52" t="s">
        <v>26</v>
      </c>
      <c r="G7963" s="53"/>
    </row>
    <row r="7964">
      <c r="A7964" s="49">
        <v>45104.85905388889</v>
      </c>
      <c r="B7964" s="50">
        <v>45104.9840338425</v>
      </c>
      <c r="C7964" s="51">
        <v>1.005</v>
      </c>
      <c r="D7964" s="51">
        <v>70.0</v>
      </c>
      <c r="E7964" s="52" t="s">
        <v>25</v>
      </c>
      <c r="F7964" s="52" t="s">
        <v>26</v>
      </c>
      <c r="G7964" s="53"/>
    </row>
    <row r="7965">
      <c r="A7965" s="49">
        <v>45104.86949186343</v>
      </c>
      <c r="B7965" s="50">
        <v>45104.9944649884</v>
      </c>
      <c r="C7965" s="51">
        <v>1.004</v>
      </c>
      <c r="D7965" s="51">
        <v>70.0</v>
      </c>
      <c r="E7965" s="52" t="s">
        <v>25</v>
      </c>
      <c r="F7965" s="52" t="s">
        <v>26</v>
      </c>
      <c r="G7965" s="53"/>
    </row>
    <row r="7966">
      <c r="A7966" s="49">
        <v>45104.8799080787</v>
      </c>
      <c r="B7966" s="50">
        <v>45105.0048859838</v>
      </c>
      <c r="C7966" s="51">
        <v>1.004</v>
      </c>
      <c r="D7966" s="51">
        <v>70.0</v>
      </c>
      <c r="E7966" s="52" t="s">
        <v>25</v>
      </c>
      <c r="F7966" s="52" t="s">
        <v>26</v>
      </c>
      <c r="G7966" s="53"/>
    </row>
    <row r="7967">
      <c r="A7967" s="49">
        <v>45104.89032931713</v>
      </c>
      <c r="B7967" s="50">
        <v>45105.0153062037</v>
      </c>
      <c r="C7967" s="51">
        <v>1.005</v>
      </c>
      <c r="D7967" s="51">
        <v>70.0</v>
      </c>
      <c r="E7967" s="52" t="s">
        <v>25</v>
      </c>
      <c r="F7967" s="52" t="s">
        <v>26</v>
      </c>
      <c r="G7967" s="53"/>
    </row>
    <row r="7968">
      <c r="A7968" s="49">
        <v>45104.90074922454</v>
      </c>
      <c r="B7968" s="50">
        <v>45105.0257260879</v>
      </c>
      <c r="C7968" s="51">
        <v>1.005</v>
      </c>
      <c r="D7968" s="51">
        <v>70.0</v>
      </c>
      <c r="E7968" s="52" t="s">
        <v>25</v>
      </c>
      <c r="F7968" s="52" t="s">
        <v>26</v>
      </c>
      <c r="G7968" s="53"/>
    </row>
    <row r="7969">
      <c r="A7969" s="49">
        <v>45104.91116873843</v>
      </c>
      <c r="B7969" s="50">
        <v>45105.0361477199</v>
      </c>
      <c r="C7969" s="51">
        <v>1.005</v>
      </c>
      <c r="D7969" s="51">
        <v>70.0</v>
      </c>
      <c r="E7969" s="52" t="s">
        <v>25</v>
      </c>
      <c r="F7969" s="52" t="s">
        <v>26</v>
      </c>
      <c r="G7969" s="53"/>
    </row>
    <row r="7970">
      <c r="A7970" s="49">
        <v>45104.92159204861</v>
      </c>
      <c r="B7970" s="50">
        <v>45105.0465702199</v>
      </c>
      <c r="C7970" s="51">
        <v>1.005</v>
      </c>
      <c r="D7970" s="51">
        <v>70.0</v>
      </c>
      <c r="E7970" s="52" t="s">
        <v>25</v>
      </c>
      <c r="F7970" s="52" t="s">
        <v>26</v>
      </c>
      <c r="G7970" s="53"/>
    </row>
    <row r="7971">
      <c r="A7971" s="49">
        <v>45104.93201655093</v>
      </c>
      <c r="B7971" s="50">
        <v>45105.0569917129</v>
      </c>
      <c r="C7971" s="51">
        <v>1.004</v>
      </c>
      <c r="D7971" s="51">
        <v>70.0</v>
      </c>
      <c r="E7971" s="52" t="s">
        <v>25</v>
      </c>
      <c r="F7971" s="52" t="s">
        <v>26</v>
      </c>
      <c r="G7971" s="53"/>
    </row>
    <row r="7972">
      <c r="A7972" s="49">
        <v>45104.942437881946</v>
      </c>
      <c r="B7972" s="50">
        <v>45105.0674122338</v>
      </c>
      <c r="C7972" s="51">
        <v>1.004</v>
      </c>
      <c r="D7972" s="51">
        <v>70.0</v>
      </c>
      <c r="E7972" s="52" t="s">
        <v>25</v>
      </c>
      <c r="F7972" s="52" t="s">
        <v>26</v>
      </c>
      <c r="G7972" s="53"/>
    </row>
    <row r="7973">
      <c r="A7973" s="49">
        <v>45104.952850393514</v>
      </c>
      <c r="B7973" s="50">
        <v>45105.0778338657</v>
      </c>
      <c r="C7973" s="51">
        <v>1.004</v>
      </c>
      <c r="D7973" s="51">
        <v>70.0</v>
      </c>
      <c r="E7973" s="52" t="s">
        <v>25</v>
      </c>
      <c r="F7973" s="52" t="s">
        <v>26</v>
      </c>
      <c r="G7973" s="53"/>
    </row>
    <row r="7974">
      <c r="A7974" s="49">
        <v>45104.96327097222</v>
      </c>
      <c r="B7974" s="50">
        <v>45105.0882547106</v>
      </c>
      <c r="C7974" s="51">
        <v>1.004</v>
      </c>
      <c r="D7974" s="51">
        <v>70.0</v>
      </c>
      <c r="E7974" s="52" t="s">
        <v>25</v>
      </c>
      <c r="F7974" s="52" t="s">
        <v>26</v>
      </c>
      <c r="G7974" s="53"/>
    </row>
    <row r="7975">
      <c r="A7975" s="49">
        <v>45104.973704421296</v>
      </c>
      <c r="B7975" s="50">
        <v>45105.098674456</v>
      </c>
      <c r="C7975" s="51">
        <v>1.004</v>
      </c>
      <c r="D7975" s="51">
        <v>70.0</v>
      </c>
      <c r="E7975" s="52" t="s">
        <v>25</v>
      </c>
      <c r="F7975" s="52" t="s">
        <v>26</v>
      </c>
      <c r="G7975" s="53"/>
    </row>
    <row r="7976">
      <c r="A7976" s="49">
        <v>45104.98412263889</v>
      </c>
      <c r="B7976" s="50">
        <v>45105.1090962615</v>
      </c>
      <c r="C7976" s="51">
        <v>1.005</v>
      </c>
      <c r="D7976" s="51">
        <v>70.0</v>
      </c>
      <c r="E7976" s="52" t="s">
        <v>25</v>
      </c>
      <c r="F7976" s="52" t="s">
        <v>26</v>
      </c>
      <c r="G7976" s="53"/>
    </row>
    <row r="7977">
      <c r="A7977" s="49">
        <v>45104.9945344213</v>
      </c>
      <c r="B7977" s="50">
        <v>45105.119518287</v>
      </c>
      <c r="C7977" s="51">
        <v>1.005</v>
      </c>
      <c r="D7977" s="51">
        <v>70.0</v>
      </c>
      <c r="E7977" s="52" t="s">
        <v>25</v>
      </c>
      <c r="F7977" s="52" t="s">
        <v>26</v>
      </c>
      <c r="G7977" s="53"/>
    </row>
    <row r="7978">
      <c r="A7978" s="49">
        <v>45105.00496657407</v>
      </c>
      <c r="B7978" s="50">
        <v>45105.1299372685</v>
      </c>
      <c r="C7978" s="51">
        <v>1.005</v>
      </c>
      <c r="D7978" s="51">
        <v>70.0</v>
      </c>
      <c r="E7978" s="52" t="s">
        <v>25</v>
      </c>
      <c r="F7978" s="52" t="s">
        <v>26</v>
      </c>
      <c r="G7978" s="53"/>
    </row>
    <row r="7979">
      <c r="A7979" s="49">
        <v>45105.015412187495</v>
      </c>
      <c r="B7979" s="50">
        <v>45105.140382037</v>
      </c>
      <c r="C7979" s="51">
        <v>1.004</v>
      </c>
      <c r="D7979" s="51">
        <v>70.0</v>
      </c>
      <c r="E7979" s="52" t="s">
        <v>25</v>
      </c>
      <c r="F7979" s="52" t="s">
        <v>26</v>
      </c>
      <c r="G7979" s="53"/>
    </row>
    <row r="7980">
      <c r="A7980" s="49">
        <v>45105.02582193287</v>
      </c>
      <c r="B7980" s="50">
        <v>45105.1508018981</v>
      </c>
      <c r="C7980" s="51">
        <v>1.004</v>
      </c>
      <c r="D7980" s="51">
        <v>70.0</v>
      </c>
      <c r="E7980" s="52" t="s">
        <v>25</v>
      </c>
      <c r="F7980" s="52" t="s">
        <v>26</v>
      </c>
      <c r="G7980" s="53"/>
    </row>
    <row r="7981">
      <c r="A7981" s="49">
        <v>45105.036241863425</v>
      </c>
      <c r="B7981" s="50">
        <v>45105.1612229166</v>
      </c>
      <c r="C7981" s="51">
        <v>1.005</v>
      </c>
      <c r="D7981" s="51">
        <v>70.0</v>
      </c>
      <c r="E7981" s="52" t="s">
        <v>25</v>
      </c>
      <c r="F7981" s="52" t="s">
        <v>26</v>
      </c>
      <c r="G7981" s="53"/>
    </row>
    <row r="7982">
      <c r="A7982" s="49">
        <v>45105.04667884259</v>
      </c>
      <c r="B7982" s="50">
        <v>45105.1716535995</v>
      </c>
      <c r="C7982" s="51">
        <v>1.004</v>
      </c>
      <c r="D7982" s="51">
        <v>70.0</v>
      </c>
      <c r="E7982" s="52" t="s">
        <v>25</v>
      </c>
      <c r="F7982" s="52" t="s">
        <v>26</v>
      </c>
      <c r="G7982" s="53"/>
    </row>
    <row r="7983">
      <c r="A7983" s="49">
        <v>45105.057106099535</v>
      </c>
      <c r="B7983" s="50">
        <v>45105.1820758912</v>
      </c>
      <c r="C7983" s="51">
        <v>1.005</v>
      </c>
      <c r="D7983" s="51">
        <v>70.0</v>
      </c>
      <c r="E7983" s="52" t="s">
        <v>25</v>
      </c>
      <c r="F7983" s="52" t="s">
        <v>26</v>
      </c>
      <c r="G7983" s="53"/>
    </row>
    <row r="7984">
      <c r="A7984" s="49">
        <v>45105.06752398148</v>
      </c>
      <c r="B7984" s="50">
        <v>45105.1924975347</v>
      </c>
      <c r="C7984" s="51">
        <v>1.004</v>
      </c>
      <c r="D7984" s="51">
        <v>70.0</v>
      </c>
      <c r="E7984" s="52" t="s">
        <v>25</v>
      </c>
      <c r="F7984" s="52" t="s">
        <v>26</v>
      </c>
      <c r="G7984" s="53"/>
    </row>
    <row r="7985">
      <c r="A7985" s="49">
        <v>45105.07794274305</v>
      </c>
      <c r="B7985" s="50">
        <v>45105.2029185879</v>
      </c>
      <c r="C7985" s="51">
        <v>1.004</v>
      </c>
      <c r="D7985" s="51">
        <v>70.0</v>
      </c>
      <c r="E7985" s="52" t="s">
        <v>25</v>
      </c>
      <c r="F7985" s="52" t="s">
        <v>26</v>
      </c>
      <c r="G7985" s="53"/>
    </row>
    <row r="7986">
      <c r="A7986" s="49">
        <v>45105.08836702546</v>
      </c>
      <c r="B7986" s="50">
        <v>45105.2133402083</v>
      </c>
      <c r="C7986" s="51">
        <v>1.004</v>
      </c>
      <c r="D7986" s="51">
        <v>70.0</v>
      </c>
      <c r="E7986" s="52" t="s">
        <v>25</v>
      </c>
      <c r="F7986" s="52" t="s">
        <v>26</v>
      </c>
      <c r="G7986" s="53"/>
    </row>
    <row r="7987">
      <c r="A7987" s="49">
        <v>45105.09878987269</v>
      </c>
      <c r="B7987" s="50">
        <v>45105.2237615393</v>
      </c>
      <c r="C7987" s="51">
        <v>1.004</v>
      </c>
      <c r="D7987" s="51">
        <v>70.0</v>
      </c>
      <c r="E7987" s="52" t="s">
        <v>25</v>
      </c>
      <c r="F7987" s="52" t="s">
        <v>26</v>
      </c>
      <c r="G7987" s="53"/>
    </row>
    <row r="7988">
      <c r="A7988" s="49">
        <v>45105.10921353009</v>
      </c>
      <c r="B7988" s="50">
        <v>45105.2341840046</v>
      </c>
      <c r="C7988" s="51">
        <v>1.005</v>
      </c>
      <c r="D7988" s="51">
        <v>70.0</v>
      </c>
      <c r="E7988" s="52" t="s">
        <v>25</v>
      </c>
      <c r="F7988" s="52" t="s">
        <v>26</v>
      </c>
      <c r="G7988" s="53"/>
    </row>
    <row r="7989">
      <c r="A7989" s="49">
        <v>45105.119632835645</v>
      </c>
      <c r="B7989" s="50">
        <v>45105.2446057175</v>
      </c>
      <c r="C7989" s="51">
        <v>1.004</v>
      </c>
      <c r="D7989" s="51">
        <v>70.0</v>
      </c>
      <c r="E7989" s="52" t="s">
        <v>25</v>
      </c>
      <c r="F7989" s="52" t="s">
        <v>26</v>
      </c>
      <c r="G7989" s="53"/>
    </row>
    <row r="7990">
      <c r="A7990" s="49">
        <v>45105.130047094906</v>
      </c>
      <c r="B7990" s="50">
        <v>45105.2550260532</v>
      </c>
      <c r="C7990" s="51">
        <v>1.005</v>
      </c>
      <c r="D7990" s="51">
        <v>70.0</v>
      </c>
      <c r="E7990" s="52" t="s">
        <v>25</v>
      </c>
      <c r="F7990" s="52" t="s">
        <v>26</v>
      </c>
      <c r="G7990" s="53"/>
    </row>
    <row r="7991">
      <c r="A7991" s="49">
        <v>45105.14048350694</v>
      </c>
      <c r="B7991" s="50">
        <v>45105.2654587384</v>
      </c>
      <c r="C7991" s="51">
        <v>1.005</v>
      </c>
      <c r="D7991" s="51">
        <v>70.0</v>
      </c>
      <c r="E7991" s="52" t="s">
        <v>25</v>
      </c>
      <c r="F7991" s="52" t="s">
        <v>26</v>
      </c>
      <c r="G7991" s="53"/>
    </row>
    <row r="7992">
      <c r="A7992" s="49">
        <v>45105.15089896991</v>
      </c>
      <c r="B7992" s="50">
        <v>45105.2758820138</v>
      </c>
      <c r="C7992" s="51">
        <v>1.004</v>
      </c>
      <c r="D7992" s="51">
        <v>70.0</v>
      </c>
      <c r="E7992" s="52" t="s">
        <v>25</v>
      </c>
      <c r="F7992" s="52" t="s">
        <v>26</v>
      </c>
      <c r="G7992" s="53"/>
    </row>
    <row r="7993">
      <c r="A7993" s="49">
        <v>45105.161351041665</v>
      </c>
      <c r="B7993" s="50">
        <v>45105.2863264699</v>
      </c>
      <c r="C7993" s="51">
        <v>1.005</v>
      </c>
      <c r="D7993" s="51">
        <v>70.0</v>
      </c>
      <c r="E7993" s="52" t="s">
        <v>25</v>
      </c>
      <c r="F7993" s="52" t="s">
        <v>26</v>
      </c>
      <c r="G7993" s="53"/>
    </row>
    <row r="7994">
      <c r="A7994" s="49">
        <v>45105.17176621528</v>
      </c>
      <c r="B7994" s="50">
        <v>45105.2967472685</v>
      </c>
      <c r="C7994" s="51">
        <v>1.004</v>
      </c>
      <c r="D7994" s="51">
        <v>70.0</v>
      </c>
      <c r="E7994" s="52" t="s">
        <v>25</v>
      </c>
      <c r="F7994" s="52" t="s">
        <v>26</v>
      </c>
      <c r="G7994" s="53"/>
    </row>
    <row r="7995">
      <c r="A7995" s="49">
        <v>45105.18221717593</v>
      </c>
      <c r="B7995" s="50">
        <v>45105.307191493</v>
      </c>
      <c r="C7995" s="51">
        <v>1.005</v>
      </c>
      <c r="D7995" s="51">
        <v>70.0</v>
      </c>
      <c r="E7995" s="52" t="s">
        <v>25</v>
      </c>
      <c r="F7995" s="52" t="s">
        <v>26</v>
      </c>
      <c r="G7995" s="53"/>
    </row>
    <row r="7996">
      <c r="A7996" s="49">
        <v>45105.19263457176</v>
      </c>
      <c r="B7996" s="50">
        <v>45105.3176145833</v>
      </c>
      <c r="C7996" s="51">
        <v>1.004</v>
      </c>
      <c r="D7996" s="51">
        <v>70.0</v>
      </c>
      <c r="E7996" s="52" t="s">
        <v>25</v>
      </c>
      <c r="F7996" s="52" t="s">
        <v>26</v>
      </c>
      <c r="G7996" s="53"/>
    </row>
    <row r="7997">
      <c r="A7997" s="49">
        <v>45105.20306452546</v>
      </c>
      <c r="B7997" s="50">
        <v>45105.3280367129</v>
      </c>
      <c r="C7997" s="51">
        <v>1.004</v>
      </c>
      <c r="D7997" s="51">
        <v>70.0</v>
      </c>
      <c r="E7997" s="52" t="s">
        <v>25</v>
      </c>
      <c r="F7997" s="52" t="s">
        <v>26</v>
      </c>
      <c r="G7997" s="53"/>
    </row>
    <row r="7998">
      <c r="A7998" s="49">
        <v>45105.21348006945</v>
      </c>
      <c r="B7998" s="50">
        <v>45105.3384589004</v>
      </c>
      <c r="C7998" s="51">
        <v>1.004</v>
      </c>
      <c r="D7998" s="51">
        <v>70.0</v>
      </c>
      <c r="E7998" s="52" t="s">
        <v>25</v>
      </c>
      <c r="F7998" s="52" t="s">
        <v>26</v>
      </c>
      <c r="G7998" s="53"/>
    </row>
    <row r="7999">
      <c r="A7999" s="49">
        <v>45105.22390753472</v>
      </c>
      <c r="B7999" s="50">
        <v>45105.3488805208</v>
      </c>
      <c r="C7999" s="51">
        <v>1.005</v>
      </c>
      <c r="D7999" s="51">
        <v>70.0</v>
      </c>
      <c r="E7999" s="52" t="s">
        <v>25</v>
      </c>
      <c r="F7999" s="52" t="s">
        <v>26</v>
      </c>
      <c r="G7999" s="53"/>
    </row>
    <row r="8000">
      <c r="A8000" s="49">
        <v>45105.234324432866</v>
      </c>
      <c r="B8000" s="50">
        <v>45105.3593010995</v>
      </c>
      <c r="C8000" s="51">
        <v>1.004</v>
      </c>
      <c r="D8000" s="51">
        <v>70.0</v>
      </c>
      <c r="E8000" s="52" t="s">
        <v>25</v>
      </c>
      <c r="F8000" s="52" t="s">
        <v>26</v>
      </c>
      <c r="G8000" s="53"/>
    </row>
    <row r="8001">
      <c r="A8001" s="49">
        <v>45105.24474908564</v>
      </c>
      <c r="B8001" s="50">
        <v>45105.3697223842</v>
      </c>
      <c r="C8001" s="51">
        <v>1.005</v>
      </c>
      <c r="D8001" s="51">
        <v>70.0</v>
      </c>
      <c r="E8001" s="52" t="s">
        <v>25</v>
      </c>
      <c r="F8001" s="52" t="s">
        <v>26</v>
      </c>
      <c r="G8001" s="53"/>
    </row>
    <row r="8002">
      <c r="A8002" s="49">
        <v>45105.25519224537</v>
      </c>
      <c r="B8002" s="50">
        <v>45105.3801673032</v>
      </c>
      <c r="C8002" s="51">
        <v>1.004</v>
      </c>
      <c r="D8002" s="51">
        <v>70.0</v>
      </c>
      <c r="E8002" s="52" t="s">
        <v>25</v>
      </c>
      <c r="F8002" s="52" t="s">
        <v>26</v>
      </c>
      <c r="G8002" s="53"/>
    </row>
    <row r="8003">
      <c r="A8003" s="49">
        <v>45105.265613553245</v>
      </c>
      <c r="B8003" s="50">
        <v>45105.390588993</v>
      </c>
      <c r="C8003" s="51">
        <v>1.004</v>
      </c>
      <c r="D8003" s="51">
        <v>70.0</v>
      </c>
      <c r="E8003" s="52" t="s">
        <v>25</v>
      </c>
      <c r="F8003" s="52" t="s">
        <v>26</v>
      </c>
      <c r="G8003" s="53"/>
    </row>
    <row r="8004">
      <c r="A8004" s="49">
        <v>45105.27603638889</v>
      </c>
      <c r="B8004" s="50">
        <v>45105.4010093865</v>
      </c>
      <c r="C8004" s="51">
        <v>1.005</v>
      </c>
      <c r="D8004" s="51">
        <v>70.0</v>
      </c>
      <c r="E8004" s="52" t="s">
        <v>25</v>
      </c>
      <c r="F8004" s="52" t="s">
        <v>26</v>
      </c>
      <c r="G8004" s="53"/>
    </row>
    <row r="8005">
      <c r="A8005" s="49">
        <v>45105.28645802083</v>
      </c>
      <c r="B8005" s="50">
        <v>45105.4114296296</v>
      </c>
      <c r="C8005" s="51">
        <v>1.004</v>
      </c>
      <c r="D8005" s="51">
        <v>70.0</v>
      </c>
      <c r="E8005" s="52" t="s">
        <v>25</v>
      </c>
      <c r="F8005" s="52" t="s">
        <v>26</v>
      </c>
      <c r="G8005" s="53"/>
    </row>
    <row r="8006">
      <c r="A8006" s="49">
        <v>45105.29687681713</v>
      </c>
      <c r="B8006" s="50">
        <v>45105.4218473032</v>
      </c>
      <c r="C8006" s="51">
        <v>1.005</v>
      </c>
      <c r="D8006" s="51">
        <v>70.0</v>
      </c>
      <c r="E8006" s="52" t="s">
        <v>25</v>
      </c>
      <c r="F8006" s="52" t="s">
        <v>26</v>
      </c>
      <c r="G8006" s="53"/>
    </row>
    <row r="8007">
      <c r="A8007" s="49">
        <v>45105.30729672454</v>
      </c>
      <c r="B8007" s="50">
        <v>45105.4322677314</v>
      </c>
      <c r="C8007" s="51">
        <v>1.005</v>
      </c>
      <c r="D8007" s="51">
        <v>70.0</v>
      </c>
      <c r="E8007" s="52" t="s">
        <v>25</v>
      </c>
      <c r="F8007" s="52" t="s">
        <v>26</v>
      </c>
      <c r="G8007" s="53"/>
    </row>
    <row r="8008">
      <c r="A8008" s="49">
        <v>45105.31771265046</v>
      </c>
      <c r="B8008" s="50">
        <v>45105.4426893981</v>
      </c>
      <c r="C8008" s="51">
        <v>1.004</v>
      </c>
      <c r="D8008" s="51">
        <v>70.0</v>
      </c>
      <c r="E8008" s="52" t="s">
        <v>25</v>
      </c>
      <c r="F8008" s="52" t="s">
        <v>26</v>
      </c>
      <c r="G8008" s="53"/>
    </row>
    <row r="8009">
      <c r="A8009" s="49">
        <v>45105.32821730324</v>
      </c>
      <c r="B8009" s="50">
        <v>45105.4531350347</v>
      </c>
      <c r="C8009" s="51">
        <v>1.004</v>
      </c>
      <c r="D8009" s="51">
        <v>70.0</v>
      </c>
      <c r="E8009" s="52" t="s">
        <v>25</v>
      </c>
      <c r="F8009" s="52" t="s">
        <v>26</v>
      </c>
      <c r="G8009" s="53"/>
    </row>
    <row r="8010">
      <c r="A8010" s="49">
        <v>45105.33859802083</v>
      </c>
      <c r="B8010" s="50">
        <v>45105.4635786458</v>
      </c>
      <c r="C8010" s="51">
        <v>1.005</v>
      </c>
      <c r="D8010" s="51">
        <v>70.0</v>
      </c>
      <c r="E8010" s="52" t="s">
        <v>25</v>
      </c>
      <c r="F8010" s="52" t="s">
        <v>26</v>
      </c>
      <c r="G8010" s="53"/>
    </row>
    <row r="8011">
      <c r="A8011" s="49">
        <v>45105.34902318287</v>
      </c>
      <c r="B8011" s="50">
        <v>45105.4739990972</v>
      </c>
      <c r="C8011" s="51">
        <v>1.004</v>
      </c>
      <c r="D8011" s="51">
        <v>70.0</v>
      </c>
      <c r="E8011" s="52" t="s">
        <v>25</v>
      </c>
      <c r="F8011" s="52" t="s">
        <v>26</v>
      </c>
      <c r="G8011" s="53"/>
    </row>
    <row r="8012">
      <c r="A8012" s="49">
        <v>45105.359439699074</v>
      </c>
      <c r="B8012" s="50">
        <v>45105.4844196759</v>
      </c>
      <c r="C8012" s="51">
        <v>1.005</v>
      </c>
      <c r="D8012" s="51">
        <v>70.0</v>
      </c>
      <c r="E8012" s="52" t="s">
        <v>25</v>
      </c>
      <c r="F8012" s="52" t="s">
        <v>26</v>
      </c>
      <c r="G8012" s="53"/>
    </row>
    <row r="8013">
      <c r="A8013" s="49">
        <v>45105.36987172454</v>
      </c>
      <c r="B8013" s="50">
        <v>45105.4948405324</v>
      </c>
      <c r="C8013" s="51">
        <v>1.004</v>
      </c>
      <c r="D8013" s="51">
        <v>70.0</v>
      </c>
      <c r="E8013" s="52" t="s">
        <v>25</v>
      </c>
      <c r="F8013" s="52" t="s">
        <v>26</v>
      </c>
      <c r="G8013" s="53"/>
    </row>
    <row r="8014">
      <c r="A8014" s="49">
        <v>45105.3802875463</v>
      </c>
      <c r="B8014" s="50">
        <v>45105.5052618171</v>
      </c>
      <c r="C8014" s="51">
        <v>1.005</v>
      </c>
      <c r="D8014" s="51">
        <v>70.0</v>
      </c>
      <c r="E8014" s="52" t="s">
        <v>25</v>
      </c>
      <c r="F8014" s="52" t="s">
        <v>26</v>
      </c>
      <c r="G8014" s="53"/>
    </row>
    <row r="8015">
      <c r="A8015" s="49">
        <v>45105.39070013889</v>
      </c>
      <c r="B8015" s="50">
        <v>45105.5156826041</v>
      </c>
      <c r="C8015" s="51">
        <v>1.004</v>
      </c>
      <c r="D8015" s="51">
        <v>70.0</v>
      </c>
      <c r="E8015" s="52" t="s">
        <v>25</v>
      </c>
      <c r="F8015" s="52" t="s">
        <v>26</v>
      </c>
      <c r="G8015" s="53"/>
    </row>
    <row r="8016">
      <c r="A8016" s="49">
        <v>45105.40115358796</v>
      </c>
      <c r="B8016" s="50">
        <v>45105.5261265509</v>
      </c>
      <c r="C8016" s="51">
        <v>1.005</v>
      </c>
      <c r="D8016" s="51">
        <v>70.0</v>
      </c>
      <c r="E8016" s="52" t="s">
        <v>25</v>
      </c>
      <c r="F8016" s="52" t="s">
        <v>26</v>
      </c>
      <c r="G8016" s="53"/>
    </row>
    <row r="8017">
      <c r="A8017" s="49">
        <v>45105.41158833333</v>
      </c>
      <c r="B8017" s="50">
        <v>45105.5365690162</v>
      </c>
      <c r="C8017" s="51">
        <v>1.004</v>
      </c>
      <c r="D8017" s="51">
        <v>70.0</v>
      </c>
      <c r="E8017" s="52" t="s">
        <v>25</v>
      </c>
      <c r="F8017" s="52" t="s">
        <v>26</v>
      </c>
      <c r="G8017" s="53"/>
    </row>
    <row r="8018">
      <c r="A8018" s="49">
        <v>45105.42201138889</v>
      </c>
      <c r="B8018" s="50">
        <v>45105.5469895254</v>
      </c>
      <c r="C8018" s="51">
        <v>1.005</v>
      </c>
      <c r="D8018" s="51">
        <v>70.0</v>
      </c>
      <c r="E8018" s="52" t="s">
        <v>25</v>
      </c>
      <c r="F8018" s="52" t="s">
        <v>26</v>
      </c>
      <c r="G8018" s="53"/>
    </row>
    <row r="8019">
      <c r="A8019" s="49">
        <v>45105.4324292824</v>
      </c>
      <c r="B8019" s="50">
        <v>45105.5574091435</v>
      </c>
      <c r="C8019" s="51">
        <v>1.005</v>
      </c>
      <c r="D8019" s="51">
        <v>70.0</v>
      </c>
      <c r="E8019" s="52" t="s">
        <v>25</v>
      </c>
      <c r="F8019" s="52" t="s">
        <v>26</v>
      </c>
      <c r="G8019" s="53"/>
    </row>
    <row r="8020">
      <c r="A8020" s="49">
        <v>45105.44285677084</v>
      </c>
      <c r="B8020" s="50">
        <v>45105.5678301851</v>
      </c>
      <c r="C8020" s="51">
        <v>1.004</v>
      </c>
      <c r="D8020" s="51">
        <v>70.0</v>
      </c>
      <c r="E8020" s="52" t="s">
        <v>25</v>
      </c>
      <c r="F8020" s="52" t="s">
        <v>26</v>
      </c>
      <c r="G8020" s="53"/>
    </row>
    <row r="8021">
      <c r="A8021" s="49">
        <v>45105.45327467592</v>
      </c>
      <c r="B8021" s="50">
        <v>45105.5782515972</v>
      </c>
      <c r="C8021" s="51">
        <v>1.004</v>
      </c>
      <c r="D8021" s="51">
        <v>70.0</v>
      </c>
      <c r="E8021" s="52" t="s">
        <v>25</v>
      </c>
      <c r="F8021" s="52" t="s">
        <v>26</v>
      </c>
      <c r="G8021" s="53"/>
    </row>
    <row r="8022">
      <c r="A8022" s="49">
        <v>45105.46369386574</v>
      </c>
      <c r="B8022" s="50">
        <v>45105.5886726736</v>
      </c>
      <c r="C8022" s="51">
        <v>1.005</v>
      </c>
      <c r="D8022" s="51">
        <v>70.0</v>
      </c>
      <c r="E8022" s="52" t="s">
        <v>25</v>
      </c>
      <c r="F8022" s="52" t="s">
        <v>26</v>
      </c>
      <c r="G8022" s="53"/>
    </row>
    <row r="8023">
      <c r="A8023" s="49">
        <v>45105.474118136575</v>
      </c>
      <c r="B8023" s="50">
        <v>45105.5990950694</v>
      </c>
      <c r="C8023" s="51">
        <v>1.004</v>
      </c>
      <c r="D8023" s="51">
        <v>70.0</v>
      </c>
      <c r="E8023" s="52" t="s">
        <v>25</v>
      </c>
      <c r="F8023" s="52" t="s">
        <v>26</v>
      </c>
      <c r="G8023" s="53"/>
    </row>
    <row r="8024">
      <c r="A8024" s="49">
        <v>45105.48454305556</v>
      </c>
      <c r="B8024" s="50">
        <v>45105.6095170833</v>
      </c>
      <c r="C8024" s="51">
        <v>1.004</v>
      </c>
      <c r="D8024" s="51">
        <v>70.0</v>
      </c>
      <c r="E8024" s="52" t="s">
        <v>25</v>
      </c>
      <c r="F8024" s="52" t="s">
        <v>26</v>
      </c>
      <c r="G8024" s="53"/>
    </row>
    <row r="8025">
      <c r="A8025" s="49">
        <v>45105.49496157408</v>
      </c>
      <c r="B8025" s="50">
        <v>45105.6199397453</v>
      </c>
      <c r="C8025" s="51">
        <v>1.005</v>
      </c>
      <c r="D8025" s="51">
        <v>70.0</v>
      </c>
      <c r="E8025" s="52" t="s">
        <v>25</v>
      </c>
      <c r="F8025" s="52" t="s">
        <v>26</v>
      </c>
      <c r="G8025" s="53"/>
    </row>
    <row r="8026">
      <c r="A8026" s="49">
        <v>45105.505392384264</v>
      </c>
      <c r="B8026" s="50">
        <v>45105.6303594907</v>
      </c>
      <c r="C8026" s="51">
        <v>1.004</v>
      </c>
      <c r="D8026" s="51">
        <v>70.0</v>
      </c>
      <c r="E8026" s="52" t="s">
        <v>25</v>
      </c>
      <c r="F8026" s="52" t="s">
        <v>26</v>
      </c>
      <c r="G8026" s="53"/>
    </row>
    <row r="8027">
      <c r="A8027" s="49">
        <v>45105.51580162037</v>
      </c>
      <c r="B8027" s="50">
        <v>45105.6407810879</v>
      </c>
      <c r="C8027" s="51">
        <v>1.005</v>
      </c>
      <c r="D8027" s="51">
        <v>70.0</v>
      </c>
      <c r="E8027" s="52" t="s">
        <v>25</v>
      </c>
      <c r="F8027" s="52" t="s">
        <v>26</v>
      </c>
      <c r="G8027" s="53"/>
    </row>
    <row r="8028">
      <c r="A8028" s="49">
        <v>45105.52622667824</v>
      </c>
      <c r="B8028" s="50">
        <v>45105.6512017476</v>
      </c>
      <c r="C8028" s="51">
        <v>1.005</v>
      </c>
      <c r="D8028" s="51">
        <v>70.0</v>
      </c>
      <c r="E8028" s="52" t="s">
        <v>25</v>
      </c>
      <c r="F8028" s="52" t="s">
        <v>26</v>
      </c>
      <c r="G8028" s="53"/>
    </row>
    <row r="8029">
      <c r="A8029" s="49">
        <v>45105.53664125</v>
      </c>
      <c r="B8029" s="50">
        <v>45105.6616224652</v>
      </c>
      <c r="C8029" s="51">
        <v>1.005</v>
      </c>
      <c r="D8029" s="51">
        <v>70.0</v>
      </c>
      <c r="E8029" s="52" t="s">
        <v>25</v>
      </c>
      <c r="F8029" s="52" t="s">
        <v>26</v>
      </c>
      <c r="G8029" s="53"/>
    </row>
    <row r="8030">
      <c r="A8030" s="49">
        <v>45105.547058888886</v>
      </c>
      <c r="B8030" s="50">
        <v>45105.6720421527</v>
      </c>
      <c r="C8030" s="51">
        <v>1.004</v>
      </c>
      <c r="D8030" s="51">
        <v>70.0</v>
      </c>
      <c r="E8030" s="52" t="s">
        <v>25</v>
      </c>
      <c r="F8030" s="52" t="s">
        <v>26</v>
      </c>
      <c r="G8030" s="53"/>
    </row>
    <row r="8031">
      <c r="A8031" s="49">
        <v>45105.55748087963</v>
      </c>
      <c r="B8031" s="50">
        <v>45105.6824634953</v>
      </c>
      <c r="C8031" s="51">
        <v>1.004</v>
      </c>
      <c r="D8031" s="51">
        <v>70.0</v>
      </c>
      <c r="E8031" s="52" t="s">
        <v>25</v>
      </c>
      <c r="F8031" s="52" t="s">
        <v>26</v>
      </c>
      <c r="G8031" s="53"/>
    </row>
    <row r="8032">
      <c r="A8032" s="49">
        <v>45105.56793532407</v>
      </c>
      <c r="B8032" s="50">
        <v>45105.6929068865</v>
      </c>
      <c r="C8032" s="51">
        <v>1.005</v>
      </c>
      <c r="D8032" s="51">
        <v>70.0</v>
      </c>
      <c r="E8032" s="52" t="s">
        <v>25</v>
      </c>
      <c r="F8032" s="52" t="s">
        <v>26</v>
      </c>
      <c r="G8032" s="53"/>
    </row>
    <row r="8033">
      <c r="A8033" s="49">
        <v>45105.578344849535</v>
      </c>
      <c r="B8033" s="50">
        <v>45105.7033269213</v>
      </c>
      <c r="C8033" s="51">
        <v>1.004</v>
      </c>
      <c r="D8033" s="51">
        <v>70.0</v>
      </c>
      <c r="E8033" s="52" t="s">
        <v>25</v>
      </c>
      <c r="F8033" s="52" t="s">
        <v>26</v>
      </c>
      <c r="G8033" s="53"/>
    </row>
    <row r="8034">
      <c r="A8034" s="49">
        <v>45105.588774675925</v>
      </c>
      <c r="B8034" s="50">
        <v>45105.7137493634</v>
      </c>
      <c r="C8034" s="51">
        <v>1.004</v>
      </c>
      <c r="D8034" s="51">
        <v>70.0</v>
      </c>
      <c r="E8034" s="52" t="s">
        <v>25</v>
      </c>
      <c r="F8034" s="52" t="s">
        <v>26</v>
      </c>
      <c r="G8034" s="53"/>
    </row>
    <row r="8035">
      <c r="A8035" s="49">
        <v>45105.59918738426</v>
      </c>
      <c r="B8035" s="50">
        <v>45105.7241710069</v>
      </c>
      <c r="C8035" s="51">
        <v>1.005</v>
      </c>
      <c r="D8035" s="51">
        <v>70.0</v>
      </c>
      <c r="E8035" s="52" t="s">
        <v>25</v>
      </c>
      <c r="F8035" s="52" t="s">
        <v>26</v>
      </c>
      <c r="G8035" s="53"/>
    </row>
    <row r="8036">
      <c r="A8036" s="49">
        <v>45105.60961983797</v>
      </c>
      <c r="B8036" s="50">
        <v>45105.7345923148</v>
      </c>
      <c r="C8036" s="51">
        <v>1.004</v>
      </c>
      <c r="D8036" s="51">
        <v>70.0</v>
      </c>
      <c r="E8036" s="52" t="s">
        <v>25</v>
      </c>
      <c r="F8036" s="52" t="s">
        <v>26</v>
      </c>
      <c r="G8036" s="53"/>
    </row>
    <row r="8037">
      <c r="A8037" s="49">
        <v>45105.62006386574</v>
      </c>
      <c r="B8037" s="50">
        <v>45105.7450366666</v>
      </c>
      <c r="C8037" s="51">
        <v>1.005</v>
      </c>
      <c r="D8037" s="51">
        <v>70.0</v>
      </c>
      <c r="E8037" s="52" t="s">
        <v>25</v>
      </c>
      <c r="F8037" s="52" t="s">
        <v>26</v>
      </c>
      <c r="G8037" s="53"/>
    </row>
    <row r="8038">
      <c r="A8038" s="49">
        <v>45105.63049940972</v>
      </c>
      <c r="B8038" s="50">
        <v>45105.7554808101</v>
      </c>
      <c r="C8038" s="51">
        <v>1.005</v>
      </c>
      <c r="D8038" s="51">
        <v>70.0</v>
      </c>
      <c r="E8038" s="52" t="s">
        <v>25</v>
      </c>
      <c r="F8038" s="52" t="s">
        <v>26</v>
      </c>
      <c r="G8038" s="53"/>
    </row>
    <row r="8039">
      <c r="A8039" s="49">
        <v>45105.6409212963</v>
      </c>
      <c r="B8039" s="50">
        <v>45105.7659021296</v>
      </c>
      <c r="C8039" s="51">
        <v>1.005</v>
      </c>
      <c r="D8039" s="51">
        <v>70.0</v>
      </c>
      <c r="E8039" s="52" t="s">
        <v>25</v>
      </c>
      <c r="F8039" s="52" t="s">
        <v>26</v>
      </c>
      <c r="G8039" s="53"/>
    </row>
    <row r="8040">
      <c r="A8040" s="49">
        <v>45105.65134866898</v>
      </c>
      <c r="B8040" s="50">
        <v>45105.7763240393</v>
      </c>
      <c r="C8040" s="51">
        <v>1.005</v>
      </c>
      <c r="D8040" s="51">
        <v>70.0</v>
      </c>
      <c r="E8040" s="52" t="s">
        <v>25</v>
      </c>
      <c r="F8040" s="52" t="s">
        <v>26</v>
      </c>
      <c r="G8040" s="53"/>
    </row>
    <row r="8041">
      <c r="A8041" s="49">
        <v>45105.661778877315</v>
      </c>
      <c r="B8041" s="50">
        <v>45105.7867574189</v>
      </c>
      <c r="C8041" s="51">
        <v>1.004</v>
      </c>
      <c r="D8041" s="51">
        <v>70.0</v>
      </c>
      <c r="E8041" s="52" t="s">
        <v>25</v>
      </c>
      <c r="F8041" s="52" t="s">
        <v>26</v>
      </c>
      <c r="G8041" s="53"/>
    </row>
    <row r="8042">
      <c r="A8042" s="49">
        <v>45105.67221159722</v>
      </c>
      <c r="B8042" s="50">
        <v>45105.7971891666</v>
      </c>
      <c r="C8042" s="51">
        <v>1.005</v>
      </c>
      <c r="D8042" s="51">
        <v>70.0</v>
      </c>
      <c r="E8042" s="52" t="s">
        <v>25</v>
      </c>
      <c r="F8042" s="52" t="s">
        <v>26</v>
      </c>
      <c r="G8042" s="53"/>
    </row>
    <row r="8043">
      <c r="A8043" s="49">
        <v>45105.682629409726</v>
      </c>
      <c r="B8043" s="50">
        <v>45105.8076116319</v>
      </c>
      <c r="C8043" s="51">
        <v>1.004</v>
      </c>
      <c r="D8043" s="51">
        <v>70.0</v>
      </c>
      <c r="E8043" s="52" t="s">
        <v>25</v>
      </c>
      <c r="F8043" s="52" t="s">
        <v>26</v>
      </c>
      <c r="G8043" s="53"/>
    </row>
    <row r="8044">
      <c r="A8044" s="49">
        <v>45105.69305043982</v>
      </c>
      <c r="B8044" s="50">
        <v>45105.8180333449</v>
      </c>
      <c r="C8044" s="51">
        <v>1.004</v>
      </c>
      <c r="D8044" s="51">
        <v>70.0</v>
      </c>
      <c r="E8044" s="52" t="s">
        <v>25</v>
      </c>
      <c r="F8044" s="52" t="s">
        <v>26</v>
      </c>
      <c r="G8044" s="53"/>
    </row>
    <row r="8045">
      <c r="A8045" s="49">
        <v>45105.70350412037</v>
      </c>
      <c r="B8045" s="50">
        <v>45105.8284784722</v>
      </c>
      <c r="C8045" s="51">
        <v>1.005</v>
      </c>
      <c r="D8045" s="51">
        <v>70.0</v>
      </c>
      <c r="E8045" s="52" t="s">
        <v>25</v>
      </c>
      <c r="F8045" s="52" t="s">
        <v>26</v>
      </c>
      <c r="G8045" s="53"/>
    </row>
    <row r="8046">
      <c r="A8046" s="49">
        <v>45105.71392127315</v>
      </c>
      <c r="B8046" s="50">
        <v>45105.8388977314</v>
      </c>
      <c r="C8046" s="51">
        <v>1.005</v>
      </c>
      <c r="D8046" s="51">
        <v>70.0</v>
      </c>
      <c r="E8046" s="52" t="s">
        <v>25</v>
      </c>
      <c r="F8046" s="52" t="s">
        <v>26</v>
      </c>
      <c r="G8046" s="53"/>
    </row>
    <row r="8047">
      <c r="A8047" s="49">
        <v>45105.72436011574</v>
      </c>
      <c r="B8047" s="50">
        <v>45105.8493311574</v>
      </c>
      <c r="C8047" s="51">
        <v>1.005</v>
      </c>
      <c r="D8047" s="51">
        <v>70.0</v>
      </c>
      <c r="E8047" s="52" t="s">
        <v>25</v>
      </c>
      <c r="F8047" s="52" t="s">
        <v>26</v>
      </c>
      <c r="G8047" s="53"/>
    </row>
    <row r="8048">
      <c r="A8048" s="49">
        <v>45105.734797604164</v>
      </c>
      <c r="B8048" s="50">
        <v>45105.8597638541</v>
      </c>
      <c r="C8048" s="51">
        <v>1.004</v>
      </c>
      <c r="D8048" s="51">
        <v>70.0</v>
      </c>
      <c r="E8048" s="52" t="s">
        <v>25</v>
      </c>
      <c r="F8048" s="52" t="s">
        <v>26</v>
      </c>
      <c r="G8048" s="53"/>
    </row>
    <row r="8049">
      <c r="A8049" s="49">
        <v>45105.74520868056</v>
      </c>
      <c r="B8049" s="50">
        <v>45105.8701847916</v>
      </c>
      <c r="C8049" s="51">
        <v>1.004</v>
      </c>
      <c r="D8049" s="51">
        <v>70.0</v>
      </c>
      <c r="E8049" s="52" t="s">
        <v>25</v>
      </c>
      <c r="F8049" s="52" t="s">
        <v>26</v>
      </c>
      <c r="G8049" s="53"/>
    </row>
    <row r="8050">
      <c r="A8050" s="49">
        <v>45105.75563114583</v>
      </c>
      <c r="B8050" s="50">
        <v>45105.8806057291</v>
      </c>
      <c r="C8050" s="51">
        <v>1.004</v>
      </c>
      <c r="D8050" s="51">
        <v>70.0</v>
      </c>
      <c r="E8050" s="52" t="s">
        <v>25</v>
      </c>
      <c r="F8050" s="52" t="s">
        <v>26</v>
      </c>
      <c r="G8050" s="53"/>
    </row>
    <row r="8051">
      <c r="A8051" s="49">
        <v>45105.766048888894</v>
      </c>
      <c r="B8051" s="50">
        <v>45105.8910278472</v>
      </c>
      <c r="C8051" s="51">
        <v>1.004</v>
      </c>
      <c r="D8051" s="51">
        <v>70.0</v>
      </c>
      <c r="E8051" s="52" t="s">
        <v>25</v>
      </c>
      <c r="F8051" s="52" t="s">
        <v>26</v>
      </c>
      <c r="G8051" s="53"/>
    </row>
    <row r="8052">
      <c r="A8052" s="49">
        <v>45105.776474479164</v>
      </c>
      <c r="B8052" s="50">
        <v>45105.9014494675</v>
      </c>
      <c r="C8052" s="51">
        <v>1.005</v>
      </c>
      <c r="D8052" s="51">
        <v>70.0</v>
      </c>
      <c r="E8052" s="52" t="s">
        <v>25</v>
      </c>
      <c r="F8052" s="52" t="s">
        <v>26</v>
      </c>
      <c r="G8052" s="53"/>
    </row>
    <row r="8053">
      <c r="A8053" s="49">
        <v>45105.7868953588</v>
      </c>
      <c r="B8053" s="50">
        <v>45105.9118693518</v>
      </c>
      <c r="C8053" s="51">
        <v>1.004</v>
      </c>
      <c r="D8053" s="51">
        <v>70.0</v>
      </c>
      <c r="E8053" s="52" t="s">
        <v>25</v>
      </c>
      <c r="F8053" s="52" t="s">
        <v>26</v>
      </c>
      <c r="G8053" s="53"/>
    </row>
    <row r="8054">
      <c r="A8054" s="49">
        <v>45105.797311365735</v>
      </c>
      <c r="B8054" s="50">
        <v>45105.9222903125</v>
      </c>
      <c r="C8054" s="51">
        <v>1.004</v>
      </c>
      <c r="D8054" s="51">
        <v>70.0</v>
      </c>
      <c r="E8054" s="52" t="s">
        <v>25</v>
      </c>
      <c r="F8054" s="52" t="s">
        <v>26</v>
      </c>
      <c r="G8054" s="53"/>
    </row>
    <row r="8055">
      <c r="A8055" s="49">
        <v>45105.80775060185</v>
      </c>
      <c r="B8055" s="50">
        <v>45105.9327230671</v>
      </c>
      <c r="C8055" s="51">
        <v>1.005</v>
      </c>
      <c r="D8055" s="51">
        <v>70.0</v>
      </c>
      <c r="E8055" s="52" t="s">
        <v>25</v>
      </c>
      <c r="F8055" s="52" t="s">
        <v>26</v>
      </c>
      <c r="G8055" s="53"/>
    </row>
    <row r="8056">
      <c r="A8056" s="49">
        <v>45105.81818416667</v>
      </c>
      <c r="B8056" s="50">
        <v>45105.9431587037</v>
      </c>
      <c r="C8056" s="51">
        <v>1.004</v>
      </c>
      <c r="D8056" s="51">
        <v>70.0</v>
      </c>
      <c r="E8056" s="52" t="s">
        <v>25</v>
      </c>
      <c r="F8056" s="52" t="s">
        <v>26</v>
      </c>
      <c r="G8056" s="53"/>
    </row>
    <row r="8057">
      <c r="A8057" s="49">
        <v>45105.828600486115</v>
      </c>
      <c r="B8057" s="50">
        <v>45105.9535792361</v>
      </c>
      <c r="C8057" s="51">
        <v>1.004</v>
      </c>
      <c r="D8057" s="51">
        <v>70.0</v>
      </c>
      <c r="E8057" s="52" t="s">
        <v>25</v>
      </c>
      <c r="F8057" s="52" t="s">
        <v>26</v>
      </c>
      <c r="G8057" s="53"/>
    </row>
    <row r="8058">
      <c r="A8058" s="49">
        <v>45105.83902716435</v>
      </c>
      <c r="B8058" s="50">
        <v>45105.963999456</v>
      </c>
      <c r="C8058" s="51">
        <v>1.004</v>
      </c>
      <c r="D8058" s="51">
        <v>70.0</v>
      </c>
      <c r="E8058" s="52" t="s">
        <v>25</v>
      </c>
      <c r="F8058" s="52" t="s">
        <v>26</v>
      </c>
      <c r="G8058" s="53"/>
    </row>
    <row r="8059">
      <c r="A8059" s="49">
        <v>45105.84944784723</v>
      </c>
      <c r="B8059" s="50">
        <v>45105.9744222685</v>
      </c>
      <c r="C8059" s="51">
        <v>1.005</v>
      </c>
      <c r="D8059" s="51">
        <v>70.0</v>
      </c>
      <c r="E8059" s="52" t="s">
        <v>25</v>
      </c>
      <c r="F8059" s="52" t="s">
        <v>26</v>
      </c>
      <c r="G8059" s="53"/>
    </row>
    <row r="8060">
      <c r="A8060" s="49">
        <v>45105.85988754629</v>
      </c>
      <c r="B8060" s="50">
        <v>45105.9848532638</v>
      </c>
      <c r="C8060" s="51">
        <v>1.004</v>
      </c>
      <c r="D8060" s="51">
        <v>70.0</v>
      </c>
      <c r="E8060" s="52" t="s">
        <v>25</v>
      </c>
      <c r="F8060" s="52" t="s">
        <v>26</v>
      </c>
      <c r="G8060" s="53"/>
    </row>
    <row r="8061">
      <c r="A8061" s="49">
        <v>45105.87029380787</v>
      </c>
      <c r="B8061" s="50">
        <v>45105.9952747106</v>
      </c>
      <c r="C8061" s="51">
        <v>1.004</v>
      </c>
      <c r="D8061" s="51">
        <v>70.0</v>
      </c>
      <c r="E8061" s="52" t="s">
        <v>25</v>
      </c>
      <c r="F8061" s="52" t="s">
        <v>26</v>
      </c>
      <c r="G8061" s="53"/>
    </row>
    <row r="8062">
      <c r="A8062" s="49">
        <v>45105.88071810185</v>
      </c>
      <c r="B8062" s="50">
        <v>45106.0056972106</v>
      </c>
      <c r="C8062" s="51">
        <v>1.005</v>
      </c>
      <c r="D8062" s="51">
        <v>70.0</v>
      </c>
      <c r="E8062" s="52" t="s">
        <v>25</v>
      </c>
      <c r="F8062" s="52" t="s">
        <v>26</v>
      </c>
      <c r="G8062" s="53"/>
    </row>
    <row r="8063">
      <c r="A8063" s="49">
        <v>45105.89114415509</v>
      </c>
      <c r="B8063" s="50">
        <v>45106.0161192013</v>
      </c>
      <c r="C8063" s="51">
        <v>1.004</v>
      </c>
      <c r="D8063" s="51">
        <v>70.0</v>
      </c>
      <c r="E8063" s="52" t="s">
        <v>25</v>
      </c>
      <c r="F8063" s="52" t="s">
        <v>26</v>
      </c>
      <c r="G8063" s="53"/>
    </row>
    <row r="8064">
      <c r="A8064" s="49">
        <v>45105.901562569445</v>
      </c>
      <c r="B8064" s="50">
        <v>45106.02653978</v>
      </c>
      <c r="C8064" s="51">
        <v>1.005</v>
      </c>
      <c r="D8064" s="51">
        <v>70.0</v>
      </c>
      <c r="E8064" s="52" t="s">
        <v>25</v>
      </c>
      <c r="F8064" s="52" t="s">
        <v>26</v>
      </c>
      <c r="G8064" s="53"/>
    </row>
    <row r="8065">
      <c r="A8065" s="49">
        <v>45105.92241049769</v>
      </c>
      <c r="B8065" s="50">
        <v>45106.0473829051</v>
      </c>
      <c r="C8065" s="51">
        <v>1.005</v>
      </c>
      <c r="D8065" s="51">
        <v>70.0</v>
      </c>
      <c r="E8065" s="52" t="s">
        <v>25</v>
      </c>
      <c r="F8065" s="52" t="s">
        <v>26</v>
      </c>
      <c r="G8065" s="53"/>
    </row>
    <row r="8066">
      <c r="A8066" s="49">
        <v>45105.9328312037</v>
      </c>
      <c r="B8066" s="50">
        <v>45106.0578046412</v>
      </c>
      <c r="C8066" s="51">
        <v>1.004</v>
      </c>
      <c r="D8066" s="51">
        <v>70.0</v>
      </c>
      <c r="E8066" s="52" t="s">
        <v>25</v>
      </c>
      <c r="F8066" s="52" t="s">
        <v>26</v>
      </c>
      <c r="G8066" s="53"/>
    </row>
    <row r="8067">
      <c r="A8067" s="49">
        <v>45105.9432549537</v>
      </c>
      <c r="B8067" s="50">
        <v>45106.0682257291</v>
      </c>
      <c r="C8067" s="51">
        <v>1.005</v>
      </c>
      <c r="D8067" s="51">
        <v>70.0</v>
      </c>
      <c r="E8067" s="52" t="s">
        <v>25</v>
      </c>
      <c r="F8067" s="52" t="s">
        <v>26</v>
      </c>
      <c r="G8067" s="53"/>
    </row>
    <row r="8068">
      <c r="A8068" s="49">
        <v>45105.95368200231</v>
      </c>
      <c r="B8068" s="50">
        <v>45106.0786587731</v>
      </c>
      <c r="C8068" s="51">
        <v>1.004</v>
      </c>
      <c r="D8068" s="51">
        <v>70.0</v>
      </c>
      <c r="E8068" s="52" t="s">
        <v>25</v>
      </c>
      <c r="F8068" s="52" t="s">
        <v>26</v>
      </c>
      <c r="G8068" s="53"/>
    </row>
    <row r="8069">
      <c r="A8069" s="49">
        <v>45105.96411302083</v>
      </c>
      <c r="B8069" s="50">
        <v>45106.089080868</v>
      </c>
      <c r="C8069" s="51">
        <v>1.005</v>
      </c>
      <c r="D8069" s="51">
        <v>70.0</v>
      </c>
      <c r="E8069" s="52" t="s">
        <v>25</v>
      </c>
      <c r="F8069" s="52" t="s">
        <v>26</v>
      </c>
      <c r="G8069" s="53"/>
    </row>
    <row r="8070">
      <c r="A8070" s="49">
        <v>45105.974528287035</v>
      </c>
      <c r="B8070" s="50">
        <v>45106.0995023263</v>
      </c>
      <c r="C8070" s="51">
        <v>1.004</v>
      </c>
      <c r="D8070" s="51">
        <v>70.0</v>
      </c>
      <c r="E8070" s="52" t="s">
        <v>25</v>
      </c>
      <c r="F8070" s="52" t="s">
        <v>26</v>
      </c>
      <c r="G8070" s="53"/>
    </row>
    <row r="8071">
      <c r="A8071" s="49">
        <v>45105.98495611111</v>
      </c>
      <c r="B8071" s="50">
        <v>45106.1099230092</v>
      </c>
      <c r="C8071" s="51">
        <v>1.004</v>
      </c>
      <c r="D8071" s="51">
        <v>70.0</v>
      </c>
      <c r="E8071" s="52" t="s">
        <v>25</v>
      </c>
      <c r="F8071" s="52" t="s">
        <v>26</v>
      </c>
      <c r="G8071" s="53"/>
    </row>
    <row r="8072">
      <c r="A8072" s="49">
        <v>45105.995380011576</v>
      </c>
      <c r="B8072" s="50">
        <v>45106.1203558912</v>
      </c>
      <c r="C8072" s="51">
        <v>1.005</v>
      </c>
      <c r="D8072" s="51">
        <v>70.0</v>
      </c>
      <c r="E8072" s="52" t="s">
        <v>25</v>
      </c>
      <c r="F8072" s="52" t="s">
        <v>26</v>
      </c>
      <c r="G8072" s="53"/>
    </row>
    <row r="8073">
      <c r="A8073" s="49">
        <v>45106.00582144676</v>
      </c>
      <c r="B8073" s="50">
        <v>45106.1307773032</v>
      </c>
      <c r="C8073" s="51">
        <v>1.004</v>
      </c>
      <c r="D8073" s="51">
        <v>70.0</v>
      </c>
      <c r="E8073" s="52" t="s">
        <v>25</v>
      </c>
      <c r="F8073" s="52" t="s">
        <v>26</v>
      </c>
      <c r="G8073" s="53"/>
    </row>
    <row r="8074">
      <c r="A8074" s="49">
        <v>45106.01625240741</v>
      </c>
      <c r="B8074" s="50">
        <v>45106.141222743</v>
      </c>
      <c r="C8074" s="51">
        <v>1.004</v>
      </c>
      <c r="D8074" s="51">
        <v>70.0</v>
      </c>
      <c r="E8074" s="52" t="s">
        <v>25</v>
      </c>
      <c r="F8074" s="52" t="s">
        <v>26</v>
      </c>
      <c r="G8074" s="53"/>
    </row>
    <row r="8075">
      <c r="A8075" s="49">
        <v>45106.02667556713</v>
      </c>
      <c r="B8075" s="50">
        <v>45106.1516447569</v>
      </c>
      <c r="C8075" s="51">
        <v>1.004</v>
      </c>
      <c r="D8075" s="51">
        <v>70.0</v>
      </c>
      <c r="E8075" s="52" t="s">
        <v>25</v>
      </c>
      <c r="F8075" s="52" t="s">
        <v>26</v>
      </c>
      <c r="G8075" s="53"/>
    </row>
    <row r="8076">
      <c r="A8076" s="49">
        <v>45106.037095162035</v>
      </c>
      <c r="B8076" s="50">
        <v>45106.16206625</v>
      </c>
      <c r="C8076" s="51">
        <v>1.004</v>
      </c>
      <c r="D8076" s="51">
        <v>70.0</v>
      </c>
      <c r="E8076" s="52" t="s">
        <v>25</v>
      </c>
      <c r="F8076" s="52" t="s">
        <v>26</v>
      </c>
      <c r="G8076" s="53"/>
    </row>
    <row r="8077">
      <c r="A8077" s="49">
        <v>45106.04753498842</v>
      </c>
      <c r="B8077" s="50">
        <v>45106.172499456</v>
      </c>
      <c r="C8077" s="51">
        <v>1.005</v>
      </c>
      <c r="D8077" s="51">
        <v>70.0</v>
      </c>
      <c r="E8077" s="52" t="s">
        <v>25</v>
      </c>
      <c r="F8077" s="52" t="s">
        <v>26</v>
      </c>
      <c r="G8077" s="53"/>
    </row>
    <row r="8078">
      <c r="A8078" s="49">
        <v>45106.05796521991</v>
      </c>
      <c r="B8078" s="50">
        <v>45106.1829343518</v>
      </c>
      <c r="C8078" s="51">
        <v>1.004</v>
      </c>
      <c r="D8078" s="51">
        <v>70.0</v>
      </c>
      <c r="E8078" s="52" t="s">
        <v>25</v>
      </c>
      <c r="F8078" s="52" t="s">
        <v>26</v>
      </c>
      <c r="G8078" s="53"/>
    </row>
    <row r="8079">
      <c r="A8079" s="49">
        <v>45106.068456064815</v>
      </c>
      <c r="B8079" s="50">
        <v>45106.1934011458</v>
      </c>
      <c r="C8079" s="51">
        <v>1.004</v>
      </c>
      <c r="D8079" s="51">
        <v>70.0</v>
      </c>
      <c r="E8079" s="52" t="s">
        <v>25</v>
      </c>
      <c r="F8079" s="52" t="s">
        <v>26</v>
      </c>
      <c r="G8079" s="53"/>
    </row>
    <row r="8080">
      <c r="A8080" s="49">
        <v>45106.07885331019</v>
      </c>
      <c r="B8080" s="50">
        <v>45106.2038242013</v>
      </c>
      <c r="C8080" s="51">
        <v>1.005</v>
      </c>
      <c r="D8080" s="51">
        <v>70.0</v>
      </c>
      <c r="E8080" s="52" t="s">
        <v>25</v>
      </c>
      <c r="F8080" s="52" t="s">
        <v>26</v>
      </c>
      <c r="G8080" s="53"/>
    </row>
    <row r="8081">
      <c r="A8081" s="49">
        <v>45106.08927719908</v>
      </c>
      <c r="B8081" s="50">
        <v>45106.2142470486</v>
      </c>
      <c r="C8081" s="51">
        <v>1.005</v>
      </c>
      <c r="D8081" s="51">
        <v>70.0</v>
      </c>
      <c r="E8081" s="52" t="s">
        <v>25</v>
      </c>
      <c r="F8081" s="52" t="s">
        <v>26</v>
      </c>
      <c r="G8081" s="53"/>
    </row>
    <row r="8082">
      <c r="A8082" s="49">
        <v>45106.099739467594</v>
      </c>
      <c r="B8082" s="50">
        <v>45106.2247143865</v>
      </c>
      <c r="C8082" s="51">
        <v>1.005</v>
      </c>
      <c r="D8082" s="51">
        <v>70.0</v>
      </c>
      <c r="E8082" s="52" t="s">
        <v>25</v>
      </c>
      <c r="F8082" s="52" t="s">
        <v>26</v>
      </c>
      <c r="G8082" s="53"/>
    </row>
    <row r="8083">
      <c r="A8083" s="49">
        <v>45106.11018821759</v>
      </c>
      <c r="B8083" s="50">
        <v>45106.2351570138</v>
      </c>
      <c r="C8083" s="51">
        <v>1.005</v>
      </c>
      <c r="D8083" s="51">
        <v>70.0</v>
      </c>
      <c r="E8083" s="52" t="s">
        <v>25</v>
      </c>
      <c r="F8083" s="52" t="s">
        <v>26</v>
      </c>
      <c r="G8083" s="53"/>
    </row>
    <row r="8084">
      <c r="A8084" s="49">
        <v>45106.12060446759</v>
      </c>
      <c r="B8084" s="50">
        <v>45106.2455780208</v>
      </c>
      <c r="C8084" s="51">
        <v>1.004</v>
      </c>
      <c r="D8084" s="51">
        <v>70.0</v>
      </c>
      <c r="E8084" s="52" t="s">
        <v>25</v>
      </c>
      <c r="F8084" s="52" t="s">
        <v>26</v>
      </c>
      <c r="G8084" s="53"/>
    </row>
    <row r="8085">
      <c r="A8085" s="49">
        <v>45106.1310234375</v>
      </c>
      <c r="B8085" s="50">
        <v>45106.2559990046</v>
      </c>
      <c r="C8085" s="51">
        <v>1.005</v>
      </c>
      <c r="D8085" s="51">
        <v>70.0</v>
      </c>
      <c r="E8085" s="52" t="s">
        <v>25</v>
      </c>
      <c r="F8085" s="52" t="s">
        <v>26</v>
      </c>
      <c r="G8085" s="53"/>
    </row>
    <row r="8086">
      <c r="A8086" s="49">
        <v>45106.141449386574</v>
      </c>
      <c r="B8086" s="50">
        <v>45106.2664208912</v>
      </c>
      <c r="C8086" s="51">
        <v>1.004</v>
      </c>
      <c r="D8086" s="51">
        <v>70.0</v>
      </c>
      <c r="E8086" s="52" t="s">
        <v>25</v>
      </c>
      <c r="F8086" s="52" t="s">
        <v>26</v>
      </c>
      <c r="G8086" s="53"/>
    </row>
    <row r="8087">
      <c r="A8087" s="49">
        <v>45106.15186644676</v>
      </c>
      <c r="B8087" s="50">
        <v>45106.2768433217</v>
      </c>
      <c r="C8087" s="51">
        <v>1.004</v>
      </c>
      <c r="D8087" s="51">
        <v>70.0</v>
      </c>
      <c r="E8087" s="52" t="s">
        <v>25</v>
      </c>
      <c r="F8087" s="52" t="s">
        <v>26</v>
      </c>
      <c r="G8087" s="53"/>
    </row>
    <row r="8088">
      <c r="A8088" s="49">
        <v>45106.16230135417</v>
      </c>
      <c r="B8088" s="50">
        <v>45106.2872756134</v>
      </c>
      <c r="C8088" s="51">
        <v>1.004</v>
      </c>
      <c r="D8088" s="51">
        <v>70.0</v>
      </c>
      <c r="E8088" s="52" t="s">
        <v>25</v>
      </c>
      <c r="F8088" s="52" t="s">
        <v>26</v>
      </c>
      <c r="G8088" s="53"/>
    </row>
    <row r="8089">
      <c r="A8089" s="49">
        <v>45106.17274193287</v>
      </c>
      <c r="B8089" s="50">
        <v>45106.297720405</v>
      </c>
      <c r="C8089" s="51">
        <v>1.004</v>
      </c>
      <c r="D8089" s="51">
        <v>70.0</v>
      </c>
      <c r="E8089" s="52" t="s">
        <v>25</v>
      </c>
      <c r="F8089" s="52" t="s">
        <v>26</v>
      </c>
      <c r="G8089" s="53"/>
    </row>
    <row r="8090">
      <c r="A8090" s="49">
        <v>45106.18317788195</v>
      </c>
      <c r="B8090" s="50">
        <v>45106.3081513657</v>
      </c>
      <c r="C8090" s="51">
        <v>1.005</v>
      </c>
      <c r="D8090" s="51">
        <v>70.0</v>
      </c>
      <c r="E8090" s="52" t="s">
        <v>25</v>
      </c>
      <c r="F8090" s="52" t="s">
        <v>26</v>
      </c>
      <c r="G8090" s="53"/>
    </row>
    <row r="8091">
      <c r="A8091" s="49">
        <v>45106.19360138889</v>
      </c>
      <c r="B8091" s="50">
        <v>45106.3185729051</v>
      </c>
      <c r="C8091" s="51">
        <v>1.004</v>
      </c>
      <c r="D8091" s="51">
        <v>70.0</v>
      </c>
      <c r="E8091" s="52" t="s">
        <v>25</v>
      </c>
      <c r="F8091" s="52" t="s">
        <v>26</v>
      </c>
      <c r="G8091" s="53"/>
    </row>
    <row r="8092">
      <c r="A8092" s="49">
        <v>45106.204024861116</v>
      </c>
      <c r="B8092" s="50">
        <v>45106.3289951388</v>
      </c>
      <c r="C8092" s="51">
        <v>1.005</v>
      </c>
      <c r="D8092" s="51">
        <v>70.0</v>
      </c>
      <c r="E8092" s="52" t="s">
        <v>25</v>
      </c>
      <c r="F8092" s="52" t="s">
        <v>26</v>
      </c>
      <c r="G8092" s="53"/>
    </row>
    <row r="8093">
      <c r="A8093" s="49">
        <v>45106.21443800926</v>
      </c>
      <c r="B8093" s="50">
        <v>45106.3394165856</v>
      </c>
      <c r="C8093" s="51">
        <v>1.004</v>
      </c>
      <c r="D8093" s="51">
        <v>70.0</v>
      </c>
      <c r="E8093" s="52" t="s">
        <v>25</v>
      </c>
      <c r="F8093" s="52" t="s">
        <v>26</v>
      </c>
      <c r="G8093" s="53"/>
    </row>
    <row r="8094">
      <c r="A8094" s="49">
        <v>45106.23528079861</v>
      </c>
      <c r="B8094" s="50">
        <v>45106.3602577083</v>
      </c>
      <c r="C8094" s="51">
        <v>1.005</v>
      </c>
      <c r="D8094" s="51">
        <v>70.0</v>
      </c>
      <c r="E8094" s="52" t="s">
        <v>25</v>
      </c>
      <c r="F8094" s="52" t="s">
        <v>26</v>
      </c>
      <c r="G8094" s="53"/>
    </row>
    <row r="8095">
      <c r="A8095" s="49">
        <v>45106.245705520836</v>
      </c>
      <c r="B8095" s="50">
        <v>45106.3706781713</v>
      </c>
      <c r="C8095" s="51">
        <v>1.005</v>
      </c>
      <c r="D8095" s="51">
        <v>70.0</v>
      </c>
      <c r="E8095" s="52" t="s">
        <v>25</v>
      </c>
      <c r="F8095" s="52" t="s">
        <v>26</v>
      </c>
      <c r="G8095" s="53"/>
    </row>
    <row r="8096">
      <c r="A8096" s="49">
        <v>45106.25612835649</v>
      </c>
      <c r="B8096" s="50">
        <v>45106.3810979166</v>
      </c>
      <c r="C8096" s="51">
        <v>1.004</v>
      </c>
      <c r="D8096" s="51">
        <v>70.0</v>
      </c>
      <c r="E8096" s="52" t="s">
        <v>25</v>
      </c>
      <c r="F8096" s="52" t="s">
        <v>26</v>
      </c>
      <c r="G8096" s="53"/>
    </row>
    <row r="8097">
      <c r="A8097" s="49">
        <v>45106.26654165509</v>
      </c>
      <c r="B8097" s="50">
        <v>45106.3915178703</v>
      </c>
      <c r="C8097" s="51">
        <v>1.004</v>
      </c>
      <c r="D8097" s="51">
        <v>70.0</v>
      </c>
      <c r="E8097" s="52" t="s">
        <v>25</v>
      </c>
      <c r="F8097" s="52" t="s">
        <v>26</v>
      </c>
      <c r="G8097" s="53"/>
    </row>
    <row r="8098">
      <c r="A8098" s="49">
        <v>45106.27704173611</v>
      </c>
      <c r="B8098" s="50">
        <v>45106.4019423379</v>
      </c>
      <c r="C8098" s="51">
        <v>1.005</v>
      </c>
      <c r="D8098" s="51">
        <v>70.0</v>
      </c>
      <c r="E8098" s="52" t="s">
        <v>25</v>
      </c>
      <c r="F8098" s="52" t="s">
        <v>26</v>
      </c>
      <c r="G8098" s="53"/>
    </row>
    <row r="8099">
      <c r="A8099" s="49">
        <v>45106.28739527777</v>
      </c>
      <c r="B8099" s="50">
        <v>45106.412364155</v>
      </c>
      <c r="C8099" s="51">
        <v>1.004</v>
      </c>
      <c r="D8099" s="51">
        <v>70.0</v>
      </c>
      <c r="E8099" s="52" t="s">
        <v>25</v>
      </c>
      <c r="F8099" s="52" t="s">
        <v>26</v>
      </c>
      <c r="G8099" s="53"/>
    </row>
    <row r="8100">
      <c r="A8100" s="49">
        <v>45106.297824594905</v>
      </c>
      <c r="B8100" s="50">
        <v>45106.4227983449</v>
      </c>
      <c r="C8100" s="51">
        <v>1.004</v>
      </c>
      <c r="D8100" s="51">
        <v>70.0</v>
      </c>
      <c r="E8100" s="52" t="s">
        <v>25</v>
      </c>
      <c r="F8100" s="52" t="s">
        <v>26</v>
      </c>
      <c r="G8100" s="53"/>
    </row>
    <row r="8101">
      <c r="A8101" s="49">
        <v>45106.30824453704</v>
      </c>
      <c r="B8101" s="50">
        <v>45106.4332190509</v>
      </c>
      <c r="C8101" s="51">
        <v>1.005</v>
      </c>
      <c r="D8101" s="51">
        <v>70.0</v>
      </c>
      <c r="E8101" s="52" t="s">
        <v>25</v>
      </c>
      <c r="F8101" s="52" t="s">
        <v>26</v>
      </c>
      <c r="G8101" s="53"/>
    </row>
    <row r="8102">
      <c r="A8102" s="49">
        <v>45106.318695775466</v>
      </c>
      <c r="B8102" s="50">
        <v>45106.4436635879</v>
      </c>
      <c r="C8102" s="51">
        <v>1.004</v>
      </c>
      <c r="D8102" s="51">
        <v>70.0</v>
      </c>
      <c r="E8102" s="52" t="s">
        <v>25</v>
      </c>
      <c r="F8102" s="52" t="s">
        <v>26</v>
      </c>
      <c r="G8102" s="53"/>
    </row>
    <row r="8103">
      <c r="A8103" s="49">
        <v>45106.33953892361</v>
      </c>
      <c r="B8103" s="50">
        <v>45106.4645089467</v>
      </c>
      <c r="C8103" s="51">
        <v>1.004</v>
      </c>
      <c r="D8103" s="51">
        <v>70.0</v>
      </c>
      <c r="E8103" s="52" t="s">
        <v>25</v>
      </c>
      <c r="F8103" s="52" t="s">
        <v>26</v>
      </c>
      <c r="G8103" s="53"/>
    </row>
    <row r="8104">
      <c r="A8104" s="49">
        <v>45106.34995438658</v>
      </c>
      <c r="B8104" s="50">
        <v>45106.4749299652</v>
      </c>
      <c r="C8104" s="51">
        <v>1.005</v>
      </c>
      <c r="D8104" s="51">
        <v>70.0</v>
      </c>
      <c r="E8104" s="52" t="s">
        <v>25</v>
      </c>
      <c r="F8104" s="52" t="s">
        <v>26</v>
      </c>
      <c r="G8104" s="53"/>
    </row>
    <row r="8105">
      <c r="A8105" s="49">
        <v>45106.3603728125</v>
      </c>
      <c r="B8105" s="50">
        <v>45106.4853510416</v>
      </c>
      <c r="C8105" s="51">
        <v>1.004</v>
      </c>
      <c r="D8105" s="51">
        <v>70.0</v>
      </c>
      <c r="E8105" s="52" t="s">
        <v>25</v>
      </c>
      <c r="F8105" s="52" t="s">
        <v>26</v>
      </c>
      <c r="G8105" s="53"/>
    </row>
    <row r="8106">
      <c r="A8106" s="49">
        <v>45106.37080826389</v>
      </c>
      <c r="B8106" s="50">
        <v>45106.4957846875</v>
      </c>
      <c r="C8106" s="51">
        <v>1.004</v>
      </c>
      <c r="D8106" s="51">
        <v>70.0</v>
      </c>
      <c r="E8106" s="52" t="s">
        <v>25</v>
      </c>
      <c r="F8106" s="52" t="s">
        <v>26</v>
      </c>
      <c r="G8106" s="53"/>
    </row>
    <row r="8107">
      <c r="A8107" s="49">
        <v>45106.38123496527</v>
      </c>
      <c r="B8107" s="50">
        <v>45106.5062057407</v>
      </c>
      <c r="C8107" s="51">
        <v>1.004</v>
      </c>
      <c r="D8107" s="51">
        <v>70.0</v>
      </c>
      <c r="E8107" s="52" t="s">
        <v>25</v>
      </c>
      <c r="F8107" s="52" t="s">
        <v>26</v>
      </c>
      <c r="G8107" s="53"/>
    </row>
    <row r="8108">
      <c r="A8108" s="49">
        <v>45106.39166957176</v>
      </c>
      <c r="B8108" s="50">
        <v>45106.5166386226</v>
      </c>
      <c r="C8108" s="51">
        <v>1.004</v>
      </c>
      <c r="D8108" s="51">
        <v>70.0</v>
      </c>
      <c r="E8108" s="52" t="s">
        <v>25</v>
      </c>
      <c r="F8108" s="52" t="s">
        <v>26</v>
      </c>
      <c r="G8108" s="53"/>
    </row>
    <row r="8109">
      <c r="A8109" s="49">
        <v>45106.40208306713</v>
      </c>
      <c r="B8109" s="50">
        <v>45106.527059618</v>
      </c>
      <c r="C8109" s="51">
        <v>1.004</v>
      </c>
      <c r="D8109" s="51">
        <v>70.0</v>
      </c>
      <c r="E8109" s="52" t="s">
        <v>25</v>
      </c>
      <c r="F8109" s="52" t="s">
        <v>26</v>
      </c>
      <c r="G8109" s="53"/>
    </row>
    <row r="8110">
      <c r="A8110" s="49">
        <v>45106.41250950232</v>
      </c>
      <c r="B8110" s="50">
        <v>45106.5374810879</v>
      </c>
      <c r="C8110" s="51">
        <v>1.004</v>
      </c>
      <c r="D8110" s="51">
        <v>70.0</v>
      </c>
      <c r="E8110" s="52" t="s">
        <v>25</v>
      </c>
      <c r="F8110" s="52" t="s">
        <v>26</v>
      </c>
      <c r="G8110" s="53"/>
    </row>
    <row r="8111">
      <c r="A8111" s="49">
        <v>45106.42295927083</v>
      </c>
      <c r="B8111" s="50">
        <v>45106.5479265046</v>
      </c>
      <c r="C8111" s="51">
        <v>1.004</v>
      </c>
      <c r="D8111" s="51">
        <v>70.0</v>
      </c>
      <c r="E8111" s="52" t="s">
        <v>25</v>
      </c>
      <c r="F8111" s="52" t="s">
        <v>26</v>
      </c>
      <c r="G8111" s="53"/>
    </row>
    <row r="8112">
      <c r="A8112" s="49">
        <v>45106.433372175925</v>
      </c>
      <c r="B8112" s="50">
        <v>45106.5583474652</v>
      </c>
      <c r="C8112" s="51">
        <v>1.005</v>
      </c>
      <c r="D8112" s="51">
        <v>70.0</v>
      </c>
      <c r="E8112" s="52" t="s">
        <v>25</v>
      </c>
      <c r="F8112" s="52" t="s">
        <v>26</v>
      </c>
      <c r="G8112" s="53"/>
    </row>
    <row r="8113">
      <c r="A8113" s="49">
        <v>45106.44379599537</v>
      </c>
      <c r="B8113" s="50">
        <v>45106.5687704051</v>
      </c>
      <c r="C8113" s="51">
        <v>1.005</v>
      </c>
      <c r="D8113" s="51">
        <v>70.0</v>
      </c>
      <c r="E8113" s="52" t="s">
        <v>25</v>
      </c>
      <c r="F8113" s="52" t="s">
        <v>26</v>
      </c>
      <c r="G8113" s="53"/>
    </row>
    <row r="8114">
      <c r="A8114" s="49">
        <v>45106.45422314815</v>
      </c>
      <c r="B8114" s="50">
        <v>45106.5791919791</v>
      </c>
      <c r="C8114" s="51">
        <v>1.004</v>
      </c>
      <c r="D8114" s="51">
        <v>70.0</v>
      </c>
      <c r="E8114" s="52" t="s">
        <v>25</v>
      </c>
      <c r="F8114" s="52" t="s">
        <v>26</v>
      </c>
      <c r="G8114" s="53"/>
    </row>
    <row r="8115">
      <c r="A8115" s="49">
        <v>45106.46464721065</v>
      </c>
      <c r="B8115" s="50">
        <v>45106.5896123726</v>
      </c>
      <c r="C8115" s="51">
        <v>1.004</v>
      </c>
      <c r="D8115" s="51">
        <v>70.0</v>
      </c>
      <c r="E8115" s="52" t="s">
        <v>25</v>
      </c>
      <c r="F8115" s="52" t="s">
        <v>26</v>
      </c>
      <c r="G8115" s="53"/>
    </row>
    <row r="8116">
      <c r="A8116" s="49">
        <v>45106.47506550926</v>
      </c>
      <c r="B8116" s="50">
        <v>45106.6000338888</v>
      </c>
      <c r="C8116" s="51">
        <v>1.004</v>
      </c>
      <c r="D8116" s="51">
        <v>70.0</v>
      </c>
      <c r="E8116" s="52" t="s">
        <v>25</v>
      </c>
      <c r="F8116" s="52" t="s">
        <v>26</v>
      </c>
      <c r="G8116" s="53"/>
    </row>
    <row r="8117">
      <c r="A8117" s="49">
        <v>45106.48550831019</v>
      </c>
      <c r="B8117" s="50">
        <v>45106.6104795601</v>
      </c>
      <c r="C8117" s="51">
        <v>1.004</v>
      </c>
      <c r="D8117" s="51">
        <v>70.0</v>
      </c>
      <c r="E8117" s="52" t="s">
        <v>25</v>
      </c>
      <c r="F8117" s="52" t="s">
        <v>26</v>
      </c>
      <c r="G8117" s="53"/>
    </row>
    <row r="8118">
      <c r="A8118" s="49">
        <v>45106.49594945602</v>
      </c>
      <c r="B8118" s="50">
        <v>45106.6209256828</v>
      </c>
      <c r="C8118" s="51">
        <v>1.005</v>
      </c>
      <c r="D8118" s="51">
        <v>70.0</v>
      </c>
      <c r="E8118" s="52" t="s">
        <v>25</v>
      </c>
      <c r="F8118" s="52" t="s">
        <v>26</v>
      </c>
      <c r="G8118" s="53"/>
    </row>
    <row r="8119">
      <c r="A8119" s="49">
        <v>45106.50637836805</v>
      </c>
      <c r="B8119" s="50">
        <v>45106.6313456365</v>
      </c>
      <c r="C8119" s="51">
        <v>1.004</v>
      </c>
      <c r="D8119" s="51">
        <v>70.0</v>
      </c>
      <c r="E8119" s="52" t="s">
        <v>25</v>
      </c>
      <c r="F8119" s="52" t="s">
        <v>26</v>
      </c>
      <c r="G8119" s="53"/>
    </row>
    <row r="8120">
      <c r="A8120" s="49">
        <v>45106.51679630787</v>
      </c>
      <c r="B8120" s="50">
        <v>45106.6417669328</v>
      </c>
      <c r="C8120" s="51">
        <v>1.005</v>
      </c>
      <c r="D8120" s="51">
        <v>70.0</v>
      </c>
      <c r="E8120" s="52" t="s">
        <v>25</v>
      </c>
      <c r="F8120" s="52" t="s">
        <v>26</v>
      </c>
      <c r="G8120" s="53"/>
    </row>
    <row r="8121">
      <c r="A8121" s="49">
        <v>45106.5272342824</v>
      </c>
      <c r="B8121" s="50">
        <v>45106.6521896643</v>
      </c>
      <c r="C8121" s="51">
        <v>1.004</v>
      </c>
      <c r="D8121" s="51">
        <v>70.0</v>
      </c>
      <c r="E8121" s="52" t="s">
        <v>25</v>
      </c>
      <c r="F8121" s="52" t="s">
        <v>26</v>
      </c>
      <c r="G8121" s="53"/>
    </row>
    <row r="8122">
      <c r="A8122" s="49">
        <v>45106.53763230324</v>
      </c>
      <c r="B8122" s="50">
        <v>45106.6626111574</v>
      </c>
      <c r="C8122" s="51">
        <v>1.004</v>
      </c>
      <c r="D8122" s="51">
        <v>70.0</v>
      </c>
      <c r="E8122" s="52" t="s">
        <v>25</v>
      </c>
      <c r="F8122" s="52" t="s">
        <v>26</v>
      </c>
      <c r="G8122" s="53"/>
    </row>
    <row r="8123">
      <c r="A8123" s="49">
        <v>45106.54806104167</v>
      </c>
      <c r="B8123" s="50">
        <v>45106.673032581</v>
      </c>
      <c r="C8123" s="51">
        <v>1.004</v>
      </c>
      <c r="D8123" s="51">
        <v>70.0</v>
      </c>
      <c r="E8123" s="52" t="s">
        <v>25</v>
      </c>
      <c r="F8123" s="52" t="s">
        <v>26</v>
      </c>
      <c r="G8123" s="53"/>
    </row>
    <row r="8124">
      <c r="A8124" s="49">
        <v>45106.5584859838</v>
      </c>
      <c r="B8124" s="50">
        <v>45106.6834528009</v>
      </c>
      <c r="C8124" s="51">
        <v>1.004</v>
      </c>
      <c r="D8124" s="51">
        <v>70.0</v>
      </c>
      <c r="E8124" s="52" t="s">
        <v>25</v>
      </c>
      <c r="F8124" s="52" t="s">
        <v>26</v>
      </c>
      <c r="G8124" s="53"/>
    </row>
    <row r="8125">
      <c r="A8125" s="49">
        <v>45106.56890479167</v>
      </c>
      <c r="B8125" s="50">
        <v>45106.6938752546</v>
      </c>
      <c r="C8125" s="51">
        <v>1.004</v>
      </c>
      <c r="D8125" s="51">
        <v>70.0</v>
      </c>
      <c r="E8125" s="52" t="s">
        <v>25</v>
      </c>
      <c r="F8125" s="52" t="s">
        <v>26</v>
      </c>
      <c r="G8125" s="53"/>
    </row>
    <row r="8126">
      <c r="A8126" s="49">
        <v>45106.57932783564</v>
      </c>
      <c r="B8126" s="50">
        <v>45106.7042969675</v>
      </c>
      <c r="C8126" s="51">
        <v>1.004</v>
      </c>
      <c r="D8126" s="51">
        <v>70.0</v>
      </c>
      <c r="E8126" s="52" t="s">
        <v>25</v>
      </c>
      <c r="F8126" s="52" t="s">
        <v>26</v>
      </c>
      <c r="G8126" s="53"/>
    </row>
    <row r="8127">
      <c r="A8127" s="49">
        <v>45106.58974420139</v>
      </c>
      <c r="B8127" s="50">
        <v>45106.714720081</v>
      </c>
      <c r="C8127" s="51">
        <v>1.004</v>
      </c>
      <c r="D8127" s="51">
        <v>70.0</v>
      </c>
      <c r="E8127" s="52" t="s">
        <v>25</v>
      </c>
      <c r="F8127" s="52" t="s">
        <v>26</v>
      </c>
      <c r="G8127" s="53"/>
    </row>
    <row r="8128">
      <c r="A8128" s="49">
        <v>45106.60017240741</v>
      </c>
      <c r="B8128" s="50">
        <v>45106.7251415046</v>
      </c>
      <c r="C8128" s="51">
        <v>1.004</v>
      </c>
      <c r="D8128" s="51">
        <v>70.0</v>
      </c>
      <c r="E8128" s="52" t="s">
        <v>25</v>
      </c>
      <c r="F8128" s="52" t="s">
        <v>26</v>
      </c>
      <c r="G8128" s="53"/>
    </row>
    <row r="8129">
      <c r="A8129" s="49">
        <v>45106.610589247684</v>
      </c>
      <c r="B8129" s="50">
        <v>45106.7355625463</v>
      </c>
      <c r="C8129" s="51">
        <v>1.004</v>
      </c>
      <c r="D8129" s="51">
        <v>70.0</v>
      </c>
      <c r="E8129" s="52" t="s">
        <v>25</v>
      </c>
      <c r="F8129" s="52" t="s">
        <v>26</v>
      </c>
      <c r="G8129" s="53"/>
    </row>
    <row r="8130">
      <c r="A8130" s="49">
        <v>45106.62101282408</v>
      </c>
      <c r="B8130" s="50">
        <v>45106.7459851736</v>
      </c>
      <c r="C8130" s="51">
        <v>1.004</v>
      </c>
      <c r="D8130" s="51">
        <v>70.0</v>
      </c>
      <c r="E8130" s="52" t="s">
        <v>25</v>
      </c>
      <c r="F8130" s="52" t="s">
        <v>26</v>
      </c>
      <c r="G8130" s="53"/>
    </row>
    <row r="8131">
      <c r="A8131" s="49">
        <v>45106.63142795139</v>
      </c>
      <c r="B8131" s="50">
        <v>45106.7564069444</v>
      </c>
      <c r="C8131" s="51">
        <v>1.004</v>
      </c>
      <c r="D8131" s="51">
        <v>70.0</v>
      </c>
      <c r="E8131" s="52" t="s">
        <v>25</v>
      </c>
      <c r="F8131" s="52" t="s">
        <v>26</v>
      </c>
      <c r="G8131" s="53"/>
    </row>
    <row r="8132">
      <c r="A8132" s="49">
        <v>45106.64185704861</v>
      </c>
      <c r="B8132" s="50">
        <v>45106.7668271412</v>
      </c>
      <c r="C8132" s="51">
        <v>1.004</v>
      </c>
      <c r="D8132" s="51">
        <v>70.0</v>
      </c>
      <c r="E8132" s="52" t="s">
        <v>25</v>
      </c>
      <c r="F8132" s="52" t="s">
        <v>26</v>
      </c>
      <c r="G8132" s="53"/>
    </row>
    <row r="8133">
      <c r="A8133" s="49">
        <v>45106.65227796296</v>
      </c>
      <c r="B8133" s="50">
        <v>45106.7772467361</v>
      </c>
      <c r="C8133" s="51">
        <v>1.004</v>
      </c>
      <c r="D8133" s="51">
        <v>70.0</v>
      </c>
      <c r="E8133" s="52" t="s">
        <v>25</v>
      </c>
      <c r="F8133" s="52" t="s">
        <v>26</v>
      </c>
      <c r="G8133" s="53"/>
    </row>
    <row r="8134">
      <c r="A8134" s="49">
        <v>45106.66268767361</v>
      </c>
      <c r="B8134" s="50">
        <v>45106.7876676736</v>
      </c>
      <c r="C8134" s="51">
        <v>1.004</v>
      </c>
      <c r="D8134" s="51">
        <v>70.0</v>
      </c>
      <c r="E8134" s="52" t="s">
        <v>25</v>
      </c>
      <c r="F8134" s="52" t="s">
        <v>26</v>
      </c>
      <c r="G8134" s="53"/>
    </row>
    <row r="8135">
      <c r="A8135" s="49">
        <v>45106.67311271991</v>
      </c>
      <c r="B8135" s="50">
        <v>45106.7980882407</v>
      </c>
      <c r="C8135" s="51">
        <v>1.004</v>
      </c>
      <c r="D8135" s="51">
        <v>70.0</v>
      </c>
      <c r="E8135" s="52" t="s">
        <v>25</v>
      </c>
      <c r="F8135" s="52" t="s">
        <v>26</v>
      </c>
      <c r="G8135" s="53"/>
    </row>
    <row r="8136">
      <c r="A8136" s="49">
        <v>45106.68352980324</v>
      </c>
      <c r="B8136" s="50">
        <v>45106.8085083564</v>
      </c>
      <c r="C8136" s="51">
        <v>1.004</v>
      </c>
      <c r="D8136" s="51">
        <v>70.0</v>
      </c>
      <c r="E8136" s="52" t="s">
        <v>25</v>
      </c>
      <c r="F8136" s="52" t="s">
        <v>26</v>
      </c>
      <c r="G8136" s="53"/>
    </row>
    <row r="8137">
      <c r="A8137" s="49">
        <v>45106.69396653935</v>
      </c>
      <c r="B8137" s="50">
        <v>45106.8189293865</v>
      </c>
      <c r="C8137" s="51">
        <v>1.004</v>
      </c>
      <c r="D8137" s="51">
        <v>70.0</v>
      </c>
      <c r="E8137" s="52" t="s">
        <v>25</v>
      </c>
      <c r="F8137" s="52" t="s">
        <v>26</v>
      </c>
      <c r="G8137" s="53"/>
    </row>
    <row r="8138">
      <c r="A8138" s="49">
        <v>45106.70437818287</v>
      </c>
      <c r="B8138" s="50">
        <v>45106.8293511111</v>
      </c>
      <c r="C8138" s="51">
        <v>1.004</v>
      </c>
      <c r="D8138" s="51">
        <v>70.0</v>
      </c>
      <c r="E8138" s="52" t="s">
        <v>25</v>
      </c>
      <c r="F8138" s="52" t="s">
        <v>26</v>
      </c>
      <c r="G8138" s="53"/>
    </row>
    <row r="8139">
      <c r="A8139" s="49">
        <v>45106.714813900464</v>
      </c>
      <c r="B8139" s="50">
        <v>45106.8397853009</v>
      </c>
      <c r="C8139" s="51">
        <v>1.005</v>
      </c>
      <c r="D8139" s="51">
        <v>70.0</v>
      </c>
      <c r="E8139" s="52" t="s">
        <v>25</v>
      </c>
      <c r="F8139" s="52" t="s">
        <v>26</v>
      </c>
      <c r="G8139" s="53"/>
    </row>
    <row r="8140">
      <c r="A8140" s="49">
        <v>45106.725249375</v>
      </c>
      <c r="B8140" s="50">
        <v>45106.8502190162</v>
      </c>
      <c r="C8140" s="51">
        <v>1.004</v>
      </c>
      <c r="D8140" s="51">
        <v>70.0</v>
      </c>
      <c r="E8140" s="52" t="s">
        <v>25</v>
      </c>
      <c r="F8140" s="52" t="s">
        <v>26</v>
      </c>
      <c r="G8140" s="53"/>
    </row>
    <row r="8141">
      <c r="A8141" s="49">
        <v>45106.73567475694</v>
      </c>
      <c r="B8141" s="50">
        <v>45106.8606512037</v>
      </c>
      <c r="C8141" s="51">
        <v>1.004</v>
      </c>
      <c r="D8141" s="51">
        <v>70.0</v>
      </c>
      <c r="E8141" s="52" t="s">
        <v>25</v>
      </c>
      <c r="F8141" s="52" t="s">
        <v>26</v>
      </c>
      <c r="G8141" s="53"/>
    </row>
    <row r="8142">
      <c r="A8142" s="49">
        <v>45106.74609793982</v>
      </c>
      <c r="B8142" s="50">
        <v>45106.8710727777</v>
      </c>
      <c r="C8142" s="51">
        <v>1.004</v>
      </c>
      <c r="D8142" s="51">
        <v>70.0</v>
      </c>
      <c r="E8142" s="52" t="s">
        <v>25</v>
      </c>
      <c r="F8142" s="52" t="s">
        <v>26</v>
      </c>
      <c r="G8142" s="53"/>
    </row>
    <row r="8143">
      <c r="A8143" s="49">
        <v>45106.75653435185</v>
      </c>
      <c r="B8143" s="50">
        <v>45106.881505706</v>
      </c>
      <c r="C8143" s="51">
        <v>1.005</v>
      </c>
      <c r="D8143" s="51">
        <v>70.0</v>
      </c>
      <c r="E8143" s="52" t="s">
        <v>25</v>
      </c>
      <c r="F8143" s="52" t="s">
        <v>26</v>
      </c>
      <c r="G8143" s="53"/>
    </row>
    <row r="8144">
      <c r="A8144" s="49">
        <v>45106.766955162035</v>
      </c>
      <c r="B8144" s="50">
        <v>45106.891927199</v>
      </c>
      <c r="C8144" s="51">
        <v>1.004</v>
      </c>
      <c r="D8144" s="51">
        <v>70.0</v>
      </c>
      <c r="E8144" s="52" t="s">
        <v>25</v>
      </c>
      <c r="F8144" s="52" t="s">
        <v>26</v>
      </c>
      <c r="G8144" s="53"/>
    </row>
    <row r="8145">
      <c r="A8145" s="49">
        <v>45106.77737625</v>
      </c>
      <c r="B8145" s="50">
        <v>45106.9023478703</v>
      </c>
      <c r="C8145" s="51">
        <v>1.005</v>
      </c>
      <c r="D8145" s="51">
        <v>70.0</v>
      </c>
      <c r="E8145" s="52" t="s">
        <v>25</v>
      </c>
      <c r="F8145" s="52" t="s">
        <v>26</v>
      </c>
      <c r="G8145" s="53"/>
    </row>
    <row r="8146">
      <c r="A8146" s="49">
        <v>45106.787795752316</v>
      </c>
      <c r="B8146" s="50">
        <v>45106.9127692361</v>
      </c>
      <c r="C8146" s="51">
        <v>1.004</v>
      </c>
      <c r="D8146" s="51">
        <v>70.0</v>
      </c>
      <c r="E8146" s="52" t="s">
        <v>25</v>
      </c>
      <c r="F8146" s="52" t="s">
        <v>26</v>
      </c>
      <c r="G8146" s="53"/>
    </row>
    <row r="8147">
      <c r="A8147" s="49">
        <v>45106.79820773148</v>
      </c>
      <c r="B8147" s="50">
        <v>45106.923189618</v>
      </c>
      <c r="C8147" s="51">
        <v>1.004</v>
      </c>
      <c r="D8147" s="51">
        <v>70.0</v>
      </c>
      <c r="E8147" s="52" t="s">
        <v>25</v>
      </c>
      <c r="F8147" s="52" t="s">
        <v>26</v>
      </c>
      <c r="G8147" s="53"/>
    </row>
    <row r="8148">
      <c r="A8148" s="49">
        <v>45106.80863130787</v>
      </c>
      <c r="B8148" s="50">
        <v>45106.9336105324</v>
      </c>
      <c r="C8148" s="51">
        <v>1.004</v>
      </c>
      <c r="D8148" s="51">
        <v>70.0</v>
      </c>
      <c r="E8148" s="52" t="s">
        <v>25</v>
      </c>
      <c r="F8148" s="52" t="s">
        <v>26</v>
      </c>
      <c r="G8148" s="53"/>
    </row>
    <row r="8149">
      <c r="A8149" s="49">
        <v>45106.819063055555</v>
      </c>
      <c r="B8149" s="50">
        <v>45106.9440318171</v>
      </c>
      <c r="C8149" s="51">
        <v>1.005</v>
      </c>
      <c r="D8149" s="51">
        <v>70.0</v>
      </c>
      <c r="E8149" s="52" t="s">
        <v>25</v>
      </c>
      <c r="F8149" s="52" t="s">
        <v>26</v>
      </c>
      <c r="G8149" s="53"/>
    </row>
    <row r="8150">
      <c r="A8150" s="49">
        <v>45106.82946936342</v>
      </c>
      <c r="B8150" s="50">
        <v>45106.9544515277</v>
      </c>
      <c r="C8150" s="51">
        <v>1.004</v>
      </c>
      <c r="D8150" s="51">
        <v>70.0</v>
      </c>
      <c r="E8150" s="52" t="s">
        <v>25</v>
      </c>
      <c r="F8150" s="52" t="s">
        <v>26</v>
      </c>
      <c r="G8150" s="53"/>
    </row>
    <row r="8151">
      <c r="A8151" s="49">
        <v>45106.83989059028</v>
      </c>
      <c r="B8151" s="50">
        <v>45106.9648729861</v>
      </c>
      <c r="C8151" s="51">
        <v>1.005</v>
      </c>
      <c r="D8151" s="51">
        <v>70.0</v>
      </c>
      <c r="E8151" s="52" t="s">
        <v>25</v>
      </c>
      <c r="F8151" s="52" t="s">
        <v>26</v>
      </c>
      <c r="G8151" s="53"/>
    </row>
    <row r="8152">
      <c r="A8152" s="49">
        <v>45106.85031146991</v>
      </c>
      <c r="B8152" s="50">
        <v>45106.9752947685</v>
      </c>
      <c r="C8152" s="51">
        <v>1.004</v>
      </c>
      <c r="D8152" s="51">
        <v>70.0</v>
      </c>
      <c r="E8152" s="52" t="s">
        <v>25</v>
      </c>
      <c r="F8152" s="52" t="s">
        <v>26</v>
      </c>
      <c r="G8152" s="53"/>
    </row>
    <row r="8153">
      <c r="A8153" s="49">
        <v>45106.86073008102</v>
      </c>
      <c r="B8153" s="50">
        <v>45106.9857151967</v>
      </c>
      <c r="C8153" s="51">
        <v>1.005</v>
      </c>
      <c r="D8153" s="51">
        <v>70.0</v>
      </c>
      <c r="E8153" s="52" t="s">
        <v>25</v>
      </c>
      <c r="F8153" s="52" t="s">
        <v>26</v>
      </c>
      <c r="G8153" s="53"/>
    </row>
    <row r="8154">
      <c r="A8154" s="49">
        <v>45106.871165543984</v>
      </c>
      <c r="B8154" s="50">
        <v>45106.9961482523</v>
      </c>
      <c r="C8154" s="51">
        <v>1.005</v>
      </c>
      <c r="D8154" s="51">
        <v>70.0</v>
      </c>
      <c r="E8154" s="52" t="s">
        <v>25</v>
      </c>
      <c r="F8154" s="52" t="s">
        <v>26</v>
      </c>
      <c r="G8154" s="53"/>
    </row>
    <row r="8155">
      <c r="A8155" s="49">
        <v>45106.881600162036</v>
      </c>
      <c r="B8155" s="50">
        <v>45107.006579537</v>
      </c>
      <c r="C8155" s="51">
        <v>1.004</v>
      </c>
      <c r="D8155" s="51">
        <v>70.0</v>
      </c>
      <c r="E8155" s="52" t="s">
        <v>25</v>
      </c>
      <c r="F8155" s="52" t="s">
        <v>26</v>
      </c>
      <c r="G8155" s="53"/>
    </row>
    <row r="8156">
      <c r="A8156" s="49">
        <v>45106.892040810184</v>
      </c>
      <c r="B8156" s="50">
        <v>45107.017012037</v>
      </c>
      <c r="C8156" s="51">
        <v>1.004</v>
      </c>
      <c r="D8156" s="51">
        <v>70.0</v>
      </c>
      <c r="E8156" s="52" t="s">
        <v>25</v>
      </c>
      <c r="F8156" s="52" t="s">
        <v>26</v>
      </c>
      <c r="G8156" s="53"/>
    </row>
    <row r="8157">
      <c r="A8157" s="49">
        <v>45106.90245581018</v>
      </c>
      <c r="B8157" s="50">
        <v>45107.027432581</v>
      </c>
      <c r="C8157" s="51">
        <v>1.004</v>
      </c>
      <c r="D8157" s="51">
        <v>70.0</v>
      </c>
      <c r="E8157" s="52" t="s">
        <v>25</v>
      </c>
      <c r="F8157" s="52" t="s">
        <v>26</v>
      </c>
      <c r="G8157" s="53"/>
    </row>
    <row r="8158">
      <c r="A8158" s="49">
        <v>45106.91288570601</v>
      </c>
      <c r="B8158" s="50">
        <v>45107.037865324</v>
      </c>
      <c r="C8158" s="51">
        <v>1.004</v>
      </c>
      <c r="D8158" s="51">
        <v>70.0</v>
      </c>
      <c r="E8158" s="52" t="s">
        <v>25</v>
      </c>
      <c r="F8158" s="52" t="s">
        <v>26</v>
      </c>
      <c r="G8158" s="53"/>
    </row>
    <row r="8159">
      <c r="A8159" s="49">
        <v>45106.92331244213</v>
      </c>
      <c r="B8159" s="50">
        <v>45107.0482870486</v>
      </c>
      <c r="C8159" s="51">
        <v>1.005</v>
      </c>
      <c r="D8159" s="51">
        <v>70.0</v>
      </c>
      <c r="E8159" s="52" t="s">
        <v>25</v>
      </c>
      <c r="F8159" s="52" t="s">
        <v>26</v>
      </c>
      <c r="G8159" s="53"/>
    </row>
    <row r="8160">
      <c r="A8160" s="49">
        <v>45106.93374233796</v>
      </c>
      <c r="B8160" s="50">
        <v>45107.0587198611</v>
      </c>
      <c r="C8160" s="51">
        <v>1.004</v>
      </c>
      <c r="D8160" s="51">
        <v>70.0</v>
      </c>
      <c r="E8160" s="52" t="s">
        <v>25</v>
      </c>
      <c r="F8160" s="52" t="s">
        <v>26</v>
      </c>
      <c r="G8160" s="53"/>
    </row>
    <row r="8161">
      <c r="A8161" s="49">
        <v>45106.94416265046</v>
      </c>
      <c r="B8161" s="50">
        <v>45107.0691420833</v>
      </c>
      <c r="C8161" s="51">
        <v>1.004</v>
      </c>
      <c r="D8161" s="51">
        <v>70.0</v>
      </c>
      <c r="E8161" s="52" t="s">
        <v>25</v>
      </c>
      <c r="F8161" s="52" t="s">
        <v>26</v>
      </c>
      <c r="G8161" s="53"/>
    </row>
    <row r="8162">
      <c r="A8162" s="49">
        <v>45106.95459790509</v>
      </c>
      <c r="B8162" s="50">
        <v>45107.0795740393</v>
      </c>
      <c r="C8162" s="51">
        <v>1.004</v>
      </c>
      <c r="D8162" s="51">
        <v>70.0</v>
      </c>
      <c r="E8162" s="52" t="s">
        <v>25</v>
      </c>
      <c r="F8162" s="52" t="s">
        <v>26</v>
      </c>
      <c r="G8162" s="53"/>
    </row>
    <row r="8163">
      <c r="A8163" s="49">
        <v>45106.96501701389</v>
      </c>
      <c r="B8163" s="50">
        <v>45107.0899942245</v>
      </c>
      <c r="C8163" s="51">
        <v>1.004</v>
      </c>
      <c r="D8163" s="51">
        <v>70.0</v>
      </c>
      <c r="E8163" s="52" t="s">
        <v>25</v>
      </c>
      <c r="F8163" s="52" t="s">
        <v>26</v>
      </c>
      <c r="G8163" s="53"/>
    </row>
    <row r="8164">
      <c r="A8164" s="49">
        <v>45106.97543438658</v>
      </c>
      <c r="B8164" s="50">
        <v>45107.1004142361</v>
      </c>
      <c r="C8164" s="51">
        <v>1.004</v>
      </c>
      <c r="D8164" s="51">
        <v>70.0</v>
      </c>
      <c r="E8164" s="52" t="s">
        <v>25</v>
      </c>
      <c r="F8164" s="52" t="s">
        <v>26</v>
      </c>
      <c r="G8164" s="53"/>
    </row>
    <row r="8165">
      <c r="A8165" s="49">
        <v>45106.98585217593</v>
      </c>
      <c r="B8165" s="50">
        <v>45107.1108356365</v>
      </c>
      <c r="C8165" s="51">
        <v>1.005</v>
      </c>
      <c r="D8165" s="51">
        <v>70.0</v>
      </c>
      <c r="E8165" s="52" t="s">
        <v>25</v>
      </c>
      <c r="F8165" s="52" t="s">
        <v>26</v>
      </c>
      <c r="G8165" s="53"/>
    </row>
    <row r="8166">
      <c r="A8166" s="49">
        <v>45106.99629793981</v>
      </c>
      <c r="B8166" s="50">
        <v>45107.1212691551</v>
      </c>
      <c r="C8166" s="51">
        <v>1.004</v>
      </c>
      <c r="D8166" s="51">
        <v>70.0</v>
      </c>
      <c r="E8166" s="52" t="s">
        <v>25</v>
      </c>
      <c r="F8166" s="52" t="s">
        <v>26</v>
      </c>
      <c r="G8166" s="53"/>
    </row>
    <row r="8167">
      <c r="A8167" s="49">
        <v>45107.006728252316</v>
      </c>
      <c r="B8167" s="50">
        <v>45107.1317018634</v>
      </c>
      <c r="C8167" s="51">
        <v>1.004</v>
      </c>
      <c r="D8167" s="51">
        <v>70.0</v>
      </c>
      <c r="E8167" s="52" t="s">
        <v>25</v>
      </c>
      <c r="F8167" s="52" t="s">
        <v>26</v>
      </c>
      <c r="G8167" s="53"/>
    </row>
    <row r="8168">
      <c r="A8168" s="49">
        <v>45107.01715223379</v>
      </c>
      <c r="B8168" s="50">
        <v>45107.1421241782</v>
      </c>
      <c r="C8168" s="51">
        <v>1.004</v>
      </c>
      <c r="D8168" s="51">
        <v>70.0</v>
      </c>
      <c r="E8168" s="52" t="s">
        <v>25</v>
      </c>
      <c r="F8168" s="52" t="s">
        <v>26</v>
      </c>
      <c r="G8168" s="53"/>
    </row>
    <row r="8169">
      <c r="A8169" s="49">
        <v>45107.02757666667</v>
      </c>
      <c r="B8169" s="50">
        <v>45107.1525454398</v>
      </c>
      <c r="C8169" s="51">
        <v>1.004</v>
      </c>
      <c r="D8169" s="51">
        <v>70.0</v>
      </c>
      <c r="E8169" s="52" t="s">
        <v>25</v>
      </c>
      <c r="F8169" s="52" t="s">
        <v>26</v>
      </c>
      <c r="G8169" s="53"/>
    </row>
    <row r="8170">
      <c r="A8170" s="49">
        <v>45107.03798995371</v>
      </c>
      <c r="B8170" s="50">
        <v>45107.1629643171</v>
      </c>
      <c r="C8170" s="51">
        <v>1.004</v>
      </c>
      <c r="D8170" s="51">
        <v>70.0</v>
      </c>
      <c r="E8170" s="52" t="s">
        <v>25</v>
      </c>
      <c r="F8170" s="52" t="s">
        <v>26</v>
      </c>
      <c r="G8170" s="53"/>
    </row>
    <row r="8171">
      <c r="A8171" s="49">
        <v>45107.04841341435</v>
      </c>
      <c r="B8171" s="50">
        <v>45107.1733886574</v>
      </c>
      <c r="C8171" s="51">
        <v>1.004</v>
      </c>
      <c r="D8171" s="51">
        <v>70.0</v>
      </c>
      <c r="E8171" s="52" t="s">
        <v>25</v>
      </c>
      <c r="F8171" s="52" t="s">
        <v>26</v>
      </c>
      <c r="G8171" s="53"/>
    </row>
    <row r="8172">
      <c r="A8172" s="49">
        <v>45107.058838171295</v>
      </c>
      <c r="B8172" s="50">
        <v>45107.1838087963</v>
      </c>
      <c r="C8172" s="51">
        <v>1.004</v>
      </c>
      <c r="D8172" s="51">
        <v>70.0</v>
      </c>
      <c r="E8172" s="52" t="s">
        <v>25</v>
      </c>
      <c r="F8172" s="52" t="s">
        <v>26</v>
      </c>
      <c r="G8172" s="53"/>
    </row>
    <row r="8173">
      <c r="A8173" s="49">
        <v>45107.06925572916</v>
      </c>
      <c r="B8173" s="50">
        <v>45107.1942285532</v>
      </c>
      <c r="C8173" s="51">
        <v>1.004</v>
      </c>
      <c r="D8173" s="51">
        <v>70.0</v>
      </c>
      <c r="E8173" s="52" t="s">
        <v>25</v>
      </c>
      <c r="F8173" s="52" t="s">
        <v>26</v>
      </c>
      <c r="G8173" s="53"/>
    </row>
    <row r="8174">
      <c r="A8174" s="49">
        <v>45107.07967313657</v>
      </c>
      <c r="B8174" s="50">
        <v>45107.2046498495</v>
      </c>
      <c r="C8174" s="51">
        <v>1.005</v>
      </c>
      <c r="D8174" s="51">
        <v>70.0</v>
      </c>
      <c r="E8174" s="52" t="s">
        <v>25</v>
      </c>
      <c r="F8174" s="52" t="s">
        <v>26</v>
      </c>
      <c r="G8174" s="53"/>
    </row>
    <row r="8175">
      <c r="A8175" s="49">
        <v>45107.09011127315</v>
      </c>
      <c r="B8175" s="50">
        <v>45107.2150846064</v>
      </c>
      <c r="C8175" s="51">
        <v>1.004</v>
      </c>
      <c r="D8175" s="51">
        <v>70.0</v>
      </c>
      <c r="E8175" s="52" t="s">
        <v>25</v>
      </c>
      <c r="F8175" s="52" t="s">
        <v>26</v>
      </c>
      <c r="G8175" s="53"/>
    </row>
    <row r="8176">
      <c r="A8176" s="49">
        <v>45107.10053461806</v>
      </c>
      <c r="B8176" s="50">
        <v>45107.2255037152</v>
      </c>
      <c r="C8176" s="51">
        <v>1.004</v>
      </c>
      <c r="D8176" s="51">
        <v>70.0</v>
      </c>
      <c r="E8176" s="52" t="s">
        <v>25</v>
      </c>
      <c r="F8176" s="52" t="s">
        <v>26</v>
      </c>
      <c r="G8176" s="53"/>
    </row>
    <row r="8177">
      <c r="A8177" s="49">
        <v>45107.11095164352</v>
      </c>
      <c r="B8177" s="50">
        <v>45107.2359234722</v>
      </c>
      <c r="C8177" s="51">
        <v>1.004</v>
      </c>
      <c r="D8177" s="51">
        <v>70.0</v>
      </c>
      <c r="E8177" s="52" t="s">
        <v>25</v>
      </c>
      <c r="F8177" s="52" t="s">
        <v>26</v>
      </c>
      <c r="G8177" s="53"/>
    </row>
    <row r="8178">
      <c r="A8178" s="49">
        <v>45107.121371608795</v>
      </c>
      <c r="B8178" s="50">
        <v>45107.2463575347</v>
      </c>
      <c r="C8178" s="51">
        <v>1.004</v>
      </c>
      <c r="D8178" s="51">
        <v>70.0</v>
      </c>
      <c r="E8178" s="52" t="s">
        <v>25</v>
      </c>
      <c r="F8178" s="52" t="s">
        <v>26</v>
      </c>
      <c r="G8178" s="53"/>
    </row>
    <row r="8179">
      <c r="A8179" s="49">
        <v>45107.131803958335</v>
      </c>
      <c r="B8179" s="50">
        <v>45107.2567779629</v>
      </c>
      <c r="C8179" s="51">
        <v>1.004</v>
      </c>
      <c r="D8179" s="51">
        <v>70.0</v>
      </c>
      <c r="E8179" s="52" t="s">
        <v>25</v>
      </c>
      <c r="F8179" s="52" t="s">
        <v>26</v>
      </c>
      <c r="G8179" s="53"/>
    </row>
    <row r="8180">
      <c r="A8180" s="49">
        <v>45107.14224244213</v>
      </c>
      <c r="B8180" s="50">
        <v>45107.2672220949</v>
      </c>
      <c r="C8180" s="51">
        <v>1.004</v>
      </c>
      <c r="D8180" s="51">
        <v>70.0</v>
      </c>
      <c r="E8180" s="52" t="s">
        <v>25</v>
      </c>
      <c r="F8180" s="52" t="s">
        <v>26</v>
      </c>
      <c r="G8180" s="53"/>
    </row>
    <row r="8181">
      <c r="A8181" s="49">
        <v>45107.15268380787</v>
      </c>
      <c r="B8181" s="50">
        <v>45107.2776551736</v>
      </c>
      <c r="C8181" s="51">
        <v>1.004</v>
      </c>
      <c r="D8181" s="51">
        <v>70.0</v>
      </c>
      <c r="E8181" s="52" t="s">
        <v>25</v>
      </c>
      <c r="F8181" s="52" t="s">
        <v>26</v>
      </c>
      <c r="G8181" s="53"/>
    </row>
    <row r="8182">
      <c r="A8182" s="49">
        <v>45107.16311126157</v>
      </c>
      <c r="B8182" s="50">
        <v>45107.2880886458</v>
      </c>
      <c r="C8182" s="51">
        <v>1.004</v>
      </c>
      <c r="D8182" s="51">
        <v>70.0</v>
      </c>
      <c r="E8182" s="52" t="s">
        <v>25</v>
      </c>
      <c r="F8182" s="52" t="s">
        <v>26</v>
      </c>
      <c r="G8182" s="53"/>
    </row>
    <row r="8183">
      <c r="A8183" s="49">
        <v>45107.1735389699</v>
      </c>
      <c r="B8183" s="50">
        <v>45107.2985094791</v>
      </c>
      <c r="C8183" s="51">
        <v>1.004</v>
      </c>
      <c r="D8183" s="51">
        <v>70.0</v>
      </c>
      <c r="E8183" s="52" t="s">
        <v>25</v>
      </c>
      <c r="F8183" s="52" t="s">
        <v>26</v>
      </c>
      <c r="G8183" s="53"/>
    </row>
    <row r="8184">
      <c r="A8184" s="49">
        <v>45107.18396574074</v>
      </c>
      <c r="B8184" s="50">
        <v>45107.3089419213</v>
      </c>
      <c r="C8184" s="51">
        <v>1.004</v>
      </c>
      <c r="D8184" s="51">
        <v>70.0</v>
      </c>
      <c r="E8184" s="52" t="s">
        <v>25</v>
      </c>
      <c r="F8184" s="52" t="s">
        <v>26</v>
      </c>
      <c r="G8184" s="53"/>
    </row>
    <row r="8185">
      <c r="A8185" s="49">
        <v>45107.19439123843</v>
      </c>
      <c r="B8185" s="50">
        <v>45107.3193637963</v>
      </c>
      <c r="C8185" s="51">
        <v>1.005</v>
      </c>
      <c r="D8185" s="51">
        <v>70.0</v>
      </c>
      <c r="E8185" s="52" t="s">
        <v>25</v>
      </c>
      <c r="F8185" s="52" t="s">
        <v>26</v>
      </c>
      <c r="G8185" s="53"/>
    </row>
    <row r="8186">
      <c r="A8186" s="49">
        <v>45107.20482835648</v>
      </c>
      <c r="B8186" s="50">
        <v>45107.3298096412</v>
      </c>
      <c r="C8186" s="51">
        <v>1.004</v>
      </c>
      <c r="D8186" s="51">
        <v>70.0</v>
      </c>
      <c r="E8186" s="52" t="s">
        <v>25</v>
      </c>
      <c r="F8186" s="52" t="s">
        <v>26</v>
      </c>
      <c r="G8186" s="53"/>
    </row>
    <row r="8187">
      <c r="A8187" s="49">
        <v>45107.215257407406</v>
      </c>
      <c r="B8187" s="50">
        <v>45107.3402315856</v>
      </c>
      <c r="C8187" s="51">
        <v>1.004</v>
      </c>
      <c r="D8187" s="51">
        <v>70.0</v>
      </c>
      <c r="E8187" s="52" t="s">
        <v>25</v>
      </c>
      <c r="F8187" s="52" t="s">
        <v>26</v>
      </c>
      <c r="G8187" s="53"/>
    </row>
    <row r="8188">
      <c r="A8188" s="49">
        <v>45107.22567560185</v>
      </c>
      <c r="B8188" s="50">
        <v>45107.350651412</v>
      </c>
      <c r="C8188" s="51">
        <v>1.004</v>
      </c>
      <c r="D8188" s="51">
        <v>70.0</v>
      </c>
      <c r="E8188" s="52" t="s">
        <v>25</v>
      </c>
      <c r="F8188" s="52" t="s">
        <v>26</v>
      </c>
      <c r="G8188" s="53"/>
    </row>
    <row r="8189">
      <c r="A8189" s="49">
        <v>45107.23609524306</v>
      </c>
      <c r="B8189" s="50">
        <v>45107.3610739583</v>
      </c>
      <c r="C8189" s="51">
        <v>1.004</v>
      </c>
      <c r="D8189" s="51">
        <v>70.0</v>
      </c>
      <c r="E8189" s="52" t="s">
        <v>25</v>
      </c>
      <c r="F8189" s="52" t="s">
        <v>26</v>
      </c>
      <c r="G8189" s="53"/>
    </row>
    <row r="8190">
      <c r="A8190" s="49">
        <v>45107.24651399306</v>
      </c>
      <c r="B8190" s="50">
        <v>45107.3714946527</v>
      </c>
      <c r="C8190" s="51">
        <v>1.004</v>
      </c>
      <c r="D8190" s="51">
        <v>70.0</v>
      </c>
      <c r="E8190" s="52" t="s">
        <v>25</v>
      </c>
      <c r="F8190" s="52" t="s">
        <v>26</v>
      </c>
      <c r="G8190" s="53"/>
    </row>
    <row r="8191">
      <c r="A8191" s="49">
        <v>45107.256934467594</v>
      </c>
      <c r="B8191" s="50">
        <v>45107.3819157523</v>
      </c>
      <c r="C8191" s="51">
        <v>1.004</v>
      </c>
      <c r="D8191" s="51">
        <v>70.0</v>
      </c>
      <c r="E8191" s="52" t="s">
        <v>25</v>
      </c>
      <c r="F8191" s="52" t="s">
        <v>26</v>
      </c>
      <c r="G8191" s="53"/>
    </row>
    <row r="8192">
      <c r="A8192" s="49">
        <v>45107.26735938658</v>
      </c>
      <c r="B8192" s="50">
        <v>45107.3923359027</v>
      </c>
      <c r="C8192" s="51">
        <v>1.004</v>
      </c>
      <c r="D8192" s="51">
        <v>70.0</v>
      </c>
      <c r="E8192" s="52" t="s">
        <v>25</v>
      </c>
      <c r="F8192" s="52" t="s">
        <v>26</v>
      </c>
      <c r="G8192" s="53"/>
    </row>
    <row r="8193">
      <c r="A8193" s="49">
        <v>45107.288203275464</v>
      </c>
      <c r="B8193" s="50">
        <v>45107.4131791087</v>
      </c>
      <c r="C8193" s="51">
        <v>1.004</v>
      </c>
      <c r="D8193" s="51">
        <v>70.0</v>
      </c>
      <c r="E8193" s="52" t="s">
        <v>25</v>
      </c>
      <c r="F8193" s="52" t="s">
        <v>26</v>
      </c>
      <c r="G8193" s="53"/>
    </row>
    <row r="8194">
      <c r="A8194" s="49">
        <v>45107.298634606486</v>
      </c>
      <c r="B8194" s="50">
        <v>45107.4236012152</v>
      </c>
      <c r="C8194" s="51">
        <v>1.004</v>
      </c>
      <c r="D8194" s="51">
        <v>70.0</v>
      </c>
      <c r="E8194" s="52" t="s">
        <v>25</v>
      </c>
      <c r="F8194" s="52" t="s">
        <v>26</v>
      </c>
      <c r="G8194" s="53"/>
    </row>
    <row r="8195">
      <c r="A8195" s="49">
        <v>45107.30908568287</v>
      </c>
      <c r="B8195" s="50">
        <v>45107.4340572338</v>
      </c>
      <c r="C8195" s="51">
        <v>1.004</v>
      </c>
      <c r="D8195" s="51">
        <v>70.0</v>
      </c>
      <c r="E8195" s="52" t="s">
        <v>25</v>
      </c>
      <c r="F8195" s="52" t="s">
        <v>26</v>
      </c>
      <c r="G8195" s="53"/>
    </row>
    <row r="8196">
      <c r="A8196" s="49">
        <v>45107.319504907406</v>
      </c>
      <c r="B8196" s="50">
        <v>45107.4444774189</v>
      </c>
      <c r="C8196" s="51">
        <v>1.004</v>
      </c>
      <c r="D8196" s="51">
        <v>70.0</v>
      </c>
      <c r="E8196" s="52" t="s">
        <v>25</v>
      </c>
      <c r="F8196" s="52" t="s">
        <v>26</v>
      </c>
      <c r="G8196" s="53"/>
    </row>
    <row r="8197">
      <c r="A8197" s="49">
        <v>45107.32993692129</v>
      </c>
      <c r="B8197" s="50">
        <v>45107.4548979976</v>
      </c>
      <c r="C8197" s="51">
        <v>1.004</v>
      </c>
      <c r="D8197" s="51">
        <v>70.0</v>
      </c>
      <c r="E8197" s="52" t="s">
        <v>25</v>
      </c>
      <c r="F8197" s="52" t="s">
        <v>26</v>
      </c>
      <c r="G8197" s="53"/>
    </row>
    <row r="8198">
      <c r="A8198" s="49">
        <v>45107.340345613426</v>
      </c>
      <c r="B8198" s="50">
        <v>45107.4653186342</v>
      </c>
      <c r="C8198" s="51">
        <v>1.004</v>
      </c>
      <c r="D8198" s="51">
        <v>70.0</v>
      </c>
      <c r="E8198" s="52" t="s">
        <v>25</v>
      </c>
      <c r="F8198" s="52" t="s">
        <v>26</v>
      </c>
      <c r="G8198" s="53"/>
    </row>
    <row r="8199">
      <c r="A8199" s="49">
        <v>45107.35076944444</v>
      </c>
      <c r="B8199" s="50">
        <v>45107.4757408101</v>
      </c>
      <c r="C8199" s="51">
        <v>1.004</v>
      </c>
      <c r="D8199" s="51">
        <v>70.0</v>
      </c>
      <c r="E8199" s="52" t="s">
        <v>25</v>
      </c>
      <c r="F8199" s="52" t="s">
        <v>26</v>
      </c>
      <c r="G8199" s="53"/>
    </row>
    <row r="8200">
      <c r="A8200" s="49">
        <v>45107.36120061342</v>
      </c>
      <c r="B8200" s="50">
        <v>45107.4861738773</v>
      </c>
      <c r="C8200" s="51">
        <v>1.004</v>
      </c>
      <c r="D8200" s="51">
        <v>70.0</v>
      </c>
      <c r="E8200" s="52" t="s">
        <v>25</v>
      </c>
      <c r="F8200" s="52" t="s">
        <v>26</v>
      </c>
      <c r="G8200" s="53"/>
    </row>
    <row r="8201">
      <c r="A8201" s="49">
        <v>45107.37161825231</v>
      </c>
      <c r="B8201" s="50">
        <v>45107.4965960763</v>
      </c>
      <c r="C8201" s="51">
        <v>1.004</v>
      </c>
      <c r="D8201" s="51">
        <v>70.0</v>
      </c>
      <c r="E8201" s="52" t="s">
        <v>25</v>
      </c>
      <c r="F8201" s="52" t="s">
        <v>26</v>
      </c>
      <c r="G8201" s="53"/>
    </row>
    <row r="8202">
      <c r="A8202" s="49">
        <v>45107.38209247685</v>
      </c>
      <c r="B8202" s="50">
        <v>45107.5070651736</v>
      </c>
      <c r="C8202" s="51">
        <v>1.004</v>
      </c>
      <c r="D8202" s="51">
        <v>70.0</v>
      </c>
      <c r="E8202" s="52" t="s">
        <v>25</v>
      </c>
      <c r="F8202" s="52" t="s">
        <v>26</v>
      </c>
      <c r="G8202" s="53"/>
    </row>
    <row r="8203">
      <c r="A8203" s="49">
        <v>45107.39250785879</v>
      </c>
      <c r="B8203" s="50">
        <v>45107.5174862152</v>
      </c>
      <c r="C8203" s="51">
        <v>1.004</v>
      </c>
      <c r="D8203" s="51">
        <v>70.0</v>
      </c>
      <c r="E8203" s="52" t="s">
        <v>25</v>
      </c>
      <c r="F8203" s="52" t="s">
        <v>26</v>
      </c>
      <c r="G8203" s="53"/>
    </row>
    <row r="8204">
      <c r="A8204" s="49">
        <v>45107.40294891204</v>
      </c>
      <c r="B8204" s="50">
        <v>45107.5279190046</v>
      </c>
      <c r="C8204" s="51">
        <v>1.004</v>
      </c>
      <c r="D8204" s="51">
        <v>70.0</v>
      </c>
      <c r="E8204" s="52" t="s">
        <v>25</v>
      </c>
      <c r="F8204" s="52" t="s">
        <v>26</v>
      </c>
      <c r="G8204" s="53"/>
    </row>
    <row r="8205">
      <c r="A8205" s="49">
        <v>45107.413373310184</v>
      </c>
      <c r="B8205" s="50">
        <v>45107.5383414699</v>
      </c>
      <c r="C8205" s="51">
        <v>1.004</v>
      </c>
      <c r="D8205" s="51">
        <v>70.0</v>
      </c>
      <c r="E8205" s="52" t="s">
        <v>25</v>
      </c>
      <c r="F8205" s="52" t="s">
        <v>26</v>
      </c>
      <c r="G8205" s="53"/>
    </row>
    <row r="8206">
      <c r="A8206" s="49">
        <v>45107.423794409726</v>
      </c>
      <c r="B8206" s="50">
        <v>45107.5487623495</v>
      </c>
      <c r="C8206" s="51">
        <v>1.004</v>
      </c>
      <c r="D8206" s="51">
        <v>70.0</v>
      </c>
      <c r="E8206" s="52" t="s">
        <v>25</v>
      </c>
      <c r="F8206" s="52" t="s">
        <v>26</v>
      </c>
      <c r="G8206" s="53"/>
    </row>
    <row r="8207">
      <c r="A8207" s="49">
        <v>45107.43420923611</v>
      </c>
      <c r="B8207" s="50">
        <v>45107.5591824652</v>
      </c>
      <c r="C8207" s="51">
        <v>1.004</v>
      </c>
      <c r="D8207" s="51">
        <v>70.0</v>
      </c>
      <c r="E8207" s="52" t="s">
        <v>25</v>
      </c>
      <c r="F8207" s="52" t="s">
        <v>26</v>
      </c>
      <c r="G8207" s="53"/>
    </row>
    <row r="8208">
      <c r="A8208" s="49">
        <v>45107.44463545139</v>
      </c>
      <c r="B8208" s="50">
        <v>45107.5696038541</v>
      </c>
      <c r="C8208" s="51">
        <v>1.004</v>
      </c>
      <c r="D8208" s="51">
        <v>70.0</v>
      </c>
      <c r="E8208" s="52" t="s">
        <v>25</v>
      </c>
      <c r="F8208" s="52" t="s">
        <v>26</v>
      </c>
      <c r="G8208" s="53"/>
    </row>
    <row r="8209">
      <c r="A8209" s="49">
        <v>45107.45505502315</v>
      </c>
      <c r="B8209" s="50">
        <v>45107.5800242476</v>
      </c>
      <c r="C8209" s="51">
        <v>1.004</v>
      </c>
      <c r="D8209" s="51">
        <v>70.0</v>
      </c>
      <c r="E8209" s="52" t="s">
        <v>25</v>
      </c>
      <c r="F8209" s="52" t="s">
        <v>26</v>
      </c>
      <c r="G8209" s="53"/>
    </row>
    <row r="8210">
      <c r="A8210" s="49">
        <v>45107.46547271991</v>
      </c>
      <c r="B8210" s="50">
        <v>45107.5904462268</v>
      </c>
      <c r="C8210" s="51">
        <v>1.004</v>
      </c>
      <c r="D8210" s="51">
        <v>70.0</v>
      </c>
      <c r="E8210" s="52" t="s">
        <v>25</v>
      </c>
      <c r="F8210" s="52" t="s">
        <v>26</v>
      </c>
      <c r="G8210" s="53"/>
    </row>
    <row r="8211">
      <c r="A8211" s="49">
        <v>45107.47590952546</v>
      </c>
      <c r="B8211" s="50">
        <v>45107.6008781365</v>
      </c>
      <c r="C8211" s="51">
        <v>1.004</v>
      </c>
      <c r="D8211" s="51">
        <v>70.0</v>
      </c>
      <c r="E8211" s="52" t="s">
        <v>25</v>
      </c>
      <c r="F8211" s="52" t="s">
        <v>26</v>
      </c>
      <c r="G8211" s="53"/>
    </row>
    <row r="8212">
      <c r="A8212" s="49">
        <v>45107.48632524305</v>
      </c>
      <c r="B8212" s="50">
        <v>45107.6112974884</v>
      </c>
      <c r="C8212" s="51">
        <v>1.004</v>
      </c>
      <c r="D8212" s="51">
        <v>70.0</v>
      </c>
      <c r="E8212" s="52" t="s">
        <v>25</v>
      </c>
      <c r="F8212" s="52" t="s">
        <v>26</v>
      </c>
      <c r="G8212" s="53"/>
    </row>
    <row r="8213">
      <c r="A8213" s="49">
        <v>45107.49674648148</v>
      </c>
      <c r="B8213" s="50">
        <v>45107.621720081</v>
      </c>
      <c r="C8213" s="51">
        <v>1.004</v>
      </c>
      <c r="D8213" s="51">
        <v>70.0</v>
      </c>
      <c r="E8213" s="52" t="s">
        <v>25</v>
      </c>
      <c r="F8213" s="52" t="s">
        <v>26</v>
      </c>
      <c r="G8213" s="53"/>
    </row>
    <row r="8214">
      <c r="A8214" s="49">
        <v>45107.50717809028</v>
      </c>
      <c r="B8214" s="50">
        <v>45107.6321514004</v>
      </c>
      <c r="C8214" s="51">
        <v>1.004</v>
      </c>
      <c r="D8214" s="51">
        <v>70.0</v>
      </c>
      <c r="E8214" s="52" t="s">
        <v>25</v>
      </c>
      <c r="F8214" s="52" t="s">
        <v>26</v>
      </c>
      <c r="G8214" s="53"/>
    </row>
    <row r="8215">
      <c r="A8215" s="49">
        <v>45107.5175969213</v>
      </c>
      <c r="B8215" s="50">
        <v>45107.6425725463</v>
      </c>
      <c r="C8215" s="51">
        <v>1.004</v>
      </c>
      <c r="D8215" s="51">
        <v>70.0</v>
      </c>
      <c r="E8215" s="52" t="s">
        <v>25</v>
      </c>
      <c r="F8215" s="52" t="s">
        <v>26</v>
      </c>
      <c r="G8215" s="53"/>
    </row>
    <row r="8216">
      <c r="A8216" s="49">
        <v>45107.52803943287</v>
      </c>
      <c r="B8216" s="50">
        <v>45107.653016331</v>
      </c>
      <c r="C8216" s="51">
        <v>1.004</v>
      </c>
      <c r="D8216" s="51">
        <v>70.0</v>
      </c>
      <c r="E8216" s="52" t="s">
        <v>25</v>
      </c>
      <c r="F8216" s="52" t="s">
        <v>26</v>
      </c>
      <c r="G8216" s="53"/>
    </row>
    <row r="8217">
      <c r="A8217" s="49">
        <v>45107.5384565625</v>
      </c>
      <c r="B8217" s="50">
        <v>45107.6634368865</v>
      </c>
      <c r="C8217" s="51">
        <v>1.004</v>
      </c>
      <c r="D8217" s="51">
        <v>70.0</v>
      </c>
      <c r="E8217" s="52" t="s">
        <v>25</v>
      </c>
      <c r="F8217" s="52" t="s">
        <v>26</v>
      </c>
      <c r="G8217" s="53"/>
    </row>
    <row r="8218">
      <c r="A8218" s="49">
        <v>45107.54887670139</v>
      </c>
      <c r="B8218" s="50">
        <v>45107.6738575578</v>
      </c>
      <c r="C8218" s="51">
        <v>1.004</v>
      </c>
      <c r="D8218" s="51">
        <v>70.0</v>
      </c>
      <c r="E8218" s="52" t="s">
        <v>25</v>
      </c>
      <c r="F8218" s="52" t="s">
        <v>26</v>
      </c>
      <c r="G8218" s="53"/>
    </row>
    <row r="8219">
      <c r="A8219" s="49">
        <v>45107.559302071764</v>
      </c>
      <c r="B8219" s="50">
        <v>45107.6842794097</v>
      </c>
      <c r="C8219" s="51">
        <v>1.004</v>
      </c>
      <c r="D8219" s="51">
        <v>70.0</v>
      </c>
      <c r="E8219" s="52" t="s">
        <v>25</v>
      </c>
      <c r="F8219" s="52" t="s">
        <v>26</v>
      </c>
      <c r="G8219" s="53"/>
    </row>
    <row r="8220">
      <c r="A8220" s="49">
        <v>45107.56972947917</v>
      </c>
      <c r="B8220" s="50">
        <v>45107.6947013888</v>
      </c>
      <c r="C8220" s="51">
        <v>1.004</v>
      </c>
      <c r="D8220" s="51">
        <v>70.0</v>
      </c>
      <c r="E8220" s="52" t="s">
        <v>25</v>
      </c>
      <c r="F8220" s="52" t="s">
        <v>26</v>
      </c>
      <c r="G8220" s="53"/>
    </row>
    <row r="8221">
      <c r="A8221" s="49">
        <v>45107.580143750005</v>
      </c>
      <c r="B8221" s="50">
        <v>45107.7051234027</v>
      </c>
      <c r="C8221" s="51">
        <v>1.004</v>
      </c>
      <c r="D8221" s="51">
        <v>70.0</v>
      </c>
      <c r="E8221" s="52" t="s">
        <v>25</v>
      </c>
      <c r="F8221" s="52" t="s">
        <v>26</v>
      </c>
      <c r="G8221" s="53"/>
    </row>
    <row r="8222">
      <c r="A8222" s="49">
        <v>45107.59056513889</v>
      </c>
      <c r="B8222" s="50">
        <v>45107.7155425</v>
      </c>
      <c r="C8222" s="51">
        <v>1.004</v>
      </c>
      <c r="D8222" s="51">
        <v>70.0</v>
      </c>
      <c r="E8222" s="52" t="s">
        <v>25</v>
      </c>
      <c r="F8222" s="52" t="s">
        <v>26</v>
      </c>
      <c r="G8222" s="53"/>
    </row>
    <row r="8223">
      <c r="A8223" s="49">
        <v>45107.6009981713</v>
      </c>
      <c r="B8223" s="50">
        <v>45107.7259730902</v>
      </c>
      <c r="C8223" s="51">
        <v>1.004</v>
      </c>
      <c r="D8223" s="51">
        <v>70.0</v>
      </c>
      <c r="E8223" s="52" t="s">
        <v>25</v>
      </c>
      <c r="F8223" s="52" t="s">
        <v>26</v>
      </c>
      <c r="G8223" s="53"/>
    </row>
    <row r="8224">
      <c r="A8224" s="49">
        <v>45107.61141795139</v>
      </c>
      <c r="B8224" s="50">
        <v>45107.7363950463</v>
      </c>
      <c r="C8224" s="51">
        <v>1.004</v>
      </c>
      <c r="D8224" s="51">
        <v>70.0</v>
      </c>
      <c r="E8224" s="52" t="s">
        <v>25</v>
      </c>
      <c r="F8224" s="52" t="s">
        <v>26</v>
      </c>
      <c r="G8224" s="53"/>
    </row>
    <row r="8225">
      <c r="A8225" s="49">
        <v>45107.62183179398</v>
      </c>
      <c r="B8225" s="50">
        <v>45107.7468141087</v>
      </c>
      <c r="C8225" s="51">
        <v>1.004</v>
      </c>
      <c r="D8225" s="51">
        <v>70.0</v>
      </c>
      <c r="E8225" s="52" t="s">
        <v>25</v>
      </c>
      <c r="F8225" s="52" t="s">
        <v>26</v>
      </c>
      <c r="G8225" s="53"/>
    </row>
    <row r="8226">
      <c r="A8226" s="49">
        <v>45107.63226054398</v>
      </c>
      <c r="B8226" s="50">
        <v>45107.7572343634</v>
      </c>
      <c r="C8226" s="51">
        <v>1.004</v>
      </c>
      <c r="D8226" s="51">
        <v>70.0</v>
      </c>
      <c r="E8226" s="52" t="s">
        <v>25</v>
      </c>
      <c r="F8226" s="52" t="s">
        <v>26</v>
      </c>
      <c r="G8226" s="53"/>
    </row>
    <row r="8227">
      <c r="A8227" s="49">
        <v>45107.64268855324</v>
      </c>
      <c r="B8227" s="50">
        <v>45107.767667199</v>
      </c>
      <c r="C8227" s="51">
        <v>1.004</v>
      </c>
      <c r="D8227" s="51">
        <v>70.0</v>
      </c>
      <c r="E8227" s="52" t="s">
        <v>25</v>
      </c>
      <c r="F8227" s="52" t="s">
        <v>26</v>
      </c>
      <c r="G8227" s="53"/>
    </row>
    <row r="8228">
      <c r="A8228" s="49">
        <v>45107.65311730324</v>
      </c>
      <c r="B8228" s="50">
        <v>45107.7780882407</v>
      </c>
      <c r="C8228" s="51">
        <v>1.004</v>
      </c>
      <c r="D8228" s="51">
        <v>70.0</v>
      </c>
      <c r="E8228" s="52" t="s">
        <v>25</v>
      </c>
      <c r="F8228" s="52" t="s">
        <v>26</v>
      </c>
      <c r="G8228" s="53"/>
    </row>
    <row r="8229">
      <c r="A8229" s="49">
        <v>45107.66353106481</v>
      </c>
      <c r="B8229" s="50">
        <v>45107.7885095486</v>
      </c>
      <c r="C8229" s="51">
        <v>1.004</v>
      </c>
      <c r="D8229" s="51">
        <v>70.0</v>
      </c>
      <c r="E8229" s="52" t="s">
        <v>25</v>
      </c>
      <c r="F8229" s="52" t="s">
        <v>26</v>
      </c>
      <c r="G8229" s="53"/>
    </row>
    <row r="8230">
      <c r="A8230" s="49">
        <v>45107.673954502316</v>
      </c>
      <c r="B8230" s="50">
        <v>45107.7989307523</v>
      </c>
      <c r="C8230" s="51">
        <v>1.004</v>
      </c>
      <c r="D8230" s="51">
        <v>70.0</v>
      </c>
      <c r="E8230" s="52" t="s">
        <v>25</v>
      </c>
      <c r="F8230" s="52" t="s">
        <v>26</v>
      </c>
      <c r="G8230" s="53"/>
    </row>
    <row r="8231">
      <c r="A8231" s="49">
        <v>45107.684387615736</v>
      </c>
      <c r="B8231" s="50">
        <v>45107.8093630092</v>
      </c>
      <c r="C8231" s="51">
        <v>1.004</v>
      </c>
      <c r="D8231" s="51">
        <v>70.0</v>
      </c>
      <c r="E8231" s="52" t="s">
        <v>25</v>
      </c>
      <c r="F8231" s="52" t="s">
        <v>26</v>
      </c>
      <c r="G8231" s="53"/>
    </row>
    <row r="8232">
      <c r="A8232" s="49">
        <v>45107.69480773148</v>
      </c>
      <c r="B8232" s="50">
        <v>45107.8197849189</v>
      </c>
      <c r="C8232" s="51">
        <v>1.004</v>
      </c>
      <c r="D8232" s="51">
        <v>70.0</v>
      </c>
      <c r="E8232" s="52" t="s">
        <v>25</v>
      </c>
      <c r="F8232" s="52" t="s">
        <v>26</v>
      </c>
      <c r="G8232" s="53"/>
    </row>
    <row r="8233">
      <c r="A8233" s="49">
        <v>45107.70522866899</v>
      </c>
      <c r="B8233" s="50">
        <v>45107.8302055787</v>
      </c>
      <c r="C8233" s="51">
        <v>1.004</v>
      </c>
      <c r="D8233" s="51">
        <v>70.0</v>
      </c>
      <c r="E8233" s="52" t="s">
        <v>25</v>
      </c>
      <c r="F8233" s="52" t="s">
        <v>26</v>
      </c>
      <c r="G8233" s="53"/>
    </row>
    <row r="8234">
      <c r="A8234" s="49">
        <v>45107.71564563658</v>
      </c>
      <c r="B8234" s="50">
        <v>45107.840627581</v>
      </c>
      <c r="C8234" s="51">
        <v>1.004</v>
      </c>
      <c r="D8234" s="51">
        <v>70.0</v>
      </c>
      <c r="E8234" s="52" t="s">
        <v>25</v>
      </c>
      <c r="F8234" s="52" t="s">
        <v>26</v>
      </c>
      <c r="G8234" s="53"/>
    </row>
    <row r="8235">
      <c r="A8235" s="49">
        <v>45107.72606513889</v>
      </c>
      <c r="B8235" s="50">
        <v>45107.8510470138</v>
      </c>
      <c r="C8235" s="51">
        <v>1.004</v>
      </c>
      <c r="D8235" s="51">
        <v>70.0</v>
      </c>
      <c r="E8235" s="52" t="s">
        <v>25</v>
      </c>
      <c r="F8235" s="52" t="s">
        <v>26</v>
      </c>
      <c r="G8235" s="53"/>
    </row>
    <row r="8236">
      <c r="A8236" s="49">
        <v>45107.7365062037</v>
      </c>
      <c r="B8236" s="50">
        <v>45107.8614807523</v>
      </c>
      <c r="C8236" s="51">
        <v>1.005</v>
      </c>
      <c r="D8236" s="51">
        <v>70.0</v>
      </c>
      <c r="E8236" s="52" t="s">
        <v>25</v>
      </c>
      <c r="F8236" s="52" t="s">
        <v>26</v>
      </c>
      <c r="G8236" s="53"/>
    </row>
    <row r="8237">
      <c r="A8237" s="49">
        <v>45107.746922743056</v>
      </c>
      <c r="B8237" s="50">
        <v>45107.8719012268</v>
      </c>
      <c r="C8237" s="51">
        <v>1.004</v>
      </c>
      <c r="D8237" s="51">
        <v>70.0</v>
      </c>
      <c r="E8237" s="52" t="s">
        <v>25</v>
      </c>
      <c r="F8237" s="52" t="s">
        <v>26</v>
      </c>
      <c r="G8237" s="53"/>
    </row>
    <row r="8238">
      <c r="A8238" s="49">
        <v>45107.75733922454</v>
      </c>
      <c r="B8238" s="50">
        <v>45107.8823222916</v>
      </c>
      <c r="C8238" s="51">
        <v>1.004</v>
      </c>
      <c r="D8238" s="51">
        <v>70.0</v>
      </c>
      <c r="E8238" s="52" t="s">
        <v>25</v>
      </c>
      <c r="F8238" s="52" t="s">
        <v>26</v>
      </c>
      <c r="G8238" s="53"/>
    </row>
    <row r="8239">
      <c r="A8239" s="49">
        <v>45107.76775958334</v>
      </c>
      <c r="B8239" s="50">
        <v>45107.8927422106</v>
      </c>
      <c r="C8239" s="51">
        <v>1.004</v>
      </c>
      <c r="D8239" s="51">
        <v>70.0</v>
      </c>
      <c r="E8239" s="52" t="s">
        <v>25</v>
      </c>
      <c r="F8239" s="52" t="s">
        <v>26</v>
      </c>
      <c r="G8239" s="53"/>
    </row>
    <row r="8240">
      <c r="A8240" s="49">
        <v>45107.77819619213</v>
      </c>
      <c r="B8240" s="50">
        <v>45107.9031756018</v>
      </c>
      <c r="C8240" s="51">
        <v>1.004</v>
      </c>
      <c r="D8240" s="51">
        <v>70.0</v>
      </c>
      <c r="E8240" s="52" t="s">
        <v>25</v>
      </c>
      <c r="F8240" s="52" t="s">
        <v>26</v>
      </c>
      <c r="G8240" s="53"/>
    </row>
    <row r="8241">
      <c r="A8241" s="49">
        <v>45107.788616157406</v>
      </c>
      <c r="B8241" s="50">
        <v>45107.9135972222</v>
      </c>
      <c r="C8241" s="51">
        <v>1.004</v>
      </c>
      <c r="D8241" s="51">
        <v>70.0</v>
      </c>
      <c r="E8241" s="52" t="s">
        <v>25</v>
      </c>
      <c r="F8241" s="52" t="s">
        <v>26</v>
      </c>
      <c r="G8241" s="53"/>
    </row>
    <row r="8242">
      <c r="A8242" s="49">
        <v>45107.79904246528</v>
      </c>
      <c r="B8242" s="50">
        <v>45107.9240186921</v>
      </c>
      <c r="C8242" s="51">
        <v>1.004</v>
      </c>
      <c r="D8242" s="51">
        <v>70.0</v>
      </c>
      <c r="E8242" s="52" t="s">
        <v>25</v>
      </c>
      <c r="F8242" s="52" t="s">
        <v>26</v>
      </c>
      <c r="G8242" s="53"/>
    </row>
    <row r="8243">
      <c r="A8243" s="49">
        <v>45107.80947033565</v>
      </c>
      <c r="B8243" s="50">
        <v>45107.9344522685</v>
      </c>
      <c r="C8243" s="51">
        <v>1.004</v>
      </c>
      <c r="D8243" s="51">
        <v>70.0</v>
      </c>
      <c r="E8243" s="52" t="s">
        <v>25</v>
      </c>
      <c r="F8243" s="52" t="s">
        <v>26</v>
      </c>
      <c r="G8243" s="53"/>
    </row>
    <row r="8244">
      <c r="A8244" s="49">
        <v>45107.81989537037</v>
      </c>
      <c r="B8244" s="50">
        <v>45107.9448710532</v>
      </c>
      <c r="C8244" s="51">
        <v>1.004</v>
      </c>
      <c r="D8244" s="51">
        <v>70.0</v>
      </c>
      <c r="E8244" s="52" t="s">
        <v>25</v>
      </c>
      <c r="F8244" s="52" t="s">
        <v>26</v>
      </c>
      <c r="G8244" s="53"/>
    </row>
    <row r="8245">
      <c r="A8245" s="49">
        <v>45107.8303213426</v>
      </c>
      <c r="B8245" s="50">
        <v>45107.9552919907</v>
      </c>
      <c r="C8245" s="51">
        <v>1.004</v>
      </c>
      <c r="D8245" s="51">
        <v>70.0</v>
      </c>
      <c r="E8245" s="52" t="s">
        <v>25</v>
      </c>
      <c r="F8245" s="52" t="s">
        <v>26</v>
      </c>
      <c r="G8245" s="53"/>
    </row>
    <row r="8246">
      <c r="A8246" s="49">
        <v>45107.84073931713</v>
      </c>
      <c r="B8246" s="50">
        <v>45107.9657128935</v>
      </c>
      <c r="C8246" s="51">
        <v>1.004</v>
      </c>
      <c r="D8246" s="51">
        <v>70.0</v>
      </c>
      <c r="E8246" s="52" t="s">
        <v>25</v>
      </c>
      <c r="F8246" s="52" t="s">
        <v>26</v>
      </c>
      <c r="G8246" s="53"/>
    </row>
    <row r="8247">
      <c r="A8247" s="49">
        <v>45107.85115956019</v>
      </c>
      <c r="B8247" s="50">
        <v>45107.9761344097</v>
      </c>
      <c r="C8247" s="51">
        <v>1.004</v>
      </c>
      <c r="D8247" s="51">
        <v>70.0</v>
      </c>
      <c r="E8247" s="52" t="s">
        <v>25</v>
      </c>
      <c r="F8247" s="52" t="s">
        <v>26</v>
      </c>
      <c r="G8247" s="53"/>
    </row>
    <row r="8248">
      <c r="A8248" s="49">
        <v>45107.86158025463</v>
      </c>
      <c r="B8248" s="50">
        <v>45107.9865578356</v>
      </c>
      <c r="C8248" s="51">
        <v>1.004</v>
      </c>
      <c r="D8248" s="51">
        <v>70.0</v>
      </c>
      <c r="E8248" s="52" t="s">
        <v>25</v>
      </c>
      <c r="F8248" s="52" t="s">
        <v>26</v>
      </c>
      <c r="G8248" s="53"/>
    </row>
    <row r="8249">
      <c r="A8249" s="49">
        <v>45107.87199836806</v>
      </c>
      <c r="B8249" s="50">
        <v>45107.9969778125</v>
      </c>
      <c r="C8249" s="51">
        <v>1.004</v>
      </c>
      <c r="D8249" s="51">
        <v>70.0</v>
      </c>
      <c r="E8249" s="52" t="s">
        <v>25</v>
      </c>
      <c r="F8249" s="52" t="s">
        <v>26</v>
      </c>
      <c r="G8249" s="53"/>
    </row>
    <row r="8250">
      <c r="A8250" s="49">
        <v>45107.88242083333</v>
      </c>
      <c r="B8250" s="50">
        <v>45108.0073983101</v>
      </c>
      <c r="C8250" s="51">
        <v>1.004</v>
      </c>
      <c r="D8250" s="51">
        <v>70.0</v>
      </c>
      <c r="E8250" s="52" t="s">
        <v>25</v>
      </c>
      <c r="F8250" s="52" t="s">
        <v>26</v>
      </c>
      <c r="G8250" s="53"/>
    </row>
    <row r="8251">
      <c r="A8251" s="49">
        <v>45107.89283677083</v>
      </c>
      <c r="B8251" s="50">
        <v>45108.017819699</v>
      </c>
      <c r="C8251" s="51">
        <v>1.004</v>
      </c>
      <c r="D8251" s="51">
        <v>70.0</v>
      </c>
      <c r="E8251" s="52" t="s">
        <v>25</v>
      </c>
      <c r="F8251" s="52" t="s">
        <v>26</v>
      </c>
      <c r="G8251" s="53"/>
    </row>
    <row r="8252">
      <c r="A8252" s="49">
        <v>45107.903262314816</v>
      </c>
      <c r="B8252" s="50">
        <v>45108.028240625</v>
      </c>
      <c r="C8252" s="51">
        <v>1.004</v>
      </c>
      <c r="D8252" s="51">
        <v>70.0</v>
      </c>
      <c r="E8252" s="52" t="s">
        <v>25</v>
      </c>
      <c r="F8252" s="52" t="s">
        <v>26</v>
      </c>
      <c r="G8252" s="53"/>
    </row>
    <row r="8253">
      <c r="A8253" s="49">
        <v>45107.91368604166</v>
      </c>
      <c r="B8253" s="50">
        <v>45108.0386631481</v>
      </c>
      <c r="C8253" s="51">
        <v>1.004</v>
      </c>
      <c r="D8253" s="51">
        <v>70.0</v>
      </c>
      <c r="E8253" s="52" t="s">
        <v>25</v>
      </c>
      <c r="F8253" s="52" t="s">
        <v>26</v>
      </c>
      <c r="G8253" s="53"/>
    </row>
    <row r="8254">
      <c r="A8254" s="49">
        <v>45107.92410962963</v>
      </c>
      <c r="B8254" s="50">
        <v>45108.04908353</v>
      </c>
      <c r="C8254" s="51">
        <v>1.004</v>
      </c>
      <c r="D8254" s="51">
        <v>70.0</v>
      </c>
      <c r="E8254" s="52" t="s">
        <v>25</v>
      </c>
      <c r="F8254" s="52" t="s">
        <v>26</v>
      </c>
      <c r="G8254" s="53"/>
    </row>
    <row r="8255">
      <c r="A8255" s="49">
        <v>45107.934528680555</v>
      </c>
      <c r="B8255" s="50">
        <v>45108.0595055671</v>
      </c>
      <c r="C8255" s="51">
        <v>1.004</v>
      </c>
      <c r="D8255" s="51">
        <v>70.0</v>
      </c>
      <c r="E8255" s="52" t="s">
        <v>25</v>
      </c>
      <c r="F8255" s="52" t="s">
        <v>26</v>
      </c>
      <c r="G8255" s="53"/>
    </row>
    <row r="8256">
      <c r="A8256" s="49">
        <v>45107.94496850694</v>
      </c>
      <c r="B8256" s="50">
        <v>45108.0699489351</v>
      </c>
      <c r="C8256" s="51">
        <v>1.004</v>
      </c>
      <c r="D8256" s="51">
        <v>70.0</v>
      </c>
      <c r="E8256" s="52" t="s">
        <v>25</v>
      </c>
      <c r="F8256" s="52" t="s">
        <v>26</v>
      </c>
      <c r="G8256" s="53"/>
    </row>
    <row r="8257">
      <c r="A8257" s="49">
        <v>45107.95538623843</v>
      </c>
      <c r="B8257" s="50">
        <v>45108.0803697916</v>
      </c>
      <c r="C8257" s="51">
        <v>1.004</v>
      </c>
      <c r="D8257" s="51">
        <v>70.0</v>
      </c>
      <c r="E8257" s="52" t="s">
        <v>25</v>
      </c>
      <c r="F8257" s="52" t="s">
        <v>26</v>
      </c>
      <c r="G8257" s="53"/>
    </row>
    <row r="8258">
      <c r="A8258" s="49">
        <v>45107.965817523145</v>
      </c>
      <c r="B8258" s="50">
        <v>45108.0907922569</v>
      </c>
      <c r="C8258" s="51">
        <v>1.004</v>
      </c>
      <c r="D8258" s="51">
        <v>70.0</v>
      </c>
      <c r="E8258" s="52" t="s">
        <v>25</v>
      </c>
      <c r="F8258" s="52" t="s">
        <v>26</v>
      </c>
      <c r="G8258" s="53"/>
    </row>
    <row r="8259">
      <c r="A8259" s="49">
        <v>45107.97622777778</v>
      </c>
      <c r="B8259" s="50">
        <v>45108.1012138657</v>
      </c>
      <c r="C8259" s="51">
        <v>1.004</v>
      </c>
      <c r="D8259" s="51">
        <v>70.0</v>
      </c>
      <c r="E8259" s="52" t="s">
        <v>25</v>
      </c>
      <c r="F8259" s="52" t="s">
        <v>26</v>
      </c>
      <c r="G8259" s="53"/>
    </row>
    <row r="8260">
      <c r="A8260" s="49">
        <v>45107.9866600463</v>
      </c>
      <c r="B8260" s="50">
        <v>45108.1116347222</v>
      </c>
      <c r="C8260" s="51">
        <v>1.004</v>
      </c>
      <c r="D8260" s="51">
        <v>70.0</v>
      </c>
      <c r="E8260" s="52" t="s">
        <v>25</v>
      </c>
      <c r="F8260" s="52" t="s">
        <v>26</v>
      </c>
      <c r="G8260" s="53"/>
    </row>
    <row r="8261">
      <c r="A8261" s="49">
        <v>45107.99707887731</v>
      </c>
      <c r="B8261" s="50">
        <v>45108.1220563541</v>
      </c>
      <c r="C8261" s="51">
        <v>1.004</v>
      </c>
      <c r="D8261" s="51">
        <v>70.0</v>
      </c>
      <c r="E8261" s="52" t="s">
        <v>25</v>
      </c>
      <c r="F8261" s="52" t="s">
        <v>26</v>
      </c>
      <c r="G8261" s="53"/>
    </row>
    <row r="8262">
      <c r="A8262" s="49">
        <v>45108.00749587963</v>
      </c>
      <c r="B8262" s="50">
        <v>45108.1324791203</v>
      </c>
      <c r="C8262" s="51">
        <v>1.004</v>
      </c>
      <c r="D8262" s="51">
        <v>70.0</v>
      </c>
      <c r="E8262" s="52" t="s">
        <v>25</v>
      </c>
      <c r="F8262" s="52" t="s">
        <v>26</v>
      </c>
      <c r="G8262" s="53"/>
    </row>
    <row r="8263">
      <c r="A8263" s="49">
        <v>45108.01792510417</v>
      </c>
      <c r="B8263" s="50">
        <v>45108.1429013888</v>
      </c>
      <c r="C8263" s="51">
        <v>1.004</v>
      </c>
      <c r="D8263" s="51">
        <v>70.0</v>
      </c>
      <c r="E8263" s="52" t="s">
        <v>25</v>
      </c>
      <c r="F8263" s="52" t="s">
        <v>26</v>
      </c>
      <c r="G8263" s="53"/>
    </row>
    <row r="8264">
      <c r="A8264" s="49">
        <v>45108.028348391206</v>
      </c>
      <c r="B8264" s="50">
        <v>45108.1533226736</v>
      </c>
      <c r="C8264" s="51">
        <v>1.004</v>
      </c>
      <c r="D8264" s="51">
        <v>70.0</v>
      </c>
      <c r="E8264" s="52" t="s">
        <v>25</v>
      </c>
      <c r="F8264" s="52" t="s">
        <v>26</v>
      </c>
      <c r="G8264" s="53"/>
    </row>
    <row r="8265">
      <c r="A8265" s="49">
        <v>45108.03876648148</v>
      </c>
      <c r="B8265" s="50">
        <v>45108.163744456</v>
      </c>
      <c r="C8265" s="51">
        <v>1.004</v>
      </c>
      <c r="D8265" s="51">
        <v>70.0</v>
      </c>
      <c r="E8265" s="52" t="s">
        <v>25</v>
      </c>
      <c r="F8265" s="52" t="s">
        <v>26</v>
      </c>
      <c r="G8265" s="53"/>
    </row>
    <row r="8266">
      <c r="A8266" s="49">
        <v>45108.04918322917</v>
      </c>
      <c r="B8266" s="50">
        <v>45108.1741649652</v>
      </c>
      <c r="C8266" s="51">
        <v>1.004</v>
      </c>
      <c r="D8266" s="51">
        <v>70.0</v>
      </c>
      <c r="E8266" s="52" t="s">
        <v>25</v>
      </c>
      <c r="F8266" s="52" t="s">
        <v>26</v>
      </c>
      <c r="G8266" s="53"/>
    </row>
    <row r="8267">
      <c r="A8267" s="49">
        <v>45108.05962667824</v>
      </c>
      <c r="B8267" s="50">
        <v>45108.1845980671</v>
      </c>
      <c r="C8267" s="51">
        <v>1.004</v>
      </c>
      <c r="D8267" s="51">
        <v>70.0</v>
      </c>
      <c r="E8267" s="52" t="s">
        <v>25</v>
      </c>
      <c r="F8267" s="52" t="s">
        <v>26</v>
      </c>
      <c r="G8267" s="53"/>
    </row>
    <row r="8268">
      <c r="A8268" s="49">
        <v>45108.07004478009</v>
      </c>
      <c r="B8268" s="50">
        <v>45108.1950180555</v>
      </c>
      <c r="C8268" s="51">
        <v>1.004</v>
      </c>
      <c r="D8268" s="51">
        <v>70.0</v>
      </c>
      <c r="E8268" s="52" t="s">
        <v>25</v>
      </c>
      <c r="F8268" s="52" t="s">
        <v>26</v>
      </c>
      <c r="G8268" s="53"/>
    </row>
    <row r="8269">
      <c r="A8269" s="49">
        <v>45108.080460682875</v>
      </c>
      <c r="B8269" s="50">
        <v>45108.2054391898</v>
      </c>
      <c r="C8269" s="51">
        <v>1.004</v>
      </c>
      <c r="D8269" s="51">
        <v>70.0</v>
      </c>
      <c r="E8269" s="52" t="s">
        <v>25</v>
      </c>
      <c r="F8269" s="52" t="s">
        <v>26</v>
      </c>
      <c r="G8269" s="53"/>
    </row>
    <row r="8270">
      <c r="A8270" s="49">
        <v>45108.09087674769</v>
      </c>
      <c r="B8270" s="50">
        <v>45108.2158604282</v>
      </c>
      <c r="C8270" s="51">
        <v>1.004</v>
      </c>
      <c r="D8270" s="51">
        <v>70.0</v>
      </c>
      <c r="E8270" s="52" t="s">
        <v>25</v>
      </c>
      <c r="F8270" s="52" t="s">
        <v>26</v>
      </c>
      <c r="G8270" s="53"/>
    </row>
    <row r="8271">
      <c r="A8271" s="49">
        <v>45108.10130578704</v>
      </c>
      <c r="B8271" s="50">
        <v>45108.2262790162</v>
      </c>
      <c r="C8271" s="51">
        <v>1.004</v>
      </c>
      <c r="D8271" s="51">
        <v>70.0</v>
      </c>
      <c r="E8271" s="52" t="s">
        <v>25</v>
      </c>
      <c r="F8271" s="52" t="s">
        <v>26</v>
      </c>
      <c r="G8271" s="53"/>
    </row>
    <row r="8272">
      <c r="A8272" s="49">
        <v>45108.11172075232</v>
      </c>
      <c r="B8272" s="50">
        <v>45108.2367028356</v>
      </c>
      <c r="C8272" s="51">
        <v>1.004</v>
      </c>
      <c r="D8272" s="51">
        <v>70.0</v>
      </c>
      <c r="E8272" s="52" t="s">
        <v>25</v>
      </c>
      <c r="F8272" s="52" t="s">
        <v>26</v>
      </c>
      <c r="G8272" s="53"/>
    </row>
    <row r="8273">
      <c r="A8273" s="49">
        <v>45108.122174895834</v>
      </c>
      <c r="B8273" s="50">
        <v>45108.2471474884</v>
      </c>
      <c r="C8273" s="51">
        <v>1.004</v>
      </c>
      <c r="D8273" s="51">
        <v>70.0</v>
      </c>
      <c r="E8273" s="52" t="s">
        <v>25</v>
      </c>
      <c r="F8273" s="52" t="s">
        <v>26</v>
      </c>
      <c r="G8273" s="53"/>
    </row>
    <row r="8274">
      <c r="A8274" s="49">
        <v>45108.1326071875</v>
      </c>
      <c r="B8274" s="50">
        <v>45108.257581493</v>
      </c>
      <c r="C8274" s="51">
        <v>1.004</v>
      </c>
      <c r="D8274" s="51">
        <v>70.0</v>
      </c>
      <c r="E8274" s="52" t="s">
        <v>25</v>
      </c>
      <c r="F8274" s="52" t="s">
        <v>26</v>
      </c>
      <c r="G8274" s="53"/>
    </row>
    <row r="8275">
      <c r="A8275" s="49">
        <v>45108.14303212963</v>
      </c>
      <c r="B8275" s="50">
        <v>45108.2680035185</v>
      </c>
      <c r="C8275" s="51">
        <v>1.004</v>
      </c>
      <c r="D8275" s="51">
        <v>70.0</v>
      </c>
      <c r="E8275" s="52" t="s">
        <v>25</v>
      </c>
      <c r="F8275" s="52" t="s">
        <v>26</v>
      </c>
      <c r="G8275" s="53"/>
    </row>
    <row r="8276">
      <c r="A8276" s="49">
        <v>45108.15346606482</v>
      </c>
      <c r="B8276" s="50">
        <v>45108.2784368055</v>
      </c>
      <c r="C8276" s="51">
        <v>1.004</v>
      </c>
      <c r="D8276" s="51">
        <v>70.0</v>
      </c>
      <c r="E8276" s="52" t="s">
        <v>25</v>
      </c>
      <c r="F8276" s="52" t="s">
        <v>26</v>
      </c>
      <c r="G8276" s="53"/>
    </row>
    <row r="8277">
      <c r="A8277" s="49">
        <v>45108.16388196759</v>
      </c>
      <c r="B8277" s="50">
        <v>45108.2888581944</v>
      </c>
      <c r="C8277" s="51">
        <v>1.004</v>
      </c>
      <c r="D8277" s="51">
        <v>70.0</v>
      </c>
      <c r="E8277" s="52" t="s">
        <v>25</v>
      </c>
      <c r="F8277" s="52" t="s">
        <v>26</v>
      </c>
      <c r="G8277" s="53"/>
    </row>
    <row r="8278">
      <c r="A8278" s="49">
        <v>45108.17429863426</v>
      </c>
      <c r="B8278" s="50">
        <v>45108.2992775</v>
      </c>
      <c r="C8278" s="51">
        <v>1.004</v>
      </c>
      <c r="D8278" s="51">
        <v>70.0</v>
      </c>
      <c r="E8278" s="52" t="s">
        <v>25</v>
      </c>
      <c r="F8278" s="52" t="s">
        <v>26</v>
      </c>
      <c r="G8278" s="53"/>
    </row>
    <row r="8279">
      <c r="A8279" s="49">
        <v>45108.18474803241</v>
      </c>
      <c r="B8279" s="50">
        <v>45108.3097218865</v>
      </c>
      <c r="C8279" s="51">
        <v>1.004</v>
      </c>
      <c r="D8279" s="51">
        <v>70.0</v>
      </c>
      <c r="E8279" s="52" t="s">
        <v>25</v>
      </c>
      <c r="F8279" s="52" t="s">
        <v>26</v>
      </c>
      <c r="G8279" s="53"/>
    </row>
    <row r="8280">
      <c r="A8280" s="49">
        <v>45108.19516797454</v>
      </c>
      <c r="B8280" s="50">
        <v>45108.3201438541</v>
      </c>
      <c r="C8280" s="51">
        <v>1.004</v>
      </c>
      <c r="D8280" s="51">
        <v>70.0</v>
      </c>
      <c r="E8280" s="52" t="s">
        <v>25</v>
      </c>
      <c r="F8280" s="52" t="s">
        <v>26</v>
      </c>
      <c r="G8280" s="53"/>
    </row>
    <row r="8281">
      <c r="A8281" s="49">
        <v>45108.205582083334</v>
      </c>
      <c r="B8281" s="50">
        <v>45108.3305646064</v>
      </c>
      <c r="C8281" s="51">
        <v>1.004</v>
      </c>
      <c r="D8281" s="51">
        <v>70.0</v>
      </c>
      <c r="E8281" s="52" t="s">
        <v>25</v>
      </c>
      <c r="F8281" s="52" t="s">
        <v>26</v>
      </c>
      <c r="G8281" s="53"/>
    </row>
    <row r="8282">
      <c r="A8282" s="49">
        <v>45108.21602025463</v>
      </c>
      <c r="B8282" s="50">
        <v>45108.3409962847</v>
      </c>
      <c r="C8282" s="51">
        <v>1.004</v>
      </c>
      <c r="D8282" s="51">
        <v>70.0</v>
      </c>
      <c r="E8282" s="52" t="s">
        <v>25</v>
      </c>
      <c r="F8282" s="52" t="s">
        <v>26</v>
      </c>
      <c r="G8282" s="53"/>
    </row>
    <row r="8283">
      <c r="A8283" s="49">
        <v>45108.22644005787</v>
      </c>
      <c r="B8283" s="50">
        <v>45108.3514176041</v>
      </c>
      <c r="C8283" s="51">
        <v>1.004</v>
      </c>
      <c r="D8283" s="51">
        <v>70.0</v>
      </c>
      <c r="E8283" s="52" t="s">
        <v>25</v>
      </c>
      <c r="F8283" s="52" t="s">
        <v>26</v>
      </c>
      <c r="G8283" s="53"/>
    </row>
    <row r="8284">
      <c r="A8284" s="49">
        <v>45108.2368546412</v>
      </c>
      <c r="B8284" s="50">
        <v>45108.36183875</v>
      </c>
      <c r="C8284" s="51">
        <v>1.004</v>
      </c>
      <c r="D8284" s="51">
        <v>70.0</v>
      </c>
      <c r="E8284" s="52" t="s">
        <v>25</v>
      </c>
      <c r="F8284" s="52" t="s">
        <v>26</v>
      </c>
      <c r="G8284" s="53"/>
    </row>
    <row r="8285">
      <c r="A8285" s="49">
        <v>45108.24728303241</v>
      </c>
      <c r="B8285" s="50">
        <v>45108.3722608449</v>
      </c>
      <c r="C8285" s="51">
        <v>1.004</v>
      </c>
      <c r="D8285" s="51">
        <v>70.0</v>
      </c>
      <c r="E8285" s="52" t="s">
        <v>25</v>
      </c>
      <c r="F8285" s="52" t="s">
        <v>26</v>
      </c>
      <c r="G8285" s="53"/>
    </row>
    <row r="8286">
      <c r="A8286" s="49">
        <v>45108.25771053241</v>
      </c>
      <c r="B8286" s="50">
        <v>45108.3826818171</v>
      </c>
      <c r="C8286" s="51">
        <v>1.004</v>
      </c>
      <c r="D8286" s="51">
        <v>70.0</v>
      </c>
      <c r="E8286" s="52" t="s">
        <v>25</v>
      </c>
      <c r="F8286" s="52" t="s">
        <v>26</v>
      </c>
      <c r="G8286" s="53"/>
    </row>
    <row r="8287">
      <c r="A8287" s="49">
        <v>45108.26812570602</v>
      </c>
      <c r="B8287" s="50">
        <v>45108.3931030208</v>
      </c>
      <c r="C8287" s="51">
        <v>1.004</v>
      </c>
      <c r="D8287" s="51">
        <v>70.0</v>
      </c>
      <c r="E8287" s="52" t="s">
        <v>25</v>
      </c>
      <c r="F8287" s="52" t="s">
        <v>26</v>
      </c>
      <c r="G8287" s="53"/>
    </row>
    <row r="8288">
      <c r="A8288" s="49">
        <v>45108.2785496412</v>
      </c>
      <c r="B8288" s="50">
        <v>45108.4035346064</v>
      </c>
      <c r="C8288" s="51">
        <v>1.004</v>
      </c>
      <c r="D8288" s="51">
        <v>70.0</v>
      </c>
      <c r="E8288" s="52" t="s">
        <v>25</v>
      </c>
      <c r="F8288" s="52" t="s">
        <v>26</v>
      </c>
      <c r="G8288" s="53"/>
    </row>
    <row r="8289">
      <c r="A8289" s="49">
        <v>45108.28900189815</v>
      </c>
      <c r="B8289" s="50">
        <v>45108.4139797453</v>
      </c>
      <c r="C8289" s="51">
        <v>1.004</v>
      </c>
      <c r="D8289" s="51">
        <v>70.0</v>
      </c>
      <c r="E8289" s="52" t="s">
        <v>25</v>
      </c>
      <c r="F8289" s="52" t="s">
        <v>26</v>
      </c>
      <c r="G8289" s="53"/>
    </row>
    <row r="8290">
      <c r="A8290" s="49">
        <v>45108.29942971065</v>
      </c>
      <c r="B8290" s="50">
        <v>45108.4244016666</v>
      </c>
      <c r="C8290" s="51">
        <v>1.004</v>
      </c>
      <c r="D8290" s="51">
        <v>70.0</v>
      </c>
      <c r="E8290" s="52" t="s">
        <v>25</v>
      </c>
      <c r="F8290" s="52" t="s">
        <v>26</v>
      </c>
      <c r="G8290" s="53"/>
    </row>
    <row r="8291">
      <c r="A8291" s="49">
        <v>45108.30985075231</v>
      </c>
      <c r="B8291" s="50">
        <v>45108.4348223958</v>
      </c>
      <c r="C8291" s="51">
        <v>1.004</v>
      </c>
      <c r="D8291" s="51">
        <v>70.0</v>
      </c>
      <c r="E8291" s="52" t="s">
        <v>25</v>
      </c>
      <c r="F8291" s="52" t="s">
        <v>26</v>
      </c>
      <c r="G8291" s="53"/>
    </row>
    <row r="8292">
      <c r="A8292" s="49">
        <v>45108.3202891088</v>
      </c>
      <c r="B8292" s="50">
        <v>45108.4452554166</v>
      </c>
      <c r="C8292" s="51">
        <v>1.004</v>
      </c>
      <c r="D8292" s="51">
        <v>70.0</v>
      </c>
      <c r="E8292" s="52" t="s">
        <v>25</v>
      </c>
      <c r="F8292" s="52" t="s">
        <v>26</v>
      </c>
      <c r="G8292" s="53"/>
    </row>
    <row r="8293">
      <c r="A8293" s="49">
        <v>45108.33070800926</v>
      </c>
      <c r="B8293" s="50">
        <v>45108.4556880208</v>
      </c>
      <c r="C8293" s="51">
        <v>1.004</v>
      </c>
      <c r="D8293" s="51">
        <v>70.0</v>
      </c>
      <c r="E8293" s="52" t="s">
        <v>25</v>
      </c>
      <c r="F8293" s="52" t="s">
        <v>26</v>
      </c>
      <c r="G8293" s="53"/>
    </row>
    <row r="8294">
      <c r="A8294" s="49">
        <v>45108.3411346875</v>
      </c>
      <c r="B8294" s="50">
        <v>45108.4661089351</v>
      </c>
      <c r="C8294" s="51">
        <v>1.004</v>
      </c>
      <c r="D8294" s="51">
        <v>70.0</v>
      </c>
      <c r="E8294" s="52" t="s">
        <v>25</v>
      </c>
      <c r="F8294" s="52" t="s">
        <v>26</v>
      </c>
      <c r="G8294" s="53"/>
    </row>
    <row r="8295">
      <c r="A8295" s="49">
        <v>45108.351564756944</v>
      </c>
      <c r="B8295" s="50">
        <v>45108.4765420601</v>
      </c>
      <c r="C8295" s="51">
        <v>1.004</v>
      </c>
      <c r="D8295" s="51">
        <v>70.0</v>
      </c>
      <c r="E8295" s="52" t="s">
        <v>25</v>
      </c>
      <c r="F8295" s="52" t="s">
        <v>26</v>
      </c>
      <c r="G8295" s="53"/>
    </row>
    <row r="8296">
      <c r="A8296" s="49">
        <v>45108.36198552084</v>
      </c>
      <c r="B8296" s="50">
        <v>45108.4869627199</v>
      </c>
      <c r="C8296" s="51">
        <v>1.004</v>
      </c>
      <c r="D8296" s="51">
        <v>70.0</v>
      </c>
      <c r="E8296" s="52" t="s">
        <v>25</v>
      </c>
      <c r="F8296" s="52" t="s">
        <v>26</v>
      </c>
      <c r="G8296" s="53"/>
    </row>
    <row r="8297">
      <c r="A8297" s="49">
        <v>45108.37243320602</v>
      </c>
      <c r="B8297" s="50">
        <v>45108.4974070601</v>
      </c>
      <c r="C8297" s="51">
        <v>1.004</v>
      </c>
      <c r="D8297" s="51">
        <v>70.0</v>
      </c>
      <c r="E8297" s="52" t="s">
        <v>25</v>
      </c>
      <c r="F8297" s="52" t="s">
        <v>26</v>
      </c>
      <c r="G8297" s="53"/>
    </row>
    <row r="8298">
      <c r="A8298" s="49">
        <v>45108.38284881944</v>
      </c>
      <c r="B8298" s="50">
        <v>45108.507827824</v>
      </c>
      <c r="C8298" s="51">
        <v>1.004</v>
      </c>
      <c r="D8298" s="51">
        <v>70.0</v>
      </c>
      <c r="E8298" s="52" t="s">
        <v>25</v>
      </c>
      <c r="F8298" s="52" t="s">
        <v>26</v>
      </c>
      <c r="G8298" s="53"/>
    </row>
    <row r="8299">
      <c r="A8299" s="49">
        <v>45108.39327685186</v>
      </c>
      <c r="B8299" s="50">
        <v>45108.5182491898</v>
      </c>
      <c r="C8299" s="51">
        <v>1.005</v>
      </c>
      <c r="D8299" s="51">
        <v>70.0</v>
      </c>
      <c r="E8299" s="52" t="s">
        <v>25</v>
      </c>
      <c r="F8299" s="52" t="s">
        <v>26</v>
      </c>
      <c r="G8299" s="53"/>
    </row>
    <row r="8300">
      <c r="A8300" s="49">
        <v>45108.403701030096</v>
      </c>
      <c r="B8300" s="50">
        <v>45108.5286710764</v>
      </c>
      <c r="C8300" s="51">
        <v>1.004</v>
      </c>
      <c r="D8300" s="51">
        <v>70.0</v>
      </c>
      <c r="E8300" s="52" t="s">
        <v>25</v>
      </c>
      <c r="F8300" s="52" t="s">
        <v>26</v>
      </c>
      <c r="G8300" s="53"/>
    </row>
    <row r="8301">
      <c r="A8301" s="49">
        <v>45108.414116898144</v>
      </c>
      <c r="B8301" s="50">
        <v>45108.5390946527</v>
      </c>
      <c r="C8301" s="51">
        <v>1.004</v>
      </c>
      <c r="D8301" s="51">
        <v>70.0</v>
      </c>
      <c r="E8301" s="52" t="s">
        <v>25</v>
      </c>
      <c r="F8301" s="52" t="s">
        <v>26</v>
      </c>
      <c r="G8301" s="53"/>
    </row>
    <row r="8302">
      <c r="A8302" s="49">
        <v>45108.42453925926</v>
      </c>
      <c r="B8302" s="50">
        <v>45108.5495162963</v>
      </c>
      <c r="C8302" s="51">
        <v>1.004</v>
      </c>
      <c r="D8302" s="51">
        <v>70.0</v>
      </c>
      <c r="E8302" s="52" t="s">
        <v>25</v>
      </c>
      <c r="F8302" s="52" t="s">
        <v>26</v>
      </c>
      <c r="G8302" s="53"/>
    </row>
    <row r="8303">
      <c r="A8303" s="49">
        <v>45108.43495925926</v>
      </c>
      <c r="B8303" s="50">
        <v>45108.5599347338</v>
      </c>
      <c r="C8303" s="51">
        <v>1.004</v>
      </c>
      <c r="D8303" s="51">
        <v>70.0</v>
      </c>
      <c r="E8303" s="52" t="s">
        <v>25</v>
      </c>
      <c r="F8303" s="52" t="s">
        <v>26</v>
      </c>
      <c r="G8303" s="53"/>
    </row>
    <row r="8304">
      <c r="A8304" s="49">
        <v>45108.445394560185</v>
      </c>
      <c r="B8304" s="50">
        <v>45108.5703683333</v>
      </c>
      <c r="C8304" s="51">
        <v>1.004</v>
      </c>
      <c r="D8304" s="51">
        <v>70.0</v>
      </c>
      <c r="E8304" s="52" t="s">
        <v>25</v>
      </c>
      <c r="F8304" s="52" t="s">
        <v>26</v>
      </c>
      <c r="G8304" s="53"/>
    </row>
    <row r="8305">
      <c r="A8305" s="49">
        <v>45108.45582725694</v>
      </c>
      <c r="B8305" s="50">
        <v>45108.58080103</v>
      </c>
      <c r="C8305" s="51">
        <v>1.004</v>
      </c>
      <c r="D8305" s="51">
        <v>70.0</v>
      </c>
      <c r="E8305" s="52" t="s">
        <v>25</v>
      </c>
      <c r="F8305" s="52" t="s">
        <v>26</v>
      </c>
      <c r="G8305" s="53"/>
    </row>
    <row r="8306">
      <c r="A8306" s="49">
        <v>45108.46625009259</v>
      </c>
      <c r="B8306" s="50">
        <v>45108.591220787</v>
      </c>
      <c r="C8306" s="51">
        <v>1.004</v>
      </c>
      <c r="D8306" s="51">
        <v>70.0</v>
      </c>
      <c r="E8306" s="52" t="s">
        <v>25</v>
      </c>
      <c r="F8306" s="52" t="s">
        <v>26</v>
      </c>
      <c r="G8306" s="53"/>
    </row>
    <row r="8307">
      <c r="A8307" s="49">
        <v>45108.47666006944</v>
      </c>
      <c r="B8307" s="50">
        <v>45108.6016413194</v>
      </c>
      <c r="C8307" s="51">
        <v>1.004</v>
      </c>
      <c r="D8307" s="51">
        <v>70.0</v>
      </c>
      <c r="E8307" s="52" t="s">
        <v>25</v>
      </c>
      <c r="F8307" s="52" t="s">
        <v>26</v>
      </c>
      <c r="G8307" s="53"/>
    </row>
    <row r="8308">
      <c r="A8308" s="49">
        <v>45108.487088865746</v>
      </c>
      <c r="B8308" s="50">
        <v>45108.6120620254</v>
      </c>
      <c r="C8308" s="51">
        <v>1.004</v>
      </c>
      <c r="D8308" s="51">
        <v>70.0</v>
      </c>
      <c r="E8308" s="52" t="s">
        <v>25</v>
      </c>
      <c r="F8308" s="52" t="s">
        <v>26</v>
      </c>
      <c r="G8308" s="53"/>
    </row>
    <row r="8309">
      <c r="A8309" s="49">
        <v>45108.49751328704</v>
      </c>
      <c r="B8309" s="50">
        <v>45108.6224837963</v>
      </c>
      <c r="C8309" s="51">
        <v>1.004</v>
      </c>
      <c r="D8309" s="51">
        <v>70.0</v>
      </c>
      <c r="E8309" s="52" t="s">
        <v>25</v>
      </c>
      <c r="F8309" s="52" t="s">
        <v>26</v>
      </c>
      <c r="G8309" s="53"/>
    </row>
    <row r="8310">
      <c r="A8310" s="49">
        <v>45108.50794452547</v>
      </c>
      <c r="B8310" s="50">
        <v>45108.6329166087</v>
      </c>
      <c r="C8310" s="51">
        <v>1.004</v>
      </c>
      <c r="D8310" s="51">
        <v>70.0</v>
      </c>
      <c r="E8310" s="52" t="s">
        <v>25</v>
      </c>
      <c r="F8310" s="52" t="s">
        <v>26</v>
      </c>
      <c r="G8310" s="53"/>
    </row>
    <row r="8311">
      <c r="A8311" s="49">
        <v>45108.518361319446</v>
      </c>
      <c r="B8311" s="50">
        <v>45108.6433375115</v>
      </c>
      <c r="C8311" s="51">
        <v>1.004</v>
      </c>
      <c r="D8311" s="51">
        <v>70.0</v>
      </c>
      <c r="E8311" s="52" t="s">
        <v>25</v>
      </c>
      <c r="F8311" s="52" t="s">
        <v>26</v>
      </c>
      <c r="G8311" s="53"/>
    </row>
    <row r="8312">
      <c r="A8312" s="49">
        <v>45108.52878761574</v>
      </c>
      <c r="B8312" s="50">
        <v>45108.6537573148</v>
      </c>
      <c r="C8312" s="51">
        <v>1.004</v>
      </c>
      <c r="D8312" s="51">
        <v>70.0</v>
      </c>
      <c r="E8312" s="52" t="s">
        <v>25</v>
      </c>
      <c r="F8312" s="52" t="s">
        <v>26</v>
      </c>
      <c r="G8312" s="53"/>
    </row>
    <row r="8313">
      <c r="A8313" s="49">
        <v>45108.53920554398</v>
      </c>
      <c r="B8313" s="50">
        <v>45108.6641786111</v>
      </c>
      <c r="C8313" s="51">
        <v>1.004</v>
      </c>
      <c r="D8313" s="51">
        <v>70.0</v>
      </c>
      <c r="E8313" s="52" t="s">
        <v>25</v>
      </c>
      <c r="F8313" s="52" t="s">
        <v>26</v>
      </c>
      <c r="G8313" s="53"/>
    </row>
    <row r="8314">
      <c r="A8314" s="49">
        <v>45108.549630416666</v>
      </c>
      <c r="B8314" s="50">
        <v>45108.6745995949</v>
      </c>
      <c r="C8314" s="51">
        <v>1.004</v>
      </c>
      <c r="D8314" s="51">
        <v>70.0</v>
      </c>
      <c r="E8314" s="52" t="s">
        <v>25</v>
      </c>
      <c r="F8314" s="52" t="s">
        <v>26</v>
      </c>
      <c r="G8314" s="53"/>
    </row>
    <row r="8315">
      <c r="A8315" s="49">
        <v>45108.56003692129</v>
      </c>
      <c r="B8315" s="50">
        <v>45108.6850216203</v>
      </c>
      <c r="C8315" s="51">
        <v>1.004</v>
      </c>
      <c r="D8315" s="51">
        <v>70.0</v>
      </c>
      <c r="E8315" s="52" t="s">
        <v>25</v>
      </c>
      <c r="F8315" s="52" t="s">
        <v>26</v>
      </c>
      <c r="G8315" s="53"/>
    </row>
    <row r="8316">
      <c r="A8316" s="49">
        <v>45108.57046015046</v>
      </c>
      <c r="B8316" s="50">
        <v>45108.6954428472</v>
      </c>
      <c r="C8316" s="51">
        <v>1.004</v>
      </c>
      <c r="D8316" s="51">
        <v>70.0</v>
      </c>
      <c r="E8316" s="52" t="s">
        <v>25</v>
      </c>
      <c r="F8316" s="52" t="s">
        <v>26</v>
      </c>
      <c r="G8316" s="53"/>
    </row>
    <row r="8317">
      <c r="A8317" s="49">
        <v>45108.58088988426</v>
      </c>
      <c r="B8317" s="50">
        <v>45108.7058638657</v>
      </c>
      <c r="C8317" s="51">
        <v>1.004</v>
      </c>
      <c r="D8317" s="51">
        <v>70.0</v>
      </c>
      <c r="E8317" s="52" t="s">
        <v>25</v>
      </c>
      <c r="F8317" s="52" t="s">
        <v>26</v>
      </c>
      <c r="G8317" s="53"/>
    </row>
    <row r="8318">
      <c r="A8318" s="49">
        <v>45108.5913121875</v>
      </c>
      <c r="B8318" s="50">
        <v>45108.7162848032</v>
      </c>
      <c r="C8318" s="51">
        <v>1.004</v>
      </c>
      <c r="D8318" s="51">
        <v>70.0</v>
      </c>
      <c r="E8318" s="52" t="s">
        <v>25</v>
      </c>
      <c r="F8318" s="52" t="s">
        <v>26</v>
      </c>
      <c r="G8318" s="53"/>
    </row>
    <row r="8319">
      <c r="A8319" s="49">
        <v>45108.60172803241</v>
      </c>
      <c r="B8319" s="50">
        <v>45108.7267059143</v>
      </c>
      <c r="C8319" s="51">
        <v>1.004</v>
      </c>
      <c r="D8319" s="51">
        <v>70.0</v>
      </c>
      <c r="E8319" s="52" t="s">
        <v>25</v>
      </c>
      <c r="F8319" s="52" t="s">
        <v>26</v>
      </c>
      <c r="G8319" s="53"/>
    </row>
    <row r="8320">
      <c r="A8320" s="49">
        <v>45108.61216748843</v>
      </c>
      <c r="B8320" s="50">
        <v>45108.7371377893</v>
      </c>
      <c r="C8320" s="51">
        <v>1.004</v>
      </c>
      <c r="D8320" s="51">
        <v>70.0</v>
      </c>
      <c r="E8320" s="52" t="s">
        <v>25</v>
      </c>
      <c r="F8320" s="52" t="s">
        <v>26</v>
      </c>
      <c r="G8320" s="53"/>
    </row>
    <row r="8321">
      <c r="A8321" s="49">
        <v>45108.62258101851</v>
      </c>
      <c r="B8321" s="50">
        <v>45108.7475590972</v>
      </c>
      <c r="C8321" s="51">
        <v>1.004</v>
      </c>
      <c r="D8321" s="51">
        <v>70.0</v>
      </c>
      <c r="E8321" s="52" t="s">
        <v>25</v>
      </c>
      <c r="F8321" s="52" t="s">
        <v>26</v>
      </c>
      <c r="G8321" s="53"/>
    </row>
    <row r="8322">
      <c r="A8322" s="49">
        <v>45108.633002118055</v>
      </c>
      <c r="B8322" s="50">
        <v>45108.7579796412</v>
      </c>
      <c r="C8322" s="51">
        <v>1.004</v>
      </c>
      <c r="D8322" s="51">
        <v>70.0</v>
      </c>
      <c r="E8322" s="52" t="s">
        <v>25</v>
      </c>
      <c r="F8322" s="52" t="s">
        <v>26</v>
      </c>
      <c r="G8322" s="53"/>
    </row>
    <row r="8323">
      <c r="A8323" s="49">
        <v>45108.643425057875</v>
      </c>
      <c r="B8323" s="50">
        <v>45108.7684004398</v>
      </c>
      <c r="C8323" s="51">
        <v>1.004</v>
      </c>
      <c r="D8323" s="51">
        <v>70.0</v>
      </c>
      <c r="E8323" s="52" t="s">
        <v>25</v>
      </c>
      <c r="F8323" s="52" t="s">
        <v>26</v>
      </c>
      <c r="G8323" s="53"/>
    </row>
    <row r="8324">
      <c r="A8324" s="49">
        <v>45108.65384480324</v>
      </c>
      <c r="B8324" s="50">
        <v>45108.7788229282</v>
      </c>
      <c r="C8324" s="51">
        <v>1.004</v>
      </c>
      <c r="D8324" s="51">
        <v>70.0</v>
      </c>
      <c r="E8324" s="52" t="s">
        <v>25</v>
      </c>
      <c r="F8324" s="52" t="s">
        <v>26</v>
      </c>
      <c r="G8324" s="53"/>
    </row>
    <row r="8325">
      <c r="A8325" s="49">
        <v>45108.66427447917</v>
      </c>
      <c r="B8325" s="50">
        <v>45108.789245081</v>
      </c>
      <c r="C8325" s="51">
        <v>1.004</v>
      </c>
      <c r="D8325" s="51">
        <v>70.0</v>
      </c>
      <c r="E8325" s="52" t="s">
        <v>25</v>
      </c>
      <c r="F8325" s="52" t="s">
        <v>26</v>
      </c>
      <c r="G8325" s="53"/>
    </row>
    <row r="8326">
      <c r="A8326" s="49">
        <v>45108.67471290509</v>
      </c>
      <c r="B8326" s="50">
        <v>45108.799690706</v>
      </c>
      <c r="C8326" s="51">
        <v>1.004</v>
      </c>
      <c r="D8326" s="51">
        <v>70.0</v>
      </c>
      <c r="E8326" s="52" t="s">
        <v>25</v>
      </c>
      <c r="F8326" s="52" t="s">
        <v>26</v>
      </c>
      <c r="G8326" s="53"/>
    </row>
    <row r="8327">
      <c r="A8327" s="49">
        <v>45108.685140891204</v>
      </c>
      <c r="B8327" s="50">
        <v>45108.8101122916</v>
      </c>
      <c r="C8327" s="51">
        <v>1.004</v>
      </c>
      <c r="D8327" s="51">
        <v>70.0</v>
      </c>
      <c r="E8327" s="52" t="s">
        <v>25</v>
      </c>
      <c r="F8327" s="52" t="s">
        <v>26</v>
      </c>
      <c r="G8327" s="53"/>
    </row>
    <row r="8328">
      <c r="A8328" s="49">
        <v>45108.69555542824</v>
      </c>
      <c r="B8328" s="50">
        <v>45108.8205326388</v>
      </c>
      <c r="C8328" s="51">
        <v>1.004</v>
      </c>
      <c r="D8328" s="51">
        <v>70.0</v>
      </c>
      <c r="E8328" s="52" t="s">
        <v>25</v>
      </c>
      <c r="F8328" s="52" t="s">
        <v>26</v>
      </c>
      <c r="G8328" s="53"/>
    </row>
    <row r="8329">
      <c r="A8329" s="49">
        <v>45108.70598238426</v>
      </c>
      <c r="B8329" s="50">
        <v>45108.8309541319</v>
      </c>
      <c r="C8329" s="51">
        <v>1.004</v>
      </c>
      <c r="D8329" s="51">
        <v>70.0</v>
      </c>
      <c r="E8329" s="52" t="s">
        <v>25</v>
      </c>
      <c r="F8329" s="52" t="s">
        <v>26</v>
      </c>
      <c r="G8329" s="53"/>
    </row>
    <row r="8330">
      <c r="A8330" s="49">
        <v>45108.716400150464</v>
      </c>
      <c r="B8330" s="50">
        <v>45108.8413744444</v>
      </c>
      <c r="C8330" s="51">
        <v>1.004</v>
      </c>
      <c r="D8330" s="51">
        <v>70.0</v>
      </c>
      <c r="E8330" s="52" t="s">
        <v>25</v>
      </c>
      <c r="F8330" s="52" t="s">
        <v>26</v>
      </c>
      <c r="G8330" s="53"/>
    </row>
    <row r="8331">
      <c r="A8331" s="49">
        <v>45108.72681978009</v>
      </c>
      <c r="B8331" s="50">
        <v>45108.8517952777</v>
      </c>
      <c r="C8331" s="51">
        <v>1.004</v>
      </c>
      <c r="D8331" s="51">
        <v>70.0</v>
      </c>
      <c r="E8331" s="52" t="s">
        <v>25</v>
      </c>
      <c r="F8331" s="52" t="s">
        <v>26</v>
      </c>
      <c r="G8331" s="53"/>
    </row>
    <row r="8332">
      <c r="A8332" s="49">
        <v>45108.73725119213</v>
      </c>
      <c r="B8332" s="50">
        <v>45108.8622263078</v>
      </c>
      <c r="C8332" s="51">
        <v>1.004</v>
      </c>
      <c r="D8332" s="51">
        <v>70.0</v>
      </c>
      <c r="E8332" s="52" t="s">
        <v>25</v>
      </c>
      <c r="F8332" s="52" t="s">
        <v>26</v>
      </c>
      <c r="G8332" s="53"/>
    </row>
    <row r="8333">
      <c r="A8333" s="49">
        <v>45108.74767387731</v>
      </c>
      <c r="B8333" s="50">
        <v>45108.8726465625</v>
      </c>
      <c r="C8333" s="51">
        <v>1.004</v>
      </c>
      <c r="D8333" s="51">
        <v>70.0</v>
      </c>
      <c r="E8333" s="52" t="s">
        <v>25</v>
      </c>
      <c r="F8333" s="52" t="s">
        <v>26</v>
      </c>
      <c r="G8333" s="53"/>
    </row>
    <row r="8334">
      <c r="A8334" s="49">
        <v>45108.75809716435</v>
      </c>
      <c r="B8334" s="50">
        <v>45108.8830701157</v>
      </c>
      <c r="C8334" s="51">
        <v>1.004</v>
      </c>
      <c r="D8334" s="51">
        <v>70.0</v>
      </c>
      <c r="E8334" s="52" t="s">
        <v>25</v>
      </c>
      <c r="F8334" s="52" t="s">
        <v>26</v>
      </c>
      <c r="G8334" s="53"/>
    </row>
    <row r="8335">
      <c r="A8335" s="49">
        <v>45108.76851618056</v>
      </c>
      <c r="B8335" s="50">
        <v>45108.8934909027</v>
      </c>
      <c r="C8335" s="51">
        <v>1.004</v>
      </c>
      <c r="D8335" s="51">
        <v>70.0</v>
      </c>
      <c r="E8335" s="52" t="s">
        <v>25</v>
      </c>
      <c r="F8335" s="52" t="s">
        <v>26</v>
      </c>
      <c r="G8335" s="53"/>
    </row>
    <row r="8336">
      <c r="A8336" s="49">
        <v>45108.778941909724</v>
      </c>
      <c r="B8336" s="50">
        <v>45108.9039259027</v>
      </c>
      <c r="C8336" s="51">
        <v>1.004</v>
      </c>
      <c r="D8336" s="51">
        <v>70.0</v>
      </c>
      <c r="E8336" s="52" t="s">
        <v>25</v>
      </c>
      <c r="F8336" s="52" t="s">
        <v>26</v>
      </c>
      <c r="G8336" s="53"/>
    </row>
    <row r="8337">
      <c r="A8337" s="49">
        <v>45108.78936934027</v>
      </c>
      <c r="B8337" s="50">
        <v>45108.9143467245</v>
      </c>
      <c r="C8337" s="51">
        <v>1.004</v>
      </c>
      <c r="D8337" s="51">
        <v>70.0</v>
      </c>
      <c r="E8337" s="52" t="s">
        <v>25</v>
      </c>
      <c r="F8337" s="52" t="s">
        <v>26</v>
      </c>
      <c r="G8337" s="53"/>
    </row>
    <row r="8338">
      <c r="A8338" s="49">
        <v>45108.799787083335</v>
      </c>
      <c r="B8338" s="50">
        <v>45108.9247682291</v>
      </c>
      <c r="C8338" s="51">
        <v>1.004</v>
      </c>
      <c r="D8338" s="51">
        <v>70.0</v>
      </c>
      <c r="E8338" s="52" t="s">
        <v>25</v>
      </c>
      <c r="F8338" s="52" t="s">
        <v>26</v>
      </c>
      <c r="G8338" s="53"/>
    </row>
    <row r="8339">
      <c r="A8339" s="49">
        <v>45108.81021260416</v>
      </c>
      <c r="B8339" s="50">
        <v>45108.9351889351</v>
      </c>
      <c r="C8339" s="51">
        <v>1.005</v>
      </c>
      <c r="D8339" s="51">
        <v>70.0</v>
      </c>
      <c r="E8339" s="52" t="s">
        <v>25</v>
      </c>
      <c r="F8339" s="52" t="s">
        <v>26</v>
      </c>
      <c r="G8339" s="53"/>
    </row>
    <row r="8340">
      <c r="A8340" s="49">
        <v>45108.820629050926</v>
      </c>
      <c r="B8340" s="50">
        <v>45108.9456102893</v>
      </c>
      <c r="C8340" s="51">
        <v>1.004</v>
      </c>
      <c r="D8340" s="51">
        <v>70.0</v>
      </c>
      <c r="E8340" s="52" t="s">
        <v>25</v>
      </c>
      <c r="F8340" s="52" t="s">
        <v>26</v>
      </c>
      <c r="G8340" s="53"/>
    </row>
    <row r="8341">
      <c r="A8341" s="49">
        <v>45108.83106752315</v>
      </c>
      <c r="B8341" s="50">
        <v>45108.9560308449</v>
      </c>
      <c r="C8341" s="51">
        <v>1.004</v>
      </c>
      <c r="D8341" s="51">
        <v>70.0</v>
      </c>
      <c r="E8341" s="52" t="s">
        <v>25</v>
      </c>
      <c r="F8341" s="52" t="s">
        <v>26</v>
      </c>
      <c r="G8341" s="53"/>
    </row>
    <row r="8342">
      <c r="A8342" s="49">
        <v>45108.84147153935</v>
      </c>
      <c r="B8342" s="50">
        <v>45108.966453287</v>
      </c>
      <c r="C8342" s="51">
        <v>1.004</v>
      </c>
      <c r="D8342" s="51">
        <v>70.0</v>
      </c>
      <c r="E8342" s="52" t="s">
        <v>25</v>
      </c>
      <c r="F8342" s="52" t="s">
        <v>26</v>
      </c>
      <c r="G8342" s="53"/>
    </row>
    <row r="8343">
      <c r="A8343" s="49">
        <v>45108.851897754634</v>
      </c>
      <c r="B8343" s="50">
        <v>45108.9768737268</v>
      </c>
      <c r="C8343" s="51">
        <v>1.004</v>
      </c>
      <c r="D8343" s="51">
        <v>70.0</v>
      </c>
      <c r="E8343" s="52" t="s">
        <v>25</v>
      </c>
      <c r="F8343" s="52" t="s">
        <v>26</v>
      </c>
      <c r="G8343" s="53"/>
    </row>
    <row r="8344">
      <c r="A8344" s="49">
        <v>45108.86235282407</v>
      </c>
      <c r="B8344" s="50">
        <v>45108.9873205324</v>
      </c>
      <c r="C8344" s="51">
        <v>1.004</v>
      </c>
      <c r="D8344" s="51">
        <v>70.0</v>
      </c>
      <c r="E8344" s="52" t="s">
        <v>25</v>
      </c>
      <c r="F8344" s="52" t="s">
        <v>26</v>
      </c>
      <c r="G8344" s="53"/>
    </row>
    <row r="8345">
      <c r="A8345" s="49">
        <v>45108.87277163194</v>
      </c>
      <c r="B8345" s="50">
        <v>45108.9977451388</v>
      </c>
      <c r="C8345" s="51">
        <v>1.004</v>
      </c>
      <c r="D8345" s="51">
        <v>70.0</v>
      </c>
      <c r="E8345" s="52" t="s">
        <v>25</v>
      </c>
      <c r="F8345" s="52" t="s">
        <v>26</v>
      </c>
      <c r="G8345" s="53"/>
    </row>
    <row r="8346">
      <c r="A8346" s="49">
        <v>45108.883204467595</v>
      </c>
      <c r="B8346" s="50">
        <v>45109.0081767245</v>
      </c>
      <c r="C8346" s="51">
        <v>1.004</v>
      </c>
      <c r="D8346" s="51">
        <v>70.0</v>
      </c>
      <c r="E8346" s="52" t="s">
        <v>25</v>
      </c>
      <c r="F8346" s="52" t="s">
        <v>26</v>
      </c>
      <c r="G8346" s="53"/>
    </row>
    <row r="8347">
      <c r="A8347" s="49">
        <v>45108.893617118054</v>
      </c>
      <c r="B8347" s="50">
        <v>45109.0185970486</v>
      </c>
      <c r="C8347" s="51">
        <v>1.004</v>
      </c>
      <c r="D8347" s="51">
        <v>70.0</v>
      </c>
      <c r="E8347" s="52" t="s">
        <v>25</v>
      </c>
      <c r="F8347" s="52" t="s">
        <v>26</v>
      </c>
      <c r="G8347" s="53"/>
    </row>
    <row r="8348">
      <c r="A8348" s="49">
        <v>45108.90404125</v>
      </c>
      <c r="B8348" s="50">
        <v>45109.0290197106</v>
      </c>
      <c r="C8348" s="51">
        <v>1.004</v>
      </c>
      <c r="D8348" s="51">
        <v>70.0</v>
      </c>
      <c r="E8348" s="52" t="s">
        <v>25</v>
      </c>
      <c r="F8348" s="52" t="s">
        <v>26</v>
      </c>
      <c r="G8348" s="53"/>
    </row>
    <row r="8349">
      <c r="A8349" s="49">
        <v>45108.914464710644</v>
      </c>
      <c r="B8349" s="50">
        <v>45109.0394408564</v>
      </c>
      <c r="C8349" s="51">
        <v>1.004</v>
      </c>
      <c r="D8349" s="51">
        <v>70.0</v>
      </c>
      <c r="E8349" s="52" t="s">
        <v>25</v>
      </c>
      <c r="F8349" s="52" t="s">
        <v>26</v>
      </c>
      <c r="G8349" s="53"/>
    </row>
    <row r="8350">
      <c r="A8350" s="49">
        <v>45108.924885659726</v>
      </c>
      <c r="B8350" s="50">
        <v>45109.0498619097</v>
      </c>
      <c r="C8350" s="51">
        <v>1.004</v>
      </c>
      <c r="D8350" s="51">
        <v>70.0</v>
      </c>
      <c r="E8350" s="52" t="s">
        <v>25</v>
      </c>
      <c r="F8350" s="52" t="s">
        <v>26</v>
      </c>
      <c r="G8350" s="53"/>
    </row>
    <row r="8351">
      <c r="A8351" s="49">
        <v>45108.935306747684</v>
      </c>
      <c r="B8351" s="50">
        <v>45109.0602831944</v>
      </c>
      <c r="C8351" s="51">
        <v>1.004</v>
      </c>
      <c r="D8351" s="51">
        <v>70.0</v>
      </c>
      <c r="E8351" s="52" t="s">
        <v>25</v>
      </c>
      <c r="F8351" s="52" t="s">
        <v>26</v>
      </c>
      <c r="G8351" s="53"/>
    </row>
    <row r="8352">
      <c r="A8352" s="49">
        <v>45108.945731342596</v>
      </c>
      <c r="B8352" s="50">
        <v>45109.0707073611</v>
      </c>
      <c r="C8352" s="51">
        <v>1.004</v>
      </c>
      <c r="D8352" s="51">
        <v>70.0</v>
      </c>
      <c r="E8352" s="52" t="s">
        <v>25</v>
      </c>
      <c r="F8352" s="52" t="s">
        <v>26</v>
      </c>
      <c r="G8352" s="53"/>
    </row>
    <row r="8353">
      <c r="A8353" s="49">
        <v>45108.956155300926</v>
      </c>
      <c r="B8353" s="50">
        <v>45109.0811296759</v>
      </c>
      <c r="C8353" s="51">
        <v>1.004</v>
      </c>
      <c r="D8353" s="51">
        <v>70.0</v>
      </c>
      <c r="E8353" s="52" t="s">
        <v>25</v>
      </c>
      <c r="F8353" s="52" t="s">
        <v>26</v>
      </c>
      <c r="G8353" s="53"/>
    </row>
    <row r="8354">
      <c r="A8354" s="49">
        <v>45108.966585601855</v>
      </c>
      <c r="B8354" s="50">
        <v>45109.091564375</v>
      </c>
      <c r="C8354" s="51">
        <v>1.004</v>
      </c>
      <c r="D8354" s="51">
        <v>70.0</v>
      </c>
      <c r="E8354" s="52" t="s">
        <v>25</v>
      </c>
      <c r="F8354" s="52" t="s">
        <v>26</v>
      </c>
      <c r="G8354" s="53"/>
    </row>
    <row r="8355">
      <c r="A8355" s="49">
        <v>45108.977001990745</v>
      </c>
      <c r="B8355" s="50">
        <v>45109.1019853703</v>
      </c>
      <c r="C8355" s="51">
        <v>1.004</v>
      </c>
      <c r="D8355" s="51">
        <v>70.0</v>
      </c>
      <c r="E8355" s="52" t="s">
        <v>25</v>
      </c>
      <c r="F8355" s="52" t="s">
        <v>26</v>
      </c>
      <c r="G8355" s="53"/>
    </row>
    <row r="8356">
      <c r="A8356" s="49">
        <v>45108.98743148148</v>
      </c>
      <c r="B8356" s="50">
        <v>45109.1124079282</v>
      </c>
      <c r="C8356" s="51">
        <v>1.004</v>
      </c>
      <c r="D8356" s="51">
        <v>70.0</v>
      </c>
      <c r="E8356" s="52" t="s">
        <v>25</v>
      </c>
      <c r="F8356" s="52" t="s">
        <v>26</v>
      </c>
      <c r="G8356" s="53"/>
    </row>
    <row r="8357">
      <c r="A8357" s="49">
        <v>45108.997846238424</v>
      </c>
      <c r="B8357" s="50">
        <v>45109.1228289583</v>
      </c>
      <c r="C8357" s="51">
        <v>1.004</v>
      </c>
      <c r="D8357" s="51">
        <v>70.0</v>
      </c>
      <c r="E8357" s="52" t="s">
        <v>25</v>
      </c>
      <c r="F8357" s="52" t="s">
        <v>26</v>
      </c>
      <c r="G8357" s="53"/>
    </row>
    <row r="8358">
      <c r="A8358" s="49">
        <v>45109.00827766204</v>
      </c>
      <c r="B8358" s="50">
        <v>45109.1332496759</v>
      </c>
      <c r="C8358" s="51">
        <v>1.004</v>
      </c>
      <c r="D8358" s="51">
        <v>70.0</v>
      </c>
      <c r="E8358" s="52" t="s">
        <v>25</v>
      </c>
      <c r="F8358" s="52" t="s">
        <v>26</v>
      </c>
      <c r="G8358" s="53"/>
    </row>
    <row r="8359">
      <c r="A8359" s="49">
        <v>45109.01870247685</v>
      </c>
      <c r="B8359" s="50">
        <v>45109.1436724074</v>
      </c>
      <c r="C8359" s="51">
        <v>1.004</v>
      </c>
      <c r="D8359" s="51">
        <v>70.0</v>
      </c>
      <c r="E8359" s="52" t="s">
        <v>25</v>
      </c>
      <c r="F8359" s="52" t="s">
        <v>26</v>
      </c>
      <c r="G8359" s="53"/>
    </row>
    <row r="8360">
      <c r="A8360" s="49">
        <v>45109.029119178245</v>
      </c>
      <c r="B8360" s="50">
        <v>45109.1540929976</v>
      </c>
      <c r="C8360" s="51">
        <v>1.004</v>
      </c>
      <c r="D8360" s="51">
        <v>70.0</v>
      </c>
      <c r="E8360" s="52" t="s">
        <v>25</v>
      </c>
      <c r="F8360" s="52" t="s">
        <v>26</v>
      </c>
      <c r="G8360" s="53"/>
    </row>
    <row r="8361">
      <c r="A8361" s="49">
        <v>45109.039538321755</v>
      </c>
      <c r="B8361" s="50">
        <v>45109.1645137963</v>
      </c>
      <c r="C8361" s="51">
        <v>1.004</v>
      </c>
      <c r="D8361" s="51">
        <v>70.0</v>
      </c>
      <c r="E8361" s="52" t="s">
        <v>25</v>
      </c>
      <c r="F8361" s="52" t="s">
        <v>26</v>
      </c>
      <c r="G8361" s="53"/>
    </row>
    <row r="8362">
      <c r="A8362" s="49">
        <v>45109.04996405092</v>
      </c>
      <c r="B8362" s="50">
        <v>45109.1749349884</v>
      </c>
      <c r="C8362" s="51">
        <v>1.004</v>
      </c>
      <c r="D8362" s="51">
        <v>70.0</v>
      </c>
      <c r="E8362" s="52" t="s">
        <v>25</v>
      </c>
      <c r="F8362" s="52" t="s">
        <v>26</v>
      </c>
      <c r="G8362" s="53"/>
    </row>
    <row r="8363">
      <c r="A8363" s="49">
        <v>45109.06037759259</v>
      </c>
      <c r="B8363" s="50">
        <v>45109.1853561805</v>
      </c>
      <c r="C8363" s="51">
        <v>1.004</v>
      </c>
      <c r="D8363" s="51">
        <v>70.0</v>
      </c>
      <c r="E8363" s="52" t="s">
        <v>25</v>
      </c>
      <c r="F8363" s="52" t="s">
        <v>26</v>
      </c>
      <c r="G8363" s="53"/>
    </row>
    <row r="8364">
      <c r="A8364" s="49">
        <v>45109.07080476852</v>
      </c>
      <c r="B8364" s="50">
        <v>45109.1957773032</v>
      </c>
      <c r="C8364" s="51">
        <v>1.004</v>
      </c>
      <c r="D8364" s="51">
        <v>70.0</v>
      </c>
      <c r="E8364" s="52" t="s">
        <v>25</v>
      </c>
      <c r="F8364" s="52" t="s">
        <v>26</v>
      </c>
      <c r="G8364" s="53"/>
    </row>
    <row r="8365">
      <c r="A8365" s="49">
        <v>45109.08121936343</v>
      </c>
      <c r="B8365" s="50">
        <v>45109.2061989583</v>
      </c>
      <c r="C8365" s="51">
        <v>1.004</v>
      </c>
      <c r="D8365" s="51">
        <v>70.0</v>
      </c>
      <c r="E8365" s="52" t="s">
        <v>25</v>
      </c>
      <c r="F8365" s="52" t="s">
        <v>26</v>
      </c>
      <c r="G8365" s="53"/>
    </row>
    <row r="8366">
      <c r="A8366" s="49">
        <v>45109.091646493056</v>
      </c>
      <c r="B8366" s="50">
        <v>45109.2166213773</v>
      </c>
      <c r="C8366" s="51">
        <v>1.004</v>
      </c>
      <c r="D8366" s="51">
        <v>70.0</v>
      </c>
      <c r="E8366" s="52" t="s">
        <v>25</v>
      </c>
      <c r="F8366" s="52" t="s">
        <v>26</v>
      </c>
      <c r="G8366" s="53"/>
    </row>
    <row r="8367">
      <c r="A8367" s="49">
        <v>45109.102074490744</v>
      </c>
      <c r="B8367" s="50">
        <v>45109.2270439467</v>
      </c>
      <c r="C8367" s="51">
        <v>1.004</v>
      </c>
      <c r="D8367" s="51">
        <v>70.0</v>
      </c>
      <c r="E8367" s="52" t="s">
        <v>25</v>
      </c>
      <c r="F8367" s="52" t="s">
        <v>26</v>
      </c>
      <c r="G8367" s="53"/>
    </row>
    <row r="8368">
      <c r="A8368" s="49">
        <v>45109.112509467595</v>
      </c>
      <c r="B8368" s="50">
        <v>45109.2374794444</v>
      </c>
      <c r="C8368" s="51">
        <v>1.004</v>
      </c>
      <c r="D8368" s="51">
        <v>70.0</v>
      </c>
      <c r="E8368" s="52" t="s">
        <v>25</v>
      </c>
      <c r="F8368" s="52" t="s">
        <v>26</v>
      </c>
      <c r="G8368" s="53"/>
    </row>
    <row r="8369">
      <c r="A8369" s="49">
        <v>45109.12293482639</v>
      </c>
      <c r="B8369" s="50">
        <v>45109.2479001041</v>
      </c>
      <c r="C8369" s="51">
        <v>1.004</v>
      </c>
      <c r="D8369" s="51">
        <v>70.0</v>
      </c>
      <c r="E8369" s="52" t="s">
        <v>25</v>
      </c>
      <c r="F8369" s="52" t="s">
        <v>26</v>
      </c>
      <c r="G8369" s="53"/>
    </row>
    <row r="8370">
      <c r="A8370" s="49">
        <v>45109.13334060185</v>
      </c>
      <c r="B8370" s="50">
        <v>45109.2583200231</v>
      </c>
      <c r="C8370" s="51">
        <v>1.004</v>
      </c>
      <c r="D8370" s="51">
        <v>70.0</v>
      </c>
      <c r="E8370" s="52" t="s">
        <v>25</v>
      </c>
      <c r="F8370" s="52" t="s">
        <v>26</v>
      </c>
      <c r="G8370" s="53"/>
    </row>
    <row r="8371">
      <c r="A8371" s="49">
        <v>45109.14377059028</v>
      </c>
      <c r="B8371" s="50">
        <v>45109.2687414814</v>
      </c>
      <c r="C8371" s="51">
        <v>1.004</v>
      </c>
      <c r="D8371" s="51">
        <v>70.0</v>
      </c>
      <c r="E8371" s="52" t="s">
        <v>25</v>
      </c>
      <c r="F8371" s="52" t="s">
        <v>26</v>
      </c>
      <c r="G8371" s="53"/>
    </row>
    <row r="8372">
      <c r="A8372" s="49">
        <v>45109.15418827547</v>
      </c>
      <c r="B8372" s="50">
        <v>45109.2791632754</v>
      </c>
      <c r="C8372" s="51">
        <v>1.004</v>
      </c>
      <c r="D8372" s="51">
        <v>70.0</v>
      </c>
      <c r="E8372" s="52" t="s">
        <v>25</v>
      </c>
      <c r="F8372" s="52" t="s">
        <v>26</v>
      </c>
      <c r="G8372" s="53"/>
    </row>
    <row r="8373">
      <c r="A8373" s="49">
        <v>45109.16461277778</v>
      </c>
      <c r="B8373" s="50">
        <v>45109.2895845601</v>
      </c>
      <c r="C8373" s="51">
        <v>1.004</v>
      </c>
      <c r="D8373" s="51">
        <v>70.0</v>
      </c>
      <c r="E8373" s="52" t="s">
        <v>25</v>
      </c>
      <c r="F8373" s="52" t="s">
        <v>26</v>
      </c>
      <c r="G8373" s="53"/>
    </row>
    <row r="8374">
      <c r="A8374" s="49">
        <v>45109.175035057866</v>
      </c>
      <c r="B8374" s="50">
        <v>45109.3000081828</v>
      </c>
      <c r="C8374" s="51">
        <v>1.004</v>
      </c>
      <c r="D8374" s="51">
        <v>70.0</v>
      </c>
      <c r="E8374" s="52" t="s">
        <v>25</v>
      </c>
      <c r="F8374" s="52" t="s">
        <v>26</v>
      </c>
      <c r="G8374" s="53"/>
    </row>
    <row r="8375">
      <c r="A8375" s="49">
        <v>45109.185453032405</v>
      </c>
      <c r="B8375" s="50">
        <v>45109.310429456</v>
      </c>
      <c r="C8375" s="51">
        <v>1.004</v>
      </c>
      <c r="D8375" s="51">
        <v>70.0</v>
      </c>
      <c r="E8375" s="52" t="s">
        <v>25</v>
      </c>
      <c r="F8375" s="52" t="s">
        <v>26</v>
      </c>
      <c r="G8375" s="53"/>
    </row>
    <row r="8376">
      <c r="A8376" s="49">
        <v>45109.195882280095</v>
      </c>
      <c r="B8376" s="50">
        <v>45109.320863125</v>
      </c>
      <c r="C8376" s="51">
        <v>1.004</v>
      </c>
      <c r="D8376" s="51">
        <v>70.0</v>
      </c>
      <c r="E8376" s="52" t="s">
        <v>25</v>
      </c>
      <c r="F8376" s="52" t="s">
        <v>26</v>
      </c>
      <c r="G8376" s="53"/>
    </row>
    <row r="8377">
      <c r="A8377" s="49">
        <v>45109.206302384264</v>
      </c>
      <c r="B8377" s="50">
        <v>45109.3312809838</v>
      </c>
      <c r="C8377" s="51">
        <v>1.004</v>
      </c>
      <c r="D8377" s="51">
        <v>70.0</v>
      </c>
      <c r="E8377" s="52" t="s">
        <v>25</v>
      </c>
      <c r="F8377" s="52" t="s">
        <v>26</v>
      </c>
      <c r="G8377" s="53"/>
    </row>
    <row r="8378">
      <c r="A8378" s="49">
        <v>45109.21672660879</v>
      </c>
      <c r="B8378" s="50">
        <v>45109.3417023726</v>
      </c>
      <c r="C8378" s="51">
        <v>1.004</v>
      </c>
      <c r="D8378" s="51">
        <v>70.0</v>
      </c>
      <c r="E8378" s="52" t="s">
        <v>25</v>
      </c>
      <c r="F8378" s="52" t="s">
        <v>26</v>
      </c>
      <c r="G8378" s="53"/>
    </row>
    <row r="8379">
      <c r="A8379" s="49">
        <v>45109.22716145833</v>
      </c>
      <c r="B8379" s="50">
        <v>45109.3521360416</v>
      </c>
      <c r="C8379" s="51">
        <v>1.004</v>
      </c>
      <c r="D8379" s="51">
        <v>70.0</v>
      </c>
      <c r="E8379" s="52" t="s">
        <v>25</v>
      </c>
      <c r="F8379" s="52" t="s">
        <v>26</v>
      </c>
      <c r="G8379" s="53"/>
    </row>
    <row r="8380">
      <c r="A8380" s="49">
        <v>45109.23758605324</v>
      </c>
      <c r="B8380" s="50">
        <v>45109.3625565509</v>
      </c>
      <c r="C8380" s="51">
        <v>1.004</v>
      </c>
      <c r="D8380" s="51">
        <v>70.0</v>
      </c>
      <c r="E8380" s="52" t="s">
        <v>25</v>
      </c>
      <c r="F8380" s="52" t="s">
        <v>26</v>
      </c>
      <c r="G8380" s="53"/>
    </row>
    <row r="8381">
      <c r="A8381" s="49">
        <v>45109.24801790509</v>
      </c>
      <c r="B8381" s="50">
        <v>45109.3729880555</v>
      </c>
      <c r="C8381" s="51">
        <v>1.004</v>
      </c>
      <c r="D8381" s="51">
        <v>70.0</v>
      </c>
      <c r="E8381" s="52" t="s">
        <v>25</v>
      </c>
      <c r="F8381" s="52" t="s">
        <v>26</v>
      </c>
      <c r="G8381" s="53"/>
    </row>
    <row r="8382">
      <c r="A8382" s="49">
        <v>45109.258446782405</v>
      </c>
      <c r="B8382" s="50">
        <v>45109.3834162847</v>
      </c>
      <c r="C8382" s="51">
        <v>1.004</v>
      </c>
      <c r="D8382" s="51">
        <v>70.0</v>
      </c>
      <c r="E8382" s="52" t="s">
        <v>25</v>
      </c>
      <c r="F8382" s="52" t="s">
        <v>26</v>
      </c>
      <c r="G8382" s="53"/>
    </row>
    <row r="8383">
      <c r="A8383" s="49">
        <v>45109.268859710646</v>
      </c>
      <c r="B8383" s="50">
        <v>45109.3938386689</v>
      </c>
      <c r="C8383" s="51">
        <v>1.004</v>
      </c>
      <c r="D8383" s="51">
        <v>70.0</v>
      </c>
      <c r="E8383" s="52" t="s">
        <v>25</v>
      </c>
      <c r="F8383" s="52" t="s">
        <v>26</v>
      </c>
      <c r="G8383" s="53"/>
    </row>
    <row r="8384">
      <c r="A8384" s="49">
        <v>45109.279278738424</v>
      </c>
      <c r="B8384" s="50">
        <v>45109.40425728</v>
      </c>
      <c r="C8384" s="51">
        <v>1.004</v>
      </c>
      <c r="D8384" s="51">
        <v>70.0</v>
      </c>
      <c r="E8384" s="52" t="s">
        <v>25</v>
      </c>
      <c r="F8384" s="52" t="s">
        <v>26</v>
      </c>
      <c r="G8384" s="53"/>
    </row>
    <row r="8385">
      <c r="A8385" s="49">
        <v>45109.28974003472</v>
      </c>
      <c r="B8385" s="50">
        <v>45109.4147102199</v>
      </c>
      <c r="C8385" s="51">
        <v>1.004</v>
      </c>
      <c r="D8385" s="51">
        <v>70.0</v>
      </c>
      <c r="E8385" s="52" t="s">
        <v>25</v>
      </c>
      <c r="F8385" s="52" t="s">
        <v>26</v>
      </c>
      <c r="G8385" s="53"/>
    </row>
    <row r="8386">
      <c r="A8386" s="49">
        <v>45109.300153703705</v>
      </c>
      <c r="B8386" s="50">
        <v>45109.425129537</v>
      </c>
      <c r="C8386" s="51">
        <v>1.004</v>
      </c>
      <c r="D8386" s="51">
        <v>70.0</v>
      </c>
      <c r="E8386" s="52" t="s">
        <v>25</v>
      </c>
      <c r="F8386" s="52" t="s">
        <v>26</v>
      </c>
      <c r="G8386" s="53"/>
    </row>
    <row r="8387">
      <c r="A8387" s="49">
        <v>45109.31057971065</v>
      </c>
      <c r="B8387" s="50">
        <v>45109.4355538888</v>
      </c>
      <c r="C8387" s="51">
        <v>1.004</v>
      </c>
      <c r="D8387" s="51">
        <v>70.0</v>
      </c>
      <c r="E8387" s="52" t="s">
        <v>25</v>
      </c>
      <c r="F8387" s="52" t="s">
        <v>26</v>
      </c>
      <c r="G8387" s="53"/>
    </row>
    <row r="8388">
      <c r="A8388" s="49">
        <v>45109.32099729167</v>
      </c>
      <c r="B8388" s="50">
        <v>45109.4459746064</v>
      </c>
      <c r="C8388" s="51">
        <v>1.004</v>
      </c>
      <c r="D8388" s="51">
        <v>70.0</v>
      </c>
      <c r="E8388" s="52" t="s">
        <v>25</v>
      </c>
      <c r="F8388" s="52" t="s">
        <v>26</v>
      </c>
      <c r="G8388" s="53"/>
    </row>
    <row r="8389">
      <c r="A8389" s="49">
        <v>45109.331411562496</v>
      </c>
      <c r="B8389" s="50">
        <v>45109.4563956018</v>
      </c>
      <c r="C8389" s="51">
        <v>1.004</v>
      </c>
      <c r="D8389" s="51">
        <v>70.0</v>
      </c>
      <c r="E8389" s="52" t="s">
        <v>25</v>
      </c>
      <c r="F8389" s="52" t="s">
        <v>26</v>
      </c>
      <c r="G8389" s="53"/>
    </row>
    <row r="8390">
      <c r="A8390" s="49">
        <v>45109.34184743055</v>
      </c>
      <c r="B8390" s="50">
        <v>45109.4668187847</v>
      </c>
      <c r="C8390" s="51">
        <v>1.004</v>
      </c>
      <c r="D8390" s="51">
        <v>70.0</v>
      </c>
      <c r="E8390" s="52" t="s">
        <v>25</v>
      </c>
      <c r="F8390" s="52" t="s">
        <v>26</v>
      </c>
      <c r="G8390" s="53"/>
    </row>
    <row r="8391">
      <c r="A8391" s="49">
        <v>45109.35227859954</v>
      </c>
      <c r="B8391" s="50">
        <v>45109.4772504861</v>
      </c>
      <c r="C8391" s="51">
        <v>1.004</v>
      </c>
      <c r="D8391" s="51">
        <v>70.0</v>
      </c>
      <c r="E8391" s="52" t="s">
        <v>25</v>
      </c>
      <c r="F8391" s="52" t="s">
        <v>26</v>
      </c>
      <c r="G8391" s="53"/>
    </row>
    <row r="8392">
      <c r="A8392" s="49">
        <v>45109.36268983796</v>
      </c>
      <c r="B8392" s="50">
        <v>45109.4876716088</v>
      </c>
      <c r="C8392" s="51">
        <v>1.004</v>
      </c>
      <c r="D8392" s="51">
        <v>70.0</v>
      </c>
      <c r="E8392" s="52" t="s">
        <v>25</v>
      </c>
      <c r="F8392" s="52" t="s">
        <v>26</v>
      </c>
      <c r="G8392" s="53"/>
    </row>
    <row r="8393">
      <c r="A8393" s="49">
        <v>45109.373115243056</v>
      </c>
      <c r="B8393" s="50">
        <v>45109.4980934027</v>
      </c>
      <c r="C8393" s="51">
        <v>1.004</v>
      </c>
      <c r="D8393" s="51">
        <v>70.0</v>
      </c>
      <c r="E8393" s="52" t="s">
        <v>25</v>
      </c>
      <c r="F8393" s="52" t="s">
        <v>26</v>
      </c>
      <c r="G8393" s="53"/>
    </row>
    <row r="8394">
      <c r="A8394" s="49">
        <v>45109.383560937495</v>
      </c>
      <c r="B8394" s="50">
        <v>45109.5085383333</v>
      </c>
      <c r="C8394" s="51">
        <v>1.004</v>
      </c>
      <c r="D8394" s="51">
        <v>70.0</v>
      </c>
      <c r="E8394" s="52" t="s">
        <v>25</v>
      </c>
      <c r="F8394" s="52" t="s">
        <v>26</v>
      </c>
      <c r="G8394" s="53"/>
    </row>
    <row r="8395">
      <c r="A8395" s="49">
        <v>45109.39400712963</v>
      </c>
      <c r="B8395" s="50">
        <v>45109.5189803125</v>
      </c>
      <c r="C8395" s="51">
        <v>1.004</v>
      </c>
      <c r="D8395" s="51">
        <v>70.0</v>
      </c>
      <c r="E8395" s="52" t="s">
        <v>25</v>
      </c>
      <c r="F8395" s="52" t="s">
        <v>26</v>
      </c>
      <c r="G8395" s="53"/>
    </row>
    <row r="8396">
      <c r="A8396" s="49">
        <v>45109.40441903935</v>
      </c>
      <c r="B8396" s="50">
        <v>45109.5294011226</v>
      </c>
      <c r="C8396" s="51">
        <v>1.004</v>
      </c>
      <c r="D8396" s="51">
        <v>70.0</v>
      </c>
      <c r="E8396" s="52" t="s">
        <v>25</v>
      </c>
      <c r="F8396" s="52" t="s">
        <v>26</v>
      </c>
      <c r="G8396" s="53"/>
    </row>
    <row r="8397">
      <c r="A8397" s="49">
        <v>45109.414840578705</v>
      </c>
      <c r="B8397" s="50">
        <v>45109.5398228009</v>
      </c>
      <c r="C8397" s="51">
        <v>1.004</v>
      </c>
      <c r="D8397" s="51">
        <v>70.0</v>
      </c>
      <c r="E8397" s="52" t="s">
        <v>25</v>
      </c>
      <c r="F8397" s="52" t="s">
        <v>26</v>
      </c>
      <c r="G8397" s="53"/>
    </row>
    <row r="8398">
      <c r="A8398" s="49">
        <v>45109.425266087965</v>
      </c>
      <c r="B8398" s="50">
        <v>45109.5502433217</v>
      </c>
      <c r="C8398" s="51">
        <v>1.004</v>
      </c>
      <c r="D8398" s="51">
        <v>70.0</v>
      </c>
      <c r="E8398" s="52" t="s">
        <v>25</v>
      </c>
      <c r="F8398" s="52" t="s">
        <v>26</v>
      </c>
      <c r="G8398" s="53"/>
    </row>
    <row r="8399">
      <c r="A8399" s="49">
        <v>45109.4356837963</v>
      </c>
      <c r="B8399" s="50">
        <v>45109.5606649305</v>
      </c>
      <c r="C8399" s="51">
        <v>1.004</v>
      </c>
      <c r="D8399" s="51">
        <v>70.0</v>
      </c>
      <c r="E8399" s="52" t="s">
        <v>25</v>
      </c>
      <c r="F8399" s="52" t="s">
        <v>26</v>
      </c>
      <c r="G8399" s="53"/>
    </row>
    <row r="8400">
      <c r="A8400" s="49">
        <v>45109.44610395833</v>
      </c>
      <c r="B8400" s="50">
        <v>45109.571086875</v>
      </c>
      <c r="C8400" s="51">
        <v>1.004</v>
      </c>
      <c r="D8400" s="51">
        <v>70.0</v>
      </c>
      <c r="E8400" s="52" t="s">
        <v>25</v>
      </c>
      <c r="F8400" s="52" t="s">
        <v>26</v>
      </c>
      <c r="G8400" s="53"/>
    </row>
    <row r="8401">
      <c r="A8401" s="49">
        <v>45109.456536134254</v>
      </c>
      <c r="B8401" s="50">
        <v>45109.5815095486</v>
      </c>
      <c r="C8401" s="51">
        <v>1.004</v>
      </c>
      <c r="D8401" s="51">
        <v>70.0</v>
      </c>
      <c r="E8401" s="52" t="s">
        <v>25</v>
      </c>
      <c r="F8401" s="52" t="s">
        <v>26</v>
      </c>
      <c r="G8401" s="53"/>
    </row>
    <row r="8402">
      <c r="A8402" s="49">
        <v>45109.46696034722</v>
      </c>
      <c r="B8402" s="50">
        <v>45109.5919318981</v>
      </c>
      <c r="C8402" s="51">
        <v>1.004</v>
      </c>
      <c r="D8402" s="51">
        <v>70.0</v>
      </c>
      <c r="E8402" s="52" t="s">
        <v>25</v>
      </c>
      <c r="F8402" s="52" t="s">
        <v>26</v>
      </c>
      <c r="G8402" s="53"/>
    </row>
    <row r="8403">
      <c r="A8403" s="49">
        <v>45109.4773847801</v>
      </c>
      <c r="B8403" s="50">
        <v>45109.6023539814</v>
      </c>
      <c r="C8403" s="51">
        <v>1.004</v>
      </c>
      <c r="D8403" s="51">
        <v>70.0</v>
      </c>
      <c r="E8403" s="52" t="s">
        <v>25</v>
      </c>
      <c r="F8403" s="52" t="s">
        <v>26</v>
      </c>
      <c r="G8403" s="53"/>
    </row>
    <row r="8404">
      <c r="A8404" s="49">
        <v>45109.48782234953</v>
      </c>
      <c r="B8404" s="50">
        <v>45109.6127980787</v>
      </c>
      <c r="C8404" s="51">
        <v>1.004</v>
      </c>
      <c r="D8404" s="51">
        <v>70.0</v>
      </c>
      <c r="E8404" s="52" t="s">
        <v>25</v>
      </c>
      <c r="F8404" s="52" t="s">
        <v>26</v>
      </c>
      <c r="G8404" s="53"/>
    </row>
    <row r="8405">
      <c r="A8405" s="49">
        <v>45109.498239988425</v>
      </c>
      <c r="B8405" s="50">
        <v>45109.6232172453</v>
      </c>
      <c r="C8405" s="51">
        <v>1.004</v>
      </c>
      <c r="D8405" s="51">
        <v>70.0</v>
      </c>
      <c r="E8405" s="52" t="s">
        <v>25</v>
      </c>
      <c r="F8405" s="52" t="s">
        <v>26</v>
      </c>
      <c r="G8405" s="53"/>
    </row>
    <row r="8406">
      <c r="A8406" s="49">
        <v>45109.50865894676</v>
      </c>
      <c r="B8406" s="50">
        <v>45109.6336385995</v>
      </c>
      <c r="C8406" s="51">
        <v>1.004</v>
      </c>
      <c r="D8406" s="51">
        <v>70.0</v>
      </c>
      <c r="E8406" s="52" t="s">
        <v>25</v>
      </c>
      <c r="F8406" s="52" t="s">
        <v>26</v>
      </c>
      <c r="G8406" s="53"/>
    </row>
    <row r="8407">
      <c r="A8407" s="49">
        <v>45109.51907689815</v>
      </c>
      <c r="B8407" s="50">
        <v>45109.6440601851</v>
      </c>
      <c r="C8407" s="51">
        <v>1.004</v>
      </c>
      <c r="D8407" s="51">
        <v>70.0</v>
      </c>
      <c r="E8407" s="52" t="s">
        <v>25</v>
      </c>
      <c r="F8407" s="52" t="s">
        <v>26</v>
      </c>
      <c r="G8407" s="53"/>
    </row>
    <row r="8408">
      <c r="A8408" s="49">
        <v>45109.529505729166</v>
      </c>
      <c r="B8408" s="50">
        <v>45109.6544818287</v>
      </c>
      <c r="C8408" s="51">
        <v>1.004</v>
      </c>
      <c r="D8408" s="51">
        <v>70.0</v>
      </c>
      <c r="E8408" s="52" t="s">
        <v>25</v>
      </c>
      <c r="F8408" s="52" t="s">
        <v>26</v>
      </c>
      <c r="G8408" s="53"/>
    </row>
    <row r="8409">
      <c r="A8409" s="49">
        <v>45109.539921840274</v>
      </c>
      <c r="B8409" s="50">
        <v>45109.6649027199</v>
      </c>
      <c r="C8409" s="51">
        <v>1.004</v>
      </c>
      <c r="D8409" s="51">
        <v>70.0</v>
      </c>
      <c r="E8409" s="52" t="s">
        <v>25</v>
      </c>
      <c r="F8409" s="52" t="s">
        <v>26</v>
      </c>
      <c r="G8409" s="53"/>
    </row>
    <row r="8410">
      <c r="A8410" s="49">
        <v>45109.55035422454</v>
      </c>
      <c r="B8410" s="50">
        <v>45109.6753220717</v>
      </c>
      <c r="C8410" s="51">
        <v>1.004</v>
      </c>
      <c r="D8410" s="51">
        <v>70.0</v>
      </c>
      <c r="E8410" s="52" t="s">
        <v>25</v>
      </c>
      <c r="F8410" s="52" t="s">
        <v>26</v>
      </c>
      <c r="G8410" s="53"/>
    </row>
    <row r="8411">
      <c r="A8411" s="49">
        <v>45109.56076263889</v>
      </c>
      <c r="B8411" s="50">
        <v>45109.6857421412</v>
      </c>
      <c r="C8411" s="51">
        <v>1.004</v>
      </c>
      <c r="D8411" s="51">
        <v>70.0</v>
      </c>
      <c r="E8411" s="52" t="s">
        <v>25</v>
      </c>
      <c r="F8411" s="52" t="s">
        <v>26</v>
      </c>
      <c r="G8411" s="53"/>
    </row>
    <row r="8412">
      <c r="A8412" s="49">
        <v>45109.57118571759</v>
      </c>
      <c r="B8412" s="50">
        <v>45109.696163993</v>
      </c>
      <c r="C8412" s="51">
        <v>1.004</v>
      </c>
      <c r="D8412" s="51">
        <v>70.0</v>
      </c>
      <c r="E8412" s="52" t="s">
        <v>25</v>
      </c>
      <c r="F8412" s="52" t="s">
        <v>26</v>
      </c>
      <c r="G8412" s="53"/>
    </row>
    <row r="8413">
      <c r="A8413" s="49">
        <v>45109.581615636576</v>
      </c>
      <c r="B8413" s="50">
        <v>45109.7065855208</v>
      </c>
      <c r="C8413" s="51">
        <v>1.004</v>
      </c>
      <c r="D8413" s="51">
        <v>70.0</v>
      </c>
      <c r="E8413" s="52" t="s">
        <v>25</v>
      </c>
      <c r="F8413" s="52" t="s">
        <v>26</v>
      </c>
      <c r="G8413" s="53"/>
    </row>
    <row r="8414">
      <c r="A8414" s="49">
        <v>45109.59203326389</v>
      </c>
      <c r="B8414" s="50">
        <v>45109.7170067013</v>
      </c>
      <c r="C8414" s="51">
        <v>1.004</v>
      </c>
      <c r="D8414" s="51">
        <v>71.0</v>
      </c>
      <c r="E8414" s="52" t="s">
        <v>25</v>
      </c>
      <c r="F8414" s="52" t="s">
        <v>26</v>
      </c>
      <c r="G8414" s="53"/>
    </row>
    <row r="8415">
      <c r="A8415" s="49">
        <v>45109.60244903935</v>
      </c>
      <c r="B8415" s="50">
        <v>45109.7274276851</v>
      </c>
      <c r="C8415" s="51">
        <v>1.004</v>
      </c>
      <c r="D8415" s="51">
        <v>70.0</v>
      </c>
      <c r="E8415" s="52" t="s">
        <v>25</v>
      </c>
      <c r="F8415" s="52" t="s">
        <v>26</v>
      </c>
      <c r="G8415" s="53"/>
    </row>
    <row r="8416">
      <c r="A8416" s="49">
        <v>45109.612888310185</v>
      </c>
      <c r="B8416" s="50">
        <v>45109.7378612847</v>
      </c>
      <c r="C8416" s="51">
        <v>1.004</v>
      </c>
      <c r="D8416" s="51">
        <v>70.0</v>
      </c>
      <c r="E8416" s="52" t="s">
        <v>25</v>
      </c>
      <c r="F8416" s="52" t="s">
        <v>26</v>
      </c>
      <c r="G8416" s="53"/>
    </row>
    <row r="8417">
      <c r="A8417" s="49">
        <v>45109.62332053241</v>
      </c>
      <c r="B8417" s="50">
        <v>45109.7482948148</v>
      </c>
      <c r="C8417" s="51">
        <v>1.004</v>
      </c>
      <c r="D8417" s="51">
        <v>70.0</v>
      </c>
      <c r="E8417" s="52" t="s">
        <v>25</v>
      </c>
      <c r="F8417" s="52" t="s">
        <v>26</v>
      </c>
      <c r="G8417" s="53"/>
    </row>
    <row r="8418">
      <c r="A8418" s="49">
        <v>45109.6337358912</v>
      </c>
      <c r="B8418" s="50">
        <v>45109.7587166319</v>
      </c>
      <c r="C8418" s="51">
        <v>1.004</v>
      </c>
      <c r="D8418" s="51">
        <v>71.0</v>
      </c>
      <c r="E8418" s="52" t="s">
        <v>25</v>
      </c>
      <c r="F8418" s="52" t="s">
        <v>26</v>
      </c>
      <c r="G8418" s="53"/>
    </row>
    <row r="8419">
      <c r="A8419" s="49">
        <v>45109.64416084491</v>
      </c>
      <c r="B8419" s="50">
        <v>45109.7691383449</v>
      </c>
      <c r="C8419" s="51">
        <v>1.004</v>
      </c>
      <c r="D8419" s="51">
        <v>71.0</v>
      </c>
      <c r="E8419" s="52" t="s">
        <v>25</v>
      </c>
      <c r="F8419" s="52" t="s">
        <v>26</v>
      </c>
      <c r="G8419" s="53"/>
    </row>
    <row r="8420">
      <c r="A8420" s="49">
        <v>45109.65458342593</v>
      </c>
      <c r="B8420" s="50">
        <v>45109.7795596875</v>
      </c>
      <c r="C8420" s="51">
        <v>1.004</v>
      </c>
      <c r="D8420" s="51">
        <v>71.0</v>
      </c>
      <c r="E8420" s="52" t="s">
        <v>25</v>
      </c>
      <c r="F8420" s="52" t="s">
        <v>26</v>
      </c>
      <c r="G8420" s="53"/>
    </row>
    <row r="8421">
      <c r="A8421" s="49">
        <v>45109.665008854165</v>
      </c>
      <c r="B8421" s="50">
        <v>45109.7899805439</v>
      </c>
      <c r="C8421" s="51">
        <v>1.004</v>
      </c>
      <c r="D8421" s="51">
        <v>71.0</v>
      </c>
      <c r="E8421" s="52" t="s">
        <v>25</v>
      </c>
      <c r="F8421" s="52" t="s">
        <v>26</v>
      </c>
      <c r="G8421" s="53"/>
    </row>
    <row r="8422">
      <c r="A8422" s="49">
        <v>45109.67543383102</v>
      </c>
      <c r="B8422" s="50">
        <v>45109.8004123495</v>
      </c>
      <c r="C8422" s="51">
        <v>1.004</v>
      </c>
      <c r="D8422" s="51">
        <v>71.0</v>
      </c>
      <c r="E8422" s="52" t="s">
        <v>25</v>
      </c>
      <c r="F8422" s="52" t="s">
        <v>26</v>
      </c>
      <c r="G8422" s="53"/>
    </row>
    <row r="8423">
      <c r="A8423" s="49">
        <v>45109.68585869213</v>
      </c>
      <c r="B8423" s="50">
        <v>45109.8108338773</v>
      </c>
      <c r="C8423" s="51">
        <v>1.004</v>
      </c>
      <c r="D8423" s="51">
        <v>71.0</v>
      </c>
      <c r="E8423" s="52" t="s">
        <v>25</v>
      </c>
      <c r="F8423" s="52" t="s">
        <v>26</v>
      </c>
      <c r="G8423" s="53"/>
    </row>
    <row r="8424">
      <c r="A8424" s="49">
        <v>45109.69627827546</v>
      </c>
      <c r="B8424" s="50">
        <v>45109.8212557986</v>
      </c>
      <c r="C8424" s="51">
        <v>1.004</v>
      </c>
      <c r="D8424" s="51">
        <v>71.0</v>
      </c>
      <c r="E8424" s="52" t="s">
        <v>25</v>
      </c>
      <c r="F8424" s="52" t="s">
        <v>26</v>
      </c>
      <c r="G8424" s="53"/>
    </row>
    <row r="8425">
      <c r="A8425" s="49">
        <v>45109.70669953704</v>
      </c>
      <c r="B8425" s="50">
        <v>45109.8316770486</v>
      </c>
      <c r="C8425" s="51">
        <v>1.004</v>
      </c>
      <c r="D8425" s="51">
        <v>71.0</v>
      </c>
      <c r="E8425" s="52" t="s">
        <v>25</v>
      </c>
      <c r="F8425" s="52" t="s">
        <v>26</v>
      </c>
      <c r="G8425" s="53"/>
    </row>
    <row r="8426">
      <c r="A8426" s="49">
        <v>45109.71711804398</v>
      </c>
      <c r="B8426" s="50">
        <v>45109.842098368</v>
      </c>
      <c r="C8426" s="51">
        <v>1.004</v>
      </c>
      <c r="D8426" s="51">
        <v>71.0</v>
      </c>
      <c r="E8426" s="52" t="s">
        <v>25</v>
      </c>
      <c r="F8426" s="52" t="s">
        <v>26</v>
      </c>
      <c r="G8426" s="53"/>
    </row>
    <row r="8427">
      <c r="A8427" s="49">
        <v>45109.72755130787</v>
      </c>
      <c r="B8427" s="50">
        <v>45109.8525319328</v>
      </c>
      <c r="C8427" s="51">
        <v>1.004</v>
      </c>
      <c r="D8427" s="51">
        <v>71.0</v>
      </c>
      <c r="E8427" s="52" t="s">
        <v>25</v>
      </c>
      <c r="F8427" s="52" t="s">
        <v>26</v>
      </c>
      <c r="G8427" s="53"/>
    </row>
    <row r="8428">
      <c r="A8428" s="49">
        <v>45109.73797930556</v>
      </c>
      <c r="B8428" s="50">
        <v>45109.8629537615</v>
      </c>
      <c r="C8428" s="51">
        <v>1.004</v>
      </c>
      <c r="D8428" s="51">
        <v>71.0</v>
      </c>
      <c r="E8428" s="52" t="s">
        <v>25</v>
      </c>
      <c r="F8428" s="52" t="s">
        <v>26</v>
      </c>
      <c r="G8428" s="53"/>
    </row>
    <row r="8429">
      <c r="A8429" s="49">
        <v>45109.74839552083</v>
      </c>
      <c r="B8429" s="50">
        <v>45109.8733745254</v>
      </c>
      <c r="C8429" s="51">
        <v>1.004</v>
      </c>
      <c r="D8429" s="51">
        <v>71.0</v>
      </c>
      <c r="E8429" s="52" t="s">
        <v>25</v>
      </c>
      <c r="F8429" s="52" t="s">
        <v>26</v>
      </c>
      <c r="G8429" s="53"/>
    </row>
    <row r="8430">
      <c r="A8430" s="49">
        <v>45109.758834444445</v>
      </c>
      <c r="B8430" s="50">
        <v>45109.8838067824</v>
      </c>
      <c r="C8430" s="51">
        <v>1.004</v>
      </c>
      <c r="D8430" s="51">
        <v>71.0</v>
      </c>
      <c r="E8430" s="52" t="s">
        <v>25</v>
      </c>
      <c r="F8430" s="52" t="s">
        <v>26</v>
      </c>
      <c r="G8430" s="53"/>
    </row>
    <row r="8431">
      <c r="A8431" s="49">
        <v>45109.76925005787</v>
      </c>
      <c r="B8431" s="50">
        <v>45109.8942293518</v>
      </c>
      <c r="C8431" s="51">
        <v>1.004</v>
      </c>
      <c r="D8431" s="51">
        <v>71.0</v>
      </c>
      <c r="E8431" s="52" t="s">
        <v>25</v>
      </c>
      <c r="F8431" s="52" t="s">
        <v>26</v>
      </c>
      <c r="G8431" s="53"/>
    </row>
    <row r="8432">
      <c r="A8432" s="49">
        <v>45109.7796670949</v>
      </c>
      <c r="B8432" s="50">
        <v>45109.9046497685</v>
      </c>
      <c r="C8432" s="51">
        <v>1.004</v>
      </c>
      <c r="D8432" s="51">
        <v>71.0</v>
      </c>
      <c r="E8432" s="52" t="s">
        <v>25</v>
      </c>
      <c r="F8432" s="52" t="s">
        <v>26</v>
      </c>
      <c r="G8432" s="53"/>
    </row>
    <row r="8433">
      <c r="A8433" s="49">
        <v>45109.790093194446</v>
      </c>
      <c r="B8433" s="50">
        <v>45109.9150717824</v>
      </c>
      <c r="C8433" s="51">
        <v>1.004</v>
      </c>
      <c r="D8433" s="51">
        <v>71.0</v>
      </c>
      <c r="E8433" s="52" t="s">
        <v>25</v>
      </c>
      <c r="F8433" s="52" t="s">
        <v>26</v>
      </c>
      <c r="G8433" s="53"/>
    </row>
    <row r="8434">
      <c r="A8434" s="49">
        <v>45109.80052373843</v>
      </c>
      <c r="B8434" s="50">
        <v>45109.9255064236</v>
      </c>
      <c r="C8434" s="51">
        <v>1.004</v>
      </c>
      <c r="D8434" s="51">
        <v>71.0</v>
      </c>
      <c r="E8434" s="52" t="s">
        <v>25</v>
      </c>
      <c r="F8434" s="52" t="s">
        <v>26</v>
      </c>
      <c r="G8434" s="53"/>
    </row>
    <row r="8435">
      <c r="A8435" s="49">
        <v>45109.81095211806</v>
      </c>
      <c r="B8435" s="50">
        <v>45109.935929537</v>
      </c>
      <c r="C8435" s="51">
        <v>1.004</v>
      </c>
      <c r="D8435" s="51">
        <v>71.0</v>
      </c>
      <c r="E8435" s="52" t="s">
        <v>25</v>
      </c>
      <c r="F8435" s="52" t="s">
        <v>26</v>
      </c>
      <c r="G8435" s="53"/>
    </row>
    <row r="8436">
      <c r="A8436" s="49">
        <v>45109.82137929398</v>
      </c>
      <c r="B8436" s="50">
        <v>45109.9463500694</v>
      </c>
      <c r="C8436" s="51">
        <v>1.004</v>
      </c>
      <c r="D8436" s="51">
        <v>71.0</v>
      </c>
      <c r="E8436" s="52" t="s">
        <v>25</v>
      </c>
      <c r="F8436" s="52" t="s">
        <v>26</v>
      </c>
      <c r="G8436" s="53"/>
    </row>
    <row r="8437">
      <c r="A8437" s="49">
        <v>45109.831793680554</v>
      </c>
      <c r="B8437" s="50">
        <v>45109.9567726157</v>
      </c>
      <c r="C8437" s="51">
        <v>1.004</v>
      </c>
      <c r="D8437" s="51">
        <v>71.0</v>
      </c>
      <c r="E8437" s="52" t="s">
        <v>25</v>
      </c>
      <c r="F8437" s="52" t="s">
        <v>26</v>
      </c>
      <c r="G8437" s="53"/>
    </row>
    <row r="8438">
      <c r="A8438" s="49">
        <v>45109.84221099537</v>
      </c>
      <c r="B8438" s="50">
        <v>45109.9671940162</v>
      </c>
      <c r="C8438" s="51">
        <v>1.005</v>
      </c>
      <c r="D8438" s="51">
        <v>71.0</v>
      </c>
      <c r="E8438" s="52" t="s">
        <v>25</v>
      </c>
      <c r="F8438" s="52" t="s">
        <v>26</v>
      </c>
      <c r="G8438" s="53"/>
    </row>
    <row r="8439">
      <c r="A8439" s="49">
        <v>45109.8526609375</v>
      </c>
      <c r="B8439" s="50">
        <v>45109.9776386458</v>
      </c>
      <c r="C8439" s="51">
        <v>1.004</v>
      </c>
      <c r="D8439" s="51">
        <v>71.0</v>
      </c>
      <c r="E8439" s="52" t="s">
        <v>25</v>
      </c>
      <c r="F8439" s="52" t="s">
        <v>26</v>
      </c>
      <c r="G8439" s="53"/>
    </row>
    <row r="8440">
      <c r="A8440" s="49">
        <v>45109.86309078704</v>
      </c>
      <c r="B8440" s="50">
        <v>45109.988070787</v>
      </c>
      <c r="C8440" s="51">
        <v>1.004</v>
      </c>
      <c r="D8440" s="51">
        <v>71.0</v>
      </c>
      <c r="E8440" s="52" t="s">
        <v>25</v>
      </c>
      <c r="F8440" s="52" t="s">
        <v>26</v>
      </c>
      <c r="G8440" s="53"/>
    </row>
    <row r="8441">
      <c r="A8441" s="49">
        <v>45109.87351506944</v>
      </c>
      <c r="B8441" s="50">
        <v>45109.9984908912</v>
      </c>
      <c r="C8441" s="51">
        <v>1.004</v>
      </c>
      <c r="D8441" s="51">
        <v>71.0</v>
      </c>
      <c r="E8441" s="52" t="s">
        <v>25</v>
      </c>
      <c r="F8441" s="52" t="s">
        <v>26</v>
      </c>
      <c r="G8441" s="53"/>
    </row>
    <row r="8442">
      <c r="A8442" s="49">
        <v>45109.883945520836</v>
      </c>
      <c r="B8442" s="50">
        <v>45110.0089227893</v>
      </c>
      <c r="C8442" s="51">
        <v>1.004</v>
      </c>
      <c r="D8442" s="51">
        <v>71.0</v>
      </c>
      <c r="E8442" s="52" t="s">
        <v>25</v>
      </c>
      <c r="F8442" s="52" t="s">
        <v>26</v>
      </c>
      <c r="G8442" s="53"/>
    </row>
    <row r="8443">
      <c r="A8443" s="49">
        <v>45109.89436917824</v>
      </c>
      <c r="B8443" s="50">
        <v>45110.0193442592</v>
      </c>
      <c r="C8443" s="51">
        <v>1.005</v>
      </c>
      <c r="D8443" s="51">
        <v>71.0</v>
      </c>
      <c r="E8443" s="52" t="s">
        <v>25</v>
      </c>
      <c r="F8443" s="52" t="s">
        <v>26</v>
      </c>
      <c r="G8443" s="53"/>
    </row>
    <row r="8444">
      <c r="A8444" s="49">
        <v>45109.90480387732</v>
      </c>
      <c r="B8444" s="50">
        <v>45110.0297766782</v>
      </c>
      <c r="C8444" s="51">
        <v>1.004</v>
      </c>
      <c r="D8444" s="51">
        <v>71.0</v>
      </c>
      <c r="E8444" s="52" t="s">
        <v>25</v>
      </c>
      <c r="F8444" s="52" t="s">
        <v>26</v>
      </c>
      <c r="G8444" s="53"/>
    </row>
    <row r="8445">
      <c r="A8445" s="49">
        <v>45109.91522166667</v>
      </c>
      <c r="B8445" s="50">
        <v>45110.0401975115</v>
      </c>
      <c r="C8445" s="51">
        <v>1.004</v>
      </c>
      <c r="D8445" s="51">
        <v>71.0</v>
      </c>
      <c r="E8445" s="52" t="s">
        <v>25</v>
      </c>
      <c r="F8445" s="52" t="s">
        <v>26</v>
      </c>
      <c r="G8445" s="53"/>
    </row>
    <row r="8446">
      <c r="A8446" s="49">
        <v>45109.92564752315</v>
      </c>
      <c r="B8446" s="50">
        <v>45110.0506174768</v>
      </c>
      <c r="C8446" s="51">
        <v>1.004</v>
      </c>
      <c r="D8446" s="51">
        <v>71.0</v>
      </c>
      <c r="E8446" s="52" t="s">
        <v>25</v>
      </c>
      <c r="F8446" s="52" t="s">
        <v>26</v>
      </c>
      <c r="G8446" s="53"/>
    </row>
    <row r="8447">
      <c r="A8447" s="49">
        <v>45109.93606554398</v>
      </c>
      <c r="B8447" s="50">
        <v>45110.0610398958</v>
      </c>
      <c r="C8447" s="51">
        <v>1.004</v>
      </c>
      <c r="D8447" s="51">
        <v>71.0</v>
      </c>
      <c r="E8447" s="52" t="s">
        <v>25</v>
      </c>
      <c r="F8447" s="52" t="s">
        <v>26</v>
      </c>
      <c r="G8447" s="53"/>
    </row>
    <row r="8448">
      <c r="A8448" s="49">
        <v>45109.9464859838</v>
      </c>
      <c r="B8448" s="50">
        <v>45110.0714628472</v>
      </c>
      <c r="C8448" s="51">
        <v>1.004</v>
      </c>
      <c r="D8448" s="51">
        <v>71.0</v>
      </c>
      <c r="E8448" s="52" t="s">
        <v>25</v>
      </c>
      <c r="F8448" s="52" t="s">
        <v>26</v>
      </c>
      <c r="G8448" s="53"/>
    </row>
    <row r="8449">
      <c r="A8449" s="49">
        <v>45109.956916979165</v>
      </c>
      <c r="B8449" s="50">
        <v>45110.0818862499</v>
      </c>
      <c r="C8449" s="51">
        <v>1.004</v>
      </c>
      <c r="D8449" s="51">
        <v>71.0</v>
      </c>
      <c r="E8449" s="52" t="s">
        <v>25</v>
      </c>
      <c r="F8449" s="52" t="s">
        <v>26</v>
      </c>
      <c r="G8449" s="53"/>
    </row>
    <row r="8450">
      <c r="A8450" s="49">
        <v>45109.96733627315</v>
      </c>
      <c r="B8450" s="50">
        <v>45110.0923059143</v>
      </c>
      <c r="C8450" s="51">
        <v>1.004</v>
      </c>
      <c r="D8450" s="51">
        <v>71.0</v>
      </c>
      <c r="E8450" s="52" t="s">
        <v>25</v>
      </c>
      <c r="F8450" s="52" t="s">
        <v>26</v>
      </c>
      <c r="G8450" s="53"/>
    </row>
    <row r="8451">
      <c r="A8451" s="49">
        <v>45109.97776658565</v>
      </c>
      <c r="B8451" s="50">
        <v>45110.1027399305</v>
      </c>
      <c r="C8451" s="51">
        <v>1.004</v>
      </c>
      <c r="D8451" s="51">
        <v>71.0</v>
      </c>
      <c r="E8451" s="52" t="s">
        <v>25</v>
      </c>
      <c r="F8451" s="52" t="s">
        <v>26</v>
      </c>
      <c r="G8451" s="53"/>
    </row>
    <row r="8452">
      <c r="A8452" s="49">
        <v>45109.98818626157</v>
      </c>
      <c r="B8452" s="50">
        <v>45110.113160243</v>
      </c>
      <c r="C8452" s="51">
        <v>1.004</v>
      </c>
      <c r="D8452" s="51">
        <v>71.0</v>
      </c>
      <c r="E8452" s="52" t="s">
        <v>25</v>
      </c>
      <c r="F8452" s="52" t="s">
        <v>26</v>
      </c>
      <c r="G8452" s="53"/>
    </row>
    <row r="8453">
      <c r="A8453" s="49">
        <v>45109.998612256946</v>
      </c>
      <c r="B8453" s="50">
        <v>45110.1235822916</v>
      </c>
      <c r="C8453" s="51">
        <v>1.004</v>
      </c>
      <c r="D8453" s="51">
        <v>71.0</v>
      </c>
      <c r="E8453" s="52" t="s">
        <v>25</v>
      </c>
      <c r="F8453" s="52" t="s">
        <v>26</v>
      </c>
      <c r="G8453" s="53"/>
    </row>
    <row r="8454">
      <c r="A8454" s="49">
        <v>45110.00904377315</v>
      </c>
      <c r="B8454" s="50">
        <v>45110.1340152777</v>
      </c>
      <c r="C8454" s="51">
        <v>1.004</v>
      </c>
      <c r="D8454" s="51">
        <v>71.0</v>
      </c>
      <c r="E8454" s="52" t="s">
        <v>25</v>
      </c>
      <c r="F8454" s="52" t="s">
        <v>26</v>
      </c>
      <c r="G8454" s="53"/>
    </row>
    <row r="8455">
      <c r="A8455" s="49">
        <v>45110.01945423611</v>
      </c>
      <c r="B8455" s="50">
        <v>45110.1444365162</v>
      </c>
      <c r="C8455" s="51">
        <v>1.004</v>
      </c>
      <c r="D8455" s="51">
        <v>71.0</v>
      </c>
      <c r="E8455" s="52" t="s">
        <v>25</v>
      </c>
      <c r="F8455" s="52" t="s">
        <v>26</v>
      </c>
      <c r="G8455" s="53"/>
    </row>
    <row r="8456">
      <c r="A8456" s="49">
        <v>45110.029880671296</v>
      </c>
      <c r="B8456" s="50">
        <v>45110.1548585301</v>
      </c>
      <c r="C8456" s="51">
        <v>1.004</v>
      </c>
      <c r="D8456" s="51">
        <v>71.0</v>
      </c>
      <c r="E8456" s="52" t="s">
        <v>25</v>
      </c>
      <c r="F8456" s="52" t="s">
        <v>26</v>
      </c>
      <c r="G8456" s="53"/>
    </row>
    <row r="8457">
      <c r="A8457" s="49">
        <v>45110.04030774305</v>
      </c>
      <c r="B8457" s="50">
        <v>45110.1652800925</v>
      </c>
      <c r="C8457" s="51">
        <v>1.004</v>
      </c>
      <c r="D8457" s="51">
        <v>71.0</v>
      </c>
      <c r="E8457" s="52" t="s">
        <v>25</v>
      </c>
      <c r="F8457" s="52" t="s">
        <v>26</v>
      </c>
      <c r="G8457" s="53"/>
    </row>
    <row r="8458">
      <c r="A8458" s="49">
        <v>45110.05072223379</v>
      </c>
      <c r="B8458" s="50">
        <v>45110.1757044212</v>
      </c>
      <c r="C8458" s="51">
        <v>1.004</v>
      </c>
      <c r="D8458" s="51">
        <v>71.0</v>
      </c>
      <c r="E8458" s="52" t="s">
        <v>25</v>
      </c>
      <c r="F8458" s="52" t="s">
        <v>26</v>
      </c>
      <c r="G8458" s="53"/>
    </row>
    <row r="8459">
      <c r="A8459" s="49">
        <v>45110.06114681713</v>
      </c>
      <c r="B8459" s="50">
        <v>45110.1861267939</v>
      </c>
      <c r="C8459" s="51">
        <v>1.004</v>
      </c>
      <c r="D8459" s="51">
        <v>71.0</v>
      </c>
      <c r="E8459" s="52" t="s">
        <v>25</v>
      </c>
      <c r="F8459" s="52" t="s">
        <v>26</v>
      </c>
      <c r="G8459" s="53"/>
    </row>
    <row r="8460">
      <c r="A8460" s="49">
        <v>45110.071574918984</v>
      </c>
      <c r="B8460" s="50">
        <v>45110.1965486226</v>
      </c>
      <c r="C8460" s="51">
        <v>1.004</v>
      </c>
      <c r="D8460" s="51">
        <v>71.0</v>
      </c>
      <c r="E8460" s="52" t="s">
        <v>25</v>
      </c>
      <c r="F8460" s="52" t="s">
        <v>26</v>
      </c>
      <c r="G8460" s="53"/>
    </row>
    <row r="8461">
      <c r="A8461" s="49">
        <v>45110.08200342592</v>
      </c>
      <c r="B8461" s="50">
        <v>45110.2069799768</v>
      </c>
      <c r="C8461" s="51">
        <v>1.005</v>
      </c>
      <c r="D8461" s="51">
        <v>71.0</v>
      </c>
      <c r="E8461" s="52" t="s">
        <v>25</v>
      </c>
      <c r="F8461" s="52" t="s">
        <v>26</v>
      </c>
      <c r="G8461" s="53"/>
    </row>
    <row r="8462">
      <c r="A8462" s="49">
        <v>45110.09242082176</v>
      </c>
      <c r="B8462" s="50">
        <v>45110.2174012268</v>
      </c>
      <c r="C8462" s="51">
        <v>1.004</v>
      </c>
      <c r="D8462" s="51">
        <v>71.0</v>
      </c>
      <c r="E8462" s="52" t="s">
        <v>25</v>
      </c>
      <c r="F8462" s="52" t="s">
        <v>26</v>
      </c>
      <c r="G8462" s="53"/>
    </row>
    <row r="8463">
      <c r="A8463" s="49">
        <v>45110.10284018518</v>
      </c>
      <c r="B8463" s="50">
        <v>45110.2278214467</v>
      </c>
      <c r="C8463" s="51">
        <v>1.004</v>
      </c>
      <c r="D8463" s="51">
        <v>71.0</v>
      </c>
      <c r="E8463" s="52" t="s">
        <v>25</v>
      </c>
      <c r="F8463" s="52" t="s">
        <v>26</v>
      </c>
      <c r="G8463" s="53"/>
    </row>
    <row r="8464">
      <c r="A8464" s="49">
        <v>45110.11327287037</v>
      </c>
      <c r="B8464" s="50">
        <v>45110.2382537268</v>
      </c>
      <c r="C8464" s="51">
        <v>1.004</v>
      </c>
      <c r="D8464" s="51">
        <v>71.0</v>
      </c>
      <c r="E8464" s="52" t="s">
        <v>25</v>
      </c>
      <c r="F8464" s="52" t="s">
        <v>26</v>
      </c>
      <c r="G8464" s="53"/>
    </row>
    <row r="8465">
      <c r="A8465" s="49">
        <v>45110.12372689815</v>
      </c>
      <c r="B8465" s="50">
        <v>45110.2486992129</v>
      </c>
      <c r="C8465" s="51">
        <v>1.004</v>
      </c>
      <c r="D8465" s="51">
        <v>71.0</v>
      </c>
      <c r="E8465" s="52" t="s">
        <v>25</v>
      </c>
      <c r="F8465" s="52" t="s">
        <v>26</v>
      </c>
      <c r="G8465" s="53"/>
    </row>
    <row r="8466">
      <c r="A8466" s="49">
        <v>45110.13414358796</v>
      </c>
      <c r="B8466" s="50">
        <v>45110.2591205324</v>
      </c>
      <c r="C8466" s="51">
        <v>1.004</v>
      </c>
      <c r="D8466" s="51">
        <v>71.0</v>
      </c>
      <c r="E8466" s="52" t="s">
        <v>25</v>
      </c>
      <c r="F8466" s="52" t="s">
        <v>26</v>
      </c>
      <c r="G8466" s="53"/>
    </row>
    <row r="8467">
      <c r="A8467" s="49">
        <v>45110.14457521991</v>
      </c>
      <c r="B8467" s="50">
        <v>45110.2695529282</v>
      </c>
      <c r="C8467" s="51">
        <v>1.004</v>
      </c>
      <c r="D8467" s="51">
        <v>71.0</v>
      </c>
      <c r="E8467" s="52" t="s">
        <v>25</v>
      </c>
      <c r="F8467" s="52" t="s">
        <v>26</v>
      </c>
      <c r="G8467" s="53"/>
    </row>
    <row r="8468">
      <c r="A8468" s="49">
        <v>45110.15499646991</v>
      </c>
      <c r="B8468" s="50">
        <v>45110.279975162</v>
      </c>
      <c r="C8468" s="51">
        <v>1.004</v>
      </c>
      <c r="D8468" s="51">
        <v>71.0</v>
      </c>
      <c r="E8468" s="52" t="s">
        <v>25</v>
      </c>
      <c r="F8468" s="52" t="s">
        <v>26</v>
      </c>
      <c r="G8468" s="53"/>
    </row>
    <row r="8469">
      <c r="A8469" s="49">
        <v>45110.16542178241</v>
      </c>
      <c r="B8469" s="50">
        <v>45110.2904069213</v>
      </c>
      <c r="C8469" s="51">
        <v>1.004</v>
      </c>
      <c r="D8469" s="51">
        <v>71.0</v>
      </c>
      <c r="E8469" s="52" t="s">
        <v>25</v>
      </c>
      <c r="F8469" s="52" t="s">
        <v>26</v>
      </c>
      <c r="G8469" s="53"/>
    </row>
    <row r="8470">
      <c r="A8470" s="49">
        <v>45110.175885625</v>
      </c>
      <c r="B8470" s="50">
        <v>45110.3008626504</v>
      </c>
      <c r="C8470" s="51">
        <v>1.004</v>
      </c>
      <c r="D8470" s="51">
        <v>71.0</v>
      </c>
      <c r="E8470" s="52" t="s">
        <v>25</v>
      </c>
      <c r="F8470" s="52" t="s">
        <v>26</v>
      </c>
      <c r="G8470" s="53"/>
    </row>
    <row r="8471">
      <c r="A8471" s="49">
        <v>45110.1863091088</v>
      </c>
      <c r="B8471" s="50">
        <v>45110.3112840509</v>
      </c>
      <c r="C8471" s="51">
        <v>1.004</v>
      </c>
      <c r="D8471" s="51">
        <v>71.0</v>
      </c>
      <c r="E8471" s="52" t="s">
        <v>25</v>
      </c>
      <c r="F8471" s="52" t="s">
        <v>26</v>
      </c>
      <c r="G8471" s="53"/>
    </row>
    <row r="8472">
      <c r="A8472" s="49">
        <v>45110.19673118056</v>
      </c>
      <c r="B8472" s="50">
        <v>45110.3217059606</v>
      </c>
      <c r="C8472" s="51">
        <v>1.004</v>
      </c>
      <c r="D8472" s="51">
        <v>71.0</v>
      </c>
      <c r="E8472" s="52" t="s">
        <v>25</v>
      </c>
      <c r="F8472" s="52" t="s">
        <v>26</v>
      </c>
      <c r="G8472" s="53"/>
    </row>
    <row r="8473">
      <c r="A8473" s="49">
        <v>45110.20714572917</v>
      </c>
      <c r="B8473" s="50">
        <v>45110.3321268287</v>
      </c>
      <c r="C8473" s="51">
        <v>1.004</v>
      </c>
      <c r="D8473" s="51">
        <v>71.0</v>
      </c>
      <c r="E8473" s="52" t="s">
        <v>25</v>
      </c>
      <c r="F8473" s="52" t="s">
        <v>26</v>
      </c>
      <c r="G8473" s="53"/>
    </row>
    <row r="8474">
      <c r="A8474" s="49">
        <v>45110.21758391203</v>
      </c>
      <c r="B8474" s="50">
        <v>45110.3425589351</v>
      </c>
      <c r="C8474" s="51">
        <v>1.004</v>
      </c>
      <c r="D8474" s="51">
        <v>71.0</v>
      </c>
      <c r="E8474" s="52" t="s">
        <v>25</v>
      </c>
      <c r="F8474" s="52" t="s">
        <v>26</v>
      </c>
      <c r="G8474" s="53"/>
    </row>
    <row r="8475">
      <c r="A8475" s="49">
        <v>45110.22800152778</v>
      </c>
      <c r="B8475" s="50">
        <v>45110.3529809259</v>
      </c>
      <c r="C8475" s="51">
        <v>1.004</v>
      </c>
      <c r="D8475" s="51">
        <v>71.0</v>
      </c>
      <c r="E8475" s="52" t="s">
        <v>25</v>
      </c>
      <c r="F8475" s="52" t="s">
        <v>26</v>
      </c>
      <c r="G8475" s="53"/>
    </row>
    <row r="8476">
      <c r="A8476" s="49">
        <v>45110.23843760417</v>
      </c>
      <c r="B8476" s="50">
        <v>45110.3634137152</v>
      </c>
      <c r="C8476" s="51">
        <v>1.004</v>
      </c>
      <c r="D8476" s="51">
        <v>71.0</v>
      </c>
      <c r="E8476" s="52" t="s">
        <v>25</v>
      </c>
      <c r="F8476" s="52" t="s">
        <v>26</v>
      </c>
      <c r="G8476" s="53"/>
    </row>
    <row r="8477">
      <c r="A8477" s="49">
        <v>45110.248862974535</v>
      </c>
      <c r="B8477" s="50">
        <v>45110.3738348611</v>
      </c>
      <c r="C8477" s="51">
        <v>1.004</v>
      </c>
      <c r="D8477" s="51">
        <v>71.0</v>
      </c>
      <c r="E8477" s="52" t="s">
        <v>25</v>
      </c>
      <c r="F8477" s="52" t="s">
        <v>26</v>
      </c>
      <c r="G8477" s="53"/>
    </row>
    <row r="8478">
      <c r="A8478" s="49">
        <v>45110.25930236111</v>
      </c>
      <c r="B8478" s="50">
        <v>45110.3842682986</v>
      </c>
      <c r="C8478" s="51">
        <v>1.004</v>
      </c>
      <c r="D8478" s="51">
        <v>71.0</v>
      </c>
      <c r="E8478" s="52" t="s">
        <v>25</v>
      </c>
      <c r="F8478" s="52" t="s">
        <v>26</v>
      </c>
      <c r="G8478" s="53"/>
    </row>
    <row r="8479">
      <c r="A8479" s="49">
        <v>45110.269710567125</v>
      </c>
      <c r="B8479" s="50">
        <v>45110.3946885069</v>
      </c>
      <c r="C8479" s="51">
        <v>1.004</v>
      </c>
      <c r="D8479" s="51">
        <v>71.0</v>
      </c>
      <c r="E8479" s="52" t="s">
        <v>25</v>
      </c>
      <c r="F8479" s="52" t="s">
        <v>26</v>
      </c>
      <c r="G8479" s="53"/>
    </row>
    <row r="8480">
      <c r="A8480" s="49">
        <v>45110.28013101852</v>
      </c>
      <c r="B8480" s="50">
        <v>45110.4051097338</v>
      </c>
      <c r="C8480" s="51">
        <v>1.004</v>
      </c>
      <c r="D8480" s="51">
        <v>71.0</v>
      </c>
      <c r="E8480" s="52" t="s">
        <v>25</v>
      </c>
      <c r="F8480" s="52" t="s">
        <v>26</v>
      </c>
      <c r="G8480" s="53"/>
    </row>
    <row r="8481">
      <c r="A8481" s="49">
        <v>45110.29054898148</v>
      </c>
      <c r="B8481" s="50">
        <v>45110.4155304398</v>
      </c>
      <c r="C8481" s="51">
        <v>1.004</v>
      </c>
      <c r="D8481" s="51">
        <v>71.0</v>
      </c>
      <c r="E8481" s="52" t="s">
        <v>25</v>
      </c>
      <c r="F8481" s="52" t="s">
        <v>26</v>
      </c>
      <c r="G8481" s="53"/>
    </row>
    <row r="8482">
      <c r="A8482" s="49">
        <v>45110.300994791665</v>
      </c>
      <c r="B8482" s="50">
        <v>45110.4259641782</v>
      </c>
      <c r="C8482" s="51">
        <v>1.004</v>
      </c>
      <c r="D8482" s="51">
        <v>71.0</v>
      </c>
      <c r="E8482" s="52" t="s">
        <v>25</v>
      </c>
      <c r="F8482" s="52" t="s">
        <v>26</v>
      </c>
      <c r="G8482" s="53"/>
    </row>
    <row r="8483">
      <c r="A8483" s="49">
        <v>45110.31141005787</v>
      </c>
      <c r="B8483" s="50">
        <v>45110.436383287</v>
      </c>
      <c r="C8483" s="51">
        <v>1.004</v>
      </c>
      <c r="D8483" s="51">
        <v>71.0</v>
      </c>
      <c r="E8483" s="52" t="s">
        <v>25</v>
      </c>
      <c r="F8483" s="52" t="s">
        <v>26</v>
      </c>
      <c r="G8483" s="53"/>
    </row>
    <row r="8484">
      <c r="A8484" s="49">
        <v>45110.32182466435</v>
      </c>
      <c r="B8484" s="50">
        <v>45110.446804537</v>
      </c>
      <c r="C8484" s="51">
        <v>1.004</v>
      </c>
      <c r="D8484" s="51">
        <v>71.0</v>
      </c>
      <c r="E8484" s="52" t="s">
        <v>25</v>
      </c>
      <c r="F8484" s="52" t="s">
        <v>26</v>
      </c>
      <c r="G8484" s="53"/>
    </row>
    <row r="8485">
      <c r="A8485" s="49">
        <v>45110.332252569446</v>
      </c>
      <c r="B8485" s="50">
        <v>45110.4572266088</v>
      </c>
      <c r="C8485" s="51">
        <v>1.004</v>
      </c>
      <c r="D8485" s="51">
        <v>71.0</v>
      </c>
      <c r="E8485" s="52" t="s">
        <v>25</v>
      </c>
      <c r="F8485" s="52" t="s">
        <v>26</v>
      </c>
      <c r="G8485" s="53"/>
    </row>
    <row r="8486">
      <c r="A8486" s="49">
        <v>45110.34267423611</v>
      </c>
      <c r="B8486" s="50">
        <v>45110.4676475115</v>
      </c>
      <c r="C8486" s="51">
        <v>1.004</v>
      </c>
      <c r="D8486" s="51">
        <v>71.0</v>
      </c>
      <c r="E8486" s="52" t="s">
        <v>25</v>
      </c>
      <c r="F8486" s="52" t="s">
        <v>26</v>
      </c>
      <c r="G8486" s="53"/>
    </row>
    <row r="8487">
      <c r="A8487" s="49">
        <v>45110.353087627314</v>
      </c>
      <c r="B8487" s="50">
        <v>45110.4780696296</v>
      </c>
      <c r="C8487" s="51">
        <v>1.004</v>
      </c>
      <c r="D8487" s="51">
        <v>71.0</v>
      </c>
      <c r="E8487" s="52" t="s">
        <v>25</v>
      </c>
      <c r="F8487" s="52" t="s">
        <v>26</v>
      </c>
      <c r="G8487" s="53"/>
    </row>
    <row r="8488">
      <c r="A8488" s="49">
        <v>45110.36351246528</v>
      </c>
      <c r="B8488" s="50">
        <v>45110.488491875</v>
      </c>
      <c r="C8488" s="51">
        <v>1.004</v>
      </c>
      <c r="D8488" s="51">
        <v>71.0</v>
      </c>
      <c r="E8488" s="52" t="s">
        <v>25</v>
      </c>
      <c r="F8488" s="52" t="s">
        <v>26</v>
      </c>
      <c r="G8488" s="53"/>
    </row>
    <row r="8489">
      <c r="A8489" s="49">
        <v>45110.37394358796</v>
      </c>
      <c r="B8489" s="50">
        <v>45110.498912662</v>
      </c>
      <c r="C8489" s="51">
        <v>1.004</v>
      </c>
      <c r="D8489" s="51">
        <v>71.0</v>
      </c>
      <c r="E8489" s="52" t="s">
        <v>25</v>
      </c>
      <c r="F8489" s="52" t="s">
        <v>26</v>
      </c>
      <c r="G8489" s="53"/>
    </row>
    <row r="8490">
      <c r="A8490" s="49">
        <v>45110.38436674769</v>
      </c>
      <c r="B8490" s="50">
        <v>45110.5093325347</v>
      </c>
      <c r="C8490" s="51">
        <v>1.004</v>
      </c>
      <c r="D8490" s="51">
        <v>71.0</v>
      </c>
      <c r="E8490" s="52" t="s">
        <v>25</v>
      </c>
      <c r="F8490" s="52" t="s">
        <v>26</v>
      </c>
      <c r="G8490" s="53"/>
    </row>
    <row r="8491">
      <c r="A8491" s="49">
        <v>45110.39478540509</v>
      </c>
      <c r="B8491" s="50">
        <v>45110.5197636111</v>
      </c>
      <c r="C8491" s="51">
        <v>1.004</v>
      </c>
      <c r="D8491" s="51">
        <v>71.0</v>
      </c>
      <c r="E8491" s="52" t="s">
        <v>25</v>
      </c>
      <c r="F8491" s="52" t="s">
        <v>26</v>
      </c>
      <c r="G8491" s="53"/>
    </row>
    <row r="8492">
      <c r="A8492" s="49">
        <v>45110.40523283565</v>
      </c>
      <c r="B8492" s="50">
        <v>45110.5302091203</v>
      </c>
      <c r="C8492" s="51">
        <v>1.004</v>
      </c>
      <c r="D8492" s="51">
        <v>71.0</v>
      </c>
      <c r="E8492" s="52" t="s">
        <v>25</v>
      </c>
      <c r="F8492" s="52" t="s">
        <v>26</v>
      </c>
      <c r="G8492" s="53"/>
    </row>
    <row r="8493">
      <c r="A8493" s="49">
        <v>45110.41565569444</v>
      </c>
      <c r="B8493" s="50">
        <v>45110.5406314004</v>
      </c>
      <c r="C8493" s="51">
        <v>1.004</v>
      </c>
      <c r="D8493" s="51">
        <v>71.0</v>
      </c>
      <c r="E8493" s="52" t="s">
        <v>25</v>
      </c>
      <c r="F8493" s="52" t="s">
        <v>26</v>
      </c>
      <c r="G8493" s="53"/>
    </row>
    <row r="8494">
      <c r="A8494" s="49">
        <v>45110.42607611111</v>
      </c>
      <c r="B8494" s="50">
        <v>45110.5510522916</v>
      </c>
      <c r="C8494" s="51">
        <v>1.004</v>
      </c>
      <c r="D8494" s="51">
        <v>71.0</v>
      </c>
      <c r="E8494" s="52" t="s">
        <v>25</v>
      </c>
      <c r="F8494" s="52" t="s">
        <v>26</v>
      </c>
      <c r="G8494" s="53"/>
    </row>
    <row r="8495">
      <c r="A8495" s="49">
        <v>45110.43650585648</v>
      </c>
      <c r="B8495" s="50">
        <v>45110.5614740509</v>
      </c>
      <c r="C8495" s="51">
        <v>1.004</v>
      </c>
      <c r="D8495" s="51">
        <v>71.0</v>
      </c>
      <c r="E8495" s="52" t="s">
        <v>25</v>
      </c>
      <c r="F8495" s="52" t="s">
        <v>26</v>
      </c>
      <c r="G8495" s="53"/>
    </row>
    <row r="8496">
      <c r="A8496" s="49">
        <v>45110.446922476855</v>
      </c>
      <c r="B8496" s="50">
        <v>45110.5718951967</v>
      </c>
      <c r="C8496" s="51">
        <v>1.004</v>
      </c>
      <c r="D8496" s="51">
        <v>71.0</v>
      </c>
      <c r="E8496" s="52" t="s">
        <v>25</v>
      </c>
      <c r="F8496" s="52" t="s">
        <v>26</v>
      </c>
      <c r="G8496" s="53"/>
    </row>
    <row r="8497">
      <c r="A8497" s="49">
        <v>45110.45734725695</v>
      </c>
      <c r="B8497" s="50">
        <v>45110.5823159722</v>
      </c>
      <c r="C8497" s="51">
        <v>1.004</v>
      </c>
      <c r="D8497" s="51">
        <v>71.0</v>
      </c>
      <c r="E8497" s="52" t="s">
        <v>25</v>
      </c>
      <c r="F8497" s="52" t="s">
        <v>26</v>
      </c>
      <c r="G8497" s="53"/>
    </row>
    <row r="8498">
      <c r="A8498" s="49">
        <v>45110.467755185186</v>
      </c>
      <c r="B8498" s="50">
        <v>45110.5927380439</v>
      </c>
      <c r="C8498" s="51">
        <v>1.004</v>
      </c>
      <c r="D8498" s="51">
        <v>71.0</v>
      </c>
      <c r="E8498" s="52" t="s">
        <v>25</v>
      </c>
      <c r="F8498" s="52" t="s">
        <v>26</v>
      </c>
      <c r="G8498" s="53"/>
    </row>
    <row r="8499">
      <c r="A8499" s="49">
        <v>45110.47820912037</v>
      </c>
      <c r="B8499" s="50">
        <v>45110.6031823611</v>
      </c>
      <c r="C8499" s="51">
        <v>1.004</v>
      </c>
      <c r="D8499" s="51">
        <v>71.0</v>
      </c>
      <c r="E8499" s="52" t="s">
        <v>25</v>
      </c>
      <c r="F8499" s="52" t="s">
        <v>26</v>
      </c>
      <c r="G8499" s="53"/>
    </row>
    <row r="8500">
      <c r="A8500" s="49">
        <v>45110.48863814815</v>
      </c>
      <c r="B8500" s="50">
        <v>45110.6136162847</v>
      </c>
      <c r="C8500" s="51">
        <v>1.004</v>
      </c>
      <c r="D8500" s="51">
        <v>71.0</v>
      </c>
      <c r="E8500" s="52" t="s">
        <v>25</v>
      </c>
      <c r="F8500" s="52" t="s">
        <v>26</v>
      </c>
      <c r="G8500" s="53"/>
    </row>
    <row r="8501">
      <c r="A8501" s="49">
        <v>45110.49907164351</v>
      </c>
      <c r="B8501" s="50">
        <v>45110.6240499421</v>
      </c>
      <c r="C8501" s="51">
        <v>1.004</v>
      </c>
      <c r="D8501" s="51">
        <v>71.0</v>
      </c>
      <c r="E8501" s="52" t="s">
        <v>25</v>
      </c>
      <c r="F8501" s="52" t="s">
        <v>26</v>
      </c>
      <c r="G8501" s="53"/>
    </row>
    <row r="8502">
      <c r="A8502" s="49">
        <v>45110.50949418981</v>
      </c>
      <c r="B8502" s="50">
        <v>45110.6344711805</v>
      </c>
      <c r="C8502" s="51">
        <v>1.004</v>
      </c>
      <c r="D8502" s="51">
        <v>71.0</v>
      </c>
      <c r="E8502" s="52" t="s">
        <v>25</v>
      </c>
      <c r="F8502" s="52" t="s">
        <v>26</v>
      </c>
      <c r="G8502" s="53"/>
    </row>
    <row r="8503">
      <c r="A8503" s="49">
        <v>45110.51993126157</v>
      </c>
      <c r="B8503" s="50">
        <v>45110.6449036574</v>
      </c>
      <c r="C8503" s="51">
        <v>1.004</v>
      </c>
      <c r="D8503" s="51">
        <v>71.0</v>
      </c>
      <c r="E8503" s="52" t="s">
        <v>25</v>
      </c>
      <c r="F8503" s="52" t="s">
        <v>26</v>
      </c>
      <c r="G8503" s="53"/>
    </row>
    <row r="8504">
      <c r="A8504" s="49">
        <v>45110.53034193287</v>
      </c>
      <c r="B8504" s="50">
        <v>45110.6553254861</v>
      </c>
      <c r="C8504" s="51">
        <v>1.004</v>
      </c>
      <c r="D8504" s="51">
        <v>71.0</v>
      </c>
      <c r="E8504" s="52" t="s">
        <v>25</v>
      </c>
      <c r="F8504" s="52" t="s">
        <v>26</v>
      </c>
      <c r="G8504" s="53"/>
    </row>
    <row r="8505">
      <c r="A8505" s="49">
        <v>45110.54077436343</v>
      </c>
      <c r="B8505" s="50">
        <v>45110.6657471759</v>
      </c>
      <c r="C8505" s="51">
        <v>1.004</v>
      </c>
      <c r="D8505" s="51">
        <v>71.0</v>
      </c>
      <c r="E8505" s="52" t="s">
        <v>25</v>
      </c>
      <c r="F8505" s="52" t="s">
        <v>26</v>
      </c>
      <c r="G8505" s="53"/>
    </row>
    <row r="8506">
      <c r="A8506" s="49">
        <v>45110.5512005787</v>
      </c>
      <c r="B8506" s="50">
        <v>45110.6761788541</v>
      </c>
      <c r="C8506" s="51">
        <v>1.004</v>
      </c>
      <c r="D8506" s="51">
        <v>71.0</v>
      </c>
      <c r="E8506" s="52" t="s">
        <v>25</v>
      </c>
      <c r="F8506" s="52" t="s">
        <v>26</v>
      </c>
      <c r="G8506" s="53"/>
    </row>
    <row r="8507">
      <c r="A8507" s="49">
        <v>45110.561625856484</v>
      </c>
      <c r="B8507" s="50">
        <v>45110.6866008564</v>
      </c>
      <c r="C8507" s="51">
        <v>1.004</v>
      </c>
      <c r="D8507" s="51">
        <v>71.0</v>
      </c>
      <c r="E8507" s="52" t="s">
        <v>25</v>
      </c>
      <c r="F8507" s="52" t="s">
        <v>26</v>
      </c>
      <c r="G8507" s="53"/>
    </row>
    <row r="8508">
      <c r="A8508" s="49">
        <v>45110.57204322917</v>
      </c>
      <c r="B8508" s="50">
        <v>45110.6970206481</v>
      </c>
      <c r="C8508" s="51">
        <v>1.004</v>
      </c>
      <c r="D8508" s="51">
        <v>71.0</v>
      </c>
      <c r="E8508" s="52" t="s">
        <v>25</v>
      </c>
      <c r="F8508" s="52" t="s">
        <v>26</v>
      </c>
      <c r="G8508" s="53"/>
    </row>
    <row r="8509">
      <c r="A8509" s="49">
        <v>45110.58248557871</v>
      </c>
      <c r="B8509" s="50">
        <v>45110.707464618</v>
      </c>
      <c r="C8509" s="51">
        <v>1.004</v>
      </c>
      <c r="D8509" s="51">
        <v>71.0</v>
      </c>
      <c r="E8509" s="52" t="s">
        <v>25</v>
      </c>
      <c r="F8509" s="52" t="s">
        <v>26</v>
      </c>
      <c r="G8509" s="53"/>
    </row>
    <row r="8510">
      <c r="A8510" s="49">
        <v>45110.592913263885</v>
      </c>
      <c r="B8510" s="50">
        <v>45110.7178875115</v>
      </c>
      <c r="C8510" s="51">
        <v>1.004</v>
      </c>
      <c r="D8510" s="51">
        <v>71.0</v>
      </c>
      <c r="E8510" s="52" t="s">
        <v>25</v>
      </c>
      <c r="F8510" s="52" t="s">
        <v>26</v>
      </c>
      <c r="G8510" s="53"/>
    </row>
    <row r="8511">
      <c r="A8511" s="49">
        <v>45110.60335200232</v>
      </c>
      <c r="B8511" s="50">
        <v>45110.7283316551</v>
      </c>
      <c r="C8511" s="51">
        <v>1.004</v>
      </c>
      <c r="D8511" s="51">
        <v>71.0</v>
      </c>
      <c r="E8511" s="52" t="s">
        <v>25</v>
      </c>
      <c r="F8511" s="52" t="s">
        <v>26</v>
      </c>
      <c r="G8511" s="53"/>
    </row>
    <row r="8512">
      <c r="A8512" s="49">
        <v>45110.613775300924</v>
      </c>
      <c r="B8512" s="50">
        <v>45110.7387528472</v>
      </c>
      <c r="C8512" s="51">
        <v>1.004</v>
      </c>
      <c r="D8512" s="51">
        <v>71.0</v>
      </c>
      <c r="E8512" s="52" t="s">
        <v>25</v>
      </c>
      <c r="F8512" s="52" t="s">
        <v>26</v>
      </c>
      <c r="G8512" s="53"/>
    </row>
    <row r="8513">
      <c r="A8513" s="49">
        <v>45110.62421460648</v>
      </c>
      <c r="B8513" s="50">
        <v>45110.7491867708</v>
      </c>
      <c r="C8513" s="51">
        <v>1.004</v>
      </c>
      <c r="D8513" s="51">
        <v>71.0</v>
      </c>
      <c r="E8513" s="52" t="s">
        <v>25</v>
      </c>
      <c r="F8513" s="52" t="s">
        <v>26</v>
      </c>
      <c r="G8513" s="53"/>
    </row>
    <row r="8514">
      <c r="A8514" s="49">
        <v>45110.634630162036</v>
      </c>
      <c r="B8514" s="50">
        <v>45110.759607824</v>
      </c>
      <c r="C8514" s="51">
        <v>1.004</v>
      </c>
      <c r="D8514" s="51">
        <v>71.0</v>
      </c>
      <c r="E8514" s="52" t="s">
        <v>25</v>
      </c>
      <c r="F8514" s="52" t="s">
        <v>26</v>
      </c>
      <c r="G8514" s="53"/>
    </row>
    <row r="8515">
      <c r="A8515" s="49">
        <v>45110.645047893515</v>
      </c>
      <c r="B8515" s="50">
        <v>45110.7700300347</v>
      </c>
      <c r="C8515" s="51">
        <v>1.004</v>
      </c>
      <c r="D8515" s="51">
        <v>71.0</v>
      </c>
      <c r="E8515" s="52" t="s">
        <v>25</v>
      </c>
      <c r="F8515" s="52" t="s">
        <v>26</v>
      </c>
      <c r="G8515" s="53"/>
    </row>
    <row r="8516">
      <c r="A8516" s="49">
        <v>45110.65547819444</v>
      </c>
      <c r="B8516" s="50">
        <v>45110.7804508912</v>
      </c>
      <c r="C8516" s="51">
        <v>1.004</v>
      </c>
      <c r="D8516" s="51">
        <v>71.0</v>
      </c>
      <c r="E8516" s="52" t="s">
        <v>25</v>
      </c>
      <c r="F8516" s="52" t="s">
        <v>26</v>
      </c>
      <c r="G8516" s="53"/>
    </row>
    <row r="8517">
      <c r="A8517" s="49">
        <v>45110.66590497685</v>
      </c>
      <c r="B8517" s="50">
        <v>45110.7908830555</v>
      </c>
      <c r="C8517" s="51">
        <v>1.004</v>
      </c>
      <c r="D8517" s="51">
        <v>71.0</v>
      </c>
      <c r="E8517" s="52" t="s">
        <v>25</v>
      </c>
      <c r="F8517" s="52" t="s">
        <v>26</v>
      </c>
      <c r="G8517" s="53"/>
    </row>
    <row r="8518">
      <c r="A8518" s="49">
        <v>45110.67631905092</v>
      </c>
      <c r="B8518" s="50">
        <v>45110.801303206</v>
      </c>
      <c r="C8518" s="51">
        <v>1.004</v>
      </c>
      <c r="D8518" s="51">
        <v>71.0</v>
      </c>
      <c r="E8518" s="52" t="s">
        <v>25</v>
      </c>
      <c r="F8518" s="52" t="s">
        <v>26</v>
      </c>
      <c r="G8518" s="53"/>
    </row>
    <row r="8519">
      <c r="A8519" s="49">
        <v>45110.68674773148</v>
      </c>
      <c r="B8519" s="50">
        <v>45110.8117254282</v>
      </c>
      <c r="C8519" s="51">
        <v>1.004</v>
      </c>
      <c r="D8519" s="51">
        <v>71.0</v>
      </c>
      <c r="E8519" s="52" t="s">
        <v>25</v>
      </c>
      <c r="F8519" s="52" t="s">
        <v>26</v>
      </c>
      <c r="G8519" s="53"/>
    </row>
    <row r="8520">
      <c r="A8520" s="49">
        <v>45110.69717791666</v>
      </c>
      <c r="B8520" s="50">
        <v>45110.8221571875</v>
      </c>
      <c r="C8520" s="51">
        <v>1.004</v>
      </c>
      <c r="D8520" s="51">
        <v>71.0</v>
      </c>
      <c r="E8520" s="52" t="s">
        <v>25</v>
      </c>
      <c r="F8520" s="52" t="s">
        <v>26</v>
      </c>
      <c r="G8520" s="53"/>
    </row>
    <row r="8521">
      <c r="A8521" s="49">
        <v>45110.70760708333</v>
      </c>
      <c r="B8521" s="50">
        <v>45110.8325770486</v>
      </c>
      <c r="C8521" s="51">
        <v>1.004</v>
      </c>
      <c r="D8521" s="51">
        <v>71.0</v>
      </c>
      <c r="E8521" s="52" t="s">
        <v>25</v>
      </c>
      <c r="F8521" s="52" t="s">
        <v>26</v>
      </c>
      <c r="G8521" s="53"/>
    </row>
    <row r="8522">
      <c r="A8522" s="49">
        <v>45110.718041782406</v>
      </c>
      <c r="B8522" s="50">
        <v>45110.8430205671</v>
      </c>
      <c r="C8522" s="51">
        <v>1.004</v>
      </c>
      <c r="D8522" s="51">
        <v>71.0</v>
      </c>
      <c r="E8522" s="52" t="s">
        <v>25</v>
      </c>
      <c r="F8522" s="52" t="s">
        <v>26</v>
      </c>
      <c r="G8522" s="53"/>
    </row>
    <row r="8523">
      <c r="A8523" s="49">
        <v>45110.72846650463</v>
      </c>
      <c r="B8523" s="50">
        <v>45110.8534429282</v>
      </c>
      <c r="C8523" s="51">
        <v>1.004</v>
      </c>
      <c r="D8523" s="51">
        <v>71.0</v>
      </c>
      <c r="E8523" s="52" t="s">
        <v>25</v>
      </c>
      <c r="F8523" s="52" t="s">
        <v>26</v>
      </c>
      <c r="G8523" s="53"/>
    </row>
    <row r="8524">
      <c r="A8524" s="49">
        <v>45110.7388825463</v>
      </c>
      <c r="B8524" s="50">
        <v>45110.8638651157</v>
      </c>
      <c r="C8524" s="51">
        <v>1.004</v>
      </c>
      <c r="D8524" s="51">
        <v>71.0</v>
      </c>
      <c r="E8524" s="52" t="s">
        <v>25</v>
      </c>
      <c r="F8524" s="52" t="s">
        <v>26</v>
      </c>
      <c r="G8524" s="53"/>
    </row>
    <row r="8525">
      <c r="A8525" s="49">
        <v>45110.74932407407</v>
      </c>
      <c r="B8525" s="50">
        <v>45110.8742978125</v>
      </c>
      <c r="C8525" s="51">
        <v>1.004</v>
      </c>
      <c r="D8525" s="51">
        <v>71.0</v>
      </c>
      <c r="E8525" s="52" t="s">
        <v>25</v>
      </c>
      <c r="F8525" s="52" t="s">
        <v>26</v>
      </c>
      <c r="G8525" s="53"/>
    </row>
    <row r="8526">
      <c r="A8526" s="49">
        <v>45110.7597449537</v>
      </c>
      <c r="B8526" s="50">
        <v>45110.8847190856</v>
      </c>
      <c r="C8526" s="51">
        <v>1.004</v>
      </c>
      <c r="D8526" s="51">
        <v>71.0</v>
      </c>
      <c r="E8526" s="52" t="s">
        <v>25</v>
      </c>
      <c r="F8526" s="52" t="s">
        <v>26</v>
      </c>
      <c r="G8526" s="53"/>
    </row>
    <row r="8527">
      <c r="A8527" s="49">
        <v>45110.770167395836</v>
      </c>
      <c r="B8527" s="50">
        <v>45110.8951414814</v>
      </c>
      <c r="C8527" s="51">
        <v>1.004</v>
      </c>
      <c r="D8527" s="51">
        <v>71.0</v>
      </c>
      <c r="E8527" s="52" t="s">
        <v>25</v>
      </c>
      <c r="F8527" s="52" t="s">
        <v>26</v>
      </c>
      <c r="G8527" s="53"/>
    </row>
    <row r="8528">
      <c r="A8528" s="49">
        <v>45110.780585706016</v>
      </c>
      <c r="B8528" s="50">
        <v>45110.90556125</v>
      </c>
      <c r="C8528" s="51">
        <v>1.004</v>
      </c>
      <c r="D8528" s="51">
        <v>71.0</v>
      </c>
      <c r="E8528" s="52" t="s">
        <v>25</v>
      </c>
      <c r="F8528" s="52" t="s">
        <v>26</v>
      </c>
      <c r="G8528" s="53"/>
    </row>
    <row r="8529">
      <c r="A8529" s="49">
        <v>45110.79102255787</v>
      </c>
      <c r="B8529" s="50">
        <v>45110.915993368</v>
      </c>
      <c r="C8529" s="51">
        <v>1.004</v>
      </c>
      <c r="D8529" s="51">
        <v>71.0</v>
      </c>
      <c r="E8529" s="52" t="s">
        <v>25</v>
      </c>
      <c r="F8529" s="52" t="s">
        <v>26</v>
      </c>
      <c r="G8529" s="53"/>
    </row>
    <row r="8530">
      <c r="A8530" s="49">
        <v>45110.801443634264</v>
      </c>
      <c r="B8530" s="50">
        <v>45110.9264246412</v>
      </c>
      <c r="C8530" s="51">
        <v>1.004</v>
      </c>
      <c r="D8530" s="51">
        <v>71.0</v>
      </c>
      <c r="E8530" s="52" t="s">
        <v>25</v>
      </c>
      <c r="F8530" s="52" t="s">
        <v>26</v>
      </c>
      <c r="G8530" s="53"/>
    </row>
    <row r="8531">
      <c r="A8531" s="49">
        <v>45110.81186189815</v>
      </c>
      <c r="B8531" s="50">
        <v>45110.9368448263</v>
      </c>
      <c r="C8531" s="51">
        <v>1.004</v>
      </c>
      <c r="D8531" s="51">
        <v>71.0</v>
      </c>
      <c r="E8531" s="52" t="s">
        <v>25</v>
      </c>
      <c r="F8531" s="52" t="s">
        <v>26</v>
      </c>
      <c r="G8531" s="53"/>
    </row>
    <row r="8532">
      <c r="A8532" s="49">
        <v>45110.82230383102</v>
      </c>
      <c r="B8532" s="50">
        <v>45110.9472770486</v>
      </c>
      <c r="C8532" s="51">
        <v>1.004</v>
      </c>
      <c r="D8532" s="51">
        <v>71.0</v>
      </c>
      <c r="E8532" s="52" t="s">
        <v>25</v>
      </c>
      <c r="F8532" s="52" t="s">
        <v>26</v>
      </c>
      <c r="G8532" s="53"/>
    </row>
    <row r="8533">
      <c r="A8533" s="49">
        <v>45110.832715474535</v>
      </c>
      <c r="B8533" s="50">
        <v>45110.9576981018</v>
      </c>
      <c r="C8533" s="51">
        <v>1.004</v>
      </c>
      <c r="D8533" s="51">
        <v>71.0</v>
      </c>
      <c r="E8533" s="52" t="s">
        <v>25</v>
      </c>
      <c r="F8533" s="52" t="s">
        <v>26</v>
      </c>
      <c r="G8533" s="53"/>
    </row>
    <row r="8534">
      <c r="A8534" s="49">
        <v>45110.84314542824</v>
      </c>
      <c r="B8534" s="50">
        <v>45110.9681202199</v>
      </c>
      <c r="C8534" s="51">
        <v>1.004</v>
      </c>
      <c r="D8534" s="51">
        <v>71.0</v>
      </c>
      <c r="E8534" s="52" t="s">
        <v>25</v>
      </c>
      <c r="F8534" s="52" t="s">
        <v>26</v>
      </c>
      <c r="G8534" s="53"/>
    </row>
    <row r="8535">
      <c r="A8535" s="49">
        <v>45110.85358063657</v>
      </c>
      <c r="B8535" s="50">
        <v>45110.9785548148</v>
      </c>
      <c r="C8535" s="51">
        <v>1.004</v>
      </c>
      <c r="D8535" s="51">
        <v>71.0</v>
      </c>
      <c r="E8535" s="52" t="s">
        <v>25</v>
      </c>
      <c r="F8535" s="52" t="s">
        <v>26</v>
      </c>
      <c r="G8535" s="53"/>
    </row>
    <row r="8536">
      <c r="A8536" s="49">
        <v>45110.86399157408</v>
      </c>
      <c r="B8536" s="50">
        <v>45110.9889748611</v>
      </c>
      <c r="C8536" s="51">
        <v>1.004</v>
      </c>
      <c r="D8536" s="51">
        <v>71.0</v>
      </c>
      <c r="E8536" s="52" t="s">
        <v>25</v>
      </c>
      <c r="F8536" s="52" t="s">
        <v>26</v>
      </c>
      <c r="G8536" s="53"/>
    </row>
    <row r="8537">
      <c r="A8537" s="49">
        <v>45110.87441655093</v>
      </c>
      <c r="B8537" s="50">
        <v>45110.9993973842</v>
      </c>
      <c r="C8537" s="51">
        <v>1.004</v>
      </c>
      <c r="D8537" s="51">
        <v>71.0</v>
      </c>
      <c r="E8537" s="52" t="s">
        <v>25</v>
      </c>
      <c r="F8537" s="52" t="s">
        <v>26</v>
      </c>
      <c r="G8537" s="53"/>
    </row>
    <row r="8538">
      <c r="A8538" s="49">
        <v>45110.8848387037</v>
      </c>
      <c r="B8538" s="50">
        <v>45111.0098170023</v>
      </c>
      <c r="C8538" s="51">
        <v>1.004</v>
      </c>
      <c r="D8538" s="51">
        <v>71.0</v>
      </c>
      <c r="E8538" s="52" t="s">
        <v>25</v>
      </c>
      <c r="F8538" s="52" t="s">
        <v>26</v>
      </c>
      <c r="G8538" s="53"/>
    </row>
    <row r="8539">
      <c r="A8539" s="49">
        <v>45110.89527289352</v>
      </c>
      <c r="B8539" s="50">
        <v>45111.0202506713</v>
      </c>
      <c r="C8539" s="51">
        <v>1.004</v>
      </c>
      <c r="D8539" s="51">
        <v>71.0</v>
      </c>
      <c r="E8539" s="52" t="s">
        <v>25</v>
      </c>
      <c r="F8539" s="52" t="s">
        <v>26</v>
      </c>
      <c r="G8539" s="53"/>
    </row>
    <row r="8540">
      <c r="A8540" s="49">
        <v>45110.90569753472</v>
      </c>
      <c r="B8540" s="50">
        <v>45111.0306695949</v>
      </c>
      <c r="C8540" s="51">
        <v>1.004</v>
      </c>
      <c r="D8540" s="51">
        <v>71.0</v>
      </c>
      <c r="E8540" s="52" t="s">
        <v>25</v>
      </c>
      <c r="F8540" s="52" t="s">
        <v>26</v>
      </c>
      <c r="G8540" s="53"/>
    </row>
    <row r="8541">
      <c r="A8541" s="49">
        <v>45110.91612310185</v>
      </c>
      <c r="B8541" s="50">
        <v>45111.0410997685</v>
      </c>
      <c r="C8541" s="51">
        <v>1.004</v>
      </c>
      <c r="D8541" s="51">
        <v>71.0</v>
      </c>
      <c r="E8541" s="52" t="s">
        <v>25</v>
      </c>
      <c r="F8541" s="52" t="s">
        <v>26</v>
      </c>
      <c r="G8541" s="53"/>
    </row>
    <row r="8542">
      <c r="A8542" s="49">
        <v>45110.92657265047</v>
      </c>
      <c r="B8542" s="50">
        <v>45111.0515452893</v>
      </c>
      <c r="C8542" s="51">
        <v>1.004</v>
      </c>
      <c r="D8542" s="51">
        <v>71.0</v>
      </c>
      <c r="E8542" s="52" t="s">
        <v>25</v>
      </c>
      <c r="F8542" s="52" t="s">
        <v>26</v>
      </c>
      <c r="G8542" s="53"/>
    </row>
    <row r="8543">
      <c r="A8543" s="49">
        <v>45110.93698939815</v>
      </c>
      <c r="B8543" s="50">
        <v>45111.061965787</v>
      </c>
      <c r="C8543" s="51">
        <v>1.004</v>
      </c>
      <c r="D8543" s="51">
        <v>71.0</v>
      </c>
      <c r="E8543" s="52" t="s">
        <v>25</v>
      </c>
      <c r="F8543" s="52" t="s">
        <v>26</v>
      </c>
      <c r="G8543" s="53"/>
    </row>
    <row r="8544">
      <c r="A8544" s="49">
        <v>45110.94740369213</v>
      </c>
      <c r="B8544" s="50">
        <v>45111.0723864583</v>
      </c>
      <c r="C8544" s="51">
        <v>1.004</v>
      </c>
      <c r="D8544" s="51">
        <v>71.0</v>
      </c>
      <c r="E8544" s="52" t="s">
        <v>25</v>
      </c>
      <c r="F8544" s="52" t="s">
        <v>26</v>
      </c>
      <c r="G8544" s="53"/>
    </row>
    <row r="8545">
      <c r="A8545" s="49">
        <v>45110.95782935186</v>
      </c>
      <c r="B8545" s="50">
        <v>45111.0828079976</v>
      </c>
      <c r="C8545" s="51">
        <v>1.004</v>
      </c>
      <c r="D8545" s="51">
        <v>71.0</v>
      </c>
      <c r="E8545" s="52" t="s">
        <v>25</v>
      </c>
      <c r="F8545" s="52" t="s">
        <v>26</v>
      </c>
      <c r="G8545" s="53"/>
    </row>
    <row r="8546">
      <c r="A8546" s="49">
        <v>45110.96826893519</v>
      </c>
      <c r="B8546" s="50">
        <v>45111.0932405555</v>
      </c>
      <c r="C8546" s="51">
        <v>1.004</v>
      </c>
      <c r="D8546" s="51">
        <v>71.0</v>
      </c>
      <c r="E8546" s="52" t="s">
        <v>25</v>
      </c>
      <c r="F8546" s="52" t="s">
        <v>26</v>
      </c>
      <c r="G8546" s="53"/>
    </row>
    <row r="8547">
      <c r="A8547" s="49">
        <v>45110.97868508102</v>
      </c>
      <c r="B8547" s="50">
        <v>45111.1036611805</v>
      </c>
      <c r="C8547" s="51">
        <v>1.004</v>
      </c>
      <c r="D8547" s="51">
        <v>71.0</v>
      </c>
      <c r="E8547" s="52" t="s">
        <v>25</v>
      </c>
      <c r="F8547" s="52" t="s">
        <v>26</v>
      </c>
      <c r="G8547" s="53"/>
    </row>
    <row r="8548">
      <c r="A8548" s="49">
        <v>45110.989109270835</v>
      </c>
      <c r="B8548" s="50">
        <v>45111.1140813888</v>
      </c>
      <c r="C8548" s="51">
        <v>1.004</v>
      </c>
      <c r="D8548" s="51">
        <v>71.0</v>
      </c>
      <c r="E8548" s="52" t="s">
        <v>25</v>
      </c>
      <c r="F8548" s="52" t="s">
        <v>26</v>
      </c>
      <c r="G8548" s="53"/>
    </row>
    <row r="8549">
      <c r="A8549" s="49">
        <v>45110.99953060185</v>
      </c>
      <c r="B8549" s="50">
        <v>45111.1245032176</v>
      </c>
      <c r="C8549" s="51">
        <v>1.004</v>
      </c>
      <c r="D8549" s="51">
        <v>71.0</v>
      </c>
      <c r="E8549" s="52" t="s">
        <v>25</v>
      </c>
      <c r="F8549" s="52" t="s">
        <v>26</v>
      </c>
      <c r="G8549" s="53"/>
    </row>
    <row r="8550">
      <c r="A8550" s="49">
        <v>45111.009944247686</v>
      </c>
      <c r="B8550" s="50">
        <v>45111.1349251041</v>
      </c>
      <c r="C8550" s="51">
        <v>1.004</v>
      </c>
      <c r="D8550" s="51">
        <v>71.0</v>
      </c>
      <c r="E8550" s="52" t="s">
        <v>25</v>
      </c>
      <c r="F8550" s="52" t="s">
        <v>26</v>
      </c>
      <c r="G8550" s="53"/>
    </row>
    <row r="8551">
      <c r="A8551" s="49">
        <v>45111.020371875</v>
      </c>
      <c r="B8551" s="50">
        <v>45111.1453471064</v>
      </c>
      <c r="C8551" s="51">
        <v>1.004</v>
      </c>
      <c r="D8551" s="51">
        <v>71.0</v>
      </c>
      <c r="E8551" s="52" t="s">
        <v>25</v>
      </c>
      <c r="F8551" s="52" t="s">
        <v>26</v>
      </c>
      <c r="G8551" s="53"/>
    </row>
    <row r="8552">
      <c r="A8552" s="49">
        <v>45111.03079625</v>
      </c>
      <c r="B8552" s="50">
        <v>45111.1557692129</v>
      </c>
      <c r="C8552" s="51">
        <v>1.004</v>
      </c>
      <c r="D8552" s="51">
        <v>71.0</v>
      </c>
      <c r="E8552" s="52" t="s">
        <v>25</v>
      </c>
      <c r="F8552" s="52" t="s">
        <v>26</v>
      </c>
      <c r="G8552" s="53"/>
    </row>
    <row r="8553">
      <c r="A8553" s="49">
        <v>45111.04121506945</v>
      </c>
      <c r="B8553" s="50">
        <v>45111.1661891666</v>
      </c>
      <c r="C8553" s="51">
        <v>1.004</v>
      </c>
      <c r="D8553" s="51">
        <v>71.0</v>
      </c>
      <c r="E8553" s="52" t="s">
        <v>25</v>
      </c>
      <c r="F8553" s="52" t="s">
        <v>26</v>
      </c>
      <c r="G8553" s="53"/>
    </row>
    <row r="8554">
      <c r="A8554" s="49">
        <v>45111.05163649305</v>
      </c>
      <c r="B8554" s="50">
        <v>45111.1766115509</v>
      </c>
      <c r="C8554" s="51">
        <v>1.004</v>
      </c>
      <c r="D8554" s="51">
        <v>71.0</v>
      </c>
      <c r="E8554" s="52" t="s">
        <v>25</v>
      </c>
      <c r="F8554" s="52" t="s">
        <v>26</v>
      </c>
      <c r="G8554" s="53"/>
    </row>
    <row r="8555">
      <c r="A8555" s="49">
        <v>45111.06205412037</v>
      </c>
      <c r="B8555" s="50">
        <v>45111.1870317939</v>
      </c>
      <c r="C8555" s="51">
        <v>1.004</v>
      </c>
      <c r="D8555" s="51">
        <v>71.0</v>
      </c>
      <c r="E8555" s="52" t="s">
        <v>25</v>
      </c>
      <c r="F8555" s="52" t="s">
        <v>26</v>
      </c>
      <c r="G8555" s="53"/>
    </row>
    <row r="8556">
      <c r="A8556" s="49">
        <v>45111.072475381945</v>
      </c>
      <c r="B8556" s="50">
        <v>45111.19745125</v>
      </c>
      <c r="C8556" s="51">
        <v>1.004</v>
      </c>
      <c r="D8556" s="51">
        <v>71.0</v>
      </c>
      <c r="E8556" s="52" t="s">
        <v>25</v>
      </c>
      <c r="F8556" s="52" t="s">
        <v>26</v>
      </c>
      <c r="G8556" s="53"/>
    </row>
    <row r="8557">
      <c r="A8557" s="49">
        <v>45111.08289913194</v>
      </c>
      <c r="B8557" s="50">
        <v>45111.2078738426</v>
      </c>
      <c r="C8557" s="51">
        <v>1.004</v>
      </c>
      <c r="D8557" s="51">
        <v>71.0</v>
      </c>
      <c r="E8557" s="52" t="s">
        <v>25</v>
      </c>
      <c r="F8557" s="52" t="s">
        <v>26</v>
      </c>
      <c r="G8557" s="53"/>
    </row>
    <row r="8558">
      <c r="A8558" s="49">
        <v>45111.093317314815</v>
      </c>
      <c r="B8558" s="50">
        <v>45111.2182961458</v>
      </c>
      <c r="C8558" s="51">
        <v>1.004</v>
      </c>
      <c r="D8558" s="51">
        <v>71.0</v>
      </c>
      <c r="E8558" s="52" t="s">
        <v>25</v>
      </c>
      <c r="F8558" s="52" t="s">
        <v>26</v>
      </c>
      <c r="G8558" s="53"/>
    </row>
    <row r="8559">
      <c r="A8559" s="49">
        <v>45111.10374313657</v>
      </c>
      <c r="B8559" s="50">
        <v>45111.22871728</v>
      </c>
      <c r="C8559" s="51">
        <v>1.004</v>
      </c>
      <c r="D8559" s="51">
        <v>71.0</v>
      </c>
      <c r="E8559" s="52" t="s">
        <v>25</v>
      </c>
      <c r="F8559" s="52" t="s">
        <v>26</v>
      </c>
      <c r="G8559" s="53"/>
    </row>
    <row r="8560">
      <c r="A8560" s="49">
        <v>45111.11415807871</v>
      </c>
      <c r="B8560" s="50">
        <v>45111.2391416782</v>
      </c>
      <c r="C8560" s="51">
        <v>1.004</v>
      </c>
      <c r="D8560" s="51">
        <v>71.0</v>
      </c>
      <c r="E8560" s="52" t="s">
        <v>25</v>
      </c>
      <c r="F8560" s="52" t="s">
        <v>26</v>
      </c>
      <c r="G8560" s="53"/>
    </row>
    <row r="8561">
      <c r="A8561" s="49">
        <v>45111.124582743054</v>
      </c>
      <c r="B8561" s="50">
        <v>45111.2495644675</v>
      </c>
      <c r="C8561" s="51">
        <v>1.004</v>
      </c>
      <c r="D8561" s="51">
        <v>71.0</v>
      </c>
      <c r="E8561" s="52" t="s">
        <v>25</v>
      </c>
      <c r="F8561" s="52" t="s">
        <v>26</v>
      </c>
      <c r="G8561" s="53"/>
    </row>
    <row r="8562">
      <c r="A8562" s="49">
        <v>45111.13500363426</v>
      </c>
      <c r="B8562" s="50">
        <v>45111.2599852777</v>
      </c>
      <c r="C8562" s="51">
        <v>1.004</v>
      </c>
      <c r="D8562" s="51">
        <v>71.0</v>
      </c>
      <c r="E8562" s="52" t="s">
        <v>25</v>
      </c>
      <c r="F8562" s="52" t="s">
        <v>26</v>
      </c>
      <c r="G8562" s="53"/>
    </row>
    <row r="8563">
      <c r="A8563" s="49">
        <v>45111.14543443287</v>
      </c>
      <c r="B8563" s="50">
        <v>45111.2704065046</v>
      </c>
      <c r="C8563" s="51">
        <v>1.004</v>
      </c>
      <c r="D8563" s="51">
        <v>71.0</v>
      </c>
      <c r="E8563" s="52" t="s">
        <v>25</v>
      </c>
      <c r="F8563" s="52" t="s">
        <v>26</v>
      </c>
      <c r="G8563" s="53"/>
    </row>
    <row r="8564">
      <c r="A8564" s="49">
        <v>45111.15585740741</v>
      </c>
      <c r="B8564" s="50">
        <v>45111.2808274305</v>
      </c>
      <c r="C8564" s="51">
        <v>1.004</v>
      </c>
      <c r="D8564" s="51">
        <v>71.0</v>
      </c>
      <c r="E8564" s="52" t="s">
        <v>25</v>
      </c>
      <c r="F8564" s="52" t="s">
        <v>26</v>
      </c>
      <c r="G8564" s="53"/>
    </row>
    <row r="8565">
      <c r="A8565" s="49">
        <v>45111.16628171296</v>
      </c>
      <c r="B8565" s="50">
        <v>45111.2912605902</v>
      </c>
      <c r="C8565" s="51">
        <v>1.004</v>
      </c>
      <c r="D8565" s="51">
        <v>71.0</v>
      </c>
      <c r="E8565" s="52" t="s">
        <v>25</v>
      </c>
      <c r="F8565" s="52" t="s">
        <v>26</v>
      </c>
      <c r="G8565" s="53"/>
    </row>
    <row r="8566">
      <c r="A8566" s="49">
        <v>45111.17671547453</v>
      </c>
      <c r="B8566" s="50">
        <v>45111.3016920601</v>
      </c>
      <c r="C8566" s="51">
        <v>1.004</v>
      </c>
      <c r="D8566" s="51">
        <v>71.0</v>
      </c>
      <c r="E8566" s="52" t="s">
        <v>25</v>
      </c>
      <c r="F8566" s="52" t="s">
        <v>26</v>
      </c>
      <c r="G8566" s="53"/>
    </row>
    <row r="8567">
      <c r="A8567" s="49">
        <v>45111.18713670139</v>
      </c>
      <c r="B8567" s="50">
        <v>45111.3121110764</v>
      </c>
      <c r="C8567" s="51">
        <v>1.004</v>
      </c>
      <c r="D8567" s="51">
        <v>71.0</v>
      </c>
      <c r="E8567" s="52" t="s">
        <v>25</v>
      </c>
      <c r="F8567" s="52" t="s">
        <v>26</v>
      </c>
      <c r="G8567" s="53"/>
    </row>
    <row r="8568">
      <c r="A8568" s="49">
        <v>45111.19756771991</v>
      </c>
      <c r="B8568" s="50">
        <v>45111.3225443865</v>
      </c>
      <c r="C8568" s="51">
        <v>1.004</v>
      </c>
      <c r="D8568" s="51">
        <v>71.0</v>
      </c>
      <c r="E8568" s="52" t="s">
        <v>25</v>
      </c>
      <c r="F8568" s="52" t="s">
        <v>26</v>
      </c>
      <c r="G8568" s="53"/>
    </row>
    <row r="8569">
      <c r="A8569" s="49">
        <v>45111.20799070602</v>
      </c>
      <c r="B8569" s="50">
        <v>45111.3329657638</v>
      </c>
      <c r="C8569" s="51">
        <v>1.004</v>
      </c>
      <c r="D8569" s="51">
        <v>71.0</v>
      </c>
      <c r="E8569" s="52" t="s">
        <v>25</v>
      </c>
      <c r="F8569" s="52" t="s">
        <v>26</v>
      </c>
      <c r="G8569" s="53"/>
    </row>
    <row r="8570">
      <c r="A8570" s="49">
        <v>45111.2184040162</v>
      </c>
      <c r="B8570" s="50">
        <v>45111.3433855671</v>
      </c>
      <c r="C8570" s="51">
        <v>1.004</v>
      </c>
      <c r="D8570" s="51">
        <v>71.0</v>
      </c>
      <c r="E8570" s="52" t="s">
        <v>25</v>
      </c>
      <c r="F8570" s="52" t="s">
        <v>26</v>
      </c>
      <c r="G8570" s="53"/>
    </row>
    <row r="8571">
      <c r="A8571" s="49">
        <v>45111.228835347225</v>
      </c>
      <c r="B8571" s="50">
        <v>45111.3538081018</v>
      </c>
      <c r="C8571" s="51">
        <v>1.004</v>
      </c>
      <c r="D8571" s="51">
        <v>71.0</v>
      </c>
      <c r="E8571" s="52" t="s">
        <v>25</v>
      </c>
      <c r="F8571" s="52" t="s">
        <v>26</v>
      </c>
      <c r="G8571" s="53"/>
    </row>
    <row r="8572">
      <c r="A8572" s="49">
        <v>45111.23925003472</v>
      </c>
      <c r="B8572" s="50">
        <v>45111.3642279166</v>
      </c>
      <c r="C8572" s="51">
        <v>1.004</v>
      </c>
      <c r="D8572" s="51">
        <v>71.0</v>
      </c>
      <c r="E8572" s="52" t="s">
        <v>25</v>
      </c>
      <c r="F8572" s="52" t="s">
        <v>26</v>
      </c>
      <c r="G8572" s="53"/>
    </row>
    <row r="8573">
      <c r="A8573" s="49">
        <v>45111.24967472222</v>
      </c>
      <c r="B8573" s="50">
        <v>45111.3746494328</v>
      </c>
      <c r="C8573" s="51">
        <v>1.004</v>
      </c>
      <c r="D8573" s="51">
        <v>71.0</v>
      </c>
      <c r="E8573" s="52" t="s">
        <v>25</v>
      </c>
      <c r="F8573" s="52" t="s">
        <v>26</v>
      </c>
      <c r="G8573" s="53"/>
    </row>
    <row r="8574">
      <c r="A8574" s="49">
        <v>45111.26009582176</v>
      </c>
      <c r="B8574" s="50">
        <v>45111.3850706713</v>
      </c>
      <c r="C8574" s="51">
        <v>1.004</v>
      </c>
      <c r="D8574" s="51">
        <v>71.0</v>
      </c>
      <c r="E8574" s="52" t="s">
        <v>25</v>
      </c>
      <c r="F8574" s="52" t="s">
        <v>26</v>
      </c>
      <c r="G8574" s="53"/>
    </row>
    <row r="8575">
      <c r="A8575" s="49">
        <v>45111.27051635417</v>
      </c>
      <c r="B8575" s="50">
        <v>45111.3954901504</v>
      </c>
      <c r="C8575" s="51">
        <v>1.004</v>
      </c>
      <c r="D8575" s="51">
        <v>71.0</v>
      </c>
      <c r="E8575" s="52" t="s">
        <v>25</v>
      </c>
      <c r="F8575" s="52" t="s">
        <v>26</v>
      </c>
      <c r="G8575" s="53"/>
    </row>
    <row r="8576">
      <c r="A8576" s="49">
        <v>45111.280938067124</v>
      </c>
      <c r="B8576" s="50">
        <v>45111.4059106828</v>
      </c>
      <c r="C8576" s="51">
        <v>1.004</v>
      </c>
      <c r="D8576" s="51">
        <v>71.0</v>
      </c>
      <c r="E8576" s="52" t="s">
        <v>25</v>
      </c>
      <c r="F8576" s="52" t="s">
        <v>26</v>
      </c>
      <c r="G8576" s="53"/>
    </row>
    <row r="8577">
      <c r="A8577" s="49">
        <v>45111.29135586806</v>
      </c>
      <c r="B8577" s="50">
        <v>45111.4163323032</v>
      </c>
      <c r="C8577" s="51">
        <v>1.004</v>
      </c>
      <c r="D8577" s="51">
        <v>71.0</v>
      </c>
      <c r="E8577" s="52" t="s">
        <v>25</v>
      </c>
      <c r="F8577" s="52" t="s">
        <v>26</v>
      </c>
      <c r="G8577" s="53"/>
    </row>
    <row r="8578">
      <c r="A8578" s="49">
        <v>45111.30178768518</v>
      </c>
      <c r="B8578" s="50">
        <v>45111.4267642939</v>
      </c>
      <c r="C8578" s="51">
        <v>1.004</v>
      </c>
      <c r="D8578" s="51">
        <v>71.0</v>
      </c>
      <c r="E8578" s="52" t="s">
        <v>25</v>
      </c>
      <c r="F8578" s="52" t="s">
        <v>26</v>
      </c>
      <c r="G8578" s="53"/>
    </row>
    <row r="8579">
      <c r="A8579" s="49">
        <v>45111.31221791667</v>
      </c>
      <c r="B8579" s="50">
        <v>45111.4371978587</v>
      </c>
      <c r="C8579" s="51">
        <v>1.004</v>
      </c>
      <c r="D8579" s="51">
        <v>71.0</v>
      </c>
      <c r="E8579" s="52" t="s">
        <v>25</v>
      </c>
      <c r="F8579" s="52" t="s">
        <v>26</v>
      </c>
      <c r="G8579" s="53"/>
    </row>
    <row r="8580">
      <c r="A8580" s="49">
        <v>45111.32264337963</v>
      </c>
      <c r="B8580" s="50">
        <v>45111.4476185995</v>
      </c>
      <c r="C8580" s="51">
        <v>1.004</v>
      </c>
      <c r="D8580" s="51">
        <v>71.0</v>
      </c>
      <c r="E8580" s="52" t="s">
        <v>25</v>
      </c>
      <c r="F8580" s="52" t="s">
        <v>26</v>
      </c>
      <c r="G8580" s="53"/>
    </row>
    <row r="8581">
      <c r="A8581" s="49">
        <v>45111.33307087963</v>
      </c>
      <c r="B8581" s="50">
        <v>45111.4580508796</v>
      </c>
      <c r="C8581" s="51">
        <v>1.004</v>
      </c>
      <c r="D8581" s="51">
        <v>71.0</v>
      </c>
      <c r="E8581" s="52" t="s">
        <v>25</v>
      </c>
      <c r="F8581" s="52" t="s">
        <v>26</v>
      </c>
      <c r="G8581" s="53"/>
    </row>
    <row r="8582">
      <c r="A8582" s="49">
        <v>45111.343495636575</v>
      </c>
      <c r="B8582" s="50">
        <v>45111.4684728703</v>
      </c>
      <c r="C8582" s="51">
        <v>1.004</v>
      </c>
      <c r="D8582" s="51">
        <v>71.0</v>
      </c>
      <c r="E8582" s="52" t="s">
        <v>25</v>
      </c>
      <c r="F8582" s="52" t="s">
        <v>26</v>
      </c>
      <c r="G8582" s="53"/>
    </row>
    <row r="8583">
      <c r="A8583" s="49">
        <v>45111.35391207176</v>
      </c>
      <c r="B8583" s="50">
        <v>45111.4788932291</v>
      </c>
      <c r="C8583" s="51">
        <v>1.004</v>
      </c>
      <c r="D8583" s="51">
        <v>71.0</v>
      </c>
      <c r="E8583" s="52" t="s">
        <v>25</v>
      </c>
      <c r="F8583" s="52" t="s">
        <v>26</v>
      </c>
      <c r="G8583" s="53"/>
    </row>
    <row r="8584">
      <c r="A8584" s="49">
        <v>45111.36436224537</v>
      </c>
      <c r="B8584" s="50">
        <v>45111.4893385763</v>
      </c>
      <c r="C8584" s="51">
        <v>1.004</v>
      </c>
      <c r="D8584" s="51">
        <v>71.0</v>
      </c>
      <c r="E8584" s="52" t="s">
        <v>25</v>
      </c>
      <c r="F8584" s="52" t="s">
        <v>26</v>
      </c>
      <c r="G8584" s="53"/>
    </row>
    <row r="8585">
      <c r="A8585" s="49">
        <v>45111.37478997685</v>
      </c>
      <c r="B8585" s="50">
        <v>45111.4997598958</v>
      </c>
      <c r="C8585" s="51">
        <v>1.004</v>
      </c>
      <c r="D8585" s="51">
        <v>71.0</v>
      </c>
      <c r="E8585" s="52" t="s">
        <v>25</v>
      </c>
      <c r="F8585" s="52" t="s">
        <v>26</v>
      </c>
      <c r="G8585" s="53"/>
    </row>
    <row r="8586">
      <c r="A8586" s="49">
        <v>45111.38520408564</v>
      </c>
      <c r="B8586" s="50">
        <v>45111.5101799652</v>
      </c>
      <c r="C8586" s="51">
        <v>1.004</v>
      </c>
      <c r="D8586" s="51">
        <v>71.0</v>
      </c>
      <c r="E8586" s="52" t="s">
        <v>25</v>
      </c>
      <c r="F8586" s="52" t="s">
        <v>26</v>
      </c>
      <c r="G8586" s="53"/>
    </row>
    <row r="8587">
      <c r="A8587" s="49">
        <v>45111.39562131945</v>
      </c>
      <c r="B8587" s="50">
        <v>45111.5206021064</v>
      </c>
      <c r="C8587" s="51">
        <v>1.004</v>
      </c>
      <c r="D8587" s="51">
        <v>71.0</v>
      </c>
      <c r="E8587" s="52" t="s">
        <v>25</v>
      </c>
      <c r="F8587" s="52" t="s">
        <v>26</v>
      </c>
      <c r="G8587" s="53"/>
    </row>
    <row r="8588">
      <c r="A8588" s="49">
        <v>45111.406048425924</v>
      </c>
      <c r="B8588" s="50">
        <v>45111.5310233564</v>
      </c>
      <c r="C8588" s="51">
        <v>1.004</v>
      </c>
      <c r="D8588" s="51">
        <v>71.0</v>
      </c>
      <c r="E8588" s="52" t="s">
        <v>25</v>
      </c>
      <c r="F8588" s="52" t="s">
        <v>26</v>
      </c>
      <c r="G8588" s="53"/>
    </row>
    <row r="8589">
      <c r="A8589" s="49">
        <v>45111.41647136574</v>
      </c>
      <c r="B8589" s="50">
        <v>45111.5414566666</v>
      </c>
      <c r="C8589" s="51">
        <v>1.004</v>
      </c>
      <c r="D8589" s="51">
        <v>71.0</v>
      </c>
      <c r="E8589" s="52" t="s">
        <v>25</v>
      </c>
      <c r="F8589" s="52" t="s">
        <v>26</v>
      </c>
      <c r="G8589" s="53"/>
    </row>
    <row r="8590">
      <c r="A8590" s="49">
        <v>45111.42690723379</v>
      </c>
      <c r="B8590" s="50">
        <v>45111.5518777083</v>
      </c>
      <c r="C8590" s="51">
        <v>1.004</v>
      </c>
      <c r="D8590" s="51">
        <v>71.0</v>
      </c>
      <c r="E8590" s="52" t="s">
        <v>25</v>
      </c>
      <c r="F8590" s="52" t="s">
        <v>26</v>
      </c>
      <c r="G8590" s="53"/>
    </row>
    <row r="8591">
      <c r="A8591" s="49">
        <v>45111.437326168976</v>
      </c>
      <c r="B8591" s="50">
        <v>45111.5622986805</v>
      </c>
      <c r="C8591" s="51">
        <v>1.004</v>
      </c>
      <c r="D8591" s="51">
        <v>71.0</v>
      </c>
      <c r="E8591" s="52" t="s">
        <v>25</v>
      </c>
      <c r="F8591" s="52" t="s">
        <v>26</v>
      </c>
      <c r="G8591" s="53"/>
    </row>
    <row r="8592">
      <c r="A8592" s="49">
        <v>45111.44774659722</v>
      </c>
      <c r="B8592" s="50">
        <v>45111.5727203935</v>
      </c>
      <c r="C8592" s="51">
        <v>1.004</v>
      </c>
      <c r="D8592" s="51">
        <v>71.0</v>
      </c>
      <c r="E8592" s="52" t="s">
        <v>25</v>
      </c>
      <c r="F8592" s="52" t="s">
        <v>26</v>
      </c>
      <c r="G8592" s="53"/>
    </row>
    <row r="8593">
      <c r="A8593" s="49">
        <v>45111.45816645834</v>
      </c>
      <c r="B8593" s="50">
        <v>45111.5831425115</v>
      </c>
      <c r="C8593" s="51">
        <v>1.004</v>
      </c>
      <c r="D8593" s="51">
        <v>71.0</v>
      </c>
      <c r="E8593" s="52" t="s">
        <v>25</v>
      </c>
      <c r="F8593" s="52" t="s">
        <v>26</v>
      </c>
      <c r="G8593" s="53"/>
    </row>
    <row r="8594">
      <c r="A8594" s="49">
        <v>45111.46858945602</v>
      </c>
      <c r="B8594" s="50">
        <v>45111.5935622801</v>
      </c>
      <c r="C8594" s="51">
        <v>1.004</v>
      </c>
      <c r="D8594" s="51">
        <v>71.0</v>
      </c>
      <c r="E8594" s="52" t="s">
        <v>25</v>
      </c>
      <c r="F8594" s="52" t="s">
        <v>26</v>
      </c>
      <c r="G8594" s="53"/>
    </row>
    <row r="8595">
      <c r="A8595" s="49">
        <v>45111.47901048611</v>
      </c>
      <c r="B8595" s="50">
        <v>45111.6039851967</v>
      </c>
      <c r="C8595" s="51">
        <v>1.004</v>
      </c>
      <c r="D8595" s="51">
        <v>71.0</v>
      </c>
      <c r="E8595" s="52" t="s">
        <v>25</v>
      </c>
      <c r="F8595" s="52" t="s">
        <v>26</v>
      </c>
      <c r="G8595" s="53"/>
    </row>
    <row r="8596">
      <c r="A8596" s="49">
        <v>45111.48942864583</v>
      </c>
      <c r="B8596" s="50">
        <v>45111.6144059606</v>
      </c>
      <c r="C8596" s="51">
        <v>1.004</v>
      </c>
      <c r="D8596" s="51">
        <v>71.0</v>
      </c>
      <c r="E8596" s="52" t="s">
        <v>25</v>
      </c>
      <c r="F8596" s="52" t="s">
        <v>26</v>
      </c>
      <c r="G8596" s="53"/>
    </row>
    <row r="8597">
      <c r="A8597" s="49">
        <v>45111.499853437504</v>
      </c>
      <c r="B8597" s="50">
        <v>45111.6248266666</v>
      </c>
      <c r="C8597" s="51">
        <v>1.004</v>
      </c>
      <c r="D8597" s="51">
        <v>71.0</v>
      </c>
      <c r="E8597" s="52" t="s">
        <v>25</v>
      </c>
      <c r="F8597" s="52" t="s">
        <v>26</v>
      </c>
      <c r="G8597" s="53"/>
    </row>
    <row r="8598">
      <c r="A8598" s="49">
        <v>45111.510273761574</v>
      </c>
      <c r="B8598" s="50">
        <v>45111.6352470833</v>
      </c>
      <c r="C8598" s="51">
        <v>1.004</v>
      </c>
      <c r="D8598" s="51">
        <v>71.0</v>
      </c>
      <c r="E8598" s="52" t="s">
        <v>25</v>
      </c>
      <c r="F8598" s="52" t="s">
        <v>26</v>
      </c>
      <c r="G8598" s="53"/>
    </row>
    <row r="8599">
      <c r="A8599" s="49">
        <v>45111.52071506945</v>
      </c>
      <c r="B8599" s="50">
        <v>45111.6456904976</v>
      </c>
      <c r="C8599" s="51">
        <v>1.004</v>
      </c>
      <c r="D8599" s="51">
        <v>71.0</v>
      </c>
      <c r="E8599" s="52" t="s">
        <v>25</v>
      </c>
      <c r="F8599" s="52" t="s">
        <v>26</v>
      </c>
      <c r="G8599" s="53"/>
    </row>
    <row r="8600">
      <c r="A8600" s="49">
        <v>45111.53115625</v>
      </c>
      <c r="B8600" s="50">
        <v>45111.6561111689</v>
      </c>
      <c r="C8600" s="51">
        <v>1.004</v>
      </c>
      <c r="D8600" s="51">
        <v>71.0</v>
      </c>
      <c r="E8600" s="52" t="s">
        <v>25</v>
      </c>
      <c r="F8600" s="52" t="s">
        <v>26</v>
      </c>
      <c r="G8600" s="53"/>
    </row>
    <row r="8601">
      <c r="A8601" s="49">
        <v>45111.541559687495</v>
      </c>
      <c r="B8601" s="50">
        <v>45111.6665337037</v>
      </c>
      <c r="C8601" s="51">
        <v>1.004</v>
      </c>
      <c r="D8601" s="51">
        <v>71.0</v>
      </c>
      <c r="E8601" s="52" t="s">
        <v>25</v>
      </c>
      <c r="F8601" s="52" t="s">
        <v>26</v>
      </c>
      <c r="G8601" s="53"/>
    </row>
    <row r="8602">
      <c r="A8602" s="49">
        <v>45111.55197888889</v>
      </c>
      <c r="B8602" s="50">
        <v>45111.6769555324</v>
      </c>
      <c r="C8602" s="51">
        <v>1.004</v>
      </c>
      <c r="D8602" s="51">
        <v>71.0</v>
      </c>
      <c r="E8602" s="52" t="s">
        <v>25</v>
      </c>
      <c r="F8602" s="52" t="s">
        <v>26</v>
      </c>
      <c r="G8602" s="53"/>
    </row>
    <row r="8603">
      <c r="A8603" s="49">
        <v>45111.56239717593</v>
      </c>
      <c r="B8603" s="50">
        <v>45111.687375868</v>
      </c>
      <c r="C8603" s="51">
        <v>1.004</v>
      </c>
      <c r="D8603" s="51">
        <v>71.0</v>
      </c>
      <c r="E8603" s="52" t="s">
        <v>25</v>
      </c>
      <c r="F8603" s="52" t="s">
        <v>26</v>
      </c>
      <c r="G8603" s="53"/>
    </row>
    <row r="8604">
      <c r="A8604" s="49">
        <v>45111.5728196875</v>
      </c>
      <c r="B8604" s="50">
        <v>45111.6977972338</v>
      </c>
      <c r="C8604" s="51">
        <v>1.004</v>
      </c>
      <c r="D8604" s="51">
        <v>71.0</v>
      </c>
      <c r="E8604" s="52" t="s">
        <v>25</v>
      </c>
      <c r="F8604" s="52" t="s">
        <v>26</v>
      </c>
      <c r="G8604" s="53"/>
    </row>
    <row r="8605">
      <c r="A8605" s="49">
        <v>45111.58323537037</v>
      </c>
      <c r="B8605" s="50">
        <v>45111.7082203819</v>
      </c>
      <c r="C8605" s="51">
        <v>1.004</v>
      </c>
      <c r="D8605" s="51">
        <v>71.0</v>
      </c>
      <c r="E8605" s="52" t="s">
        <v>25</v>
      </c>
      <c r="F8605" s="52" t="s">
        <v>26</v>
      </c>
      <c r="G8605" s="53"/>
    </row>
    <row r="8606">
      <c r="A8606" s="49">
        <v>45111.593688506946</v>
      </c>
      <c r="B8606" s="50">
        <v>45111.7186653703</v>
      </c>
      <c r="C8606" s="51">
        <v>1.004</v>
      </c>
      <c r="D8606" s="51">
        <v>71.0</v>
      </c>
      <c r="E8606" s="52" t="s">
        <v>25</v>
      </c>
      <c r="F8606" s="52" t="s">
        <v>26</v>
      </c>
      <c r="G8606" s="53"/>
    </row>
    <row r="8607">
      <c r="A8607" s="49">
        <v>45111.6041121875</v>
      </c>
      <c r="B8607" s="50">
        <v>45111.7290861342</v>
      </c>
      <c r="C8607" s="51">
        <v>1.004</v>
      </c>
      <c r="D8607" s="51">
        <v>71.0</v>
      </c>
      <c r="E8607" s="52" t="s">
        <v>25</v>
      </c>
      <c r="F8607" s="52" t="s">
        <v>26</v>
      </c>
      <c r="G8607" s="53"/>
    </row>
    <row r="8608">
      <c r="A8608" s="49">
        <v>45111.614525983794</v>
      </c>
      <c r="B8608" s="50">
        <v>45111.7395070023</v>
      </c>
      <c r="C8608" s="51">
        <v>1.004</v>
      </c>
      <c r="D8608" s="51">
        <v>71.0</v>
      </c>
      <c r="E8608" s="52" t="s">
        <v>25</v>
      </c>
      <c r="F8608" s="52" t="s">
        <v>26</v>
      </c>
      <c r="G8608" s="53"/>
    </row>
    <row r="8609">
      <c r="A8609" s="49">
        <v>45111.62495394676</v>
      </c>
      <c r="B8609" s="50">
        <v>45111.7499291087</v>
      </c>
      <c r="C8609" s="51">
        <v>1.004</v>
      </c>
      <c r="D8609" s="51">
        <v>71.0</v>
      </c>
      <c r="E8609" s="52" t="s">
        <v>25</v>
      </c>
      <c r="F8609" s="52" t="s">
        <v>26</v>
      </c>
      <c r="G8609" s="53"/>
    </row>
    <row r="8610">
      <c r="A8610" s="49">
        <v>45111.635374432866</v>
      </c>
      <c r="B8610" s="50">
        <v>45111.7603498148</v>
      </c>
      <c r="C8610" s="51">
        <v>1.004</v>
      </c>
      <c r="D8610" s="51">
        <v>71.0</v>
      </c>
      <c r="E8610" s="52" t="s">
        <v>25</v>
      </c>
      <c r="F8610" s="52" t="s">
        <v>26</v>
      </c>
      <c r="G8610" s="53"/>
    </row>
    <row r="8611">
      <c r="A8611" s="49">
        <v>45111.64580601852</v>
      </c>
      <c r="B8611" s="50">
        <v>45111.770783287</v>
      </c>
      <c r="C8611" s="51">
        <v>1.004</v>
      </c>
      <c r="D8611" s="51">
        <v>71.0</v>
      </c>
      <c r="E8611" s="52" t="s">
        <v>25</v>
      </c>
      <c r="F8611" s="52" t="s">
        <v>26</v>
      </c>
      <c r="G8611" s="53"/>
    </row>
    <row r="8612">
      <c r="A8612" s="49">
        <v>45111.65622041667</v>
      </c>
      <c r="B8612" s="50">
        <v>45111.7812041551</v>
      </c>
      <c r="C8612" s="51">
        <v>1.004</v>
      </c>
      <c r="D8612" s="51">
        <v>71.0</v>
      </c>
      <c r="E8612" s="52" t="s">
        <v>25</v>
      </c>
      <c r="F8612" s="52" t="s">
        <v>26</v>
      </c>
      <c r="G8612" s="53"/>
    </row>
    <row r="8613">
      <c r="A8613" s="49">
        <v>45111.66664730324</v>
      </c>
      <c r="B8613" s="50">
        <v>45111.7916244444</v>
      </c>
      <c r="C8613" s="51">
        <v>1.004</v>
      </c>
      <c r="D8613" s="51">
        <v>71.0</v>
      </c>
      <c r="E8613" s="52" t="s">
        <v>25</v>
      </c>
      <c r="F8613" s="52" t="s">
        <v>26</v>
      </c>
      <c r="G8613" s="53"/>
    </row>
    <row r="8614">
      <c r="A8614" s="49">
        <v>45111.67706353009</v>
      </c>
      <c r="B8614" s="50">
        <v>45111.8020446412</v>
      </c>
      <c r="C8614" s="51">
        <v>1.004</v>
      </c>
      <c r="D8614" s="51">
        <v>71.0</v>
      </c>
      <c r="E8614" s="52" t="s">
        <v>25</v>
      </c>
      <c r="F8614" s="52" t="s">
        <v>26</v>
      </c>
      <c r="G8614" s="53"/>
    </row>
    <row r="8615">
      <c r="A8615" s="49">
        <v>45111.68749322917</v>
      </c>
      <c r="B8615" s="50">
        <v>45111.8124660301</v>
      </c>
      <c r="C8615" s="51">
        <v>1.004</v>
      </c>
      <c r="D8615" s="51">
        <v>71.0</v>
      </c>
      <c r="E8615" s="52" t="s">
        <v>25</v>
      </c>
      <c r="F8615" s="52" t="s">
        <v>26</v>
      </c>
      <c r="G8615" s="53"/>
    </row>
    <row r="8616">
      <c r="A8616" s="49">
        <v>45111.69791121528</v>
      </c>
      <c r="B8616" s="50">
        <v>45111.822887118</v>
      </c>
      <c r="C8616" s="51">
        <v>1.004</v>
      </c>
      <c r="D8616" s="51">
        <v>71.0</v>
      </c>
      <c r="E8616" s="52" t="s">
        <v>25</v>
      </c>
      <c r="F8616" s="52" t="s">
        <v>26</v>
      </c>
      <c r="G8616" s="53"/>
    </row>
    <row r="8617">
      <c r="A8617" s="49">
        <v>45111.70834033565</v>
      </c>
      <c r="B8617" s="50">
        <v>45111.8333203588</v>
      </c>
      <c r="C8617" s="51">
        <v>1.004</v>
      </c>
      <c r="D8617" s="51">
        <v>71.0</v>
      </c>
      <c r="E8617" s="52" t="s">
        <v>25</v>
      </c>
      <c r="F8617" s="52" t="s">
        <v>26</v>
      </c>
      <c r="G8617" s="53"/>
    </row>
    <row r="8618">
      <c r="A8618" s="49">
        <v>45111.718765729165</v>
      </c>
      <c r="B8618" s="50">
        <v>45111.8437434375</v>
      </c>
      <c r="C8618" s="51">
        <v>1.004</v>
      </c>
      <c r="D8618" s="51">
        <v>71.0</v>
      </c>
      <c r="E8618" s="52" t="s">
        <v>25</v>
      </c>
      <c r="F8618" s="52" t="s">
        <v>26</v>
      </c>
      <c r="G8618" s="53"/>
    </row>
    <row r="8619">
      <c r="A8619" s="49">
        <v>45111.729190555554</v>
      </c>
      <c r="B8619" s="50">
        <v>45111.854164456</v>
      </c>
      <c r="C8619" s="51">
        <v>1.004</v>
      </c>
      <c r="D8619" s="51">
        <v>71.0</v>
      </c>
      <c r="E8619" s="52" t="s">
        <v>25</v>
      </c>
      <c r="F8619" s="52" t="s">
        <v>26</v>
      </c>
      <c r="G8619" s="53"/>
    </row>
    <row r="8620">
      <c r="A8620" s="49">
        <v>45111.73962238426</v>
      </c>
      <c r="B8620" s="50">
        <v>45111.8645976157</v>
      </c>
      <c r="C8620" s="51">
        <v>1.004</v>
      </c>
      <c r="D8620" s="51">
        <v>71.0</v>
      </c>
      <c r="E8620" s="52" t="s">
        <v>25</v>
      </c>
      <c r="F8620" s="52" t="s">
        <v>26</v>
      </c>
      <c r="G8620" s="53"/>
    </row>
    <row r="8621">
      <c r="A8621" s="49">
        <v>45111.75003347222</v>
      </c>
      <c r="B8621" s="50">
        <v>45111.8750178703</v>
      </c>
      <c r="C8621" s="51">
        <v>1.004</v>
      </c>
      <c r="D8621" s="51">
        <v>71.0</v>
      </c>
      <c r="E8621" s="52" t="s">
        <v>25</v>
      </c>
      <c r="F8621" s="52" t="s">
        <v>26</v>
      </c>
      <c r="G8621" s="53"/>
    </row>
    <row r="8622">
      <c r="A8622" s="49">
        <v>45111.760458171295</v>
      </c>
      <c r="B8622" s="50">
        <v>45111.8854393634</v>
      </c>
      <c r="C8622" s="51">
        <v>1.004</v>
      </c>
      <c r="D8622" s="51">
        <v>71.0</v>
      </c>
      <c r="E8622" s="52" t="s">
        <v>25</v>
      </c>
      <c r="F8622" s="52" t="s">
        <v>26</v>
      </c>
      <c r="G8622" s="53"/>
    </row>
    <row r="8623">
      <c r="A8623" s="49">
        <v>45111.77088225694</v>
      </c>
      <c r="B8623" s="50">
        <v>45111.8958600694</v>
      </c>
      <c r="C8623" s="51">
        <v>1.004</v>
      </c>
      <c r="D8623" s="51">
        <v>71.0</v>
      </c>
      <c r="E8623" s="52" t="s">
        <v>25</v>
      </c>
      <c r="F8623" s="52" t="s">
        <v>26</v>
      </c>
      <c r="G8623" s="53"/>
    </row>
    <row r="8624">
      <c r="A8624" s="49">
        <v>45111.78130829861</v>
      </c>
      <c r="B8624" s="50">
        <v>45111.9062796412</v>
      </c>
      <c r="C8624" s="51">
        <v>1.004</v>
      </c>
      <c r="D8624" s="51">
        <v>71.0</v>
      </c>
      <c r="E8624" s="52" t="s">
        <v>25</v>
      </c>
      <c r="F8624" s="52" t="s">
        <v>26</v>
      </c>
      <c r="G8624" s="53"/>
    </row>
    <row r="8625">
      <c r="A8625" s="49">
        <v>45111.79172429398</v>
      </c>
      <c r="B8625" s="50">
        <v>45111.916699456</v>
      </c>
      <c r="C8625" s="51">
        <v>1.004</v>
      </c>
      <c r="D8625" s="51">
        <v>71.0</v>
      </c>
      <c r="E8625" s="52" t="s">
        <v>25</v>
      </c>
      <c r="F8625" s="52" t="s">
        <v>26</v>
      </c>
      <c r="G8625" s="53"/>
    </row>
    <row r="8626">
      <c r="A8626" s="49">
        <v>45111.80216533565</v>
      </c>
      <c r="B8626" s="50">
        <v>45111.9271330671</v>
      </c>
      <c r="C8626" s="51">
        <v>1.004</v>
      </c>
      <c r="D8626" s="51">
        <v>71.0</v>
      </c>
      <c r="E8626" s="52" t="s">
        <v>25</v>
      </c>
      <c r="F8626" s="52" t="s">
        <v>26</v>
      </c>
      <c r="G8626" s="53"/>
    </row>
    <row r="8627">
      <c r="A8627" s="49">
        <v>45111.81257582176</v>
      </c>
      <c r="B8627" s="50">
        <v>45111.9375536111</v>
      </c>
      <c r="C8627" s="51">
        <v>1.004</v>
      </c>
      <c r="D8627" s="51">
        <v>71.0</v>
      </c>
      <c r="E8627" s="52" t="s">
        <v>25</v>
      </c>
      <c r="F8627" s="52" t="s">
        <v>26</v>
      </c>
      <c r="G8627" s="53"/>
    </row>
    <row r="8628">
      <c r="A8628" s="49">
        <v>45111.822997696756</v>
      </c>
      <c r="B8628" s="50">
        <v>45111.9479747222</v>
      </c>
      <c r="C8628" s="51">
        <v>1.004</v>
      </c>
      <c r="D8628" s="51">
        <v>71.0</v>
      </c>
      <c r="E8628" s="52" t="s">
        <v>25</v>
      </c>
      <c r="F8628" s="52" t="s">
        <v>26</v>
      </c>
      <c r="G8628" s="53"/>
    </row>
    <row r="8629">
      <c r="A8629" s="49">
        <v>45111.8334396412</v>
      </c>
      <c r="B8629" s="50">
        <v>45111.9584172916</v>
      </c>
      <c r="C8629" s="51">
        <v>1.004</v>
      </c>
      <c r="D8629" s="51">
        <v>71.0</v>
      </c>
      <c r="E8629" s="52" t="s">
        <v>25</v>
      </c>
      <c r="F8629" s="52" t="s">
        <v>26</v>
      </c>
      <c r="G8629" s="53"/>
    </row>
    <row r="8630">
      <c r="A8630" s="49">
        <v>45111.84385636574</v>
      </c>
      <c r="B8630" s="50">
        <v>45111.9688381018</v>
      </c>
      <c r="C8630" s="51">
        <v>1.004</v>
      </c>
      <c r="D8630" s="51">
        <v>71.0</v>
      </c>
      <c r="E8630" s="52" t="s">
        <v>25</v>
      </c>
      <c r="F8630" s="52" t="s">
        <v>26</v>
      </c>
      <c r="G8630" s="53"/>
    </row>
    <row r="8631">
      <c r="A8631" s="49">
        <v>45111.85428636574</v>
      </c>
      <c r="B8631" s="50">
        <v>45111.9792577893</v>
      </c>
      <c r="C8631" s="51">
        <v>1.004</v>
      </c>
      <c r="D8631" s="51">
        <v>71.0</v>
      </c>
      <c r="E8631" s="52" t="s">
        <v>25</v>
      </c>
      <c r="F8631" s="52" t="s">
        <v>26</v>
      </c>
      <c r="G8631" s="53"/>
    </row>
    <row r="8632">
      <c r="A8632" s="49">
        <v>45111.8647044213</v>
      </c>
      <c r="B8632" s="50">
        <v>45111.9896775463</v>
      </c>
      <c r="C8632" s="51">
        <v>1.004</v>
      </c>
      <c r="D8632" s="51">
        <v>71.0</v>
      </c>
      <c r="E8632" s="52" t="s">
        <v>25</v>
      </c>
      <c r="F8632" s="52" t="s">
        <v>26</v>
      </c>
      <c r="G8632" s="53"/>
    </row>
    <row r="8633">
      <c r="A8633" s="49">
        <v>45111.87512616898</v>
      </c>
      <c r="B8633" s="50">
        <v>45112.0000998379</v>
      </c>
      <c r="C8633" s="51">
        <v>1.004</v>
      </c>
      <c r="D8633" s="51">
        <v>71.0</v>
      </c>
      <c r="E8633" s="52" t="s">
        <v>25</v>
      </c>
      <c r="F8633" s="52" t="s">
        <v>26</v>
      </c>
      <c r="G8633" s="53"/>
    </row>
    <row r="8634">
      <c r="A8634" s="49">
        <v>45111.88555396991</v>
      </c>
      <c r="B8634" s="50">
        <v>45112.0105346527</v>
      </c>
      <c r="C8634" s="51">
        <v>1.004</v>
      </c>
      <c r="D8634" s="51">
        <v>71.0</v>
      </c>
      <c r="E8634" s="52" t="s">
        <v>25</v>
      </c>
      <c r="F8634" s="52" t="s">
        <v>26</v>
      </c>
      <c r="G8634" s="53"/>
    </row>
    <row r="8635">
      <c r="A8635" s="49">
        <v>45111.895979594905</v>
      </c>
      <c r="B8635" s="50">
        <v>45112.0209566551</v>
      </c>
      <c r="C8635" s="51">
        <v>1.004</v>
      </c>
      <c r="D8635" s="51">
        <v>71.0</v>
      </c>
      <c r="E8635" s="52" t="s">
        <v>25</v>
      </c>
      <c r="F8635" s="52" t="s">
        <v>26</v>
      </c>
      <c r="G8635" s="53"/>
    </row>
    <row r="8636">
      <c r="A8636" s="49">
        <v>45111.906396527775</v>
      </c>
      <c r="B8636" s="50">
        <v>45112.0313754861</v>
      </c>
      <c r="C8636" s="51">
        <v>1.004</v>
      </c>
      <c r="D8636" s="51">
        <v>71.0</v>
      </c>
      <c r="E8636" s="52" t="s">
        <v>25</v>
      </c>
      <c r="F8636" s="52" t="s">
        <v>26</v>
      </c>
      <c r="G8636" s="53"/>
    </row>
    <row r="8637">
      <c r="A8637" s="49">
        <v>45111.91681497685</v>
      </c>
      <c r="B8637" s="50">
        <v>45112.0417967939</v>
      </c>
      <c r="C8637" s="51">
        <v>1.004</v>
      </c>
      <c r="D8637" s="51">
        <v>71.0</v>
      </c>
      <c r="E8637" s="52" t="s">
        <v>25</v>
      </c>
      <c r="F8637" s="52" t="s">
        <v>26</v>
      </c>
      <c r="G8637" s="53"/>
    </row>
    <row r="8638">
      <c r="A8638" s="49">
        <v>45111.92724276621</v>
      </c>
      <c r="B8638" s="50">
        <v>45112.0522181018</v>
      </c>
      <c r="C8638" s="51">
        <v>1.004</v>
      </c>
      <c r="D8638" s="51">
        <v>71.0</v>
      </c>
      <c r="E8638" s="52" t="s">
        <v>25</v>
      </c>
      <c r="F8638" s="52" t="s">
        <v>26</v>
      </c>
      <c r="G8638" s="53"/>
    </row>
    <row r="8639">
      <c r="A8639" s="49">
        <v>45111.93766951389</v>
      </c>
      <c r="B8639" s="50">
        <v>45112.0626527777</v>
      </c>
      <c r="C8639" s="51">
        <v>1.004</v>
      </c>
      <c r="D8639" s="51">
        <v>71.0</v>
      </c>
      <c r="E8639" s="52" t="s">
        <v>25</v>
      </c>
      <c r="F8639" s="52" t="s">
        <v>26</v>
      </c>
      <c r="G8639" s="53"/>
    </row>
    <row r="8640">
      <c r="A8640" s="49">
        <v>45111.94809722222</v>
      </c>
      <c r="B8640" s="50">
        <v>45112.0730723148</v>
      </c>
      <c r="C8640" s="51">
        <v>1.004</v>
      </c>
      <c r="D8640" s="51">
        <v>71.0</v>
      </c>
      <c r="E8640" s="52" t="s">
        <v>25</v>
      </c>
      <c r="F8640" s="52" t="s">
        <v>26</v>
      </c>
      <c r="G8640" s="53"/>
    </row>
    <row r="8641">
      <c r="A8641" s="49">
        <v>45111.95851023148</v>
      </c>
      <c r="B8641" s="50">
        <v>45112.0834925</v>
      </c>
      <c r="C8641" s="51">
        <v>1.004</v>
      </c>
      <c r="D8641" s="51">
        <v>71.0</v>
      </c>
      <c r="E8641" s="52" t="s">
        <v>25</v>
      </c>
      <c r="F8641" s="52" t="s">
        <v>26</v>
      </c>
      <c r="G8641" s="53"/>
    </row>
    <row r="8642">
      <c r="A8642" s="49">
        <v>45111.968938252314</v>
      </c>
      <c r="B8642" s="50">
        <v>45112.0939154166</v>
      </c>
      <c r="C8642" s="51">
        <v>1.004</v>
      </c>
      <c r="D8642" s="51">
        <v>71.0</v>
      </c>
      <c r="E8642" s="52" t="s">
        <v>25</v>
      </c>
      <c r="F8642" s="52" t="s">
        <v>26</v>
      </c>
      <c r="G8642" s="53"/>
    </row>
    <row r="8643">
      <c r="A8643" s="49">
        <v>45111.9793721412</v>
      </c>
      <c r="B8643" s="50">
        <v>45112.1043495949</v>
      </c>
      <c r="C8643" s="51">
        <v>1.004</v>
      </c>
      <c r="D8643" s="51">
        <v>71.0</v>
      </c>
      <c r="E8643" s="52" t="s">
        <v>25</v>
      </c>
      <c r="F8643" s="52" t="s">
        <v>26</v>
      </c>
      <c r="G8643" s="53"/>
    </row>
    <row r="8644">
      <c r="A8644" s="49">
        <v>45111.98979851852</v>
      </c>
      <c r="B8644" s="50">
        <v>45112.1147813194</v>
      </c>
      <c r="C8644" s="51">
        <v>1.004</v>
      </c>
      <c r="D8644" s="51">
        <v>71.0</v>
      </c>
      <c r="E8644" s="52" t="s">
        <v>25</v>
      </c>
      <c r="F8644" s="52" t="s">
        <v>26</v>
      </c>
      <c r="G8644" s="53"/>
    </row>
    <row r="8645">
      <c r="A8645" s="49">
        <v>45112.000236747685</v>
      </c>
      <c r="B8645" s="50">
        <v>45112.1252143055</v>
      </c>
      <c r="C8645" s="51">
        <v>1.004</v>
      </c>
      <c r="D8645" s="51">
        <v>71.0</v>
      </c>
      <c r="E8645" s="52" t="s">
        <v>25</v>
      </c>
      <c r="F8645" s="52" t="s">
        <v>26</v>
      </c>
      <c r="G8645" s="53"/>
    </row>
    <row r="8646">
      <c r="A8646" s="49">
        <v>45112.01068490741</v>
      </c>
      <c r="B8646" s="50">
        <v>45112.1356597569</v>
      </c>
      <c r="C8646" s="51">
        <v>1.004</v>
      </c>
      <c r="D8646" s="51">
        <v>71.0</v>
      </c>
      <c r="E8646" s="52" t="s">
        <v>25</v>
      </c>
      <c r="F8646" s="52" t="s">
        <v>26</v>
      </c>
      <c r="G8646" s="53"/>
    </row>
    <row r="8647">
      <c r="A8647" s="49">
        <v>45112.02109790509</v>
      </c>
      <c r="B8647" s="50">
        <v>45112.1460823726</v>
      </c>
      <c r="C8647" s="51">
        <v>1.004</v>
      </c>
      <c r="D8647" s="51">
        <v>71.0</v>
      </c>
      <c r="E8647" s="52" t="s">
        <v>25</v>
      </c>
      <c r="F8647" s="52" t="s">
        <v>26</v>
      </c>
      <c r="G8647" s="53"/>
    </row>
    <row r="8648">
      <c r="A8648" s="49">
        <v>45112.03152452546</v>
      </c>
      <c r="B8648" s="50">
        <v>45112.1565030324</v>
      </c>
      <c r="C8648" s="51">
        <v>1.004</v>
      </c>
      <c r="D8648" s="51">
        <v>71.0</v>
      </c>
      <c r="E8648" s="52" t="s">
        <v>25</v>
      </c>
      <c r="F8648" s="52" t="s">
        <v>26</v>
      </c>
      <c r="G8648" s="53"/>
    </row>
    <row r="8649">
      <c r="A8649" s="49">
        <v>45112.04193975695</v>
      </c>
      <c r="B8649" s="50">
        <v>45112.1669238194</v>
      </c>
      <c r="C8649" s="51">
        <v>1.004</v>
      </c>
      <c r="D8649" s="51">
        <v>71.0</v>
      </c>
      <c r="E8649" s="52" t="s">
        <v>25</v>
      </c>
      <c r="F8649" s="52" t="s">
        <v>26</v>
      </c>
      <c r="G8649" s="53"/>
    </row>
    <row r="8650">
      <c r="A8650" s="49">
        <v>45112.05236391204</v>
      </c>
      <c r="B8650" s="50">
        <v>45112.1773445023</v>
      </c>
      <c r="C8650" s="51">
        <v>1.004</v>
      </c>
      <c r="D8650" s="51">
        <v>71.0</v>
      </c>
      <c r="E8650" s="52" t="s">
        <v>25</v>
      </c>
      <c r="F8650" s="52" t="s">
        <v>26</v>
      </c>
      <c r="G8650" s="53"/>
    </row>
    <row r="8651">
      <c r="A8651" s="49">
        <v>45112.06278571759</v>
      </c>
      <c r="B8651" s="50">
        <v>45112.1877662963</v>
      </c>
      <c r="C8651" s="51">
        <v>1.004</v>
      </c>
      <c r="D8651" s="51">
        <v>71.0</v>
      </c>
      <c r="E8651" s="52" t="s">
        <v>25</v>
      </c>
      <c r="F8651" s="52" t="s">
        <v>26</v>
      </c>
      <c r="G8651" s="53"/>
    </row>
    <row r="8652">
      <c r="A8652" s="49">
        <v>45112.07320400463</v>
      </c>
      <c r="B8652" s="50">
        <v>45112.1981876736</v>
      </c>
      <c r="C8652" s="51">
        <v>1.004</v>
      </c>
      <c r="D8652" s="51">
        <v>72.0</v>
      </c>
      <c r="E8652" s="52" t="s">
        <v>25</v>
      </c>
      <c r="F8652" s="52" t="s">
        <v>26</v>
      </c>
      <c r="G8652" s="53"/>
    </row>
    <row r="8653">
      <c r="A8653" s="49">
        <v>45112.08363460648</v>
      </c>
      <c r="B8653" s="50">
        <v>45112.2086091666</v>
      </c>
      <c r="C8653" s="51">
        <v>1.004</v>
      </c>
      <c r="D8653" s="51">
        <v>71.0</v>
      </c>
      <c r="E8653" s="52" t="s">
        <v>25</v>
      </c>
      <c r="F8653" s="52" t="s">
        <v>26</v>
      </c>
      <c r="G8653" s="53"/>
    </row>
    <row r="8654">
      <c r="A8654" s="49">
        <v>45112.09406567129</v>
      </c>
      <c r="B8654" s="50">
        <v>45112.2190418634</v>
      </c>
      <c r="C8654" s="51">
        <v>1.004</v>
      </c>
      <c r="D8654" s="51">
        <v>71.0</v>
      </c>
      <c r="E8654" s="52" t="s">
        <v>25</v>
      </c>
      <c r="F8654" s="52" t="s">
        <v>26</v>
      </c>
      <c r="G8654" s="53"/>
    </row>
    <row r="8655">
      <c r="A8655" s="49">
        <v>45112.10448005787</v>
      </c>
      <c r="B8655" s="50">
        <v>45112.2294630439</v>
      </c>
      <c r="C8655" s="51">
        <v>1.004</v>
      </c>
      <c r="D8655" s="51">
        <v>71.0</v>
      </c>
      <c r="E8655" s="52" t="s">
        <v>25</v>
      </c>
      <c r="F8655" s="52" t="s">
        <v>26</v>
      </c>
      <c r="G8655" s="53"/>
    </row>
    <row r="8656">
      <c r="A8656" s="49">
        <v>45112.11490868055</v>
      </c>
      <c r="B8656" s="50">
        <v>45112.2398852893</v>
      </c>
      <c r="C8656" s="51">
        <v>1.004</v>
      </c>
      <c r="D8656" s="51">
        <v>71.0</v>
      </c>
      <c r="E8656" s="52" t="s">
        <v>25</v>
      </c>
      <c r="F8656" s="52" t="s">
        <v>26</v>
      </c>
      <c r="G8656" s="53"/>
    </row>
    <row r="8657">
      <c r="A8657" s="49">
        <v>45112.125338356476</v>
      </c>
      <c r="B8657" s="50">
        <v>45112.2503086574</v>
      </c>
      <c r="C8657" s="51">
        <v>1.004</v>
      </c>
      <c r="D8657" s="51">
        <v>72.0</v>
      </c>
      <c r="E8657" s="52" t="s">
        <v>25</v>
      </c>
      <c r="F8657" s="52" t="s">
        <v>26</v>
      </c>
      <c r="G8657" s="53"/>
    </row>
    <row r="8658">
      <c r="A8658" s="49">
        <v>45112.13577572917</v>
      </c>
      <c r="B8658" s="50">
        <v>45112.2607525231</v>
      </c>
      <c r="C8658" s="51">
        <v>1.004</v>
      </c>
      <c r="D8658" s="51">
        <v>71.0</v>
      </c>
      <c r="E8658" s="52" t="s">
        <v>25</v>
      </c>
      <c r="F8658" s="52" t="s">
        <v>26</v>
      </c>
      <c r="G8658" s="53"/>
    </row>
    <row r="8659">
      <c r="A8659" s="49">
        <v>45112.14620657408</v>
      </c>
      <c r="B8659" s="50">
        <v>45112.2711870254</v>
      </c>
      <c r="C8659" s="51">
        <v>1.004</v>
      </c>
      <c r="D8659" s="51">
        <v>71.0</v>
      </c>
      <c r="E8659" s="52" t="s">
        <v>25</v>
      </c>
      <c r="F8659" s="52" t="s">
        <v>26</v>
      </c>
      <c r="G8659" s="53"/>
    </row>
    <row r="8660">
      <c r="A8660" s="49">
        <v>45112.15663452546</v>
      </c>
      <c r="B8660" s="50">
        <v>45112.2816092824</v>
      </c>
      <c r="C8660" s="51">
        <v>1.004</v>
      </c>
      <c r="D8660" s="51">
        <v>71.0</v>
      </c>
      <c r="E8660" s="52" t="s">
        <v>25</v>
      </c>
      <c r="F8660" s="52" t="s">
        <v>26</v>
      </c>
      <c r="G8660" s="53"/>
    </row>
    <row r="8661">
      <c r="A8661" s="49">
        <v>45112.16705703703</v>
      </c>
      <c r="B8661" s="50">
        <v>45112.2920312037</v>
      </c>
      <c r="C8661" s="51">
        <v>1.004</v>
      </c>
      <c r="D8661" s="51">
        <v>71.0</v>
      </c>
      <c r="E8661" s="52" t="s">
        <v>25</v>
      </c>
      <c r="F8661" s="52" t="s">
        <v>26</v>
      </c>
      <c r="G8661" s="53"/>
    </row>
    <row r="8662">
      <c r="A8662" s="49">
        <v>45112.17748158565</v>
      </c>
      <c r="B8662" s="50">
        <v>45112.3024533564</v>
      </c>
      <c r="C8662" s="51">
        <v>1.004</v>
      </c>
      <c r="D8662" s="51">
        <v>71.0</v>
      </c>
      <c r="E8662" s="52" t="s">
        <v>25</v>
      </c>
      <c r="F8662" s="52" t="s">
        <v>26</v>
      </c>
      <c r="G8662" s="53"/>
    </row>
    <row r="8663">
      <c r="A8663" s="49">
        <v>45112.18791104166</v>
      </c>
      <c r="B8663" s="50">
        <v>45112.3128854282</v>
      </c>
      <c r="C8663" s="51">
        <v>1.004</v>
      </c>
      <c r="D8663" s="51">
        <v>71.0</v>
      </c>
      <c r="E8663" s="52" t="s">
        <v>25</v>
      </c>
      <c r="F8663" s="52" t="s">
        <v>26</v>
      </c>
      <c r="G8663" s="53"/>
    </row>
    <row r="8664">
      <c r="A8664" s="49">
        <v>45112.19833047454</v>
      </c>
      <c r="B8664" s="50">
        <v>45112.3233068518</v>
      </c>
      <c r="C8664" s="51">
        <v>1.004</v>
      </c>
      <c r="D8664" s="51">
        <v>71.0</v>
      </c>
      <c r="E8664" s="52" t="s">
        <v>25</v>
      </c>
      <c r="F8664" s="52" t="s">
        <v>26</v>
      </c>
      <c r="G8664" s="53"/>
    </row>
    <row r="8665">
      <c r="A8665" s="49">
        <v>45112.2087545949</v>
      </c>
      <c r="B8665" s="50">
        <v>45112.3337265393</v>
      </c>
      <c r="C8665" s="51">
        <v>1.004</v>
      </c>
      <c r="D8665" s="51">
        <v>71.0</v>
      </c>
      <c r="E8665" s="52" t="s">
        <v>25</v>
      </c>
      <c r="F8665" s="52" t="s">
        <v>26</v>
      </c>
      <c r="G8665" s="53"/>
    </row>
    <row r="8666">
      <c r="A8666" s="49">
        <v>45112.2191737963</v>
      </c>
      <c r="B8666" s="50">
        <v>45112.3441489236</v>
      </c>
      <c r="C8666" s="51">
        <v>1.004</v>
      </c>
      <c r="D8666" s="51">
        <v>71.0</v>
      </c>
      <c r="E8666" s="52" t="s">
        <v>25</v>
      </c>
      <c r="F8666" s="52" t="s">
        <v>26</v>
      </c>
      <c r="G8666" s="53"/>
    </row>
    <row r="8667">
      <c r="A8667" s="49">
        <v>45112.229605625005</v>
      </c>
      <c r="B8667" s="50">
        <v>45112.3545824652</v>
      </c>
      <c r="C8667" s="51">
        <v>1.004</v>
      </c>
      <c r="D8667" s="51">
        <v>72.0</v>
      </c>
      <c r="E8667" s="52" t="s">
        <v>25</v>
      </c>
      <c r="F8667" s="52" t="s">
        <v>26</v>
      </c>
      <c r="G8667" s="53"/>
    </row>
    <row r="8668">
      <c r="A8668" s="49">
        <v>45112.24005422454</v>
      </c>
      <c r="B8668" s="50">
        <v>45112.3650271064</v>
      </c>
      <c r="C8668" s="51">
        <v>1.004</v>
      </c>
      <c r="D8668" s="51">
        <v>71.0</v>
      </c>
      <c r="E8668" s="52" t="s">
        <v>25</v>
      </c>
      <c r="F8668" s="52" t="s">
        <v>26</v>
      </c>
      <c r="G8668" s="53"/>
    </row>
    <row r="8669">
      <c r="A8669" s="49">
        <v>45112.250470555555</v>
      </c>
      <c r="B8669" s="50">
        <v>45112.3754470023</v>
      </c>
      <c r="C8669" s="51">
        <v>1.004</v>
      </c>
      <c r="D8669" s="51">
        <v>72.0</v>
      </c>
      <c r="E8669" s="52" t="s">
        <v>25</v>
      </c>
      <c r="F8669" s="52" t="s">
        <v>26</v>
      </c>
      <c r="G8669" s="53"/>
    </row>
    <row r="8670">
      <c r="A8670" s="49">
        <v>45112.2608928125</v>
      </c>
      <c r="B8670" s="50">
        <v>45112.3858687037</v>
      </c>
      <c r="C8670" s="51">
        <v>1.004</v>
      </c>
      <c r="D8670" s="51">
        <v>72.0</v>
      </c>
      <c r="E8670" s="52" t="s">
        <v>25</v>
      </c>
      <c r="F8670" s="52" t="s">
        <v>26</v>
      </c>
      <c r="G8670" s="53"/>
    </row>
    <row r="8671">
      <c r="A8671" s="49">
        <v>45112.27131895833</v>
      </c>
      <c r="B8671" s="50">
        <v>45112.3962893402</v>
      </c>
      <c r="C8671" s="51">
        <v>1.004</v>
      </c>
      <c r="D8671" s="51">
        <v>72.0</v>
      </c>
      <c r="E8671" s="52" t="s">
        <v>25</v>
      </c>
      <c r="F8671" s="52" t="s">
        <v>26</v>
      </c>
      <c r="G8671" s="53"/>
    </row>
    <row r="8672">
      <c r="A8672" s="49">
        <v>45112.28173782407</v>
      </c>
      <c r="B8672" s="50">
        <v>45112.4067090046</v>
      </c>
      <c r="C8672" s="51">
        <v>1.004</v>
      </c>
      <c r="D8672" s="51">
        <v>72.0</v>
      </c>
      <c r="E8672" s="52" t="s">
        <v>25</v>
      </c>
      <c r="F8672" s="52" t="s">
        <v>26</v>
      </c>
      <c r="G8672" s="53"/>
    </row>
    <row r="8673">
      <c r="A8673" s="49">
        <v>45112.29215194445</v>
      </c>
      <c r="B8673" s="50">
        <v>45112.4171299189</v>
      </c>
      <c r="C8673" s="51">
        <v>1.004</v>
      </c>
      <c r="D8673" s="51">
        <v>72.0</v>
      </c>
      <c r="E8673" s="52" t="s">
        <v>25</v>
      </c>
      <c r="F8673" s="52" t="s">
        <v>26</v>
      </c>
      <c r="G8673" s="53"/>
    </row>
    <row r="8674">
      <c r="A8674" s="49">
        <v>45112.30257629629</v>
      </c>
      <c r="B8674" s="50">
        <v>45112.4275517592</v>
      </c>
      <c r="C8674" s="51">
        <v>1.004</v>
      </c>
      <c r="D8674" s="51">
        <v>71.0</v>
      </c>
      <c r="E8674" s="52" t="s">
        <v>25</v>
      </c>
      <c r="F8674" s="52" t="s">
        <v>26</v>
      </c>
      <c r="G8674" s="53"/>
    </row>
    <row r="8675">
      <c r="A8675" s="49">
        <v>45112.313009062505</v>
      </c>
      <c r="B8675" s="50">
        <v>45112.4379859838</v>
      </c>
      <c r="C8675" s="51">
        <v>1.004</v>
      </c>
      <c r="D8675" s="51">
        <v>72.0</v>
      </c>
      <c r="E8675" s="52" t="s">
        <v>25</v>
      </c>
      <c r="F8675" s="52" t="s">
        <v>26</v>
      </c>
      <c r="G8675" s="53"/>
    </row>
    <row r="8676">
      <c r="A8676" s="49">
        <v>45112.323443483794</v>
      </c>
      <c r="B8676" s="50">
        <v>45112.4484187268</v>
      </c>
      <c r="C8676" s="51">
        <v>1.004</v>
      </c>
      <c r="D8676" s="51">
        <v>72.0</v>
      </c>
      <c r="E8676" s="52" t="s">
        <v>25</v>
      </c>
      <c r="F8676" s="52" t="s">
        <v>26</v>
      </c>
      <c r="G8676" s="53"/>
    </row>
    <row r="8677">
      <c r="A8677" s="49">
        <v>45112.33387232639</v>
      </c>
      <c r="B8677" s="50">
        <v>45112.4588398379</v>
      </c>
      <c r="C8677" s="51">
        <v>1.004</v>
      </c>
      <c r="D8677" s="51">
        <v>71.0</v>
      </c>
      <c r="E8677" s="52" t="s">
        <v>25</v>
      </c>
      <c r="F8677" s="52" t="s">
        <v>26</v>
      </c>
      <c r="G8677" s="53"/>
    </row>
    <row r="8678">
      <c r="A8678" s="49">
        <v>45112.34429570602</v>
      </c>
      <c r="B8678" s="50">
        <v>45112.4692723495</v>
      </c>
      <c r="C8678" s="51">
        <v>1.004</v>
      </c>
      <c r="D8678" s="51">
        <v>72.0</v>
      </c>
      <c r="E8678" s="52" t="s">
        <v>25</v>
      </c>
      <c r="F8678" s="52" t="s">
        <v>26</v>
      </c>
      <c r="G8678" s="53"/>
    </row>
    <row r="8679">
      <c r="A8679" s="49">
        <v>45112.35471946759</v>
      </c>
      <c r="B8679" s="50">
        <v>45112.4796942939</v>
      </c>
      <c r="C8679" s="51">
        <v>1.004</v>
      </c>
      <c r="D8679" s="51">
        <v>72.0</v>
      </c>
      <c r="E8679" s="52" t="s">
        <v>25</v>
      </c>
      <c r="F8679" s="52" t="s">
        <v>26</v>
      </c>
      <c r="G8679" s="53"/>
    </row>
    <row r="8680">
      <c r="A8680" s="49">
        <v>45112.36514252315</v>
      </c>
      <c r="B8680" s="50">
        <v>45112.4901164699</v>
      </c>
      <c r="C8680" s="51">
        <v>1.004</v>
      </c>
      <c r="D8680" s="51">
        <v>72.0</v>
      </c>
      <c r="E8680" s="52" t="s">
        <v>25</v>
      </c>
      <c r="F8680" s="52" t="s">
        <v>26</v>
      </c>
      <c r="G8680" s="53"/>
    </row>
    <row r="8681">
      <c r="A8681" s="49">
        <v>45112.37556667824</v>
      </c>
      <c r="B8681" s="50">
        <v>45112.5005384027</v>
      </c>
      <c r="C8681" s="51">
        <v>1.004</v>
      </c>
      <c r="D8681" s="51">
        <v>72.0</v>
      </c>
      <c r="E8681" s="52" t="s">
        <v>25</v>
      </c>
      <c r="F8681" s="52" t="s">
        <v>26</v>
      </c>
      <c r="G8681" s="53"/>
    </row>
    <row r="8682">
      <c r="A8682" s="49">
        <v>45112.38600827546</v>
      </c>
      <c r="B8682" s="50">
        <v>45112.5109707754</v>
      </c>
      <c r="C8682" s="51">
        <v>1.004</v>
      </c>
      <c r="D8682" s="51">
        <v>72.0</v>
      </c>
      <c r="E8682" s="52" t="s">
        <v>25</v>
      </c>
      <c r="F8682" s="52" t="s">
        <v>26</v>
      </c>
      <c r="G8682" s="53"/>
    </row>
    <row r="8683">
      <c r="A8683" s="49">
        <v>45112.39642877315</v>
      </c>
      <c r="B8683" s="50">
        <v>45112.5214042939</v>
      </c>
      <c r="C8683" s="51">
        <v>1.004</v>
      </c>
      <c r="D8683" s="51">
        <v>72.0</v>
      </c>
      <c r="E8683" s="52" t="s">
        <v>25</v>
      </c>
      <c r="F8683" s="52" t="s">
        <v>26</v>
      </c>
      <c r="G8683" s="53"/>
    </row>
    <row r="8684">
      <c r="A8684" s="49">
        <v>45112.40684778935</v>
      </c>
      <c r="B8684" s="50">
        <v>45112.5318257638</v>
      </c>
      <c r="C8684" s="51">
        <v>1.004</v>
      </c>
      <c r="D8684" s="51">
        <v>72.0</v>
      </c>
      <c r="E8684" s="52" t="s">
        <v>25</v>
      </c>
      <c r="F8684" s="52" t="s">
        <v>26</v>
      </c>
      <c r="G8684" s="53"/>
    </row>
    <row r="8685">
      <c r="A8685" s="49">
        <v>45112.41726957176</v>
      </c>
      <c r="B8685" s="50">
        <v>45112.5422474768</v>
      </c>
      <c r="C8685" s="51">
        <v>1.004</v>
      </c>
      <c r="D8685" s="51">
        <v>72.0</v>
      </c>
      <c r="E8685" s="52" t="s">
        <v>25</v>
      </c>
      <c r="F8685" s="52" t="s">
        <v>26</v>
      </c>
      <c r="G8685" s="53"/>
    </row>
    <row r="8686">
      <c r="A8686" s="49">
        <v>45112.42769418981</v>
      </c>
      <c r="B8686" s="50">
        <v>45112.5526672916</v>
      </c>
      <c r="C8686" s="51">
        <v>1.004</v>
      </c>
      <c r="D8686" s="51">
        <v>72.0</v>
      </c>
      <c r="E8686" s="52" t="s">
        <v>25</v>
      </c>
      <c r="F8686" s="52" t="s">
        <v>26</v>
      </c>
      <c r="G8686" s="53"/>
    </row>
    <row r="8687">
      <c r="A8687" s="49">
        <v>45112.43811596065</v>
      </c>
      <c r="B8687" s="50">
        <v>45112.5630876273</v>
      </c>
      <c r="C8687" s="51">
        <v>1.004</v>
      </c>
      <c r="D8687" s="51">
        <v>72.0</v>
      </c>
      <c r="E8687" s="52" t="s">
        <v>25</v>
      </c>
      <c r="F8687" s="52" t="s">
        <v>26</v>
      </c>
      <c r="G8687" s="53"/>
    </row>
    <row r="8688">
      <c r="A8688" s="49">
        <v>45112.44853274306</v>
      </c>
      <c r="B8688" s="50">
        <v>45112.5735083449</v>
      </c>
      <c r="C8688" s="51">
        <v>1.004</v>
      </c>
      <c r="D8688" s="51">
        <v>72.0</v>
      </c>
      <c r="E8688" s="52" t="s">
        <v>25</v>
      </c>
      <c r="F8688" s="52" t="s">
        <v>26</v>
      </c>
      <c r="G8688" s="53"/>
    </row>
    <row r="8689">
      <c r="A8689" s="49">
        <v>45112.458952650464</v>
      </c>
      <c r="B8689" s="50">
        <v>45112.5839298148</v>
      </c>
      <c r="C8689" s="51">
        <v>1.004</v>
      </c>
      <c r="D8689" s="51">
        <v>72.0</v>
      </c>
      <c r="E8689" s="52" t="s">
        <v>25</v>
      </c>
      <c r="F8689" s="52" t="s">
        <v>26</v>
      </c>
      <c r="G8689" s="53"/>
    </row>
    <row r="8690">
      <c r="A8690" s="49">
        <v>45112.469377905094</v>
      </c>
      <c r="B8690" s="50">
        <v>45112.594348912</v>
      </c>
      <c r="C8690" s="51">
        <v>1.004</v>
      </c>
      <c r="D8690" s="51">
        <v>72.0</v>
      </c>
      <c r="E8690" s="52" t="s">
        <v>25</v>
      </c>
      <c r="F8690" s="52" t="s">
        <v>26</v>
      </c>
      <c r="G8690" s="53"/>
    </row>
    <row r="8691">
      <c r="A8691" s="49">
        <v>45112.4797953588</v>
      </c>
      <c r="B8691" s="50">
        <v>45112.6047693287</v>
      </c>
      <c r="C8691" s="51">
        <v>1.004</v>
      </c>
      <c r="D8691" s="51">
        <v>72.0</v>
      </c>
      <c r="E8691" s="52" t="s">
        <v>25</v>
      </c>
      <c r="F8691" s="52" t="s">
        <v>26</v>
      </c>
      <c r="G8691" s="53"/>
    </row>
    <row r="8692">
      <c r="A8692" s="49">
        <v>45112.49022604167</v>
      </c>
      <c r="B8692" s="50">
        <v>45112.6152014004</v>
      </c>
      <c r="C8692" s="51">
        <v>1.004</v>
      </c>
      <c r="D8692" s="51">
        <v>72.0</v>
      </c>
      <c r="E8692" s="52" t="s">
        <v>25</v>
      </c>
      <c r="F8692" s="52" t="s">
        <v>26</v>
      </c>
      <c r="G8692" s="53"/>
    </row>
    <row r="8693">
      <c r="A8693" s="49">
        <v>45112.500644444444</v>
      </c>
      <c r="B8693" s="50">
        <v>45112.6256225</v>
      </c>
      <c r="C8693" s="51">
        <v>1.004</v>
      </c>
      <c r="D8693" s="51">
        <v>72.0</v>
      </c>
      <c r="E8693" s="52" t="s">
        <v>25</v>
      </c>
      <c r="F8693" s="52" t="s">
        <v>26</v>
      </c>
      <c r="G8693" s="53"/>
    </row>
    <row r="8694">
      <c r="A8694" s="49">
        <v>45112.511061550926</v>
      </c>
      <c r="B8694" s="50">
        <v>45112.6360428819</v>
      </c>
      <c r="C8694" s="51">
        <v>1.004</v>
      </c>
      <c r="D8694" s="51">
        <v>72.0</v>
      </c>
      <c r="E8694" s="52" t="s">
        <v>25</v>
      </c>
      <c r="F8694" s="52" t="s">
        <v>26</v>
      </c>
      <c r="G8694" s="53"/>
    </row>
    <row r="8695">
      <c r="A8695" s="49">
        <v>45112.52149787037</v>
      </c>
      <c r="B8695" s="50">
        <v>45112.6464651157</v>
      </c>
      <c r="C8695" s="51">
        <v>1.004</v>
      </c>
      <c r="D8695" s="51">
        <v>72.0</v>
      </c>
      <c r="E8695" s="52" t="s">
        <v>25</v>
      </c>
      <c r="F8695" s="52" t="s">
        <v>26</v>
      </c>
      <c r="G8695" s="53"/>
    </row>
    <row r="8696">
      <c r="A8696" s="49">
        <v>45112.53190410879</v>
      </c>
      <c r="B8696" s="50">
        <v>45112.6568861226</v>
      </c>
      <c r="C8696" s="51">
        <v>1.004</v>
      </c>
      <c r="D8696" s="51">
        <v>72.0</v>
      </c>
      <c r="E8696" s="52" t="s">
        <v>25</v>
      </c>
      <c r="F8696" s="52" t="s">
        <v>26</v>
      </c>
      <c r="G8696" s="53"/>
    </row>
    <row r="8697">
      <c r="A8697" s="49">
        <v>45112.54233480324</v>
      </c>
      <c r="B8697" s="50">
        <v>45112.6673097916</v>
      </c>
      <c r="C8697" s="51">
        <v>1.004</v>
      </c>
      <c r="D8697" s="51">
        <v>72.0</v>
      </c>
      <c r="E8697" s="52" t="s">
        <v>25</v>
      </c>
      <c r="F8697" s="52" t="s">
        <v>26</v>
      </c>
      <c r="G8697" s="53"/>
    </row>
    <row r="8698">
      <c r="A8698" s="49">
        <v>45112.552756053235</v>
      </c>
      <c r="B8698" s="50">
        <v>45112.6777297338</v>
      </c>
      <c r="C8698" s="51">
        <v>1.004</v>
      </c>
      <c r="D8698" s="51">
        <v>72.0</v>
      </c>
      <c r="E8698" s="52" t="s">
        <v>25</v>
      </c>
      <c r="F8698" s="52" t="s">
        <v>26</v>
      </c>
      <c r="G8698" s="53"/>
    </row>
    <row r="8699">
      <c r="A8699" s="49">
        <v>45112.5631874074</v>
      </c>
      <c r="B8699" s="50">
        <v>45112.6881604398</v>
      </c>
      <c r="C8699" s="51">
        <v>1.004</v>
      </c>
      <c r="D8699" s="51">
        <v>72.0</v>
      </c>
      <c r="E8699" s="52" t="s">
        <v>25</v>
      </c>
      <c r="F8699" s="52" t="s">
        <v>26</v>
      </c>
      <c r="G8699" s="53"/>
    </row>
    <row r="8700">
      <c r="A8700" s="49">
        <v>45112.57360592592</v>
      </c>
      <c r="B8700" s="50">
        <v>45112.6985800926</v>
      </c>
      <c r="C8700" s="51">
        <v>1.004</v>
      </c>
      <c r="D8700" s="51">
        <v>72.0</v>
      </c>
      <c r="E8700" s="52" t="s">
        <v>25</v>
      </c>
      <c r="F8700" s="52" t="s">
        <v>26</v>
      </c>
      <c r="G8700" s="53"/>
    </row>
    <row r="8701">
      <c r="A8701" s="49">
        <v>45112.58402126157</v>
      </c>
      <c r="B8701" s="50">
        <v>45112.709000405</v>
      </c>
      <c r="C8701" s="51">
        <v>1.004</v>
      </c>
      <c r="D8701" s="51">
        <v>72.0</v>
      </c>
      <c r="E8701" s="52" t="s">
        <v>25</v>
      </c>
      <c r="F8701" s="52" t="s">
        <v>26</v>
      </c>
      <c r="G8701" s="53"/>
    </row>
    <row r="8702">
      <c r="A8702" s="49">
        <v>45112.59447314814</v>
      </c>
      <c r="B8702" s="50">
        <v>45112.719445787</v>
      </c>
      <c r="C8702" s="51">
        <v>1.004</v>
      </c>
      <c r="D8702" s="51">
        <v>72.0</v>
      </c>
      <c r="E8702" s="52" t="s">
        <v>25</v>
      </c>
      <c r="F8702" s="52" t="s">
        <v>26</v>
      </c>
      <c r="G8702" s="53"/>
    </row>
    <row r="8703">
      <c r="A8703" s="49">
        <v>45112.60490467593</v>
      </c>
      <c r="B8703" s="50">
        <v>45112.7298794328</v>
      </c>
      <c r="C8703" s="51">
        <v>1.004</v>
      </c>
      <c r="D8703" s="51">
        <v>72.0</v>
      </c>
      <c r="E8703" s="52" t="s">
        <v>25</v>
      </c>
      <c r="F8703" s="52" t="s">
        <v>26</v>
      </c>
      <c r="G8703" s="53"/>
    </row>
    <row r="8704">
      <c r="A8704" s="49">
        <v>45112.61534665509</v>
      </c>
      <c r="B8704" s="50">
        <v>45112.7403233101</v>
      </c>
      <c r="C8704" s="51">
        <v>1.004</v>
      </c>
      <c r="D8704" s="51">
        <v>72.0</v>
      </c>
      <c r="E8704" s="52" t="s">
        <v>25</v>
      </c>
      <c r="F8704" s="52" t="s">
        <v>26</v>
      </c>
      <c r="G8704" s="53"/>
    </row>
    <row r="8705">
      <c r="A8705" s="49">
        <v>45112.625772604166</v>
      </c>
      <c r="B8705" s="50">
        <v>45112.7507455787</v>
      </c>
      <c r="C8705" s="51">
        <v>1.004</v>
      </c>
      <c r="D8705" s="51">
        <v>72.0</v>
      </c>
      <c r="E8705" s="52" t="s">
        <v>25</v>
      </c>
      <c r="F8705" s="52" t="s">
        <v>26</v>
      </c>
      <c r="G8705" s="53"/>
    </row>
    <row r="8706">
      <c r="A8706" s="49">
        <v>45112.63619556713</v>
      </c>
      <c r="B8706" s="50">
        <v>45112.7611674652</v>
      </c>
      <c r="C8706" s="51">
        <v>1.004</v>
      </c>
      <c r="D8706" s="51">
        <v>72.0</v>
      </c>
      <c r="E8706" s="52" t="s">
        <v>25</v>
      </c>
      <c r="F8706" s="52" t="s">
        <v>26</v>
      </c>
      <c r="G8706" s="53"/>
    </row>
    <row r="8707">
      <c r="A8707" s="49">
        <v>45112.64662310186</v>
      </c>
      <c r="B8707" s="50">
        <v>45112.7715902546</v>
      </c>
      <c r="C8707" s="51">
        <v>1.004</v>
      </c>
      <c r="D8707" s="51">
        <v>72.0</v>
      </c>
      <c r="E8707" s="52" t="s">
        <v>25</v>
      </c>
      <c r="F8707" s="52" t="s">
        <v>26</v>
      </c>
      <c r="G8707" s="53"/>
    </row>
    <row r="8708">
      <c r="A8708" s="49">
        <v>45112.65703342593</v>
      </c>
      <c r="B8708" s="50">
        <v>45112.7820108796</v>
      </c>
      <c r="C8708" s="51">
        <v>1.004</v>
      </c>
      <c r="D8708" s="51">
        <v>72.0</v>
      </c>
      <c r="E8708" s="52" t="s">
        <v>25</v>
      </c>
      <c r="F8708" s="52" t="s">
        <v>26</v>
      </c>
      <c r="G8708" s="53"/>
    </row>
    <row r="8709">
      <c r="A8709" s="49">
        <v>45112.667452546295</v>
      </c>
      <c r="B8709" s="50">
        <v>45112.7924323958</v>
      </c>
      <c r="C8709" s="51">
        <v>1.004</v>
      </c>
      <c r="D8709" s="51">
        <v>72.0</v>
      </c>
      <c r="E8709" s="52" t="s">
        <v>25</v>
      </c>
      <c r="F8709" s="52" t="s">
        <v>26</v>
      </c>
      <c r="G8709" s="53"/>
    </row>
    <row r="8710">
      <c r="A8710" s="49">
        <v>45112.67787417824</v>
      </c>
      <c r="B8710" s="50">
        <v>45112.802854537</v>
      </c>
      <c r="C8710" s="51">
        <v>1.004</v>
      </c>
      <c r="D8710" s="51">
        <v>72.0</v>
      </c>
      <c r="E8710" s="52" t="s">
        <v>25</v>
      </c>
      <c r="F8710" s="52" t="s">
        <v>26</v>
      </c>
      <c r="G8710" s="53"/>
    </row>
    <row r="8711">
      <c r="A8711" s="49">
        <v>45112.688301284725</v>
      </c>
      <c r="B8711" s="50">
        <v>45112.8132746875</v>
      </c>
      <c r="C8711" s="51">
        <v>1.004</v>
      </c>
      <c r="D8711" s="51">
        <v>72.0</v>
      </c>
      <c r="E8711" s="52" t="s">
        <v>25</v>
      </c>
      <c r="F8711" s="52" t="s">
        <v>26</v>
      </c>
      <c r="G8711" s="53"/>
    </row>
    <row r="8712">
      <c r="A8712" s="49">
        <v>45112.69873376157</v>
      </c>
      <c r="B8712" s="50">
        <v>45112.8237062847</v>
      </c>
      <c r="C8712" s="51">
        <v>1.004</v>
      </c>
      <c r="D8712" s="51">
        <v>72.0</v>
      </c>
      <c r="E8712" s="52" t="s">
        <v>25</v>
      </c>
      <c r="F8712" s="52" t="s">
        <v>26</v>
      </c>
      <c r="G8712" s="53"/>
    </row>
    <row r="8713">
      <c r="A8713" s="49">
        <v>45112.70915944444</v>
      </c>
      <c r="B8713" s="50">
        <v>45112.834139375</v>
      </c>
      <c r="C8713" s="51">
        <v>1.004</v>
      </c>
      <c r="D8713" s="51">
        <v>72.0</v>
      </c>
      <c r="E8713" s="52" t="s">
        <v>25</v>
      </c>
      <c r="F8713" s="52" t="s">
        <v>26</v>
      </c>
      <c r="G8713" s="53"/>
    </row>
    <row r="8714">
      <c r="A8714" s="49">
        <v>45112.719581956015</v>
      </c>
      <c r="B8714" s="50">
        <v>45112.8445596064</v>
      </c>
      <c r="C8714" s="51">
        <v>1.004</v>
      </c>
      <c r="D8714" s="51">
        <v>72.0</v>
      </c>
      <c r="E8714" s="52" t="s">
        <v>25</v>
      </c>
      <c r="F8714" s="52" t="s">
        <v>26</v>
      </c>
      <c r="G8714" s="53"/>
    </row>
    <row r="8715">
      <c r="A8715" s="49">
        <v>45112.730000428244</v>
      </c>
      <c r="B8715" s="50">
        <v>45112.8549789236</v>
      </c>
      <c r="C8715" s="51">
        <v>1.004</v>
      </c>
      <c r="D8715" s="51">
        <v>72.0</v>
      </c>
      <c r="E8715" s="52" t="s">
        <v>25</v>
      </c>
      <c r="F8715" s="52" t="s">
        <v>26</v>
      </c>
      <c r="G8715" s="53"/>
    </row>
    <row r="8716">
      <c r="A8716" s="49">
        <v>45112.74043539352</v>
      </c>
      <c r="B8716" s="50">
        <v>45112.8654111342</v>
      </c>
      <c r="C8716" s="51">
        <v>1.004</v>
      </c>
      <c r="D8716" s="51">
        <v>72.0</v>
      </c>
      <c r="E8716" s="52" t="s">
        <v>25</v>
      </c>
      <c r="F8716" s="52" t="s">
        <v>26</v>
      </c>
      <c r="G8716" s="53"/>
    </row>
    <row r="8717">
      <c r="A8717" s="49">
        <v>45112.75085336805</v>
      </c>
      <c r="B8717" s="50">
        <v>45112.8758320601</v>
      </c>
      <c r="C8717" s="51">
        <v>1.004</v>
      </c>
      <c r="D8717" s="51">
        <v>72.0</v>
      </c>
      <c r="E8717" s="52" t="s">
        <v>25</v>
      </c>
      <c r="F8717" s="52" t="s">
        <v>26</v>
      </c>
      <c r="G8717" s="53"/>
    </row>
    <row r="8718">
      <c r="A8718" s="49">
        <v>45112.76133819444</v>
      </c>
      <c r="B8718" s="50">
        <v>45112.8863120833</v>
      </c>
      <c r="C8718" s="51">
        <v>1.004</v>
      </c>
      <c r="D8718" s="51">
        <v>72.0</v>
      </c>
      <c r="E8718" s="52" t="s">
        <v>25</v>
      </c>
      <c r="F8718" s="52" t="s">
        <v>26</v>
      </c>
      <c r="G8718" s="53"/>
    </row>
    <row r="8719">
      <c r="A8719" s="49">
        <v>45112.77175489583</v>
      </c>
      <c r="B8719" s="50">
        <v>45112.8967326041</v>
      </c>
      <c r="C8719" s="51">
        <v>1.004</v>
      </c>
      <c r="D8719" s="51">
        <v>72.0</v>
      </c>
      <c r="E8719" s="52" t="s">
        <v>25</v>
      </c>
      <c r="F8719" s="52" t="s">
        <v>26</v>
      </c>
      <c r="G8719" s="53"/>
    </row>
    <row r="8720">
      <c r="A8720" s="49">
        <v>45112.782175138884</v>
      </c>
      <c r="B8720" s="50">
        <v>45112.9071551851</v>
      </c>
      <c r="C8720" s="51">
        <v>1.004</v>
      </c>
      <c r="D8720" s="51">
        <v>72.0</v>
      </c>
      <c r="E8720" s="52" t="s">
        <v>25</v>
      </c>
      <c r="F8720" s="52" t="s">
        <v>26</v>
      </c>
      <c r="G8720" s="53"/>
    </row>
    <row r="8721">
      <c r="A8721" s="49">
        <v>45112.792597210646</v>
      </c>
      <c r="B8721" s="50">
        <v>45112.9175757638</v>
      </c>
      <c r="C8721" s="51">
        <v>1.004</v>
      </c>
      <c r="D8721" s="51">
        <v>72.0</v>
      </c>
      <c r="E8721" s="52" t="s">
        <v>25</v>
      </c>
      <c r="F8721" s="52" t="s">
        <v>26</v>
      </c>
      <c r="G8721" s="53"/>
    </row>
    <row r="8722">
      <c r="A8722" s="49">
        <v>45112.803015763886</v>
      </c>
      <c r="B8722" s="50">
        <v>45112.9279974421</v>
      </c>
      <c r="C8722" s="51">
        <v>1.004</v>
      </c>
      <c r="D8722" s="51">
        <v>72.0</v>
      </c>
      <c r="E8722" s="52" t="s">
        <v>25</v>
      </c>
      <c r="F8722" s="52" t="s">
        <v>26</v>
      </c>
      <c r="G8722" s="53"/>
    </row>
    <row r="8723">
      <c r="A8723" s="49">
        <v>45112.813476689815</v>
      </c>
      <c r="B8723" s="50">
        <v>45112.9384524537</v>
      </c>
      <c r="C8723" s="51">
        <v>1.004</v>
      </c>
      <c r="D8723" s="51">
        <v>72.0</v>
      </c>
      <c r="E8723" s="52" t="s">
        <v>25</v>
      </c>
      <c r="F8723" s="52" t="s">
        <v>26</v>
      </c>
      <c r="G8723" s="53"/>
    </row>
    <row r="8724">
      <c r="A8724" s="49">
        <v>45112.82391009259</v>
      </c>
      <c r="B8724" s="50">
        <v>45112.948883993</v>
      </c>
      <c r="C8724" s="51">
        <v>1.004</v>
      </c>
      <c r="D8724" s="51">
        <v>72.0</v>
      </c>
      <c r="E8724" s="52" t="s">
        <v>25</v>
      </c>
      <c r="F8724" s="52" t="s">
        <v>26</v>
      </c>
      <c r="G8724" s="53"/>
    </row>
    <row r="8725">
      <c r="A8725" s="49">
        <v>45112.83432421296</v>
      </c>
      <c r="B8725" s="50">
        <v>45112.9593055439</v>
      </c>
      <c r="C8725" s="51">
        <v>1.004</v>
      </c>
      <c r="D8725" s="51">
        <v>72.0</v>
      </c>
      <c r="E8725" s="52" t="s">
        <v>25</v>
      </c>
      <c r="F8725" s="52" t="s">
        <v>26</v>
      </c>
      <c r="G8725" s="53"/>
    </row>
    <row r="8726">
      <c r="A8726" s="49">
        <v>45112.844756342594</v>
      </c>
      <c r="B8726" s="50">
        <v>45112.9697354629</v>
      </c>
      <c r="C8726" s="51">
        <v>1.004</v>
      </c>
      <c r="D8726" s="51">
        <v>72.0</v>
      </c>
      <c r="E8726" s="52" t="s">
        <v>25</v>
      </c>
      <c r="F8726" s="52" t="s">
        <v>26</v>
      </c>
      <c r="G8726" s="53"/>
    </row>
    <row r="8727">
      <c r="A8727" s="49">
        <v>45112.85518333333</v>
      </c>
      <c r="B8727" s="50">
        <v>45112.980156655</v>
      </c>
      <c r="C8727" s="51">
        <v>1.004</v>
      </c>
      <c r="D8727" s="51">
        <v>72.0</v>
      </c>
      <c r="E8727" s="52" t="s">
        <v>25</v>
      </c>
      <c r="F8727" s="52" t="s">
        <v>26</v>
      </c>
      <c r="G8727" s="53"/>
    </row>
    <row r="8728">
      <c r="A8728" s="49">
        <v>45112.8656015625</v>
      </c>
      <c r="B8728" s="50">
        <v>45112.9905783564</v>
      </c>
      <c r="C8728" s="51">
        <v>1.004</v>
      </c>
      <c r="D8728" s="51">
        <v>72.0</v>
      </c>
      <c r="E8728" s="52" t="s">
        <v>25</v>
      </c>
      <c r="F8728" s="52" t="s">
        <v>26</v>
      </c>
      <c r="G8728" s="53"/>
    </row>
    <row r="8729">
      <c r="A8729" s="49">
        <v>45112.87602002315</v>
      </c>
      <c r="B8729" s="50">
        <v>45113.0009999305</v>
      </c>
      <c r="C8729" s="51">
        <v>1.004</v>
      </c>
      <c r="D8729" s="51">
        <v>72.0</v>
      </c>
      <c r="E8729" s="52" t="s">
        <v>25</v>
      </c>
      <c r="F8729" s="52" t="s">
        <v>26</v>
      </c>
      <c r="G8729" s="53"/>
    </row>
    <row r="8730">
      <c r="A8730" s="49">
        <v>45112.88644962963</v>
      </c>
      <c r="B8730" s="50">
        <v>45113.0114331828</v>
      </c>
      <c r="C8730" s="51">
        <v>1.004</v>
      </c>
      <c r="D8730" s="51">
        <v>72.0</v>
      </c>
      <c r="E8730" s="52" t="s">
        <v>25</v>
      </c>
      <c r="F8730" s="52" t="s">
        <v>26</v>
      </c>
      <c r="G8730" s="53"/>
    </row>
    <row r="8731">
      <c r="A8731" s="49">
        <v>45112.89688140046</v>
      </c>
      <c r="B8731" s="50">
        <v>45113.0218545486</v>
      </c>
      <c r="C8731" s="51">
        <v>1.004</v>
      </c>
      <c r="D8731" s="51">
        <v>72.0</v>
      </c>
      <c r="E8731" s="52" t="s">
        <v>25</v>
      </c>
      <c r="F8731" s="52" t="s">
        <v>26</v>
      </c>
      <c r="G8731" s="53"/>
    </row>
    <row r="8732">
      <c r="A8732" s="49">
        <v>45112.90730369213</v>
      </c>
      <c r="B8732" s="50">
        <v>45113.0322761111</v>
      </c>
      <c r="C8732" s="51">
        <v>1.004</v>
      </c>
      <c r="D8732" s="51">
        <v>72.0</v>
      </c>
      <c r="E8732" s="52" t="s">
        <v>25</v>
      </c>
      <c r="F8732" s="52" t="s">
        <v>26</v>
      </c>
      <c r="G8732" s="53"/>
    </row>
    <row r="8733">
      <c r="A8733" s="49">
        <v>45112.917712766204</v>
      </c>
      <c r="B8733" s="50">
        <v>45113.0426961574</v>
      </c>
      <c r="C8733" s="51">
        <v>1.004</v>
      </c>
      <c r="D8733" s="51">
        <v>72.0</v>
      </c>
      <c r="E8733" s="52" t="s">
        <v>25</v>
      </c>
      <c r="F8733" s="52" t="s">
        <v>26</v>
      </c>
      <c r="G8733" s="53"/>
    </row>
    <row r="8734">
      <c r="A8734" s="49">
        <v>45112.92813697917</v>
      </c>
      <c r="B8734" s="50">
        <v>45113.0531175</v>
      </c>
      <c r="C8734" s="51">
        <v>1.004</v>
      </c>
      <c r="D8734" s="51">
        <v>72.0</v>
      </c>
      <c r="E8734" s="52" t="s">
        <v>25</v>
      </c>
      <c r="F8734" s="52" t="s">
        <v>26</v>
      </c>
      <c r="G8734" s="53"/>
    </row>
    <row r="8735">
      <c r="A8735" s="49">
        <v>45112.93856268519</v>
      </c>
      <c r="B8735" s="50">
        <v>45113.0635375694</v>
      </c>
      <c r="C8735" s="51">
        <v>1.004</v>
      </c>
      <c r="D8735" s="51">
        <v>72.0</v>
      </c>
      <c r="E8735" s="52" t="s">
        <v>25</v>
      </c>
      <c r="F8735" s="52" t="s">
        <v>26</v>
      </c>
      <c r="G8735" s="53"/>
    </row>
    <row r="8736">
      <c r="A8736" s="49">
        <v>45112.948987372685</v>
      </c>
      <c r="B8736" s="50">
        <v>45113.0739593171</v>
      </c>
      <c r="C8736" s="51">
        <v>1.004</v>
      </c>
      <c r="D8736" s="51">
        <v>72.0</v>
      </c>
      <c r="E8736" s="52" t="s">
        <v>25</v>
      </c>
      <c r="F8736" s="52" t="s">
        <v>26</v>
      </c>
      <c r="G8736" s="53"/>
    </row>
    <row r="8737">
      <c r="A8737" s="49">
        <v>45112.95941112268</v>
      </c>
      <c r="B8737" s="50">
        <v>45113.0843911805</v>
      </c>
      <c r="C8737" s="51">
        <v>1.004</v>
      </c>
      <c r="D8737" s="51">
        <v>72.0</v>
      </c>
      <c r="E8737" s="52" t="s">
        <v>25</v>
      </c>
      <c r="F8737" s="52" t="s">
        <v>26</v>
      </c>
      <c r="G8737" s="53"/>
    </row>
    <row r="8738">
      <c r="A8738" s="49">
        <v>45112.96983916667</v>
      </c>
      <c r="B8738" s="50">
        <v>45113.0948120023</v>
      </c>
      <c r="C8738" s="51">
        <v>1.004</v>
      </c>
      <c r="D8738" s="51">
        <v>72.0</v>
      </c>
      <c r="E8738" s="52" t="s">
        <v>25</v>
      </c>
      <c r="F8738" s="52" t="s">
        <v>26</v>
      </c>
      <c r="G8738" s="53"/>
    </row>
    <row r="8739">
      <c r="A8739" s="49">
        <v>45112.980268750005</v>
      </c>
      <c r="B8739" s="50">
        <v>45113.1052450115</v>
      </c>
      <c r="C8739" s="51">
        <v>1.004</v>
      </c>
      <c r="D8739" s="51">
        <v>72.0</v>
      </c>
      <c r="E8739" s="52" t="s">
        <v>25</v>
      </c>
      <c r="F8739" s="52" t="s">
        <v>26</v>
      </c>
      <c r="G8739" s="53"/>
    </row>
    <row r="8740">
      <c r="A8740" s="49">
        <v>45112.99068821759</v>
      </c>
      <c r="B8740" s="50">
        <v>45113.1156648263</v>
      </c>
      <c r="C8740" s="51">
        <v>1.004</v>
      </c>
      <c r="D8740" s="51">
        <v>72.0</v>
      </c>
      <c r="E8740" s="52" t="s">
        <v>25</v>
      </c>
      <c r="F8740" s="52" t="s">
        <v>26</v>
      </c>
      <c r="G8740" s="53"/>
    </row>
    <row r="8741">
      <c r="A8741" s="49">
        <v>45113.001116851854</v>
      </c>
      <c r="B8741" s="50">
        <v>45113.1260857754</v>
      </c>
      <c r="C8741" s="51">
        <v>1.004</v>
      </c>
      <c r="D8741" s="51">
        <v>72.0</v>
      </c>
      <c r="E8741" s="52" t="s">
        <v>25</v>
      </c>
      <c r="F8741" s="52" t="s">
        <v>26</v>
      </c>
      <c r="G8741" s="53"/>
    </row>
    <row r="8742">
      <c r="A8742" s="49">
        <v>45113.0115231713</v>
      </c>
      <c r="B8742" s="50">
        <v>45113.1365071875</v>
      </c>
      <c r="C8742" s="51">
        <v>1.004</v>
      </c>
      <c r="D8742" s="51">
        <v>72.0</v>
      </c>
      <c r="E8742" s="52" t="s">
        <v>25</v>
      </c>
      <c r="F8742" s="52" t="s">
        <v>26</v>
      </c>
      <c r="G8742" s="53"/>
    </row>
    <row r="8743">
      <c r="A8743" s="49">
        <v>45113.02195864583</v>
      </c>
      <c r="B8743" s="50">
        <v>45113.146930162</v>
      </c>
      <c r="C8743" s="51">
        <v>1.004</v>
      </c>
      <c r="D8743" s="51">
        <v>72.0</v>
      </c>
      <c r="E8743" s="52" t="s">
        <v>25</v>
      </c>
      <c r="F8743" s="52" t="s">
        <v>26</v>
      </c>
      <c r="G8743" s="53"/>
    </row>
    <row r="8744">
      <c r="A8744" s="49">
        <v>45113.03237965278</v>
      </c>
      <c r="B8744" s="50">
        <v>45113.1573507176</v>
      </c>
      <c r="C8744" s="51">
        <v>1.004</v>
      </c>
      <c r="D8744" s="51">
        <v>72.0</v>
      </c>
      <c r="E8744" s="52" t="s">
        <v>25</v>
      </c>
      <c r="F8744" s="52" t="s">
        <v>26</v>
      </c>
      <c r="G8744" s="53"/>
    </row>
    <row r="8745">
      <c r="A8745" s="49">
        <v>45113.042801979165</v>
      </c>
      <c r="B8745" s="50">
        <v>45113.167772905</v>
      </c>
      <c r="C8745" s="51">
        <v>1.004</v>
      </c>
      <c r="D8745" s="51">
        <v>72.0</v>
      </c>
      <c r="E8745" s="52" t="s">
        <v>25</v>
      </c>
      <c r="F8745" s="52" t="s">
        <v>26</v>
      </c>
      <c r="G8745" s="53"/>
    </row>
    <row r="8746">
      <c r="A8746" s="49">
        <v>45113.05323105324</v>
      </c>
      <c r="B8746" s="50">
        <v>45113.1782056597</v>
      </c>
      <c r="C8746" s="51">
        <v>1.004</v>
      </c>
      <c r="D8746" s="51">
        <v>72.0</v>
      </c>
      <c r="E8746" s="52" t="s">
        <v>25</v>
      </c>
      <c r="F8746" s="52" t="s">
        <v>26</v>
      </c>
      <c r="G8746" s="53"/>
    </row>
    <row r="8747">
      <c r="A8747" s="49">
        <v>45113.063650509255</v>
      </c>
      <c r="B8747" s="50">
        <v>45113.1886278472</v>
      </c>
      <c r="C8747" s="51">
        <v>1.004</v>
      </c>
      <c r="D8747" s="51">
        <v>72.0</v>
      </c>
      <c r="E8747" s="52" t="s">
        <v>25</v>
      </c>
      <c r="F8747" s="52" t="s">
        <v>26</v>
      </c>
      <c r="G8747" s="53"/>
    </row>
    <row r="8748">
      <c r="A8748" s="49">
        <v>45113.0740771412</v>
      </c>
      <c r="B8748" s="50">
        <v>45113.1990504166</v>
      </c>
      <c r="C8748" s="51">
        <v>1.004</v>
      </c>
      <c r="D8748" s="51">
        <v>72.0</v>
      </c>
      <c r="E8748" s="52" t="s">
        <v>25</v>
      </c>
      <c r="F8748" s="52" t="s">
        <v>26</v>
      </c>
      <c r="G8748" s="53"/>
    </row>
    <row r="8749">
      <c r="A8749" s="49">
        <v>45113.08449674769</v>
      </c>
      <c r="B8749" s="50">
        <v>45113.2094713194</v>
      </c>
      <c r="C8749" s="51">
        <v>1.004</v>
      </c>
      <c r="D8749" s="51">
        <v>72.0</v>
      </c>
      <c r="E8749" s="52" t="s">
        <v>25</v>
      </c>
      <c r="F8749" s="52" t="s">
        <v>26</v>
      </c>
      <c r="G8749" s="53"/>
    </row>
    <row r="8750">
      <c r="A8750" s="49">
        <v>45113.09491788194</v>
      </c>
      <c r="B8750" s="50">
        <v>45113.219892037</v>
      </c>
      <c r="C8750" s="51">
        <v>1.004</v>
      </c>
      <c r="D8750" s="51">
        <v>72.0</v>
      </c>
      <c r="E8750" s="52" t="s">
        <v>25</v>
      </c>
      <c r="F8750" s="52" t="s">
        <v>26</v>
      </c>
      <c r="G8750" s="53"/>
    </row>
    <row r="8751">
      <c r="A8751" s="49">
        <v>45113.10533464121</v>
      </c>
      <c r="B8751" s="50">
        <v>45113.2303122106</v>
      </c>
      <c r="C8751" s="51">
        <v>1.004</v>
      </c>
      <c r="D8751" s="51">
        <v>72.0</v>
      </c>
      <c r="E8751" s="52" t="s">
        <v>25</v>
      </c>
      <c r="F8751" s="52" t="s">
        <v>26</v>
      </c>
      <c r="G8751" s="53"/>
    </row>
    <row r="8752">
      <c r="A8752" s="49">
        <v>45113.11576005787</v>
      </c>
      <c r="B8752" s="50">
        <v>45113.2407332638</v>
      </c>
      <c r="C8752" s="51">
        <v>1.004</v>
      </c>
      <c r="D8752" s="51">
        <v>72.0</v>
      </c>
      <c r="E8752" s="52" t="s">
        <v>25</v>
      </c>
      <c r="F8752" s="52" t="s">
        <v>26</v>
      </c>
      <c r="G8752" s="53"/>
    </row>
    <row r="8753">
      <c r="A8753" s="49">
        <v>45113.12619417824</v>
      </c>
      <c r="B8753" s="50">
        <v>45113.2511668171</v>
      </c>
      <c r="C8753" s="51">
        <v>1.004</v>
      </c>
      <c r="D8753" s="51">
        <v>72.0</v>
      </c>
      <c r="E8753" s="52" t="s">
        <v>25</v>
      </c>
      <c r="F8753" s="52" t="s">
        <v>26</v>
      </c>
      <c r="G8753" s="53"/>
    </row>
    <row r="8754">
      <c r="A8754" s="49">
        <v>45113.13664164352</v>
      </c>
      <c r="B8754" s="50">
        <v>45113.2616111342</v>
      </c>
      <c r="C8754" s="51">
        <v>1.004</v>
      </c>
      <c r="D8754" s="51">
        <v>72.0</v>
      </c>
      <c r="E8754" s="52" t="s">
        <v>25</v>
      </c>
      <c r="F8754" s="52" t="s">
        <v>26</v>
      </c>
      <c r="G8754" s="53"/>
    </row>
    <row r="8755">
      <c r="A8755" s="49">
        <v>45113.147053900466</v>
      </c>
      <c r="B8755" s="50">
        <v>45113.2720327546</v>
      </c>
      <c r="C8755" s="51">
        <v>1.004</v>
      </c>
      <c r="D8755" s="51">
        <v>72.0</v>
      </c>
      <c r="E8755" s="52" t="s">
        <v>25</v>
      </c>
      <c r="F8755" s="52" t="s">
        <v>26</v>
      </c>
      <c r="G8755" s="53"/>
    </row>
    <row r="8756">
      <c r="A8756" s="49">
        <v>45113.15748480324</v>
      </c>
      <c r="B8756" s="50">
        <v>45113.2824533217</v>
      </c>
      <c r="C8756" s="51">
        <v>1.004</v>
      </c>
      <c r="D8756" s="51">
        <v>72.0</v>
      </c>
      <c r="E8756" s="52" t="s">
        <v>25</v>
      </c>
      <c r="F8756" s="52" t="s">
        <v>26</v>
      </c>
      <c r="G8756" s="53"/>
    </row>
    <row r="8757">
      <c r="A8757" s="49">
        <v>45113.16789189815</v>
      </c>
      <c r="B8757" s="50">
        <v>45113.2928743518</v>
      </c>
      <c r="C8757" s="51">
        <v>1.004</v>
      </c>
      <c r="D8757" s="51">
        <v>72.0</v>
      </c>
      <c r="E8757" s="52" t="s">
        <v>25</v>
      </c>
      <c r="F8757" s="52" t="s">
        <v>26</v>
      </c>
      <c r="G8757" s="53"/>
    </row>
    <row r="8758">
      <c r="A8758" s="49">
        <v>45113.17831396991</v>
      </c>
      <c r="B8758" s="50">
        <v>45113.3032954861</v>
      </c>
      <c r="C8758" s="51">
        <v>1.004</v>
      </c>
      <c r="D8758" s="51">
        <v>72.0</v>
      </c>
      <c r="E8758" s="52" t="s">
        <v>25</v>
      </c>
      <c r="F8758" s="52" t="s">
        <v>26</v>
      </c>
      <c r="G8758" s="53"/>
    </row>
    <row r="8759">
      <c r="A8759" s="49">
        <v>45113.1887441088</v>
      </c>
      <c r="B8759" s="50">
        <v>45113.3137178009</v>
      </c>
      <c r="C8759" s="51">
        <v>1.004</v>
      </c>
      <c r="D8759" s="51">
        <v>72.0</v>
      </c>
      <c r="E8759" s="52" t="s">
        <v>25</v>
      </c>
      <c r="F8759" s="52" t="s">
        <v>26</v>
      </c>
      <c r="G8759" s="53"/>
    </row>
    <row r="8760">
      <c r="A8760" s="49">
        <v>45113.199155925926</v>
      </c>
      <c r="B8760" s="50">
        <v>45113.3241381365</v>
      </c>
      <c r="C8760" s="51">
        <v>1.004</v>
      </c>
      <c r="D8760" s="51">
        <v>72.0</v>
      </c>
      <c r="E8760" s="52" t="s">
        <v>25</v>
      </c>
      <c r="F8760" s="52" t="s">
        <v>26</v>
      </c>
      <c r="G8760" s="53"/>
    </row>
    <row r="8761">
      <c r="A8761" s="49">
        <v>45113.2095894213</v>
      </c>
      <c r="B8761" s="50">
        <v>45113.334558831</v>
      </c>
      <c r="C8761" s="51">
        <v>1.004</v>
      </c>
      <c r="D8761" s="51">
        <v>72.0</v>
      </c>
      <c r="E8761" s="52" t="s">
        <v>25</v>
      </c>
      <c r="F8761" s="52" t="s">
        <v>26</v>
      </c>
      <c r="G8761" s="53"/>
    </row>
    <row r="8762">
      <c r="A8762" s="49">
        <v>45113.22000771991</v>
      </c>
      <c r="B8762" s="50">
        <v>45113.3449793171</v>
      </c>
      <c r="C8762" s="51">
        <v>1.004</v>
      </c>
      <c r="D8762" s="51">
        <v>72.0</v>
      </c>
      <c r="E8762" s="52" t="s">
        <v>25</v>
      </c>
      <c r="F8762" s="52" t="s">
        <v>26</v>
      </c>
      <c r="G8762" s="53"/>
    </row>
    <row r="8763">
      <c r="A8763" s="49">
        <v>45113.23042320602</v>
      </c>
      <c r="B8763" s="50">
        <v>45113.3554004282</v>
      </c>
      <c r="C8763" s="51">
        <v>1.004</v>
      </c>
      <c r="D8763" s="51">
        <v>72.0</v>
      </c>
      <c r="E8763" s="52" t="s">
        <v>25</v>
      </c>
      <c r="F8763" s="52" t="s">
        <v>26</v>
      </c>
      <c r="G8763" s="53"/>
    </row>
    <row r="8764">
      <c r="A8764" s="49">
        <v>45113.240836909725</v>
      </c>
      <c r="B8764" s="50">
        <v>45113.3658220486</v>
      </c>
      <c r="C8764" s="51">
        <v>1.004</v>
      </c>
      <c r="D8764" s="51">
        <v>72.0</v>
      </c>
      <c r="E8764" s="52" t="s">
        <v>25</v>
      </c>
      <c r="F8764" s="52" t="s">
        <v>26</v>
      </c>
      <c r="G8764" s="53"/>
    </row>
    <row r="8765">
      <c r="A8765" s="49">
        <v>45113.25129033565</v>
      </c>
      <c r="B8765" s="50">
        <v>45113.3762662963</v>
      </c>
      <c r="C8765" s="51">
        <v>1.004</v>
      </c>
      <c r="D8765" s="51">
        <v>72.0</v>
      </c>
      <c r="E8765" s="52" t="s">
        <v>25</v>
      </c>
      <c r="F8765" s="52" t="s">
        <v>26</v>
      </c>
      <c r="G8765" s="53"/>
    </row>
    <row r="8766">
      <c r="A8766" s="49">
        <v>45113.26170850694</v>
      </c>
      <c r="B8766" s="50">
        <v>45113.3866859027</v>
      </c>
      <c r="C8766" s="51">
        <v>1.004</v>
      </c>
      <c r="D8766" s="51">
        <v>72.0</v>
      </c>
      <c r="E8766" s="52" t="s">
        <v>25</v>
      </c>
      <c r="F8766" s="52" t="s">
        <v>26</v>
      </c>
      <c r="G8766" s="53"/>
    </row>
    <row r="8767">
      <c r="A8767" s="49">
        <v>45113.27214480324</v>
      </c>
      <c r="B8767" s="50">
        <v>45113.3971068865</v>
      </c>
      <c r="C8767" s="51">
        <v>1.004</v>
      </c>
      <c r="D8767" s="51">
        <v>72.0</v>
      </c>
      <c r="E8767" s="52" t="s">
        <v>25</v>
      </c>
      <c r="F8767" s="52" t="s">
        <v>26</v>
      </c>
      <c r="G8767" s="53"/>
    </row>
    <row r="8768">
      <c r="A8768" s="49">
        <v>45113.28257604167</v>
      </c>
      <c r="B8768" s="50">
        <v>45113.4075520833</v>
      </c>
      <c r="C8768" s="51">
        <v>1.004</v>
      </c>
      <c r="D8768" s="51">
        <v>72.0</v>
      </c>
      <c r="E8768" s="52" t="s">
        <v>25</v>
      </c>
      <c r="F8768" s="52" t="s">
        <v>26</v>
      </c>
      <c r="G8768" s="53"/>
    </row>
    <row r="8769">
      <c r="A8769" s="49">
        <v>45113.29303714121</v>
      </c>
      <c r="B8769" s="50">
        <v>45113.4179954861</v>
      </c>
      <c r="C8769" s="51">
        <v>1.004</v>
      </c>
      <c r="D8769" s="51">
        <v>72.0</v>
      </c>
      <c r="E8769" s="52" t="s">
        <v>25</v>
      </c>
      <c r="F8769" s="52" t="s">
        <v>26</v>
      </c>
      <c r="G8769" s="53"/>
    </row>
    <row r="8770">
      <c r="A8770" s="49">
        <v>45113.30344217592</v>
      </c>
      <c r="B8770" s="50">
        <v>45113.4284169907</v>
      </c>
      <c r="C8770" s="51">
        <v>1.004</v>
      </c>
      <c r="D8770" s="51">
        <v>72.0</v>
      </c>
      <c r="E8770" s="52" t="s">
        <v>25</v>
      </c>
      <c r="F8770" s="52" t="s">
        <v>26</v>
      </c>
      <c r="G8770" s="53"/>
    </row>
    <row r="8771">
      <c r="A8771" s="49">
        <v>45113.31389951389</v>
      </c>
      <c r="B8771" s="50">
        <v>45113.4388735763</v>
      </c>
      <c r="C8771" s="51">
        <v>1.004</v>
      </c>
      <c r="D8771" s="51">
        <v>72.0</v>
      </c>
      <c r="E8771" s="52" t="s">
        <v>25</v>
      </c>
      <c r="F8771" s="52" t="s">
        <v>26</v>
      </c>
      <c r="G8771" s="53"/>
    </row>
    <row r="8772">
      <c r="A8772" s="49">
        <v>45113.32431394676</v>
      </c>
      <c r="B8772" s="50">
        <v>45113.4492937268</v>
      </c>
      <c r="C8772" s="51">
        <v>1.004</v>
      </c>
      <c r="D8772" s="51">
        <v>72.0</v>
      </c>
      <c r="E8772" s="52" t="s">
        <v>25</v>
      </c>
      <c r="F8772" s="52" t="s">
        <v>26</v>
      </c>
      <c r="G8772" s="53"/>
    </row>
    <row r="8773">
      <c r="A8773" s="49">
        <v>45113.33474125</v>
      </c>
      <c r="B8773" s="50">
        <v>45113.4597163657</v>
      </c>
      <c r="C8773" s="51">
        <v>1.004</v>
      </c>
      <c r="D8773" s="51">
        <v>72.0</v>
      </c>
      <c r="E8773" s="52" t="s">
        <v>25</v>
      </c>
      <c r="F8773" s="52" t="s">
        <v>26</v>
      </c>
      <c r="G8773" s="53"/>
    </row>
    <row r="8774">
      <c r="A8774" s="49">
        <v>45113.34516165509</v>
      </c>
      <c r="B8774" s="50">
        <v>45113.4701378009</v>
      </c>
      <c r="C8774" s="51">
        <v>1.004</v>
      </c>
      <c r="D8774" s="51">
        <v>72.0</v>
      </c>
      <c r="E8774" s="52" t="s">
        <v>25</v>
      </c>
      <c r="F8774" s="52" t="s">
        <v>26</v>
      </c>
      <c r="G8774" s="53"/>
    </row>
    <row r="8775">
      <c r="A8775" s="49">
        <v>45113.35558594907</v>
      </c>
      <c r="B8775" s="50">
        <v>45113.4805592013</v>
      </c>
      <c r="C8775" s="51">
        <v>1.004</v>
      </c>
      <c r="D8775" s="51">
        <v>72.0</v>
      </c>
      <c r="E8775" s="52" t="s">
        <v>25</v>
      </c>
      <c r="F8775" s="52" t="s">
        <v>26</v>
      </c>
      <c r="G8775" s="53"/>
    </row>
    <row r="8776">
      <c r="A8776" s="49">
        <v>45113.36603146991</v>
      </c>
      <c r="B8776" s="50">
        <v>45113.4909934953</v>
      </c>
      <c r="C8776" s="51">
        <v>1.004</v>
      </c>
      <c r="D8776" s="51">
        <v>72.0</v>
      </c>
      <c r="E8776" s="52" t="s">
        <v>25</v>
      </c>
      <c r="F8776" s="52" t="s">
        <v>26</v>
      </c>
      <c r="G8776" s="53"/>
    </row>
    <row r="8777">
      <c r="A8777" s="49">
        <v>45113.376438287036</v>
      </c>
      <c r="B8777" s="50">
        <v>45113.5014154282</v>
      </c>
      <c r="C8777" s="51">
        <v>1.004</v>
      </c>
      <c r="D8777" s="51">
        <v>72.0</v>
      </c>
      <c r="E8777" s="52" t="s">
        <v>25</v>
      </c>
      <c r="F8777" s="52" t="s">
        <v>26</v>
      </c>
      <c r="G8777" s="53"/>
    </row>
    <row r="8778">
      <c r="A8778" s="49">
        <v>45113.38687420139</v>
      </c>
      <c r="B8778" s="50">
        <v>45113.5118481365</v>
      </c>
      <c r="C8778" s="51">
        <v>1.004</v>
      </c>
      <c r="D8778" s="51">
        <v>72.0</v>
      </c>
      <c r="E8778" s="52" t="s">
        <v>25</v>
      </c>
      <c r="F8778" s="52" t="s">
        <v>26</v>
      </c>
      <c r="G8778" s="53"/>
    </row>
    <row r="8779">
      <c r="A8779" s="49">
        <v>45113.397298310185</v>
      </c>
      <c r="B8779" s="50">
        <v>45113.522280162</v>
      </c>
      <c r="C8779" s="51">
        <v>1.004</v>
      </c>
      <c r="D8779" s="51">
        <v>72.0</v>
      </c>
      <c r="E8779" s="52" t="s">
        <v>25</v>
      </c>
      <c r="F8779" s="52" t="s">
        <v>26</v>
      </c>
      <c r="G8779" s="53"/>
    </row>
    <row r="8780">
      <c r="A8780" s="49">
        <v>45113.40772398148</v>
      </c>
      <c r="B8780" s="50">
        <v>45113.5327022569</v>
      </c>
      <c r="C8780" s="51">
        <v>1.004</v>
      </c>
      <c r="D8780" s="51">
        <v>72.0</v>
      </c>
      <c r="E8780" s="52" t="s">
        <v>25</v>
      </c>
      <c r="F8780" s="52" t="s">
        <v>26</v>
      </c>
      <c r="G8780" s="53"/>
    </row>
    <row r="8781">
      <c r="A8781" s="49">
        <v>45113.41815378472</v>
      </c>
      <c r="B8781" s="50">
        <v>45113.54312478</v>
      </c>
      <c r="C8781" s="51">
        <v>1.004</v>
      </c>
      <c r="D8781" s="51">
        <v>72.0</v>
      </c>
      <c r="E8781" s="52" t="s">
        <v>25</v>
      </c>
      <c r="F8781" s="52" t="s">
        <v>26</v>
      </c>
      <c r="G8781" s="53"/>
    </row>
    <row r="8782">
      <c r="A8782" s="49">
        <v>45113.42856871527</v>
      </c>
      <c r="B8782" s="50">
        <v>45113.5535459375</v>
      </c>
      <c r="C8782" s="51">
        <v>1.004</v>
      </c>
      <c r="D8782" s="51">
        <v>72.0</v>
      </c>
      <c r="E8782" s="52" t="s">
        <v>25</v>
      </c>
      <c r="F8782" s="52" t="s">
        <v>26</v>
      </c>
      <c r="G8782" s="53"/>
    </row>
    <row r="8783">
      <c r="A8783" s="49">
        <v>45113.43902020833</v>
      </c>
      <c r="B8783" s="50">
        <v>45113.5639914699</v>
      </c>
      <c r="C8783" s="51">
        <v>1.004</v>
      </c>
      <c r="D8783" s="51">
        <v>72.0</v>
      </c>
      <c r="E8783" s="52" t="s">
        <v>25</v>
      </c>
      <c r="F8783" s="52" t="s">
        <v>26</v>
      </c>
      <c r="G8783" s="53"/>
    </row>
    <row r="8784">
      <c r="A8784" s="49">
        <v>45113.4494465625</v>
      </c>
      <c r="B8784" s="50">
        <v>45113.5744132176</v>
      </c>
      <c r="C8784" s="51">
        <v>1.004</v>
      </c>
      <c r="D8784" s="51">
        <v>72.0</v>
      </c>
      <c r="E8784" s="52" t="s">
        <v>25</v>
      </c>
      <c r="F8784" s="52" t="s">
        <v>26</v>
      </c>
      <c r="G8784" s="53"/>
    </row>
    <row r="8785">
      <c r="A8785" s="49">
        <v>45113.459866006946</v>
      </c>
      <c r="B8785" s="50">
        <v>45113.5848354976</v>
      </c>
      <c r="C8785" s="51">
        <v>1.004</v>
      </c>
      <c r="D8785" s="51">
        <v>72.0</v>
      </c>
      <c r="E8785" s="52" t="s">
        <v>25</v>
      </c>
      <c r="F8785" s="52" t="s">
        <v>26</v>
      </c>
      <c r="G8785" s="53"/>
    </row>
    <row r="8786">
      <c r="A8786" s="49">
        <v>45113.470287118056</v>
      </c>
      <c r="B8786" s="50">
        <v>45113.5952575115</v>
      </c>
      <c r="C8786" s="51">
        <v>1.004</v>
      </c>
      <c r="D8786" s="51">
        <v>72.0</v>
      </c>
      <c r="E8786" s="52" t="s">
        <v>25</v>
      </c>
      <c r="F8786" s="52" t="s">
        <v>26</v>
      </c>
      <c r="G8786" s="53"/>
    </row>
    <row r="8787">
      <c r="A8787" s="49">
        <v>45113.48070143518</v>
      </c>
      <c r="B8787" s="50">
        <v>45113.6056799421</v>
      </c>
      <c r="C8787" s="51">
        <v>1.004</v>
      </c>
      <c r="D8787" s="51">
        <v>72.0</v>
      </c>
      <c r="E8787" s="52" t="s">
        <v>25</v>
      </c>
      <c r="F8787" s="52" t="s">
        <v>26</v>
      </c>
      <c r="G8787" s="53"/>
    </row>
    <row r="8788">
      <c r="A8788" s="49">
        <v>45113.49112482639</v>
      </c>
      <c r="B8788" s="50">
        <v>45113.6161023032</v>
      </c>
      <c r="C8788" s="51">
        <v>1.004</v>
      </c>
      <c r="D8788" s="51">
        <v>72.0</v>
      </c>
      <c r="E8788" s="52" t="s">
        <v>25</v>
      </c>
      <c r="F8788" s="52" t="s">
        <v>26</v>
      </c>
      <c r="G8788" s="53"/>
    </row>
    <row r="8789">
      <c r="A8789" s="49">
        <v>45113.50154622685</v>
      </c>
      <c r="B8789" s="50">
        <v>45113.6265248495</v>
      </c>
      <c r="C8789" s="51">
        <v>1.004</v>
      </c>
      <c r="D8789" s="51">
        <v>72.0</v>
      </c>
      <c r="E8789" s="52" t="s">
        <v>25</v>
      </c>
      <c r="F8789" s="52" t="s">
        <v>26</v>
      </c>
      <c r="G8789" s="53"/>
    </row>
    <row r="8790">
      <c r="A8790" s="49">
        <v>45113.511978449074</v>
      </c>
      <c r="B8790" s="50">
        <v>45113.6369466898</v>
      </c>
      <c r="C8790" s="51">
        <v>1.004</v>
      </c>
      <c r="D8790" s="51">
        <v>72.0</v>
      </c>
      <c r="E8790" s="52" t="s">
        <v>25</v>
      </c>
      <c r="F8790" s="52" t="s">
        <v>26</v>
      </c>
      <c r="G8790" s="53"/>
    </row>
    <row r="8791">
      <c r="A8791" s="49">
        <v>45113.522389861115</v>
      </c>
      <c r="B8791" s="50">
        <v>45113.6473672106</v>
      </c>
      <c r="C8791" s="51">
        <v>1.004</v>
      </c>
      <c r="D8791" s="51">
        <v>72.0</v>
      </c>
      <c r="E8791" s="52" t="s">
        <v>25</v>
      </c>
      <c r="F8791" s="52" t="s">
        <v>26</v>
      </c>
      <c r="G8791" s="53"/>
    </row>
    <row r="8792">
      <c r="A8792" s="49">
        <v>45113.53281122685</v>
      </c>
      <c r="B8792" s="50">
        <v>45113.6577889004</v>
      </c>
      <c r="C8792" s="51">
        <v>1.004</v>
      </c>
      <c r="D8792" s="51">
        <v>72.0</v>
      </c>
      <c r="E8792" s="52" t="s">
        <v>25</v>
      </c>
      <c r="F8792" s="52" t="s">
        <v>26</v>
      </c>
      <c r="G8792" s="53"/>
    </row>
    <row r="8793">
      <c r="A8793" s="49">
        <v>45113.543243900465</v>
      </c>
      <c r="B8793" s="50">
        <v>45113.6682203472</v>
      </c>
      <c r="C8793" s="51">
        <v>1.004</v>
      </c>
      <c r="D8793" s="51">
        <v>72.0</v>
      </c>
      <c r="E8793" s="52" t="s">
        <v>25</v>
      </c>
      <c r="F8793" s="52" t="s">
        <v>26</v>
      </c>
      <c r="G8793" s="53"/>
    </row>
    <row r="8794">
      <c r="A8794" s="49">
        <v>45113.5536840162</v>
      </c>
      <c r="B8794" s="50">
        <v>45113.6786652083</v>
      </c>
      <c r="C8794" s="51">
        <v>1.004</v>
      </c>
      <c r="D8794" s="51">
        <v>72.0</v>
      </c>
      <c r="E8794" s="52" t="s">
        <v>25</v>
      </c>
      <c r="F8794" s="52" t="s">
        <v>26</v>
      </c>
      <c r="G8794" s="53"/>
    </row>
    <row r="8795">
      <c r="A8795" s="49">
        <v>45113.564128831014</v>
      </c>
      <c r="B8795" s="50">
        <v>45113.6890980324</v>
      </c>
      <c r="C8795" s="51">
        <v>1.004</v>
      </c>
      <c r="D8795" s="51">
        <v>72.0</v>
      </c>
      <c r="E8795" s="52" t="s">
        <v>25</v>
      </c>
      <c r="F8795" s="52" t="s">
        <v>26</v>
      </c>
      <c r="G8795" s="53"/>
    </row>
    <row r="8796">
      <c r="A8796" s="49">
        <v>45113.574541875</v>
      </c>
      <c r="B8796" s="50">
        <v>45113.6995180671</v>
      </c>
      <c r="C8796" s="51">
        <v>1.004</v>
      </c>
      <c r="D8796" s="51">
        <v>72.0</v>
      </c>
      <c r="E8796" s="52" t="s">
        <v>25</v>
      </c>
      <c r="F8796" s="52" t="s">
        <v>26</v>
      </c>
      <c r="G8796" s="53"/>
    </row>
    <row r="8797">
      <c r="A8797" s="49">
        <v>45113.58497114583</v>
      </c>
      <c r="B8797" s="50">
        <v>45113.7099385879</v>
      </c>
      <c r="C8797" s="51">
        <v>1.004</v>
      </c>
      <c r="D8797" s="51">
        <v>72.0</v>
      </c>
      <c r="E8797" s="52" t="s">
        <v>25</v>
      </c>
      <c r="F8797" s="52" t="s">
        <v>26</v>
      </c>
      <c r="G8797" s="53"/>
    </row>
    <row r="8798">
      <c r="A8798" s="49">
        <v>45113.595382430554</v>
      </c>
      <c r="B8798" s="50">
        <v>45113.720359618</v>
      </c>
      <c r="C8798" s="51">
        <v>1.004</v>
      </c>
      <c r="D8798" s="51">
        <v>72.0</v>
      </c>
      <c r="E8798" s="52" t="s">
        <v>25</v>
      </c>
      <c r="F8798" s="52" t="s">
        <v>26</v>
      </c>
      <c r="G8798" s="53"/>
    </row>
    <row r="8799">
      <c r="A8799" s="49">
        <v>45113.60583811342</v>
      </c>
      <c r="B8799" s="50">
        <v>45113.7308028356</v>
      </c>
      <c r="C8799" s="51">
        <v>1.004</v>
      </c>
      <c r="D8799" s="51">
        <v>72.0</v>
      </c>
      <c r="E8799" s="52" t="s">
        <v>25</v>
      </c>
      <c r="F8799" s="52" t="s">
        <v>26</v>
      </c>
      <c r="G8799" s="53"/>
    </row>
    <row r="8800">
      <c r="A8800" s="49">
        <v>45113.61624862268</v>
      </c>
      <c r="B8800" s="50">
        <v>45113.741223831</v>
      </c>
      <c r="C8800" s="51">
        <v>1.004</v>
      </c>
      <c r="D8800" s="51">
        <v>72.0</v>
      </c>
      <c r="E8800" s="52" t="s">
        <v>25</v>
      </c>
      <c r="F8800" s="52" t="s">
        <v>26</v>
      </c>
      <c r="G8800" s="53"/>
    </row>
    <row r="8801">
      <c r="A8801" s="49">
        <v>45113.62668858796</v>
      </c>
      <c r="B8801" s="50">
        <v>45113.7516555555</v>
      </c>
      <c r="C8801" s="51">
        <v>1.004</v>
      </c>
      <c r="D8801" s="51">
        <v>72.0</v>
      </c>
      <c r="E8801" s="52" t="s">
        <v>25</v>
      </c>
      <c r="F8801" s="52" t="s">
        <v>26</v>
      </c>
      <c r="G8801" s="53"/>
    </row>
    <row r="8802">
      <c r="A8802" s="49">
        <v>45113.63711952546</v>
      </c>
      <c r="B8802" s="50">
        <v>45113.7620996875</v>
      </c>
      <c r="C8802" s="51">
        <v>1.004</v>
      </c>
      <c r="D8802" s="51">
        <v>72.0</v>
      </c>
      <c r="E8802" s="52" t="s">
        <v>25</v>
      </c>
      <c r="F8802" s="52" t="s">
        <v>26</v>
      </c>
      <c r="G8802" s="53"/>
    </row>
    <row r="8803">
      <c r="A8803" s="49">
        <v>45113.64753915509</v>
      </c>
      <c r="B8803" s="50">
        <v>45113.772520162</v>
      </c>
      <c r="C8803" s="51">
        <v>1.004</v>
      </c>
      <c r="D8803" s="51">
        <v>72.0</v>
      </c>
      <c r="E8803" s="52" t="s">
        <v>25</v>
      </c>
      <c r="F8803" s="52" t="s">
        <v>26</v>
      </c>
      <c r="G8803" s="53"/>
    </row>
    <row r="8804">
      <c r="A8804" s="49">
        <v>45113.657973622685</v>
      </c>
      <c r="B8804" s="50">
        <v>45113.7829515625</v>
      </c>
      <c r="C8804" s="51">
        <v>1.004</v>
      </c>
      <c r="D8804" s="51">
        <v>72.0</v>
      </c>
      <c r="E8804" s="52" t="s">
        <v>25</v>
      </c>
      <c r="F8804" s="52" t="s">
        <v>26</v>
      </c>
      <c r="G8804" s="53"/>
    </row>
    <row r="8805">
      <c r="A8805" s="49">
        <v>45113.668401076386</v>
      </c>
      <c r="B8805" s="50">
        <v>45113.7933734027</v>
      </c>
      <c r="C8805" s="51">
        <v>1.004</v>
      </c>
      <c r="D8805" s="51">
        <v>72.0</v>
      </c>
      <c r="E8805" s="52" t="s">
        <v>25</v>
      </c>
      <c r="F8805" s="52" t="s">
        <v>26</v>
      </c>
      <c r="G8805" s="53"/>
    </row>
    <row r="8806">
      <c r="A8806" s="49">
        <v>45113.678813935185</v>
      </c>
      <c r="B8806" s="50">
        <v>45113.8037938888</v>
      </c>
      <c r="C8806" s="51">
        <v>1.004</v>
      </c>
      <c r="D8806" s="51">
        <v>72.0</v>
      </c>
      <c r="E8806" s="52" t="s">
        <v>25</v>
      </c>
      <c r="F8806" s="52" t="s">
        <v>26</v>
      </c>
      <c r="G8806" s="53"/>
    </row>
    <row r="8807">
      <c r="A8807" s="49">
        <v>45113.689252303244</v>
      </c>
      <c r="B8807" s="50">
        <v>45113.8142265162</v>
      </c>
      <c r="C8807" s="51">
        <v>1.004</v>
      </c>
      <c r="D8807" s="51">
        <v>72.0</v>
      </c>
      <c r="E8807" s="52" t="s">
        <v>25</v>
      </c>
      <c r="F8807" s="52" t="s">
        <v>26</v>
      </c>
      <c r="G8807" s="53"/>
    </row>
    <row r="8808">
      <c r="A8808" s="49">
        <v>45113.69966931713</v>
      </c>
      <c r="B8808" s="50">
        <v>45113.8246469213</v>
      </c>
      <c r="C8808" s="51">
        <v>1.004</v>
      </c>
      <c r="D8808" s="51">
        <v>72.0</v>
      </c>
      <c r="E8808" s="52" t="s">
        <v>25</v>
      </c>
      <c r="F8808" s="52" t="s">
        <v>26</v>
      </c>
      <c r="G8808" s="53"/>
    </row>
    <row r="8809">
      <c r="A8809" s="49">
        <v>45113.71011034722</v>
      </c>
      <c r="B8809" s="50">
        <v>45113.8350821643</v>
      </c>
      <c r="C8809" s="51">
        <v>1.004</v>
      </c>
      <c r="D8809" s="51">
        <v>72.0</v>
      </c>
      <c r="E8809" s="52" t="s">
        <v>25</v>
      </c>
      <c r="F8809" s="52" t="s">
        <v>26</v>
      </c>
      <c r="G8809" s="53"/>
    </row>
    <row r="8810">
      <c r="A8810" s="49">
        <v>45113.7205415162</v>
      </c>
      <c r="B8810" s="50">
        <v>45113.845515625</v>
      </c>
      <c r="C8810" s="51">
        <v>1.004</v>
      </c>
      <c r="D8810" s="51">
        <v>71.0</v>
      </c>
      <c r="E8810" s="52" t="s">
        <v>25</v>
      </c>
      <c r="F8810" s="52" t="s">
        <v>26</v>
      </c>
      <c r="G8810" s="53"/>
    </row>
    <row r="8811">
      <c r="A8811" s="49">
        <v>45113.7309689699</v>
      </c>
      <c r="B8811" s="50">
        <v>45113.8559362731</v>
      </c>
      <c r="C8811" s="51">
        <v>1.004</v>
      </c>
      <c r="D8811" s="51">
        <v>72.0</v>
      </c>
      <c r="E8811" s="52" t="s">
        <v>25</v>
      </c>
      <c r="F8811" s="52" t="s">
        <v>26</v>
      </c>
      <c r="G8811" s="53"/>
    </row>
    <row r="8812">
      <c r="A8812" s="49">
        <v>45113.74138396991</v>
      </c>
      <c r="B8812" s="50">
        <v>45113.8663568518</v>
      </c>
      <c r="C8812" s="51">
        <v>1.004</v>
      </c>
      <c r="D8812" s="51">
        <v>72.0</v>
      </c>
      <c r="E8812" s="52" t="s">
        <v>25</v>
      </c>
      <c r="F8812" s="52" t="s">
        <v>26</v>
      </c>
      <c r="G8812" s="53"/>
    </row>
    <row r="8813">
      <c r="A8813" s="49">
        <v>45113.75180731481</v>
      </c>
      <c r="B8813" s="50">
        <v>45113.8767782754</v>
      </c>
      <c r="C8813" s="51">
        <v>1.004</v>
      </c>
      <c r="D8813" s="51">
        <v>72.0</v>
      </c>
      <c r="E8813" s="52" t="s">
        <v>25</v>
      </c>
      <c r="F8813" s="52" t="s">
        <v>26</v>
      </c>
      <c r="G8813" s="53"/>
    </row>
    <row r="8814">
      <c r="A8814" s="49">
        <v>45113.76222986111</v>
      </c>
      <c r="B8814" s="50">
        <v>45113.8872003935</v>
      </c>
      <c r="C8814" s="51">
        <v>1.004</v>
      </c>
      <c r="D8814" s="51">
        <v>72.0</v>
      </c>
      <c r="E8814" s="52" t="s">
        <v>25</v>
      </c>
      <c r="F8814" s="52" t="s">
        <v>26</v>
      </c>
      <c r="G8814" s="53"/>
    </row>
    <row r="8815">
      <c r="A8815" s="49">
        <v>45113.77265265046</v>
      </c>
      <c r="B8815" s="50">
        <v>45113.8976210532</v>
      </c>
      <c r="C8815" s="51">
        <v>1.004</v>
      </c>
      <c r="D8815" s="51">
        <v>71.0</v>
      </c>
      <c r="E8815" s="52" t="s">
        <v>25</v>
      </c>
      <c r="F8815" s="52" t="s">
        <v>26</v>
      </c>
      <c r="G8815" s="53"/>
    </row>
    <row r="8816">
      <c r="A8816" s="49">
        <v>45113.783083229166</v>
      </c>
      <c r="B8816" s="50">
        <v>45113.9080551851</v>
      </c>
      <c r="C8816" s="51">
        <v>1.004</v>
      </c>
      <c r="D8816" s="51">
        <v>72.0</v>
      </c>
      <c r="E8816" s="52" t="s">
        <v>25</v>
      </c>
      <c r="F8816" s="52" t="s">
        <v>26</v>
      </c>
      <c r="G8816" s="53"/>
    </row>
    <row r="8817">
      <c r="A8817" s="49">
        <v>45113.79355084491</v>
      </c>
      <c r="B8817" s="50">
        <v>45113.9185242129</v>
      </c>
      <c r="C8817" s="51">
        <v>1.004</v>
      </c>
      <c r="D8817" s="51">
        <v>71.0</v>
      </c>
      <c r="E8817" s="52" t="s">
        <v>25</v>
      </c>
      <c r="F8817" s="52" t="s">
        <v>26</v>
      </c>
      <c r="G8817" s="53"/>
    </row>
    <row r="8818">
      <c r="A8818" s="49">
        <v>45113.803972430556</v>
      </c>
      <c r="B8818" s="50">
        <v>45113.9289462847</v>
      </c>
      <c r="C8818" s="51">
        <v>1.004</v>
      </c>
      <c r="D8818" s="51">
        <v>72.0</v>
      </c>
      <c r="E8818" s="52" t="s">
        <v>25</v>
      </c>
      <c r="F8818" s="52" t="s">
        <v>26</v>
      </c>
      <c r="G8818" s="53"/>
    </row>
    <row r="8819">
      <c r="A8819" s="49">
        <v>45113.814389120365</v>
      </c>
      <c r="B8819" s="50">
        <v>45113.9393664236</v>
      </c>
      <c r="C8819" s="51">
        <v>1.004</v>
      </c>
      <c r="D8819" s="51">
        <v>71.0</v>
      </c>
      <c r="E8819" s="52" t="s">
        <v>25</v>
      </c>
      <c r="F8819" s="52" t="s">
        <v>26</v>
      </c>
      <c r="G8819" s="53"/>
    </row>
    <row r="8820">
      <c r="A8820" s="49">
        <v>45113.82481199074</v>
      </c>
      <c r="B8820" s="50">
        <v>45113.9497882523</v>
      </c>
      <c r="C8820" s="51">
        <v>1.004</v>
      </c>
      <c r="D8820" s="51">
        <v>71.0</v>
      </c>
      <c r="E8820" s="52" t="s">
        <v>25</v>
      </c>
      <c r="F8820" s="52" t="s">
        <v>26</v>
      </c>
      <c r="G8820" s="53"/>
    </row>
    <row r="8821">
      <c r="A8821" s="49">
        <v>45113.83522782408</v>
      </c>
      <c r="B8821" s="50">
        <v>45113.960210706</v>
      </c>
      <c r="C8821" s="51">
        <v>1.004</v>
      </c>
      <c r="D8821" s="51">
        <v>72.0</v>
      </c>
      <c r="E8821" s="52" t="s">
        <v>25</v>
      </c>
      <c r="F8821" s="52" t="s">
        <v>26</v>
      </c>
      <c r="G8821" s="53"/>
    </row>
    <row r="8822">
      <c r="A8822" s="49">
        <v>45113.845663726854</v>
      </c>
      <c r="B8822" s="50">
        <v>45113.9706411574</v>
      </c>
      <c r="C8822" s="51">
        <v>1.004</v>
      </c>
      <c r="D8822" s="51">
        <v>71.0</v>
      </c>
      <c r="E8822" s="52" t="s">
        <v>25</v>
      </c>
      <c r="F8822" s="52" t="s">
        <v>26</v>
      </c>
      <c r="G8822" s="53"/>
    </row>
    <row r="8823">
      <c r="A8823" s="49">
        <v>45113.85608337963</v>
      </c>
      <c r="B8823" s="50">
        <v>45113.9810630092</v>
      </c>
      <c r="C8823" s="51">
        <v>1.004</v>
      </c>
      <c r="D8823" s="51">
        <v>72.0</v>
      </c>
      <c r="E8823" s="52" t="s">
        <v>25</v>
      </c>
      <c r="F8823" s="52" t="s">
        <v>26</v>
      </c>
      <c r="G8823" s="53"/>
    </row>
    <row r="8824">
      <c r="A8824" s="49">
        <v>45113.86651449074</v>
      </c>
      <c r="B8824" s="50">
        <v>45113.9914841551</v>
      </c>
      <c r="C8824" s="51">
        <v>1.004</v>
      </c>
      <c r="D8824" s="51">
        <v>71.0</v>
      </c>
      <c r="E8824" s="52" t="s">
        <v>25</v>
      </c>
      <c r="F8824" s="52" t="s">
        <v>26</v>
      </c>
      <c r="G8824" s="53"/>
    </row>
    <row r="8825">
      <c r="A8825" s="49">
        <v>45113.87692997685</v>
      </c>
      <c r="B8825" s="50">
        <v>45114.001905324</v>
      </c>
      <c r="C8825" s="51">
        <v>1.004</v>
      </c>
      <c r="D8825" s="51">
        <v>71.0</v>
      </c>
      <c r="E8825" s="52" t="s">
        <v>25</v>
      </c>
      <c r="F8825" s="52" t="s">
        <v>26</v>
      </c>
      <c r="G8825" s="53"/>
    </row>
    <row r="8826">
      <c r="A8826" s="49">
        <v>45113.88736364583</v>
      </c>
      <c r="B8826" s="50">
        <v>45114.0123369675</v>
      </c>
      <c r="C8826" s="51">
        <v>1.004</v>
      </c>
      <c r="D8826" s="51">
        <v>71.0</v>
      </c>
      <c r="E8826" s="52" t="s">
        <v>25</v>
      </c>
      <c r="F8826" s="52" t="s">
        <v>26</v>
      </c>
      <c r="G8826" s="53"/>
    </row>
    <row r="8827">
      <c r="A8827" s="49">
        <v>45113.897776666665</v>
      </c>
      <c r="B8827" s="50">
        <v>45114.0227572569</v>
      </c>
      <c r="C8827" s="51">
        <v>1.004</v>
      </c>
      <c r="D8827" s="51">
        <v>72.0</v>
      </c>
      <c r="E8827" s="52" t="s">
        <v>25</v>
      </c>
      <c r="F8827" s="52" t="s">
        <v>26</v>
      </c>
      <c r="G8827" s="53"/>
    </row>
    <row r="8828">
      <c r="A8828" s="49">
        <v>45113.908207870365</v>
      </c>
      <c r="B8828" s="50">
        <v>45114.0331804282</v>
      </c>
      <c r="C8828" s="51">
        <v>1.004</v>
      </c>
      <c r="D8828" s="51">
        <v>72.0</v>
      </c>
      <c r="E8828" s="52" t="s">
        <v>25</v>
      </c>
      <c r="F8828" s="52" t="s">
        <v>26</v>
      </c>
      <c r="G8828" s="53"/>
    </row>
    <row r="8829">
      <c r="A8829" s="49">
        <v>45113.91863677083</v>
      </c>
      <c r="B8829" s="50">
        <v>45114.0436135416</v>
      </c>
      <c r="C8829" s="51">
        <v>1.004</v>
      </c>
      <c r="D8829" s="51">
        <v>72.0</v>
      </c>
      <c r="E8829" s="52" t="s">
        <v>25</v>
      </c>
      <c r="F8829" s="52" t="s">
        <v>26</v>
      </c>
      <c r="G8829" s="53"/>
    </row>
    <row r="8830">
      <c r="A8830" s="49">
        <v>45113.92906144676</v>
      </c>
      <c r="B8830" s="50">
        <v>45114.0540358101</v>
      </c>
      <c r="C8830" s="51">
        <v>1.004</v>
      </c>
      <c r="D8830" s="51">
        <v>72.0</v>
      </c>
      <c r="E8830" s="52" t="s">
        <v>25</v>
      </c>
      <c r="F8830" s="52" t="s">
        <v>26</v>
      </c>
      <c r="G8830" s="53"/>
    </row>
    <row r="8831">
      <c r="A8831" s="49">
        <v>45113.93947486111</v>
      </c>
      <c r="B8831" s="50">
        <v>45114.0644572569</v>
      </c>
      <c r="C8831" s="51">
        <v>1.004</v>
      </c>
      <c r="D8831" s="51">
        <v>72.0</v>
      </c>
      <c r="E8831" s="52" t="s">
        <v>25</v>
      </c>
      <c r="F8831" s="52" t="s">
        <v>26</v>
      </c>
      <c r="G8831" s="53"/>
    </row>
    <row r="8832">
      <c r="A8832" s="49">
        <v>45113.94989738426</v>
      </c>
      <c r="B8832" s="50">
        <v>45114.0748776736</v>
      </c>
      <c r="C8832" s="51">
        <v>1.004</v>
      </c>
      <c r="D8832" s="51">
        <v>72.0</v>
      </c>
      <c r="E8832" s="52" t="s">
        <v>25</v>
      </c>
      <c r="F8832" s="52" t="s">
        <v>26</v>
      </c>
      <c r="G8832" s="53"/>
    </row>
    <row r="8833">
      <c r="A8833" s="49">
        <v>45113.96032135417</v>
      </c>
      <c r="B8833" s="50">
        <v>45114.0852980555</v>
      </c>
      <c r="C8833" s="51">
        <v>1.004</v>
      </c>
      <c r="D8833" s="51">
        <v>72.0</v>
      </c>
      <c r="E8833" s="52" t="s">
        <v>25</v>
      </c>
      <c r="F8833" s="52" t="s">
        <v>26</v>
      </c>
      <c r="G8833" s="53"/>
    </row>
    <row r="8834">
      <c r="A8834" s="49">
        <v>45113.970743819445</v>
      </c>
      <c r="B8834" s="50">
        <v>45114.0957194675</v>
      </c>
      <c r="C8834" s="51">
        <v>1.004</v>
      </c>
      <c r="D8834" s="51">
        <v>72.0</v>
      </c>
      <c r="E8834" s="52" t="s">
        <v>25</v>
      </c>
      <c r="F8834" s="52" t="s">
        <v>26</v>
      </c>
      <c r="G8834" s="53"/>
    </row>
    <row r="8835">
      <c r="A8835" s="49">
        <v>45113.98116171296</v>
      </c>
      <c r="B8835" s="50">
        <v>45114.1061395254</v>
      </c>
      <c r="C8835" s="51">
        <v>1.004</v>
      </c>
      <c r="D8835" s="51">
        <v>72.0</v>
      </c>
      <c r="E8835" s="52" t="s">
        <v>25</v>
      </c>
      <c r="F8835" s="52" t="s">
        <v>26</v>
      </c>
      <c r="G8835" s="53"/>
    </row>
    <row r="8836">
      <c r="A8836" s="49">
        <v>45113.991588703706</v>
      </c>
      <c r="B8836" s="50">
        <v>45114.1165598611</v>
      </c>
      <c r="C8836" s="51">
        <v>1.004</v>
      </c>
      <c r="D8836" s="51">
        <v>71.0</v>
      </c>
      <c r="E8836" s="52" t="s">
        <v>25</v>
      </c>
      <c r="F8836" s="52" t="s">
        <v>26</v>
      </c>
      <c r="G8836" s="53"/>
    </row>
    <row r="8837">
      <c r="A8837" s="49">
        <v>45114.001998368054</v>
      </c>
      <c r="B8837" s="50">
        <v>45114.12698103</v>
      </c>
      <c r="C8837" s="51">
        <v>1.004</v>
      </c>
      <c r="D8837" s="51">
        <v>72.0</v>
      </c>
      <c r="E8837" s="52" t="s">
        <v>25</v>
      </c>
      <c r="F8837" s="52" t="s">
        <v>26</v>
      </c>
      <c r="G8837" s="53"/>
    </row>
    <row r="8838">
      <c r="A8838" s="49">
        <v>45114.012438668986</v>
      </c>
      <c r="B8838" s="50">
        <v>45114.1374125463</v>
      </c>
      <c r="C8838" s="51">
        <v>1.004</v>
      </c>
      <c r="D8838" s="51">
        <v>72.0</v>
      </c>
      <c r="E8838" s="52" t="s">
        <v>25</v>
      </c>
      <c r="F8838" s="52" t="s">
        <v>26</v>
      </c>
      <c r="G8838" s="53"/>
    </row>
    <row r="8839">
      <c r="A8839" s="49">
        <v>45114.022868368054</v>
      </c>
      <c r="B8839" s="50">
        <v>45114.1478451041</v>
      </c>
      <c r="C8839" s="51">
        <v>1.004</v>
      </c>
      <c r="D8839" s="51">
        <v>72.0</v>
      </c>
      <c r="E8839" s="52" t="s">
        <v>25</v>
      </c>
      <c r="F8839" s="52" t="s">
        <v>26</v>
      </c>
      <c r="G8839" s="53"/>
    </row>
    <row r="8840">
      <c r="A8840" s="49">
        <v>45114.03329219908</v>
      </c>
      <c r="B8840" s="50">
        <v>45114.1582637962</v>
      </c>
      <c r="C8840" s="51">
        <v>1.004</v>
      </c>
      <c r="D8840" s="51">
        <v>71.0</v>
      </c>
      <c r="E8840" s="52" t="s">
        <v>25</v>
      </c>
      <c r="F8840" s="52" t="s">
        <v>26</v>
      </c>
      <c r="G8840" s="53"/>
    </row>
    <row r="8841">
      <c r="A8841" s="49">
        <v>45114.04370922454</v>
      </c>
      <c r="B8841" s="50">
        <v>45114.1686837384</v>
      </c>
      <c r="C8841" s="51">
        <v>1.004</v>
      </c>
      <c r="D8841" s="51">
        <v>72.0</v>
      </c>
      <c r="E8841" s="52" t="s">
        <v>25</v>
      </c>
      <c r="F8841" s="52" t="s">
        <v>26</v>
      </c>
      <c r="G8841" s="53"/>
    </row>
    <row r="8842">
      <c r="A8842" s="49">
        <v>45114.05414763889</v>
      </c>
      <c r="B8842" s="50">
        <v>45114.179127743</v>
      </c>
      <c r="C8842" s="51">
        <v>1.004</v>
      </c>
      <c r="D8842" s="51">
        <v>72.0</v>
      </c>
      <c r="E8842" s="52" t="s">
        <v>25</v>
      </c>
      <c r="F8842" s="52" t="s">
        <v>26</v>
      </c>
      <c r="G8842" s="53"/>
    </row>
    <row r="8843">
      <c r="A8843" s="49">
        <v>45114.06457555556</v>
      </c>
      <c r="B8843" s="50">
        <v>45114.1895475925</v>
      </c>
      <c r="C8843" s="51">
        <v>1.004</v>
      </c>
      <c r="D8843" s="51">
        <v>72.0</v>
      </c>
      <c r="E8843" s="52" t="s">
        <v>25</v>
      </c>
      <c r="F8843" s="52" t="s">
        <v>26</v>
      </c>
      <c r="G8843" s="53"/>
    </row>
    <row r="8844">
      <c r="A8844" s="49">
        <v>45114.07499627315</v>
      </c>
      <c r="B8844" s="50">
        <v>45114.1999666666</v>
      </c>
      <c r="C8844" s="51">
        <v>1.004</v>
      </c>
      <c r="D8844" s="51">
        <v>72.0</v>
      </c>
      <c r="E8844" s="52" t="s">
        <v>25</v>
      </c>
      <c r="F8844" s="52" t="s">
        <v>26</v>
      </c>
      <c r="G8844" s="53"/>
    </row>
    <row r="8845">
      <c r="A8845" s="49">
        <v>45114.085425509256</v>
      </c>
      <c r="B8845" s="50">
        <v>45114.2103989583</v>
      </c>
      <c r="C8845" s="51">
        <v>1.004</v>
      </c>
      <c r="D8845" s="51">
        <v>72.0</v>
      </c>
      <c r="E8845" s="52" t="s">
        <v>25</v>
      </c>
      <c r="F8845" s="52" t="s">
        <v>26</v>
      </c>
      <c r="G8845" s="53"/>
    </row>
    <row r="8846">
      <c r="A8846" s="49">
        <v>45114.095869502315</v>
      </c>
      <c r="B8846" s="50">
        <v>45114.2208318518</v>
      </c>
      <c r="C8846" s="51">
        <v>1.004</v>
      </c>
      <c r="D8846" s="51">
        <v>72.0</v>
      </c>
      <c r="E8846" s="52" t="s">
        <v>25</v>
      </c>
      <c r="F8846" s="52" t="s">
        <v>26</v>
      </c>
      <c r="G8846" s="53"/>
    </row>
    <row r="8847">
      <c r="A8847" s="49">
        <v>45114.106278101855</v>
      </c>
      <c r="B8847" s="50">
        <v>45114.2312537731</v>
      </c>
      <c r="C8847" s="51">
        <v>1.003</v>
      </c>
      <c r="D8847" s="51">
        <v>72.0</v>
      </c>
      <c r="E8847" s="52" t="s">
        <v>25</v>
      </c>
      <c r="F8847" s="52" t="s">
        <v>26</v>
      </c>
      <c r="G8847" s="53"/>
    </row>
    <row r="8848">
      <c r="A8848" s="49">
        <v>45114.11671180556</v>
      </c>
      <c r="B8848" s="50">
        <v>45114.2416857986</v>
      </c>
      <c r="C8848" s="51">
        <v>1.004</v>
      </c>
      <c r="D8848" s="51">
        <v>72.0</v>
      </c>
      <c r="E8848" s="52" t="s">
        <v>25</v>
      </c>
      <c r="F8848" s="52" t="s">
        <v>26</v>
      </c>
      <c r="G8848" s="53"/>
    </row>
    <row r="8849">
      <c r="A8849" s="49">
        <v>45114.12713025463</v>
      </c>
      <c r="B8849" s="50">
        <v>45114.2521060069</v>
      </c>
      <c r="C8849" s="51">
        <v>1.004</v>
      </c>
      <c r="D8849" s="51">
        <v>72.0</v>
      </c>
      <c r="E8849" s="52" t="s">
        <v>25</v>
      </c>
      <c r="F8849" s="52" t="s">
        <v>26</v>
      </c>
      <c r="G8849" s="53"/>
    </row>
    <row r="8850">
      <c r="A8850" s="49">
        <v>45114.137566192134</v>
      </c>
      <c r="B8850" s="50">
        <v>45114.2625380208</v>
      </c>
      <c r="C8850" s="51">
        <v>1.004</v>
      </c>
      <c r="D8850" s="51">
        <v>72.0</v>
      </c>
      <c r="E8850" s="52" t="s">
        <v>25</v>
      </c>
      <c r="F8850" s="52" t="s">
        <v>26</v>
      </c>
      <c r="G8850" s="53"/>
    </row>
    <row r="8851">
      <c r="A8851" s="49">
        <v>45114.14798925926</v>
      </c>
      <c r="B8851" s="50">
        <v>45114.272970706</v>
      </c>
      <c r="C8851" s="51">
        <v>1.004</v>
      </c>
      <c r="D8851" s="51">
        <v>72.0</v>
      </c>
      <c r="E8851" s="52" t="s">
        <v>25</v>
      </c>
      <c r="F8851" s="52" t="s">
        <v>26</v>
      </c>
      <c r="G8851" s="53"/>
    </row>
    <row r="8852">
      <c r="A8852" s="49">
        <v>45114.15842216436</v>
      </c>
      <c r="B8852" s="50">
        <v>45114.2833910879</v>
      </c>
      <c r="C8852" s="51">
        <v>1.004</v>
      </c>
      <c r="D8852" s="51">
        <v>72.0</v>
      </c>
      <c r="E8852" s="52" t="s">
        <v>25</v>
      </c>
      <c r="F8852" s="52" t="s">
        <v>26</v>
      </c>
      <c r="G8852" s="53"/>
    </row>
    <row r="8853">
      <c r="A8853" s="49">
        <v>45114.16884056713</v>
      </c>
      <c r="B8853" s="50">
        <v>45114.2938124074</v>
      </c>
      <c r="C8853" s="51">
        <v>1.004</v>
      </c>
      <c r="D8853" s="51">
        <v>72.0</v>
      </c>
      <c r="E8853" s="52" t="s">
        <v>25</v>
      </c>
      <c r="F8853" s="52" t="s">
        <v>26</v>
      </c>
      <c r="G8853" s="53"/>
    </row>
    <row r="8854">
      <c r="A8854" s="49">
        <v>45114.17927674769</v>
      </c>
      <c r="B8854" s="50">
        <v>45114.3042550694</v>
      </c>
      <c r="C8854" s="51">
        <v>1.004</v>
      </c>
      <c r="D8854" s="51">
        <v>72.0</v>
      </c>
      <c r="E8854" s="52" t="s">
        <v>25</v>
      </c>
      <c r="F8854" s="52" t="s">
        <v>26</v>
      </c>
      <c r="G8854" s="53"/>
    </row>
    <row r="8855">
      <c r="A8855" s="49">
        <v>45114.18969804398</v>
      </c>
      <c r="B8855" s="50">
        <v>45114.3146771527</v>
      </c>
      <c r="C8855" s="51">
        <v>1.004</v>
      </c>
      <c r="D8855" s="51">
        <v>72.0</v>
      </c>
      <c r="E8855" s="52" t="s">
        <v>25</v>
      </c>
      <c r="F8855" s="52" t="s">
        <v>26</v>
      </c>
      <c r="G8855" s="53"/>
    </row>
    <row r="8856">
      <c r="A8856" s="49">
        <v>45114.20012837963</v>
      </c>
      <c r="B8856" s="50">
        <v>45114.3251002546</v>
      </c>
      <c r="C8856" s="51">
        <v>1.004</v>
      </c>
      <c r="D8856" s="51">
        <v>72.0</v>
      </c>
      <c r="E8856" s="52" t="s">
        <v>25</v>
      </c>
      <c r="F8856" s="52" t="s">
        <v>26</v>
      </c>
      <c r="G8856" s="53"/>
    </row>
    <row r="8857">
      <c r="A8857" s="49">
        <v>45114.21054724537</v>
      </c>
      <c r="B8857" s="50">
        <v>45114.3355208796</v>
      </c>
      <c r="C8857" s="51">
        <v>1.004</v>
      </c>
      <c r="D8857" s="51">
        <v>72.0</v>
      </c>
      <c r="E8857" s="52" t="s">
        <v>25</v>
      </c>
      <c r="F8857" s="52" t="s">
        <v>26</v>
      </c>
      <c r="G8857" s="53"/>
    </row>
    <row r="8858">
      <c r="A8858" s="49">
        <v>45114.220964699074</v>
      </c>
      <c r="B8858" s="50">
        <v>45114.3459418402</v>
      </c>
      <c r="C8858" s="51">
        <v>1.004</v>
      </c>
      <c r="D8858" s="51">
        <v>72.0</v>
      </c>
      <c r="E8858" s="52" t="s">
        <v>25</v>
      </c>
      <c r="F8858" s="52" t="s">
        <v>26</v>
      </c>
      <c r="G8858" s="53"/>
    </row>
    <row r="8859">
      <c r="A8859" s="49">
        <v>45114.231382303245</v>
      </c>
      <c r="B8859" s="50">
        <v>45114.356363912</v>
      </c>
      <c r="C8859" s="51">
        <v>1.004</v>
      </c>
      <c r="D8859" s="51">
        <v>72.0</v>
      </c>
      <c r="E8859" s="52" t="s">
        <v>25</v>
      </c>
      <c r="F8859" s="52" t="s">
        <v>26</v>
      </c>
      <c r="G8859" s="53"/>
    </row>
    <row r="8860">
      <c r="A8860" s="49">
        <v>45114.24181383102</v>
      </c>
      <c r="B8860" s="50">
        <v>45114.3667877199</v>
      </c>
      <c r="C8860" s="51">
        <v>1.004</v>
      </c>
      <c r="D8860" s="51">
        <v>72.0</v>
      </c>
      <c r="E8860" s="52" t="s">
        <v>25</v>
      </c>
      <c r="F8860" s="52" t="s">
        <v>26</v>
      </c>
      <c r="G8860" s="53"/>
    </row>
    <row r="8861">
      <c r="A8861" s="49">
        <v>45114.25223075232</v>
      </c>
      <c r="B8861" s="50">
        <v>45114.3772091319</v>
      </c>
      <c r="C8861" s="51">
        <v>1.004</v>
      </c>
      <c r="D8861" s="51">
        <v>72.0</v>
      </c>
      <c r="E8861" s="52" t="s">
        <v>25</v>
      </c>
      <c r="F8861" s="52" t="s">
        <v>26</v>
      </c>
      <c r="G8861" s="53"/>
    </row>
    <row r="8862">
      <c r="A8862" s="49">
        <v>45114.26265709491</v>
      </c>
      <c r="B8862" s="50">
        <v>45114.387630324</v>
      </c>
      <c r="C8862" s="51">
        <v>1.004</v>
      </c>
      <c r="D8862" s="51">
        <v>72.0</v>
      </c>
      <c r="E8862" s="52" t="s">
        <v>25</v>
      </c>
      <c r="F8862" s="52" t="s">
        <v>26</v>
      </c>
      <c r="G8862" s="53"/>
    </row>
    <row r="8863">
      <c r="A8863" s="49">
        <v>45114.2730759375</v>
      </c>
      <c r="B8863" s="50">
        <v>45114.398050405</v>
      </c>
      <c r="C8863" s="51">
        <v>1.004</v>
      </c>
      <c r="D8863" s="51">
        <v>72.0</v>
      </c>
      <c r="E8863" s="52" t="s">
        <v>25</v>
      </c>
      <c r="F8863" s="52" t="s">
        <v>26</v>
      </c>
      <c r="G8863" s="53"/>
    </row>
    <row r="8864">
      <c r="A8864" s="49">
        <v>45114.283499895835</v>
      </c>
      <c r="B8864" s="50">
        <v>45114.4084707291</v>
      </c>
      <c r="C8864" s="51">
        <v>1.004</v>
      </c>
      <c r="D8864" s="51">
        <v>72.0</v>
      </c>
      <c r="E8864" s="52" t="s">
        <v>25</v>
      </c>
      <c r="F8864" s="52" t="s">
        <v>26</v>
      </c>
      <c r="G8864" s="53"/>
    </row>
    <row r="8865">
      <c r="A8865" s="49">
        <v>45114.29392582176</v>
      </c>
      <c r="B8865" s="50">
        <v>45114.4189046759</v>
      </c>
      <c r="C8865" s="51">
        <v>1.004</v>
      </c>
      <c r="D8865" s="51">
        <v>72.0</v>
      </c>
      <c r="E8865" s="52" t="s">
        <v>25</v>
      </c>
      <c r="F8865" s="52" t="s">
        <v>26</v>
      </c>
      <c r="G8865" s="53"/>
    </row>
    <row r="8866">
      <c r="A8866" s="49">
        <v>45114.30436252315</v>
      </c>
      <c r="B8866" s="50">
        <v>45114.42933875</v>
      </c>
      <c r="C8866" s="51">
        <v>1.004</v>
      </c>
      <c r="D8866" s="51">
        <v>72.0</v>
      </c>
      <c r="E8866" s="52" t="s">
        <v>25</v>
      </c>
      <c r="F8866" s="52" t="s">
        <v>26</v>
      </c>
      <c r="G8866" s="53"/>
    </row>
    <row r="8867">
      <c r="A8867" s="49">
        <v>45114.31478545139</v>
      </c>
      <c r="B8867" s="50">
        <v>45114.4397708912</v>
      </c>
      <c r="C8867" s="51">
        <v>1.004</v>
      </c>
      <c r="D8867" s="51">
        <v>72.0</v>
      </c>
      <c r="E8867" s="52" t="s">
        <v>25</v>
      </c>
      <c r="F8867" s="52" t="s">
        <v>26</v>
      </c>
      <c r="G8867" s="53"/>
    </row>
    <row r="8868">
      <c r="A8868" s="49">
        <v>45114.325218784725</v>
      </c>
      <c r="B8868" s="50">
        <v>45114.4501928472</v>
      </c>
      <c r="C8868" s="51">
        <v>1.004</v>
      </c>
      <c r="D8868" s="51">
        <v>72.0</v>
      </c>
      <c r="E8868" s="52" t="s">
        <v>25</v>
      </c>
      <c r="F8868" s="52" t="s">
        <v>26</v>
      </c>
      <c r="G8868" s="53"/>
    </row>
    <row r="8869">
      <c r="A8869" s="49">
        <v>45114.33566091435</v>
      </c>
      <c r="B8869" s="50">
        <v>45114.460635324</v>
      </c>
      <c r="C8869" s="51">
        <v>1.004</v>
      </c>
      <c r="D8869" s="51">
        <v>72.0</v>
      </c>
      <c r="E8869" s="52" t="s">
        <v>25</v>
      </c>
      <c r="F8869" s="52" t="s">
        <v>26</v>
      </c>
      <c r="G8869" s="53"/>
    </row>
    <row r="8870">
      <c r="A8870" s="49">
        <v>45114.346092314816</v>
      </c>
      <c r="B8870" s="50">
        <v>45114.4710696296</v>
      </c>
      <c r="C8870" s="51">
        <v>1.004</v>
      </c>
      <c r="D8870" s="51">
        <v>72.0</v>
      </c>
      <c r="E8870" s="52" t="s">
        <v>25</v>
      </c>
      <c r="F8870" s="52" t="s">
        <v>26</v>
      </c>
      <c r="G8870" s="53"/>
    </row>
    <row r="8871">
      <c r="A8871" s="49">
        <v>45114.35651003472</v>
      </c>
      <c r="B8871" s="50">
        <v>45114.4814911226</v>
      </c>
      <c r="C8871" s="51">
        <v>1.004</v>
      </c>
      <c r="D8871" s="51">
        <v>72.0</v>
      </c>
      <c r="E8871" s="52" t="s">
        <v>25</v>
      </c>
      <c r="F8871" s="52" t="s">
        <v>26</v>
      </c>
      <c r="G8871" s="53"/>
    </row>
    <row r="8872">
      <c r="A8872" s="49">
        <v>45114.36693508102</v>
      </c>
      <c r="B8872" s="50">
        <v>45114.4919120949</v>
      </c>
      <c r="C8872" s="51">
        <v>1.004</v>
      </c>
      <c r="D8872" s="51">
        <v>72.0</v>
      </c>
      <c r="E8872" s="52" t="s">
        <v>25</v>
      </c>
      <c r="F8872" s="52" t="s">
        <v>26</v>
      </c>
      <c r="G8872" s="53"/>
    </row>
    <row r="8873">
      <c r="A8873" s="49">
        <v>45114.377379247686</v>
      </c>
      <c r="B8873" s="50">
        <v>45114.5023584722</v>
      </c>
      <c r="C8873" s="51">
        <v>1.004</v>
      </c>
      <c r="D8873" s="51">
        <v>72.0</v>
      </c>
      <c r="E8873" s="52" t="s">
        <v>25</v>
      </c>
      <c r="F8873" s="52" t="s">
        <v>26</v>
      </c>
      <c r="G8873" s="53"/>
    </row>
    <row r="8874">
      <c r="A8874" s="49">
        <v>45114.38781704861</v>
      </c>
      <c r="B8874" s="50">
        <v>45114.5127906828</v>
      </c>
      <c r="C8874" s="51">
        <v>1.004</v>
      </c>
      <c r="D8874" s="51">
        <v>72.0</v>
      </c>
      <c r="E8874" s="52" t="s">
        <v>25</v>
      </c>
      <c r="F8874" s="52" t="s">
        <v>26</v>
      </c>
      <c r="G8874" s="53"/>
    </row>
    <row r="8875">
      <c r="A8875" s="49">
        <v>45114.398234548615</v>
      </c>
      <c r="B8875" s="50">
        <v>45114.5232116435</v>
      </c>
      <c r="C8875" s="51">
        <v>1.004</v>
      </c>
      <c r="D8875" s="51">
        <v>72.0</v>
      </c>
      <c r="E8875" s="52" t="s">
        <v>25</v>
      </c>
      <c r="F8875" s="52" t="s">
        <v>26</v>
      </c>
      <c r="G8875" s="53"/>
    </row>
    <row r="8876">
      <c r="A8876" s="49">
        <v>45114.40866429398</v>
      </c>
      <c r="B8876" s="50">
        <v>45114.533644618</v>
      </c>
      <c r="C8876" s="51">
        <v>1.004</v>
      </c>
      <c r="D8876" s="51">
        <v>72.0</v>
      </c>
      <c r="E8876" s="52" t="s">
        <v>25</v>
      </c>
      <c r="F8876" s="52" t="s">
        <v>26</v>
      </c>
      <c r="G8876" s="53"/>
    </row>
    <row r="8877">
      <c r="A8877" s="49">
        <v>45114.41909458333</v>
      </c>
      <c r="B8877" s="50">
        <v>45114.5440654282</v>
      </c>
      <c r="C8877" s="51">
        <v>1.004</v>
      </c>
      <c r="D8877" s="51">
        <v>72.0</v>
      </c>
      <c r="E8877" s="52" t="s">
        <v>25</v>
      </c>
      <c r="F8877" s="52" t="s">
        <v>26</v>
      </c>
      <c r="G8877" s="53"/>
    </row>
    <row r="8878">
      <c r="A8878" s="49">
        <v>45114.429510671296</v>
      </c>
      <c r="B8878" s="50">
        <v>45114.5544866551</v>
      </c>
      <c r="C8878" s="51">
        <v>1.004</v>
      </c>
      <c r="D8878" s="51">
        <v>72.0</v>
      </c>
      <c r="E8878" s="52" t="s">
        <v>25</v>
      </c>
      <c r="F8878" s="52" t="s">
        <v>26</v>
      </c>
      <c r="G8878" s="53"/>
    </row>
    <row r="8879">
      <c r="A8879" s="49">
        <v>45114.439933483794</v>
      </c>
      <c r="B8879" s="50">
        <v>45114.5649084838</v>
      </c>
      <c r="C8879" s="51">
        <v>1.004</v>
      </c>
      <c r="D8879" s="51">
        <v>72.0</v>
      </c>
      <c r="E8879" s="52" t="s">
        <v>25</v>
      </c>
      <c r="F8879" s="52" t="s">
        <v>26</v>
      </c>
      <c r="G8879" s="53"/>
    </row>
    <row r="8880">
      <c r="A8880" s="49">
        <v>45114.450352789354</v>
      </c>
      <c r="B8880" s="50">
        <v>45114.5753293518</v>
      </c>
      <c r="C8880" s="51">
        <v>1.004</v>
      </c>
      <c r="D8880" s="51">
        <v>72.0</v>
      </c>
      <c r="E8880" s="52" t="s">
        <v>25</v>
      </c>
      <c r="F8880" s="52" t="s">
        <v>26</v>
      </c>
      <c r="G8880" s="53"/>
    </row>
    <row r="8881">
      <c r="A8881" s="49">
        <v>45114.460768495366</v>
      </c>
      <c r="B8881" s="50">
        <v>45114.5857483796</v>
      </c>
      <c r="C8881" s="51">
        <v>1.004</v>
      </c>
      <c r="D8881" s="51">
        <v>72.0</v>
      </c>
      <c r="E8881" s="52" t="s">
        <v>25</v>
      </c>
      <c r="F8881" s="52" t="s">
        <v>26</v>
      </c>
      <c r="G8881" s="53"/>
    </row>
    <row r="8882">
      <c r="A8882" s="49">
        <v>45114.47119137731</v>
      </c>
      <c r="B8882" s="50">
        <v>45114.5961694328</v>
      </c>
      <c r="C8882" s="51">
        <v>1.004</v>
      </c>
      <c r="D8882" s="51">
        <v>72.0</v>
      </c>
      <c r="E8882" s="52" t="s">
        <v>25</v>
      </c>
      <c r="F8882" s="52" t="s">
        <v>26</v>
      </c>
      <c r="G8882" s="53"/>
    </row>
    <row r="8883">
      <c r="A8883" s="49">
        <v>45114.48162553241</v>
      </c>
      <c r="B8883" s="50">
        <v>45114.6066008796</v>
      </c>
      <c r="C8883" s="51">
        <v>1.004</v>
      </c>
      <c r="D8883" s="51">
        <v>72.0</v>
      </c>
      <c r="E8883" s="52" t="s">
        <v>25</v>
      </c>
      <c r="F8883" s="52" t="s">
        <v>26</v>
      </c>
      <c r="G8883" s="53"/>
    </row>
    <row r="8884">
      <c r="A8884" s="49">
        <v>45114.49204354167</v>
      </c>
      <c r="B8884" s="50">
        <v>45114.61702375</v>
      </c>
      <c r="C8884" s="51">
        <v>1.004</v>
      </c>
      <c r="D8884" s="51">
        <v>72.0</v>
      </c>
      <c r="E8884" s="52" t="s">
        <v>25</v>
      </c>
      <c r="F8884" s="52" t="s">
        <v>26</v>
      </c>
      <c r="G8884" s="53"/>
    </row>
    <row r="8885">
      <c r="A8885" s="49">
        <v>45114.50247259259</v>
      </c>
      <c r="B8885" s="50">
        <v>45114.6274454166</v>
      </c>
      <c r="C8885" s="51">
        <v>1.004</v>
      </c>
      <c r="D8885" s="51">
        <v>72.0</v>
      </c>
      <c r="E8885" s="52" t="s">
        <v>25</v>
      </c>
      <c r="F8885" s="52" t="s">
        <v>26</v>
      </c>
      <c r="G8885" s="53"/>
    </row>
    <row r="8886">
      <c r="A8886" s="49">
        <v>45114.512887627316</v>
      </c>
      <c r="B8886" s="50">
        <v>45114.637865868</v>
      </c>
      <c r="C8886" s="51">
        <v>1.004</v>
      </c>
      <c r="D8886" s="51">
        <v>72.0</v>
      </c>
      <c r="E8886" s="52" t="s">
        <v>25</v>
      </c>
      <c r="F8886" s="52" t="s">
        <v>26</v>
      </c>
      <c r="G8886" s="53"/>
    </row>
    <row r="8887">
      <c r="A8887" s="49">
        <v>45114.52330518518</v>
      </c>
      <c r="B8887" s="50">
        <v>45114.6482875463</v>
      </c>
      <c r="C8887" s="51">
        <v>1.004</v>
      </c>
      <c r="D8887" s="51">
        <v>72.0</v>
      </c>
      <c r="E8887" s="52" t="s">
        <v>25</v>
      </c>
      <c r="F8887" s="52" t="s">
        <v>26</v>
      </c>
      <c r="G8887" s="53"/>
    </row>
    <row r="8888">
      <c r="A8888" s="49">
        <v>45114.5337446412</v>
      </c>
      <c r="B8888" s="50">
        <v>45114.6587195601</v>
      </c>
      <c r="C8888" s="51">
        <v>1.004</v>
      </c>
      <c r="D8888" s="51">
        <v>72.0</v>
      </c>
      <c r="E8888" s="52" t="s">
        <v>25</v>
      </c>
      <c r="F8888" s="52" t="s">
        <v>26</v>
      </c>
      <c r="G8888" s="53"/>
    </row>
    <row r="8889">
      <c r="A8889" s="49">
        <v>45114.54416655093</v>
      </c>
      <c r="B8889" s="50">
        <v>45114.6691429861</v>
      </c>
      <c r="C8889" s="51">
        <v>1.004</v>
      </c>
      <c r="D8889" s="51">
        <v>72.0</v>
      </c>
      <c r="E8889" s="52" t="s">
        <v>25</v>
      </c>
      <c r="F8889" s="52" t="s">
        <v>26</v>
      </c>
      <c r="G8889" s="53"/>
    </row>
    <row r="8890">
      <c r="A8890" s="49">
        <v>45114.55458108796</v>
      </c>
      <c r="B8890" s="50">
        <v>45114.6795628935</v>
      </c>
      <c r="C8890" s="51">
        <v>1.004</v>
      </c>
      <c r="D8890" s="51">
        <v>72.0</v>
      </c>
      <c r="E8890" s="52" t="s">
        <v>25</v>
      </c>
      <c r="F8890" s="52" t="s">
        <v>26</v>
      </c>
      <c r="G8890" s="53"/>
    </row>
    <row r="8891">
      <c r="A8891" s="49">
        <v>45114.5650166088</v>
      </c>
      <c r="B8891" s="50">
        <v>45114.6899953819</v>
      </c>
      <c r="C8891" s="51">
        <v>1.004</v>
      </c>
      <c r="D8891" s="51">
        <v>72.0</v>
      </c>
      <c r="E8891" s="52" t="s">
        <v>25</v>
      </c>
      <c r="F8891" s="52" t="s">
        <v>26</v>
      </c>
      <c r="G8891" s="53"/>
    </row>
    <row r="8892">
      <c r="A8892" s="49">
        <v>45114.57547574074</v>
      </c>
      <c r="B8892" s="50">
        <v>45114.7004523611</v>
      </c>
      <c r="C8892" s="51">
        <v>1.004</v>
      </c>
      <c r="D8892" s="51">
        <v>71.0</v>
      </c>
      <c r="E8892" s="52" t="s">
        <v>25</v>
      </c>
      <c r="F8892" s="52" t="s">
        <v>26</v>
      </c>
      <c r="G8892" s="53"/>
    </row>
    <row r="8893">
      <c r="A8893" s="49">
        <v>45114.58589239583</v>
      </c>
      <c r="B8893" s="50">
        <v>45114.7108739351</v>
      </c>
      <c r="C8893" s="51">
        <v>1.004</v>
      </c>
      <c r="D8893" s="51">
        <v>72.0</v>
      </c>
      <c r="E8893" s="52" t="s">
        <v>25</v>
      </c>
      <c r="F8893" s="52" t="s">
        <v>26</v>
      </c>
      <c r="G8893" s="53"/>
    </row>
    <row r="8894">
      <c r="A8894" s="49">
        <v>45114.59632114583</v>
      </c>
      <c r="B8894" s="50">
        <v>45114.7212951736</v>
      </c>
      <c r="C8894" s="51">
        <v>1.004</v>
      </c>
      <c r="D8894" s="51">
        <v>71.0</v>
      </c>
      <c r="E8894" s="52" t="s">
        <v>25</v>
      </c>
      <c r="F8894" s="52" t="s">
        <v>26</v>
      </c>
      <c r="G8894" s="53"/>
    </row>
    <row r="8895">
      <c r="A8895" s="49">
        <v>45114.60675236111</v>
      </c>
      <c r="B8895" s="50">
        <v>45114.7317276388</v>
      </c>
      <c r="C8895" s="51">
        <v>1.004</v>
      </c>
      <c r="D8895" s="51">
        <v>71.0</v>
      </c>
      <c r="E8895" s="52" t="s">
        <v>25</v>
      </c>
      <c r="F8895" s="52" t="s">
        <v>26</v>
      </c>
      <c r="G8895" s="53"/>
    </row>
    <row r="8896">
      <c r="A8896" s="49">
        <v>45114.61717128472</v>
      </c>
      <c r="B8896" s="50">
        <v>45114.7421482175</v>
      </c>
      <c r="C8896" s="51">
        <v>1.004</v>
      </c>
      <c r="D8896" s="51">
        <v>72.0</v>
      </c>
      <c r="E8896" s="52" t="s">
        <v>25</v>
      </c>
      <c r="F8896" s="52" t="s">
        <v>26</v>
      </c>
      <c r="G8896" s="53"/>
    </row>
    <row r="8897">
      <c r="A8897" s="49">
        <v>45114.6276280787</v>
      </c>
      <c r="B8897" s="50">
        <v>45114.7526035416</v>
      </c>
      <c r="C8897" s="51">
        <v>1.004</v>
      </c>
      <c r="D8897" s="51">
        <v>72.0</v>
      </c>
      <c r="E8897" s="52" t="s">
        <v>25</v>
      </c>
      <c r="F8897" s="52" t="s">
        <v>26</v>
      </c>
      <c r="G8897" s="53"/>
    </row>
    <row r="8898">
      <c r="A8898" s="49">
        <v>45114.638043865736</v>
      </c>
      <c r="B8898" s="50">
        <v>45114.7630237731</v>
      </c>
      <c r="C8898" s="51">
        <v>1.004</v>
      </c>
      <c r="D8898" s="51">
        <v>72.0</v>
      </c>
      <c r="E8898" s="52" t="s">
        <v>25</v>
      </c>
      <c r="F8898" s="52" t="s">
        <v>26</v>
      </c>
      <c r="G8898" s="53"/>
    </row>
    <row r="8899">
      <c r="A8899" s="49">
        <v>45114.64846884259</v>
      </c>
      <c r="B8899" s="50">
        <v>45114.7734447338</v>
      </c>
      <c r="C8899" s="51">
        <v>1.004</v>
      </c>
      <c r="D8899" s="51">
        <v>72.0</v>
      </c>
      <c r="E8899" s="52" t="s">
        <v>25</v>
      </c>
      <c r="F8899" s="52" t="s">
        <v>26</v>
      </c>
      <c r="G8899" s="53"/>
    </row>
    <row r="8900">
      <c r="A8900" s="49">
        <v>45114.658894039356</v>
      </c>
      <c r="B8900" s="50">
        <v>45114.7838666088</v>
      </c>
      <c r="C8900" s="51">
        <v>1.004</v>
      </c>
      <c r="D8900" s="51">
        <v>72.0</v>
      </c>
      <c r="E8900" s="52" t="s">
        <v>25</v>
      </c>
      <c r="F8900" s="52" t="s">
        <v>26</v>
      </c>
      <c r="G8900" s="53"/>
    </row>
    <row r="8901">
      <c r="A8901" s="49">
        <v>45114.66930579861</v>
      </c>
      <c r="B8901" s="50">
        <v>45114.7942883564</v>
      </c>
      <c r="C8901" s="51">
        <v>1.004</v>
      </c>
      <c r="D8901" s="51">
        <v>71.0</v>
      </c>
      <c r="E8901" s="52" t="s">
        <v>25</v>
      </c>
      <c r="F8901" s="52" t="s">
        <v>26</v>
      </c>
      <c r="G8901" s="53"/>
    </row>
    <row r="8902">
      <c r="A8902" s="49">
        <v>45114.679746875</v>
      </c>
      <c r="B8902" s="50">
        <v>45114.8047215625</v>
      </c>
      <c r="C8902" s="51">
        <v>1.004</v>
      </c>
      <c r="D8902" s="51">
        <v>71.0</v>
      </c>
      <c r="E8902" s="52" t="s">
        <v>25</v>
      </c>
      <c r="F8902" s="52" t="s">
        <v>26</v>
      </c>
      <c r="G8902" s="53"/>
    </row>
    <row r="8903">
      <c r="A8903" s="49">
        <v>45114.69018019676</v>
      </c>
      <c r="B8903" s="50">
        <v>45114.815155243</v>
      </c>
      <c r="C8903" s="51">
        <v>1.004</v>
      </c>
      <c r="D8903" s="51">
        <v>72.0</v>
      </c>
      <c r="E8903" s="52" t="s">
        <v>25</v>
      </c>
      <c r="F8903" s="52" t="s">
        <v>26</v>
      </c>
      <c r="G8903" s="53"/>
    </row>
    <row r="8904">
      <c r="A8904" s="49">
        <v>45114.700593263886</v>
      </c>
      <c r="B8904" s="50">
        <v>45114.8255772106</v>
      </c>
      <c r="C8904" s="51">
        <v>1.004</v>
      </c>
      <c r="D8904" s="51">
        <v>72.0</v>
      </c>
      <c r="E8904" s="52" t="s">
        <v>25</v>
      </c>
      <c r="F8904" s="52" t="s">
        <v>26</v>
      </c>
      <c r="G8904" s="53"/>
    </row>
    <row r="8905">
      <c r="A8905" s="49">
        <v>45114.71105825232</v>
      </c>
      <c r="B8905" s="50">
        <v>45114.8360331944</v>
      </c>
      <c r="C8905" s="51">
        <v>1.004</v>
      </c>
      <c r="D8905" s="51">
        <v>71.0</v>
      </c>
      <c r="E8905" s="52" t="s">
        <v>25</v>
      </c>
      <c r="F8905" s="52" t="s">
        <v>26</v>
      </c>
      <c r="G8905" s="53"/>
    </row>
    <row r="8906">
      <c r="A8906" s="49">
        <v>45114.721475659724</v>
      </c>
      <c r="B8906" s="50">
        <v>45114.8464544444</v>
      </c>
      <c r="C8906" s="51">
        <v>1.004</v>
      </c>
      <c r="D8906" s="51">
        <v>72.0</v>
      </c>
      <c r="E8906" s="52" t="s">
        <v>25</v>
      </c>
      <c r="F8906" s="52" t="s">
        <v>26</v>
      </c>
      <c r="G8906" s="53"/>
    </row>
    <row r="8907">
      <c r="A8907" s="49">
        <v>45114.73189394676</v>
      </c>
      <c r="B8907" s="50">
        <v>45114.8568763541</v>
      </c>
      <c r="C8907" s="51">
        <v>1.004</v>
      </c>
      <c r="D8907" s="51">
        <v>71.0</v>
      </c>
      <c r="E8907" s="52" t="s">
        <v>25</v>
      </c>
      <c r="F8907" s="52" t="s">
        <v>26</v>
      </c>
      <c r="G8907" s="53"/>
    </row>
    <row r="8908">
      <c r="A8908" s="49">
        <v>45114.74233255787</v>
      </c>
      <c r="B8908" s="50">
        <v>45114.8673092245</v>
      </c>
      <c r="C8908" s="51">
        <v>1.004</v>
      </c>
      <c r="D8908" s="51">
        <v>71.0</v>
      </c>
      <c r="E8908" s="52" t="s">
        <v>25</v>
      </c>
      <c r="F8908" s="52" t="s">
        <v>26</v>
      </c>
      <c r="G8908" s="53"/>
    </row>
    <row r="8909">
      <c r="A8909" s="49">
        <v>45114.752758310184</v>
      </c>
      <c r="B8909" s="50">
        <v>45114.8777414814</v>
      </c>
      <c r="C8909" s="51">
        <v>1.004</v>
      </c>
      <c r="D8909" s="51">
        <v>71.0</v>
      </c>
      <c r="E8909" s="52" t="s">
        <v>25</v>
      </c>
      <c r="F8909" s="52" t="s">
        <v>26</v>
      </c>
      <c r="G8909" s="53"/>
    </row>
    <row r="8910">
      <c r="A8910" s="49">
        <v>45114.7631820949</v>
      </c>
      <c r="B8910" s="50">
        <v>45114.888161956</v>
      </c>
      <c r="C8910" s="51">
        <v>1.004</v>
      </c>
      <c r="D8910" s="51">
        <v>71.0</v>
      </c>
      <c r="E8910" s="52" t="s">
        <v>25</v>
      </c>
      <c r="F8910" s="52" t="s">
        <v>26</v>
      </c>
      <c r="G8910" s="53"/>
    </row>
    <row r="8911">
      <c r="A8911" s="49">
        <v>45114.77359759259</v>
      </c>
      <c r="B8911" s="50">
        <v>45114.8985815856</v>
      </c>
      <c r="C8911" s="51">
        <v>1.004</v>
      </c>
      <c r="D8911" s="51">
        <v>71.0</v>
      </c>
      <c r="E8911" s="52" t="s">
        <v>25</v>
      </c>
      <c r="F8911" s="52" t="s">
        <v>26</v>
      </c>
      <c r="G8911" s="53"/>
    </row>
    <row r="8912">
      <c r="A8912" s="49">
        <v>45114.78402702547</v>
      </c>
      <c r="B8912" s="50">
        <v>45114.9090034722</v>
      </c>
      <c r="C8912" s="51">
        <v>1.004</v>
      </c>
      <c r="D8912" s="51">
        <v>71.0</v>
      </c>
      <c r="E8912" s="52" t="s">
        <v>25</v>
      </c>
      <c r="F8912" s="52" t="s">
        <v>26</v>
      </c>
      <c r="G8912" s="53"/>
    </row>
    <row r="8913">
      <c r="A8913" s="49">
        <v>45114.794444687504</v>
      </c>
      <c r="B8913" s="50">
        <v>45114.9194239467</v>
      </c>
      <c r="C8913" s="51">
        <v>1.004</v>
      </c>
      <c r="D8913" s="51">
        <v>71.0</v>
      </c>
      <c r="E8913" s="52" t="s">
        <v>25</v>
      </c>
      <c r="F8913" s="52" t="s">
        <v>26</v>
      </c>
      <c r="G8913" s="53"/>
    </row>
    <row r="8914">
      <c r="A8914" s="49">
        <v>45114.8048737037</v>
      </c>
      <c r="B8914" s="50">
        <v>45114.9298559606</v>
      </c>
      <c r="C8914" s="51">
        <v>1.004</v>
      </c>
      <c r="D8914" s="51">
        <v>71.0</v>
      </c>
      <c r="E8914" s="52" t="s">
        <v>25</v>
      </c>
      <c r="F8914" s="52" t="s">
        <v>26</v>
      </c>
      <c r="G8914" s="53"/>
    </row>
    <row r="8915">
      <c r="A8915" s="49">
        <v>45114.81528915509</v>
      </c>
      <c r="B8915" s="50">
        <v>45114.9402761921</v>
      </c>
      <c r="C8915" s="51">
        <v>1.003</v>
      </c>
      <c r="D8915" s="51">
        <v>71.0</v>
      </c>
      <c r="E8915" s="52" t="s">
        <v>25</v>
      </c>
      <c r="F8915" s="52" t="s">
        <v>26</v>
      </c>
      <c r="G8915" s="53"/>
    </row>
    <row r="8916">
      <c r="A8916" s="49">
        <v>45114.825720347224</v>
      </c>
      <c r="B8916" s="50">
        <v>45114.9506983101</v>
      </c>
      <c r="C8916" s="51">
        <v>1.004</v>
      </c>
      <c r="D8916" s="51">
        <v>71.0</v>
      </c>
      <c r="E8916" s="52" t="s">
        <v>25</v>
      </c>
      <c r="F8916" s="52" t="s">
        <v>26</v>
      </c>
      <c r="G8916" s="53"/>
    </row>
    <row r="8917">
      <c r="A8917" s="49">
        <v>45114.83613872685</v>
      </c>
      <c r="B8917" s="50">
        <v>45114.9611175694</v>
      </c>
      <c r="C8917" s="51">
        <v>1.004</v>
      </c>
      <c r="D8917" s="51">
        <v>71.0</v>
      </c>
      <c r="E8917" s="52" t="s">
        <v>25</v>
      </c>
      <c r="F8917" s="52" t="s">
        <v>26</v>
      </c>
      <c r="G8917" s="53"/>
    </row>
    <row r="8918">
      <c r="A8918" s="49">
        <v>45114.846560729166</v>
      </c>
      <c r="B8918" s="50">
        <v>45114.9715386342</v>
      </c>
      <c r="C8918" s="51">
        <v>1.004</v>
      </c>
      <c r="D8918" s="51">
        <v>71.0</v>
      </c>
      <c r="E8918" s="52" t="s">
        <v>25</v>
      </c>
      <c r="F8918" s="52" t="s">
        <v>26</v>
      </c>
      <c r="G8918" s="53"/>
    </row>
    <row r="8919">
      <c r="A8919" s="49">
        <v>45114.856975462964</v>
      </c>
      <c r="B8919" s="50">
        <v>45114.9819589583</v>
      </c>
      <c r="C8919" s="51">
        <v>1.004</v>
      </c>
      <c r="D8919" s="51">
        <v>71.0</v>
      </c>
      <c r="E8919" s="52" t="s">
        <v>25</v>
      </c>
      <c r="F8919" s="52" t="s">
        <v>26</v>
      </c>
      <c r="G8919" s="53"/>
    </row>
    <row r="8920">
      <c r="A8920" s="49">
        <v>45114.867406053236</v>
      </c>
      <c r="B8920" s="50">
        <v>45114.9923905787</v>
      </c>
      <c r="C8920" s="51">
        <v>1.004</v>
      </c>
      <c r="D8920" s="51">
        <v>71.0</v>
      </c>
      <c r="E8920" s="52" t="s">
        <v>25</v>
      </c>
      <c r="F8920" s="52" t="s">
        <v>26</v>
      </c>
      <c r="G8920" s="53"/>
    </row>
    <row r="8921">
      <c r="A8921" s="49">
        <v>45114.87783585648</v>
      </c>
      <c r="B8921" s="50">
        <v>45115.0028101157</v>
      </c>
      <c r="C8921" s="51">
        <v>1.004</v>
      </c>
      <c r="D8921" s="51">
        <v>72.0</v>
      </c>
      <c r="E8921" s="52" t="s">
        <v>25</v>
      </c>
      <c r="F8921" s="52" t="s">
        <v>26</v>
      </c>
      <c r="G8921" s="53"/>
    </row>
    <row r="8922">
      <c r="A8922" s="49">
        <v>45114.88826496528</v>
      </c>
      <c r="B8922" s="50">
        <v>45115.0132421296</v>
      </c>
      <c r="C8922" s="51">
        <v>1.004</v>
      </c>
      <c r="D8922" s="51">
        <v>71.0</v>
      </c>
      <c r="E8922" s="52" t="s">
        <v>25</v>
      </c>
      <c r="F8922" s="52" t="s">
        <v>26</v>
      </c>
      <c r="G8922" s="53"/>
    </row>
    <row r="8923">
      <c r="A8923" s="49">
        <v>45114.898679328704</v>
      </c>
      <c r="B8923" s="50">
        <v>45115.0236651504</v>
      </c>
      <c r="C8923" s="51">
        <v>1.004</v>
      </c>
      <c r="D8923" s="51">
        <v>71.0</v>
      </c>
      <c r="E8923" s="52" t="s">
        <v>25</v>
      </c>
      <c r="F8923" s="52" t="s">
        <v>26</v>
      </c>
      <c r="G8923" s="53"/>
    </row>
    <row r="8924">
      <c r="A8924" s="49">
        <v>45114.90910979167</v>
      </c>
      <c r="B8924" s="50">
        <v>45115.0340885763</v>
      </c>
      <c r="C8924" s="51">
        <v>1.004</v>
      </c>
      <c r="D8924" s="51">
        <v>71.0</v>
      </c>
      <c r="E8924" s="52" t="s">
        <v>25</v>
      </c>
      <c r="F8924" s="52" t="s">
        <v>26</v>
      </c>
      <c r="G8924" s="53"/>
    </row>
    <row r="8925">
      <c r="A8925" s="49">
        <v>45114.91954162037</v>
      </c>
      <c r="B8925" s="50">
        <v>45115.0445208333</v>
      </c>
      <c r="C8925" s="51">
        <v>1.004</v>
      </c>
      <c r="D8925" s="51">
        <v>71.0</v>
      </c>
      <c r="E8925" s="52" t="s">
        <v>25</v>
      </c>
      <c r="F8925" s="52" t="s">
        <v>26</v>
      </c>
      <c r="G8925" s="53"/>
    </row>
    <row r="8926">
      <c r="A8926" s="49">
        <v>45114.92996815972</v>
      </c>
      <c r="B8926" s="50">
        <v>45115.05494228</v>
      </c>
      <c r="C8926" s="51">
        <v>1.004</v>
      </c>
      <c r="D8926" s="51">
        <v>71.0</v>
      </c>
      <c r="E8926" s="52" t="s">
        <v>25</v>
      </c>
      <c r="F8926" s="52" t="s">
        <v>26</v>
      </c>
      <c r="G8926" s="53"/>
    </row>
    <row r="8927">
      <c r="A8927" s="49">
        <v>45114.94038975694</v>
      </c>
      <c r="B8927" s="50">
        <v>45115.0653642129</v>
      </c>
      <c r="C8927" s="51">
        <v>1.004</v>
      </c>
      <c r="D8927" s="51">
        <v>71.0</v>
      </c>
      <c r="E8927" s="52" t="s">
        <v>25</v>
      </c>
      <c r="F8927" s="52" t="s">
        <v>26</v>
      </c>
      <c r="G8927" s="53"/>
    </row>
    <row r="8928">
      <c r="A8928" s="49">
        <v>45114.95082465278</v>
      </c>
      <c r="B8928" s="50">
        <v>45115.0757964004</v>
      </c>
      <c r="C8928" s="51">
        <v>1.004</v>
      </c>
      <c r="D8928" s="51">
        <v>71.0</v>
      </c>
      <c r="E8928" s="52" t="s">
        <v>25</v>
      </c>
      <c r="F8928" s="52" t="s">
        <v>26</v>
      </c>
      <c r="G8928" s="53"/>
    </row>
    <row r="8929">
      <c r="A8929" s="49">
        <v>45114.96124284722</v>
      </c>
      <c r="B8929" s="50">
        <v>45115.086218831</v>
      </c>
      <c r="C8929" s="51">
        <v>1.004</v>
      </c>
      <c r="D8929" s="51">
        <v>71.0</v>
      </c>
      <c r="E8929" s="52" t="s">
        <v>25</v>
      </c>
      <c r="F8929" s="52" t="s">
        <v>26</v>
      </c>
      <c r="G8929" s="53"/>
    </row>
    <row r="8930">
      <c r="A8930" s="49">
        <v>45114.97166577546</v>
      </c>
      <c r="B8930" s="50">
        <v>45115.0966409722</v>
      </c>
      <c r="C8930" s="51">
        <v>1.004</v>
      </c>
      <c r="D8930" s="51">
        <v>71.0</v>
      </c>
      <c r="E8930" s="52" t="s">
        <v>25</v>
      </c>
      <c r="F8930" s="52" t="s">
        <v>26</v>
      </c>
      <c r="G8930" s="53"/>
    </row>
    <row r="8931">
      <c r="A8931" s="49">
        <v>45114.982089537036</v>
      </c>
      <c r="B8931" s="50">
        <v>45115.1070628125</v>
      </c>
      <c r="C8931" s="51">
        <v>1.004</v>
      </c>
      <c r="D8931" s="51">
        <v>71.0</v>
      </c>
      <c r="E8931" s="52" t="s">
        <v>25</v>
      </c>
      <c r="F8931" s="52" t="s">
        <v>26</v>
      </c>
      <c r="G8931" s="53"/>
    </row>
    <row r="8932">
      <c r="A8932" s="49">
        <v>45114.992521319444</v>
      </c>
      <c r="B8932" s="50">
        <v>45115.1174929513</v>
      </c>
      <c r="C8932" s="51">
        <v>1.004</v>
      </c>
      <c r="D8932" s="51">
        <v>72.0</v>
      </c>
      <c r="E8932" s="52" t="s">
        <v>25</v>
      </c>
      <c r="F8932" s="52" t="s">
        <v>26</v>
      </c>
      <c r="G8932" s="53"/>
    </row>
    <row r="8933">
      <c r="A8933" s="49">
        <v>45115.00294670139</v>
      </c>
      <c r="B8933" s="50">
        <v>45115.1279240046</v>
      </c>
      <c r="C8933" s="51">
        <v>1.003</v>
      </c>
      <c r="D8933" s="51">
        <v>71.0</v>
      </c>
      <c r="E8933" s="52" t="s">
        <v>25</v>
      </c>
      <c r="F8933" s="52" t="s">
        <v>26</v>
      </c>
      <c r="G8933" s="53"/>
    </row>
    <row r="8934">
      <c r="A8934" s="49">
        <v>45115.013369050925</v>
      </c>
      <c r="B8934" s="50">
        <v>45115.1383458333</v>
      </c>
      <c r="C8934" s="51">
        <v>1.004</v>
      </c>
      <c r="D8934" s="51">
        <v>72.0</v>
      </c>
      <c r="E8934" s="52" t="s">
        <v>25</v>
      </c>
      <c r="F8934" s="52" t="s">
        <v>26</v>
      </c>
      <c r="G8934" s="53"/>
    </row>
    <row r="8935">
      <c r="A8935" s="49">
        <v>45115.023794699075</v>
      </c>
      <c r="B8935" s="50">
        <v>45115.1487682986</v>
      </c>
      <c r="C8935" s="51">
        <v>1.003</v>
      </c>
      <c r="D8935" s="51">
        <v>72.0</v>
      </c>
      <c r="E8935" s="52" t="s">
        <v>25</v>
      </c>
      <c r="F8935" s="52" t="s">
        <v>26</v>
      </c>
      <c r="G8935" s="53"/>
    </row>
    <row r="8936">
      <c r="A8936" s="49">
        <v>45115.034215266205</v>
      </c>
      <c r="B8936" s="50">
        <v>45115.1591899652</v>
      </c>
      <c r="C8936" s="51">
        <v>1.004</v>
      </c>
      <c r="D8936" s="51">
        <v>72.0</v>
      </c>
      <c r="E8936" s="52" t="s">
        <v>25</v>
      </c>
      <c r="F8936" s="52" t="s">
        <v>26</v>
      </c>
      <c r="G8936" s="53"/>
    </row>
    <row r="8937">
      <c r="A8937" s="49">
        <v>45115.04462730324</v>
      </c>
      <c r="B8937" s="50">
        <v>45115.1696110879</v>
      </c>
      <c r="C8937" s="51">
        <v>1.004</v>
      </c>
      <c r="D8937" s="51">
        <v>72.0</v>
      </c>
      <c r="E8937" s="52" t="s">
        <v>25</v>
      </c>
      <c r="F8937" s="52" t="s">
        <v>26</v>
      </c>
      <c r="G8937" s="53"/>
    </row>
    <row r="8938">
      <c r="A8938" s="49">
        <v>45115.05505724537</v>
      </c>
      <c r="B8938" s="50">
        <v>45115.1800319791</v>
      </c>
      <c r="C8938" s="51">
        <v>1.004</v>
      </c>
      <c r="D8938" s="51">
        <v>72.0</v>
      </c>
      <c r="E8938" s="52" t="s">
        <v>25</v>
      </c>
      <c r="F8938" s="52" t="s">
        <v>26</v>
      </c>
      <c r="G8938" s="53"/>
    </row>
    <row r="8939">
      <c r="A8939" s="49">
        <v>45115.0654812037</v>
      </c>
      <c r="B8939" s="50">
        <v>45115.1904559953</v>
      </c>
      <c r="C8939" s="51">
        <v>1.004</v>
      </c>
      <c r="D8939" s="51">
        <v>72.0</v>
      </c>
      <c r="E8939" s="52" t="s">
        <v>25</v>
      </c>
      <c r="F8939" s="52" t="s">
        <v>26</v>
      </c>
      <c r="G8939" s="53"/>
    </row>
    <row r="8940">
      <c r="A8940" s="49">
        <v>45115.07590038194</v>
      </c>
      <c r="B8940" s="50">
        <v>45115.2008754398</v>
      </c>
      <c r="C8940" s="51">
        <v>1.004</v>
      </c>
      <c r="D8940" s="51">
        <v>71.0</v>
      </c>
      <c r="E8940" s="52" t="s">
        <v>25</v>
      </c>
      <c r="F8940" s="52" t="s">
        <v>26</v>
      </c>
      <c r="G8940" s="53"/>
    </row>
    <row r="8941">
      <c r="A8941" s="49">
        <v>45115.08631233797</v>
      </c>
      <c r="B8941" s="50">
        <v>45115.2112967013</v>
      </c>
      <c r="C8941" s="51">
        <v>1.004</v>
      </c>
      <c r="D8941" s="51">
        <v>72.0</v>
      </c>
      <c r="E8941" s="52" t="s">
        <v>25</v>
      </c>
      <c r="F8941" s="52" t="s">
        <v>26</v>
      </c>
      <c r="G8941" s="53"/>
    </row>
    <row r="8942">
      <c r="A8942" s="49">
        <v>45115.096756388884</v>
      </c>
      <c r="B8942" s="50">
        <v>45115.2217403935</v>
      </c>
      <c r="C8942" s="51">
        <v>1.004</v>
      </c>
      <c r="D8942" s="51">
        <v>72.0</v>
      </c>
      <c r="E8942" s="52" t="s">
        <v>25</v>
      </c>
      <c r="F8942" s="52" t="s">
        <v>26</v>
      </c>
      <c r="G8942" s="53"/>
    </row>
    <row r="8943">
      <c r="A8943" s="49">
        <v>45115.10718670139</v>
      </c>
      <c r="B8943" s="50">
        <v>45115.2321614236</v>
      </c>
      <c r="C8943" s="51">
        <v>1.004</v>
      </c>
      <c r="D8943" s="51">
        <v>71.0</v>
      </c>
      <c r="E8943" s="52" t="s">
        <v>25</v>
      </c>
      <c r="F8943" s="52" t="s">
        <v>26</v>
      </c>
      <c r="G8943" s="53"/>
    </row>
    <row r="8944">
      <c r="A8944" s="49">
        <v>45115.11760025463</v>
      </c>
      <c r="B8944" s="50">
        <v>45115.2425818171</v>
      </c>
      <c r="C8944" s="51">
        <v>1.004</v>
      </c>
      <c r="D8944" s="51">
        <v>71.0</v>
      </c>
      <c r="E8944" s="52" t="s">
        <v>25</v>
      </c>
      <c r="F8944" s="52" t="s">
        <v>26</v>
      </c>
      <c r="G8944" s="53"/>
    </row>
    <row r="8945">
      <c r="A8945" s="49">
        <v>45115.12806047454</v>
      </c>
      <c r="B8945" s="50">
        <v>45115.2530378935</v>
      </c>
      <c r="C8945" s="51">
        <v>1.004</v>
      </c>
      <c r="D8945" s="51">
        <v>72.0</v>
      </c>
      <c r="E8945" s="52" t="s">
        <v>25</v>
      </c>
      <c r="F8945" s="52" t="s">
        <v>26</v>
      </c>
      <c r="G8945" s="53"/>
    </row>
    <row r="8946">
      <c r="A8946" s="49">
        <v>45115.138479050926</v>
      </c>
      <c r="B8946" s="50">
        <v>45115.2634594907</v>
      </c>
      <c r="C8946" s="51">
        <v>1.004</v>
      </c>
      <c r="D8946" s="51">
        <v>72.0</v>
      </c>
      <c r="E8946" s="52" t="s">
        <v>25</v>
      </c>
      <c r="F8946" s="52" t="s">
        <v>26</v>
      </c>
      <c r="G8946" s="53"/>
    </row>
    <row r="8947">
      <c r="A8947" s="49">
        <v>45115.148903194444</v>
      </c>
      <c r="B8947" s="50">
        <v>45115.2738805555</v>
      </c>
      <c r="C8947" s="51">
        <v>1.004</v>
      </c>
      <c r="D8947" s="51">
        <v>71.0</v>
      </c>
      <c r="E8947" s="52" t="s">
        <v>25</v>
      </c>
      <c r="F8947" s="52" t="s">
        <v>26</v>
      </c>
      <c r="G8947" s="53"/>
    </row>
    <row r="8948">
      <c r="A8948" s="49">
        <v>45115.15932815972</v>
      </c>
      <c r="B8948" s="50">
        <v>45115.2843017939</v>
      </c>
      <c r="C8948" s="51">
        <v>1.004</v>
      </c>
      <c r="D8948" s="51">
        <v>71.0</v>
      </c>
      <c r="E8948" s="52" t="s">
        <v>25</v>
      </c>
      <c r="F8948" s="52" t="s">
        <v>26</v>
      </c>
      <c r="G8948" s="53"/>
    </row>
    <row r="8949">
      <c r="A8949" s="49">
        <v>45115.1697393287</v>
      </c>
      <c r="B8949" s="50">
        <v>45115.2947227546</v>
      </c>
      <c r="C8949" s="51">
        <v>1.004</v>
      </c>
      <c r="D8949" s="51">
        <v>71.0</v>
      </c>
      <c r="E8949" s="52" t="s">
        <v>25</v>
      </c>
      <c r="F8949" s="52" t="s">
        <v>26</v>
      </c>
      <c r="G8949" s="53"/>
    </row>
    <row r="8950">
      <c r="A8950" s="49">
        <v>45115.180195486115</v>
      </c>
      <c r="B8950" s="50">
        <v>45115.3051689467</v>
      </c>
      <c r="C8950" s="51">
        <v>1.004</v>
      </c>
      <c r="D8950" s="51">
        <v>71.0</v>
      </c>
      <c r="E8950" s="52" t="s">
        <v>25</v>
      </c>
      <c r="F8950" s="52" t="s">
        <v>26</v>
      </c>
      <c r="G8950" s="53"/>
    </row>
    <row r="8951">
      <c r="A8951" s="49">
        <v>45115.190635439816</v>
      </c>
      <c r="B8951" s="50">
        <v>45115.3156148842</v>
      </c>
      <c r="C8951" s="51">
        <v>1.004</v>
      </c>
      <c r="D8951" s="51">
        <v>72.0</v>
      </c>
      <c r="E8951" s="52" t="s">
        <v>25</v>
      </c>
      <c r="F8951" s="52" t="s">
        <v>26</v>
      </c>
      <c r="G8951" s="53"/>
    </row>
    <row r="8952">
      <c r="A8952" s="49">
        <v>45115.20107458333</v>
      </c>
      <c r="B8952" s="50">
        <v>45115.326046574</v>
      </c>
      <c r="C8952" s="51">
        <v>1.004</v>
      </c>
      <c r="D8952" s="51">
        <v>72.0</v>
      </c>
      <c r="E8952" s="52" t="s">
        <v>25</v>
      </c>
      <c r="F8952" s="52" t="s">
        <v>26</v>
      </c>
      <c r="G8952" s="53"/>
    </row>
    <row r="8953">
      <c r="A8953" s="49">
        <v>45115.21148854167</v>
      </c>
      <c r="B8953" s="50">
        <v>45115.336466493</v>
      </c>
      <c r="C8953" s="51">
        <v>1.004</v>
      </c>
      <c r="D8953" s="51">
        <v>71.0</v>
      </c>
      <c r="E8953" s="52" t="s">
        <v>25</v>
      </c>
      <c r="F8953" s="52" t="s">
        <v>26</v>
      </c>
      <c r="G8953" s="53"/>
    </row>
    <row r="8954">
      <c r="A8954" s="49">
        <v>45115.22190388889</v>
      </c>
      <c r="B8954" s="50">
        <v>45115.3468874305</v>
      </c>
      <c r="C8954" s="51">
        <v>1.004</v>
      </c>
      <c r="D8954" s="51">
        <v>72.0</v>
      </c>
      <c r="E8954" s="52" t="s">
        <v>25</v>
      </c>
      <c r="F8954" s="52" t="s">
        <v>26</v>
      </c>
      <c r="G8954" s="53"/>
    </row>
    <row r="8955">
      <c r="A8955" s="49">
        <v>45115.23233189815</v>
      </c>
      <c r="B8955" s="50">
        <v>45115.3573080555</v>
      </c>
      <c r="C8955" s="51">
        <v>1.004</v>
      </c>
      <c r="D8955" s="51">
        <v>72.0</v>
      </c>
      <c r="E8955" s="52" t="s">
        <v>25</v>
      </c>
      <c r="F8955" s="52" t="s">
        <v>26</v>
      </c>
      <c r="G8955" s="53"/>
    </row>
    <row r="8956">
      <c r="A8956" s="49">
        <v>45115.2427496412</v>
      </c>
      <c r="B8956" s="50">
        <v>45115.3677297453</v>
      </c>
      <c r="C8956" s="51">
        <v>1.004</v>
      </c>
      <c r="D8956" s="51">
        <v>72.0</v>
      </c>
      <c r="E8956" s="52" t="s">
        <v>25</v>
      </c>
      <c r="F8956" s="52" t="s">
        <v>26</v>
      </c>
      <c r="G8956" s="53"/>
    </row>
    <row r="8957">
      <c r="A8957" s="49">
        <v>45115.25317633102</v>
      </c>
      <c r="B8957" s="50">
        <v>45115.3781513773</v>
      </c>
      <c r="C8957" s="51">
        <v>1.004</v>
      </c>
      <c r="D8957" s="51">
        <v>72.0</v>
      </c>
      <c r="E8957" s="52" t="s">
        <v>25</v>
      </c>
      <c r="F8957" s="52" t="s">
        <v>26</v>
      </c>
      <c r="G8957" s="53"/>
    </row>
    <row r="8958">
      <c r="A8958" s="49">
        <v>45115.26359530093</v>
      </c>
      <c r="B8958" s="50">
        <v>45115.3885709259</v>
      </c>
      <c r="C8958" s="51">
        <v>1.004</v>
      </c>
      <c r="D8958" s="51">
        <v>71.0</v>
      </c>
      <c r="E8958" s="52" t="s">
        <v>25</v>
      </c>
      <c r="F8958" s="52" t="s">
        <v>26</v>
      </c>
      <c r="G8958" s="53"/>
    </row>
    <row r="8959">
      <c r="A8959" s="49">
        <v>45115.274035532406</v>
      </c>
      <c r="B8959" s="50">
        <v>45115.3990056944</v>
      </c>
      <c r="C8959" s="51">
        <v>1.004</v>
      </c>
      <c r="D8959" s="51">
        <v>72.0</v>
      </c>
      <c r="E8959" s="52" t="s">
        <v>25</v>
      </c>
      <c r="F8959" s="52" t="s">
        <v>26</v>
      </c>
      <c r="G8959" s="53"/>
    </row>
    <row r="8960">
      <c r="A8960" s="49">
        <v>45115.284453229164</v>
      </c>
      <c r="B8960" s="50">
        <v>45115.40942728</v>
      </c>
      <c r="C8960" s="51">
        <v>1.004</v>
      </c>
      <c r="D8960" s="51">
        <v>72.0</v>
      </c>
      <c r="E8960" s="52" t="s">
        <v>25</v>
      </c>
      <c r="F8960" s="52" t="s">
        <v>26</v>
      </c>
      <c r="G8960" s="53"/>
    </row>
    <row r="8961">
      <c r="A8961" s="49">
        <v>45115.294873356484</v>
      </c>
      <c r="B8961" s="50">
        <v>45115.4198484375</v>
      </c>
      <c r="C8961" s="51">
        <v>1.004</v>
      </c>
      <c r="D8961" s="51">
        <v>72.0</v>
      </c>
      <c r="E8961" s="52" t="s">
        <v>25</v>
      </c>
      <c r="F8961" s="52" t="s">
        <v>26</v>
      </c>
      <c r="G8961" s="53"/>
    </row>
    <row r="8962">
      <c r="A8962" s="49">
        <v>45115.30529930556</v>
      </c>
      <c r="B8962" s="50">
        <v>45115.4302693402</v>
      </c>
      <c r="C8962" s="51">
        <v>1.004</v>
      </c>
      <c r="D8962" s="51">
        <v>72.0</v>
      </c>
      <c r="E8962" s="52" t="s">
        <v>25</v>
      </c>
      <c r="F8962" s="52" t="s">
        <v>26</v>
      </c>
      <c r="G8962" s="53"/>
    </row>
    <row r="8963">
      <c r="A8963" s="49">
        <v>45115.315731180555</v>
      </c>
      <c r="B8963" s="50">
        <v>45115.4407019791</v>
      </c>
      <c r="C8963" s="51">
        <v>1.004</v>
      </c>
      <c r="D8963" s="51">
        <v>72.0</v>
      </c>
      <c r="E8963" s="52" t="s">
        <v>25</v>
      </c>
      <c r="F8963" s="52" t="s">
        <v>26</v>
      </c>
      <c r="G8963" s="53"/>
    </row>
    <row r="8964">
      <c r="A8964" s="49">
        <v>45115.32617810185</v>
      </c>
      <c r="B8964" s="50">
        <v>45115.4511449652</v>
      </c>
      <c r="C8964" s="51">
        <v>1.004</v>
      </c>
      <c r="D8964" s="51">
        <v>72.0</v>
      </c>
      <c r="E8964" s="52" t="s">
        <v>25</v>
      </c>
      <c r="F8964" s="52" t="s">
        <v>26</v>
      </c>
      <c r="G8964" s="53"/>
    </row>
    <row r="8965">
      <c r="A8965" s="49">
        <v>45115.336598368056</v>
      </c>
      <c r="B8965" s="50">
        <v>45115.4615780902</v>
      </c>
      <c r="C8965" s="51">
        <v>1.004</v>
      </c>
      <c r="D8965" s="51">
        <v>72.0</v>
      </c>
      <c r="E8965" s="52" t="s">
        <v>25</v>
      </c>
      <c r="F8965" s="52" t="s">
        <v>26</v>
      </c>
      <c r="G8965" s="53"/>
    </row>
    <row r="8966">
      <c r="A8966" s="49">
        <v>45115.34702590278</v>
      </c>
      <c r="B8966" s="50">
        <v>45115.4720002777</v>
      </c>
      <c r="C8966" s="51">
        <v>1.004</v>
      </c>
      <c r="D8966" s="51">
        <v>72.0</v>
      </c>
      <c r="E8966" s="52" t="s">
        <v>25</v>
      </c>
      <c r="F8966" s="52" t="s">
        <v>26</v>
      </c>
      <c r="G8966" s="53"/>
    </row>
    <row r="8967">
      <c r="A8967" s="49">
        <v>45115.35745671296</v>
      </c>
      <c r="B8967" s="50">
        <v>45115.4824318055</v>
      </c>
      <c r="C8967" s="51">
        <v>1.004</v>
      </c>
      <c r="D8967" s="51">
        <v>71.0</v>
      </c>
      <c r="E8967" s="52" t="s">
        <v>25</v>
      </c>
      <c r="F8967" s="52" t="s">
        <v>26</v>
      </c>
      <c r="G8967" s="53"/>
    </row>
    <row r="8968">
      <c r="A8968" s="49">
        <v>45115.367896446754</v>
      </c>
      <c r="B8968" s="50">
        <v>45115.4928771875</v>
      </c>
      <c r="C8968" s="51">
        <v>1.004</v>
      </c>
      <c r="D8968" s="51">
        <v>71.0</v>
      </c>
      <c r="E8968" s="52" t="s">
        <v>25</v>
      </c>
      <c r="F8968" s="52" t="s">
        <v>26</v>
      </c>
      <c r="G8968" s="53"/>
    </row>
    <row r="8969">
      <c r="A8969" s="49">
        <v>45115.37832798611</v>
      </c>
      <c r="B8969" s="50">
        <v>45115.5032981597</v>
      </c>
      <c r="C8969" s="51">
        <v>1.003</v>
      </c>
      <c r="D8969" s="51">
        <v>72.0</v>
      </c>
      <c r="E8969" s="52" t="s">
        <v>25</v>
      </c>
      <c r="F8969" s="52" t="s">
        <v>26</v>
      </c>
      <c r="G8969" s="53"/>
    </row>
    <row r="8970">
      <c r="A8970" s="49">
        <v>45115.38874797453</v>
      </c>
      <c r="B8970" s="50">
        <v>45115.5137191088</v>
      </c>
      <c r="C8970" s="51">
        <v>1.004</v>
      </c>
      <c r="D8970" s="51">
        <v>72.0</v>
      </c>
      <c r="E8970" s="52" t="s">
        <v>25</v>
      </c>
      <c r="F8970" s="52" t="s">
        <v>26</v>
      </c>
      <c r="G8970" s="53"/>
    </row>
    <row r="8971">
      <c r="A8971" s="49">
        <v>45115.39916428241</v>
      </c>
      <c r="B8971" s="50">
        <v>45115.5241405671</v>
      </c>
      <c r="C8971" s="51">
        <v>1.004</v>
      </c>
      <c r="D8971" s="51">
        <v>72.0</v>
      </c>
      <c r="E8971" s="52" t="s">
        <v>25</v>
      </c>
      <c r="F8971" s="52" t="s">
        <v>26</v>
      </c>
      <c r="G8971" s="53"/>
    </row>
    <row r="8972">
      <c r="A8972" s="49">
        <v>45115.409583761575</v>
      </c>
      <c r="B8972" s="50">
        <v>45115.5345622106</v>
      </c>
      <c r="C8972" s="51">
        <v>1.004</v>
      </c>
      <c r="D8972" s="51">
        <v>72.0</v>
      </c>
      <c r="E8972" s="52" t="s">
        <v>25</v>
      </c>
      <c r="F8972" s="52" t="s">
        <v>26</v>
      </c>
      <c r="G8972" s="53"/>
    </row>
    <row r="8973">
      <c r="A8973" s="49">
        <v>45115.42001582176</v>
      </c>
      <c r="B8973" s="50">
        <v>45115.5449848611</v>
      </c>
      <c r="C8973" s="51">
        <v>1.003</v>
      </c>
      <c r="D8973" s="51">
        <v>72.0</v>
      </c>
      <c r="E8973" s="52" t="s">
        <v>25</v>
      </c>
      <c r="F8973" s="52" t="s">
        <v>26</v>
      </c>
      <c r="G8973" s="53"/>
    </row>
    <row r="8974">
      <c r="A8974" s="49">
        <v>45115.43043226852</v>
      </c>
      <c r="B8974" s="50">
        <v>45115.5554065046</v>
      </c>
      <c r="C8974" s="51">
        <v>1.004</v>
      </c>
      <c r="D8974" s="51">
        <v>72.0</v>
      </c>
      <c r="E8974" s="52" t="s">
        <v>25</v>
      </c>
      <c r="F8974" s="52" t="s">
        <v>26</v>
      </c>
      <c r="G8974" s="53"/>
    </row>
    <row r="8975">
      <c r="A8975" s="49">
        <v>45115.44087208333</v>
      </c>
      <c r="B8975" s="50">
        <v>45115.5658513541</v>
      </c>
      <c r="C8975" s="51">
        <v>1.004</v>
      </c>
      <c r="D8975" s="51">
        <v>72.0</v>
      </c>
      <c r="E8975" s="52" t="s">
        <v>25</v>
      </c>
      <c r="F8975" s="52" t="s">
        <v>26</v>
      </c>
      <c r="G8975" s="53"/>
    </row>
    <row r="8976">
      <c r="A8976" s="49">
        <v>45115.45130170139</v>
      </c>
      <c r="B8976" s="50">
        <v>45115.5762718287</v>
      </c>
      <c r="C8976" s="51">
        <v>1.003</v>
      </c>
      <c r="D8976" s="51">
        <v>72.0</v>
      </c>
      <c r="E8976" s="52" t="s">
        <v>25</v>
      </c>
      <c r="F8976" s="52" t="s">
        <v>26</v>
      </c>
      <c r="G8976" s="53"/>
    </row>
    <row r="8977">
      <c r="A8977" s="49">
        <v>45115.46174159722</v>
      </c>
      <c r="B8977" s="50">
        <v>45115.5867140972</v>
      </c>
      <c r="C8977" s="51">
        <v>1.004</v>
      </c>
      <c r="D8977" s="51">
        <v>72.0</v>
      </c>
      <c r="E8977" s="52" t="s">
        <v>25</v>
      </c>
      <c r="F8977" s="52" t="s">
        <v>26</v>
      </c>
      <c r="G8977" s="53"/>
    </row>
    <row r="8978">
      <c r="A8978" s="49">
        <v>45115.47215806713</v>
      </c>
      <c r="B8978" s="50">
        <v>45115.5971350347</v>
      </c>
      <c r="C8978" s="51">
        <v>1.004</v>
      </c>
      <c r="D8978" s="51">
        <v>72.0</v>
      </c>
      <c r="E8978" s="52" t="s">
        <v>25</v>
      </c>
      <c r="F8978" s="52" t="s">
        <v>26</v>
      </c>
      <c r="G8978" s="53"/>
    </row>
    <row r="8979">
      <c r="A8979" s="49">
        <v>45115.482588287035</v>
      </c>
      <c r="B8979" s="50">
        <v>45115.6075580439</v>
      </c>
      <c r="C8979" s="51">
        <v>1.004</v>
      </c>
      <c r="D8979" s="51">
        <v>71.0</v>
      </c>
      <c r="E8979" s="52" t="s">
        <v>25</v>
      </c>
      <c r="F8979" s="52" t="s">
        <v>26</v>
      </c>
      <c r="G8979" s="53"/>
    </row>
    <row r="8980">
      <c r="A8980" s="49">
        <v>45115.49301388889</v>
      </c>
      <c r="B8980" s="50">
        <v>45115.6179782176</v>
      </c>
      <c r="C8980" s="51">
        <v>1.004</v>
      </c>
      <c r="D8980" s="51">
        <v>72.0</v>
      </c>
      <c r="E8980" s="52" t="s">
        <v>25</v>
      </c>
      <c r="F8980" s="52" t="s">
        <v>26</v>
      </c>
      <c r="G8980" s="53"/>
    </row>
    <row r="8981">
      <c r="A8981" s="49">
        <v>45115.50343354167</v>
      </c>
      <c r="B8981" s="50">
        <v>45115.6284107407</v>
      </c>
      <c r="C8981" s="51">
        <v>1.004</v>
      </c>
      <c r="D8981" s="51">
        <v>72.0</v>
      </c>
      <c r="E8981" s="52" t="s">
        <v>25</v>
      </c>
      <c r="F8981" s="52" t="s">
        <v>26</v>
      </c>
      <c r="G8981" s="53"/>
    </row>
    <row r="8982">
      <c r="A8982" s="49">
        <v>45115.513860590276</v>
      </c>
      <c r="B8982" s="50">
        <v>45115.6388312963</v>
      </c>
      <c r="C8982" s="51">
        <v>1.004</v>
      </c>
      <c r="D8982" s="51">
        <v>72.0</v>
      </c>
      <c r="E8982" s="52" t="s">
        <v>25</v>
      </c>
      <c r="F8982" s="52" t="s">
        <v>26</v>
      </c>
      <c r="G8982" s="53"/>
    </row>
    <row r="8983">
      <c r="A8983" s="49">
        <v>45115.524281261576</v>
      </c>
      <c r="B8983" s="50">
        <v>45115.6492527314</v>
      </c>
      <c r="C8983" s="51">
        <v>1.004</v>
      </c>
      <c r="D8983" s="51">
        <v>72.0</v>
      </c>
      <c r="E8983" s="52" t="s">
        <v>25</v>
      </c>
      <c r="F8983" s="52" t="s">
        <v>26</v>
      </c>
      <c r="G8983" s="53"/>
    </row>
    <row r="8984">
      <c r="A8984" s="49">
        <v>45115.53469903935</v>
      </c>
      <c r="B8984" s="50">
        <v>45115.6596751273</v>
      </c>
      <c r="C8984" s="51">
        <v>1.004</v>
      </c>
      <c r="D8984" s="51">
        <v>71.0</v>
      </c>
      <c r="E8984" s="52" t="s">
        <v>25</v>
      </c>
      <c r="F8984" s="52" t="s">
        <v>26</v>
      </c>
      <c r="G8984" s="53"/>
    </row>
    <row r="8985">
      <c r="A8985" s="49">
        <v>45115.545124675926</v>
      </c>
      <c r="B8985" s="50">
        <v>45115.6700968287</v>
      </c>
      <c r="C8985" s="51">
        <v>1.004</v>
      </c>
      <c r="D8985" s="51">
        <v>72.0</v>
      </c>
      <c r="E8985" s="52" t="s">
        <v>25</v>
      </c>
      <c r="F8985" s="52" t="s">
        <v>26</v>
      </c>
      <c r="G8985" s="53"/>
    </row>
    <row r="8986">
      <c r="A8986" s="49">
        <v>45115.55555491898</v>
      </c>
      <c r="B8986" s="50">
        <v>45115.6805286342</v>
      </c>
      <c r="C8986" s="51">
        <v>1.003</v>
      </c>
      <c r="D8986" s="51">
        <v>72.0</v>
      </c>
      <c r="E8986" s="52" t="s">
        <v>25</v>
      </c>
      <c r="F8986" s="52" t="s">
        <v>26</v>
      </c>
      <c r="G8986" s="53"/>
    </row>
    <row r="8987">
      <c r="A8987" s="49">
        <v>45115.56597123842</v>
      </c>
      <c r="B8987" s="50">
        <v>45115.6909486805</v>
      </c>
      <c r="C8987" s="51">
        <v>1.004</v>
      </c>
      <c r="D8987" s="51">
        <v>72.0</v>
      </c>
      <c r="E8987" s="52" t="s">
        <v>25</v>
      </c>
      <c r="F8987" s="52" t="s">
        <v>26</v>
      </c>
      <c r="G8987" s="53"/>
    </row>
    <row r="8988">
      <c r="A8988" s="49">
        <v>45115.57643826389</v>
      </c>
      <c r="B8988" s="50">
        <v>45115.701405949</v>
      </c>
      <c r="C8988" s="51">
        <v>1.004</v>
      </c>
      <c r="D8988" s="51">
        <v>72.0</v>
      </c>
      <c r="E8988" s="52" t="s">
        <v>25</v>
      </c>
      <c r="F8988" s="52" t="s">
        <v>26</v>
      </c>
      <c r="G8988" s="53"/>
    </row>
    <row r="8989">
      <c r="A8989" s="49">
        <v>45115.58685528935</v>
      </c>
      <c r="B8989" s="50">
        <v>45115.7118288194</v>
      </c>
      <c r="C8989" s="51">
        <v>1.003</v>
      </c>
      <c r="D8989" s="51">
        <v>72.0</v>
      </c>
      <c r="E8989" s="52" t="s">
        <v>25</v>
      </c>
      <c r="F8989" s="52" t="s">
        <v>26</v>
      </c>
      <c r="G8989" s="53"/>
    </row>
    <row r="8990">
      <c r="A8990" s="49">
        <v>45115.597270625</v>
      </c>
      <c r="B8990" s="50">
        <v>45115.7222483217</v>
      </c>
      <c r="C8990" s="51">
        <v>1.004</v>
      </c>
      <c r="D8990" s="51">
        <v>72.0</v>
      </c>
      <c r="E8990" s="52" t="s">
        <v>25</v>
      </c>
      <c r="F8990" s="52" t="s">
        <v>26</v>
      </c>
      <c r="G8990" s="53"/>
    </row>
    <row r="8991">
      <c r="A8991" s="49">
        <v>45115.60769752315</v>
      </c>
      <c r="B8991" s="50">
        <v>45115.7326700115</v>
      </c>
      <c r="C8991" s="51">
        <v>1.004</v>
      </c>
      <c r="D8991" s="51">
        <v>72.0</v>
      </c>
      <c r="E8991" s="52" t="s">
        <v>25</v>
      </c>
      <c r="F8991" s="52" t="s">
        <v>26</v>
      </c>
      <c r="G8991" s="53"/>
    </row>
    <row r="8992">
      <c r="A8992" s="49">
        <v>45115.61812741898</v>
      </c>
      <c r="B8992" s="50">
        <v>45115.7431037152</v>
      </c>
      <c r="C8992" s="51">
        <v>1.004</v>
      </c>
      <c r="D8992" s="51">
        <v>71.0</v>
      </c>
      <c r="E8992" s="52" t="s">
        <v>25</v>
      </c>
      <c r="F8992" s="52" t="s">
        <v>26</v>
      </c>
      <c r="G8992" s="53"/>
    </row>
    <row r="8993">
      <c r="A8993" s="49">
        <v>45115.62856778935</v>
      </c>
      <c r="B8993" s="50">
        <v>45115.7535372916</v>
      </c>
      <c r="C8993" s="51">
        <v>1.004</v>
      </c>
      <c r="D8993" s="51">
        <v>72.0</v>
      </c>
      <c r="E8993" s="52" t="s">
        <v>25</v>
      </c>
      <c r="F8993" s="52" t="s">
        <v>26</v>
      </c>
      <c r="G8993" s="53"/>
    </row>
    <row r="8994">
      <c r="A8994" s="49">
        <v>45115.63898516203</v>
      </c>
      <c r="B8994" s="50">
        <v>45115.7639586574</v>
      </c>
      <c r="C8994" s="51">
        <v>1.004</v>
      </c>
      <c r="D8994" s="51">
        <v>71.0</v>
      </c>
      <c r="E8994" s="52" t="s">
        <v>25</v>
      </c>
      <c r="F8994" s="52" t="s">
        <v>26</v>
      </c>
      <c r="G8994" s="53"/>
    </row>
    <row r="8995">
      <c r="A8995" s="49">
        <v>45115.64941371528</v>
      </c>
      <c r="B8995" s="50">
        <v>45115.7743812731</v>
      </c>
      <c r="C8995" s="51">
        <v>1.004</v>
      </c>
      <c r="D8995" s="51">
        <v>71.0</v>
      </c>
      <c r="E8995" s="52" t="s">
        <v>25</v>
      </c>
      <c r="F8995" s="52" t="s">
        <v>26</v>
      </c>
      <c r="G8995" s="53"/>
    </row>
    <row r="8996">
      <c r="A8996" s="49">
        <v>45115.65983458333</v>
      </c>
      <c r="B8996" s="50">
        <v>45115.7848026504</v>
      </c>
      <c r="C8996" s="51">
        <v>1.004</v>
      </c>
      <c r="D8996" s="51">
        <v>72.0</v>
      </c>
      <c r="E8996" s="52" t="s">
        <v>25</v>
      </c>
      <c r="F8996" s="52" t="s">
        <v>26</v>
      </c>
      <c r="G8996" s="53"/>
    </row>
    <row r="8997">
      <c r="A8997" s="49">
        <v>45115.67025520833</v>
      </c>
      <c r="B8997" s="50">
        <v>45115.7952247569</v>
      </c>
      <c r="C8997" s="51">
        <v>1.004</v>
      </c>
      <c r="D8997" s="51">
        <v>72.0</v>
      </c>
      <c r="E8997" s="52" t="s">
        <v>25</v>
      </c>
      <c r="F8997" s="52" t="s">
        <v>26</v>
      </c>
      <c r="G8997" s="53"/>
    </row>
    <row r="8998">
      <c r="A8998" s="49">
        <v>45115.68066633102</v>
      </c>
      <c r="B8998" s="50">
        <v>45115.8056458912</v>
      </c>
      <c r="C8998" s="51">
        <v>1.004</v>
      </c>
      <c r="D8998" s="51">
        <v>72.0</v>
      </c>
      <c r="E8998" s="52" t="s">
        <v>25</v>
      </c>
      <c r="F8998" s="52" t="s">
        <v>26</v>
      </c>
      <c r="G8998" s="53"/>
    </row>
    <row r="8999">
      <c r="A8999" s="49">
        <v>45115.69109331019</v>
      </c>
      <c r="B8999" s="50">
        <v>45115.8160687037</v>
      </c>
      <c r="C8999" s="51">
        <v>1.003</v>
      </c>
      <c r="D8999" s="51">
        <v>71.0</v>
      </c>
      <c r="E8999" s="52" t="s">
        <v>25</v>
      </c>
      <c r="F8999" s="52" t="s">
        <v>26</v>
      </c>
      <c r="G8999" s="53"/>
    </row>
    <row r="9000">
      <c r="A9000" s="49">
        <v>45115.701518483795</v>
      </c>
      <c r="B9000" s="50">
        <v>45115.8264908564</v>
      </c>
      <c r="C9000" s="51">
        <v>1.004</v>
      </c>
      <c r="D9000" s="51">
        <v>71.0</v>
      </c>
      <c r="E9000" s="52" t="s">
        <v>25</v>
      </c>
      <c r="F9000" s="52" t="s">
        <v>26</v>
      </c>
      <c r="G9000" s="53"/>
    </row>
    <row r="9001">
      <c r="A9001" s="49">
        <v>45115.71193952546</v>
      </c>
      <c r="B9001" s="50">
        <v>45115.8369109259</v>
      </c>
      <c r="C9001" s="51">
        <v>1.004</v>
      </c>
      <c r="D9001" s="51">
        <v>71.0</v>
      </c>
      <c r="E9001" s="52" t="s">
        <v>25</v>
      </c>
      <c r="F9001" s="52" t="s">
        <v>26</v>
      </c>
      <c r="G9001" s="53"/>
    </row>
    <row r="9002">
      <c r="A9002" s="49">
        <v>45115.72236325232</v>
      </c>
      <c r="B9002" s="50">
        <v>45115.8473331712</v>
      </c>
      <c r="C9002" s="51">
        <v>1.004</v>
      </c>
      <c r="D9002" s="51">
        <v>71.0</v>
      </c>
      <c r="E9002" s="52" t="s">
        <v>25</v>
      </c>
      <c r="F9002" s="52" t="s">
        <v>26</v>
      </c>
      <c r="G9002" s="53"/>
    </row>
    <row r="9003">
      <c r="A9003" s="49">
        <v>45115.732783796295</v>
      </c>
      <c r="B9003" s="50">
        <v>45115.8577537963</v>
      </c>
      <c r="C9003" s="51">
        <v>1.004</v>
      </c>
      <c r="D9003" s="51">
        <v>71.0</v>
      </c>
      <c r="E9003" s="52" t="s">
        <v>25</v>
      </c>
      <c r="F9003" s="52" t="s">
        <v>26</v>
      </c>
      <c r="G9003" s="53"/>
    </row>
    <row r="9004">
      <c r="A9004" s="49">
        <v>45115.74320606481</v>
      </c>
      <c r="B9004" s="50">
        <v>45115.868176574</v>
      </c>
      <c r="C9004" s="51">
        <v>1.004</v>
      </c>
      <c r="D9004" s="51">
        <v>72.0</v>
      </c>
      <c r="E9004" s="52" t="s">
        <v>25</v>
      </c>
      <c r="F9004" s="52" t="s">
        <v>26</v>
      </c>
      <c r="G9004" s="53"/>
    </row>
    <row r="9005">
      <c r="A9005" s="49">
        <v>45115.753639375005</v>
      </c>
      <c r="B9005" s="50">
        <v>45115.8786087152</v>
      </c>
      <c r="C9005" s="51">
        <v>1.004</v>
      </c>
      <c r="D9005" s="51">
        <v>72.0</v>
      </c>
      <c r="E9005" s="52" t="s">
        <v>25</v>
      </c>
      <c r="F9005" s="52" t="s">
        <v>26</v>
      </c>
      <c r="G9005" s="53"/>
    </row>
    <row r="9006">
      <c r="A9006" s="49">
        <v>45115.76406505787</v>
      </c>
      <c r="B9006" s="50">
        <v>45115.8890407176</v>
      </c>
      <c r="C9006" s="51">
        <v>1.003</v>
      </c>
      <c r="D9006" s="51">
        <v>72.0</v>
      </c>
      <c r="E9006" s="52" t="s">
        <v>25</v>
      </c>
      <c r="F9006" s="52" t="s">
        <v>26</v>
      </c>
      <c r="G9006" s="53"/>
    </row>
    <row r="9007">
      <c r="A9007" s="49">
        <v>45115.77448929398</v>
      </c>
      <c r="B9007" s="50">
        <v>45115.8994599884</v>
      </c>
      <c r="C9007" s="51">
        <v>1.004</v>
      </c>
      <c r="D9007" s="51">
        <v>71.0</v>
      </c>
      <c r="E9007" s="52" t="s">
        <v>25</v>
      </c>
      <c r="F9007" s="52" t="s">
        <v>26</v>
      </c>
      <c r="G9007" s="53"/>
    </row>
    <row r="9008">
      <c r="A9008" s="49">
        <v>45115.78492009259</v>
      </c>
      <c r="B9008" s="50">
        <v>45115.9098903587</v>
      </c>
      <c r="C9008" s="51">
        <v>1.004</v>
      </c>
      <c r="D9008" s="51">
        <v>72.0</v>
      </c>
      <c r="E9008" s="52" t="s">
        <v>25</v>
      </c>
      <c r="F9008" s="52" t="s">
        <v>26</v>
      </c>
      <c r="G9008" s="53"/>
    </row>
    <row r="9009">
      <c r="A9009" s="49">
        <v>45115.7953508912</v>
      </c>
      <c r="B9009" s="50">
        <v>45115.920321412</v>
      </c>
      <c r="C9009" s="51">
        <v>1.004</v>
      </c>
      <c r="D9009" s="51">
        <v>72.0</v>
      </c>
      <c r="E9009" s="52" t="s">
        <v>25</v>
      </c>
      <c r="F9009" s="52" t="s">
        <v>26</v>
      </c>
      <c r="G9009" s="53"/>
    </row>
    <row r="9010">
      <c r="A9010" s="49">
        <v>45115.80577171296</v>
      </c>
      <c r="B9010" s="50">
        <v>45115.9307420717</v>
      </c>
      <c r="C9010" s="51">
        <v>1.004</v>
      </c>
      <c r="D9010" s="51">
        <v>72.0</v>
      </c>
      <c r="E9010" s="52" t="s">
        <v>25</v>
      </c>
      <c r="F9010" s="52" t="s">
        <v>26</v>
      </c>
      <c r="G9010" s="53"/>
    </row>
    <row r="9011">
      <c r="A9011" s="49">
        <v>45115.816195775464</v>
      </c>
      <c r="B9011" s="50">
        <v>45115.941165</v>
      </c>
      <c r="C9011" s="51">
        <v>1.004</v>
      </c>
      <c r="D9011" s="51">
        <v>71.0</v>
      </c>
      <c r="E9011" s="52" t="s">
        <v>25</v>
      </c>
      <c r="F9011" s="52" t="s">
        <v>26</v>
      </c>
      <c r="G9011" s="53"/>
    </row>
    <row r="9012">
      <c r="A9012" s="49">
        <v>45115.826619872685</v>
      </c>
      <c r="B9012" s="50">
        <v>45115.9515874421</v>
      </c>
      <c r="C9012" s="51">
        <v>1.004</v>
      </c>
      <c r="D9012" s="51">
        <v>72.0</v>
      </c>
      <c r="E9012" s="52" t="s">
        <v>25</v>
      </c>
      <c r="F9012" s="52" t="s">
        <v>26</v>
      </c>
      <c r="G9012" s="53"/>
    </row>
    <row r="9013">
      <c r="A9013" s="49">
        <v>45115.83703296296</v>
      </c>
      <c r="B9013" s="50">
        <v>45115.9620091319</v>
      </c>
      <c r="C9013" s="51">
        <v>1.004</v>
      </c>
      <c r="D9013" s="51">
        <v>72.0</v>
      </c>
      <c r="E9013" s="52" t="s">
        <v>25</v>
      </c>
      <c r="F9013" s="52" t="s">
        <v>26</v>
      </c>
      <c r="G9013" s="53"/>
    </row>
    <row r="9014">
      <c r="A9014" s="49">
        <v>45115.84745497685</v>
      </c>
      <c r="B9014" s="50">
        <v>45115.972428368</v>
      </c>
      <c r="C9014" s="51">
        <v>1.004</v>
      </c>
      <c r="D9014" s="51">
        <v>72.0</v>
      </c>
      <c r="E9014" s="52" t="s">
        <v>25</v>
      </c>
      <c r="F9014" s="52" t="s">
        <v>26</v>
      </c>
      <c r="G9014" s="53"/>
    </row>
    <row r="9015">
      <c r="A9015" s="49">
        <v>45115.85787832176</v>
      </c>
      <c r="B9015" s="50">
        <v>45115.9828489467</v>
      </c>
      <c r="C9015" s="51">
        <v>1.004</v>
      </c>
      <c r="D9015" s="51">
        <v>72.0</v>
      </c>
      <c r="E9015" s="52" t="s">
        <v>25</v>
      </c>
      <c r="F9015" s="52" t="s">
        <v>26</v>
      </c>
      <c r="G9015" s="53"/>
    </row>
    <row r="9016">
      <c r="A9016" s="49">
        <v>45115.86830462963</v>
      </c>
      <c r="B9016" s="50">
        <v>45115.9932802893</v>
      </c>
      <c r="C9016" s="51">
        <v>1.004</v>
      </c>
      <c r="D9016" s="51">
        <v>72.0</v>
      </c>
      <c r="E9016" s="52" t="s">
        <v>25</v>
      </c>
      <c r="F9016" s="52" t="s">
        <v>26</v>
      </c>
      <c r="G9016" s="53"/>
    </row>
    <row r="9017">
      <c r="A9017" s="49">
        <v>45115.878742835645</v>
      </c>
      <c r="B9017" s="50">
        <v>45116.0037135879</v>
      </c>
      <c r="C9017" s="51">
        <v>1.004</v>
      </c>
      <c r="D9017" s="51">
        <v>72.0</v>
      </c>
      <c r="E9017" s="52" t="s">
        <v>25</v>
      </c>
      <c r="F9017" s="52" t="s">
        <v>26</v>
      </c>
      <c r="G9017" s="53"/>
    </row>
    <row r="9018">
      <c r="A9018" s="49">
        <v>45115.889166574074</v>
      </c>
      <c r="B9018" s="50">
        <v>45116.0141357754</v>
      </c>
      <c r="C9018" s="51">
        <v>1.004</v>
      </c>
      <c r="D9018" s="51">
        <v>72.0</v>
      </c>
      <c r="E9018" s="52" t="s">
        <v>25</v>
      </c>
      <c r="F9018" s="52" t="s">
        <v>26</v>
      </c>
      <c r="G9018" s="53"/>
    </row>
    <row r="9019">
      <c r="A9019" s="49">
        <v>45115.899580196754</v>
      </c>
      <c r="B9019" s="50">
        <v>45116.0245576967</v>
      </c>
      <c r="C9019" s="51">
        <v>1.004</v>
      </c>
      <c r="D9019" s="51">
        <v>72.0</v>
      </c>
      <c r="E9019" s="52" t="s">
        <v>25</v>
      </c>
      <c r="F9019" s="52" t="s">
        <v>26</v>
      </c>
      <c r="G9019" s="53"/>
    </row>
    <row r="9020">
      <c r="A9020" s="49">
        <v>45115.91001071759</v>
      </c>
      <c r="B9020" s="50">
        <v>45116.0349781597</v>
      </c>
      <c r="C9020" s="51">
        <v>1.004</v>
      </c>
      <c r="D9020" s="51">
        <v>72.0</v>
      </c>
      <c r="E9020" s="52" t="s">
        <v>25</v>
      </c>
      <c r="F9020" s="52" t="s">
        <v>26</v>
      </c>
      <c r="G9020" s="53"/>
    </row>
    <row r="9021">
      <c r="A9021" s="49">
        <v>45115.920428831014</v>
      </c>
      <c r="B9021" s="50">
        <v>45116.0453978356</v>
      </c>
      <c r="C9021" s="51">
        <v>1.004</v>
      </c>
      <c r="D9021" s="51">
        <v>72.0</v>
      </c>
      <c r="E9021" s="52" t="s">
        <v>25</v>
      </c>
      <c r="F9021" s="52" t="s">
        <v>26</v>
      </c>
      <c r="G9021" s="53"/>
    </row>
    <row r="9022">
      <c r="A9022" s="49">
        <v>45115.93086119213</v>
      </c>
      <c r="B9022" s="50">
        <v>45116.0558409606</v>
      </c>
      <c r="C9022" s="51">
        <v>1.004</v>
      </c>
      <c r="D9022" s="51">
        <v>72.0</v>
      </c>
      <c r="E9022" s="52" t="s">
        <v>25</v>
      </c>
      <c r="F9022" s="52" t="s">
        <v>26</v>
      </c>
      <c r="G9022" s="53"/>
    </row>
    <row r="9023">
      <c r="A9023" s="49">
        <v>45115.941282685184</v>
      </c>
      <c r="B9023" s="50">
        <v>45116.0662612963</v>
      </c>
      <c r="C9023" s="51">
        <v>1.004</v>
      </c>
      <c r="D9023" s="51">
        <v>72.0</v>
      </c>
      <c r="E9023" s="52" t="s">
        <v>25</v>
      </c>
      <c r="F9023" s="52" t="s">
        <v>26</v>
      </c>
      <c r="G9023" s="53"/>
    </row>
    <row r="9024">
      <c r="A9024" s="49">
        <v>45115.95171222222</v>
      </c>
      <c r="B9024" s="50">
        <v>45116.0766835648</v>
      </c>
      <c r="C9024" s="51">
        <v>1.004</v>
      </c>
      <c r="D9024" s="51">
        <v>72.0</v>
      </c>
      <c r="E9024" s="52" t="s">
        <v>25</v>
      </c>
      <c r="F9024" s="52" t="s">
        <v>26</v>
      </c>
      <c r="G9024" s="53"/>
    </row>
    <row r="9025">
      <c r="A9025" s="49">
        <v>45115.96213678241</v>
      </c>
      <c r="B9025" s="50">
        <v>45116.0871058101</v>
      </c>
      <c r="C9025" s="51">
        <v>1.004</v>
      </c>
      <c r="D9025" s="51">
        <v>72.0</v>
      </c>
      <c r="E9025" s="52" t="s">
        <v>25</v>
      </c>
      <c r="F9025" s="52" t="s">
        <v>26</v>
      </c>
      <c r="G9025" s="53"/>
    </row>
    <row r="9026">
      <c r="A9026" s="49">
        <v>45115.97255091435</v>
      </c>
      <c r="B9026" s="50">
        <v>45116.0975277199</v>
      </c>
      <c r="C9026" s="51">
        <v>1.003</v>
      </c>
      <c r="D9026" s="51">
        <v>72.0</v>
      </c>
      <c r="E9026" s="52" t="s">
        <v>25</v>
      </c>
      <c r="F9026" s="52" t="s">
        <v>26</v>
      </c>
      <c r="G9026" s="53"/>
    </row>
    <row r="9027">
      <c r="A9027" s="49">
        <v>45115.982975844905</v>
      </c>
      <c r="B9027" s="50">
        <v>45116.1079498032</v>
      </c>
      <c r="C9027" s="51">
        <v>1.004</v>
      </c>
      <c r="D9027" s="51">
        <v>72.0</v>
      </c>
      <c r="E9027" s="52" t="s">
        <v>25</v>
      </c>
      <c r="F9027" s="52" t="s">
        <v>26</v>
      </c>
      <c r="G9027" s="53"/>
    </row>
    <row r="9028">
      <c r="A9028" s="49">
        <v>45115.993419652776</v>
      </c>
      <c r="B9028" s="50">
        <v>45116.1183953009</v>
      </c>
      <c r="C9028" s="51">
        <v>1.003</v>
      </c>
      <c r="D9028" s="51">
        <v>72.0</v>
      </c>
      <c r="E9028" s="52" t="s">
        <v>25</v>
      </c>
      <c r="F9028" s="52" t="s">
        <v>26</v>
      </c>
      <c r="G9028" s="53"/>
    </row>
    <row r="9029">
      <c r="A9029" s="49">
        <v>45116.003839490746</v>
      </c>
      <c r="B9029" s="50">
        <v>45116.1288152893</v>
      </c>
      <c r="C9029" s="51">
        <v>1.004</v>
      </c>
      <c r="D9029" s="51">
        <v>72.0</v>
      </c>
      <c r="E9029" s="52" t="s">
        <v>25</v>
      </c>
      <c r="F9029" s="52" t="s">
        <v>26</v>
      </c>
      <c r="G9029" s="53"/>
    </row>
    <row r="9030">
      <c r="A9030" s="49">
        <v>45116.01426532408</v>
      </c>
      <c r="B9030" s="50">
        <v>45116.1392374305</v>
      </c>
      <c r="C9030" s="51">
        <v>1.004</v>
      </c>
      <c r="D9030" s="51">
        <v>72.0</v>
      </c>
      <c r="E9030" s="52" t="s">
        <v>25</v>
      </c>
      <c r="F9030" s="52" t="s">
        <v>26</v>
      </c>
      <c r="G9030" s="53"/>
    </row>
    <row r="9031">
      <c r="A9031" s="49">
        <v>45116.024689328704</v>
      </c>
      <c r="B9031" s="50">
        <v>45116.1496584606</v>
      </c>
      <c r="C9031" s="51">
        <v>1.004</v>
      </c>
      <c r="D9031" s="51">
        <v>72.0</v>
      </c>
      <c r="E9031" s="52" t="s">
        <v>25</v>
      </c>
      <c r="F9031" s="52" t="s">
        <v>26</v>
      </c>
      <c r="G9031" s="53"/>
    </row>
    <row r="9032">
      <c r="A9032" s="49">
        <v>45116.035108055556</v>
      </c>
      <c r="B9032" s="50">
        <v>45116.1600797685</v>
      </c>
      <c r="C9032" s="51">
        <v>1.004</v>
      </c>
      <c r="D9032" s="51">
        <v>72.0</v>
      </c>
      <c r="E9032" s="52" t="s">
        <v>25</v>
      </c>
      <c r="F9032" s="52" t="s">
        <v>26</v>
      </c>
      <c r="G9032" s="53"/>
    </row>
    <row r="9033">
      <c r="A9033" s="49">
        <v>45116.04552799769</v>
      </c>
      <c r="B9033" s="50">
        <v>45116.1705026273</v>
      </c>
      <c r="C9033" s="51">
        <v>1.004</v>
      </c>
      <c r="D9033" s="51">
        <v>72.0</v>
      </c>
      <c r="E9033" s="52" t="s">
        <v>25</v>
      </c>
      <c r="F9033" s="52" t="s">
        <v>26</v>
      </c>
      <c r="G9033" s="53"/>
    </row>
    <row r="9034">
      <c r="A9034" s="49">
        <v>45116.05595173611</v>
      </c>
      <c r="B9034" s="50">
        <v>45116.1809220138</v>
      </c>
      <c r="C9034" s="51">
        <v>1.004</v>
      </c>
      <c r="D9034" s="51">
        <v>72.0</v>
      </c>
      <c r="E9034" s="52" t="s">
        <v>25</v>
      </c>
      <c r="F9034" s="52" t="s">
        <v>26</v>
      </c>
      <c r="G9034" s="53"/>
    </row>
    <row r="9035">
      <c r="A9035" s="49">
        <v>45116.066365798615</v>
      </c>
      <c r="B9035" s="50">
        <v>45116.1913437615</v>
      </c>
      <c r="C9035" s="51">
        <v>1.004</v>
      </c>
      <c r="D9035" s="51">
        <v>72.0</v>
      </c>
      <c r="E9035" s="52" t="s">
        <v>25</v>
      </c>
      <c r="F9035" s="52" t="s">
        <v>26</v>
      </c>
      <c r="G9035" s="53"/>
    </row>
    <row r="9036">
      <c r="A9036" s="49">
        <v>45116.0768159838</v>
      </c>
      <c r="B9036" s="50">
        <v>45116.2017873726</v>
      </c>
      <c r="C9036" s="51">
        <v>1.004</v>
      </c>
      <c r="D9036" s="51">
        <v>72.0</v>
      </c>
      <c r="E9036" s="52" t="s">
        <v>25</v>
      </c>
      <c r="F9036" s="52" t="s">
        <v>26</v>
      </c>
      <c r="G9036" s="53"/>
    </row>
    <row r="9037">
      <c r="A9037" s="49">
        <v>45116.08724075231</v>
      </c>
      <c r="B9037" s="50">
        <v>45116.2122086111</v>
      </c>
      <c r="C9037" s="51">
        <v>1.004</v>
      </c>
      <c r="D9037" s="51">
        <v>72.0</v>
      </c>
      <c r="E9037" s="52" t="s">
        <v>25</v>
      </c>
      <c r="F9037" s="52" t="s">
        <v>26</v>
      </c>
      <c r="G9037" s="53"/>
    </row>
    <row r="9038">
      <c r="A9038" s="49">
        <v>45116.09768314815</v>
      </c>
      <c r="B9038" s="50">
        <v>45116.2226562963</v>
      </c>
      <c r="C9038" s="51">
        <v>1.003</v>
      </c>
      <c r="D9038" s="51">
        <v>72.0</v>
      </c>
      <c r="E9038" s="52" t="s">
        <v>25</v>
      </c>
      <c r="F9038" s="52" t="s">
        <v>26</v>
      </c>
      <c r="G9038" s="53"/>
    </row>
    <row r="9039">
      <c r="A9039" s="49">
        <v>45116.10810510417</v>
      </c>
      <c r="B9039" s="50">
        <v>45116.2330791319</v>
      </c>
      <c r="C9039" s="51">
        <v>1.004</v>
      </c>
      <c r="D9039" s="51">
        <v>72.0</v>
      </c>
      <c r="E9039" s="52" t="s">
        <v>25</v>
      </c>
      <c r="F9039" s="52" t="s">
        <v>26</v>
      </c>
      <c r="G9039" s="53"/>
    </row>
    <row r="9040">
      <c r="A9040" s="49">
        <v>45116.11853528935</v>
      </c>
      <c r="B9040" s="50">
        <v>45116.2435112847</v>
      </c>
      <c r="C9040" s="51">
        <v>1.004</v>
      </c>
      <c r="D9040" s="51">
        <v>72.0</v>
      </c>
      <c r="E9040" s="52" t="s">
        <v>25</v>
      </c>
      <c r="F9040" s="52" t="s">
        <v>26</v>
      </c>
      <c r="G9040" s="53"/>
    </row>
    <row r="9041">
      <c r="A9041" s="49">
        <v>45116.12895670139</v>
      </c>
      <c r="B9041" s="50">
        <v>45116.2539319328</v>
      </c>
      <c r="C9041" s="51">
        <v>1.004</v>
      </c>
      <c r="D9041" s="51">
        <v>72.0</v>
      </c>
      <c r="E9041" s="52" t="s">
        <v>25</v>
      </c>
      <c r="F9041" s="52" t="s">
        <v>26</v>
      </c>
      <c r="G9041" s="53"/>
    </row>
    <row r="9042">
      <c r="A9042" s="49">
        <v>45116.139380486115</v>
      </c>
      <c r="B9042" s="50">
        <v>45116.2643523263</v>
      </c>
      <c r="C9042" s="51">
        <v>1.004</v>
      </c>
      <c r="D9042" s="51">
        <v>72.0</v>
      </c>
      <c r="E9042" s="52" t="s">
        <v>25</v>
      </c>
      <c r="F9042" s="52" t="s">
        <v>26</v>
      </c>
      <c r="G9042" s="53"/>
    </row>
    <row r="9043">
      <c r="A9043" s="49">
        <v>45116.14979751158</v>
      </c>
      <c r="B9043" s="50">
        <v>45116.2747768402</v>
      </c>
      <c r="C9043" s="51">
        <v>1.004</v>
      </c>
      <c r="D9043" s="51">
        <v>72.0</v>
      </c>
      <c r="E9043" s="52" t="s">
        <v>25</v>
      </c>
      <c r="F9043" s="52" t="s">
        <v>26</v>
      </c>
      <c r="G9043" s="53"/>
    </row>
    <row r="9044">
      <c r="A9044" s="49">
        <v>45116.16024840278</v>
      </c>
      <c r="B9044" s="50">
        <v>45116.2852212037</v>
      </c>
      <c r="C9044" s="51">
        <v>1.003</v>
      </c>
      <c r="D9044" s="51">
        <v>72.0</v>
      </c>
      <c r="E9044" s="52" t="s">
        <v>25</v>
      </c>
      <c r="F9044" s="52" t="s">
        <v>26</v>
      </c>
      <c r="G9044" s="53"/>
    </row>
    <row r="9045">
      <c r="A9045" s="49">
        <v>45116.170678263894</v>
      </c>
      <c r="B9045" s="50">
        <v>45116.2956434027</v>
      </c>
      <c r="C9045" s="51">
        <v>1.004</v>
      </c>
      <c r="D9045" s="51">
        <v>72.0</v>
      </c>
      <c r="E9045" s="52" t="s">
        <v>25</v>
      </c>
      <c r="F9045" s="52" t="s">
        <v>26</v>
      </c>
      <c r="G9045" s="53"/>
    </row>
    <row r="9046">
      <c r="A9046" s="49">
        <v>45116.181090046295</v>
      </c>
      <c r="B9046" s="50">
        <v>45116.3060645139</v>
      </c>
      <c r="C9046" s="51">
        <v>1.004</v>
      </c>
      <c r="D9046" s="51">
        <v>72.0</v>
      </c>
      <c r="E9046" s="52" t="s">
        <v>25</v>
      </c>
      <c r="F9046" s="52" t="s">
        <v>26</v>
      </c>
      <c r="G9046" s="53"/>
    </row>
    <row r="9047">
      <c r="A9047" s="49">
        <v>45116.191505717594</v>
      </c>
      <c r="B9047" s="50">
        <v>45116.3164849652</v>
      </c>
      <c r="C9047" s="51">
        <v>1.004</v>
      </c>
      <c r="D9047" s="51">
        <v>72.0</v>
      </c>
      <c r="E9047" s="52" t="s">
        <v>25</v>
      </c>
      <c r="F9047" s="52" t="s">
        <v>26</v>
      </c>
      <c r="G9047" s="53"/>
    </row>
    <row r="9048">
      <c r="A9048" s="49">
        <v>45116.201946597226</v>
      </c>
      <c r="B9048" s="50">
        <v>45116.3269177314</v>
      </c>
      <c r="C9048" s="51">
        <v>1.004</v>
      </c>
      <c r="D9048" s="51">
        <v>72.0</v>
      </c>
      <c r="E9048" s="52" t="s">
        <v>25</v>
      </c>
      <c r="F9048" s="52" t="s">
        <v>26</v>
      </c>
      <c r="G9048" s="53"/>
    </row>
    <row r="9049">
      <c r="A9049" s="49">
        <v>45116.21236413195</v>
      </c>
      <c r="B9049" s="50">
        <v>45116.3373371643</v>
      </c>
      <c r="C9049" s="51">
        <v>1.004</v>
      </c>
      <c r="D9049" s="51">
        <v>72.0</v>
      </c>
      <c r="E9049" s="52" t="s">
        <v>25</v>
      </c>
      <c r="F9049" s="52" t="s">
        <v>26</v>
      </c>
      <c r="G9049" s="53"/>
    </row>
    <row r="9050">
      <c r="A9050" s="49">
        <v>45116.222780462966</v>
      </c>
      <c r="B9050" s="50">
        <v>45116.3477584259</v>
      </c>
      <c r="C9050" s="51">
        <v>1.004</v>
      </c>
      <c r="D9050" s="51">
        <v>72.0</v>
      </c>
      <c r="E9050" s="52" t="s">
        <v>25</v>
      </c>
      <c r="F9050" s="52" t="s">
        <v>26</v>
      </c>
      <c r="G9050" s="53"/>
    </row>
    <row r="9051">
      <c r="A9051" s="49">
        <v>45116.2332116551</v>
      </c>
      <c r="B9051" s="50">
        <v>45116.3581799537</v>
      </c>
      <c r="C9051" s="51">
        <v>1.004</v>
      </c>
      <c r="D9051" s="51">
        <v>72.0</v>
      </c>
      <c r="E9051" s="52" t="s">
        <v>25</v>
      </c>
      <c r="F9051" s="52" t="s">
        <v>26</v>
      </c>
      <c r="G9051" s="53"/>
    </row>
    <row r="9052">
      <c r="A9052" s="49">
        <v>45116.24362743055</v>
      </c>
      <c r="B9052" s="50">
        <v>45116.3686019444</v>
      </c>
      <c r="C9052" s="51">
        <v>1.003</v>
      </c>
      <c r="D9052" s="51">
        <v>72.0</v>
      </c>
      <c r="E9052" s="52" t="s">
        <v>25</v>
      </c>
      <c r="F9052" s="52" t="s">
        <v>26</v>
      </c>
      <c r="G9052" s="53"/>
    </row>
    <row r="9053">
      <c r="A9053" s="49">
        <v>45116.25404532407</v>
      </c>
      <c r="B9053" s="50">
        <v>45116.3790209953</v>
      </c>
      <c r="C9053" s="51">
        <v>1.004</v>
      </c>
      <c r="D9053" s="51">
        <v>72.0</v>
      </c>
      <c r="E9053" s="52" t="s">
        <v>25</v>
      </c>
      <c r="F9053" s="52" t="s">
        <v>26</v>
      </c>
      <c r="G9053" s="53"/>
    </row>
    <row r="9054">
      <c r="A9054" s="49">
        <v>45116.26446925926</v>
      </c>
      <c r="B9054" s="50">
        <v>45116.3894428472</v>
      </c>
      <c r="C9054" s="51">
        <v>1.004</v>
      </c>
      <c r="D9054" s="51">
        <v>72.0</v>
      </c>
      <c r="E9054" s="52" t="s">
        <v>25</v>
      </c>
      <c r="F9054" s="52" t="s">
        <v>26</v>
      </c>
      <c r="G9054" s="53"/>
    </row>
    <row r="9055">
      <c r="A9055" s="49">
        <v>45116.27490364583</v>
      </c>
      <c r="B9055" s="50">
        <v>45116.3998757523</v>
      </c>
      <c r="C9055" s="51">
        <v>1.003</v>
      </c>
      <c r="D9055" s="51">
        <v>72.0</v>
      </c>
      <c r="E9055" s="52" t="s">
        <v>25</v>
      </c>
      <c r="F9055" s="52" t="s">
        <v>26</v>
      </c>
      <c r="G9055" s="53"/>
    </row>
    <row r="9056">
      <c r="A9056" s="49">
        <v>45116.285331481486</v>
      </c>
      <c r="B9056" s="50">
        <v>45116.4103082639</v>
      </c>
      <c r="C9056" s="51">
        <v>1.004</v>
      </c>
      <c r="D9056" s="51">
        <v>72.0</v>
      </c>
      <c r="E9056" s="52" t="s">
        <v>25</v>
      </c>
      <c r="F9056" s="52" t="s">
        <v>26</v>
      </c>
      <c r="G9056" s="53"/>
    </row>
    <row r="9057">
      <c r="A9057" s="49">
        <v>45116.29577067129</v>
      </c>
      <c r="B9057" s="50">
        <v>45116.4207407175</v>
      </c>
      <c r="C9057" s="51">
        <v>1.004</v>
      </c>
      <c r="D9057" s="51">
        <v>72.0</v>
      </c>
      <c r="E9057" s="52" t="s">
        <v>25</v>
      </c>
      <c r="F9057" s="52" t="s">
        <v>26</v>
      </c>
      <c r="G9057" s="53"/>
    </row>
    <row r="9058">
      <c r="A9058" s="49">
        <v>45116.30619050926</v>
      </c>
      <c r="B9058" s="50">
        <v>45116.4311606597</v>
      </c>
      <c r="C9058" s="51">
        <v>1.004</v>
      </c>
      <c r="D9058" s="51">
        <v>72.0</v>
      </c>
      <c r="E9058" s="52" t="s">
        <v>25</v>
      </c>
      <c r="F9058" s="52" t="s">
        <v>26</v>
      </c>
      <c r="G9058" s="53"/>
    </row>
    <row r="9059">
      <c r="A9059" s="49">
        <v>45116.31661228009</v>
      </c>
      <c r="B9059" s="50">
        <v>45116.4415812963</v>
      </c>
      <c r="C9059" s="51">
        <v>1.004</v>
      </c>
      <c r="D9059" s="51">
        <v>72.0</v>
      </c>
      <c r="E9059" s="52" t="s">
        <v>25</v>
      </c>
      <c r="F9059" s="52" t="s">
        <v>26</v>
      </c>
      <c r="G9059" s="53"/>
    </row>
    <row r="9060">
      <c r="A9060" s="49">
        <v>45116.327026875</v>
      </c>
      <c r="B9060" s="50">
        <v>45116.4520008101</v>
      </c>
      <c r="C9060" s="51">
        <v>1.004</v>
      </c>
      <c r="D9060" s="51">
        <v>72.0</v>
      </c>
      <c r="E9060" s="52" t="s">
        <v>25</v>
      </c>
      <c r="F9060" s="52" t="s">
        <v>26</v>
      </c>
      <c r="G9060" s="53"/>
    </row>
    <row r="9061">
      <c r="A9061" s="49">
        <v>45116.337450127314</v>
      </c>
      <c r="B9061" s="50">
        <v>45116.4624224189</v>
      </c>
      <c r="C9061" s="51">
        <v>1.004</v>
      </c>
      <c r="D9061" s="51">
        <v>72.0</v>
      </c>
      <c r="E9061" s="52" t="s">
        <v>25</v>
      </c>
      <c r="F9061" s="52" t="s">
        <v>26</v>
      </c>
      <c r="G9061" s="53"/>
    </row>
    <row r="9062">
      <c r="A9062" s="49">
        <v>45116.34787590278</v>
      </c>
      <c r="B9062" s="50">
        <v>45116.4728429976</v>
      </c>
      <c r="C9062" s="51">
        <v>1.003</v>
      </c>
      <c r="D9062" s="51">
        <v>72.0</v>
      </c>
      <c r="E9062" s="52" t="s">
        <v>25</v>
      </c>
      <c r="F9062" s="52" t="s">
        <v>26</v>
      </c>
      <c r="G9062" s="53"/>
    </row>
    <row r="9063">
      <c r="A9063" s="49">
        <v>45116.35828799769</v>
      </c>
      <c r="B9063" s="50">
        <v>45116.4832645717</v>
      </c>
      <c r="C9063" s="51">
        <v>1.003</v>
      </c>
      <c r="D9063" s="51">
        <v>72.0</v>
      </c>
      <c r="E9063" s="52" t="s">
        <v>25</v>
      </c>
      <c r="F9063" s="52" t="s">
        <v>26</v>
      </c>
      <c r="G9063" s="53"/>
    </row>
    <row r="9064">
      <c r="A9064" s="49">
        <v>45116.368715150464</v>
      </c>
      <c r="B9064" s="50">
        <v>45116.4936850694</v>
      </c>
      <c r="C9064" s="51">
        <v>1.004</v>
      </c>
      <c r="D9064" s="51">
        <v>72.0</v>
      </c>
      <c r="E9064" s="52" t="s">
        <v>25</v>
      </c>
      <c r="F9064" s="52" t="s">
        <v>26</v>
      </c>
      <c r="G9064" s="53"/>
    </row>
    <row r="9065">
      <c r="A9065" s="49">
        <v>45116.379154062495</v>
      </c>
      <c r="B9065" s="50">
        <v>45116.5041296527</v>
      </c>
      <c r="C9065" s="51">
        <v>1.004</v>
      </c>
      <c r="D9065" s="51">
        <v>72.0</v>
      </c>
      <c r="E9065" s="52" t="s">
        <v>25</v>
      </c>
      <c r="F9065" s="52" t="s">
        <v>26</v>
      </c>
      <c r="G9065" s="53"/>
    </row>
    <row r="9066">
      <c r="A9066" s="49">
        <v>45116.38957758102</v>
      </c>
      <c r="B9066" s="50">
        <v>45116.5145491898</v>
      </c>
      <c r="C9066" s="51">
        <v>1.004</v>
      </c>
      <c r="D9066" s="51">
        <v>72.0</v>
      </c>
      <c r="E9066" s="52" t="s">
        <v>25</v>
      </c>
      <c r="F9066" s="52" t="s">
        <v>26</v>
      </c>
      <c r="G9066" s="53"/>
    </row>
    <row r="9067">
      <c r="A9067" s="49">
        <v>45116.39999413195</v>
      </c>
      <c r="B9067" s="50">
        <v>45116.5249691203</v>
      </c>
      <c r="C9067" s="51">
        <v>1.003</v>
      </c>
      <c r="D9067" s="51">
        <v>72.0</v>
      </c>
      <c r="E9067" s="52" t="s">
        <v>25</v>
      </c>
      <c r="F9067" s="52" t="s">
        <v>26</v>
      </c>
      <c r="G9067" s="53"/>
    </row>
    <row r="9068">
      <c r="A9068" s="49">
        <v>45116.41042158565</v>
      </c>
      <c r="B9068" s="50">
        <v>45116.5353914351</v>
      </c>
      <c r="C9068" s="51">
        <v>1.003</v>
      </c>
      <c r="D9068" s="51">
        <v>72.0</v>
      </c>
      <c r="E9068" s="52" t="s">
        <v>25</v>
      </c>
      <c r="F9068" s="52" t="s">
        <v>26</v>
      </c>
      <c r="G9068" s="53"/>
    </row>
    <row r="9069">
      <c r="A9069" s="49">
        <v>45116.420840833336</v>
      </c>
      <c r="B9069" s="50">
        <v>45116.5458133796</v>
      </c>
      <c r="C9069" s="51">
        <v>1.004</v>
      </c>
      <c r="D9069" s="51">
        <v>72.0</v>
      </c>
      <c r="E9069" s="52" t="s">
        <v>25</v>
      </c>
      <c r="F9069" s="52" t="s">
        <v>26</v>
      </c>
      <c r="G9069" s="53"/>
    </row>
    <row r="9070">
      <c r="A9070" s="49">
        <v>45116.43125459491</v>
      </c>
      <c r="B9070" s="50">
        <v>45116.5562347569</v>
      </c>
      <c r="C9070" s="51">
        <v>1.004</v>
      </c>
      <c r="D9070" s="51">
        <v>72.0</v>
      </c>
      <c r="E9070" s="52" t="s">
        <v>25</v>
      </c>
      <c r="F9070" s="52" t="s">
        <v>26</v>
      </c>
      <c r="G9070" s="53"/>
    </row>
    <row r="9071">
      <c r="A9071" s="49">
        <v>45116.441686122685</v>
      </c>
      <c r="B9071" s="50">
        <v>45116.5666578588</v>
      </c>
      <c r="C9071" s="51">
        <v>1.003</v>
      </c>
      <c r="D9071" s="51">
        <v>72.0</v>
      </c>
      <c r="E9071" s="52" t="s">
        <v>25</v>
      </c>
      <c r="F9071" s="52" t="s">
        <v>26</v>
      </c>
      <c r="G9071" s="53"/>
    </row>
    <row r="9072">
      <c r="A9072" s="49">
        <v>45116.4521002199</v>
      </c>
      <c r="B9072" s="50">
        <v>45116.5770800115</v>
      </c>
      <c r="C9072" s="51">
        <v>1.004</v>
      </c>
      <c r="D9072" s="51">
        <v>72.0</v>
      </c>
      <c r="E9072" s="52" t="s">
        <v>25</v>
      </c>
      <c r="F9072" s="52" t="s">
        <v>26</v>
      </c>
      <c r="G9072" s="53"/>
    </row>
    <row r="9073">
      <c r="A9073" s="49">
        <v>45116.45877732639</v>
      </c>
      <c r="B9073" s="50">
        <v>45116.583744375</v>
      </c>
      <c r="C9073" s="51">
        <v>1.004</v>
      </c>
      <c r="D9073" s="51">
        <v>72.0</v>
      </c>
      <c r="E9073" s="52" t="s">
        <v>25</v>
      </c>
      <c r="F9073" s="52" t="s">
        <v>26</v>
      </c>
      <c r="G9073" s="53"/>
    </row>
    <row r="9074">
      <c r="A9074" s="49">
        <v>45116.46919782407</v>
      </c>
      <c r="B9074" s="50">
        <v>45116.594165324</v>
      </c>
      <c r="C9074" s="51">
        <v>1.004</v>
      </c>
      <c r="D9074" s="51">
        <v>72.0</v>
      </c>
      <c r="E9074" s="52" t="s">
        <v>25</v>
      </c>
      <c r="F9074" s="52" t="s">
        <v>26</v>
      </c>
      <c r="G9074" s="53"/>
    </row>
    <row r="9075">
      <c r="A9075" s="49">
        <v>45116.47962884259</v>
      </c>
      <c r="B9075" s="50">
        <v>45116.604597662</v>
      </c>
      <c r="C9075" s="51">
        <v>1.003</v>
      </c>
      <c r="D9075" s="51">
        <v>72.0</v>
      </c>
      <c r="E9075" s="52" t="s">
        <v>25</v>
      </c>
      <c r="F9075" s="52" t="s">
        <v>26</v>
      </c>
      <c r="G9075" s="53"/>
    </row>
    <row r="9076">
      <c r="A9076" s="49">
        <v>45116.49004532407</v>
      </c>
      <c r="B9076" s="50">
        <v>45116.6150177314</v>
      </c>
      <c r="C9076" s="51">
        <v>1.004</v>
      </c>
      <c r="D9076" s="51">
        <v>72.0</v>
      </c>
      <c r="E9076" s="52" t="s">
        <v>25</v>
      </c>
      <c r="F9076" s="52" t="s">
        <v>26</v>
      </c>
      <c r="G9076" s="53"/>
    </row>
    <row r="9077">
      <c r="A9077" s="49">
        <v>45116.50047255787</v>
      </c>
      <c r="B9077" s="50">
        <v>45116.6254404398</v>
      </c>
      <c r="C9077" s="51">
        <v>1.003</v>
      </c>
      <c r="D9077" s="51">
        <v>72.0</v>
      </c>
      <c r="E9077" s="52" t="s">
        <v>25</v>
      </c>
      <c r="F9077" s="52" t="s">
        <v>26</v>
      </c>
      <c r="G9077" s="53"/>
    </row>
    <row r="9078">
      <c r="A9078" s="49">
        <v>45116.51090403935</v>
      </c>
      <c r="B9078" s="50">
        <v>45116.6358739004</v>
      </c>
      <c r="C9078" s="51">
        <v>1.004</v>
      </c>
      <c r="D9078" s="51">
        <v>72.0</v>
      </c>
      <c r="E9078" s="52" t="s">
        <v>25</v>
      </c>
      <c r="F9078" s="52" t="s">
        <v>26</v>
      </c>
      <c r="G9078" s="53"/>
    </row>
    <row r="9079">
      <c r="A9079" s="49">
        <v>45116.521324664354</v>
      </c>
      <c r="B9079" s="50">
        <v>45116.6462967592</v>
      </c>
      <c r="C9079" s="51">
        <v>1.004</v>
      </c>
      <c r="D9079" s="51">
        <v>72.0</v>
      </c>
      <c r="E9079" s="52" t="s">
        <v>25</v>
      </c>
      <c r="F9079" s="52" t="s">
        <v>26</v>
      </c>
      <c r="G9079" s="53"/>
    </row>
    <row r="9080">
      <c r="A9080" s="49">
        <v>45116.531759247686</v>
      </c>
      <c r="B9080" s="50">
        <v>45116.6567393518</v>
      </c>
      <c r="C9080" s="51">
        <v>1.004</v>
      </c>
      <c r="D9080" s="51">
        <v>72.0</v>
      </c>
      <c r="E9080" s="52" t="s">
        <v>25</v>
      </c>
      <c r="F9080" s="52" t="s">
        <v>26</v>
      </c>
      <c r="G9080" s="53"/>
    </row>
    <row r="9081">
      <c r="A9081" s="49">
        <v>45116.542188321764</v>
      </c>
      <c r="B9081" s="50">
        <v>45116.6671619791</v>
      </c>
      <c r="C9081" s="51">
        <v>1.004</v>
      </c>
      <c r="D9081" s="51">
        <v>72.0</v>
      </c>
      <c r="E9081" s="52" t="s">
        <v>25</v>
      </c>
      <c r="F9081" s="52" t="s">
        <v>26</v>
      </c>
      <c r="G9081" s="53"/>
    </row>
    <row r="9082">
      <c r="A9082" s="49">
        <v>45116.55260783565</v>
      </c>
      <c r="B9082" s="50">
        <v>45116.6775810185</v>
      </c>
      <c r="C9082" s="51">
        <v>1.004</v>
      </c>
      <c r="D9082" s="51">
        <v>72.0</v>
      </c>
      <c r="E9082" s="52" t="s">
        <v>25</v>
      </c>
      <c r="F9082" s="52" t="s">
        <v>26</v>
      </c>
      <c r="G9082" s="53"/>
    </row>
    <row r="9083">
      <c r="A9083" s="49">
        <v>45116.56302938657</v>
      </c>
      <c r="B9083" s="50">
        <v>45116.6880034027</v>
      </c>
      <c r="C9083" s="51">
        <v>1.004</v>
      </c>
      <c r="D9083" s="51">
        <v>72.0</v>
      </c>
      <c r="E9083" s="52" t="s">
        <v>25</v>
      </c>
      <c r="F9083" s="52" t="s">
        <v>26</v>
      </c>
      <c r="G9083" s="53"/>
    </row>
    <row r="9084">
      <c r="A9084" s="49">
        <v>45116.57346712963</v>
      </c>
      <c r="B9084" s="50">
        <v>45116.6984376967</v>
      </c>
      <c r="C9084" s="51">
        <v>1.004</v>
      </c>
      <c r="D9084" s="51">
        <v>72.0</v>
      </c>
      <c r="E9084" s="52" t="s">
        <v>25</v>
      </c>
      <c r="F9084" s="52" t="s">
        <v>26</v>
      </c>
      <c r="G9084" s="53"/>
    </row>
    <row r="9085">
      <c r="A9085" s="49">
        <v>45116.58388813658</v>
      </c>
      <c r="B9085" s="50">
        <v>45116.7088587384</v>
      </c>
      <c r="C9085" s="51">
        <v>1.003</v>
      </c>
      <c r="D9085" s="51">
        <v>72.0</v>
      </c>
      <c r="E9085" s="52" t="s">
        <v>25</v>
      </c>
      <c r="F9085" s="52" t="s">
        <v>26</v>
      </c>
      <c r="G9085" s="53"/>
    </row>
    <row r="9086">
      <c r="A9086" s="49">
        <v>45116.59430560185</v>
      </c>
      <c r="B9086" s="50">
        <v>45116.7192807754</v>
      </c>
      <c r="C9086" s="51">
        <v>1.003</v>
      </c>
      <c r="D9086" s="51">
        <v>72.0</v>
      </c>
      <c r="E9086" s="52" t="s">
        <v>25</v>
      </c>
      <c r="F9086" s="52" t="s">
        <v>26</v>
      </c>
      <c r="G9086" s="53"/>
    </row>
    <row r="9087">
      <c r="A9087" s="49">
        <v>45116.60474599537</v>
      </c>
      <c r="B9087" s="50">
        <v>45116.729700625</v>
      </c>
      <c r="C9087" s="51">
        <v>1.003</v>
      </c>
      <c r="D9087" s="51">
        <v>72.0</v>
      </c>
      <c r="E9087" s="52" t="s">
        <v>25</v>
      </c>
      <c r="F9087" s="52" t="s">
        <v>26</v>
      </c>
      <c r="G9087" s="53"/>
    </row>
    <row r="9088">
      <c r="A9088" s="49">
        <v>45116.61515565972</v>
      </c>
      <c r="B9088" s="50">
        <v>45116.7401340625</v>
      </c>
      <c r="C9088" s="51">
        <v>1.004</v>
      </c>
      <c r="D9088" s="51">
        <v>72.0</v>
      </c>
      <c r="E9088" s="52" t="s">
        <v>25</v>
      </c>
      <c r="F9088" s="52" t="s">
        <v>26</v>
      </c>
      <c r="G9088" s="53"/>
    </row>
    <row r="9089">
      <c r="A9089" s="49">
        <v>45116.62557730324</v>
      </c>
      <c r="B9089" s="50">
        <v>45116.7505551967</v>
      </c>
      <c r="C9089" s="51">
        <v>1.003</v>
      </c>
      <c r="D9089" s="51">
        <v>72.0</v>
      </c>
      <c r="E9089" s="52" t="s">
        <v>25</v>
      </c>
      <c r="F9089" s="52" t="s">
        <v>26</v>
      </c>
      <c r="G9089" s="53"/>
    </row>
    <row r="9090">
      <c r="A9090" s="49">
        <v>45116.63599766204</v>
      </c>
      <c r="B9090" s="50">
        <v>45116.7609771064</v>
      </c>
      <c r="C9090" s="51">
        <v>1.004</v>
      </c>
      <c r="D9090" s="51">
        <v>72.0</v>
      </c>
      <c r="E9090" s="52" t="s">
        <v>25</v>
      </c>
      <c r="F9090" s="52" t="s">
        <v>26</v>
      </c>
      <c r="G9090" s="53"/>
    </row>
    <row r="9091">
      <c r="A9091" s="49">
        <v>45116.64642583333</v>
      </c>
      <c r="B9091" s="50">
        <v>45116.7713991435</v>
      </c>
      <c r="C9091" s="51">
        <v>1.003</v>
      </c>
      <c r="D9091" s="51">
        <v>72.0</v>
      </c>
      <c r="E9091" s="52" t="s">
        <v>25</v>
      </c>
      <c r="F9091" s="52" t="s">
        <v>26</v>
      </c>
      <c r="G9091" s="53"/>
    </row>
    <row r="9092">
      <c r="A9092" s="49">
        <v>45116.65684831019</v>
      </c>
      <c r="B9092" s="50">
        <v>45116.7818186342</v>
      </c>
      <c r="C9092" s="51">
        <v>1.004</v>
      </c>
      <c r="D9092" s="51">
        <v>72.0</v>
      </c>
      <c r="E9092" s="52" t="s">
        <v>25</v>
      </c>
      <c r="F9092" s="52" t="s">
        <v>26</v>
      </c>
      <c r="G9092" s="53"/>
    </row>
    <row r="9093">
      <c r="A9093" s="49">
        <v>45116.66726594907</v>
      </c>
      <c r="B9093" s="50">
        <v>45116.792240706</v>
      </c>
      <c r="C9093" s="51">
        <v>1.004</v>
      </c>
      <c r="D9093" s="51">
        <v>72.0</v>
      </c>
      <c r="E9093" s="52" t="s">
        <v>25</v>
      </c>
      <c r="F9093" s="52" t="s">
        <v>26</v>
      </c>
      <c r="G9093" s="53"/>
    </row>
    <row r="9094">
      <c r="A9094" s="49">
        <v>45116.67768447917</v>
      </c>
      <c r="B9094" s="50">
        <v>45116.8026605439</v>
      </c>
      <c r="C9094" s="51">
        <v>1.004</v>
      </c>
      <c r="D9094" s="51">
        <v>72.0</v>
      </c>
      <c r="E9094" s="52" t="s">
        <v>25</v>
      </c>
      <c r="F9094" s="52" t="s">
        <v>26</v>
      </c>
      <c r="G9094" s="53"/>
    </row>
    <row r="9095">
      <c r="A9095" s="49">
        <v>45116.68811199074</v>
      </c>
      <c r="B9095" s="50">
        <v>45116.8130825694</v>
      </c>
      <c r="C9095" s="51">
        <v>1.004</v>
      </c>
      <c r="D9095" s="51">
        <v>72.0</v>
      </c>
      <c r="E9095" s="52" t="s">
        <v>25</v>
      </c>
      <c r="F9095" s="52" t="s">
        <v>26</v>
      </c>
      <c r="G9095" s="53"/>
    </row>
    <row r="9096">
      <c r="A9096" s="49">
        <v>45116.698562743055</v>
      </c>
      <c r="B9096" s="50">
        <v>45116.8235377662</v>
      </c>
      <c r="C9096" s="51">
        <v>1.003</v>
      </c>
      <c r="D9096" s="51">
        <v>72.0</v>
      </c>
      <c r="E9096" s="52" t="s">
        <v>25</v>
      </c>
      <c r="F9096" s="52" t="s">
        <v>26</v>
      </c>
      <c r="G9096" s="53"/>
    </row>
    <row r="9097">
      <c r="A9097" s="49">
        <v>45116.708992824075</v>
      </c>
      <c r="B9097" s="50">
        <v>45116.8339620949</v>
      </c>
      <c r="C9097" s="51">
        <v>1.004</v>
      </c>
      <c r="D9097" s="51">
        <v>72.0</v>
      </c>
      <c r="E9097" s="52" t="s">
        <v>25</v>
      </c>
      <c r="F9097" s="52" t="s">
        <v>26</v>
      </c>
      <c r="G9097" s="53"/>
    </row>
    <row r="9098">
      <c r="A9098" s="49">
        <v>45116.71940938657</v>
      </c>
      <c r="B9098" s="50">
        <v>45116.8443824768</v>
      </c>
      <c r="C9098" s="51">
        <v>1.004</v>
      </c>
      <c r="D9098" s="51">
        <v>72.0</v>
      </c>
      <c r="E9098" s="52" t="s">
        <v>25</v>
      </c>
      <c r="F9098" s="52" t="s">
        <v>26</v>
      </c>
      <c r="G9098" s="53"/>
    </row>
    <row r="9099">
      <c r="A9099" s="49">
        <v>45116.729846076385</v>
      </c>
      <c r="B9099" s="50">
        <v>45116.8548269907</v>
      </c>
      <c r="C9099" s="51">
        <v>1.003</v>
      </c>
      <c r="D9099" s="51">
        <v>72.0</v>
      </c>
      <c r="E9099" s="52" t="s">
        <v>25</v>
      </c>
      <c r="F9099" s="52" t="s">
        <v>26</v>
      </c>
      <c r="G9099" s="53"/>
    </row>
    <row r="9100">
      <c r="A9100" s="49">
        <v>45116.74028070601</v>
      </c>
      <c r="B9100" s="50">
        <v>45116.8652480555</v>
      </c>
      <c r="C9100" s="51">
        <v>1.004</v>
      </c>
      <c r="D9100" s="51">
        <v>72.0</v>
      </c>
      <c r="E9100" s="52" t="s">
        <v>25</v>
      </c>
      <c r="F9100" s="52" t="s">
        <v>26</v>
      </c>
      <c r="G9100" s="53"/>
    </row>
    <row r="9101">
      <c r="A9101" s="49">
        <v>45116.75071302083</v>
      </c>
      <c r="B9101" s="50">
        <v>45116.8756809722</v>
      </c>
      <c r="C9101" s="51">
        <v>1.004</v>
      </c>
      <c r="D9101" s="51">
        <v>72.0</v>
      </c>
      <c r="E9101" s="52" t="s">
        <v>25</v>
      </c>
      <c r="F9101" s="52" t="s">
        <v>26</v>
      </c>
      <c r="G9101" s="53"/>
    </row>
    <row r="9102">
      <c r="A9102" s="49">
        <v>45116.76112930555</v>
      </c>
      <c r="B9102" s="50">
        <v>45116.8860989351</v>
      </c>
      <c r="C9102" s="51">
        <v>1.004</v>
      </c>
      <c r="D9102" s="51">
        <v>72.0</v>
      </c>
      <c r="E9102" s="52" t="s">
        <v>25</v>
      </c>
      <c r="F9102" s="52" t="s">
        <v>26</v>
      </c>
      <c r="G9102" s="53"/>
    </row>
    <row r="9103">
      <c r="A9103" s="49">
        <v>45116.77155765046</v>
      </c>
      <c r="B9103" s="50">
        <v>45116.8965312963</v>
      </c>
      <c r="C9103" s="51">
        <v>1.004</v>
      </c>
      <c r="D9103" s="51">
        <v>72.0</v>
      </c>
      <c r="E9103" s="52" t="s">
        <v>25</v>
      </c>
      <c r="F9103" s="52" t="s">
        <v>26</v>
      </c>
      <c r="G9103" s="53"/>
    </row>
    <row r="9104">
      <c r="A9104" s="49">
        <v>45116.7819729051</v>
      </c>
      <c r="B9104" s="50">
        <v>45116.9069526157</v>
      </c>
      <c r="C9104" s="51">
        <v>1.004</v>
      </c>
      <c r="D9104" s="51">
        <v>72.0</v>
      </c>
      <c r="E9104" s="52" t="s">
        <v>25</v>
      </c>
      <c r="F9104" s="52" t="s">
        <v>26</v>
      </c>
      <c r="G9104" s="53"/>
    </row>
    <row r="9105">
      <c r="A9105" s="49">
        <v>45116.79239236111</v>
      </c>
      <c r="B9105" s="50">
        <v>45116.9173718865</v>
      </c>
      <c r="C9105" s="51">
        <v>1.004</v>
      </c>
      <c r="D9105" s="51">
        <v>72.0</v>
      </c>
      <c r="E9105" s="52" t="s">
        <v>25</v>
      </c>
      <c r="F9105" s="52" t="s">
        <v>26</v>
      </c>
      <c r="G9105" s="53"/>
    </row>
    <row r="9106">
      <c r="A9106" s="49">
        <v>45116.802825011575</v>
      </c>
      <c r="B9106" s="50">
        <v>45116.9277920023</v>
      </c>
      <c r="C9106" s="51">
        <v>1.004</v>
      </c>
      <c r="D9106" s="51">
        <v>72.0</v>
      </c>
      <c r="E9106" s="52" t="s">
        <v>25</v>
      </c>
      <c r="F9106" s="52" t="s">
        <v>26</v>
      </c>
      <c r="G9106" s="53"/>
    </row>
    <row r="9107">
      <c r="A9107" s="49">
        <v>45116.813240393516</v>
      </c>
      <c r="B9107" s="50">
        <v>45116.938212905</v>
      </c>
      <c r="C9107" s="51">
        <v>1.004</v>
      </c>
      <c r="D9107" s="51">
        <v>72.0</v>
      </c>
      <c r="E9107" s="52" t="s">
        <v>25</v>
      </c>
      <c r="F9107" s="52" t="s">
        <v>26</v>
      </c>
      <c r="G9107" s="53"/>
    </row>
    <row r="9108">
      <c r="A9108" s="49">
        <v>45116.82366369213</v>
      </c>
      <c r="B9108" s="50">
        <v>45116.948635243</v>
      </c>
      <c r="C9108" s="51">
        <v>1.003</v>
      </c>
      <c r="D9108" s="51">
        <v>72.0</v>
      </c>
      <c r="E9108" s="52" t="s">
        <v>25</v>
      </c>
      <c r="F9108" s="52" t="s">
        <v>26</v>
      </c>
      <c r="G9108" s="53"/>
    </row>
    <row r="9109">
      <c r="A9109" s="49">
        <v>45116.834095625</v>
      </c>
      <c r="B9109" s="50">
        <v>45116.9590681018</v>
      </c>
      <c r="C9109" s="51">
        <v>1.004</v>
      </c>
      <c r="D9109" s="51">
        <v>72.0</v>
      </c>
      <c r="E9109" s="52" t="s">
        <v>25</v>
      </c>
      <c r="F9109" s="52" t="s">
        <v>26</v>
      </c>
      <c r="G9109" s="53"/>
    </row>
    <row r="9110">
      <c r="A9110" s="49">
        <v>45116.84452479167</v>
      </c>
      <c r="B9110" s="50">
        <v>45116.9694903819</v>
      </c>
      <c r="C9110" s="51">
        <v>1.004</v>
      </c>
      <c r="D9110" s="51">
        <v>72.0</v>
      </c>
      <c r="E9110" s="52" t="s">
        <v>25</v>
      </c>
      <c r="F9110" s="52" t="s">
        <v>26</v>
      </c>
      <c r="G9110" s="53"/>
    </row>
    <row r="9111">
      <c r="A9111" s="49">
        <v>45116.8549490625</v>
      </c>
      <c r="B9111" s="50">
        <v>45116.9799248032</v>
      </c>
      <c r="C9111" s="51">
        <v>1.004</v>
      </c>
      <c r="D9111" s="51">
        <v>72.0</v>
      </c>
      <c r="E9111" s="52" t="s">
        <v>25</v>
      </c>
      <c r="F9111" s="52" t="s">
        <v>26</v>
      </c>
      <c r="G9111" s="53"/>
    </row>
    <row r="9112">
      <c r="A9112" s="49">
        <v>45116.86537759259</v>
      </c>
      <c r="B9112" s="50">
        <v>45116.990345243</v>
      </c>
      <c r="C9112" s="51">
        <v>1.004</v>
      </c>
      <c r="D9112" s="51">
        <v>72.0</v>
      </c>
      <c r="E9112" s="52" t="s">
        <v>25</v>
      </c>
      <c r="F9112" s="52" t="s">
        <v>26</v>
      </c>
      <c r="G9112" s="53"/>
    </row>
    <row r="9113">
      <c r="A9113" s="49">
        <v>45116.87579133102</v>
      </c>
      <c r="B9113" s="50">
        <v>45117.0007678935</v>
      </c>
      <c r="C9113" s="51">
        <v>1.003</v>
      </c>
      <c r="D9113" s="51">
        <v>72.0</v>
      </c>
      <c r="E9113" s="52" t="s">
        <v>25</v>
      </c>
      <c r="F9113" s="52" t="s">
        <v>26</v>
      </c>
      <c r="G9113" s="53"/>
    </row>
    <row r="9114">
      <c r="A9114" s="49">
        <v>45116.886217708336</v>
      </c>
      <c r="B9114" s="50">
        <v>45117.0111900231</v>
      </c>
      <c r="C9114" s="51">
        <v>1.003</v>
      </c>
      <c r="D9114" s="51">
        <v>72.0</v>
      </c>
      <c r="E9114" s="52" t="s">
        <v>25</v>
      </c>
      <c r="F9114" s="52" t="s">
        <v>26</v>
      </c>
      <c r="G9114" s="53"/>
    </row>
    <row r="9115">
      <c r="A9115" s="49">
        <v>45116.89665444444</v>
      </c>
      <c r="B9115" s="50">
        <v>45117.0216233796</v>
      </c>
      <c r="C9115" s="51">
        <v>1.003</v>
      </c>
      <c r="D9115" s="51">
        <v>72.0</v>
      </c>
      <c r="E9115" s="52" t="s">
        <v>25</v>
      </c>
      <c r="F9115" s="52" t="s">
        <v>26</v>
      </c>
      <c r="G9115" s="53"/>
    </row>
    <row r="9116">
      <c r="A9116" s="49">
        <v>45116.90707703704</v>
      </c>
      <c r="B9116" s="50">
        <v>45117.0320460532</v>
      </c>
      <c r="C9116" s="51">
        <v>1.004</v>
      </c>
      <c r="D9116" s="51">
        <v>72.0</v>
      </c>
      <c r="E9116" s="52" t="s">
        <v>25</v>
      </c>
      <c r="F9116" s="52" t="s">
        <v>26</v>
      </c>
      <c r="G9116" s="53"/>
    </row>
    <row r="9117">
      <c r="A9117" s="49">
        <v>45116.91750440972</v>
      </c>
      <c r="B9117" s="50">
        <v>45117.0424677083</v>
      </c>
      <c r="C9117" s="51">
        <v>1.004</v>
      </c>
      <c r="D9117" s="51">
        <v>72.0</v>
      </c>
      <c r="E9117" s="52" t="s">
        <v>25</v>
      </c>
      <c r="F9117" s="52" t="s">
        <v>26</v>
      </c>
      <c r="G9117" s="53"/>
    </row>
    <row r="9118">
      <c r="A9118" s="49">
        <v>45116.927920069444</v>
      </c>
      <c r="B9118" s="50">
        <v>45117.05288875</v>
      </c>
      <c r="C9118" s="51">
        <v>1.004</v>
      </c>
      <c r="D9118" s="51">
        <v>72.0</v>
      </c>
      <c r="E9118" s="52" t="s">
        <v>25</v>
      </c>
      <c r="F9118" s="52" t="s">
        <v>26</v>
      </c>
      <c r="G9118" s="53"/>
    </row>
    <row r="9119">
      <c r="A9119" s="49">
        <v>45116.93833996527</v>
      </c>
      <c r="B9119" s="50">
        <v>45117.0633098842</v>
      </c>
      <c r="C9119" s="51">
        <v>1.004</v>
      </c>
      <c r="D9119" s="51">
        <v>72.0</v>
      </c>
      <c r="E9119" s="52" t="s">
        <v>25</v>
      </c>
      <c r="F9119" s="52" t="s">
        <v>26</v>
      </c>
      <c r="G9119" s="53"/>
    </row>
    <row r="9120">
      <c r="A9120" s="49">
        <v>45116.94878832176</v>
      </c>
      <c r="B9120" s="50">
        <v>45117.0737672453</v>
      </c>
      <c r="C9120" s="51">
        <v>1.004</v>
      </c>
      <c r="D9120" s="51">
        <v>72.0</v>
      </c>
      <c r="E9120" s="52" t="s">
        <v>25</v>
      </c>
      <c r="F9120" s="52" t="s">
        <v>26</v>
      </c>
      <c r="G9120" s="53"/>
    </row>
    <row r="9121">
      <c r="A9121" s="49">
        <v>45116.95924111111</v>
      </c>
      <c r="B9121" s="50">
        <v>45117.0842006134</v>
      </c>
      <c r="C9121" s="51">
        <v>1.004</v>
      </c>
      <c r="D9121" s="51">
        <v>72.0</v>
      </c>
      <c r="E9121" s="52" t="s">
        <v>25</v>
      </c>
      <c r="F9121" s="52" t="s">
        <v>26</v>
      </c>
      <c r="G9121" s="53"/>
    </row>
    <row r="9122">
      <c r="A9122" s="49">
        <v>45116.96964581018</v>
      </c>
      <c r="B9122" s="50">
        <v>45117.0946218055</v>
      </c>
      <c r="C9122" s="51">
        <v>1.003</v>
      </c>
      <c r="D9122" s="51">
        <v>72.0</v>
      </c>
      <c r="E9122" s="52" t="s">
        <v>25</v>
      </c>
      <c r="F9122" s="52" t="s">
        <v>26</v>
      </c>
      <c r="G9122" s="53"/>
    </row>
    <row r="9123">
      <c r="A9123" s="49">
        <v>45116.98007282407</v>
      </c>
      <c r="B9123" s="50">
        <v>45117.1050446412</v>
      </c>
      <c r="C9123" s="51">
        <v>1.004</v>
      </c>
      <c r="D9123" s="51">
        <v>72.0</v>
      </c>
      <c r="E9123" s="52" t="s">
        <v>25</v>
      </c>
      <c r="F9123" s="52" t="s">
        <v>26</v>
      </c>
      <c r="G9123" s="53"/>
    </row>
    <row r="9124">
      <c r="A9124" s="49">
        <v>45116.99050143518</v>
      </c>
      <c r="B9124" s="50">
        <v>45117.1154766666</v>
      </c>
      <c r="C9124" s="51">
        <v>1.004</v>
      </c>
      <c r="D9124" s="51">
        <v>72.0</v>
      </c>
      <c r="E9124" s="52" t="s">
        <v>25</v>
      </c>
      <c r="F9124" s="52" t="s">
        <v>26</v>
      </c>
      <c r="G9124" s="53"/>
    </row>
    <row r="9125">
      <c r="A9125" s="49">
        <v>45117.00099393519</v>
      </c>
      <c r="B9125" s="50">
        <v>45117.1259189699</v>
      </c>
      <c r="C9125" s="51">
        <v>1.003</v>
      </c>
      <c r="D9125" s="51">
        <v>72.0</v>
      </c>
      <c r="E9125" s="52" t="s">
        <v>25</v>
      </c>
      <c r="F9125" s="52" t="s">
        <v>26</v>
      </c>
      <c r="G9125" s="53"/>
    </row>
    <row r="9126">
      <c r="A9126" s="49">
        <v>45117.01140469908</v>
      </c>
      <c r="B9126" s="50">
        <v>45117.1363404745</v>
      </c>
      <c r="C9126" s="51">
        <v>1.004</v>
      </c>
      <c r="D9126" s="51">
        <v>72.0</v>
      </c>
      <c r="E9126" s="52" t="s">
        <v>25</v>
      </c>
      <c r="F9126" s="52" t="s">
        <v>26</v>
      </c>
      <c r="G9126" s="53"/>
    </row>
    <row r="9127">
      <c r="A9127" s="49">
        <v>45117.021844375</v>
      </c>
      <c r="B9127" s="50">
        <v>45117.1467731481</v>
      </c>
      <c r="C9127" s="51">
        <v>1.003</v>
      </c>
      <c r="D9127" s="51">
        <v>72.0</v>
      </c>
      <c r="E9127" s="52" t="s">
        <v>25</v>
      </c>
      <c r="F9127" s="52" t="s">
        <v>26</v>
      </c>
      <c r="G9127" s="53"/>
    </row>
    <row r="9128">
      <c r="A9128" s="49">
        <v>45117.032260625</v>
      </c>
      <c r="B9128" s="50">
        <v>45117.1571933912</v>
      </c>
      <c r="C9128" s="51">
        <v>1.004</v>
      </c>
      <c r="D9128" s="51">
        <v>72.0</v>
      </c>
      <c r="E9128" s="52" t="s">
        <v>25</v>
      </c>
      <c r="F9128" s="52" t="s">
        <v>26</v>
      </c>
      <c r="G9128" s="53"/>
    </row>
    <row r="9129">
      <c r="A9129" s="49">
        <v>45117.04268875</v>
      </c>
      <c r="B9129" s="50">
        <v>45117.1676141203</v>
      </c>
      <c r="C9129" s="51">
        <v>1.003</v>
      </c>
      <c r="D9129" s="51">
        <v>72.0</v>
      </c>
      <c r="E9129" s="52" t="s">
        <v>25</v>
      </c>
      <c r="F9129" s="52" t="s">
        <v>26</v>
      </c>
      <c r="G9129" s="53"/>
    </row>
    <row r="9130">
      <c r="A9130" s="49">
        <v>45117.053062743056</v>
      </c>
      <c r="B9130" s="50">
        <v>45117.1780329629</v>
      </c>
      <c r="C9130" s="51">
        <v>1.004</v>
      </c>
      <c r="D9130" s="51">
        <v>72.0</v>
      </c>
      <c r="E9130" s="52" t="s">
        <v>25</v>
      </c>
      <c r="F9130" s="52" t="s">
        <v>26</v>
      </c>
      <c r="G9130" s="53"/>
    </row>
    <row r="9131">
      <c r="A9131" s="49">
        <v>45117.063479062504</v>
      </c>
      <c r="B9131" s="50">
        <v>45117.1884541319</v>
      </c>
      <c r="C9131" s="51">
        <v>1.004</v>
      </c>
      <c r="D9131" s="51">
        <v>72.0</v>
      </c>
      <c r="E9131" s="52" t="s">
        <v>25</v>
      </c>
      <c r="F9131" s="52" t="s">
        <v>26</v>
      </c>
      <c r="G9131" s="53"/>
    </row>
    <row r="9132">
      <c r="A9132" s="49">
        <v>45117.07395888889</v>
      </c>
      <c r="B9132" s="50">
        <v>45117.1988870138</v>
      </c>
      <c r="C9132" s="51">
        <v>1.003</v>
      </c>
      <c r="D9132" s="51">
        <v>72.0</v>
      </c>
      <c r="E9132" s="52" t="s">
        <v>25</v>
      </c>
      <c r="F9132" s="52" t="s">
        <v>26</v>
      </c>
      <c r="G9132" s="53"/>
    </row>
    <row r="9133">
      <c r="A9133" s="49">
        <v>45117.08434103009</v>
      </c>
      <c r="B9133" s="50">
        <v>45117.2093083217</v>
      </c>
      <c r="C9133" s="51">
        <v>1.003</v>
      </c>
      <c r="D9133" s="51">
        <v>72.0</v>
      </c>
      <c r="E9133" s="52" t="s">
        <v>25</v>
      </c>
      <c r="F9133" s="52" t="s">
        <v>26</v>
      </c>
      <c r="G9133" s="53"/>
    </row>
    <row r="9134">
      <c r="A9134" s="49">
        <v>45117.094752881945</v>
      </c>
      <c r="B9134" s="50">
        <v>45117.2197300347</v>
      </c>
      <c r="C9134" s="51">
        <v>1.004</v>
      </c>
      <c r="D9134" s="51">
        <v>72.0</v>
      </c>
      <c r="E9134" s="52" t="s">
        <v>25</v>
      </c>
      <c r="F9134" s="52" t="s">
        <v>26</v>
      </c>
      <c r="G9134" s="53"/>
    </row>
    <row r="9135">
      <c r="A9135" s="49">
        <v>45117.10517746527</v>
      </c>
      <c r="B9135" s="50">
        <v>45117.2301516203</v>
      </c>
      <c r="C9135" s="51">
        <v>1.004</v>
      </c>
      <c r="D9135" s="51">
        <v>72.0</v>
      </c>
      <c r="E9135" s="52" t="s">
        <v>25</v>
      </c>
      <c r="F9135" s="52" t="s">
        <v>26</v>
      </c>
      <c r="G9135" s="53"/>
    </row>
    <row r="9136">
      <c r="A9136" s="49">
        <v>45117.11560392361</v>
      </c>
      <c r="B9136" s="50">
        <v>45117.2405719328</v>
      </c>
      <c r="C9136" s="51">
        <v>1.004</v>
      </c>
      <c r="D9136" s="51">
        <v>72.0</v>
      </c>
      <c r="E9136" s="52" t="s">
        <v>25</v>
      </c>
      <c r="F9136" s="52" t="s">
        <v>26</v>
      </c>
      <c r="G9136" s="53"/>
    </row>
    <row r="9137">
      <c r="A9137" s="49">
        <v>45117.126056458335</v>
      </c>
      <c r="B9137" s="50">
        <v>45117.2510264814</v>
      </c>
      <c r="C9137" s="51">
        <v>1.003</v>
      </c>
      <c r="D9137" s="51">
        <v>72.0</v>
      </c>
      <c r="E9137" s="52" t="s">
        <v>25</v>
      </c>
      <c r="F9137" s="52" t="s">
        <v>26</v>
      </c>
      <c r="G9137" s="53"/>
    </row>
    <row r="9138">
      <c r="A9138" s="49">
        <v>45117.13647925926</v>
      </c>
      <c r="B9138" s="50">
        <v>45117.2614474884</v>
      </c>
      <c r="C9138" s="51">
        <v>1.004</v>
      </c>
      <c r="D9138" s="51">
        <v>72.0</v>
      </c>
      <c r="E9138" s="52" t="s">
        <v>25</v>
      </c>
      <c r="F9138" s="52" t="s">
        <v>26</v>
      </c>
      <c r="G9138" s="53"/>
    </row>
    <row r="9139">
      <c r="A9139" s="49">
        <v>45117.146906678245</v>
      </c>
      <c r="B9139" s="50">
        <v>45117.2718693055</v>
      </c>
      <c r="C9139" s="51">
        <v>1.004</v>
      </c>
      <c r="D9139" s="51">
        <v>72.0</v>
      </c>
      <c r="E9139" s="52" t="s">
        <v>25</v>
      </c>
      <c r="F9139" s="52" t="s">
        <v>26</v>
      </c>
      <c r="G9139" s="53"/>
    </row>
    <row r="9140">
      <c r="A9140" s="49">
        <v>45117.1573224537</v>
      </c>
      <c r="B9140" s="50">
        <v>45117.2822898263</v>
      </c>
      <c r="C9140" s="51">
        <v>1.004</v>
      </c>
      <c r="D9140" s="51">
        <v>72.0</v>
      </c>
      <c r="E9140" s="52" t="s">
        <v>25</v>
      </c>
      <c r="F9140" s="52" t="s">
        <v>26</v>
      </c>
      <c r="G9140" s="53"/>
    </row>
    <row r="9141">
      <c r="A9141" s="49">
        <v>45117.167743611106</v>
      </c>
      <c r="B9141" s="50">
        <v>45117.2927106481</v>
      </c>
      <c r="C9141" s="51">
        <v>1.004</v>
      </c>
      <c r="D9141" s="51">
        <v>72.0</v>
      </c>
      <c r="E9141" s="52" t="s">
        <v>25</v>
      </c>
      <c r="F9141" s="52" t="s">
        <v>26</v>
      </c>
      <c r="G9141" s="53"/>
    </row>
    <row r="9142">
      <c r="A9142" s="49">
        <v>45117.17816193287</v>
      </c>
      <c r="B9142" s="50">
        <v>45117.303130625</v>
      </c>
      <c r="C9142" s="51">
        <v>1.004</v>
      </c>
      <c r="D9142" s="51">
        <v>72.0</v>
      </c>
      <c r="E9142" s="52" t="s">
        <v>25</v>
      </c>
      <c r="F9142" s="52" t="s">
        <v>26</v>
      </c>
      <c r="G9142" s="53"/>
    </row>
    <row r="9143">
      <c r="A9143" s="49">
        <v>45117.18857543981</v>
      </c>
      <c r="B9143" s="50">
        <v>45117.3135523611</v>
      </c>
      <c r="C9143" s="51">
        <v>1.003</v>
      </c>
      <c r="D9143" s="51">
        <v>72.0</v>
      </c>
      <c r="E9143" s="52" t="s">
        <v>25</v>
      </c>
      <c r="F9143" s="52" t="s">
        <v>26</v>
      </c>
      <c r="G9143" s="53"/>
    </row>
    <row r="9144">
      <c r="A9144" s="49">
        <v>45117.199010763885</v>
      </c>
      <c r="B9144" s="50">
        <v>45117.3239741088</v>
      </c>
      <c r="C9144" s="51">
        <v>1.004</v>
      </c>
      <c r="D9144" s="51">
        <v>72.0</v>
      </c>
      <c r="E9144" s="52" t="s">
        <v>25</v>
      </c>
      <c r="F9144" s="52" t="s">
        <v>26</v>
      </c>
      <c r="G9144" s="53"/>
    </row>
    <row r="9145">
      <c r="A9145" s="49">
        <v>45117.209435474535</v>
      </c>
      <c r="B9145" s="50">
        <v>45117.3344053356</v>
      </c>
      <c r="C9145" s="51">
        <v>1.004</v>
      </c>
      <c r="D9145" s="51">
        <v>72.0</v>
      </c>
      <c r="E9145" s="52" t="s">
        <v>25</v>
      </c>
      <c r="F9145" s="52" t="s">
        <v>26</v>
      </c>
      <c r="G9145" s="53"/>
    </row>
    <row r="9146">
      <c r="A9146" s="49">
        <v>45117.21984763889</v>
      </c>
      <c r="B9146" s="50">
        <v>45117.3448267361</v>
      </c>
      <c r="C9146" s="51">
        <v>1.004</v>
      </c>
      <c r="D9146" s="51">
        <v>72.0</v>
      </c>
      <c r="E9146" s="52" t="s">
        <v>25</v>
      </c>
      <c r="F9146" s="52" t="s">
        <v>26</v>
      </c>
      <c r="G9146" s="53"/>
    </row>
    <row r="9147">
      <c r="A9147" s="49">
        <v>45117.23027958334</v>
      </c>
      <c r="B9147" s="50">
        <v>45117.3552480787</v>
      </c>
      <c r="C9147" s="51">
        <v>1.003</v>
      </c>
      <c r="D9147" s="51">
        <v>72.0</v>
      </c>
      <c r="E9147" s="52" t="s">
        <v>25</v>
      </c>
      <c r="F9147" s="52" t="s">
        <v>26</v>
      </c>
      <c r="G9147" s="53"/>
    </row>
    <row r="9148">
      <c r="A9148" s="49">
        <v>45117.24069872685</v>
      </c>
      <c r="B9148" s="50">
        <v>45117.3656689004</v>
      </c>
      <c r="C9148" s="51">
        <v>1.004</v>
      </c>
      <c r="D9148" s="51">
        <v>72.0</v>
      </c>
      <c r="E9148" s="52" t="s">
        <v>25</v>
      </c>
      <c r="F9148" s="52" t="s">
        <v>26</v>
      </c>
      <c r="G9148" s="53"/>
    </row>
    <row r="9149">
      <c r="A9149" s="49">
        <v>45117.25112074074</v>
      </c>
      <c r="B9149" s="50">
        <v>45117.3760892476</v>
      </c>
      <c r="C9149" s="51">
        <v>1.004</v>
      </c>
      <c r="D9149" s="51">
        <v>72.0</v>
      </c>
      <c r="E9149" s="52" t="s">
        <v>25</v>
      </c>
      <c r="F9149" s="52" t="s">
        <v>26</v>
      </c>
      <c r="G9149" s="53"/>
    </row>
    <row r="9150">
      <c r="A9150" s="49">
        <v>45117.261557997685</v>
      </c>
      <c r="B9150" s="50">
        <v>45117.3865096759</v>
      </c>
      <c r="C9150" s="51">
        <v>1.004</v>
      </c>
      <c r="D9150" s="51">
        <v>72.0</v>
      </c>
      <c r="E9150" s="52" t="s">
        <v>25</v>
      </c>
      <c r="F9150" s="52" t="s">
        <v>26</v>
      </c>
      <c r="G9150" s="53"/>
    </row>
    <row r="9151">
      <c r="A9151" s="49">
        <v>45117.27196482639</v>
      </c>
      <c r="B9151" s="50">
        <v>45117.396931331</v>
      </c>
      <c r="C9151" s="51">
        <v>1.003</v>
      </c>
      <c r="D9151" s="51">
        <v>72.0</v>
      </c>
      <c r="E9151" s="52" t="s">
        <v>25</v>
      </c>
      <c r="F9151" s="52" t="s">
        <v>26</v>
      </c>
      <c r="G9151" s="53"/>
    </row>
    <row r="9152">
      <c r="A9152" s="49">
        <v>45117.282387824074</v>
      </c>
      <c r="B9152" s="50">
        <v>45117.4073521875</v>
      </c>
      <c r="C9152" s="51">
        <v>1.004</v>
      </c>
      <c r="D9152" s="51">
        <v>72.0</v>
      </c>
      <c r="E9152" s="52" t="s">
        <v>25</v>
      </c>
      <c r="F9152" s="52" t="s">
        <v>26</v>
      </c>
      <c r="G9152" s="53"/>
    </row>
    <row r="9153">
      <c r="A9153" s="49">
        <v>45117.29282638889</v>
      </c>
      <c r="B9153" s="50">
        <v>45117.417796956</v>
      </c>
      <c r="C9153" s="51">
        <v>1.003</v>
      </c>
      <c r="D9153" s="51">
        <v>72.0</v>
      </c>
      <c r="E9153" s="52" t="s">
        <v>25</v>
      </c>
      <c r="F9153" s="52" t="s">
        <v>26</v>
      </c>
      <c r="G9153" s="53"/>
    </row>
    <row r="9154">
      <c r="A9154" s="49">
        <v>45117.30324569445</v>
      </c>
      <c r="B9154" s="50">
        <v>45117.4282177546</v>
      </c>
      <c r="C9154" s="51">
        <v>1.003</v>
      </c>
      <c r="D9154" s="51">
        <v>72.0</v>
      </c>
      <c r="E9154" s="52" t="s">
        <v>25</v>
      </c>
      <c r="F9154" s="52" t="s">
        <v>26</v>
      </c>
      <c r="G9154" s="53"/>
    </row>
    <row r="9155">
      <c r="A9155" s="49">
        <v>45117.31367025463</v>
      </c>
      <c r="B9155" s="50">
        <v>45117.4386390972</v>
      </c>
      <c r="C9155" s="51">
        <v>1.004</v>
      </c>
      <c r="D9155" s="51">
        <v>72.0</v>
      </c>
      <c r="E9155" s="52" t="s">
        <v>25</v>
      </c>
      <c r="F9155" s="52" t="s">
        <v>26</v>
      </c>
      <c r="G9155" s="53"/>
    </row>
    <row r="9156">
      <c r="A9156" s="49">
        <v>45117.32409019676</v>
      </c>
      <c r="B9156" s="50">
        <v>45117.449061574</v>
      </c>
      <c r="C9156" s="51">
        <v>1.004</v>
      </c>
      <c r="D9156" s="51">
        <v>72.0</v>
      </c>
      <c r="E9156" s="52" t="s">
        <v>25</v>
      </c>
      <c r="F9156" s="52" t="s">
        <v>26</v>
      </c>
      <c r="G9156" s="53"/>
    </row>
    <row r="9157">
      <c r="A9157" s="49">
        <v>45117.334514270835</v>
      </c>
      <c r="B9157" s="50">
        <v>45117.4594818981</v>
      </c>
      <c r="C9157" s="51">
        <v>1.004</v>
      </c>
      <c r="D9157" s="51">
        <v>72.0</v>
      </c>
      <c r="E9157" s="52" t="s">
        <v>25</v>
      </c>
      <c r="F9157" s="52" t="s">
        <v>26</v>
      </c>
      <c r="G9157" s="53"/>
    </row>
    <row r="9158">
      <c r="A9158" s="49">
        <v>45117.344945254634</v>
      </c>
      <c r="B9158" s="50">
        <v>45117.4699156365</v>
      </c>
      <c r="C9158" s="51">
        <v>1.004</v>
      </c>
      <c r="D9158" s="51">
        <v>72.0</v>
      </c>
      <c r="E9158" s="52" t="s">
        <v>25</v>
      </c>
      <c r="F9158" s="52" t="s">
        <v>26</v>
      </c>
      <c r="G9158" s="53"/>
    </row>
    <row r="9159">
      <c r="A9159" s="49">
        <v>45117.35538020833</v>
      </c>
      <c r="B9159" s="50">
        <v>45117.4803464583</v>
      </c>
      <c r="C9159" s="51">
        <v>1.004</v>
      </c>
      <c r="D9159" s="51">
        <v>72.0</v>
      </c>
      <c r="E9159" s="52" t="s">
        <v>25</v>
      </c>
      <c r="F9159" s="52" t="s">
        <v>26</v>
      </c>
      <c r="G9159" s="53"/>
    </row>
    <row r="9160">
      <c r="A9160" s="49">
        <v>45117.36580410879</v>
      </c>
      <c r="B9160" s="50">
        <v>45117.4907681828</v>
      </c>
      <c r="C9160" s="51">
        <v>1.004</v>
      </c>
      <c r="D9160" s="51">
        <v>72.0</v>
      </c>
      <c r="E9160" s="52" t="s">
        <v>25</v>
      </c>
      <c r="F9160" s="52" t="s">
        <v>26</v>
      </c>
      <c r="G9160" s="53"/>
    </row>
    <row r="9161">
      <c r="A9161" s="49">
        <v>45117.376218310186</v>
      </c>
      <c r="B9161" s="50">
        <v>45117.5011902314</v>
      </c>
      <c r="C9161" s="51">
        <v>1.004</v>
      </c>
      <c r="D9161" s="51">
        <v>72.0</v>
      </c>
      <c r="E9161" s="52" t="s">
        <v>25</v>
      </c>
      <c r="F9161" s="52" t="s">
        <v>26</v>
      </c>
      <c r="G9161" s="53"/>
    </row>
    <row r="9162">
      <c r="A9162" s="49">
        <v>45117.38667866898</v>
      </c>
      <c r="B9162" s="50">
        <v>45117.5116465509</v>
      </c>
      <c r="C9162" s="51">
        <v>1.004</v>
      </c>
      <c r="D9162" s="51">
        <v>72.0</v>
      </c>
      <c r="E9162" s="52" t="s">
        <v>25</v>
      </c>
      <c r="F9162" s="52" t="s">
        <v>26</v>
      </c>
      <c r="G9162" s="53"/>
    </row>
    <row r="9163">
      <c r="A9163" s="49">
        <v>45117.39709510417</v>
      </c>
      <c r="B9163" s="50">
        <v>45117.5220677662</v>
      </c>
      <c r="C9163" s="51">
        <v>1.003</v>
      </c>
      <c r="D9163" s="51">
        <v>72.0</v>
      </c>
      <c r="E9163" s="52" t="s">
        <v>25</v>
      </c>
      <c r="F9163" s="52" t="s">
        <v>26</v>
      </c>
      <c r="G9163" s="53"/>
    </row>
    <row r="9164">
      <c r="A9164" s="49">
        <v>45117.407530682874</v>
      </c>
      <c r="B9164" s="50">
        <v>45117.5324997453</v>
      </c>
      <c r="C9164" s="51">
        <v>1.004</v>
      </c>
      <c r="D9164" s="51">
        <v>72.0</v>
      </c>
      <c r="E9164" s="52" t="s">
        <v>25</v>
      </c>
      <c r="F9164" s="52" t="s">
        <v>26</v>
      </c>
      <c r="G9164" s="53"/>
    </row>
    <row r="9165">
      <c r="A9165" s="49">
        <v>45117.41795682871</v>
      </c>
      <c r="B9165" s="50">
        <v>45117.542921574</v>
      </c>
      <c r="C9165" s="51">
        <v>1.003</v>
      </c>
      <c r="D9165" s="51">
        <v>72.0</v>
      </c>
      <c r="E9165" s="52" t="s">
        <v>25</v>
      </c>
      <c r="F9165" s="52" t="s">
        <v>26</v>
      </c>
      <c r="G9165" s="53"/>
    </row>
    <row r="9166">
      <c r="A9166" s="49">
        <v>45117.42837603009</v>
      </c>
      <c r="B9166" s="50">
        <v>45117.5533412615</v>
      </c>
      <c r="C9166" s="51">
        <v>1.003</v>
      </c>
      <c r="D9166" s="51">
        <v>72.0</v>
      </c>
      <c r="E9166" s="52" t="s">
        <v>25</v>
      </c>
      <c r="F9166" s="52" t="s">
        <v>26</v>
      </c>
      <c r="G9166" s="53"/>
    </row>
    <row r="9167">
      <c r="A9167" s="49">
        <v>45117.43879013888</v>
      </c>
      <c r="B9167" s="50">
        <v>45117.5637612037</v>
      </c>
      <c r="C9167" s="51">
        <v>1.003</v>
      </c>
      <c r="D9167" s="51">
        <v>72.0</v>
      </c>
      <c r="E9167" s="52" t="s">
        <v>25</v>
      </c>
      <c r="F9167" s="52" t="s">
        <v>26</v>
      </c>
      <c r="G9167" s="53"/>
    </row>
    <row r="9168">
      <c r="A9168" s="49">
        <v>45117.44920357639</v>
      </c>
      <c r="B9168" s="50">
        <v>45117.5741816666</v>
      </c>
      <c r="C9168" s="51">
        <v>1.004</v>
      </c>
      <c r="D9168" s="51">
        <v>72.0</v>
      </c>
      <c r="E9168" s="52" t="s">
        <v>25</v>
      </c>
      <c r="F9168" s="52" t="s">
        <v>26</v>
      </c>
      <c r="G9168" s="53"/>
    </row>
    <row r="9169">
      <c r="A9169" s="49">
        <v>45117.459643634254</v>
      </c>
      <c r="B9169" s="50">
        <v>45117.5846154976</v>
      </c>
      <c r="C9169" s="51">
        <v>1.003</v>
      </c>
      <c r="D9169" s="51">
        <v>72.0</v>
      </c>
      <c r="E9169" s="52" t="s">
        <v>25</v>
      </c>
      <c r="F9169" s="52" t="s">
        <v>26</v>
      </c>
      <c r="G9169" s="53"/>
    </row>
    <row r="9170">
      <c r="A9170" s="49">
        <v>45117.470072129625</v>
      </c>
      <c r="B9170" s="50">
        <v>45117.5950339467</v>
      </c>
      <c r="C9170" s="51">
        <v>1.003</v>
      </c>
      <c r="D9170" s="51">
        <v>72.0</v>
      </c>
      <c r="E9170" s="52" t="s">
        <v>25</v>
      </c>
      <c r="F9170" s="52" t="s">
        <v>26</v>
      </c>
      <c r="G9170" s="53"/>
    </row>
    <row r="9171">
      <c r="A9171" s="49">
        <v>45117.48048547454</v>
      </c>
      <c r="B9171" s="50">
        <v>45117.6054545023</v>
      </c>
      <c r="C9171" s="51">
        <v>1.003</v>
      </c>
      <c r="D9171" s="51">
        <v>72.0</v>
      </c>
      <c r="E9171" s="52" t="s">
        <v>25</v>
      </c>
      <c r="F9171" s="52" t="s">
        <v>26</v>
      </c>
      <c r="G9171" s="53"/>
    </row>
    <row r="9172">
      <c r="A9172" s="49">
        <v>45117.49090280093</v>
      </c>
      <c r="B9172" s="50">
        <v>45117.61587625</v>
      </c>
      <c r="C9172" s="51">
        <v>1.004</v>
      </c>
      <c r="D9172" s="51">
        <v>72.0</v>
      </c>
      <c r="E9172" s="52" t="s">
        <v>25</v>
      </c>
      <c r="F9172" s="52" t="s">
        <v>26</v>
      </c>
      <c r="G9172" s="53"/>
    </row>
    <row r="9173">
      <c r="A9173" s="49">
        <v>45117.50133269676</v>
      </c>
      <c r="B9173" s="50">
        <v>45117.6262994676</v>
      </c>
      <c r="C9173" s="51">
        <v>1.004</v>
      </c>
      <c r="D9173" s="51">
        <v>72.0</v>
      </c>
      <c r="E9173" s="52" t="s">
        <v>25</v>
      </c>
      <c r="F9173" s="52" t="s">
        <v>26</v>
      </c>
      <c r="G9173" s="53"/>
    </row>
    <row r="9174">
      <c r="A9174" s="49">
        <v>45117.51174325231</v>
      </c>
      <c r="B9174" s="50">
        <v>45117.6367200578</v>
      </c>
      <c r="C9174" s="51">
        <v>1.004</v>
      </c>
      <c r="D9174" s="51">
        <v>72.0</v>
      </c>
      <c r="E9174" s="52" t="s">
        <v>25</v>
      </c>
      <c r="F9174" s="52" t="s">
        <v>26</v>
      </c>
      <c r="G9174" s="53"/>
    </row>
    <row r="9175">
      <c r="A9175" s="49">
        <v>45117.5221734838</v>
      </c>
      <c r="B9175" s="50">
        <v>45117.6471411574</v>
      </c>
      <c r="C9175" s="51">
        <v>1.004</v>
      </c>
      <c r="D9175" s="51">
        <v>72.0</v>
      </c>
      <c r="E9175" s="52" t="s">
        <v>25</v>
      </c>
      <c r="F9175" s="52" t="s">
        <v>26</v>
      </c>
      <c r="G9175" s="53"/>
    </row>
    <row r="9176">
      <c r="A9176" s="49">
        <v>45117.53259732639</v>
      </c>
      <c r="B9176" s="50">
        <v>45117.6575605671</v>
      </c>
      <c r="C9176" s="51">
        <v>1.003</v>
      </c>
      <c r="D9176" s="51">
        <v>72.0</v>
      </c>
      <c r="E9176" s="52" t="s">
        <v>25</v>
      </c>
      <c r="F9176" s="52" t="s">
        <v>26</v>
      </c>
      <c r="G9176" s="53"/>
    </row>
    <row r="9177">
      <c r="A9177" s="49">
        <v>45117.54301498843</v>
      </c>
      <c r="B9177" s="50">
        <v>45117.6679816435</v>
      </c>
      <c r="C9177" s="51">
        <v>1.004</v>
      </c>
      <c r="D9177" s="51">
        <v>72.0</v>
      </c>
      <c r="E9177" s="52" t="s">
        <v>25</v>
      </c>
      <c r="F9177" s="52" t="s">
        <v>26</v>
      </c>
      <c r="G9177" s="53"/>
    </row>
    <row r="9178">
      <c r="A9178" s="49">
        <v>45117.55344034723</v>
      </c>
      <c r="B9178" s="50">
        <v>45117.6784152546</v>
      </c>
      <c r="C9178" s="51">
        <v>1.004</v>
      </c>
      <c r="D9178" s="51">
        <v>72.0</v>
      </c>
      <c r="E9178" s="52" t="s">
        <v>25</v>
      </c>
      <c r="F9178" s="52" t="s">
        <v>26</v>
      </c>
      <c r="G9178" s="53"/>
    </row>
    <row r="9179">
      <c r="A9179" s="49">
        <v>45117.56387766203</v>
      </c>
      <c r="B9179" s="50">
        <v>45117.6888363657</v>
      </c>
      <c r="C9179" s="51">
        <v>1.004</v>
      </c>
      <c r="D9179" s="51">
        <v>72.0</v>
      </c>
      <c r="E9179" s="52" t="s">
        <v>25</v>
      </c>
      <c r="F9179" s="52" t="s">
        <v>26</v>
      </c>
      <c r="G9179" s="53"/>
    </row>
    <row r="9180">
      <c r="A9180" s="49">
        <v>45117.574300092594</v>
      </c>
      <c r="B9180" s="50">
        <v>45117.6992699537</v>
      </c>
      <c r="C9180" s="51">
        <v>1.003</v>
      </c>
      <c r="D9180" s="51">
        <v>72.0</v>
      </c>
      <c r="E9180" s="52" t="s">
        <v>25</v>
      </c>
      <c r="F9180" s="52" t="s">
        <v>26</v>
      </c>
      <c r="G9180" s="53"/>
    </row>
    <row r="9181">
      <c r="A9181" s="49">
        <v>45117.584747256944</v>
      </c>
      <c r="B9181" s="50">
        <v>45117.7097142129</v>
      </c>
      <c r="C9181" s="51">
        <v>1.004</v>
      </c>
      <c r="D9181" s="51">
        <v>72.0</v>
      </c>
      <c r="E9181" s="52" t="s">
        <v>25</v>
      </c>
      <c r="F9181" s="52" t="s">
        <v>26</v>
      </c>
      <c r="G9181" s="53"/>
    </row>
    <row r="9182">
      <c r="A9182" s="49">
        <v>45117.59516795139</v>
      </c>
      <c r="B9182" s="50">
        <v>45117.7201357754</v>
      </c>
      <c r="C9182" s="51">
        <v>1.003</v>
      </c>
      <c r="D9182" s="51">
        <v>72.0</v>
      </c>
      <c r="E9182" s="52" t="s">
        <v>25</v>
      </c>
      <c r="F9182" s="52" t="s">
        <v>26</v>
      </c>
      <c r="G9182" s="53"/>
    </row>
    <row r="9183">
      <c r="A9183" s="49">
        <v>45117.60559097222</v>
      </c>
      <c r="B9183" s="50">
        <v>45117.7305567013</v>
      </c>
      <c r="C9183" s="51">
        <v>1.004</v>
      </c>
      <c r="D9183" s="51">
        <v>72.0</v>
      </c>
      <c r="E9183" s="52" t="s">
        <v>25</v>
      </c>
      <c r="F9183" s="52" t="s">
        <v>26</v>
      </c>
      <c r="G9183" s="53"/>
    </row>
    <row r="9184">
      <c r="A9184" s="49">
        <v>45117.61602609954</v>
      </c>
      <c r="B9184" s="50">
        <v>45117.7409992939</v>
      </c>
      <c r="C9184" s="51">
        <v>1.004</v>
      </c>
      <c r="D9184" s="51">
        <v>72.0</v>
      </c>
      <c r="E9184" s="52" t="s">
        <v>25</v>
      </c>
      <c r="F9184" s="52" t="s">
        <v>26</v>
      </c>
      <c r="G9184" s="53"/>
    </row>
    <row r="9185">
      <c r="A9185" s="49">
        <v>45117.626455729165</v>
      </c>
      <c r="B9185" s="50">
        <v>45117.7514217824</v>
      </c>
      <c r="C9185" s="51">
        <v>1.003</v>
      </c>
      <c r="D9185" s="51">
        <v>72.0</v>
      </c>
      <c r="E9185" s="52" t="s">
        <v>25</v>
      </c>
      <c r="F9185" s="52" t="s">
        <v>26</v>
      </c>
      <c r="G9185" s="53"/>
    </row>
    <row r="9186">
      <c r="A9186" s="49">
        <v>45117.63694240741</v>
      </c>
      <c r="B9186" s="50">
        <v>45117.76186603</v>
      </c>
      <c r="C9186" s="51">
        <v>1.004</v>
      </c>
      <c r="D9186" s="51">
        <v>72.0</v>
      </c>
      <c r="E9186" s="52" t="s">
        <v>25</v>
      </c>
      <c r="F9186" s="52" t="s">
        <v>26</v>
      </c>
      <c r="G9186" s="53"/>
    </row>
    <row r="9187">
      <c r="A9187" s="49">
        <v>45117.647323425925</v>
      </c>
      <c r="B9187" s="50">
        <v>45117.7722888194</v>
      </c>
      <c r="C9187" s="51">
        <v>1.003</v>
      </c>
      <c r="D9187" s="51">
        <v>72.0</v>
      </c>
      <c r="E9187" s="52" t="s">
        <v>25</v>
      </c>
      <c r="F9187" s="52" t="s">
        <v>26</v>
      </c>
      <c r="G9187" s="53"/>
    </row>
    <row r="9188">
      <c r="A9188" s="49">
        <v>45117.657787731485</v>
      </c>
      <c r="B9188" s="50">
        <v>45117.7827207638</v>
      </c>
      <c r="C9188" s="51">
        <v>1.003</v>
      </c>
      <c r="D9188" s="51">
        <v>72.0</v>
      </c>
      <c r="E9188" s="52" t="s">
        <v>25</v>
      </c>
      <c r="F9188" s="52" t="s">
        <v>26</v>
      </c>
      <c r="G9188" s="53"/>
    </row>
    <row r="9189">
      <c r="A9189" s="49">
        <v>45117.66821243055</v>
      </c>
      <c r="B9189" s="50">
        <v>45117.7931415393</v>
      </c>
      <c r="C9189" s="51">
        <v>1.004</v>
      </c>
      <c r="D9189" s="51">
        <v>72.0</v>
      </c>
      <c r="E9189" s="52" t="s">
        <v>25</v>
      </c>
      <c r="F9189" s="52" t="s">
        <v>26</v>
      </c>
      <c r="G9189" s="53"/>
    </row>
    <row r="9190">
      <c r="A9190" s="49">
        <v>45117.67859969907</v>
      </c>
      <c r="B9190" s="50">
        <v>45117.8035725578</v>
      </c>
      <c r="C9190" s="51">
        <v>1.004</v>
      </c>
      <c r="D9190" s="51">
        <v>72.0</v>
      </c>
      <c r="E9190" s="52" t="s">
        <v>25</v>
      </c>
      <c r="F9190" s="52" t="s">
        <v>26</v>
      </c>
      <c r="G9190" s="53"/>
    </row>
    <row r="9191">
      <c r="A9191" s="49">
        <v>45117.68902696759</v>
      </c>
      <c r="B9191" s="50">
        <v>45117.8140052083</v>
      </c>
      <c r="C9191" s="51">
        <v>1.004</v>
      </c>
      <c r="D9191" s="51">
        <v>72.0</v>
      </c>
      <c r="E9191" s="52" t="s">
        <v>25</v>
      </c>
      <c r="F9191" s="52" t="s">
        <v>26</v>
      </c>
      <c r="G9191" s="53"/>
    </row>
    <row r="9192">
      <c r="A9192" s="49">
        <v>45117.69945568287</v>
      </c>
      <c r="B9192" s="50">
        <v>45117.824425324</v>
      </c>
      <c r="C9192" s="51">
        <v>1.004</v>
      </c>
      <c r="D9192" s="51">
        <v>72.0</v>
      </c>
      <c r="E9192" s="52" t="s">
        <v>25</v>
      </c>
      <c r="F9192" s="52" t="s">
        <v>26</v>
      </c>
      <c r="G9192" s="53"/>
    </row>
    <row r="9193">
      <c r="A9193" s="49">
        <v>45117.70987252315</v>
      </c>
      <c r="B9193" s="50">
        <v>45117.8348454976</v>
      </c>
      <c r="C9193" s="51">
        <v>1.004</v>
      </c>
      <c r="D9193" s="51">
        <v>72.0</v>
      </c>
      <c r="E9193" s="52" t="s">
        <v>25</v>
      </c>
      <c r="F9193" s="52" t="s">
        <v>26</v>
      </c>
      <c r="G9193" s="53"/>
    </row>
    <row r="9194">
      <c r="A9194" s="49">
        <v>45117.72035329861</v>
      </c>
      <c r="B9194" s="50">
        <v>45117.8452877662</v>
      </c>
      <c r="C9194" s="51">
        <v>1.003</v>
      </c>
      <c r="D9194" s="51">
        <v>72.0</v>
      </c>
      <c r="E9194" s="52" t="s">
        <v>25</v>
      </c>
      <c r="F9194" s="52" t="s">
        <v>26</v>
      </c>
      <c r="G9194" s="53"/>
    </row>
    <row r="9195">
      <c r="A9195" s="49">
        <v>45117.730784583335</v>
      </c>
      <c r="B9195" s="50">
        <v>45117.8557094791</v>
      </c>
      <c r="C9195" s="51">
        <v>1.003</v>
      </c>
      <c r="D9195" s="51">
        <v>72.0</v>
      </c>
      <c r="E9195" s="52" t="s">
        <v>25</v>
      </c>
      <c r="F9195" s="52" t="s">
        <v>26</v>
      </c>
      <c r="G9195" s="53"/>
    </row>
    <row r="9196">
      <c r="A9196" s="49">
        <v>45117.741201805555</v>
      </c>
      <c r="B9196" s="50">
        <v>45117.8661431597</v>
      </c>
      <c r="C9196" s="51">
        <v>1.003</v>
      </c>
      <c r="D9196" s="51">
        <v>72.0</v>
      </c>
      <c r="E9196" s="52" t="s">
        <v>25</v>
      </c>
      <c r="F9196" s="52" t="s">
        <v>26</v>
      </c>
      <c r="G9196" s="53"/>
    </row>
    <row r="9197">
      <c r="A9197" s="49">
        <v>45117.751631990744</v>
      </c>
      <c r="B9197" s="50">
        <v>45117.8765641666</v>
      </c>
      <c r="C9197" s="51">
        <v>1.004</v>
      </c>
      <c r="D9197" s="51">
        <v>72.0</v>
      </c>
      <c r="E9197" s="52" t="s">
        <v>25</v>
      </c>
      <c r="F9197" s="52" t="s">
        <v>26</v>
      </c>
      <c r="G9197" s="53"/>
    </row>
    <row r="9198">
      <c r="A9198" s="49">
        <v>45117.762053032406</v>
      </c>
      <c r="B9198" s="50">
        <v>45117.8869836805</v>
      </c>
      <c r="C9198" s="51">
        <v>1.003</v>
      </c>
      <c r="D9198" s="51">
        <v>72.0</v>
      </c>
      <c r="E9198" s="52" t="s">
        <v>25</v>
      </c>
      <c r="F9198" s="52" t="s">
        <v>26</v>
      </c>
      <c r="G9198" s="53"/>
    </row>
    <row r="9199">
      <c r="A9199" s="49">
        <v>45117.772457812505</v>
      </c>
      <c r="B9199" s="50">
        <v>45117.8974043171</v>
      </c>
      <c r="C9199" s="51">
        <v>1.003</v>
      </c>
      <c r="D9199" s="51">
        <v>72.0</v>
      </c>
      <c r="E9199" s="52" t="s">
        <v>25</v>
      </c>
      <c r="F9199" s="52" t="s">
        <v>26</v>
      </c>
      <c r="G9199" s="53"/>
    </row>
    <row r="9200">
      <c r="A9200" s="49">
        <v>45117.78288483796</v>
      </c>
      <c r="B9200" s="50">
        <v>45117.9078259838</v>
      </c>
      <c r="C9200" s="51">
        <v>1.004</v>
      </c>
      <c r="D9200" s="51">
        <v>72.0</v>
      </c>
      <c r="E9200" s="52" t="s">
        <v>25</v>
      </c>
      <c r="F9200" s="52" t="s">
        <v>26</v>
      </c>
      <c r="G9200" s="53"/>
    </row>
    <row r="9201">
      <c r="A9201" s="49">
        <v>45117.79331303241</v>
      </c>
      <c r="B9201" s="50">
        <v>45117.9182475347</v>
      </c>
      <c r="C9201" s="51">
        <v>1.004</v>
      </c>
      <c r="D9201" s="51">
        <v>72.0</v>
      </c>
      <c r="E9201" s="52" t="s">
        <v>25</v>
      </c>
      <c r="F9201" s="52" t="s">
        <v>26</v>
      </c>
      <c r="G9201" s="53"/>
    </row>
    <row r="9202">
      <c r="A9202" s="49">
        <v>45117.80372546296</v>
      </c>
      <c r="B9202" s="50">
        <v>45117.9286681365</v>
      </c>
      <c r="C9202" s="51">
        <v>1.004</v>
      </c>
      <c r="D9202" s="51">
        <v>72.0</v>
      </c>
      <c r="E9202" s="52" t="s">
        <v>25</v>
      </c>
      <c r="F9202" s="52" t="s">
        <v>26</v>
      </c>
      <c r="G9202" s="53"/>
    </row>
    <row r="9203">
      <c r="A9203" s="49">
        <v>45117.814138657406</v>
      </c>
      <c r="B9203" s="50">
        <v>45117.9390894907</v>
      </c>
      <c r="C9203" s="51">
        <v>1.003</v>
      </c>
      <c r="D9203" s="51">
        <v>72.0</v>
      </c>
      <c r="E9203" s="52" t="s">
        <v>25</v>
      </c>
      <c r="F9203" s="52" t="s">
        <v>26</v>
      </c>
      <c r="G9203" s="53"/>
    </row>
    <row r="9204">
      <c r="A9204" s="49">
        <v>45117.82456570602</v>
      </c>
      <c r="B9204" s="50">
        <v>45117.9495127893</v>
      </c>
      <c r="C9204" s="51">
        <v>1.004</v>
      </c>
      <c r="D9204" s="51">
        <v>72.0</v>
      </c>
      <c r="E9204" s="52" t="s">
        <v>25</v>
      </c>
      <c r="F9204" s="52" t="s">
        <v>26</v>
      </c>
      <c r="G9204" s="53"/>
    </row>
    <row r="9205">
      <c r="A9205" s="49">
        <v>45117.834997893515</v>
      </c>
      <c r="B9205" s="50">
        <v>45117.9599343171</v>
      </c>
      <c r="C9205" s="51">
        <v>1.004</v>
      </c>
      <c r="D9205" s="51">
        <v>72.0</v>
      </c>
      <c r="E9205" s="52" t="s">
        <v>25</v>
      </c>
      <c r="F9205" s="52" t="s">
        <v>26</v>
      </c>
      <c r="G9205" s="53"/>
    </row>
    <row r="9206">
      <c r="A9206" s="49">
        <v>45117.845422604165</v>
      </c>
      <c r="B9206" s="50">
        <v>45117.9703562731</v>
      </c>
      <c r="C9206" s="51">
        <v>1.003</v>
      </c>
      <c r="D9206" s="51">
        <v>72.0</v>
      </c>
      <c r="E9206" s="52" t="s">
        <v>25</v>
      </c>
      <c r="F9206" s="52" t="s">
        <v>26</v>
      </c>
      <c r="G9206" s="53"/>
    </row>
    <row r="9207">
      <c r="A9207" s="49">
        <v>45117.855836030096</v>
      </c>
      <c r="B9207" s="50">
        <v>45117.9807783449</v>
      </c>
      <c r="C9207" s="51">
        <v>1.004</v>
      </c>
      <c r="D9207" s="51">
        <v>72.0</v>
      </c>
      <c r="E9207" s="52" t="s">
        <v>25</v>
      </c>
      <c r="F9207" s="52" t="s">
        <v>26</v>
      </c>
      <c r="G9207" s="53"/>
    </row>
    <row r="9208">
      <c r="A9208" s="49">
        <v>45117.86628011574</v>
      </c>
      <c r="B9208" s="50">
        <v>45117.9912120254</v>
      </c>
      <c r="C9208" s="51">
        <v>1.004</v>
      </c>
      <c r="D9208" s="51">
        <v>72.0</v>
      </c>
      <c r="E9208" s="52" t="s">
        <v>25</v>
      </c>
      <c r="F9208" s="52" t="s">
        <v>26</v>
      </c>
      <c r="G9208" s="53"/>
    </row>
    <row r="9209">
      <c r="A9209" s="49">
        <v>45117.87669517361</v>
      </c>
      <c r="B9209" s="50">
        <v>45118.0016343171</v>
      </c>
      <c r="C9209" s="51">
        <v>1.003</v>
      </c>
      <c r="D9209" s="51">
        <v>72.0</v>
      </c>
      <c r="E9209" s="52" t="s">
        <v>25</v>
      </c>
      <c r="F9209" s="52" t="s">
        <v>26</v>
      </c>
      <c r="G9209" s="53"/>
    </row>
    <row r="9210">
      <c r="A9210" s="49">
        <v>45117.88708043982</v>
      </c>
      <c r="B9210" s="50">
        <v>45118.0120576041</v>
      </c>
      <c r="C9210" s="51">
        <v>1.004</v>
      </c>
      <c r="D9210" s="51">
        <v>72.0</v>
      </c>
      <c r="E9210" s="52" t="s">
        <v>25</v>
      </c>
      <c r="F9210" s="52" t="s">
        <v>26</v>
      </c>
      <c r="G9210" s="53"/>
    </row>
    <row r="9211">
      <c r="A9211" s="49">
        <v>45117.897507013884</v>
      </c>
      <c r="B9211" s="50">
        <v>45118.0224780902</v>
      </c>
      <c r="C9211" s="51">
        <v>1.004</v>
      </c>
      <c r="D9211" s="51">
        <v>72.0</v>
      </c>
      <c r="E9211" s="52" t="s">
        <v>25</v>
      </c>
      <c r="F9211" s="52" t="s">
        <v>26</v>
      </c>
      <c r="G9211" s="53"/>
    </row>
    <row r="9212">
      <c r="A9212" s="49">
        <v>45117.907926087966</v>
      </c>
      <c r="B9212" s="50">
        <v>45118.032901574</v>
      </c>
      <c r="C9212" s="51">
        <v>1.004</v>
      </c>
      <c r="D9212" s="51">
        <v>72.0</v>
      </c>
      <c r="E9212" s="52" t="s">
        <v>25</v>
      </c>
      <c r="F9212" s="52" t="s">
        <v>26</v>
      </c>
      <c r="G9212" s="53"/>
    </row>
    <row r="9213">
      <c r="A9213" s="49">
        <v>45117.918347997685</v>
      </c>
      <c r="B9213" s="50">
        <v>45118.0433234838</v>
      </c>
      <c r="C9213" s="51">
        <v>1.004</v>
      </c>
      <c r="D9213" s="51">
        <v>72.0</v>
      </c>
      <c r="E9213" s="52" t="s">
        <v>25</v>
      </c>
      <c r="F9213" s="52" t="s">
        <v>26</v>
      </c>
      <c r="G9213" s="53"/>
    </row>
    <row r="9214">
      <c r="A9214" s="49">
        <v>45117.928776875</v>
      </c>
      <c r="B9214" s="50">
        <v>45118.0537551736</v>
      </c>
      <c r="C9214" s="51">
        <v>1.004</v>
      </c>
      <c r="D9214" s="51">
        <v>72.0</v>
      </c>
      <c r="E9214" s="52" t="s">
        <v>25</v>
      </c>
      <c r="F9214" s="52" t="s">
        <v>26</v>
      </c>
      <c r="G9214" s="53"/>
    </row>
    <row r="9215">
      <c r="A9215" s="49">
        <v>45117.939202685186</v>
      </c>
      <c r="B9215" s="50">
        <v>45118.0641749421</v>
      </c>
      <c r="C9215" s="51">
        <v>1.003</v>
      </c>
      <c r="D9215" s="51">
        <v>72.0</v>
      </c>
      <c r="E9215" s="52" t="s">
        <v>25</v>
      </c>
      <c r="F9215" s="52" t="s">
        <v>26</v>
      </c>
      <c r="G9215" s="53"/>
    </row>
    <row r="9216">
      <c r="A9216" s="49">
        <v>45117.94963145834</v>
      </c>
      <c r="B9216" s="50">
        <v>45118.0745956481</v>
      </c>
      <c r="C9216" s="51">
        <v>1.003</v>
      </c>
      <c r="D9216" s="51">
        <v>72.0</v>
      </c>
      <c r="E9216" s="52" t="s">
        <v>25</v>
      </c>
      <c r="F9216" s="52" t="s">
        <v>26</v>
      </c>
      <c r="G9216" s="53"/>
    </row>
    <row r="9217">
      <c r="A9217" s="49">
        <v>45117.96006996528</v>
      </c>
      <c r="B9217" s="50">
        <v>45118.0850401736</v>
      </c>
      <c r="C9217" s="51">
        <v>1.003</v>
      </c>
      <c r="D9217" s="51">
        <v>72.0</v>
      </c>
      <c r="E9217" s="52" t="s">
        <v>25</v>
      </c>
      <c r="F9217" s="52" t="s">
        <v>26</v>
      </c>
      <c r="G9217" s="53"/>
    </row>
    <row r="9218">
      <c r="A9218" s="49">
        <v>45117.97054521991</v>
      </c>
      <c r="B9218" s="50">
        <v>45118.0954735069</v>
      </c>
      <c r="C9218" s="51">
        <v>1.003</v>
      </c>
      <c r="D9218" s="51">
        <v>72.0</v>
      </c>
      <c r="E9218" s="52" t="s">
        <v>25</v>
      </c>
      <c r="F9218" s="52" t="s">
        <v>26</v>
      </c>
      <c r="G9218" s="53"/>
    </row>
    <row r="9219">
      <c r="A9219" s="49">
        <v>45117.98092054398</v>
      </c>
      <c r="B9219" s="50">
        <v>45118.1058952314</v>
      </c>
      <c r="C9219" s="51">
        <v>1.004</v>
      </c>
      <c r="D9219" s="51">
        <v>72.0</v>
      </c>
      <c r="E9219" s="52" t="s">
        <v>25</v>
      </c>
      <c r="F9219" s="52" t="s">
        <v>26</v>
      </c>
      <c r="G9219" s="53"/>
    </row>
    <row r="9220">
      <c r="A9220" s="49">
        <v>45117.99136226852</v>
      </c>
      <c r="B9220" s="50">
        <v>45118.1163284375</v>
      </c>
      <c r="C9220" s="51">
        <v>1.004</v>
      </c>
      <c r="D9220" s="51">
        <v>72.0</v>
      </c>
      <c r="E9220" s="52" t="s">
        <v>25</v>
      </c>
      <c r="F9220" s="52" t="s">
        <v>26</v>
      </c>
      <c r="G9220" s="53"/>
    </row>
    <row r="9221">
      <c r="A9221" s="49">
        <v>45118.00177697917</v>
      </c>
      <c r="B9221" s="50">
        <v>45118.1267488541</v>
      </c>
      <c r="C9221" s="51">
        <v>1.004</v>
      </c>
      <c r="D9221" s="51">
        <v>72.0</v>
      </c>
      <c r="E9221" s="52" t="s">
        <v>25</v>
      </c>
      <c r="F9221" s="52" t="s">
        <v>26</v>
      </c>
      <c r="G9221" s="53"/>
    </row>
    <row r="9222">
      <c r="A9222" s="49">
        <v>45118.01220268519</v>
      </c>
      <c r="B9222" s="50">
        <v>45118.1371702546</v>
      </c>
      <c r="C9222" s="51">
        <v>1.004</v>
      </c>
      <c r="D9222" s="51">
        <v>72.0</v>
      </c>
      <c r="E9222" s="52" t="s">
        <v>25</v>
      </c>
      <c r="F9222" s="52" t="s">
        <v>26</v>
      </c>
      <c r="G9222" s="53"/>
    </row>
    <row r="9223">
      <c r="A9223" s="49">
        <v>45118.02262292824</v>
      </c>
      <c r="B9223" s="50">
        <v>45118.1475925347</v>
      </c>
      <c r="C9223" s="51">
        <v>1.003</v>
      </c>
      <c r="D9223" s="51">
        <v>72.0</v>
      </c>
      <c r="E9223" s="52" t="s">
        <v>25</v>
      </c>
      <c r="F9223" s="52" t="s">
        <v>26</v>
      </c>
      <c r="G9223" s="53"/>
    </row>
    <row r="9224">
      <c r="A9224" s="49">
        <v>45118.03304775463</v>
      </c>
      <c r="B9224" s="50">
        <v>45118.1580125231</v>
      </c>
      <c r="C9224" s="51">
        <v>1.003</v>
      </c>
      <c r="D9224" s="51">
        <v>72.0</v>
      </c>
      <c r="E9224" s="52" t="s">
        <v>25</v>
      </c>
      <c r="F9224" s="52" t="s">
        <v>26</v>
      </c>
      <c r="G9224" s="53"/>
    </row>
    <row r="9225">
      <c r="A9225" s="49">
        <v>45118.043468738426</v>
      </c>
      <c r="B9225" s="50">
        <v>45118.1684463078</v>
      </c>
      <c r="C9225" s="51">
        <v>1.004</v>
      </c>
      <c r="D9225" s="51">
        <v>72.0</v>
      </c>
      <c r="E9225" s="52" t="s">
        <v>25</v>
      </c>
      <c r="F9225" s="52" t="s">
        <v>26</v>
      </c>
      <c r="G9225" s="53"/>
    </row>
    <row r="9226">
      <c r="A9226" s="49">
        <v>45118.053895150464</v>
      </c>
      <c r="B9226" s="50">
        <v>45118.1788673148</v>
      </c>
      <c r="C9226" s="51">
        <v>1.003</v>
      </c>
      <c r="D9226" s="51">
        <v>72.0</v>
      </c>
      <c r="E9226" s="52" t="s">
        <v>25</v>
      </c>
      <c r="F9226" s="52" t="s">
        <v>26</v>
      </c>
      <c r="G9226" s="53"/>
    </row>
    <row r="9227">
      <c r="A9227" s="49">
        <v>45118.06437030093</v>
      </c>
      <c r="B9227" s="50">
        <v>45118.1893001504</v>
      </c>
      <c r="C9227" s="51">
        <v>1.003</v>
      </c>
      <c r="D9227" s="51">
        <v>72.0</v>
      </c>
      <c r="E9227" s="52" t="s">
        <v>25</v>
      </c>
      <c r="F9227" s="52" t="s">
        <v>26</v>
      </c>
      <c r="G9227" s="53"/>
    </row>
    <row r="9228">
      <c r="A9228" s="49">
        <v>45118.07474241898</v>
      </c>
      <c r="B9228" s="50">
        <v>45118.1997209143</v>
      </c>
      <c r="C9228" s="51">
        <v>1.004</v>
      </c>
      <c r="D9228" s="51">
        <v>72.0</v>
      </c>
      <c r="E9228" s="52" t="s">
        <v>25</v>
      </c>
      <c r="F9228" s="52" t="s">
        <v>26</v>
      </c>
      <c r="G9228" s="53"/>
    </row>
    <row r="9229">
      <c r="A9229" s="49">
        <v>45118.085174224536</v>
      </c>
      <c r="B9229" s="50">
        <v>45118.2101421643</v>
      </c>
      <c r="C9229" s="51">
        <v>1.003</v>
      </c>
      <c r="D9229" s="51">
        <v>72.0</v>
      </c>
      <c r="E9229" s="52" t="s">
        <v>25</v>
      </c>
      <c r="F9229" s="52" t="s">
        <v>26</v>
      </c>
      <c r="G9229" s="53"/>
    </row>
    <row r="9230">
      <c r="A9230" s="49">
        <v>45118.09559390046</v>
      </c>
      <c r="B9230" s="50">
        <v>45118.2205628356</v>
      </c>
      <c r="C9230" s="51">
        <v>1.004</v>
      </c>
      <c r="D9230" s="51">
        <v>72.0</v>
      </c>
      <c r="E9230" s="52" t="s">
        <v>25</v>
      </c>
      <c r="F9230" s="52" t="s">
        <v>26</v>
      </c>
      <c r="G9230" s="53"/>
    </row>
    <row r="9231">
      <c r="A9231" s="49">
        <v>45118.10601953704</v>
      </c>
      <c r="B9231" s="50">
        <v>45118.2309846759</v>
      </c>
      <c r="C9231" s="51">
        <v>1.004</v>
      </c>
      <c r="D9231" s="51">
        <v>72.0</v>
      </c>
      <c r="E9231" s="52" t="s">
        <v>25</v>
      </c>
      <c r="F9231" s="52" t="s">
        <v>26</v>
      </c>
      <c r="G9231" s="53"/>
    </row>
    <row r="9232">
      <c r="A9232" s="49">
        <v>45118.11643840278</v>
      </c>
      <c r="B9232" s="50">
        <v>45118.2414044213</v>
      </c>
      <c r="C9232" s="51">
        <v>1.003</v>
      </c>
      <c r="D9232" s="51">
        <v>72.0</v>
      </c>
      <c r="E9232" s="52" t="s">
        <v>25</v>
      </c>
      <c r="F9232" s="52" t="s">
        <v>26</v>
      </c>
      <c r="G9232" s="53"/>
    </row>
    <row r="9233">
      <c r="A9233" s="49">
        <v>45118.12685523149</v>
      </c>
      <c r="B9233" s="50">
        <v>45118.2518245023</v>
      </c>
      <c r="C9233" s="51">
        <v>1.003</v>
      </c>
      <c r="D9233" s="51">
        <v>72.0</v>
      </c>
      <c r="E9233" s="52" t="s">
        <v>25</v>
      </c>
      <c r="F9233" s="52" t="s">
        <v>26</v>
      </c>
      <c r="G9233" s="53"/>
    </row>
    <row r="9234">
      <c r="A9234" s="49">
        <v>45118.13727133102</v>
      </c>
      <c r="B9234" s="50">
        <v>45118.2622464699</v>
      </c>
      <c r="C9234" s="51">
        <v>1.003</v>
      </c>
      <c r="D9234" s="51">
        <v>72.0</v>
      </c>
      <c r="E9234" s="52" t="s">
        <v>25</v>
      </c>
      <c r="F9234" s="52" t="s">
        <v>26</v>
      </c>
      <c r="G9234" s="53"/>
    </row>
    <row r="9235">
      <c r="A9235" s="49">
        <v>45118.147699560184</v>
      </c>
      <c r="B9235" s="50">
        <v>45118.2726671643</v>
      </c>
      <c r="C9235" s="51">
        <v>1.004</v>
      </c>
      <c r="D9235" s="51">
        <v>72.0</v>
      </c>
      <c r="E9235" s="52" t="s">
        <v>25</v>
      </c>
      <c r="F9235" s="52" t="s">
        <v>26</v>
      </c>
      <c r="G9235" s="53"/>
    </row>
    <row r="9236">
      <c r="A9236" s="49">
        <v>45118.15814359953</v>
      </c>
      <c r="B9236" s="50">
        <v>45118.2831132523</v>
      </c>
      <c r="C9236" s="51">
        <v>1.004</v>
      </c>
      <c r="D9236" s="51">
        <v>72.0</v>
      </c>
      <c r="E9236" s="52" t="s">
        <v>25</v>
      </c>
      <c r="F9236" s="52" t="s">
        <v>26</v>
      </c>
      <c r="G9236" s="53"/>
    </row>
    <row r="9237">
      <c r="A9237" s="49">
        <v>45118.168567754634</v>
      </c>
      <c r="B9237" s="50">
        <v>45118.2935347453</v>
      </c>
      <c r="C9237" s="51">
        <v>1.004</v>
      </c>
      <c r="D9237" s="51">
        <v>72.0</v>
      </c>
      <c r="E9237" s="52" t="s">
        <v>25</v>
      </c>
      <c r="F9237" s="52" t="s">
        <v>26</v>
      </c>
      <c r="G9237" s="53"/>
    </row>
    <row r="9238">
      <c r="A9238" s="49">
        <v>45118.17898469907</v>
      </c>
      <c r="B9238" s="50">
        <v>45118.3039560763</v>
      </c>
      <c r="C9238" s="51">
        <v>1.004</v>
      </c>
      <c r="D9238" s="51">
        <v>72.0</v>
      </c>
      <c r="E9238" s="52" t="s">
        <v>25</v>
      </c>
      <c r="F9238" s="52" t="s">
        <v>26</v>
      </c>
      <c r="G9238" s="53"/>
    </row>
    <row r="9239">
      <c r="A9239" s="49">
        <v>45118.18940241898</v>
      </c>
      <c r="B9239" s="50">
        <v>45118.3143766087</v>
      </c>
      <c r="C9239" s="51">
        <v>1.004</v>
      </c>
      <c r="D9239" s="51">
        <v>72.0</v>
      </c>
      <c r="E9239" s="52" t="s">
        <v>25</v>
      </c>
      <c r="F9239" s="52" t="s">
        <v>26</v>
      </c>
      <c r="G9239" s="53"/>
    </row>
    <row r="9240">
      <c r="A9240" s="49">
        <v>45118.199840960646</v>
      </c>
      <c r="B9240" s="50">
        <v>45118.3248090856</v>
      </c>
      <c r="C9240" s="51">
        <v>1.003</v>
      </c>
      <c r="D9240" s="51">
        <v>72.0</v>
      </c>
      <c r="E9240" s="52" t="s">
        <v>25</v>
      </c>
      <c r="F9240" s="52" t="s">
        <v>26</v>
      </c>
      <c r="G9240" s="53"/>
    </row>
    <row r="9241">
      <c r="A9241" s="49">
        <v>45118.210268599534</v>
      </c>
      <c r="B9241" s="50">
        <v>45118.3352303009</v>
      </c>
      <c r="C9241" s="51">
        <v>1.003</v>
      </c>
      <c r="D9241" s="51">
        <v>72.0</v>
      </c>
      <c r="E9241" s="52" t="s">
        <v>25</v>
      </c>
      <c r="F9241" s="52" t="s">
        <v>26</v>
      </c>
      <c r="G9241" s="53"/>
    </row>
    <row r="9242">
      <c r="A9242" s="49">
        <v>45118.22068456019</v>
      </c>
      <c r="B9242" s="50">
        <v>45118.3456513888</v>
      </c>
      <c r="C9242" s="51">
        <v>1.003</v>
      </c>
      <c r="D9242" s="51">
        <v>72.0</v>
      </c>
      <c r="E9242" s="52" t="s">
        <v>25</v>
      </c>
      <c r="F9242" s="52" t="s">
        <v>26</v>
      </c>
      <c r="G9242" s="53"/>
    </row>
    <row r="9243">
      <c r="A9243" s="49">
        <v>45118.23110483796</v>
      </c>
      <c r="B9243" s="50">
        <v>45118.3560819212</v>
      </c>
      <c r="C9243" s="51">
        <v>1.003</v>
      </c>
      <c r="D9243" s="51">
        <v>72.0</v>
      </c>
      <c r="E9243" s="52" t="s">
        <v>25</v>
      </c>
      <c r="F9243" s="52" t="s">
        <v>26</v>
      </c>
      <c r="G9243" s="53"/>
    </row>
    <row r="9244">
      <c r="A9244" s="49">
        <v>45118.24152858796</v>
      </c>
      <c r="B9244" s="50">
        <v>45118.3665017708</v>
      </c>
      <c r="C9244" s="51">
        <v>1.003</v>
      </c>
      <c r="D9244" s="51">
        <v>72.0</v>
      </c>
      <c r="E9244" s="52" t="s">
        <v>25</v>
      </c>
      <c r="F9244" s="52" t="s">
        <v>26</v>
      </c>
      <c r="G9244" s="53"/>
    </row>
    <row r="9245">
      <c r="A9245" s="49">
        <v>45118.25195554398</v>
      </c>
      <c r="B9245" s="50">
        <v>45118.3769234375</v>
      </c>
      <c r="C9245" s="51">
        <v>1.003</v>
      </c>
      <c r="D9245" s="51">
        <v>72.0</v>
      </c>
      <c r="E9245" s="52" t="s">
        <v>25</v>
      </c>
      <c r="F9245" s="52" t="s">
        <v>26</v>
      </c>
      <c r="G9245" s="53"/>
    </row>
    <row r="9246">
      <c r="A9246" s="49">
        <v>45118.262375578706</v>
      </c>
      <c r="B9246" s="50">
        <v>45118.387344699</v>
      </c>
      <c r="C9246" s="51">
        <v>1.004</v>
      </c>
      <c r="D9246" s="51">
        <v>72.0</v>
      </c>
      <c r="E9246" s="52" t="s">
        <v>25</v>
      </c>
      <c r="F9246" s="52" t="s">
        <v>26</v>
      </c>
      <c r="G9246" s="53"/>
    </row>
    <row r="9247">
      <c r="A9247" s="49">
        <v>45118.27279668982</v>
      </c>
      <c r="B9247" s="50">
        <v>45118.3977680439</v>
      </c>
      <c r="C9247" s="51">
        <v>1.004</v>
      </c>
      <c r="D9247" s="51">
        <v>72.0</v>
      </c>
      <c r="E9247" s="52" t="s">
        <v>25</v>
      </c>
      <c r="F9247" s="52" t="s">
        <v>26</v>
      </c>
      <c r="G9247" s="53"/>
    </row>
    <row r="9248">
      <c r="A9248" s="49">
        <v>45118.28320978009</v>
      </c>
      <c r="B9248" s="50">
        <v>45118.4081881944</v>
      </c>
      <c r="C9248" s="51">
        <v>1.003</v>
      </c>
      <c r="D9248" s="51">
        <v>72.0</v>
      </c>
      <c r="E9248" s="52" t="s">
        <v>25</v>
      </c>
      <c r="F9248" s="52" t="s">
        <v>26</v>
      </c>
      <c r="G9248" s="53"/>
    </row>
    <row r="9249">
      <c r="A9249" s="49">
        <v>45118.29368930556</v>
      </c>
      <c r="B9249" s="50">
        <v>45118.4186553819</v>
      </c>
      <c r="C9249" s="51">
        <v>1.003</v>
      </c>
      <c r="D9249" s="51">
        <v>72.0</v>
      </c>
      <c r="E9249" s="52" t="s">
        <v>25</v>
      </c>
      <c r="F9249" s="52" t="s">
        <v>26</v>
      </c>
      <c r="G9249" s="53"/>
    </row>
    <row r="9250">
      <c r="A9250" s="49">
        <v>45118.304118113425</v>
      </c>
      <c r="B9250" s="50">
        <v>45118.4290879976</v>
      </c>
      <c r="C9250" s="51">
        <v>1.003</v>
      </c>
      <c r="D9250" s="51">
        <v>72.0</v>
      </c>
      <c r="E9250" s="52" t="s">
        <v>25</v>
      </c>
      <c r="F9250" s="52" t="s">
        <v>26</v>
      </c>
      <c r="G9250" s="53"/>
    </row>
    <row r="9251">
      <c r="A9251" s="49">
        <v>45118.314555185185</v>
      </c>
      <c r="B9251" s="50">
        <v>45118.4395201851</v>
      </c>
      <c r="C9251" s="51">
        <v>1.003</v>
      </c>
      <c r="D9251" s="51">
        <v>72.0</v>
      </c>
      <c r="E9251" s="52" t="s">
        <v>25</v>
      </c>
      <c r="F9251" s="52" t="s">
        <v>26</v>
      </c>
      <c r="G9251" s="53"/>
    </row>
    <row r="9252">
      <c r="A9252" s="49">
        <v>45118.32496893519</v>
      </c>
      <c r="B9252" s="50">
        <v>45118.449941412</v>
      </c>
      <c r="C9252" s="51">
        <v>1.003</v>
      </c>
      <c r="D9252" s="51">
        <v>72.0</v>
      </c>
      <c r="E9252" s="52" t="s">
        <v>25</v>
      </c>
      <c r="F9252" s="52" t="s">
        <v>26</v>
      </c>
      <c r="G9252" s="53"/>
    </row>
    <row r="9253">
      <c r="A9253" s="49">
        <v>45118.33544123842</v>
      </c>
      <c r="B9253" s="50">
        <v>45118.4603629629</v>
      </c>
      <c r="C9253" s="51">
        <v>1.004</v>
      </c>
      <c r="D9253" s="51">
        <v>72.0</v>
      </c>
      <c r="E9253" s="52" t="s">
        <v>25</v>
      </c>
      <c r="F9253" s="52" t="s">
        <v>26</v>
      </c>
      <c r="G9253" s="53"/>
    </row>
    <row r="9254">
      <c r="A9254" s="49">
        <v>45118.34581378472</v>
      </c>
      <c r="B9254" s="50">
        <v>45118.4707837963</v>
      </c>
      <c r="C9254" s="51">
        <v>1.004</v>
      </c>
      <c r="D9254" s="51">
        <v>72.0</v>
      </c>
      <c r="E9254" s="52" t="s">
        <v>25</v>
      </c>
      <c r="F9254" s="52" t="s">
        <v>26</v>
      </c>
      <c r="G9254" s="53"/>
    </row>
    <row r="9255">
      <c r="A9255" s="49">
        <v>45118.35623790509</v>
      </c>
      <c r="B9255" s="50">
        <v>45118.4812061458</v>
      </c>
      <c r="C9255" s="51">
        <v>1.004</v>
      </c>
      <c r="D9255" s="51">
        <v>72.0</v>
      </c>
      <c r="E9255" s="52" t="s">
        <v>25</v>
      </c>
      <c r="F9255" s="52" t="s">
        <v>26</v>
      </c>
      <c r="G9255" s="53"/>
    </row>
    <row r="9256">
      <c r="A9256" s="49">
        <v>45118.36665539352</v>
      </c>
      <c r="B9256" s="50">
        <v>45118.4916270601</v>
      </c>
      <c r="C9256" s="51">
        <v>1.004</v>
      </c>
      <c r="D9256" s="51">
        <v>72.0</v>
      </c>
      <c r="E9256" s="52" t="s">
        <v>25</v>
      </c>
      <c r="F9256" s="52" t="s">
        <v>26</v>
      </c>
      <c r="G9256" s="53"/>
    </row>
    <row r="9257">
      <c r="A9257" s="49">
        <v>45118.377077916666</v>
      </c>
      <c r="B9257" s="50">
        <v>45118.5020495138</v>
      </c>
      <c r="C9257" s="51">
        <v>1.004</v>
      </c>
      <c r="D9257" s="51">
        <v>72.0</v>
      </c>
      <c r="E9257" s="52" t="s">
        <v>25</v>
      </c>
      <c r="F9257" s="52" t="s">
        <v>26</v>
      </c>
      <c r="G9257" s="53"/>
    </row>
    <row r="9258">
      <c r="A9258" s="49">
        <v>45118.38750211806</v>
      </c>
      <c r="B9258" s="50">
        <v>45118.5124712962</v>
      </c>
      <c r="C9258" s="51">
        <v>1.004</v>
      </c>
      <c r="D9258" s="51">
        <v>72.0</v>
      </c>
      <c r="E9258" s="52" t="s">
        <v>25</v>
      </c>
      <c r="F9258" s="52" t="s">
        <v>26</v>
      </c>
      <c r="G9258" s="53"/>
    </row>
    <row r="9259">
      <c r="A9259" s="49">
        <v>45118.3979234375</v>
      </c>
      <c r="B9259" s="50">
        <v>45118.5228921759</v>
      </c>
      <c r="C9259" s="51">
        <v>1.004</v>
      </c>
      <c r="D9259" s="51">
        <v>72.0</v>
      </c>
      <c r="E9259" s="52" t="s">
        <v>25</v>
      </c>
      <c r="F9259" s="52" t="s">
        <v>26</v>
      </c>
      <c r="G9259" s="53"/>
    </row>
    <row r="9260">
      <c r="A9260" s="49">
        <v>45118.40834329861</v>
      </c>
      <c r="B9260" s="50">
        <v>45118.533313125</v>
      </c>
      <c r="C9260" s="51">
        <v>1.003</v>
      </c>
      <c r="D9260" s="51">
        <v>72.0</v>
      </c>
      <c r="E9260" s="52" t="s">
        <v>25</v>
      </c>
      <c r="F9260" s="52" t="s">
        <v>26</v>
      </c>
      <c r="G9260" s="53"/>
    </row>
    <row r="9261">
      <c r="A9261" s="49">
        <v>45118.41876901621</v>
      </c>
      <c r="B9261" s="50">
        <v>45118.5437344328</v>
      </c>
      <c r="C9261" s="51">
        <v>1.004</v>
      </c>
      <c r="D9261" s="51">
        <v>72.0</v>
      </c>
      <c r="E9261" s="52" t="s">
        <v>25</v>
      </c>
      <c r="F9261" s="52" t="s">
        <v>26</v>
      </c>
      <c r="G9261" s="53"/>
    </row>
    <row r="9262">
      <c r="A9262" s="49">
        <v>45118.429203692125</v>
      </c>
      <c r="B9262" s="50">
        <v>45118.5541675</v>
      </c>
      <c r="C9262" s="51">
        <v>1.004</v>
      </c>
      <c r="D9262" s="51">
        <v>72.0</v>
      </c>
      <c r="E9262" s="52" t="s">
        <v>25</v>
      </c>
      <c r="F9262" s="52" t="s">
        <v>26</v>
      </c>
      <c r="G9262" s="53"/>
    </row>
    <row r="9263">
      <c r="A9263" s="49">
        <v>45118.439623819446</v>
      </c>
      <c r="B9263" s="50">
        <v>45118.5645992013</v>
      </c>
      <c r="C9263" s="51">
        <v>1.004</v>
      </c>
      <c r="D9263" s="51">
        <v>72.0</v>
      </c>
      <c r="E9263" s="52" t="s">
        <v>25</v>
      </c>
      <c r="F9263" s="52" t="s">
        <v>26</v>
      </c>
      <c r="G9263" s="53"/>
    </row>
    <row r="9264">
      <c r="A9264" s="49">
        <v>45118.45004202546</v>
      </c>
      <c r="B9264" s="50">
        <v>45118.5750192708</v>
      </c>
      <c r="C9264" s="51">
        <v>1.004</v>
      </c>
      <c r="D9264" s="51">
        <v>72.0</v>
      </c>
      <c r="E9264" s="52" t="s">
        <v>25</v>
      </c>
      <c r="F9264" s="52" t="s">
        <v>26</v>
      </c>
      <c r="G9264" s="53"/>
    </row>
    <row r="9265">
      <c r="A9265" s="49">
        <v>45118.46047780092</v>
      </c>
      <c r="B9265" s="50">
        <v>45118.5854511689</v>
      </c>
      <c r="C9265" s="51">
        <v>1.003</v>
      </c>
      <c r="D9265" s="51">
        <v>72.0</v>
      </c>
      <c r="E9265" s="52" t="s">
        <v>25</v>
      </c>
      <c r="F9265" s="52" t="s">
        <v>26</v>
      </c>
      <c r="G9265" s="53"/>
    </row>
    <row r="9266">
      <c r="A9266" s="49">
        <v>45118.47089490741</v>
      </c>
      <c r="B9266" s="50">
        <v>45118.5958726504</v>
      </c>
      <c r="C9266" s="51">
        <v>1.004</v>
      </c>
      <c r="D9266" s="51">
        <v>72.0</v>
      </c>
      <c r="E9266" s="52" t="s">
        <v>25</v>
      </c>
      <c r="F9266" s="52" t="s">
        <v>26</v>
      </c>
      <c r="G9266" s="53"/>
    </row>
    <row r="9267">
      <c r="A9267" s="49">
        <v>45118.48132283565</v>
      </c>
      <c r="B9267" s="50">
        <v>45118.6062929166</v>
      </c>
      <c r="C9267" s="51">
        <v>1.003</v>
      </c>
      <c r="D9267" s="51">
        <v>72.0</v>
      </c>
      <c r="E9267" s="52" t="s">
        <v>25</v>
      </c>
      <c r="F9267" s="52" t="s">
        <v>26</v>
      </c>
      <c r="G9267" s="53"/>
    </row>
    <row r="9268">
      <c r="A9268" s="49">
        <v>45118.4917512963</v>
      </c>
      <c r="B9268" s="50">
        <v>45118.6167281018</v>
      </c>
      <c r="C9268" s="51">
        <v>1.003</v>
      </c>
      <c r="D9268" s="51">
        <v>72.0</v>
      </c>
      <c r="E9268" s="52" t="s">
        <v>25</v>
      </c>
      <c r="F9268" s="52" t="s">
        <v>26</v>
      </c>
      <c r="G9268" s="53"/>
    </row>
    <row r="9269">
      <c r="A9269" s="49">
        <v>45118.50219337963</v>
      </c>
      <c r="B9269" s="50">
        <v>45118.6271612731</v>
      </c>
      <c r="C9269" s="51">
        <v>1.003</v>
      </c>
      <c r="D9269" s="51">
        <v>72.0</v>
      </c>
      <c r="E9269" s="52" t="s">
        <v>25</v>
      </c>
      <c r="F9269" s="52" t="s">
        <v>26</v>
      </c>
      <c r="G9269" s="53"/>
    </row>
    <row r="9270">
      <c r="A9270" s="49">
        <v>45118.51260967593</v>
      </c>
      <c r="B9270" s="50">
        <v>45118.6375817708</v>
      </c>
      <c r="C9270" s="51">
        <v>1.003</v>
      </c>
      <c r="D9270" s="51">
        <v>72.0</v>
      </c>
      <c r="E9270" s="52" t="s">
        <v>25</v>
      </c>
      <c r="F9270" s="52" t="s">
        <v>26</v>
      </c>
      <c r="G9270" s="53"/>
    </row>
    <row r="9271">
      <c r="A9271" s="49">
        <v>45118.52303506945</v>
      </c>
      <c r="B9271" s="50">
        <v>45118.6480047916</v>
      </c>
      <c r="C9271" s="51">
        <v>1.004</v>
      </c>
      <c r="D9271" s="51">
        <v>72.0</v>
      </c>
      <c r="E9271" s="52" t="s">
        <v>25</v>
      </c>
      <c r="F9271" s="52" t="s">
        <v>26</v>
      </c>
      <c r="G9271" s="53"/>
    </row>
    <row r="9272">
      <c r="A9272" s="49">
        <v>45118.53348221065</v>
      </c>
      <c r="B9272" s="50">
        <v>45118.6584488888</v>
      </c>
      <c r="C9272" s="51">
        <v>1.003</v>
      </c>
      <c r="D9272" s="51">
        <v>72.0</v>
      </c>
      <c r="E9272" s="52" t="s">
        <v>25</v>
      </c>
      <c r="F9272" s="52" t="s">
        <v>26</v>
      </c>
      <c r="G9272" s="53"/>
    </row>
    <row r="9273">
      <c r="A9273" s="49">
        <v>45118.543892500005</v>
      </c>
      <c r="B9273" s="50">
        <v>45118.6688680902</v>
      </c>
      <c r="C9273" s="51">
        <v>1.004</v>
      </c>
      <c r="D9273" s="51">
        <v>72.0</v>
      </c>
      <c r="E9273" s="52" t="s">
        <v>25</v>
      </c>
      <c r="F9273" s="52" t="s">
        <v>26</v>
      </c>
      <c r="G9273" s="53"/>
    </row>
    <row r="9274">
      <c r="A9274" s="49">
        <v>45118.55431943287</v>
      </c>
      <c r="B9274" s="50">
        <v>45118.6792897569</v>
      </c>
      <c r="C9274" s="51">
        <v>1.003</v>
      </c>
      <c r="D9274" s="51">
        <v>72.0</v>
      </c>
      <c r="E9274" s="52" t="s">
        <v>25</v>
      </c>
      <c r="F9274" s="52" t="s">
        <v>26</v>
      </c>
      <c r="G9274" s="53"/>
    </row>
    <row r="9275">
      <c r="A9275" s="49">
        <v>45118.56474025463</v>
      </c>
      <c r="B9275" s="50">
        <v>45118.6897107291</v>
      </c>
      <c r="C9275" s="51">
        <v>1.004</v>
      </c>
      <c r="D9275" s="51">
        <v>72.0</v>
      </c>
      <c r="E9275" s="52" t="s">
        <v>25</v>
      </c>
      <c r="F9275" s="52" t="s">
        <v>26</v>
      </c>
      <c r="G9275" s="53"/>
    </row>
    <row r="9276">
      <c r="A9276" s="49">
        <v>45118.575163437505</v>
      </c>
      <c r="B9276" s="50">
        <v>45118.7001319212</v>
      </c>
      <c r="C9276" s="51">
        <v>1.004</v>
      </c>
      <c r="D9276" s="51">
        <v>72.0</v>
      </c>
      <c r="E9276" s="52" t="s">
        <v>25</v>
      </c>
      <c r="F9276" s="52" t="s">
        <v>26</v>
      </c>
      <c r="G9276" s="53"/>
    </row>
    <row r="9277">
      <c r="A9277" s="49">
        <v>45118.58560489584</v>
      </c>
      <c r="B9277" s="50">
        <v>45118.710577118</v>
      </c>
      <c r="C9277" s="51">
        <v>1.004</v>
      </c>
      <c r="D9277" s="51">
        <v>72.0</v>
      </c>
      <c r="E9277" s="52" t="s">
        <v>25</v>
      </c>
      <c r="F9277" s="52" t="s">
        <v>26</v>
      </c>
      <c r="G9277" s="53"/>
    </row>
    <row r="9278">
      <c r="A9278" s="49">
        <v>45118.59604128472</v>
      </c>
      <c r="B9278" s="50">
        <v>45118.7210102662</v>
      </c>
      <c r="C9278" s="51">
        <v>1.004</v>
      </c>
      <c r="D9278" s="51">
        <v>72.0</v>
      </c>
      <c r="E9278" s="52" t="s">
        <v>25</v>
      </c>
      <c r="F9278" s="52" t="s">
        <v>26</v>
      </c>
      <c r="G9278" s="53"/>
    </row>
    <row r="9279">
      <c r="A9279" s="49">
        <v>45118.60644841436</v>
      </c>
      <c r="B9279" s="50">
        <v>45118.731430405</v>
      </c>
      <c r="C9279" s="51">
        <v>1.003</v>
      </c>
      <c r="D9279" s="51">
        <v>72.0</v>
      </c>
      <c r="E9279" s="52" t="s">
        <v>25</v>
      </c>
      <c r="F9279" s="52" t="s">
        <v>26</v>
      </c>
      <c r="G9279" s="53"/>
    </row>
    <row r="9280">
      <c r="A9280" s="49">
        <v>45118.61689483796</v>
      </c>
      <c r="B9280" s="50">
        <v>45118.7418652199</v>
      </c>
      <c r="C9280" s="51">
        <v>1.004</v>
      </c>
      <c r="D9280" s="51">
        <v>72.0</v>
      </c>
      <c r="E9280" s="52" t="s">
        <v>25</v>
      </c>
      <c r="F9280" s="52" t="s">
        <v>26</v>
      </c>
      <c r="G9280" s="53"/>
    </row>
    <row r="9281">
      <c r="A9281" s="49">
        <v>45118.62737444445</v>
      </c>
      <c r="B9281" s="50">
        <v>45118.7523210995</v>
      </c>
      <c r="C9281" s="51">
        <v>1.004</v>
      </c>
      <c r="D9281" s="51">
        <v>72.0</v>
      </c>
      <c r="E9281" s="52" t="s">
        <v>25</v>
      </c>
      <c r="F9281" s="52" t="s">
        <v>26</v>
      </c>
      <c r="G9281" s="53"/>
    </row>
    <row r="9282">
      <c r="A9282" s="49">
        <v>45118.63782070602</v>
      </c>
      <c r="B9282" s="50">
        <v>45118.7627408333</v>
      </c>
      <c r="C9282" s="51">
        <v>1.004</v>
      </c>
      <c r="D9282" s="51">
        <v>72.0</v>
      </c>
      <c r="E9282" s="52" t="s">
        <v>25</v>
      </c>
      <c r="F9282" s="52" t="s">
        <v>26</v>
      </c>
      <c r="G9282" s="53"/>
    </row>
    <row r="9283">
      <c r="A9283" s="49">
        <v>45118.648230844905</v>
      </c>
      <c r="B9283" s="50">
        <v>45118.7731623379</v>
      </c>
      <c r="C9283" s="51">
        <v>1.004</v>
      </c>
      <c r="D9283" s="51">
        <v>72.0</v>
      </c>
      <c r="E9283" s="52" t="s">
        <v>25</v>
      </c>
      <c r="F9283" s="52" t="s">
        <v>26</v>
      </c>
      <c r="G9283" s="53"/>
    </row>
    <row r="9284">
      <c r="A9284" s="49">
        <v>45118.65867729166</v>
      </c>
      <c r="B9284" s="50">
        <v>45118.7835950347</v>
      </c>
      <c r="C9284" s="51">
        <v>1.003</v>
      </c>
      <c r="D9284" s="51">
        <v>72.0</v>
      </c>
      <c r="E9284" s="52" t="s">
        <v>25</v>
      </c>
      <c r="F9284" s="52" t="s">
        <v>26</v>
      </c>
      <c r="G9284" s="53"/>
    </row>
    <row r="9285">
      <c r="A9285" s="49">
        <v>45118.66908375</v>
      </c>
      <c r="B9285" s="50">
        <v>45118.794017118</v>
      </c>
      <c r="C9285" s="51">
        <v>1.004</v>
      </c>
      <c r="D9285" s="51">
        <v>72.0</v>
      </c>
      <c r="E9285" s="52" t="s">
        <v>25</v>
      </c>
      <c r="F9285" s="52" t="s">
        <v>26</v>
      </c>
      <c r="G9285" s="53"/>
    </row>
    <row r="9286">
      <c r="A9286" s="49">
        <v>45118.67951386574</v>
      </c>
      <c r="B9286" s="50">
        <v>45118.8044392129</v>
      </c>
      <c r="C9286" s="51">
        <v>1.004</v>
      </c>
      <c r="D9286" s="51">
        <v>72.0</v>
      </c>
      <c r="E9286" s="52" t="s">
        <v>25</v>
      </c>
      <c r="F9286" s="52" t="s">
        <v>26</v>
      </c>
      <c r="G9286" s="53"/>
    </row>
    <row r="9287">
      <c r="A9287" s="49">
        <v>45118.68994008102</v>
      </c>
      <c r="B9287" s="50">
        <v>45118.8148613888</v>
      </c>
      <c r="C9287" s="51">
        <v>1.004</v>
      </c>
      <c r="D9287" s="51">
        <v>72.0</v>
      </c>
      <c r="E9287" s="52" t="s">
        <v>25</v>
      </c>
      <c r="F9287" s="52" t="s">
        <v>26</v>
      </c>
      <c r="G9287" s="53"/>
    </row>
    <row r="9288">
      <c r="A9288" s="49">
        <v>45118.700354375</v>
      </c>
      <c r="B9288" s="50">
        <v>45118.8252826504</v>
      </c>
      <c r="C9288" s="51">
        <v>1.004</v>
      </c>
      <c r="D9288" s="51">
        <v>72.0</v>
      </c>
      <c r="E9288" s="52" t="s">
        <v>25</v>
      </c>
      <c r="F9288" s="52" t="s">
        <v>26</v>
      </c>
      <c r="G9288" s="53"/>
    </row>
    <row r="9289">
      <c r="A9289" s="49">
        <v>45118.71078729167</v>
      </c>
      <c r="B9289" s="50">
        <v>45118.8357168981</v>
      </c>
      <c r="C9289" s="51">
        <v>1.003</v>
      </c>
      <c r="D9289" s="51">
        <v>72.0</v>
      </c>
      <c r="E9289" s="52" t="s">
        <v>25</v>
      </c>
      <c r="F9289" s="52" t="s">
        <v>26</v>
      </c>
      <c r="G9289" s="53"/>
    </row>
    <row r="9290">
      <c r="A9290" s="49">
        <v>45118.721194004625</v>
      </c>
      <c r="B9290" s="50">
        <v>45118.8461511342</v>
      </c>
      <c r="C9290" s="51">
        <v>1.004</v>
      </c>
      <c r="D9290" s="51">
        <v>72.0</v>
      </c>
      <c r="E9290" s="52" t="s">
        <v>25</v>
      </c>
      <c r="F9290" s="52" t="s">
        <v>26</v>
      </c>
      <c r="G9290" s="53"/>
    </row>
    <row r="9291">
      <c r="A9291" s="49">
        <v>45118.73162547454</v>
      </c>
      <c r="B9291" s="50">
        <v>45118.8565723842</v>
      </c>
      <c r="C9291" s="51">
        <v>1.004</v>
      </c>
      <c r="D9291" s="51">
        <v>72.0</v>
      </c>
      <c r="E9291" s="52" t="s">
        <v>25</v>
      </c>
      <c r="F9291" s="52" t="s">
        <v>26</v>
      </c>
      <c r="G9291" s="53"/>
    </row>
    <row r="9292">
      <c r="A9292" s="49">
        <v>45118.74205166667</v>
      </c>
      <c r="B9292" s="50">
        <v>45118.8669940277</v>
      </c>
      <c r="C9292" s="51">
        <v>1.003</v>
      </c>
      <c r="D9292" s="51">
        <v>72.0</v>
      </c>
      <c r="E9292" s="52" t="s">
        <v>25</v>
      </c>
      <c r="F9292" s="52" t="s">
        <v>26</v>
      </c>
      <c r="G9292" s="53"/>
    </row>
    <row r="9293">
      <c r="A9293" s="49">
        <v>45118.75247177083</v>
      </c>
      <c r="B9293" s="50">
        <v>45118.8774385879</v>
      </c>
      <c r="C9293" s="51">
        <v>1.003</v>
      </c>
      <c r="D9293" s="51">
        <v>72.0</v>
      </c>
      <c r="E9293" s="52" t="s">
        <v>25</v>
      </c>
      <c r="F9293" s="52" t="s">
        <v>26</v>
      </c>
      <c r="G9293" s="53"/>
    </row>
    <row r="9294">
      <c r="A9294" s="49">
        <v>45118.762901168986</v>
      </c>
      <c r="B9294" s="50">
        <v>45118.8878601273</v>
      </c>
      <c r="C9294" s="51">
        <v>1.003</v>
      </c>
      <c r="D9294" s="51">
        <v>72.0</v>
      </c>
      <c r="E9294" s="52" t="s">
        <v>25</v>
      </c>
      <c r="F9294" s="52" t="s">
        <v>26</v>
      </c>
      <c r="G9294" s="53"/>
    </row>
    <row r="9295">
      <c r="A9295" s="49">
        <v>45118.773313530095</v>
      </c>
      <c r="B9295" s="50">
        <v>45118.8982822106</v>
      </c>
      <c r="C9295" s="51">
        <v>1.003</v>
      </c>
      <c r="D9295" s="51">
        <v>72.0</v>
      </c>
      <c r="E9295" s="52" t="s">
        <v>25</v>
      </c>
      <c r="F9295" s="52" t="s">
        <v>26</v>
      </c>
      <c r="G9295" s="53"/>
    </row>
    <row r="9296">
      <c r="A9296" s="49">
        <v>45118.783737962964</v>
      </c>
      <c r="B9296" s="50">
        <v>45118.90871603</v>
      </c>
      <c r="C9296" s="51">
        <v>1.003</v>
      </c>
      <c r="D9296" s="51">
        <v>72.0</v>
      </c>
      <c r="E9296" s="52" t="s">
        <v>25</v>
      </c>
      <c r="F9296" s="52" t="s">
        <v>26</v>
      </c>
      <c r="G9296" s="53"/>
    </row>
    <row r="9297">
      <c r="A9297" s="49">
        <v>45118.79416810186</v>
      </c>
      <c r="B9297" s="50">
        <v>45118.9191369907</v>
      </c>
      <c r="C9297" s="51">
        <v>1.003</v>
      </c>
      <c r="D9297" s="51">
        <v>72.0</v>
      </c>
      <c r="E9297" s="52" t="s">
        <v>25</v>
      </c>
      <c r="F9297" s="52" t="s">
        <v>26</v>
      </c>
      <c r="G9297" s="53"/>
    </row>
    <row r="9298">
      <c r="A9298" s="49">
        <v>45118.80458457176</v>
      </c>
      <c r="B9298" s="50">
        <v>45118.9295571759</v>
      </c>
      <c r="C9298" s="51">
        <v>1.004</v>
      </c>
      <c r="D9298" s="51">
        <v>72.0</v>
      </c>
      <c r="E9298" s="52" t="s">
        <v>25</v>
      </c>
      <c r="F9298" s="52" t="s">
        <v>26</v>
      </c>
      <c r="G9298" s="53"/>
    </row>
    <row r="9299">
      <c r="A9299" s="49">
        <v>45118.81500136574</v>
      </c>
      <c r="B9299" s="50">
        <v>45118.9399801273</v>
      </c>
      <c r="C9299" s="51">
        <v>1.004</v>
      </c>
      <c r="D9299" s="51">
        <v>72.0</v>
      </c>
      <c r="E9299" s="52" t="s">
        <v>25</v>
      </c>
      <c r="F9299" s="52" t="s">
        <v>26</v>
      </c>
      <c r="G9299" s="53"/>
    </row>
    <row r="9300">
      <c r="A9300" s="49">
        <v>45118.82541938657</v>
      </c>
      <c r="B9300" s="50">
        <v>45118.950400787</v>
      </c>
      <c r="C9300" s="51">
        <v>1.003</v>
      </c>
      <c r="D9300" s="51">
        <v>72.0</v>
      </c>
      <c r="E9300" s="52" t="s">
        <v>25</v>
      </c>
      <c r="F9300" s="52" t="s">
        <v>26</v>
      </c>
      <c r="G9300" s="53"/>
    </row>
    <row r="9301">
      <c r="A9301" s="49">
        <v>45118.83586399305</v>
      </c>
      <c r="B9301" s="50">
        <v>45118.9608211921</v>
      </c>
      <c r="C9301" s="51">
        <v>1.003</v>
      </c>
      <c r="D9301" s="51">
        <v>72.0</v>
      </c>
      <c r="E9301" s="52" t="s">
        <v>25</v>
      </c>
      <c r="F9301" s="52" t="s">
        <v>26</v>
      </c>
      <c r="G9301" s="53"/>
    </row>
    <row r="9302">
      <c r="A9302" s="49">
        <v>45118.846286238426</v>
      </c>
      <c r="B9302" s="50">
        <v>45118.9712430902</v>
      </c>
      <c r="C9302" s="51">
        <v>1.003</v>
      </c>
      <c r="D9302" s="51">
        <v>72.0</v>
      </c>
      <c r="E9302" s="52" t="s">
        <v>25</v>
      </c>
      <c r="F9302" s="52" t="s">
        <v>26</v>
      </c>
      <c r="G9302" s="53"/>
    </row>
    <row r="9303">
      <c r="A9303" s="49">
        <v>45118.85670202546</v>
      </c>
      <c r="B9303" s="50">
        <v>45118.9816645486</v>
      </c>
      <c r="C9303" s="51">
        <v>1.004</v>
      </c>
      <c r="D9303" s="51">
        <v>72.0</v>
      </c>
      <c r="E9303" s="52" t="s">
        <v>25</v>
      </c>
      <c r="F9303" s="52" t="s">
        <v>26</v>
      </c>
      <c r="G9303" s="53"/>
    </row>
    <row r="9304">
      <c r="A9304" s="49">
        <v>45118.867132858795</v>
      </c>
      <c r="B9304" s="50">
        <v>45118.9920848495</v>
      </c>
      <c r="C9304" s="51">
        <v>1.004</v>
      </c>
      <c r="D9304" s="51">
        <v>72.0</v>
      </c>
      <c r="E9304" s="52" t="s">
        <v>25</v>
      </c>
      <c r="F9304" s="52" t="s">
        <v>26</v>
      </c>
      <c r="G9304" s="53"/>
    </row>
    <row r="9305">
      <c r="A9305" s="49">
        <v>45118.877548240736</v>
      </c>
      <c r="B9305" s="50">
        <v>45119.002518287</v>
      </c>
      <c r="C9305" s="51">
        <v>1.003</v>
      </c>
      <c r="D9305" s="51">
        <v>72.0</v>
      </c>
      <c r="E9305" s="52" t="s">
        <v>25</v>
      </c>
      <c r="F9305" s="52" t="s">
        <v>26</v>
      </c>
      <c r="G9305" s="53"/>
    </row>
    <row r="9306">
      <c r="A9306" s="49">
        <v>45118.88797861111</v>
      </c>
      <c r="B9306" s="50">
        <v>45119.0129378009</v>
      </c>
      <c r="C9306" s="51">
        <v>1.004</v>
      </c>
      <c r="D9306" s="51">
        <v>72.0</v>
      </c>
      <c r="E9306" s="52" t="s">
        <v>25</v>
      </c>
      <c r="F9306" s="52" t="s">
        <v>26</v>
      </c>
      <c r="G9306" s="53"/>
    </row>
    <row r="9307">
      <c r="A9307" s="49">
        <v>45118.89842493055</v>
      </c>
      <c r="B9307" s="50">
        <v>45119.0233942245</v>
      </c>
      <c r="C9307" s="51">
        <v>1.004</v>
      </c>
      <c r="D9307" s="51">
        <v>72.0</v>
      </c>
      <c r="E9307" s="52" t="s">
        <v>25</v>
      </c>
      <c r="F9307" s="52" t="s">
        <v>26</v>
      </c>
      <c r="G9307" s="53"/>
    </row>
    <row r="9308">
      <c r="A9308" s="49">
        <v>45118.90884078704</v>
      </c>
      <c r="B9308" s="50">
        <v>45119.0338149884</v>
      </c>
      <c r="C9308" s="51">
        <v>1.004</v>
      </c>
      <c r="D9308" s="51">
        <v>72.0</v>
      </c>
      <c r="E9308" s="52" t="s">
        <v>25</v>
      </c>
      <c r="F9308" s="52" t="s">
        <v>26</v>
      </c>
      <c r="G9308" s="53"/>
    </row>
    <row r="9309">
      <c r="A9309" s="49">
        <v>45118.91928327546</v>
      </c>
      <c r="B9309" s="50">
        <v>45119.0442362615</v>
      </c>
      <c r="C9309" s="51">
        <v>1.003</v>
      </c>
      <c r="D9309" s="51">
        <v>72.0</v>
      </c>
      <c r="E9309" s="52" t="s">
        <v>25</v>
      </c>
      <c r="F9309" s="52" t="s">
        <v>26</v>
      </c>
      <c r="G9309" s="53"/>
    </row>
    <row r="9310">
      <c r="A9310" s="49">
        <v>45118.92969752315</v>
      </c>
      <c r="B9310" s="50">
        <v>45119.0546684259</v>
      </c>
      <c r="C9310" s="51">
        <v>1.004</v>
      </c>
      <c r="D9310" s="51">
        <v>72.0</v>
      </c>
      <c r="E9310" s="52" t="s">
        <v>25</v>
      </c>
      <c r="F9310" s="52" t="s">
        <v>26</v>
      </c>
      <c r="G9310" s="53"/>
    </row>
    <row r="9311">
      <c r="A9311" s="49">
        <v>45118.94012449074</v>
      </c>
      <c r="B9311" s="50">
        <v>45119.0650917013</v>
      </c>
      <c r="C9311" s="51">
        <v>1.004</v>
      </c>
      <c r="D9311" s="51">
        <v>72.0</v>
      </c>
      <c r="E9311" s="52" t="s">
        <v>25</v>
      </c>
      <c r="F9311" s="52" t="s">
        <v>26</v>
      </c>
      <c r="G9311" s="53"/>
    </row>
    <row r="9312">
      <c r="A9312" s="49">
        <v>45118.95054024305</v>
      </c>
      <c r="B9312" s="50">
        <v>45119.0755130208</v>
      </c>
      <c r="C9312" s="51">
        <v>1.004</v>
      </c>
      <c r="D9312" s="51">
        <v>72.0</v>
      </c>
      <c r="E9312" s="52" t="s">
        <v>25</v>
      </c>
      <c r="F9312" s="52" t="s">
        <v>26</v>
      </c>
      <c r="G9312" s="53"/>
    </row>
    <row r="9313">
      <c r="A9313" s="49">
        <v>45118.96096614584</v>
      </c>
      <c r="B9313" s="50">
        <v>45119.0859336921</v>
      </c>
      <c r="C9313" s="51">
        <v>1.004</v>
      </c>
      <c r="D9313" s="51">
        <v>72.0</v>
      </c>
      <c r="E9313" s="52" t="s">
        <v>25</v>
      </c>
      <c r="F9313" s="52" t="s">
        <v>26</v>
      </c>
      <c r="G9313" s="53"/>
    </row>
    <row r="9314">
      <c r="A9314" s="49">
        <v>45118.97138012732</v>
      </c>
      <c r="B9314" s="50">
        <v>45119.0963543634</v>
      </c>
      <c r="C9314" s="51">
        <v>1.004</v>
      </c>
      <c r="D9314" s="51">
        <v>72.0</v>
      </c>
      <c r="E9314" s="52" t="s">
        <v>25</v>
      </c>
      <c r="F9314" s="52" t="s">
        <v>26</v>
      </c>
      <c r="G9314" s="53"/>
    </row>
    <row r="9315">
      <c r="A9315" s="49">
        <v>45118.981817673615</v>
      </c>
      <c r="B9315" s="50">
        <v>45119.1067859606</v>
      </c>
      <c r="C9315" s="51">
        <v>1.004</v>
      </c>
      <c r="D9315" s="51">
        <v>72.0</v>
      </c>
      <c r="E9315" s="52" t="s">
        <v>25</v>
      </c>
      <c r="F9315" s="52" t="s">
        <v>26</v>
      </c>
      <c r="G9315" s="53"/>
    </row>
    <row r="9316">
      <c r="A9316" s="49">
        <v>45118.992231620374</v>
      </c>
      <c r="B9316" s="50">
        <v>45119.1172054398</v>
      </c>
      <c r="C9316" s="51">
        <v>1.003</v>
      </c>
      <c r="D9316" s="51">
        <v>72.0</v>
      </c>
      <c r="E9316" s="52" t="s">
        <v>25</v>
      </c>
      <c r="F9316" s="52" t="s">
        <v>26</v>
      </c>
      <c r="G9316" s="53"/>
    </row>
    <row r="9317">
      <c r="A9317" s="49">
        <v>45119.00265403935</v>
      </c>
      <c r="B9317" s="50">
        <v>45119.1276272337</v>
      </c>
      <c r="C9317" s="51">
        <v>1.003</v>
      </c>
      <c r="D9317" s="51">
        <v>72.0</v>
      </c>
      <c r="E9317" s="52" t="s">
        <v>25</v>
      </c>
      <c r="F9317" s="52" t="s">
        <v>26</v>
      </c>
      <c r="G9317" s="53"/>
    </row>
    <row r="9318">
      <c r="A9318" s="49">
        <v>45119.013078344906</v>
      </c>
      <c r="B9318" s="50">
        <v>45119.1380481713</v>
      </c>
      <c r="C9318" s="51">
        <v>1.004</v>
      </c>
      <c r="D9318" s="51">
        <v>72.0</v>
      </c>
      <c r="E9318" s="52" t="s">
        <v>25</v>
      </c>
      <c r="F9318" s="52" t="s">
        <v>26</v>
      </c>
      <c r="G9318" s="53"/>
    </row>
    <row r="9319">
      <c r="A9319" s="49">
        <v>45119.023502407406</v>
      </c>
      <c r="B9319" s="50">
        <v>45119.1484711226</v>
      </c>
      <c r="C9319" s="51">
        <v>1.004</v>
      </c>
      <c r="D9319" s="51">
        <v>72.0</v>
      </c>
      <c r="E9319" s="52" t="s">
        <v>25</v>
      </c>
      <c r="F9319" s="52" t="s">
        <v>26</v>
      </c>
      <c r="G9319" s="53"/>
    </row>
    <row r="9320">
      <c r="A9320" s="49">
        <v>45119.03393056713</v>
      </c>
      <c r="B9320" s="50">
        <v>45119.1589032407</v>
      </c>
      <c r="C9320" s="51">
        <v>1.004</v>
      </c>
      <c r="D9320" s="51">
        <v>72.0</v>
      </c>
      <c r="E9320" s="52" t="s">
        <v>25</v>
      </c>
      <c r="F9320" s="52" t="s">
        <v>26</v>
      </c>
      <c r="G9320" s="53"/>
    </row>
    <row r="9321">
      <c r="A9321" s="49">
        <v>45119.04434604167</v>
      </c>
      <c r="B9321" s="50">
        <v>45119.1693236111</v>
      </c>
      <c r="C9321" s="51">
        <v>1.004</v>
      </c>
      <c r="D9321" s="51">
        <v>72.0</v>
      </c>
      <c r="E9321" s="52" t="s">
        <v>25</v>
      </c>
      <c r="F9321" s="52" t="s">
        <v>26</v>
      </c>
      <c r="G9321" s="53"/>
    </row>
    <row r="9322">
      <c r="A9322" s="49">
        <v>45119.05477084491</v>
      </c>
      <c r="B9322" s="50">
        <v>45119.1797444444</v>
      </c>
      <c r="C9322" s="51">
        <v>1.004</v>
      </c>
      <c r="D9322" s="51">
        <v>72.0</v>
      </c>
      <c r="E9322" s="52" t="s">
        <v>25</v>
      </c>
      <c r="F9322" s="52" t="s">
        <v>26</v>
      </c>
      <c r="G9322" s="53"/>
    </row>
    <row r="9323">
      <c r="A9323" s="49">
        <v>45119.06520236111</v>
      </c>
      <c r="B9323" s="50">
        <v>45119.1901668287</v>
      </c>
      <c r="C9323" s="51">
        <v>1.004</v>
      </c>
      <c r="D9323" s="51">
        <v>72.0</v>
      </c>
      <c r="E9323" s="52" t="s">
        <v>25</v>
      </c>
      <c r="F9323" s="52" t="s">
        <v>26</v>
      </c>
      <c r="G9323" s="53"/>
    </row>
    <row r="9324">
      <c r="A9324" s="49">
        <v>45119.075617870374</v>
      </c>
      <c r="B9324" s="50">
        <v>45119.2005971643</v>
      </c>
      <c r="C9324" s="51">
        <v>1.004</v>
      </c>
      <c r="D9324" s="51">
        <v>72.0</v>
      </c>
      <c r="E9324" s="52" t="s">
        <v>25</v>
      </c>
      <c r="F9324" s="52" t="s">
        <v>26</v>
      </c>
      <c r="G9324" s="53"/>
    </row>
    <row r="9325">
      <c r="A9325" s="49">
        <v>45119.086055023145</v>
      </c>
      <c r="B9325" s="50">
        <v>45119.2110214467</v>
      </c>
      <c r="C9325" s="51">
        <v>1.004</v>
      </c>
      <c r="D9325" s="51">
        <v>72.0</v>
      </c>
      <c r="E9325" s="52" t="s">
        <v>25</v>
      </c>
      <c r="F9325" s="52" t="s">
        <v>26</v>
      </c>
      <c r="G9325" s="53"/>
    </row>
    <row r="9326">
      <c r="A9326" s="49">
        <v>45119.0964991088</v>
      </c>
      <c r="B9326" s="50">
        <v>45119.2214536574</v>
      </c>
      <c r="C9326" s="51">
        <v>1.003</v>
      </c>
      <c r="D9326" s="51">
        <v>72.0</v>
      </c>
      <c r="E9326" s="52" t="s">
        <v>25</v>
      </c>
      <c r="F9326" s="52" t="s">
        <v>26</v>
      </c>
      <c r="G9326" s="53"/>
    </row>
    <row r="9327">
      <c r="A9327" s="49">
        <v>45119.106906597226</v>
      </c>
      <c r="B9327" s="50">
        <v>45119.2318750347</v>
      </c>
      <c r="C9327" s="51">
        <v>1.004</v>
      </c>
      <c r="D9327" s="51">
        <v>72.0</v>
      </c>
      <c r="E9327" s="52" t="s">
        <v>25</v>
      </c>
      <c r="F9327" s="52" t="s">
        <v>26</v>
      </c>
      <c r="G9327" s="53"/>
    </row>
    <row r="9328">
      <c r="A9328" s="49">
        <v>45119.1173290625</v>
      </c>
      <c r="B9328" s="50">
        <v>45119.2422952893</v>
      </c>
      <c r="C9328" s="51">
        <v>1.004</v>
      </c>
      <c r="D9328" s="51">
        <v>72.0</v>
      </c>
      <c r="E9328" s="52" t="s">
        <v>25</v>
      </c>
      <c r="F9328" s="52" t="s">
        <v>26</v>
      </c>
      <c r="G9328" s="53"/>
    </row>
    <row r="9329">
      <c r="A9329" s="49">
        <v>45119.127750196756</v>
      </c>
      <c r="B9329" s="50">
        <v>45119.2527162268</v>
      </c>
      <c r="C9329" s="51">
        <v>1.004</v>
      </c>
      <c r="D9329" s="51">
        <v>72.0</v>
      </c>
      <c r="E9329" s="52" t="s">
        <v>25</v>
      </c>
      <c r="F9329" s="52" t="s">
        <v>26</v>
      </c>
      <c r="G9329" s="53"/>
    </row>
    <row r="9330">
      <c r="A9330" s="49">
        <v>45119.13818494213</v>
      </c>
      <c r="B9330" s="50">
        <v>45119.2631494213</v>
      </c>
      <c r="C9330" s="51">
        <v>1.003</v>
      </c>
      <c r="D9330" s="51">
        <v>72.0</v>
      </c>
      <c r="E9330" s="52" t="s">
        <v>25</v>
      </c>
      <c r="F9330" s="52" t="s">
        <v>26</v>
      </c>
      <c r="G9330" s="53"/>
    </row>
    <row r="9331">
      <c r="A9331" s="49">
        <v>45119.14859681713</v>
      </c>
      <c r="B9331" s="50">
        <v>45119.2735707291</v>
      </c>
      <c r="C9331" s="51">
        <v>1.003</v>
      </c>
      <c r="D9331" s="51">
        <v>72.0</v>
      </c>
      <c r="E9331" s="52" t="s">
        <v>25</v>
      </c>
      <c r="F9331" s="52" t="s">
        <v>26</v>
      </c>
      <c r="G9331" s="53"/>
    </row>
    <row r="9332">
      <c r="A9332" s="49">
        <v>45119.15901935185</v>
      </c>
      <c r="B9332" s="50">
        <v>45119.2839911921</v>
      </c>
      <c r="C9332" s="51">
        <v>1.004</v>
      </c>
      <c r="D9332" s="51">
        <v>72.0</v>
      </c>
      <c r="E9332" s="52" t="s">
        <v>25</v>
      </c>
      <c r="F9332" s="52" t="s">
        <v>26</v>
      </c>
      <c r="G9332" s="53"/>
    </row>
    <row r="9333">
      <c r="A9333" s="49">
        <v>45119.169439351856</v>
      </c>
      <c r="B9333" s="50">
        <v>45119.2944119328</v>
      </c>
      <c r="C9333" s="51">
        <v>1.004</v>
      </c>
      <c r="D9333" s="51">
        <v>72.0</v>
      </c>
      <c r="E9333" s="52" t="s">
        <v>25</v>
      </c>
      <c r="F9333" s="52" t="s">
        <v>26</v>
      </c>
      <c r="G9333" s="53"/>
    </row>
    <row r="9334">
      <c r="A9334" s="49">
        <v>45119.17987489583</v>
      </c>
      <c r="B9334" s="50">
        <v>45119.3048552199</v>
      </c>
      <c r="C9334" s="51">
        <v>1.003</v>
      </c>
      <c r="D9334" s="51">
        <v>72.0</v>
      </c>
      <c r="E9334" s="52" t="s">
        <v>25</v>
      </c>
      <c r="F9334" s="52" t="s">
        <v>26</v>
      </c>
      <c r="G9334" s="53"/>
    </row>
    <row r="9335">
      <c r="A9335" s="49">
        <v>45119.19031731482</v>
      </c>
      <c r="B9335" s="50">
        <v>45119.3152870023</v>
      </c>
      <c r="C9335" s="51">
        <v>1.004</v>
      </c>
      <c r="D9335" s="51">
        <v>72.0</v>
      </c>
      <c r="E9335" s="52" t="s">
        <v>25</v>
      </c>
      <c r="F9335" s="52" t="s">
        <v>26</v>
      </c>
      <c r="G9335" s="53"/>
    </row>
    <row r="9336">
      <c r="A9336" s="49">
        <v>45119.20073311342</v>
      </c>
      <c r="B9336" s="50">
        <v>45119.3257075463</v>
      </c>
      <c r="C9336" s="51">
        <v>1.004</v>
      </c>
      <c r="D9336" s="51">
        <v>72.0</v>
      </c>
      <c r="E9336" s="52" t="s">
        <v>25</v>
      </c>
      <c r="F9336" s="52" t="s">
        <v>26</v>
      </c>
      <c r="G9336" s="53"/>
    </row>
    <row r="9337">
      <c r="A9337" s="49">
        <v>45119.2111616551</v>
      </c>
      <c r="B9337" s="50">
        <v>45119.336129155</v>
      </c>
      <c r="C9337" s="51">
        <v>1.004</v>
      </c>
      <c r="D9337" s="51">
        <v>72.0</v>
      </c>
      <c r="E9337" s="52" t="s">
        <v>25</v>
      </c>
      <c r="F9337" s="52" t="s">
        <v>26</v>
      </c>
      <c r="G9337" s="53"/>
    </row>
    <row r="9338">
      <c r="A9338" s="49">
        <v>45119.221579861114</v>
      </c>
      <c r="B9338" s="50">
        <v>45119.3465488425</v>
      </c>
      <c r="C9338" s="51">
        <v>1.003</v>
      </c>
      <c r="D9338" s="51">
        <v>72.0</v>
      </c>
      <c r="E9338" s="52" t="s">
        <v>25</v>
      </c>
      <c r="F9338" s="52" t="s">
        <v>26</v>
      </c>
      <c r="G9338" s="53"/>
    </row>
    <row r="9339">
      <c r="A9339" s="49">
        <v>45119.23199760416</v>
      </c>
      <c r="B9339" s="50">
        <v>45119.3569717013</v>
      </c>
      <c r="C9339" s="51">
        <v>1.003</v>
      </c>
      <c r="D9339" s="51">
        <v>72.0</v>
      </c>
      <c r="E9339" s="52" t="s">
        <v>25</v>
      </c>
      <c r="F9339" s="52" t="s">
        <v>26</v>
      </c>
      <c r="G9339" s="53"/>
    </row>
    <row r="9340">
      <c r="A9340" s="49">
        <v>45119.242417905094</v>
      </c>
      <c r="B9340" s="50">
        <v>45119.3673920601</v>
      </c>
      <c r="C9340" s="51">
        <v>1.003</v>
      </c>
      <c r="D9340" s="51">
        <v>72.0</v>
      </c>
      <c r="E9340" s="52" t="s">
        <v>25</v>
      </c>
      <c r="F9340" s="52" t="s">
        <v>26</v>
      </c>
      <c r="G9340" s="53"/>
    </row>
    <row r="9341">
      <c r="A9341" s="49">
        <v>45119.25285131944</v>
      </c>
      <c r="B9341" s="50">
        <v>45119.3778150347</v>
      </c>
      <c r="C9341" s="51">
        <v>1.004</v>
      </c>
      <c r="D9341" s="51">
        <v>72.0</v>
      </c>
      <c r="E9341" s="52" t="s">
        <v>25</v>
      </c>
      <c r="F9341" s="52" t="s">
        <v>26</v>
      </c>
      <c r="G9341" s="53"/>
    </row>
    <row r="9342">
      <c r="A9342" s="49">
        <v>45119.26327326389</v>
      </c>
      <c r="B9342" s="50">
        <v>45119.3882358912</v>
      </c>
      <c r="C9342" s="51">
        <v>1.004</v>
      </c>
      <c r="D9342" s="51">
        <v>72.0</v>
      </c>
      <c r="E9342" s="52" t="s">
        <v>25</v>
      </c>
      <c r="F9342" s="52" t="s">
        <v>26</v>
      </c>
      <c r="G9342" s="53"/>
    </row>
    <row r="9343">
      <c r="A9343" s="49">
        <v>45119.273694166666</v>
      </c>
      <c r="B9343" s="50">
        <v>45119.3986584027</v>
      </c>
      <c r="C9343" s="51">
        <v>1.004</v>
      </c>
      <c r="D9343" s="51">
        <v>72.0</v>
      </c>
      <c r="E9343" s="52" t="s">
        <v>25</v>
      </c>
      <c r="F9343" s="52" t="s">
        <v>26</v>
      </c>
      <c r="G9343" s="53"/>
    </row>
    <row r="9344">
      <c r="A9344" s="49">
        <v>45119.28413509259</v>
      </c>
      <c r="B9344" s="50">
        <v>45119.4090798032</v>
      </c>
      <c r="C9344" s="51">
        <v>1.004</v>
      </c>
      <c r="D9344" s="51">
        <v>72.0</v>
      </c>
      <c r="E9344" s="52" t="s">
        <v>25</v>
      </c>
      <c r="F9344" s="52" t="s">
        <v>26</v>
      </c>
      <c r="G9344" s="53"/>
    </row>
    <row r="9345">
      <c r="A9345" s="49">
        <v>45119.294561689814</v>
      </c>
      <c r="B9345" s="50">
        <v>45119.4195010763</v>
      </c>
      <c r="C9345" s="51">
        <v>1.004</v>
      </c>
      <c r="D9345" s="51">
        <v>72.0</v>
      </c>
      <c r="E9345" s="52" t="s">
        <v>25</v>
      </c>
      <c r="F9345" s="52" t="s">
        <v>26</v>
      </c>
      <c r="G9345" s="53"/>
    </row>
    <row r="9346">
      <c r="A9346" s="49">
        <v>45119.30498020833</v>
      </c>
      <c r="B9346" s="50">
        <v>45119.429923287</v>
      </c>
      <c r="C9346" s="51">
        <v>1.004</v>
      </c>
      <c r="D9346" s="51">
        <v>72.0</v>
      </c>
      <c r="E9346" s="52" t="s">
        <v>25</v>
      </c>
      <c r="F9346" s="52" t="s">
        <v>26</v>
      </c>
      <c r="G9346" s="53"/>
    </row>
    <row r="9347">
      <c r="A9347" s="49">
        <v>45119.31537149305</v>
      </c>
      <c r="B9347" s="50">
        <v>45119.4403442824</v>
      </c>
      <c r="C9347" s="51">
        <v>1.003</v>
      </c>
      <c r="D9347" s="51">
        <v>72.0</v>
      </c>
      <c r="E9347" s="52" t="s">
        <v>25</v>
      </c>
      <c r="F9347" s="52" t="s">
        <v>26</v>
      </c>
      <c r="G9347" s="53"/>
    </row>
    <row r="9348">
      <c r="A9348" s="49">
        <v>45119.325845</v>
      </c>
      <c r="B9348" s="50">
        <v>45119.4507661226</v>
      </c>
      <c r="C9348" s="51">
        <v>1.003</v>
      </c>
      <c r="D9348" s="51">
        <v>72.0</v>
      </c>
      <c r="E9348" s="52" t="s">
        <v>25</v>
      </c>
      <c r="F9348" s="52" t="s">
        <v>26</v>
      </c>
      <c r="G9348" s="53"/>
    </row>
    <row r="9349">
      <c r="A9349" s="49">
        <v>45119.33625910879</v>
      </c>
      <c r="B9349" s="50">
        <v>45119.4611865509</v>
      </c>
      <c r="C9349" s="51">
        <v>1.003</v>
      </c>
      <c r="D9349" s="51">
        <v>72.0</v>
      </c>
      <c r="E9349" s="52" t="s">
        <v>25</v>
      </c>
      <c r="F9349" s="52" t="s">
        <v>26</v>
      </c>
      <c r="G9349" s="53"/>
    </row>
    <row r="9350">
      <c r="A9350" s="49">
        <v>45119.34664636574</v>
      </c>
      <c r="B9350" s="50">
        <v>45119.4716190625</v>
      </c>
      <c r="C9350" s="51">
        <v>1.003</v>
      </c>
      <c r="D9350" s="51">
        <v>72.0</v>
      </c>
      <c r="E9350" s="52" t="s">
        <v>25</v>
      </c>
      <c r="F9350" s="52" t="s">
        <v>26</v>
      </c>
      <c r="G9350" s="53"/>
    </row>
    <row r="9351">
      <c r="A9351" s="49">
        <v>45119.35712195602</v>
      </c>
      <c r="B9351" s="50">
        <v>45119.4820416319</v>
      </c>
      <c r="C9351" s="51">
        <v>1.004</v>
      </c>
      <c r="D9351" s="51">
        <v>72.0</v>
      </c>
      <c r="E9351" s="52" t="s">
        <v>25</v>
      </c>
      <c r="F9351" s="52" t="s">
        <v>26</v>
      </c>
      <c r="G9351" s="53"/>
    </row>
    <row r="9352">
      <c r="A9352" s="49">
        <v>45119.36749304398</v>
      </c>
      <c r="B9352" s="50">
        <v>45119.4924625347</v>
      </c>
      <c r="C9352" s="51">
        <v>1.003</v>
      </c>
      <c r="D9352" s="51">
        <v>72.0</v>
      </c>
      <c r="E9352" s="52" t="s">
        <v>25</v>
      </c>
      <c r="F9352" s="52" t="s">
        <v>26</v>
      </c>
      <c r="G9352" s="53"/>
    </row>
    <row r="9353">
      <c r="A9353" s="49">
        <v>45119.37791037037</v>
      </c>
      <c r="B9353" s="50">
        <v>45119.5028811689</v>
      </c>
      <c r="C9353" s="51">
        <v>1.004</v>
      </c>
      <c r="D9353" s="51">
        <v>72.0</v>
      </c>
      <c r="E9353" s="52" t="s">
        <v>25</v>
      </c>
      <c r="F9353" s="52" t="s">
        <v>26</v>
      </c>
      <c r="G9353" s="53"/>
    </row>
    <row r="9354">
      <c r="A9354" s="49">
        <v>45119.38833787037</v>
      </c>
      <c r="B9354" s="50">
        <v>45119.5133032175</v>
      </c>
      <c r="C9354" s="51">
        <v>1.003</v>
      </c>
      <c r="D9354" s="51">
        <v>72.0</v>
      </c>
      <c r="E9354" s="52" t="s">
        <v>25</v>
      </c>
      <c r="F9354" s="52" t="s">
        <v>26</v>
      </c>
      <c r="G9354" s="53"/>
    </row>
    <row r="9355">
      <c r="A9355" s="49">
        <v>45119.3987556713</v>
      </c>
      <c r="B9355" s="50">
        <v>45119.5237265625</v>
      </c>
      <c r="C9355" s="51">
        <v>1.003</v>
      </c>
      <c r="D9355" s="51">
        <v>72.0</v>
      </c>
      <c r="E9355" s="52" t="s">
        <v>25</v>
      </c>
      <c r="F9355" s="52" t="s">
        <v>26</v>
      </c>
      <c r="G9355" s="53"/>
    </row>
    <row r="9356">
      <c r="A9356" s="49">
        <v>45119.40917435185</v>
      </c>
      <c r="B9356" s="50">
        <v>45119.5341507176</v>
      </c>
      <c r="C9356" s="51">
        <v>1.004</v>
      </c>
      <c r="D9356" s="51">
        <v>72.0</v>
      </c>
      <c r="E9356" s="52" t="s">
        <v>25</v>
      </c>
      <c r="F9356" s="52" t="s">
        <v>26</v>
      </c>
      <c r="G9356" s="53"/>
    </row>
    <row r="9357">
      <c r="A9357" s="49">
        <v>45119.419612557875</v>
      </c>
      <c r="B9357" s="50">
        <v>45119.5445810995</v>
      </c>
      <c r="C9357" s="51">
        <v>1.004</v>
      </c>
      <c r="D9357" s="51">
        <v>72.0</v>
      </c>
      <c r="E9357" s="52" t="s">
        <v>25</v>
      </c>
      <c r="F9357" s="52" t="s">
        <v>26</v>
      </c>
      <c r="G9357" s="53"/>
    </row>
    <row r="9358">
      <c r="A9358" s="49">
        <v>45119.43003861111</v>
      </c>
      <c r="B9358" s="50">
        <v>45119.555002118</v>
      </c>
      <c r="C9358" s="51">
        <v>1.003</v>
      </c>
      <c r="D9358" s="51">
        <v>72.0</v>
      </c>
      <c r="E9358" s="52" t="s">
        <v>25</v>
      </c>
      <c r="F9358" s="52" t="s">
        <v>26</v>
      </c>
      <c r="G9358" s="53"/>
    </row>
    <row r="9359">
      <c r="A9359" s="49">
        <v>45119.4404728588</v>
      </c>
      <c r="B9359" s="50">
        <v>45119.5654364351</v>
      </c>
      <c r="C9359" s="51">
        <v>1.003</v>
      </c>
      <c r="D9359" s="51">
        <v>72.0</v>
      </c>
      <c r="E9359" s="52" t="s">
        <v>25</v>
      </c>
      <c r="F9359" s="52" t="s">
        <v>26</v>
      </c>
      <c r="G9359" s="53"/>
    </row>
    <row r="9360">
      <c r="A9360" s="49">
        <v>45119.450940787036</v>
      </c>
      <c r="B9360" s="50">
        <v>45119.5758592939</v>
      </c>
      <c r="C9360" s="51">
        <v>1.003</v>
      </c>
      <c r="D9360" s="51">
        <v>72.0</v>
      </c>
      <c r="E9360" s="52" t="s">
        <v>25</v>
      </c>
      <c r="F9360" s="52" t="s">
        <v>26</v>
      </c>
      <c r="G9360" s="53"/>
    </row>
    <row r="9361">
      <c r="A9361" s="49">
        <v>45119.46130918981</v>
      </c>
      <c r="B9361" s="50">
        <v>45119.586280868</v>
      </c>
      <c r="C9361" s="51">
        <v>1.004</v>
      </c>
      <c r="D9361" s="51">
        <v>72.0</v>
      </c>
      <c r="E9361" s="52" t="s">
        <v>25</v>
      </c>
      <c r="F9361" s="52" t="s">
        <v>26</v>
      </c>
      <c r="G9361" s="53"/>
    </row>
    <row r="9362">
      <c r="A9362" s="49">
        <v>45119.47173063658</v>
      </c>
      <c r="B9362" s="50">
        <v>45119.5967011689</v>
      </c>
      <c r="C9362" s="51">
        <v>1.003</v>
      </c>
      <c r="D9362" s="51">
        <v>72.0</v>
      </c>
      <c r="E9362" s="52" t="s">
        <v>25</v>
      </c>
      <c r="F9362" s="52" t="s">
        <v>26</v>
      </c>
      <c r="G9362" s="53"/>
    </row>
    <row r="9363">
      <c r="A9363" s="49">
        <v>45119.48220103009</v>
      </c>
      <c r="B9363" s="50">
        <v>45119.607124074</v>
      </c>
      <c r="C9363" s="51">
        <v>1.004</v>
      </c>
      <c r="D9363" s="51">
        <v>72.0</v>
      </c>
      <c r="E9363" s="52" t="s">
        <v>25</v>
      </c>
      <c r="F9363" s="52" t="s">
        <v>26</v>
      </c>
      <c r="G9363" s="53"/>
    </row>
    <row r="9364">
      <c r="A9364" s="49">
        <v>45119.49257188657</v>
      </c>
      <c r="B9364" s="50">
        <v>45119.6175456018</v>
      </c>
      <c r="C9364" s="51">
        <v>1.004</v>
      </c>
      <c r="D9364" s="51">
        <v>72.0</v>
      </c>
      <c r="E9364" s="52" t="s">
        <v>25</v>
      </c>
      <c r="F9364" s="52" t="s">
        <v>26</v>
      </c>
      <c r="G9364" s="53"/>
    </row>
    <row r="9365">
      <c r="A9365" s="49">
        <v>45119.50306372685</v>
      </c>
      <c r="B9365" s="50">
        <v>45119.6279771412</v>
      </c>
      <c r="C9365" s="51">
        <v>1.004</v>
      </c>
      <c r="D9365" s="51">
        <v>72.0</v>
      </c>
      <c r="E9365" s="52" t="s">
        <v>25</v>
      </c>
      <c r="F9365" s="52" t="s">
        <v>26</v>
      </c>
      <c r="G9365" s="53"/>
    </row>
    <row r="9366">
      <c r="A9366" s="49">
        <v>45119.51342603009</v>
      </c>
      <c r="B9366" s="50">
        <v>45119.6383976273</v>
      </c>
      <c r="C9366" s="51">
        <v>1.003</v>
      </c>
      <c r="D9366" s="51">
        <v>72.0</v>
      </c>
      <c r="E9366" s="52" t="s">
        <v>25</v>
      </c>
      <c r="F9366" s="52" t="s">
        <v>26</v>
      </c>
      <c r="G9366" s="53"/>
    </row>
    <row r="9367">
      <c r="A9367" s="49">
        <v>45119.5238439699</v>
      </c>
      <c r="B9367" s="50">
        <v>45119.6488191319</v>
      </c>
      <c r="C9367" s="51">
        <v>1.003</v>
      </c>
      <c r="D9367" s="51">
        <v>72.0</v>
      </c>
      <c r="E9367" s="52" t="s">
        <v>25</v>
      </c>
      <c r="F9367" s="52" t="s">
        <v>26</v>
      </c>
      <c r="G9367" s="53"/>
    </row>
    <row r="9368">
      <c r="A9368" s="49">
        <v>45119.53431841436</v>
      </c>
      <c r="B9368" s="50">
        <v>45119.6592403703</v>
      </c>
      <c r="C9368" s="51">
        <v>1.003</v>
      </c>
      <c r="D9368" s="51">
        <v>72.0</v>
      </c>
      <c r="E9368" s="52" t="s">
        <v>25</v>
      </c>
      <c r="F9368" s="52" t="s">
        <v>26</v>
      </c>
      <c r="G9368" s="53"/>
    </row>
    <row r="9369">
      <c r="A9369" s="49">
        <v>45119.544686493056</v>
      </c>
      <c r="B9369" s="50">
        <v>45119.6696616203</v>
      </c>
      <c r="C9369" s="51">
        <v>1.004</v>
      </c>
      <c r="D9369" s="51">
        <v>72.0</v>
      </c>
      <c r="E9369" s="52" t="s">
        <v>25</v>
      </c>
      <c r="F9369" s="52" t="s">
        <v>26</v>
      </c>
      <c r="G9369" s="53"/>
    </row>
    <row r="9370">
      <c r="A9370" s="49">
        <v>45119.555114560186</v>
      </c>
      <c r="B9370" s="50">
        <v>45119.6800836458</v>
      </c>
      <c r="C9370" s="51">
        <v>1.004</v>
      </c>
      <c r="D9370" s="51">
        <v>72.0</v>
      </c>
      <c r="E9370" s="52" t="s">
        <v>25</v>
      </c>
      <c r="F9370" s="52" t="s">
        <v>26</v>
      </c>
      <c r="G9370" s="53"/>
    </row>
    <row r="9371">
      <c r="A9371" s="49">
        <v>45119.565536724534</v>
      </c>
      <c r="B9371" s="50">
        <v>45119.6905044907</v>
      </c>
      <c r="C9371" s="51">
        <v>1.004</v>
      </c>
      <c r="D9371" s="51">
        <v>72.0</v>
      </c>
      <c r="E9371" s="52" t="s">
        <v>25</v>
      </c>
      <c r="F9371" s="52" t="s">
        <v>26</v>
      </c>
      <c r="G9371" s="53"/>
    </row>
    <row r="9372">
      <c r="A9372" s="49">
        <v>45119.575953101856</v>
      </c>
      <c r="B9372" s="50">
        <v>45119.700927743</v>
      </c>
      <c r="C9372" s="51">
        <v>1.004</v>
      </c>
      <c r="D9372" s="51">
        <v>72.0</v>
      </c>
      <c r="E9372" s="52" t="s">
        <v>25</v>
      </c>
      <c r="F9372" s="52" t="s">
        <v>26</v>
      </c>
      <c r="G9372" s="53"/>
    </row>
    <row r="9373">
      <c r="A9373" s="49">
        <v>45119.586378611115</v>
      </c>
      <c r="B9373" s="50">
        <v>45119.7113499537</v>
      </c>
      <c r="C9373" s="51">
        <v>1.003</v>
      </c>
      <c r="D9373" s="51">
        <v>72.0</v>
      </c>
      <c r="E9373" s="52" t="s">
        <v>25</v>
      </c>
      <c r="F9373" s="52" t="s">
        <v>26</v>
      </c>
      <c r="G9373" s="53"/>
    </row>
    <row r="9374">
      <c r="A9374" s="49">
        <v>45119.59680225694</v>
      </c>
      <c r="B9374" s="50">
        <v>45119.7217708101</v>
      </c>
      <c r="C9374" s="51">
        <v>1.004</v>
      </c>
      <c r="D9374" s="51">
        <v>72.0</v>
      </c>
      <c r="E9374" s="52" t="s">
        <v>25</v>
      </c>
      <c r="F9374" s="52" t="s">
        <v>26</v>
      </c>
      <c r="G9374" s="53"/>
    </row>
    <row r="9375">
      <c r="A9375" s="49">
        <v>45119.60723891204</v>
      </c>
      <c r="B9375" s="50">
        <v>45119.7322171643</v>
      </c>
      <c r="C9375" s="51">
        <v>1.004</v>
      </c>
      <c r="D9375" s="51">
        <v>72.0</v>
      </c>
      <c r="E9375" s="52" t="s">
        <v>25</v>
      </c>
      <c r="F9375" s="52" t="s">
        <v>26</v>
      </c>
      <c r="G9375" s="53"/>
    </row>
    <row r="9376">
      <c r="A9376" s="49">
        <v>45119.617714733795</v>
      </c>
      <c r="B9376" s="50">
        <v>45119.7426495254</v>
      </c>
      <c r="C9376" s="51">
        <v>1.003</v>
      </c>
      <c r="D9376" s="51">
        <v>72.0</v>
      </c>
      <c r="E9376" s="52" t="s">
        <v>25</v>
      </c>
      <c r="F9376" s="52" t="s">
        <v>26</v>
      </c>
      <c r="G9376" s="53"/>
    </row>
    <row r="9377">
      <c r="A9377" s="49">
        <v>45119.628145254625</v>
      </c>
      <c r="B9377" s="50">
        <v>45119.7530693402</v>
      </c>
      <c r="C9377" s="51">
        <v>1.003</v>
      </c>
      <c r="D9377" s="51">
        <v>72.0</v>
      </c>
      <c r="E9377" s="52" t="s">
        <v>25</v>
      </c>
      <c r="F9377" s="52" t="s">
        <v>26</v>
      </c>
      <c r="G9377" s="53"/>
    </row>
    <row r="9378">
      <c r="A9378" s="49">
        <v>45119.6385637037</v>
      </c>
      <c r="B9378" s="50">
        <v>45119.7635028472</v>
      </c>
      <c r="C9378" s="51">
        <v>1.003</v>
      </c>
      <c r="D9378" s="51">
        <v>72.0</v>
      </c>
      <c r="E9378" s="52" t="s">
        <v>25</v>
      </c>
      <c r="F9378" s="52" t="s">
        <v>26</v>
      </c>
      <c r="G9378" s="53"/>
    </row>
    <row r="9379">
      <c r="A9379" s="49">
        <v>45119.64898153935</v>
      </c>
      <c r="B9379" s="50">
        <v>45119.7739238541</v>
      </c>
      <c r="C9379" s="51">
        <v>1.004</v>
      </c>
      <c r="D9379" s="51">
        <v>72.0</v>
      </c>
      <c r="E9379" s="52" t="s">
        <v>25</v>
      </c>
      <c r="F9379" s="52" t="s">
        <v>26</v>
      </c>
      <c r="G9379" s="53"/>
    </row>
    <row r="9380">
      <c r="A9380" s="49">
        <v>45119.659400613426</v>
      </c>
      <c r="B9380" s="50">
        <v>45119.7843564351</v>
      </c>
      <c r="C9380" s="51">
        <v>1.003</v>
      </c>
      <c r="D9380" s="51">
        <v>72.0</v>
      </c>
      <c r="E9380" s="52" t="s">
        <v>25</v>
      </c>
      <c r="F9380" s="52" t="s">
        <v>26</v>
      </c>
      <c r="G9380" s="53"/>
    </row>
    <row r="9381">
      <c r="A9381" s="49">
        <v>45119.66983025463</v>
      </c>
      <c r="B9381" s="50">
        <v>45119.7947786226</v>
      </c>
      <c r="C9381" s="51">
        <v>1.004</v>
      </c>
      <c r="D9381" s="51">
        <v>72.0</v>
      </c>
      <c r="E9381" s="52" t="s">
        <v>25</v>
      </c>
      <c r="F9381" s="52" t="s">
        <v>26</v>
      </c>
      <c r="G9381" s="53"/>
    </row>
    <row r="9382">
      <c r="A9382" s="49">
        <v>45119.68025627315</v>
      </c>
      <c r="B9382" s="50">
        <v>45119.8051982407</v>
      </c>
      <c r="C9382" s="51">
        <v>1.003</v>
      </c>
      <c r="D9382" s="51">
        <v>72.0</v>
      </c>
      <c r="E9382" s="52" t="s">
        <v>25</v>
      </c>
      <c r="F9382" s="52" t="s">
        <v>26</v>
      </c>
      <c r="G9382" s="53"/>
    </row>
    <row r="9383">
      <c r="A9383" s="49">
        <v>45119.69067116898</v>
      </c>
      <c r="B9383" s="50">
        <v>45119.8156177893</v>
      </c>
      <c r="C9383" s="51">
        <v>1.003</v>
      </c>
      <c r="D9383" s="51">
        <v>72.0</v>
      </c>
      <c r="E9383" s="52" t="s">
        <v>25</v>
      </c>
      <c r="F9383" s="52" t="s">
        <v>26</v>
      </c>
      <c r="G9383" s="53"/>
    </row>
    <row r="9384">
      <c r="A9384" s="49">
        <v>45119.701095324075</v>
      </c>
      <c r="B9384" s="50">
        <v>45119.8260383796</v>
      </c>
      <c r="C9384" s="51">
        <v>1.004</v>
      </c>
      <c r="D9384" s="51">
        <v>72.0</v>
      </c>
      <c r="E9384" s="52" t="s">
        <v>25</v>
      </c>
      <c r="F9384" s="52" t="s">
        <v>26</v>
      </c>
      <c r="G9384" s="53"/>
    </row>
    <row r="9385">
      <c r="A9385" s="49">
        <v>45119.711515057876</v>
      </c>
      <c r="B9385" s="50">
        <v>45119.8364599768</v>
      </c>
      <c r="C9385" s="51">
        <v>1.003</v>
      </c>
      <c r="D9385" s="51">
        <v>72.0</v>
      </c>
      <c r="E9385" s="52" t="s">
        <v>25</v>
      </c>
      <c r="F9385" s="52" t="s">
        <v>26</v>
      </c>
      <c r="G9385" s="53"/>
    </row>
    <row r="9386">
      <c r="A9386" s="49">
        <v>45119.72192618056</v>
      </c>
      <c r="B9386" s="50">
        <v>45119.8468814004</v>
      </c>
      <c r="C9386" s="51">
        <v>1.004</v>
      </c>
      <c r="D9386" s="51">
        <v>72.0</v>
      </c>
      <c r="E9386" s="52" t="s">
        <v>25</v>
      </c>
      <c r="F9386" s="52" t="s">
        <v>26</v>
      </c>
      <c r="G9386" s="53"/>
    </row>
    <row r="9387">
      <c r="A9387" s="49">
        <v>45119.73235060185</v>
      </c>
      <c r="B9387" s="50">
        <v>45119.8573017824</v>
      </c>
      <c r="C9387" s="51">
        <v>1.003</v>
      </c>
      <c r="D9387" s="51">
        <v>72.0</v>
      </c>
      <c r="E9387" s="52" t="s">
        <v>25</v>
      </c>
      <c r="F9387" s="52" t="s">
        <v>26</v>
      </c>
      <c r="G9387" s="53"/>
    </row>
    <row r="9388">
      <c r="A9388" s="49">
        <v>45119.742781875</v>
      </c>
      <c r="B9388" s="50">
        <v>45119.867720787</v>
      </c>
      <c r="C9388" s="51">
        <v>1.003</v>
      </c>
      <c r="D9388" s="51">
        <v>72.0</v>
      </c>
      <c r="E9388" s="52" t="s">
        <v>25</v>
      </c>
      <c r="F9388" s="52" t="s">
        <v>26</v>
      </c>
      <c r="G9388" s="53"/>
    </row>
    <row r="9389">
      <c r="A9389" s="49">
        <v>45119.75321028935</v>
      </c>
      <c r="B9389" s="50">
        <v>45119.8781414004</v>
      </c>
      <c r="C9389" s="51">
        <v>1.004</v>
      </c>
      <c r="D9389" s="51">
        <v>72.0</v>
      </c>
      <c r="E9389" s="52" t="s">
        <v>25</v>
      </c>
      <c r="F9389" s="52" t="s">
        <v>26</v>
      </c>
      <c r="G9389" s="53"/>
    </row>
    <row r="9390">
      <c r="A9390" s="49">
        <v>45119.76362916667</v>
      </c>
      <c r="B9390" s="50">
        <v>45119.8885739004</v>
      </c>
      <c r="C9390" s="51">
        <v>1.003</v>
      </c>
      <c r="D9390" s="51">
        <v>72.0</v>
      </c>
      <c r="E9390" s="52" t="s">
        <v>25</v>
      </c>
      <c r="F9390" s="52" t="s">
        <v>26</v>
      </c>
      <c r="G9390" s="53"/>
    </row>
    <row r="9391">
      <c r="A9391" s="49">
        <v>45119.77405792824</v>
      </c>
      <c r="B9391" s="50">
        <v>45119.8989946527</v>
      </c>
      <c r="C9391" s="51">
        <v>1.003</v>
      </c>
      <c r="D9391" s="51">
        <v>72.0</v>
      </c>
      <c r="E9391" s="52" t="s">
        <v>25</v>
      </c>
      <c r="F9391" s="52" t="s">
        <v>26</v>
      </c>
      <c r="G9391" s="53"/>
    </row>
    <row r="9392">
      <c r="A9392" s="49">
        <v>45119.78447085648</v>
      </c>
      <c r="B9392" s="50">
        <v>45119.9094281713</v>
      </c>
      <c r="C9392" s="51">
        <v>1.004</v>
      </c>
      <c r="D9392" s="51">
        <v>72.0</v>
      </c>
      <c r="E9392" s="52" t="s">
        <v>25</v>
      </c>
      <c r="F9392" s="52" t="s">
        <v>26</v>
      </c>
      <c r="G9392" s="53"/>
    </row>
    <row r="9393">
      <c r="A9393" s="49">
        <v>45119.79489839121</v>
      </c>
      <c r="B9393" s="50">
        <v>45119.9198498611</v>
      </c>
      <c r="C9393" s="51">
        <v>1.003</v>
      </c>
      <c r="D9393" s="51">
        <v>72.0</v>
      </c>
      <c r="E9393" s="52" t="s">
        <v>25</v>
      </c>
      <c r="F9393" s="52" t="s">
        <v>26</v>
      </c>
      <c r="G9393" s="53"/>
    </row>
    <row r="9394">
      <c r="A9394" s="49">
        <v>45119.805315081016</v>
      </c>
      <c r="B9394" s="50">
        <v>45119.9302704513</v>
      </c>
      <c r="C9394" s="51">
        <v>1.004</v>
      </c>
      <c r="D9394" s="51">
        <v>72.0</v>
      </c>
      <c r="E9394" s="52" t="s">
        <v>25</v>
      </c>
      <c r="F9394" s="52" t="s">
        <v>26</v>
      </c>
      <c r="G9394" s="53"/>
    </row>
    <row r="9395">
      <c r="A9395" s="49">
        <v>45119.81573642361</v>
      </c>
      <c r="B9395" s="50">
        <v>45119.9406901504</v>
      </c>
      <c r="C9395" s="51">
        <v>1.003</v>
      </c>
      <c r="D9395" s="51">
        <v>72.0</v>
      </c>
      <c r="E9395" s="52" t="s">
        <v>25</v>
      </c>
      <c r="F9395" s="52" t="s">
        <v>26</v>
      </c>
      <c r="G9395" s="53"/>
    </row>
    <row r="9396">
      <c r="A9396" s="49">
        <v>45119.82615952546</v>
      </c>
      <c r="B9396" s="50">
        <v>45119.9511224768</v>
      </c>
      <c r="C9396" s="51">
        <v>1.003</v>
      </c>
      <c r="D9396" s="51">
        <v>72.0</v>
      </c>
      <c r="E9396" s="52" t="s">
        <v>25</v>
      </c>
      <c r="F9396" s="52" t="s">
        <v>26</v>
      </c>
      <c r="G9396" s="53"/>
    </row>
    <row r="9397">
      <c r="A9397" s="49">
        <v>45119.83658449074</v>
      </c>
      <c r="B9397" s="50">
        <v>45119.9615452083</v>
      </c>
      <c r="C9397" s="51">
        <v>1.003</v>
      </c>
      <c r="D9397" s="51">
        <v>72.0</v>
      </c>
      <c r="E9397" s="52" t="s">
        <v>25</v>
      </c>
      <c r="F9397" s="52" t="s">
        <v>26</v>
      </c>
      <c r="G9397" s="53"/>
    </row>
    <row r="9398">
      <c r="A9398" s="49">
        <v>45119.84701037037</v>
      </c>
      <c r="B9398" s="50">
        <v>45119.9719661921</v>
      </c>
      <c r="C9398" s="51">
        <v>1.004</v>
      </c>
      <c r="D9398" s="51">
        <v>72.0</v>
      </c>
      <c r="E9398" s="52" t="s">
        <v>25</v>
      </c>
      <c r="F9398" s="52" t="s">
        <v>26</v>
      </c>
      <c r="G9398" s="53"/>
    </row>
    <row r="9399">
      <c r="A9399" s="49">
        <v>45119.85742969907</v>
      </c>
      <c r="B9399" s="50">
        <v>45119.9823866088</v>
      </c>
      <c r="C9399" s="51">
        <v>1.004</v>
      </c>
      <c r="D9399" s="51">
        <v>72.0</v>
      </c>
      <c r="E9399" s="52" t="s">
        <v>25</v>
      </c>
      <c r="F9399" s="52" t="s">
        <v>26</v>
      </c>
      <c r="G9399" s="53"/>
    </row>
    <row r="9400">
      <c r="A9400" s="49">
        <v>45119.86785111111</v>
      </c>
      <c r="B9400" s="50">
        <v>45119.9928089467</v>
      </c>
      <c r="C9400" s="51">
        <v>1.004</v>
      </c>
      <c r="D9400" s="51">
        <v>72.0</v>
      </c>
      <c r="E9400" s="52" t="s">
        <v>25</v>
      </c>
      <c r="F9400" s="52" t="s">
        <v>26</v>
      </c>
      <c r="G9400" s="53"/>
    </row>
    <row r="9401">
      <c r="A9401" s="49">
        <v>45119.87828667824</v>
      </c>
      <c r="B9401" s="50">
        <v>45120.0032317708</v>
      </c>
      <c r="C9401" s="51">
        <v>1.003</v>
      </c>
      <c r="D9401" s="51">
        <v>72.0</v>
      </c>
      <c r="E9401" s="52" t="s">
        <v>25</v>
      </c>
      <c r="F9401" s="52" t="s">
        <v>26</v>
      </c>
      <c r="G9401" s="53"/>
    </row>
    <row r="9402">
      <c r="A9402" s="49">
        <v>45119.88872876157</v>
      </c>
      <c r="B9402" s="50">
        <v>45120.0136541666</v>
      </c>
      <c r="C9402" s="51">
        <v>1.004</v>
      </c>
      <c r="D9402" s="51">
        <v>72.0</v>
      </c>
      <c r="E9402" s="52" t="s">
        <v>25</v>
      </c>
      <c r="F9402" s="52" t="s">
        <v>26</v>
      </c>
      <c r="G9402" s="53"/>
    </row>
    <row r="9403">
      <c r="A9403" s="49">
        <v>45119.899149756944</v>
      </c>
      <c r="B9403" s="50">
        <v>45120.024075949</v>
      </c>
      <c r="C9403" s="51">
        <v>1.004</v>
      </c>
      <c r="D9403" s="51">
        <v>72.0</v>
      </c>
      <c r="E9403" s="52" t="s">
        <v>25</v>
      </c>
      <c r="F9403" s="52" t="s">
        <v>26</v>
      </c>
      <c r="G9403" s="53"/>
    </row>
    <row r="9404">
      <c r="A9404" s="49">
        <v>45119.909561458335</v>
      </c>
      <c r="B9404" s="50">
        <v>45120.0344951388</v>
      </c>
      <c r="C9404" s="51">
        <v>1.004</v>
      </c>
      <c r="D9404" s="51">
        <v>72.0</v>
      </c>
      <c r="E9404" s="52" t="s">
        <v>25</v>
      </c>
      <c r="F9404" s="52" t="s">
        <v>26</v>
      </c>
      <c r="G9404" s="53"/>
    </row>
    <row r="9405">
      <c r="A9405" s="49">
        <v>45119.919983541666</v>
      </c>
      <c r="B9405" s="50">
        <v>45120.0449155787</v>
      </c>
      <c r="C9405" s="51">
        <v>1.003</v>
      </c>
      <c r="D9405" s="51">
        <v>72.0</v>
      </c>
      <c r="E9405" s="52" t="s">
        <v>25</v>
      </c>
      <c r="F9405" s="52" t="s">
        <v>26</v>
      </c>
      <c r="G9405" s="53"/>
    </row>
    <row r="9406">
      <c r="A9406" s="49">
        <v>45119.93040935185</v>
      </c>
      <c r="B9406" s="50">
        <v>45120.0553364583</v>
      </c>
      <c r="C9406" s="51">
        <v>1.003</v>
      </c>
      <c r="D9406" s="51">
        <v>72.0</v>
      </c>
      <c r="E9406" s="52" t="s">
        <v>25</v>
      </c>
      <c r="F9406" s="52" t="s">
        <v>26</v>
      </c>
      <c r="G9406" s="53"/>
    </row>
    <row r="9407">
      <c r="A9407" s="49">
        <v>45119.94083417824</v>
      </c>
      <c r="B9407" s="50">
        <v>45120.065758125</v>
      </c>
      <c r="C9407" s="51">
        <v>1.004</v>
      </c>
      <c r="D9407" s="51">
        <v>72.0</v>
      </c>
      <c r="E9407" s="52" t="s">
        <v>25</v>
      </c>
      <c r="F9407" s="52" t="s">
        <v>26</v>
      </c>
      <c r="G9407" s="53"/>
    </row>
    <row r="9408">
      <c r="A9408" s="49">
        <v>45119.95125056713</v>
      </c>
      <c r="B9408" s="50">
        <v>45120.0761794097</v>
      </c>
      <c r="C9408" s="51">
        <v>1.003</v>
      </c>
      <c r="D9408" s="51">
        <v>72.0</v>
      </c>
      <c r="E9408" s="52" t="s">
        <v>25</v>
      </c>
      <c r="F9408" s="52" t="s">
        <v>26</v>
      </c>
      <c r="G9408" s="53"/>
    </row>
    <row r="9409">
      <c r="A9409" s="49">
        <v>45119.961621828705</v>
      </c>
      <c r="B9409" s="50">
        <v>45120.0865997685</v>
      </c>
      <c r="C9409" s="51">
        <v>1.003</v>
      </c>
      <c r="D9409" s="51">
        <v>72.0</v>
      </c>
      <c r="E9409" s="52" t="s">
        <v>25</v>
      </c>
      <c r="F9409" s="52" t="s">
        <v>26</v>
      </c>
      <c r="G9409" s="53"/>
    </row>
    <row r="9410">
      <c r="A9410" s="49">
        <v>45119.97209539352</v>
      </c>
      <c r="B9410" s="50">
        <v>45120.0970201504</v>
      </c>
      <c r="C9410" s="51">
        <v>1.003</v>
      </c>
      <c r="D9410" s="51">
        <v>72.0</v>
      </c>
      <c r="E9410" s="52" t="s">
        <v>25</v>
      </c>
      <c r="F9410" s="52" t="s">
        <v>26</v>
      </c>
      <c r="G9410" s="53"/>
    </row>
    <row r="9411">
      <c r="A9411" s="49">
        <v>45119.982469016206</v>
      </c>
      <c r="B9411" s="50">
        <v>45120.1074410416</v>
      </c>
      <c r="C9411" s="51">
        <v>1.003</v>
      </c>
      <c r="D9411" s="51">
        <v>72.0</v>
      </c>
      <c r="E9411" s="52" t="s">
        <v>25</v>
      </c>
      <c r="F9411" s="52" t="s">
        <v>26</v>
      </c>
      <c r="G9411" s="53"/>
    </row>
    <row r="9412">
      <c r="A9412" s="49">
        <v>45119.99288575232</v>
      </c>
      <c r="B9412" s="50">
        <v>45120.1178603009</v>
      </c>
      <c r="C9412" s="51">
        <v>1.004</v>
      </c>
      <c r="D9412" s="51">
        <v>72.0</v>
      </c>
      <c r="E9412" s="52" t="s">
        <v>25</v>
      </c>
      <c r="F9412" s="52" t="s">
        <v>26</v>
      </c>
      <c r="G9412" s="53"/>
    </row>
    <row r="9413">
      <c r="A9413" s="49">
        <v>45120.00330165509</v>
      </c>
      <c r="B9413" s="50">
        <v>45120.1282808796</v>
      </c>
      <c r="C9413" s="51">
        <v>1.004</v>
      </c>
      <c r="D9413" s="51">
        <v>72.0</v>
      </c>
      <c r="E9413" s="52" t="s">
        <v>25</v>
      </c>
      <c r="F9413" s="52" t="s">
        <v>26</v>
      </c>
      <c r="G9413" s="53"/>
    </row>
    <row r="9414">
      <c r="A9414" s="49">
        <v>45120.013744791664</v>
      </c>
      <c r="B9414" s="50">
        <v>45120.1387228472</v>
      </c>
      <c r="C9414" s="51">
        <v>1.004</v>
      </c>
      <c r="D9414" s="51">
        <v>72.0</v>
      </c>
      <c r="E9414" s="52" t="s">
        <v>25</v>
      </c>
      <c r="F9414" s="52" t="s">
        <v>26</v>
      </c>
      <c r="G9414" s="53"/>
    </row>
    <row r="9415">
      <c r="A9415" s="49">
        <v>45120.02417496528</v>
      </c>
      <c r="B9415" s="50">
        <v>45120.1491428588</v>
      </c>
      <c r="C9415" s="51">
        <v>1.004</v>
      </c>
      <c r="D9415" s="51">
        <v>72.0</v>
      </c>
      <c r="E9415" s="52" t="s">
        <v>25</v>
      </c>
      <c r="F9415" s="52" t="s">
        <v>26</v>
      </c>
      <c r="G9415" s="53"/>
    </row>
    <row r="9416">
      <c r="A9416" s="49">
        <v>45120.03458634259</v>
      </c>
      <c r="B9416" s="50">
        <v>45120.1595640277</v>
      </c>
      <c r="C9416" s="51">
        <v>1.003</v>
      </c>
      <c r="D9416" s="51">
        <v>72.0</v>
      </c>
      <c r="E9416" s="52" t="s">
        <v>25</v>
      </c>
      <c r="F9416" s="52" t="s">
        <v>26</v>
      </c>
      <c r="G9416" s="53"/>
    </row>
    <row r="9417">
      <c r="A9417" s="49">
        <v>45120.04501452546</v>
      </c>
      <c r="B9417" s="50">
        <v>45120.1699864004</v>
      </c>
      <c r="C9417" s="51">
        <v>1.004</v>
      </c>
      <c r="D9417" s="51">
        <v>72.0</v>
      </c>
      <c r="E9417" s="52" t="s">
        <v>25</v>
      </c>
      <c r="F9417" s="52" t="s">
        <v>26</v>
      </c>
      <c r="G9417" s="53"/>
    </row>
    <row r="9418">
      <c r="A9418" s="49">
        <v>45120.05543896991</v>
      </c>
      <c r="B9418" s="50">
        <v>45120.180409375</v>
      </c>
      <c r="C9418" s="51">
        <v>1.003</v>
      </c>
      <c r="D9418" s="51">
        <v>72.0</v>
      </c>
      <c r="E9418" s="52" t="s">
        <v>25</v>
      </c>
      <c r="F9418" s="52" t="s">
        <v>26</v>
      </c>
      <c r="G9418" s="53"/>
    </row>
    <row r="9419">
      <c r="A9419" s="49">
        <v>45120.0658718287</v>
      </c>
      <c r="B9419" s="50">
        <v>45120.1908420254</v>
      </c>
      <c r="C9419" s="51">
        <v>1.003</v>
      </c>
      <c r="D9419" s="51">
        <v>72.0</v>
      </c>
      <c r="E9419" s="52" t="s">
        <v>25</v>
      </c>
      <c r="F9419" s="52" t="s">
        <v>26</v>
      </c>
      <c r="G9419" s="53"/>
    </row>
    <row r="9420">
      <c r="A9420" s="49">
        <v>45120.07628872685</v>
      </c>
      <c r="B9420" s="50">
        <v>45120.2012631018</v>
      </c>
      <c r="C9420" s="51">
        <v>1.004</v>
      </c>
      <c r="D9420" s="51">
        <v>72.0</v>
      </c>
      <c r="E9420" s="52" t="s">
        <v>25</v>
      </c>
      <c r="F9420" s="52" t="s">
        <v>26</v>
      </c>
      <c r="G9420" s="53"/>
    </row>
    <row r="9421">
      <c r="A9421" s="49">
        <v>45120.08672082176</v>
      </c>
      <c r="B9421" s="50">
        <v>45120.2116834375</v>
      </c>
      <c r="C9421" s="51">
        <v>1.004</v>
      </c>
      <c r="D9421" s="51">
        <v>72.0</v>
      </c>
      <c r="E9421" s="52" t="s">
        <v>25</v>
      </c>
      <c r="F9421" s="52" t="s">
        <v>26</v>
      </c>
      <c r="G9421" s="53"/>
    </row>
    <row r="9422">
      <c r="A9422" s="49">
        <v>45120.09713436343</v>
      </c>
      <c r="B9422" s="50">
        <v>45120.2221055092</v>
      </c>
      <c r="C9422" s="51">
        <v>1.004</v>
      </c>
      <c r="D9422" s="51">
        <v>72.0</v>
      </c>
      <c r="E9422" s="52" t="s">
        <v>25</v>
      </c>
      <c r="F9422" s="52" t="s">
        <v>26</v>
      </c>
      <c r="G9422" s="53"/>
    </row>
    <row r="9423">
      <c r="A9423" s="49">
        <v>45120.1075571875</v>
      </c>
      <c r="B9423" s="50">
        <v>45120.2325270254</v>
      </c>
      <c r="C9423" s="51">
        <v>1.004</v>
      </c>
      <c r="D9423" s="51">
        <v>72.0</v>
      </c>
      <c r="E9423" s="52" t="s">
        <v>25</v>
      </c>
      <c r="F9423" s="52" t="s">
        <v>26</v>
      </c>
      <c r="G9423" s="53"/>
    </row>
    <row r="9424">
      <c r="A9424" s="49">
        <v>45120.117978194445</v>
      </c>
      <c r="B9424" s="50">
        <v>45120.2429475</v>
      </c>
      <c r="C9424" s="51">
        <v>1.003</v>
      </c>
      <c r="D9424" s="51">
        <v>72.0</v>
      </c>
      <c r="E9424" s="52" t="s">
        <v>25</v>
      </c>
      <c r="F9424" s="52" t="s">
        <v>26</v>
      </c>
      <c r="G9424" s="53"/>
    </row>
    <row r="9425">
      <c r="A9425" s="49">
        <v>45120.12841024305</v>
      </c>
      <c r="B9425" s="50">
        <v>45120.2533803356</v>
      </c>
      <c r="C9425" s="51">
        <v>1.004</v>
      </c>
      <c r="D9425" s="51">
        <v>72.0</v>
      </c>
      <c r="E9425" s="52" t="s">
        <v>25</v>
      </c>
      <c r="F9425" s="52" t="s">
        <v>26</v>
      </c>
      <c r="G9425" s="53"/>
    </row>
    <row r="9426">
      <c r="A9426" s="49">
        <v>45120.13883099537</v>
      </c>
      <c r="B9426" s="50">
        <v>45120.2638021064</v>
      </c>
      <c r="C9426" s="51">
        <v>1.003</v>
      </c>
      <c r="D9426" s="51">
        <v>72.0</v>
      </c>
      <c r="E9426" s="52" t="s">
        <v>25</v>
      </c>
      <c r="F9426" s="52" t="s">
        <v>26</v>
      </c>
      <c r="G9426" s="53"/>
    </row>
    <row r="9427">
      <c r="A9427" s="49">
        <v>45120.14925540509</v>
      </c>
      <c r="B9427" s="50">
        <v>45120.2742237731</v>
      </c>
      <c r="C9427" s="51">
        <v>1.003</v>
      </c>
      <c r="D9427" s="51">
        <v>72.0</v>
      </c>
      <c r="E9427" s="52" t="s">
        <v>25</v>
      </c>
      <c r="F9427" s="52" t="s">
        <v>26</v>
      </c>
      <c r="G9427" s="53"/>
    </row>
    <row r="9428">
      <c r="A9428" s="49">
        <v>45120.159684293976</v>
      </c>
      <c r="B9428" s="50">
        <v>45120.284657199</v>
      </c>
      <c r="C9428" s="51">
        <v>1.003</v>
      </c>
      <c r="D9428" s="51">
        <v>72.0</v>
      </c>
      <c r="E9428" s="52" t="s">
        <v>25</v>
      </c>
      <c r="F9428" s="52" t="s">
        <v>26</v>
      </c>
      <c r="G9428" s="53"/>
    </row>
    <row r="9429">
      <c r="A9429" s="49">
        <v>45120.17010392361</v>
      </c>
      <c r="B9429" s="50">
        <v>45120.2950805555</v>
      </c>
      <c r="C9429" s="51">
        <v>1.003</v>
      </c>
      <c r="D9429" s="51">
        <v>72.0</v>
      </c>
      <c r="E9429" s="52" t="s">
        <v>25</v>
      </c>
      <c r="F9429" s="52" t="s">
        <v>26</v>
      </c>
      <c r="G9429" s="53"/>
    </row>
    <row r="9430">
      <c r="A9430" s="49">
        <v>45120.18054046296</v>
      </c>
      <c r="B9430" s="50">
        <v>45120.3055013773</v>
      </c>
      <c r="C9430" s="51">
        <v>1.004</v>
      </c>
      <c r="D9430" s="51">
        <v>72.0</v>
      </c>
      <c r="E9430" s="52" t="s">
        <v>25</v>
      </c>
      <c r="F9430" s="52" t="s">
        <v>26</v>
      </c>
      <c r="G9430" s="53"/>
    </row>
    <row r="9431">
      <c r="A9431" s="49">
        <v>45120.190954942125</v>
      </c>
      <c r="B9431" s="50">
        <v>45120.3159229513</v>
      </c>
      <c r="C9431" s="51">
        <v>1.003</v>
      </c>
      <c r="D9431" s="51">
        <v>72.0</v>
      </c>
      <c r="E9431" s="52" t="s">
        <v>25</v>
      </c>
      <c r="F9431" s="52" t="s">
        <v>26</v>
      </c>
      <c r="G9431" s="53"/>
    </row>
    <row r="9432">
      <c r="A9432" s="49">
        <v>45120.2013753125</v>
      </c>
      <c r="B9432" s="50">
        <v>45120.3263429398</v>
      </c>
      <c r="C9432" s="51">
        <v>1.003</v>
      </c>
      <c r="D9432" s="51">
        <v>72.0</v>
      </c>
      <c r="E9432" s="52" t="s">
        <v>25</v>
      </c>
      <c r="F9432" s="52" t="s">
        <v>26</v>
      </c>
      <c r="G9432" s="53"/>
    </row>
    <row r="9433">
      <c r="A9433" s="49">
        <v>45120.21178459491</v>
      </c>
      <c r="B9433" s="50">
        <v>45120.3367634838</v>
      </c>
      <c r="C9433" s="51">
        <v>1.003</v>
      </c>
      <c r="D9433" s="51">
        <v>72.0</v>
      </c>
      <c r="E9433" s="52" t="s">
        <v>25</v>
      </c>
      <c r="F9433" s="52" t="s">
        <v>26</v>
      </c>
      <c r="G9433" s="53"/>
    </row>
    <row r="9434">
      <c r="A9434" s="49">
        <v>45120.22223</v>
      </c>
      <c r="B9434" s="50">
        <v>45120.3471972453</v>
      </c>
      <c r="C9434" s="51">
        <v>1.003</v>
      </c>
      <c r="D9434" s="51">
        <v>72.0</v>
      </c>
      <c r="E9434" s="52" t="s">
        <v>25</v>
      </c>
      <c r="F9434" s="52" t="s">
        <v>26</v>
      </c>
      <c r="G9434" s="53"/>
    </row>
    <row r="9435">
      <c r="A9435" s="49">
        <v>45120.23264743056</v>
      </c>
      <c r="B9435" s="50">
        <v>45120.3576183101</v>
      </c>
      <c r="C9435" s="51">
        <v>1.003</v>
      </c>
      <c r="D9435" s="51">
        <v>72.0</v>
      </c>
      <c r="E9435" s="52" t="s">
        <v>25</v>
      </c>
      <c r="F9435" s="52" t="s">
        <v>26</v>
      </c>
      <c r="G9435" s="53"/>
    </row>
    <row r="9436">
      <c r="A9436" s="49">
        <v>45120.24312974537</v>
      </c>
      <c r="B9436" s="50">
        <v>45120.3680731944</v>
      </c>
      <c r="C9436" s="51">
        <v>1.003</v>
      </c>
      <c r="D9436" s="51">
        <v>72.0</v>
      </c>
      <c r="E9436" s="52" t="s">
        <v>25</v>
      </c>
      <c r="F9436" s="52" t="s">
        <v>26</v>
      </c>
      <c r="G9436" s="53"/>
    </row>
    <row r="9437">
      <c r="A9437" s="49">
        <v>45120.25373491898</v>
      </c>
      <c r="B9437" s="50">
        <v>45120.3785167476</v>
      </c>
      <c r="C9437" s="51">
        <v>1.003</v>
      </c>
      <c r="D9437" s="51">
        <v>72.0</v>
      </c>
      <c r="E9437" s="52" t="s">
        <v>25</v>
      </c>
      <c r="F9437" s="52" t="s">
        <v>26</v>
      </c>
      <c r="G9437" s="53"/>
    </row>
    <row r="9438">
      <c r="A9438" s="49">
        <v>45120.26397118055</v>
      </c>
      <c r="B9438" s="50">
        <v>45120.388937743</v>
      </c>
      <c r="C9438" s="51">
        <v>1.003</v>
      </c>
      <c r="D9438" s="51">
        <v>72.0</v>
      </c>
      <c r="E9438" s="52" t="s">
        <v>25</v>
      </c>
      <c r="F9438" s="52" t="s">
        <v>26</v>
      </c>
      <c r="G9438" s="53"/>
    </row>
    <row r="9439">
      <c r="A9439" s="49">
        <v>45120.274395636574</v>
      </c>
      <c r="B9439" s="50">
        <v>45120.3993702199</v>
      </c>
      <c r="C9439" s="51">
        <v>1.004</v>
      </c>
      <c r="D9439" s="51">
        <v>72.0</v>
      </c>
      <c r="E9439" s="52" t="s">
        <v>25</v>
      </c>
      <c r="F9439" s="52" t="s">
        <v>26</v>
      </c>
      <c r="G9439" s="53"/>
    </row>
    <row r="9440">
      <c r="A9440" s="49">
        <v>45120.28482666667</v>
      </c>
      <c r="B9440" s="50">
        <v>45120.4097919444</v>
      </c>
      <c r="C9440" s="51">
        <v>1.004</v>
      </c>
      <c r="D9440" s="51">
        <v>72.0</v>
      </c>
      <c r="E9440" s="52" t="s">
        <v>25</v>
      </c>
      <c r="F9440" s="52" t="s">
        <v>26</v>
      </c>
      <c r="G9440" s="53"/>
    </row>
    <row r="9441">
      <c r="A9441" s="49">
        <v>45120.29525059028</v>
      </c>
      <c r="B9441" s="50">
        <v>45120.4202142129</v>
      </c>
      <c r="C9441" s="51">
        <v>1.004</v>
      </c>
      <c r="D9441" s="51">
        <v>72.0</v>
      </c>
      <c r="E9441" s="52" t="s">
        <v>25</v>
      </c>
      <c r="F9441" s="52" t="s">
        <v>26</v>
      </c>
      <c r="G9441" s="53"/>
    </row>
    <row r="9442">
      <c r="A9442" s="49">
        <v>45120.30566013889</v>
      </c>
      <c r="B9442" s="50">
        <v>45120.4306351157</v>
      </c>
      <c r="C9442" s="51">
        <v>1.004</v>
      </c>
      <c r="D9442" s="51">
        <v>72.0</v>
      </c>
      <c r="E9442" s="52" t="s">
        <v>25</v>
      </c>
      <c r="F9442" s="52" t="s">
        <v>26</v>
      </c>
      <c r="G9442" s="53"/>
    </row>
    <row r="9443">
      <c r="A9443" s="49">
        <v>45120.31608642361</v>
      </c>
      <c r="B9443" s="50">
        <v>45120.4410548032</v>
      </c>
      <c r="C9443" s="51">
        <v>1.003</v>
      </c>
      <c r="D9443" s="51">
        <v>72.0</v>
      </c>
      <c r="E9443" s="52" t="s">
        <v>25</v>
      </c>
      <c r="F9443" s="52" t="s">
        <v>26</v>
      </c>
      <c r="G9443" s="53"/>
    </row>
    <row r="9444">
      <c r="A9444" s="49">
        <v>45120.326517187495</v>
      </c>
      <c r="B9444" s="50">
        <v>45120.4514769791</v>
      </c>
      <c r="C9444" s="51">
        <v>1.004</v>
      </c>
      <c r="D9444" s="51">
        <v>72.0</v>
      </c>
      <c r="E9444" s="52" t="s">
        <v>25</v>
      </c>
      <c r="F9444" s="52" t="s">
        <v>26</v>
      </c>
      <c r="G9444" s="53"/>
    </row>
    <row r="9445">
      <c r="A9445" s="49">
        <v>45120.336930046295</v>
      </c>
      <c r="B9445" s="50">
        <v>45120.4618990509</v>
      </c>
      <c r="C9445" s="51">
        <v>1.003</v>
      </c>
      <c r="D9445" s="51">
        <v>72.0</v>
      </c>
      <c r="E9445" s="52" t="s">
        <v>25</v>
      </c>
      <c r="F9445" s="52" t="s">
        <v>26</v>
      </c>
      <c r="G9445" s="53"/>
    </row>
    <row r="9446">
      <c r="A9446" s="49">
        <v>45120.34734792824</v>
      </c>
      <c r="B9446" s="50">
        <v>45120.4723184722</v>
      </c>
      <c r="C9446" s="51">
        <v>1.004</v>
      </c>
      <c r="D9446" s="51">
        <v>72.0</v>
      </c>
      <c r="E9446" s="52" t="s">
        <v>25</v>
      </c>
      <c r="F9446" s="52" t="s">
        <v>26</v>
      </c>
      <c r="G9446" s="53"/>
    </row>
    <row r="9447">
      <c r="A9447" s="49">
        <v>45120.3577590162</v>
      </c>
      <c r="B9447" s="50">
        <v>45120.4827395254</v>
      </c>
      <c r="C9447" s="51">
        <v>1.003</v>
      </c>
      <c r="D9447" s="51">
        <v>72.0</v>
      </c>
      <c r="E9447" s="52" t="s">
        <v>25</v>
      </c>
      <c r="F9447" s="52" t="s">
        <v>26</v>
      </c>
      <c r="G9447" s="53"/>
    </row>
    <row r="9448">
      <c r="A9448" s="49">
        <v>45120.36819525463</v>
      </c>
      <c r="B9448" s="50">
        <v>45120.4931620138</v>
      </c>
      <c r="C9448" s="51">
        <v>1.003</v>
      </c>
      <c r="D9448" s="51">
        <v>72.0</v>
      </c>
      <c r="E9448" s="52" t="s">
        <v>25</v>
      </c>
      <c r="F9448" s="52" t="s">
        <v>26</v>
      </c>
      <c r="G9448" s="53"/>
    </row>
    <row r="9449">
      <c r="A9449" s="49">
        <v>45120.37860981481</v>
      </c>
      <c r="B9449" s="50">
        <v>45120.503583993</v>
      </c>
      <c r="C9449" s="51">
        <v>1.004</v>
      </c>
      <c r="D9449" s="51">
        <v>72.0</v>
      </c>
      <c r="E9449" s="52" t="s">
        <v>25</v>
      </c>
      <c r="F9449" s="52" t="s">
        <v>26</v>
      </c>
      <c r="G9449" s="53"/>
    </row>
    <row r="9450">
      <c r="A9450" s="49">
        <v>45120.38903096065</v>
      </c>
      <c r="B9450" s="50">
        <v>45120.5140048495</v>
      </c>
      <c r="C9450" s="51">
        <v>1.003</v>
      </c>
      <c r="D9450" s="51">
        <v>72.0</v>
      </c>
      <c r="E9450" s="52" t="s">
        <v>25</v>
      </c>
      <c r="F9450" s="52" t="s">
        <v>26</v>
      </c>
      <c r="G9450" s="53"/>
    </row>
    <row r="9451">
      <c r="A9451" s="49">
        <v>45120.399457418986</v>
      </c>
      <c r="B9451" s="50">
        <v>45120.5244261111</v>
      </c>
      <c r="C9451" s="51">
        <v>1.003</v>
      </c>
      <c r="D9451" s="51">
        <v>72.0</v>
      </c>
      <c r="E9451" s="52" t="s">
        <v>25</v>
      </c>
      <c r="F9451" s="52" t="s">
        <v>26</v>
      </c>
      <c r="G9451" s="53"/>
    </row>
    <row r="9452">
      <c r="A9452" s="49">
        <v>45120.409889305556</v>
      </c>
      <c r="B9452" s="50">
        <v>45120.5348588888</v>
      </c>
      <c r="C9452" s="51">
        <v>1.003</v>
      </c>
      <c r="D9452" s="51">
        <v>72.0</v>
      </c>
      <c r="E9452" s="52" t="s">
        <v>25</v>
      </c>
      <c r="F9452" s="52" t="s">
        <v>26</v>
      </c>
      <c r="G9452" s="53"/>
    </row>
    <row r="9453">
      <c r="A9453" s="49">
        <v>45120.420301805556</v>
      </c>
      <c r="B9453" s="50">
        <v>45120.545279699</v>
      </c>
      <c r="C9453" s="51">
        <v>1.004</v>
      </c>
      <c r="D9453" s="51">
        <v>72.0</v>
      </c>
      <c r="E9453" s="52" t="s">
        <v>25</v>
      </c>
      <c r="F9453" s="52" t="s">
        <v>26</v>
      </c>
      <c r="G9453" s="53"/>
    </row>
    <row r="9454">
      <c r="A9454" s="49">
        <v>45120.43074491898</v>
      </c>
      <c r="B9454" s="50">
        <v>45120.5557133564</v>
      </c>
      <c r="C9454" s="51">
        <v>1.003</v>
      </c>
      <c r="D9454" s="51">
        <v>72.0</v>
      </c>
      <c r="E9454" s="52" t="s">
        <v>25</v>
      </c>
      <c r="F9454" s="52" t="s">
        <v>26</v>
      </c>
      <c r="G9454" s="53"/>
    </row>
    <row r="9455">
      <c r="A9455" s="49">
        <v>45120.44116351852</v>
      </c>
      <c r="B9455" s="50">
        <v>45120.5661337963</v>
      </c>
      <c r="C9455" s="51">
        <v>1.004</v>
      </c>
      <c r="D9455" s="51">
        <v>72.0</v>
      </c>
      <c r="E9455" s="52" t="s">
        <v>25</v>
      </c>
      <c r="F9455" s="52" t="s">
        <v>26</v>
      </c>
      <c r="G9455" s="53"/>
    </row>
    <row r="9456">
      <c r="A9456" s="49">
        <v>45120.45159564815</v>
      </c>
      <c r="B9456" s="50">
        <v>45120.5765664814</v>
      </c>
      <c r="C9456" s="51">
        <v>1.004</v>
      </c>
      <c r="D9456" s="51">
        <v>72.0</v>
      </c>
      <c r="E9456" s="52" t="s">
        <v>25</v>
      </c>
      <c r="F9456" s="52" t="s">
        <v>26</v>
      </c>
      <c r="G9456" s="53"/>
    </row>
    <row r="9457">
      <c r="A9457" s="49">
        <v>45120.462018182865</v>
      </c>
      <c r="B9457" s="50">
        <v>45120.5869864004</v>
      </c>
      <c r="C9457" s="51">
        <v>1.003</v>
      </c>
      <c r="D9457" s="51">
        <v>72.0</v>
      </c>
      <c r="E9457" s="52" t="s">
        <v>25</v>
      </c>
      <c r="F9457" s="52" t="s">
        <v>26</v>
      </c>
      <c r="G9457" s="53"/>
    </row>
    <row r="9458">
      <c r="A9458" s="49">
        <v>45120.47243515046</v>
      </c>
      <c r="B9458" s="50">
        <v>45120.5974073495</v>
      </c>
      <c r="C9458" s="51">
        <v>1.003</v>
      </c>
      <c r="D9458" s="51">
        <v>72.0</v>
      </c>
      <c r="E9458" s="52" t="s">
        <v>25</v>
      </c>
      <c r="F9458" s="52" t="s">
        <v>26</v>
      </c>
      <c r="G9458" s="53"/>
    </row>
    <row r="9459">
      <c r="A9459" s="49">
        <v>45120.48285965278</v>
      </c>
      <c r="B9459" s="50">
        <v>45120.6078301851</v>
      </c>
      <c r="C9459" s="51">
        <v>1.003</v>
      </c>
      <c r="D9459" s="51">
        <v>72.0</v>
      </c>
      <c r="E9459" s="52" t="s">
        <v>25</v>
      </c>
      <c r="F9459" s="52" t="s">
        <v>26</v>
      </c>
      <c r="G9459" s="53"/>
    </row>
    <row r="9460">
      <c r="A9460" s="49">
        <v>45120.49327752314</v>
      </c>
      <c r="B9460" s="50">
        <v>45120.6182498611</v>
      </c>
      <c r="C9460" s="51">
        <v>1.004</v>
      </c>
      <c r="D9460" s="51">
        <v>72.0</v>
      </c>
      <c r="E9460" s="52" t="s">
        <v>25</v>
      </c>
      <c r="F9460" s="52" t="s">
        <v>26</v>
      </c>
      <c r="G9460" s="53"/>
    </row>
    <row r="9461">
      <c r="A9461" s="49">
        <v>45120.503705763884</v>
      </c>
      <c r="B9461" s="50">
        <v>45120.6286704398</v>
      </c>
      <c r="C9461" s="51">
        <v>1.003</v>
      </c>
      <c r="D9461" s="51">
        <v>72.0</v>
      </c>
      <c r="E9461" s="52" t="s">
        <v>25</v>
      </c>
      <c r="F9461" s="52" t="s">
        <v>26</v>
      </c>
      <c r="G9461" s="53"/>
    </row>
    <row r="9462">
      <c r="A9462" s="49">
        <v>45120.514125208334</v>
      </c>
      <c r="B9462" s="50">
        <v>45120.6390898263</v>
      </c>
      <c r="C9462" s="51">
        <v>1.003</v>
      </c>
      <c r="D9462" s="51">
        <v>72.0</v>
      </c>
      <c r="E9462" s="52" t="s">
        <v>25</v>
      </c>
      <c r="F9462" s="52" t="s">
        <v>26</v>
      </c>
      <c r="G9462" s="53"/>
    </row>
    <row r="9463">
      <c r="A9463" s="49">
        <v>45120.52454331018</v>
      </c>
      <c r="B9463" s="50">
        <v>45120.6495128125</v>
      </c>
      <c r="C9463" s="51">
        <v>1.003</v>
      </c>
      <c r="D9463" s="51">
        <v>72.0</v>
      </c>
      <c r="E9463" s="52" t="s">
        <v>25</v>
      </c>
      <c r="F9463" s="52" t="s">
        <v>26</v>
      </c>
      <c r="G9463" s="53"/>
    </row>
    <row r="9464">
      <c r="A9464" s="49">
        <v>45120.53496484953</v>
      </c>
      <c r="B9464" s="50">
        <v>45120.6599352314</v>
      </c>
      <c r="C9464" s="51">
        <v>1.003</v>
      </c>
      <c r="D9464" s="51">
        <v>72.0</v>
      </c>
      <c r="E9464" s="52" t="s">
        <v>25</v>
      </c>
      <c r="F9464" s="52" t="s">
        <v>26</v>
      </c>
      <c r="G9464" s="53"/>
    </row>
    <row r="9465">
      <c r="A9465" s="49">
        <v>45120.54538378472</v>
      </c>
      <c r="B9465" s="50">
        <v>45120.6703578935</v>
      </c>
      <c r="C9465" s="51">
        <v>1.003</v>
      </c>
      <c r="D9465" s="51">
        <v>72.0</v>
      </c>
      <c r="E9465" s="52" t="s">
        <v>25</v>
      </c>
      <c r="F9465" s="52" t="s">
        <v>26</v>
      </c>
      <c r="G9465" s="53"/>
    </row>
    <row r="9466">
      <c r="A9466" s="49">
        <v>45120.55581954861</v>
      </c>
      <c r="B9466" s="50">
        <v>45120.6807912731</v>
      </c>
      <c r="C9466" s="51">
        <v>1.004</v>
      </c>
      <c r="D9466" s="51">
        <v>72.0</v>
      </c>
      <c r="E9466" s="52" t="s">
        <v>25</v>
      </c>
      <c r="F9466" s="52" t="s">
        <v>26</v>
      </c>
      <c r="G9466" s="53"/>
    </row>
    <row r="9467">
      <c r="A9467" s="49">
        <v>45120.56624884259</v>
      </c>
      <c r="B9467" s="50">
        <v>45120.6912236111</v>
      </c>
      <c r="C9467" s="51">
        <v>1.003</v>
      </c>
      <c r="D9467" s="51">
        <v>72.0</v>
      </c>
      <c r="E9467" s="52" t="s">
        <v>25</v>
      </c>
      <c r="F9467" s="52" t="s">
        <v>26</v>
      </c>
      <c r="G9467" s="53"/>
    </row>
    <row r="9468">
      <c r="A9468" s="49">
        <v>45120.57667243056</v>
      </c>
      <c r="B9468" s="50">
        <v>45120.7016441898</v>
      </c>
      <c r="C9468" s="51">
        <v>1.003</v>
      </c>
      <c r="D9468" s="51">
        <v>72.0</v>
      </c>
      <c r="E9468" s="52" t="s">
        <v>25</v>
      </c>
      <c r="F9468" s="52" t="s">
        <v>26</v>
      </c>
      <c r="G9468" s="53"/>
    </row>
    <row r="9469">
      <c r="A9469" s="49">
        <v>45120.58709047454</v>
      </c>
      <c r="B9469" s="50">
        <v>45120.7120656481</v>
      </c>
      <c r="C9469" s="51">
        <v>1.003</v>
      </c>
      <c r="D9469" s="51">
        <v>72.0</v>
      </c>
      <c r="E9469" s="52" t="s">
        <v>25</v>
      </c>
      <c r="F9469" s="52" t="s">
        <v>26</v>
      </c>
      <c r="G9469" s="53"/>
    </row>
    <row r="9470">
      <c r="A9470" s="49">
        <v>45120.59752098379</v>
      </c>
      <c r="B9470" s="50">
        <v>45120.7224990162</v>
      </c>
      <c r="C9470" s="51">
        <v>1.004</v>
      </c>
      <c r="D9470" s="51">
        <v>72.0</v>
      </c>
      <c r="E9470" s="52" t="s">
        <v>25</v>
      </c>
      <c r="F9470" s="52" t="s">
        <v>26</v>
      </c>
      <c r="G9470" s="53"/>
    </row>
    <row r="9471">
      <c r="A9471" s="49">
        <v>45120.60797416666</v>
      </c>
      <c r="B9471" s="50">
        <v>45120.7329443287</v>
      </c>
      <c r="C9471" s="51">
        <v>1.004</v>
      </c>
      <c r="D9471" s="51">
        <v>72.0</v>
      </c>
      <c r="E9471" s="52" t="s">
        <v>25</v>
      </c>
      <c r="F9471" s="52" t="s">
        <v>26</v>
      </c>
      <c r="G9471" s="53"/>
    </row>
    <row r="9472">
      <c r="A9472" s="49">
        <v>45120.618391446755</v>
      </c>
      <c r="B9472" s="50">
        <v>45120.7433655092</v>
      </c>
      <c r="C9472" s="51">
        <v>1.004</v>
      </c>
      <c r="D9472" s="51">
        <v>72.0</v>
      </c>
      <c r="E9472" s="52" t="s">
        <v>25</v>
      </c>
      <c r="F9472" s="52" t="s">
        <v>26</v>
      </c>
      <c r="G9472" s="53"/>
    </row>
    <row r="9473">
      <c r="A9473" s="49">
        <v>45120.62881782408</v>
      </c>
      <c r="B9473" s="50">
        <v>45120.75378625</v>
      </c>
      <c r="C9473" s="51">
        <v>1.004</v>
      </c>
      <c r="D9473" s="51">
        <v>72.0</v>
      </c>
      <c r="E9473" s="52" t="s">
        <v>25</v>
      </c>
      <c r="F9473" s="52" t="s">
        <v>26</v>
      </c>
      <c r="G9473" s="53"/>
    </row>
    <row r="9474">
      <c r="A9474" s="49">
        <v>45120.63923570602</v>
      </c>
      <c r="B9474" s="50">
        <v>45120.7642073611</v>
      </c>
      <c r="C9474" s="51">
        <v>1.003</v>
      </c>
      <c r="D9474" s="51">
        <v>72.0</v>
      </c>
      <c r="E9474" s="52" t="s">
        <v>25</v>
      </c>
      <c r="F9474" s="52" t="s">
        <v>26</v>
      </c>
      <c r="G9474" s="53"/>
    </row>
    <row r="9475">
      <c r="A9475" s="49">
        <v>45120.649654016204</v>
      </c>
      <c r="B9475" s="50">
        <v>45120.7746287615</v>
      </c>
      <c r="C9475" s="51">
        <v>1.003</v>
      </c>
      <c r="D9475" s="51">
        <v>72.0</v>
      </c>
      <c r="E9475" s="52" t="s">
        <v>25</v>
      </c>
      <c r="F9475" s="52" t="s">
        <v>26</v>
      </c>
      <c r="G9475" s="53"/>
    </row>
    <row r="9476">
      <c r="A9476" s="49">
        <v>45120.66008195602</v>
      </c>
      <c r="B9476" s="50">
        <v>45120.7850496527</v>
      </c>
      <c r="C9476" s="51">
        <v>1.004</v>
      </c>
      <c r="D9476" s="51">
        <v>72.0</v>
      </c>
      <c r="E9476" s="52" t="s">
        <v>25</v>
      </c>
      <c r="F9476" s="52" t="s">
        <v>26</v>
      </c>
      <c r="G9476" s="53"/>
    </row>
    <row r="9477">
      <c r="A9477" s="49">
        <v>45120.67050166667</v>
      </c>
      <c r="B9477" s="50">
        <v>45120.7954712037</v>
      </c>
      <c r="C9477" s="51">
        <v>1.003</v>
      </c>
      <c r="D9477" s="51">
        <v>72.0</v>
      </c>
      <c r="E9477" s="52" t="s">
        <v>25</v>
      </c>
      <c r="F9477" s="52" t="s">
        <v>26</v>
      </c>
      <c r="G9477" s="53"/>
    </row>
    <row r="9478">
      <c r="A9478" s="49">
        <v>45120.68093267361</v>
      </c>
      <c r="B9478" s="50">
        <v>45120.8059037152</v>
      </c>
      <c r="C9478" s="51">
        <v>1.003</v>
      </c>
      <c r="D9478" s="51">
        <v>72.0</v>
      </c>
      <c r="E9478" s="52" t="s">
        <v>25</v>
      </c>
      <c r="F9478" s="52" t="s">
        <v>26</v>
      </c>
      <c r="G9478" s="53"/>
    </row>
    <row r="9479">
      <c r="A9479" s="49">
        <v>45120.69136157408</v>
      </c>
      <c r="B9479" s="50">
        <v>45120.8163273379</v>
      </c>
      <c r="C9479" s="51">
        <v>1.004</v>
      </c>
      <c r="D9479" s="51">
        <v>72.0</v>
      </c>
      <c r="E9479" s="52" t="s">
        <v>25</v>
      </c>
      <c r="F9479" s="52" t="s">
        <v>26</v>
      </c>
      <c r="G9479" s="53"/>
    </row>
    <row r="9480">
      <c r="A9480" s="49">
        <v>45120.7017690162</v>
      </c>
      <c r="B9480" s="50">
        <v>45120.8267464699</v>
      </c>
      <c r="C9480" s="51">
        <v>1.003</v>
      </c>
      <c r="D9480" s="51">
        <v>72.0</v>
      </c>
      <c r="E9480" s="52" t="s">
        <v>25</v>
      </c>
      <c r="F9480" s="52" t="s">
        <v>26</v>
      </c>
      <c r="G9480" s="53"/>
    </row>
    <row r="9481">
      <c r="A9481" s="49">
        <v>45120.71219790509</v>
      </c>
      <c r="B9481" s="50">
        <v>45120.8371671412</v>
      </c>
      <c r="C9481" s="51">
        <v>1.003</v>
      </c>
      <c r="D9481" s="51">
        <v>72.0</v>
      </c>
      <c r="E9481" s="52" t="s">
        <v>25</v>
      </c>
      <c r="F9481" s="52" t="s">
        <v>26</v>
      </c>
      <c r="G9481" s="53"/>
    </row>
    <row r="9482">
      <c r="A9482" s="49">
        <v>45120.72261405093</v>
      </c>
      <c r="B9482" s="50">
        <v>45120.8475877777</v>
      </c>
      <c r="C9482" s="51">
        <v>1.003</v>
      </c>
      <c r="D9482" s="51">
        <v>72.0</v>
      </c>
      <c r="E9482" s="52" t="s">
        <v>25</v>
      </c>
      <c r="F9482" s="52" t="s">
        <v>26</v>
      </c>
      <c r="G9482" s="53"/>
    </row>
    <row r="9483">
      <c r="A9483" s="49">
        <v>45120.733052384254</v>
      </c>
      <c r="B9483" s="50">
        <v>45120.8580212731</v>
      </c>
      <c r="C9483" s="51">
        <v>1.003</v>
      </c>
      <c r="D9483" s="51">
        <v>72.0</v>
      </c>
      <c r="E9483" s="52" t="s">
        <v>25</v>
      </c>
      <c r="F9483" s="52" t="s">
        <v>26</v>
      </c>
      <c r="G9483" s="53"/>
    </row>
    <row r="9484">
      <c r="A9484" s="49">
        <v>45120.74346923611</v>
      </c>
      <c r="B9484" s="50">
        <v>45120.8684426504</v>
      </c>
      <c r="C9484" s="51">
        <v>1.004</v>
      </c>
      <c r="D9484" s="51">
        <v>72.0</v>
      </c>
      <c r="E9484" s="52" t="s">
        <v>25</v>
      </c>
      <c r="F9484" s="52" t="s">
        <v>26</v>
      </c>
      <c r="G9484" s="53"/>
    </row>
    <row r="9485">
      <c r="A9485" s="49">
        <v>45120.75392097222</v>
      </c>
      <c r="B9485" s="50">
        <v>45120.8788644097</v>
      </c>
      <c r="C9485" s="51">
        <v>1.004</v>
      </c>
      <c r="D9485" s="51">
        <v>72.0</v>
      </c>
      <c r="E9485" s="52" t="s">
        <v>25</v>
      </c>
      <c r="F9485" s="52" t="s">
        <v>26</v>
      </c>
      <c r="G9485" s="53"/>
    </row>
    <row r="9486">
      <c r="A9486" s="49">
        <v>45120.764330509264</v>
      </c>
      <c r="B9486" s="50">
        <v>45120.8892979629</v>
      </c>
      <c r="C9486" s="51">
        <v>1.003</v>
      </c>
      <c r="D9486" s="51">
        <v>72.0</v>
      </c>
      <c r="E9486" s="52" t="s">
        <v>25</v>
      </c>
      <c r="F9486" s="52" t="s">
        <v>26</v>
      </c>
      <c r="G9486" s="53"/>
    </row>
    <row r="9487">
      <c r="A9487" s="49">
        <v>45120.77474440972</v>
      </c>
      <c r="B9487" s="50">
        <v>45120.8997177893</v>
      </c>
      <c r="C9487" s="51">
        <v>1.004</v>
      </c>
      <c r="D9487" s="51">
        <v>72.0</v>
      </c>
      <c r="E9487" s="52" t="s">
        <v>25</v>
      </c>
      <c r="F9487" s="52" t="s">
        <v>26</v>
      </c>
      <c r="G9487" s="53"/>
    </row>
    <row r="9488">
      <c r="A9488" s="49">
        <v>45120.78517554398</v>
      </c>
      <c r="B9488" s="50">
        <v>45120.9101413773</v>
      </c>
      <c r="C9488" s="51">
        <v>1.004</v>
      </c>
      <c r="D9488" s="51">
        <v>72.0</v>
      </c>
      <c r="E9488" s="52" t="s">
        <v>25</v>
      </c>
      <c r="F9488" s="52" t="s">
        <v>26</v>
      </c>
      <c r="G9488" s="53"/>
    </row>
    <row r="9489">
      <c r="A9489" s="49">
        <v>45120.795589421294</v>
      </c>
      <c r="B9489" s="50">
        <v>45120.9205628588</v>
      </c>
      <c r="C9489" s="51">
        <v>1.003</v>
      </c>
      <c r="D9489" s="51">
        <v>72.0</v>
      </c>
      <c r="E9489" s="52" t="s">
        <v>25</v>
      </c>
      <c r="F9489" s="52" t="s">
        <v>26</v>
      </c>
      <c r="G9489" s="53"/>
    </row>
    <row r="9490">
      <c r="A9490" s="49">
        <v>45120.80601</v>
      </c>
      <c r="B9490" s="50">
        <v>45120.9309843402</v>
      </c>
      <c r="C9490" s="51">
        <v>1.004</v>
      </c>
      <c r="D9490" s="51">
        <v>72.0</v>
      </c>
      <c r="E9490" s="52" t="s">
        <v>25</v>
      </c>
      <c r="F9490" s="52" t="s">
        <v>26</v>
      </c>
      <c r="G9490" s="53"/>
    </row>
    <row r="9491">
      <c r="A9491" s="49">
        <v>45120.81645092592</v>
      </c>
      <c r="B9491" s="50">
        <v>45120.9414192476</v>
      </c>
      <c r="C9491" s="51">
        <v>1.004</v>
      </c>
      <c r="D9491" s="51">
        <v>72.0</v>
      </c>
      <c r="E9491" s="52" t="s">
        <v>25</v>
      </c>
      <c r="F9491" s="52" t="s">
        <v>26</v>
      </c>
      <c r="G9491" s="53"/>
    </row>
    <row r="9492">
      <c r="A9492" s="49">
        <v>45120.82687280093</v>
      </c>
      <c r="B9492" s="50">
        <v>45120.95183978</v>
      </c>
      <c r="C9492" s="51">
        <v>1.003</v>
      </c>
      <c r="D9492" s="51">
        <v>72.0</v>
      </c>
      <c r="E9492" s="52" t="s">
        <v>25</v>
      </c>
      <c r="F9492" s="52" t="s">
        <v>26</v>
      </c>
      <c r="G9492" s="53"/>
    </row>
    <row r="9493">
      <c r="A9493" s="49">
        <v>45120.83729099537</v>
      </c>
      <c r="B9493" s="50">
        <v>45120.9622598263</v>
      </c>
      <c r="C9493" s="51">
        <v>1.004</v>
      </c>
      <c r="D9493" s="51">
        <v>72.0</v>
      </c>
      <c r="E9493" s="52" t="s">
        <v>25</v>
      </c>
      <c r="F9493" s="52" t="s">
        <v>26</v>
      </c>
      <c r="G9493" s="53"/>
    </row>
    <row r="9494">
      <c r="A9494" s="49">
        <v>45120.847705625</v>
      </c>
      <c r="B9494" s="50">
        <v>45120.9726801967</v>
      </c>
      <c r="C9494" s="51">
        <v>1.003</v>
      </c>
      <c r="D9494" s="51">
        <v>72.0</v>
      </c>
      <c r="E9494" s="52" t="s">
        <v>25</v>
      </c>
      <c r="F9494" s="52" t="s">
        <v>26</v>
      </c>
      <c r="G9494" s="53"/>
    </row>
    <row r="9495">
      <c r="A9495" s="49">
        <v>45120.85814601852</v>
      </c>
      <c r="B9495" s="50">
        <v>45120.9831130092</v>
      </c>
      <c r="C9495" s="51">
        <v>1.003</v>
      </c>
      <c r="D9495" s="51">
        <v>72.0</v>
      </c>
      <c r="E9495" s="52" t="s">
        <v>25</v>
      </c>
      <c r="F9495" s="52" t="s">
        <v>26</v>
      </c>
      <c r="G9495" s="53"/>
    </row>
    <row r="9496">
      <c r="A9496" s="49">
        <v>45120.868558483795</v>
      </c>
      <c r="B9496" s="50">
        <v>45120.9935356481</v>
      </c>
      <c r="C9496" s="51">
        <v>1.003</v>
      </c>
      <c r="D9496" s="51">
        <v>72.0</v>
      </c>
      <c r="E9496" s="52" t="s">
        <v>25</v>
      </c>
      <c r="F9496" s="52" t="s">
        <v>26</v>
      </c>
      <c r="G9496" s="53"/>
    </row>
    <row r="9497">
      <c r="A9497" s="49">
        <v>45120.8789981713</v>
      </c>
      <c r="B9497" s="50">
        <v>45121.0039675</v>
      </c>
      <c r="C9497" s="51">
        <v>1.004</v>
      </c>
      <c r="D9497" s="51">
        <v>72.0</v>
      </c>
      <c r="E9497" s="52" t="s">
        <v>25</v>
      </c>
      <c r="F9497" s="52" t="s">
        <v>26</v>
      </c>
      <c r="G9497" s="53"/>
    </row>
    <row r="9498">
      <c r="A9498" s="49">
        <v>45120.88942895833</v>
      </c>
      <c r="B9498" s="50">
        <v>45121.0143991898</v>
      </c>
      <c r="C9498" s="51">
        <v>1.004</v>
      </c>
      <c r="D9498" s="51">
        <v>72.0</v>
      </c>
      <c r="E9498" s="52" t="s">
        <v>25</v>
      </c>
      <c r="F9498" s="52" t="s">
        <v>26</v>
      </c>
      <c r="G9498" s="53"/>
    </row>
    <row r="9499">
      <c r="A9499" s="49">
        <v>45120.89984543981</v>
      </c>
      <c r="B9499" s="50">
        <v>45121.0248206713</v>
      </c>
      <c r="C9499" s="51">
        <v>1.004</v>
      </c>
      <c r="D9499" s="51">
        <v>72.0</v>
      </c>
      <c r="E9499" s="52" t="s">
        <v>25</v>
      </c>
      <c r="F9499" s="52" t="s">
        <v>26</v>
      </c>
      <c r="G9499" s="53"/>
    </row>
    <row r="9500">
      <c r="A9500" s="49">
        <v>45120.91027493056</v>
      </c>
      <c r="B9500" s="50">
        <v>45121.0352442708</v>
      </c>
      <c r="C9500" s="51">
        <v>1.003</v>
      </c>
      <c r="D9500" s="51">
        <v>72.0</v>
      </c>
      <c r="E9500" s="52" t="s">
        <v>25</v>
      </c>
      <c r="F9500" s="52" t="s">
        <v>26</v>
      </c>
      <c r="G9500" s="53"/>
    </row>
    <row r="9501">
      <c r="A9501" s="49">
        <v>45120.9206972338</v>
      </c>
      <c r="B9501" s="50">
        <v>45121.0456663773</v>
      </c>
      <c r="C9501" s="51">
        <v>1.003</v>
      </c>
      <c r="D9501" s="51">
        <v>72.0</v>
      </c>
      <c r="E9501" s="52" t="s">
        <v>25</v>
      </c>
      <c r="F9501" s="52" t="s">
        <v>26</v>
      </c>
      <c r="G9501" s="53"/>
    </row>
    <row r="9502">
      <c r="A9502" s="49">
        <v>45120.93111369213</v>
      </c>
      <c r="B9502" s="50">
        <v>45121.0560879745</v>
      </c>
      <c r="C9502" s="51">
        <v>1.004</v>
      </c>
      <c r="D9502" s="51">
        <v>72.0</v>
      </c>
      <c r="E9502" s="52" t="s">
        <v>25</v>
      </c>
      <c r="F9502" s="52" t="s">
        <v>26</v>
      </c>
      <c r="G9502" s="53"/>
    </row>
    <row r="9503">
      <c r="A9503" s="49">
        <v>45120.941547291666</v>
      </c>
      <c r="B9503" s="50">
        <v>45121.0665221527</v>
      </c>
      <c r="C9503" s="51">
        <v>1.004</v>
      </c>
      <c r="D9503" s="51">
        <v>72.0</v>
      </c>
      <c r="E9503" s="52" t="s">
        <v>25</v>
      </c>
      <c r="F9503" s="52" t="s">
        <v>26</v>
      </c>
      <c r="G9503" s="53"/>
    </row>
    <row r="9504">
      <c r="A9504" s="49">
        <v>45120.96239797454</v>
      </c>
      <c r="B9504" s="50">
        <v>45121.0873737037</v>
      </c>
      <c r="C9504" s="51">
        <v>1.004</v>
      </c>
      <c r="D9504" s="51">
        <v>72.0</v>
      </c>
      <c r="E9504" s="52" t="s">
        <v>25</v>
      </c>
      <c r="F9504" s="52" t="s">
        <v>26</v>
      </c>
      <c r="G9504" s="53"/>
    </row>
    <row r="9505">
      <c r="A9505" s="49">
        <v>45120.97283636574</v>
      </c>
      <c r="B9505" s="50">
        <v>45121.0978053472</v>
      </c>
      <c r="C9505" s="51">
        <v>1.004</v>
      </c>
      <c r="D9505" s="51">
        <v>72.0</v>
      </c>
      <c r="E9505" s="52" t="s">
        <v>25</v>
      </c>
      <c r="F9505" s="52" t="s">
        <v>26</v>
      </c>
      <c r="G9505" s="53"/>
    </row>
    <row r="9506">
      <c r="A9506" s="49">
        <v>45120.983250185185</v>
      </c>
      <c r="B9506" s="50">
        <v>45121.1082270949</v>
      </c>
      <c r="C9506" s="51">
        <v>1.003</v>
      </c>
      <c r="D9506" s="51">
        <v>72.0</v>
      </c>
      <c r="E9506" s="52" t="s">
        <v>25</v>
      </c>
      <c r="F9506" s="52" t="s">
        <v>26</v>
      </c>
      <c r="G9506" s="53"/>
    </row>
    <row r="9507">
      <c r="A9507" s="49">
        <v>45120.99367740741</v>
      </c>
      <c r="B9507" s="50">
        <v>45121.1186485532</v>
      </c>
      <c r="C9507" s="51">
        <v>1.003</v>
      </c>
      <c r="D9507" s="51">
        <v>72.0</v>
      </c>
      <c r="E9507" s="52" t="s">
        <v>25</v>
      </c>
      <c r="F9507" s="52" t="s">
        <v>26</v>
      </c>
      <c r="G9507" s="53"/>
    </row>
    <row r="9508">
      <c r="A9508" s="49">
        <v>45121.00411185186</v>
      </c>
      <c r="B9508" s="50">
        <v>45121.1290812615</v>
      </c>
      <c r="C9508" s="51">
        <v>1.004</v>
      </c>
      <c r="D9508" s="51">
        <v>72.0</v>
      </c>
      <c r="E9508" s="52" t="s">
        <v>25</v>
      </c>
      <c r="F9508" s="52" t="s">
        <v>26</v>
      </c>
      <c r="G9508" s="53"/>
    </row>
    <row r="9509">
      <c r="A9509" s="49">
        <v>45121.01453221065</v>
      </c>
      <c r="B9509" s="50">
        <v>45121.1395022916</v>
      </c>
      <c r="C9509" s="51">
        <v>1.003</v>
      </c>
      <c r="D9509" s="51">
        <v>72.0</v>
      </c>
      <c r="E9509" s="52" t="s">
        <v>25</v>
      </c>
      <c r="F9509" s="52" t="s">
        <v>26</v>
      </c>
      <c r="G9509" s="53"/>
    </row>
    <row r="9510">
      <c r="A9510" s="49">
        <v>45121.024947858794</v>
      </c>
      <c r="B9510" s="50">
        <v>45121.1499246064</v>
      </c>
      <c r="C9510" s="51">
        <v>1.003</v>
      </c>
      <c r="D9510" s="51">
        <v>72.0</v>
      </c>
      <c r="E9510" s="52" t="s">
        <v>25</v>
      </c>
      <c r="F9510" s="52" t="s">
        <v>26</v>
      </c>
      <c r="G9510" s="53"/>
    </row>
    <row r="9511">
      <c r="A9511" s="49">
        <v>45121.03538912037</v>
      </c>
      <c r="B9511" s="50">
        <v>45121.1603559259</v>
      </c>
      <c r="C9511" s="51">
        <v>1.003</v>
      </c>
      <c r="D9511" s="51">
        <v>72.0</v>
      </c>
      <c r="E9511" s="52" t="s">
        <v>25</v>
      </c>
      <c r="F9511" s="52" t="s">
        <v>26</v>
      </c>
      <c r="G9511" s="53"/>
    </row>
    <row r="9512">
      <c r="A9512" s="49">
        <v>45121.04581601852</v>
      </c>
      <c r="B9512" s="50">
        <v>45121.1707880787</v>
      </c>
      <c r="C9512" s="51">
        <v>1.003</v>
      </c>
      <c r="D9512" s="51">
        <v>72.0</v>
      </c>
      <c r="E9512" s="52" t="s">
        <v>25</v>
      </c>
      <c r="F9512" s="52" t="s">
        <v>26</v>
      </c>
      <c r="G9512" s="53"/>
    </row>
    <row r="9513">
      <c r="A9513" s="49">
        <v>45121.056242164355</v>
      </c>
      <c r="B9513" s="50">
        <v>45121.1812102546</v>
      </c>
      <c r="C9513" s="51">
        <v>1.004</v>
      </c>
      <c r="D9513" s="51">
        <v>72.0</v>
      </c>
      <c r="E9513" s="52" t="s">
        <v>25</v>
      </c>
      <c r="F9513" s="52" t="s">
        <v>26</v>
      </c>
      <c r="G9513" s="53"/>
    </row>
    <row r="9514">
      <c r="A9514" s="49">
        <v>45121.06666435185</v>
      </c>
      <c r="B9514" s="50">
        <v>45121.1916305208</v>
      </c>
      <c r="C9514" s="51">
        <v>1.004</v>
      </c>
      <c r="D9514" s="51">
        <v>72.0</v>
      </c>
      <c r="E9514" s="52" t="s">
        <v>25</v>
      </c>
      <c r="F9514" s="52" t="s">
        <v>26</v>
      </c>
      <c r="G9514" s="53"/>
    </row>
    <row r="9515">
      <c r="A9515" s="49">
        <v>45121.077084178236</v>
      </c>
      <c r="B9515" s="50">
        <v>45121.2020514467</v>
      </c>
      <c r="C9515" s="51">
        <v>1.003</v>
      </c>
      <c r="D9515" s="51">
        <v>72.0</v>
      </c>
      <c r="E9515" s="52" t="s">
        <v>25</v>
      </c>
      <c r="F9515" s="52" t="s">
        <v>26</v>
      </c>
      <c r="G9515" s="53"/>
    </row>
    <row r="9516">
      <c r="A9516" s="49">
        <v>45121.08750659722</v>
      </c>
      <c r="B9516" s="50">
        <v>45121.2124736226</v>
      </c>
      <c r="C9516" s="51">
        <v>1.004</v>
      </c>
      <c r="D9516" s="51">
        <v>72.0</v>
      </c>
      <c r="E9516" s="52" t="s">
        <v>25</v>
      </c>
      <c r="F9516" s="52" t="s">
        <v>26</v>
      </c>
      <c r="G9516" s="53"/>
    </row>
    <row r="9517">
      <c r="A9517" s="49">
        <v>45121.09793260417</v>
      </c>
      <c r="B9517" s="50">
        <v>45121.2228969097</v>
      </c>
      <c r="C9517" s="51">
        <v>1.004</v>
      </c>
      <c r="D9517" s="51">
        <v>72.0</v>
      </c>
      <c r="E9517" s="52" t="s">
        <v>25</v>
      </c>
      <c r="F9517" s="52" t="s">
        <v>26</v>
      </c>
      <c r="G9517" s="53"/>
    </row>
    <row r="9518">
      <c r="A9518" s="49">
        <v>45121.10834099537</v>
      </c>
      <c r="B9518" s="50">
        <v>45121.2333192476</v>
      </c>
      <c r="C9518" s="51">
        <v>1.003</v>
      </c>
      <c r="D9518" s="51">
        <v>72.0</v>
      </c>
      <c r="E9518" s="52" t="s">
        <v>25</v>
      </c>
      <c r="F9518" s="52" t="s">
        <v>26</v>
      </c>
      <c r="G9518" s="53"/>
    </row>
    <row r="9519">
      <c r="A9519" s="49">
        <v>45121.11877615741</v>
      </c>
      <c r="B9519" s="50">
        <v>45121.2437502314</v>
      </c>
      <c r="C9519" s="51">
        <v>1.004</v>
      </c>
      <c r="D9519" s="51">
        <v>72.0</v>
      </c>
      <c r="E9519" s="52" t="s">
        <v>25</v>
      </c>
      <c r="F9519" s="52" t="s">
        <v>26</v>
      </c>
      <c r="G9519" s="53"/>
    </row>
    <row r="9520">
      <c r="A9520" s="49">
        <v>45121.12920456019</v>
      </c>
      <c r="B9520" s="50">
        <v>45121.2541736921</v>
      </c>
      <c r="C9520" s="51">
        <v>1.004</v>
      </c>
      <c r="D9520" s="51">
        <v>72.0</v>
      </c>
      <c r="E9520" s="52" t="s">
        <v>25</v>
      </c>
      <c r="F9520" s="52" t="s">
        <v>26</v>
      </c>
      <c r="G9520" s="53"/>
    </row>
    <row r="9521">
      <c r="A9521" s="49">
        <v>45121.13961761574</v>
      </c>
      <c r="B9521" s="50">
        <v>45121.2645953935</v>
      </c>
      <c r="C9521" s="51">
        <v>1.004</v>
      </c>
      <c r="D9521" s="51">
        <v>72.0</v>
      </c>
      <c r="E9521" s="52" t="s">
        <v>25</v>
      </c>
      <c r="F9521" s="52" t="s">
        <v>26</v>
      </c>
      <c r="G9521" s="53"/>
    </row>
    <row r="9522">
      <c r="A9522" s="49">
        <v>45121.15005887732</v>
      </c>
      <c r="B9522" s="50">
        <v>45121.2750275231</v>
      </c>
      <c r="C9522" s="51">
        <v>1.003</v>
      </c>
      <c r="D9522" s="51">
        <v>72.0</v>
      </c>
      <c r="E9522" s="52" t="s">
        <v>25</v>
      </c>
      <c r="F9522" s="52" t="s">
        <v>26</v>
      </c>
      <c r="G9522" s="53"/>
    </row>
    <row r="9523">
      <c r="A9523" s="49">
        <v>45121.16047829861</v>
      </c>
      <c r="B9523" s="50">
        <v>45121.2854514814</v>
      </c>
      <c r="C9523" s="51">
        <v>1.003</v>
      </c>
      <c r="D9523" s="51">
        <v>72.0</v>
      </c>
      <c r="E9523" s="52" t="s">
        <v>25</v>
      </c>
      <c r="F9523" s="52" t="s">
        <v>26</v>
      </c>
      <c r="G9523" s="53"/>
    </row>
    <row r="9524">
      <c r="A9524" s="49">
        <v>45121.17092049769</v>
      </c>
      <c r="B9524" s="50">
        <v>45121.295884537</v>
      </c>
      <c r="C9524" s="51">
        <v>1.003</v>
      </c>
      <c r="D9524" s="51">
        <v>72.0</v>
      </c>
      <c r="E9524" s="52" t="s">
        <v>25</v>
      </c>
      <c r="F9524" s="52" t="s">
        <v>26</v>
      </c>
      <c r="G9524" s="53"/>
    </row>
    <row r="9525">
      <c r="A9525" s="49">
        <v>45121.181348611106</v>
      </c>
      <c r="B9525" s="50">
        <v>45121.3063183912</v>
      </c>
      <c r="C9525" s="51">
        <v>1.003</v>
      </c>
      <c r="D9525" s="51">
        <v>72.0</v>
      </c>
      <c r="E9525" s="52" t="s">
        <v>25</v>
      </c>
      <c r="F9525" s="52" t="s">
        <v>26</v>
      </c>
      <c r="G9525" s="53"/>
    </row>
    <row r="9526">
      <c r="A9526" s="49">
        <v>45121.19177204861</v>
      </c>
      <c r="B9526" s="50">
        <v>45121.3167386226</v>
      </c>
      <c r="C9526" s="51">
        <v>1.003</v>
      </c>
      <c r="D9526" s="51">
        <v>72.0</v>
      </c>
      <c r="E9526" s="52" t="s">
        <v>25</v>
      </c>
      <c r="F9526" s="52" t="s">
        <v>26</v>
      </c>
      <c r="G9526" s="53"/>
    </row>
    <row r="9527">
      <c r="A9527" s="49">
        <v>45121.20219111111</v>
      </c>
      <c r="B9527" s="50">
        <v>45121.327159375</v>
      </c>
      <c r="C9527" s="51">
        <v>1.004</v>
      </c>
      <c r="D9527" s="51">
        <v>72.0</v>
      </c>
      <c r="E9527" s="52" t="s">
        <v>25</v>
      </c>
      <c r="F9527" s="52" t="s">
        <v>26</v>
      </c>
      <c r="G9527" s="53"/>
    </row>
    <row r="9528">
      <c r="A9528" s="49">
        <v>45121.21260182871</v>
      </c>
      <c r="B9528" s="50">
        <v>45121.3375791319</v>
      </c>
      <c r="C9528" s="51">
        <v>1.003</v>
      </c>
      <c r="D9528" s="51">
        <v>72.0</v>
      </c>
      <c r="E9528" s="52" t="s">
        <v>25</v>
      </c>
      <c r="F9528" s="52" t="s">
        <v>26</v>
      </c>
      <c r="G9528" s="53"/>
    </row>
    <row r="9529">
      <c r="A9529" s="49">
        <v>45121.22302395833</v>
      </c>
      <c r="B9529" s="50">
        <v>45121.34799853</v>
      </c>
      <c r="C9529" s="51">
        <v>1.004</v>
      </c>
      <c r="D9529" s="51">
        <v>72.0</v>
      </c>
      <c r="E9529" s="52" t="s">
        <v>25</v>
      </c>
      <c r="F9529" s="52" t="s">
        <v>26</v>
      </c>
      <c r="G9529" s="53"/>
    </row>
    <row r="9530">
      <c r="A9530" s="49">
        <v>45121.233459641204</v>
      </c>
      <c r="B9530" s="50">
        <v>45121.3584309722</v>
      </c>
      <c r="C9530" s="51">
        <v>1.004</v>
      </c>
      <c r="D9530" s="51">
        <v>72.0</v>
      </c>
      <c r="E9530" s="52" t="s">
        <v>25</v>
      </c>
      <c r="F9530" s="52" t="s">
        <v>26</v>
      </c>
      <c r="G9530" s="53"/>
    </row>
    <row r="9531">
      <c r="A9531" s="49">
        <v>45121.2438793287</v>
      </c>
      <c r="B9531" s="50">
        <v>45121.3688526967</v>
      </c>
      <c r="C9531" s="51">
        <v>1.003</v>
      </c>
      <c r="D9531" s="51">
        <v>72.0</v>
      </c>
      <c r="E9531" s="52" t="s">
        <v>25</v>
      </c>
      <c r="F9531" s="52" t="s">
        <v>26</v>
      </c>
      <c r="G9531" s="53"/>
    </row>
    <row r="9532">
      <c r="A9532" s="49">
        <v>45121.25431819445</v>
      </c>
      <c r="B9532" s="50">
        <v>45121.3792849884</v>
      </c>
      <c r="C9532" s="51">
        <v>1.003</v>
      </c>
      <c r="D9532" s="51">
        <v>72.0</v>
      </c>
      <c r="E9532" s="52" t="s">
        <v>25</v>
      </c>
      <c r="F9532" s="52" t="s">
        <v>26</v>
      </c>
      <c r="G9532" s="53"/>
    </row>
    <row r="9533">
      <c r="A9533" s="49">
        <v>45121.264755763885</v>
      </c>
      <c r="B9533" s="50">
        <v>45121.3897301388</v>
      </c>
      <c r="C9533" s="51">
        <v>1.004</v>
      </c>
      <c r="D9533" s="51">
        <v>72.0</v>
      </c>
      <c r="E9533" s="52" t="s">
        <v>25</v>
      </c>
      <c r="F9533" s="52" t="s">
        <v>26</v>
      </c>
      <c r="G9533" s="53"/>
    </row>
    <row r="9534">
      <c r="A9534" s="49">
        <v>45121.27519755787</v>
      </c>
      <c r="B9534" s="50">
        <v>45121.4001618287</v>
      </c>
      <c r="C9534" s="51">
        <v>1.003</v>
      </c>
      <c r="D9534" s="51">
        <v>72.0</v>
      </c>
      <c r="E9534" s="52" t="s">
        <v>25</v>
      </c>
      <c r="F9534" s="52" t="s">
        <v>26</v>
      </c>
      <c r="G9534" s="53"/>
    </row>
    <row r="9535">
      <c r="A9535" s="49">
        <v>45121.2856115162</v>
      </c>
      <c r="B9535" s="50">
        <v>45121.4105812615</v>
      </c>
      <c r="C9535" s="51">
        <v>1.003</v>
      </c>
      <c r="D9535" s="51">
        <v>72.0</v>
      </c>
      <c r="E9535" s="52" t="s">
        <v>25</v>
      </c>
      <c r="F9535" s="52" t="s">
        <v>26</v>
      </c>
      <c r="G9535" s="53"/>
    </row>
    <row r="9536">
      <c r="A9536" s="49">
        <v>45121.29603871528</v>
      </c>
      <c r="B9536" s="50">
        <v>45121.4210026273</v>
      </c>
      <c r="C9536" s="51">
        <v>1.003</v>
      </c>
      <c r="D9536" s="51">
        <v>72.0</v>
      </c>
      <c r="E9536" s="52" t="s">
        <v>25</v>
      </c>
      <c r="F9536" s="52" t="s">
        <v>26</v>
      </c>
      <c r="G9536" s="53"/>
    </row>
    <row r="9537">
      <c r="A9537" s="49">
        <v>45121.30645650463</v>
      </c>
      <c r="B9537" s="50">
        <v>45121.4314245717</v>
      </c>
      <c r="C9537" s="51">
        <v>1.004</v>
      </c>
      <c r="D9537" s="51">
        <v>72.0</v>
      </c>
      <c r="E9537" s="52" t="s">
        <v>25</v>
      </c>
      <c r="F9537" s="52" t="s">
        <v>26</v>
      </c>
      <c r="G9537" s="53"/>
    </row>
    <row r="9538">
      <c r="A9538" s="49">
        <v>45121.316877164354</v>
      </c>
      <c r="B9538" s="50">
        <v>45121.4418476157</v>
      </c>
      <c r="C9538" s="51">
        <v>1.003</v>
      </c>
      <c r="D9538" s="51">
        <v>72.0</v>
      </c>
      <c r="E9538" s="52" t="s">
        <v>25</v>
      </c>
      <c r="F9538" s="52" t="s">
        <v>26</v>
      </c>
      <c r="G9538" s="53"/>
    </row>
    <row r="9539">
      <c r="A9539" s="49">
        <v>45121.327304085644</v>
      </c>
      <c r="B9539" s="50">
        <v>45121.4522696064</v>
      </c>
      <c r="C9539" s="51">
        <v>1.003</v>
      </c>
      <c r="D9539" s="51">
        <v>72.0</v>
      </c>
      <c r="E9539" s="52" t="s">
        <v>25</v>
      </c>
      <c r="F9539" s="52" t="s">
        <v>26</v>
      </c>
      <c r="G9539" s="53"/>
    </row>
    <row r="9540">
      <c r="A9540" s="49">
        <v>45121.33772520833</v>
      </c>
      <c r="B9540" s="50">
        <v>45121.4626895138</v>
      </c>
      <c r="C9540" s="51">
        <v>1.003</v>
      </c>
      <c r="D9540" s="51">
        <v>72.0</v>
      </c>
      <c r="E9540" s="52" t="s">
        <v>25</v>
      </c>
      <c r="F9540" s="52" t="s">
        <v>26</v>
      </c>
      <c r="G9540" s="53"/>
    </row>
    <row r="9541">
      <c r="A9541" s="49">
        <v>45121.348149791665</v>
      </c>
      <c r="B9541" s="50">
        <v>45121.4731096412</v>
      </c>
      <c r="C9541" s="51">
        <v>1.003</v>
      </c>
      <c r="D9541" s="51">
        <v>72.0</v>
      </c>
      <c r="E9541" s="52" t="s">
        <v>25</v>
      </c>
      <c r="F9541" s="52" t="s">
        <v>26</v>
      </c>
      <c r="G9541" s="53"/>
    </row>
    <row r="9542">
      <c r="A9542" s="49">
        <v>45121.35856445602</v>
      </c>
      <c r="B9542" s="50">
        <v>45121.483530868</v>
      </c>
      <c r="C9542" s="51">
        <v>1.003</v>
      </c>
      <c r="D9542" s="51">
        <v>72.0</v>
      </c>
      <c r="E9542" s="52" t="s">
        <v>25</v>
      </c>
      <c r="F9542" s="52" t="s">
        <v>26</v>
      </c>
      <c r="G9542" s="53"/>
    </row>
    <row r="9543">
      <c r="A9543" s="49">
        <v>45121.368984872686</v>
      </c>
      <c r="B9543" s="50">
        <v>45121.4939519907</v>
      </c>
      <c r="C9543" s="51">
        <v>1.003</v>
      </c>
      <c r="D9543" s="51">
        <v>72.0</v>
      </c>
      <c r="E9543" s="52" t="s">
        <v>25</v>
      </c>
      <c r="F9543" s="52" t="s">
        <v>26</v>
      </c>
      <c r="G9543" s="53"/>
    </row>
    <row r="9544">
      <c r="A9544" s="49">
        <v>45121.379400046295</v>
      </c>
      <c r="B9544" s="50">
        <v>45121.5043722569</v>
      </c>
      <c r="C9544" s="51">
        <v>1.004</v>
      </c>
      <c r="D9544" s="51">
        <v>72.0</v>
      </c>
      <c r="E9544" s="52" t="s">
        <v>25</v>
      </c>
      <c r="F9544" s="52" t="s">
        <v>26</v>
      </c>
      <c r="G9544" s="53"/>
    </row>
    <row r="9545">
      <c r="A9545" s="49">
        <v>45121.389816435185</v>
      </c>
      <c r="B9545" s="50">
        <v>45121.5147931018</v>
      </c>
      <c r="C9545" s="51">
        <v>1.003</v>
      </c>
      <c r="D9545" s="51">
        <v>72.0</v>
      </c>
      <c r="E9545" s="52" t="s">
        <v>25</v>
      </c>
      <c r="F9545" s="52" t="s">
        <v>26</v>
      </c>
      <c r="G9545" s="53"/>
    </row>
    <row r="9546">
      <c r="A9546" s="49">
        <v>45121.400242372685</v>
      </c>
      <c r="B9546" s="50">
        <v>45121.5252148958</v>
      </c>
      <c r="C9546" s="51">
        <v>1.003</v>
      </c>
      <c r="D9546" s="51">
        <v>72.0</v>
      </c>
      <c r="E9546" s="52" t="s">
        <v>25</v>
      </c>
      <c r="F9546" s="52" t="s">
        <v>26</v>
      </c>
      <c r="G9546" s="53"/>
    </row>
    <row r="9547">
      <c r="A9547" s="49">
        <v>45121.41066513889</v>
      </c>
      <c r="B9547" s="50">
        <v>45121.5356372453</v>
      </c>
      <c r="C9547" s="51">
        <v>1.003</v>
      </c>
      <c r="D9547" s="51">
        <v>72.0</v>
      </c>
      <c r="E9547" s="52" t="s">
        <v>25</v>
      </c>
      <c r="F9547" s="52" t="s">
        <v>26</v>
      </c>
      <c r="G9547" s="53"/>
    </row>
    <row r="9548">
      <c r="A9548" s="49">
        <v>45121.42108369213</v>
      </c>
      <c r="B9548" s="50">
        <v>45121.5460601273</v>
      </c>
      <c r="C9548" s="51">
        <v>1.003</v>
      </c>
      <c r="D9548" s="51">
        <v>72.0</v>
      </c>
      <c r="E9548" s="52" t="s">
        <v>25</v>
      </c>
      <c r="F9548" s="52" t="s">
        <v>26</v>
      </c>
      <c r="G9548" s="53"/>
    </row>
    <row r="9549">
      <c r="A9549" s="49">
        <v>45121.43150873843</v>
      </c>
      <c r="B9549" s="50">
        <v>45121.5564810069</v>
      </c>
      <c r="C9549" s="51">
        <v>1.003</v>
      </c>
      <c r="D9549" s="51">
        <v>72.0</v>
      </c>
      <c r="E9549" s="52" t="s">
        <v>25</v>
      </c>
      <c r="F9549" s="52" t="s">
        <v>26</v>
      </c>
      <c r="G9549" s="53"/>
    </row>
    <row r="9550">
      <c r="A9550" s="49">
        <v>45121.44192840278</v>
      </c>
      <c r="B9550" s="50">
        <v>45121.5669015625</v>
      </c>
      <c r="C9550" s="51">
        <v>1.003</v>
      </c>
      <c r="D9550" s="51">
        <v>72.0</v>
      </c>
      <c r="E9550" s="52" t="s">
        <v>25</v>
      </c>
      <c r="F9550" s="52" t="s">
        <v>26</v>
      </c>
      <c r="G9550" s="53"/>
    </row>
    <row r="9551">
      <c r="A9551" s="49">
        <v>45121.4523525</v>
      </c>
      <c r="B9551" s="50">
        <v>45121.5773221064</v>
      </c>
      <c r="C9551" s="51">
        <v>1.003</v>
      </c>
      <c r="D9551" s="51">
        <v>72.0</v>
      </c>
      <c r="E9551" s="52" t="s">
        <v>25</v>
      </c>
      <c r="F9551" s="52" t="s">
        <v>26</v>
      </c>
      <c r="G9551" s="53"/>
    </row>
    <row r="9552">
      <c r="A9552" s="49">
        <v>45121.4627727662</v>
      </c>
      <c r="B9552" s="50">
        <v>45121.5877408333</v>
      </c>
      <c r="C9552" s="51">
        <v>1.003</v>
      </c>
      <c r="D9552" s="51">
        <v>72.0</v>
      </c>
      <c r="E9552" s="52" t="s">
        <v>25</v>
      </c>
      <c r="F9552" s="52" t="s">
        <v>26</v>
      </c>
      <c r="G9552" s="53"/>
    </row>
    <row r="9553">
      <c r="A9553" s="49">
        <v>45121.47318726852</v>
      </c>
      <c r="B9553" s="50">
        <v>45121.5981613194</v>
      </c>
      <c r="C9553" s="51">
        <v>1.003</v>
      </c>
      <c r="D9553" s="51">
        <v>72.0</v>
      </c>
      <c r="E9553" s="52" t="s">
        <v>25</v>
      </c>
      <c r="F9553" s="52" t="s">
        <v>26</v>
      </c>
      <c r="G9553" s="53"/>
    </row>
    <row r="9554">
      <c r="A9554" s="49">
        <v>45121.48361700232</v>
      </c>
      <c r="B9554" s="50">
        <v>45121.6085819676</v>
      </c>
      <c r="C9554" s="51">
        <v>1.003</v>
      </c>
      <c r="D9554" s="51">
        <v>72.0</v>
      </c>
      <c r="E9554" s="52" t="s">
        <v>25</v>
      </c>
      <c r="F9554" s="52" t="s">
        <v>26</v>
      </c>
      <c r="G9554" s="53"/>
    </row>
    <row r="9555">
      <c r="A9555" s="49">
        <v>45121.49403181713</v>
      </c>
      <c r="B9555" s="50">
        <v>45121.6190038541</v>
      </c>
      <c r="C9555" s="51">
        <v>1.003</v>
      </c>
      <c r="D9555" s="51">
        <v>72.0</v>
      </c>
      <c r="E9555" s="52" t="s">
        <v>25</v>
      </c>
      <c r="F9555" s="52" t="s">
        <v>26</v>
      </c>
      <c r="G9555" s="53"/>
    </row>
    <row r="9556">
      <c r="A9556" s="49">
        <v>45121.50444980324</v>
      </c>
      <c r="B9556" s="50">
        <v>45121.6294241319</v>
      </c>
      <c r="C9556" s="51">
        <v>1.003</v>
      </c>
      <c r="D9556" s="51">
        <v>72.0</v>
      </c>
      <c r="E9556" s="52" t="s">
        <v>25</v>
      </c>
      <c r="F9556" s="52" t="s">
        <v>26</v>
      </c>
      <c r="G9556" s="53"/>
    </row>
    <row r="9557">
      <c r="A9557" s="49">
        <v>45121.51489107639</v>
      </c>
      <c r="B9557" s="50">
        <v>45121.6398577083</v>
      </c>
      <c r="C9557" s="51">
        <v>1.003</v>
      </c>
      <c r="D9557" s="51">
        <v>72.0</v>
      </c>
      <c r="E9557" s="52" t="s">
        <v>25</v>
      </c>
      <c r="F9557" s="52" t="s">
        <v>26</v>
      </c>
      <c r="G9557" s="53"/>
    </row>
    <row r="9558">
      <c r="A9558" s="49">
        <v>45121.525314976854</v>
      </c>
      <c r="B9558" s="50">
        <v>45121.6502902314</v>
      </c>
      <c r="C9558" s="51">
        <v>1.004</v>
      </c>
      <c r="D9558" s="51">
        <v>72.0</v>
      </c>
      <c r="E9558" s="52" t="s">
        <v>25</v>
      </c>
      <c r="F9558" s="52" t="s">
        <v>26</v>
      </c>
      <c r="G9558" s="53"/>
    </row>
    <row r="9559">
      <c r="A9559" s="49">
        <v>45121.53575391204</v>
      </c>
      <c r="B9559" s="50">
        <v>45121.6607222453</v>
      </c>
      <c r="C9559" s="51">
        <v>1.003</v>
      </c>
      <c r="D9559" s="51">
        <v>72.0</v>
      </c>
      <c r="E9559" s="52" t="s">
        <v>25</v>
      </c>
      <c r="F9559" s="52" t="s">
        <v>26</v>
      </c>
      <c r="G9559" s="53"/>
    </row>
    <row r="9560">
      <c r="A9560" s="49">
        <v>45121.54618127315</v>
      </c>
      <c r="B9560" s="50">
        <v>45121.6711558564</v>
      </c>
      <c r="C9560" s="51">
        <v>1.003</v>
      </c>
      <c r="D9560" s="51">
        <v>72.0</v>
      </c>
      <c r="E9560" s="52" t="s">
        <v>25</v>
      </c>
      <c r="F9560" s="52" t="s">
        <v>26</v>
      </c>
      <c r="G9560" s="53"/>
    </row>
    <row r="9561">
      <c r="A9561" s="49">
        <v>45121.556610266205</v>
      </c>
      <c r="B9561" s="50">
        <v>45121.6815782754</v>
      </c>
      <c r="C9561" s="51">
        <v>1.003</v>
      </c>
      <c r="D9561" s="51">
        <v>72.0</v>
      </c>
      <c r="E9561" s="52" t="s">
        <v>25</v>
      </c>
      <c r="F9561" s="52" t="s">
        <v>26</v>
      </c>
      <c r="G9561" s="53"/>
    </row>
    <row r="9562">
      <c r="A9562" s="49">
        <v>45121.56702869213</v>
      </c>
      <c r="B9562" s="50">
        <v>45121.6919993865</v>
      </c>
      <c r="C9562" s="51">
        <v>1.003</v>
      </c>
      <c r="D9562" s="51">
        <v>72.0</v>
      </c>
      <c r="E9562" s="52" t="s">
        <v>25</v>
      </c>
      <c r="F9562" s="52" t="s">
        <v>26</v>
      </c>
      <c r="G9562" s="53"/>
    </row>
    <row r="9563">
      <c r="A9563" s="49">
        <v>45121.57744675926</v>
      </c>
      <c r="B9563" s="50">
        <v>45121.7024180787</v>
      </c>
      <c r="C9563" s="51">
        <v>1.003</v>
      </c>
      <c r="D9563" s="51">
        <v>72.0</v>
      </c>
      <c r="E9563" s="52" t="s">
        <v>25</v>
      </c>
      <c r="F9563" s="52" t="s">
        <v>26</v>
      </c>
      <c r="G9563" s="53"/>
    </row>
    <row r="9564">
      <c r="A9564" s="49">
        <v>45121.58787498843</v>
      </c>
      <c r="B9564" s="50">
        <v>45121.7128366782</v>
      </c>
      <c r="C9564" s="51">
        <v>1.004</v>
      </c>
      <c r="D9564" s="51">
        <v>72.0</v>
      </c>
      <c r="E9564" s="52" t="s">
        <v>25</v>
      </c>
      <c r="F9564" s="52" t="s">
        <v>26</v>
      </c>
      <c r="G9564" s="53"/>
    </row>
    <row r="9565">
      <c r="A9565" s="49">
        <v>45121.59828954861</v>
      </c>
      <c r="B9565" s="50">
        <v>45121.7232575694</v>
      </c>
      <c r="C9565" s="51">
        <v>1.003</v>
      </c>
      <c r="D9565" s="51">
        <v>72.0</v>
      </c>
      <c r="E9565" s="52" t="s">
        <v>25</v>
      </c>
      <c r="F9565" s="52" t="s">
        <v>26</v>
      </c>
      <c r="G9565" s="53"/>
    </row>
    <row r="9566">
      <c r="A9566" s="49">
        <v>45121.608707858795</v>
      </c>
      <c r="B9566" s="50">
        <v>45121.73367853</v>
      </c>
      <c r="C9566" s="51">
        <v>1.003</v>
      </c>
      <c r="D9566" s="51">
        <v>72.0</v>
      </c>
      <c r="E9566" s="52" t="s">
        <v>25</v>
      </c>
      <c r="F9566" s="52" t="s">
        <v>26</v>
      </c>
      <c r="G9566" s="53"/>
    </row>
    <row r="9567">
      <c r="A9567" s="49">
        <v>45121.61912885417</v>
      </c>
      <c r="B9567" s="50">
        <v>45121.7441002083</v>
      </c>
      <c r="C9567" s="51">
        <v>1.003</v>
      </c>
      <c r="D9567" s="51">
        <v>72.0</v>
      </c>
      <c r="E9567" s="52" t="s">
        <v>25</v>
      </c>
      <c r="F9567" s="52" t="s">
        <v>26</v>
      </c>
      <c r="G9567" s="53"/>
    </row>
    <row r="9568">
      <c r="A9568" s="49">
        <v>45121.62956556713</v>
      </c>
      <c r="B9568" s="50">
        <v>45121.7545217592</v>
      </c>
      <c r="C9568" s="51">
        <v>1.003</v>
      </c>
      <c r="D9568" s="51">
        <v>72.0</v>
      </c>
      <c r="E9568" s="52" t="s">
        <v>25</v>
      </c>
      <c r="F9568" s="52" t="s">
        <v>26</v>
      </c>
      <c r="G9568" s="53"/>
    </row>
    <row r="9569">
      <c r="A9569" s="49">
        <v>45121.63996530093</v>
      </c>
      <c r="B9569" s="50">
        <v>45121.7649428935</v>
      </c>
      <c r="C9569" s="51">
        <v>1.004</v>
      </c>
      <c r="D9569" s="51">
        <v>72.0</v>
      </c>
      <c r="E9569" s="52" t="s">
        <v>25</v>
      </c>
      <c r="F9569" s="52" t="s">
        <v>26</v>
      </c>
      <c r="G9569" s="53"/>
    </row>
    <row r="9570">
      <c r="A9570" s="49">
        <v>45121.65039420139</v>
      </c>
      <c r="B9570" s="50">
        <v>45121.775374155</v>
      </c>
      <c r="C9570" s="51">
        <v>1.003</v>
      </c>
      <c r="D9570" s="51">
        <v>72.0</v>
      </c>
      <c r="E9570" s="52" t="s">
        <v>25</v>
      </c>
      <c r="F9570" s="52" t="s">
        <v>26</v>
      </c>
      <c r="G9570" s="53"/>
    </row>
    <row r="9571">
      <c r="A9571" s="49">
        <v>45121.660829444445</v>
      </c>
      <c r="B9571" s="50">
        <v>45121.785795243</v>
      </c>
      <c r="C9571" s="51">
        <v>1.004</v>
      </c>
      <c r="D9571" s="51">
        <v>72.0</v>
      </c>
      <c r="E9571" s="52" t="s">
        <v>25</v>
      </c>
      <c r="F9571" s="52" t="s">
        <v>26</v>
      </c>
      <c r="G9571" s="53"/>
    </row>
    <row r="9572">
      <c r="A9572" s="49">
        <v>45121.6712396875</v>
      </c>
      <c r="B9572" s="50">
        <v>45121.7962168634</v>
      </c>
      <c r="C9572" s="51">
        <v>1.003</v>
      </c>
      <c r="D9572" s="51">
        <v>72.0</v>
      </c>
      <c r="E9572" s="52" t="s">
        <v>25</v>
      </c>
      <c r="F9572" s="52" t="s">
        <v>26</v>
      </c>
      <c r="G9572" s="53"/>
    </row>
    <row r="9573">
      <c r="A9573" s="49">
        <v>45121.681671875005</v>
      </c>
      <c r="B9573" s="50">
        <v>45121.8066380787</v>
      </c>
      <c r="C9573" s="51">
        <v>1.003</v>
      </c>
      <c r="D9573" s="51">
        <v>72.0</v>
      </c>
      <c r="E9573" s="52" t="s">
        <v>25</v>
      </c>
      <c r="F9573" s="52" t="s">
        <v>26</v>
      </c>
      <c r="G9573" s="53"/>
    </row>
    <row r="9574">
      <c r="A9574" s="49">
        <v>45121.69208543982</v>
      </c>
      <c r="B9574" s="50">
        <v>45121.8170572685</v>
      </c>
      <c r="C9574" s="51">
        <v>1.003</v>
      </c>
      <c r="D9574" s="51">
        <v>72.0</v>
      </c>
      <c r="E9574" s="52" t="s">
        <v>25</v>
      </c>
      <c r="F9574" s="52" t="s">
        <v>26</v>
      </c>
      <c r="G9574" s="53"/>
    </row>
    <row r="9575">
      <c r="A9575" s="49">
        <v>45121.70252119213</v>
      </c>
      <c r="B9575" s="50">
        <v>45121.8274893518</v>
      </c>
      <c r="C9575" s="51">
        <v>1.004</v>
      </c>
      <c r="D9575" s="51">
        <v>72.0</v>
      </c>
      <c r="E9575" s="52" t="s">
        <v>25</v>
      </c>
      <c r="F9575" s="52" t="s">
        <v>26</v>
      </c>
      <c r="G9575" s="53"/>
    </row>
    <row r="9576">
      <c r="A9576" s="49">
        <v>45121.71295189815</v>
      </c>
      <c r="B9576" s="50">
        <v>45121.8379206018</v>
      </c>
      <c r="C9576" s="51">
        <v>1.004</v>
      </c>
      <c r="D9576" s="51">
        <v>72.0</v>
      </c>
      <c r="E9576" s="52" t="s">
        <v>25</v>
      </c>
      <c r="F9576" s="52" t="s">
        <v>26</v>
      </c>
      <c r="G9576" s="53"/>
    </row>
    <row r="9577">
      <c r="A9577" s="49">
        <v>45121.723367812505</v>
      </c>
      <c r="B9577" s="50">
        <v>45121.8483412615</v>
      </c>
      <c r="C9577" s="51">
        <v>1.003</v>
      </c>
      <c r="D9577" s="51">
        <v>72.0</v>
      </c>
      <c r="E9577" s="52" t="s">
        <v>25</v>
      </c>
      <c r="F9577" s="52" t="s">
        <v>26</v>
      </c>
      <c r="G9577" s="53"/>
    </row>
    <row r="9578">
      <c r="A9578" s="49">
        <v>45121.7337950463</v>
      </c>
      <c r="B9578" s="50">
        <v>45121.8587629282</v>
      </c>
      <c r="C9578" s="51">
        <v>1.003</v>
      </c>
      <c r="D9578" s="51">
        <v>72.0</v>
      </c>
      <c r="E9578" s="52" t="s">
        <v>25</v>
      </c>
      <c r="F9578" s="52" t="s">
        <v>26</v>
      </c>
      <c r="G9578" s="53"/>
    </row>
    <row r="9579">
      <c r="A9579" s="49">
        <v>45121.74422328704</v>
      </c>
      <c r="B9579" s="50">
        <v>45121.8691944328</v>
      </c>
      <c r="C9579" s="51">
        <v>1.004</v>
      </c>
      <c r="D9579" s="51">
        <v>72.0</v>
      </c>
      <c r="E9579" s="52" t="s">
        <v>25</v>
      </c>
      <c r="F9579" s="52" t="s">
        <v>26</v>
      </c>
      <c r="G9579" s="53"/>
    </row>
    <row r="9580">
      <c r="A9580" s="49">
        <v>45121.75465711806</v>
      </c>
      <c r="B9580" s="50">
        <v>45121.8796148263</v>
      </c>
      <c r="C9580" s="51">
        <v>1.003</v>
      </c>
      <c r="D9580" s="51">
        <v>72.0</v>
      </c>
      <c r="E9580" s="52" t="s">
        <v>25</v>
      </c>
      <c r="F9580" s="52" t="s">
        <v>26</v>
      </c>
      <c r="G9580" s="53"/>
    </row>
    <row r="9581">
      <c r="A9581" s="49">
        <v>45121.76509047454</v>
      </c>
      <c r="B9581" s="50">
        <v>45121.8900578009</v>
      </c>
      <c r="C9581" s="51">
        <v>1.003</v>
      </c>
      <c r="D9581" s="51">
        <v>72.0</v>
      </c>
      <c r="E9581" s="52" t="s">
        <v>25</v>
      </c>
      <c r="F9581" s="52" t="s">
        <v>26</v>
      </c>
      <c r="G9581" s="53"/>
    </row>
    <row r="9582">
      <c r="A9582" s="49">
        <v>45121.775513009256</v>
      </c>
      <c r="B9582" s="50">
        <v>45121.9004807175</v>
      </c>
      <c r="C9582" s="51">
        <v>1.003</v>
      </c>
      <c r="D9582" s="51">
        <v>72.0</v>
      </c>
      <c r="E9582" s="52" t="s">
        <v>25</v>
      </c>
      <c r="F9582" s="52" t="s">
        <v>26</v>
      </c>
      <c r="G9582" s="53"/>
    </row>
    <row r="9583">
      <c r="A9583" s="49">
        <v>45121.78593378472</v>
      </c>
      <c r="B9583" s="50">
        <v>45121.9109036458</v>
      </c>
      <c r="C9583" s="51">
        <v>1.003</v>
      </c>
      <c r="D9583" s="51">
        <v>72.0</v>
      </c>
      <c r="E9583" s="52" t="s">
        <v>25</v>
      </c>
      <c r="F9583" s="52" t="s">
        <v>26</v>
      </c>
      <c r="G9583" s="53"/>
    </row>
    <row r="9584">
      <c r="A9584" s="49">
        <v>45121.79635265046</v>
      </c>
      <c r="B9584" s="50">
        <v>45121.9213253819</v>
      </c>
      <c r="C9584" s="51">
        <v>1.003</v>
      </c>
      <c r="D9584" s="51">
        <v>72.0</v>
      </c>
      <c r="E9584" s="52" t="s">
        <v>25</v>
      </c>
      <c r="F9584" s="52" t="s">
        <v>26</v>
      </c>
      <c r="G9584" s="53"/>
    </row>
    <row r="9585">
      <c r="A9585" s="49">
        <v>45121.806775324076</v>
      </c>
      <c r="B9585" s="50">
        <v>45121.9317475694</v>
      </c>
      <c r="C9585" s="51">
        <v>1.004</v>
      </c>
      <c r="D9585" s="51">
        <v>72.0</v>
      </c>
      <c r="E9585" s="52" t="s">
        <v>25</v>
      </c>
      <c r="F9585" s="52" t="s">
        <v>26</v>
      </c>
      <c r="G9585" s="53"/>
    </row>
    <row r="9586">
      <c r="A9586" s="49">
        <v>45121.817196261574</v>
      </c>
      <c r="B9586" s="50">
        <v>45121.9421683796</v>
      </c>
      <c r="C9586" s="51">
        <v>1.003</v>
      </c>
      <c r="D9586" s="51">
        <v>72.0</v>
      </c>
      <c r="E9586" s="52" t="s">
        <v>25</v>
      </c>
      <c r="F9586" s="52" t="s">
        <v>26</v>
      </c>
      <c r="G9586" s="53"/>
    </row>
    <row r="9587">
      <c r="A9587" s="49">
        <v>45121.827614016205</v>
      </c>
      <c r="B9587" s="50">
        <v>45121.9525906134</v>
      </c>
      <c r="C9587" s="51">
        <v>1.003</v>
      </c>
      <c r="D9587" s="51">
        <v>72.0</v>
      </c>
      <c r="E9587" s="52" t="s">
        <v>25</v>
      </c>
      <c r="F9587" s="52" t="s">
        <v>26</v>
      </c>
      <c r="G9587" s="53"/>
    </row>
    <row r="9588">
      <c r="A9588" s="49">
        <v>45121.83804425926</v>
      </c>
      <c r="B9588" s="50">
        <v>45121.9630103819</v>
      </c>
      <c r="C9588" s="51">
        <v>1.003</v>
      </c>
      <c r="D9588" s="51">
        <v>72.0</v>
      </c>
      <c r="E9588" s="52" t="s">
        <v>25</v>
      </c>
      <c r="F9588" s="52" t="s">
        <v>26</v>
      </c>
      <c r="G9588" s="53"/>
    </row>
    <row r="9589">
      <c r="A9589" s="49">
        <v>45121.84845546296</v>
      </c>
      <c r="B9589" s="50">
        <v>45121.9734316319</v>
      </c>
      <c r="C9589" s="51">
        <v>1.003</v>
      </c>
      <c r="D9589" s="51">
        <v>72.0</v>
      </c>
      <c r="E9589" s="52" t="s">
        <v>25</v>
      </c>
      <c r="F9589" s="52" t="s">
        <v>26</v>
      </c>
      <c r="G9589" s="53"/>
    </row>
    <row r="9590">
      <c r="A9590" s="49">
        <v>45121.8588971875</v>
      </c>
      <c r="B9590" s="50">
        <v>45121.9838662731</v>
      </c>
      <c r="C9590" s="51">
        <v>1.003</v>
      </c>
      <c r="D9590" s="51">
        <v>72.0</v>
      </c>
      <c r="E9590" s="52" t="s">
        <v>25</v>
      </c>
      <c r="F9590" s="52" t="s">
        <v>26</v>
      </c>
      <c r="G9590" s="53"/>
    </row>
    <row r="9591">
      <c r="A9591" s="49">
        <v>45121.869313877316</v>
      </c>
      <c r="B9591" s="50">
        <v>45121.9942886342</v>
      </c>
      <c r="C9591" s="51">
        <v>1.004</v>
      </c>
      <c r="D9591" s="51">
        <v>72.0</v>
      </c>
      <c r="E9591" s="52" t="s">
        <v>25</v>
      </c>
      <c r="F9591" s="52" t="s">
        <v>26</v>
      </c>
      <c r="G9591" s="53"/>
    </row>
    <row r="9592">
      <c r="A9592" s="49">
        <v>45121.87975622685</v>
      </c>
      <c r="B9592" s="50">
        <v>45122.0047338541</v>
      </c>
      <c r="C9592" s="51">
        <v>1.004</v>
      </c>
      <c r="D9592" s="51">
        <v>72.0</v>
      </c>
      <c r="E9592" s="52" t="s">
        <v>25</v>
      </c>
      <c r="F9592" s="52" t="s">
        <v>26</v>
      </c>
      <c r="G9592" s="53"/>
    </row>
    <row r="9593">
      <c r="A9593" s="49">
        <v>45121.89017596065</v>
      </c>
      <c r="B9593" s="50">
        <v>45122.0151558333</v>
      </c>
      <c r="C9593" s="51">
        <v>1.003</v>
      </c>
      <c r="D9593" s="51">
        <v>72.0</v>
      </c>
      <c r="E9593" s="52" t="s">
        <v>25</v>
      </c>
      <c r="F9593" s="52" t="s">
        <v>26</v>
      </c>
      <c r="G9593" s="53"/>
    </row>
    <row r="9594">
      <c r="A9594" s="49">
        <v>45121.90060479166</v>
      </c>
      <c r="B9594" s="50">
        <v>45122.025577824</v>
      </c>
      <c r="C9594" s="51">
        <v>1.003</v>
      </c>
      <c r="D9594" s="51">
        <v>72.0</v>
      </c>
      <c r="E9594" s="52" t="s">
        <v>25</v>
      </c>
      <c r="F9594" s="52" t="s">
        <v>26</v>
      </c>
      <c r="G9594" s="53"/>
    </row>
    <row r="9595">
      <c r="A9595" s="49">
        <v>45121.91103070602</v>
      </c>
      <c r="B9595" s="50">
        <v>45122.0359987731</v>
      </c>
      <c r="C9595" s="51">
        <v>1.003</v>
      </c>
      <c r="D9595" s="51">
        <v>72.0</v>
      </c>
      <c r="E9595" s="52" t="s">
        <v>25</v>
      </c>
      <c r="F9595" s="52" t="s">
        <v>26</v>
      </c>
      <c r="G9595" s="53"/>
    </row>
    <row r="9596">
      <c r="A9596" s="49">
        <v>45121.92145087963</v>
      </c>
      <c r="B9596" s="50">
        <v>45122.0464215625</v>
      </c>
      <c r="C9596" s="51">
        <v>1.004</v>
      </c>
      <c r="D9596" s="51">
        <v>72.0</v>
      </c>
      <c r="E9596" s="52" t="s">
        <v>25</v>
      </c>
      <c r="F9596" s="52" t="s">
        <v>26</v>
      </c>
      <c r="G9596" s="53"/>
    </row>
    <row r="9597">
      <c r="A9597" s="49">
        <v>45121.93187305555</v>
      </c>
      <c r="B9597" s="50">
        <v>45122.056842199</v>
      </c>
      <c r="C9597" s="51">
        <v>1.003</v>
      </c>
      <c r="D9597" s="51">
        <v>72.0</v>
      </c>
      <c r="E9597" s="52" t="s">
        <v>25</v>
      </c>
      <c r="F9597" s="52" t="s">
        <v>26</v>
      </c>
      <c r="G9597" s="53"/>
    </row>
    <row r="9598">
      <c r="A9598" s="49">
        <v>45121.94230422453</v>
      </c>
      <c r="B9598" s="50">
        <v>45122.0672744907</v>
      </c>
      <c r="C9598" s="51">
        <v>1.004</v>
      </c>
      <c r="D9598" s="51">
        <v>72.0</v>
      </c>
      <c r="E9598" s="52" t="s">
        <v>25</v>
      </c>
      <c r="F9598" s="52" t="s">
        <v>26</v>
      </c>
      <c r="G9598" s="53"/>
    </row>
    <row r="9599">
      <c r="A9599" s="49">
        <v>45121.95272248842</v>
      </c>
      <c r="B9599" s="50">
        <v>45122.0776946527</v>
      </c>
      <c r="C9599" s="51">
        <v>1.004</v>
      </c>
      <c r="D9599" s="51">
        <v>72.0</v>
      </c>
      <c r="E9599" s="52" t="s">
        <v>25</v>
      </c>
      <c r="F9599" s="52" t="s">
        <v>26</v>
      </c>
      <c r="G9599" s="53"/>
    </row>
    <row r="9600">
      <c r="A9600" s="49">
        <v>45121.96314474537</v>
      </c>
      <c r="B9600" s="50">
        <v>45122.0881159722</v>
      </c>
      <c r="C9600" s="51">
        <v>1.003</v>
      </c>
      <c r="D9600" s="51">
        <v>72.0</v>
      </c>
      <c r="E9600" s="52" t="s">
        <v>25</v>
      </c>
      <c r="F9600" s="52" t="s">
        <v>26</v>
      </c>
      <c r="G9600" s="53"/>
    </row>
    <row r="9601">
      <c r="A9601" s="49">
        <v>45121.973592696755</v>
      </c>
      <c r="B9601" s="50">
        <v>45122.0985618518</v>
      </c>
      <c r="C9601" s="51">
        <v>1.003</v>
      </c>
      <c r="D9601" s="51">
        <v>72.0</v>
      </c>
      <c r="E9601" s="52" t="s">
        <v>25</v>
      </c>
      <c r="F9601" s="52" t="s">
        <v>26</v>
      </c>
      <c r="G9601" s="53"/>
    </row>
    <row r="9602">
      <c r="A9602" s="49">
        <v>45121.98401006944</v>
      </c>
      <c r="B9602" s="50">
        <v>45122.1089826388</v>
      </c>
      <c r="C9602" s="51">
        <v>1.003</v>
      </c>
      <c r="D9602" s="51">
        <v>72.0</v>
      </c>
      <c r="E9602" s="52" t="s">
        <v>25</v>
      </c>
      <c r="F9602" s="52" t="s">
        <v>26</v>
      </c>
      <c r="G9602" s="53"/>
    </row>
    <row r="9603">
      <c r="A9603" s="49">
        <v>45121.994427893515</v>
      </c>
      <c r="B9603" s="50">
        <v>45122.1194046875</v>
      </c>
      <c r="C9603" s="51">
        <v>1.003</v>
      </c>
      <c r="D9603" s="51">
        <v>72.0</v>
      </c>
      <c r="E9603" s="52" t="s">
        <v>25</v>
      </c>
      <c r="F9603" s="52" t="s">
        <v>26</v>
      </c>
      <c r="G9603" s="53"/>
    </row>
    <row r="9604">
      <c r="A9604" s="49">
        <v>45122.004876493054</v>
      </c>
      <c r="B9604" s="50">
        <v>45122.1298371296</v>
      </c>
      <c r="C9604" s="51">
        <v>1.003</v>
      </c>
      <c r="D9604" s="51">
        <v>72.0</v>
      </c>
      <c r="E9604" s="52" t="s">
        <v>25</v>
      </c>
      <c r="F9604" s="52" t="s">
        <v>26</v>
      </c>
      <c r="G9604" s="53"/>
    </row>
    <row r="9605">
      <c r="A9605" s="49">
        <v>45122.01528811343</v>
      </c>
      <c r="B9605" s="50">
        <v>45122.1402596875</v>
      </c>
      <c r="C9605" s="51">
        <v>1.003</v>
      </c>
      <c r="D9605" s="51">
        <v>72.0</v>
      </c>
      <c r="E9605" s="52" t="s">
        <v>25</v>
      </c>
      <c r="F9605" s="52" t="s">
        <v>26</v>
      </c>
      <c r="G9605" s="53"/>
    </row>
    <row r="9606">
      <c r="A9606" s="49">
        <v>45122.02572518519</v>
      </c>
      <c r="B9606" s="50">
        <v>45122.1506923263</v>
      </c>
      <c r="C9606" s="51">
        <v>1.003</v>
      </c>
      <c r="D9606" s="51">
        <v>72.0</v>
      </c>
      <c r="E9606" s="52" t="s">
        <v>25</v>
      </c>
      <c r="F9606" s="52" t="s">
        <v>26</v>
      </c>
      <c r="G9606" s="53"/>
    </row>
    <row r="9607">
      <c r="A9607" s="49">
        <v>45122.03613763889</v>
      </c>
      <c r="B9607" s="50">
        <v>45122.1611141782</v>
      </c>
      <c r="C9607" s="51">
        <v>1.004</v>
      </c>
      <c r="D9607" s="51">
        <v>72.0</v>
      </c>
      <c r="E9607" s="52" t="s">
        <v>25</v>
      </c>
      <c r="F9607" s="52" t="s">
        <v>26</v>
      </c>
      <c r="G9607" s="53"/>
    </row>
    <row r="9608">
      <c r="A9608" s="49">
        <v>45122.0465679051</v>
      </c>
      <c r="B9608" s="50">
        <v>45122.1715362615</v>
      </c>
      <c r="C9608" s="51">
        <v>1.003</v>
      </c>
      <c r="D9608" s="51">
        <v>72.0</v>
      </c>
      <c r="E9608" s="52" t="s">
        <v>25</v>
      </c>
      <c r="F9608" s="52" t="s">
        <v>26</v>
      </c>
      <c r="G9608" s="53"/>
    </row>
    <row r="9609">
      <c r="A9609" s="49">
        <v>45122.05698040509</v>
      </c>
      <c r="B9609" s="50">
        <v>45122.1819566203</v>
      </c>
      <c r="C9609" s="51">
        <v>1.003</v>
      </c>
      <c r="D9609" s="51">
        <v>72.0</v>
      </c>
      <c r="E9609" s="52" t="s">
        <v>25</v>
      </c>
      <c r="F9609" s="52" t="s">
        <v>26</v>
      </c>
      <c r="G9609" s="53"/>
    </row>
    <row r="9610">
      <c r="A9610" s="49">
        <v>45122.067406030095</v>
      </c>
      <c r="B9610" s="50">
        <v>45122.1923774305</v>
      </c>
      <c r="C9610" s="51">
        <v>1.003</v>
      </c>
      <c r="D9610" s="51">
        <v>72.0</v>
      </c>
      <c r="E9610" s="52" t="s">
        <v>25</v>
      </c>
      <c r="F9610" s="52" t="s">
        <v>26</v>
      </c>
      <c r="G9610" s="53"/>
    </row>
    <row r="9611">
      <c r="A9611" s="49">
        <v>45122.07783255787</v>
      </c>
      <c r="B9611" s="50">
        <v>45122.2027966319</v>
      </c>
      <c r="C9611" s="51">
        <v>1.003</v>
      </c>
      <c r="D9611" s="51">
        <v>72.0</v>
      </c>
      <c r="E9611" s="52" t="s">
        <v>25</v>
      </c>
      <c r="F9611" s="52" t="s">
        <v>26</v>
      </c>
      <c r="G9611" s="53"/>
    </row>
    <row r="9612">
      <c r="A9612" s="49">
        <v>45122.08824063657</v>
      </c>
      <c r="B9612" s="50">
        <v>45122.2132176157</v>
      </c>
      <c r="C9612" s="51">
        <v>1.003</v>
      </c>
      <c r="D9612" s="51">
        <v>72.0</v>
      </c>
      <c r="E9612" s="52" t="s">
        <v>25</v>
      </c>
      <c r="F9612" s="52" t="s">
        <v>26</v>
      </c>
      <c r="G9612" s="53"/>
    </row>
    <row r="9613">
      <c r="A9613" s="49">
        <v>45122.09866909722</v>
      </c>
      <c r="B9613" s="50">
        <v>45122.2236386226</v>
      </c>
      <c r="C9613" s="51">
        <v>1.004</v>
      </c>
      <c r="D9613" s="51">
        <v>72.0</v>
      </c>
      <c r="E9613" s="52" t="s">
        <v>25</v>
      </c>
      <c r="F9613" s="52" t="s">
        <v>26</v>
      </c>
      <c r="G9613" s="53"/>
    </row>
    <row r="9614">
      <c r="A9614" s="49">
        <v>45122.10910430556</v>
      </c>
      <c r="B9614" s="50">
        <v>45122.2340711226</v>
      </c>
      <c r="C9614" s="51">
        <v>1.004</v>
      </c>
      <c r="D9614" s="51">
        <v>72.0</v>
      </c>
      <c r="E9614" s="52" t="s">
        <v>25</v>
      </c>
      <c r="F9614" s="52" t="s">
        <v>26</v>
      </c>
      <c r="G9614" s="53"/>
    </row>
    <row r="9615">
      <c r="A9615" s="49">
        <v>45122.11951829861</v>
      </c>
      <c r="B9615" s="50">
        <v>45122.2444917245</v>
      </c>
      <c r="C9615" s="51">
        <v>1.003</v>
      </c>
      <c r="D9615" s="51">
        <v>72.0</v>
      </c>
      <c r="E9615" s="52" t="s">
        <v>25</v>
      </c>
      <c r="F9615" s="52" t="s">
        <v>26</v>
      </c>
      <c r="G9615" s="53"/>
    </row>
    <row r="9616">
      <c r="A9616" s="49">
        <v>45122.12994438657</v>
      </c>
      <c r="B9616" s="50">
        <v>45122.2549123842</v>
      </c>
      <c r="C9616" s="51">
        <v>1.003</v>
      </c>
      <c r="D9616" s="51">
        <v>72.0</v>
      </c>
      <c r="E9616" s="52" t="s">
        <v>25</v>
      </c>
      <c r="F9616" s="52" t="s">
        <v>26</v>
      </c>
      <c r="G9616" s="53"/>
    </row>
    <row r="9617">
      <c r="A9617" s="49">
        <v>45122.14036605324</v>
      </c>
      <c r="B9617" s="50">
        <v>45122.2653343634</v>
      </c>
      <c r="C9617" s="51">
        <v>1.003</v>
      </c>
      <c r="D9617" s="51">
        <v>72.0</v>
      </c>
      <c r="E9617" s="52" t="s">
        <v>25</v>
      </c>
      <c r="F9617" s="52" t="s">
        <v>26</v>
      </c>
      <c r="G9617" s="53"/>
    </row>
    <row r="9618">
      <c r="A9618" s="49">
        <v>45122.15078795139</v>
      </c>
      <c r="B9618" s="50">
        <v>45122.2757538888</v>
      </c>
      <c r="C9618" s="51">
        <v>1.004</v>
      </c>
      <c r="D9618" s="51">
        <v>72.0</v>
      </c>
      <c r="E9618" s="52" t="s">
        <v>25</v>
      </c>
      <c r="F9618" s="52" t="s">
        <v>26</v>
      </c>
      <c r="G9618" s="53"/>
    </row>
    <row r="9619">
      <c r="A9619" s="49">
        <v>45122.16120598379</v>
      </c>
      <c r="B9619" s="50">
        <v>45122.2861751736</v>
      </c>
      <c r="C9619" s="51">
        <v>1.003</v>
      </c>
      <c r="D9619" s="51">
        <v>72.0</v>
      </c>
      <c r="E9619" s="52" t="s">
        <v>25</v>
      </c>
      <c r="F9619" s="52" t="s">
        <v>26</v>
      </c>
      <c r="G9619" s="53"/>
    </row>
    <row r="9620">
      <c r="A9620" s="49">
        <v>45122.171628958335</v>
      </c>
      <c r="B9620" s="50">
        <v>45122.2965958449</v>
      </c>
      <c r="C9620" s="51">
        <v>1.003</v>
      </c>
      <c r="D9620" s="51">
        <v>72.0</v>
      </c>
      <c r="E9620" s="52" t="s">
        <v>25</v>
      </c>
      <c r="F9620" s="52" t="s">
        <v>26</v>
      </c>
      <c r="G9620" s="53"/>
    </row>
    <row r="9621">
      <c r="A9621" s="49">
        <v>45122.18205185185</v>
      </c>
      <c r="B9621" s="50">
        <v>45122.307019074</v>
      </c>
      <c r="C9621" s="51">
        <v>1.003</v>
      </c>
      <c r="D9621" s="51">
        <v>72.0</v>
      </c>
      <c r="E9621" s="52" t="s">
        <v>25</v>
      </c>
      <c r="F9621" s="52" t="s">
        <v>26</v>
      </c>
      <c r="G9621" s="53"/>
    </row>
    <row r="9622">
      <c r="A9622" s="49">
        <v>45122.19248828704</v>
      </c>
      <c r="B9622" s="50">
        <v>45122.3174520717</v>
      </c>
      <c r="C9622" s="51">
        <v>1.003</v>
      </c>
      <c r="D9622" s="51">
        <v>72.0</v>
      </c>
      <c r="E9622" s="52" t="s">
        <v>25</v>
      </c>
      <c r="F9622" s="52" t="s">
        <v>26</v>
      </c>
      <c r="G9622" s="53"/>
    </row>
    <row r="9623">
      <c r="A9623" s="49">
        <v>45122.20290430555</v>
      </c>
      <c r="B9623" s="50">
        <v>45122.3278741551</v>
      </c>
      <c r="C9623" s="51">
        <v>1.003</v>
      </c>
      <c r="D9623" s="51">
        <v>72.0</v>
      </c>
      <c r="E9623" s="52" t="s">
        <v>25</v>
      </c>
      <c r="F9623" s="52" t="s">
        <v>26</v>
      </c>
      <c r="G9623" s="53"/>
    </row>
    <row r="9624">
      <c r="A9624" s="49">
        <v>45122.213347013894</v>
      </c>
      <c r="B9624" s="50">
        <v>45122.3383176504</v>
      </c>
      <c r="C9624" s="51">
        <v>1.003</v>
      </c>
      <c r="D9624" s="51">
        <v>72.0</v>
      </c>
      <c r="E9624" s="52" t="s">
        <v>25</v>
      </c>
      <c r="F9624" s="52" t="s">
        <v>26</v>
      </c>
      <c r="G9624" s="53"/>
    </row>
    <row r="9625">
      <c r="A9625" s="49">
        <v>45122.22376976852</v>
      </c>
      <c r="B9625" s="50">
        <v>45122.3487389236</v>
      </c>
      <c r="C9625" s="51">
        <v>1.003</v>
      </c>
      <c r="D9625" s="51">
        <v>72.0</v>
      </c>
      <c r="E9625" s="52" t="s">
        <v>25</v>
      </c>
      <c r="F9625" s="52" t="s">
        <v>26</v>
      </c>
      <c r="G9625" s="53"/>
    </row>
    <row r="9626">
      <c r="A9626" s="49">
        <v>45122.234193703705</v>
      </c>
      <c r="B9626" s="50">
        <v>45122.3591606597</v>
      </c>
      <c r="C9626" s="51">
        <v>1.003</v>
      </c>
      <c r="D9626" s="51">
        <v>72.0</v>
      </c>
      <c r="E9626" s="52" t="s">
        <v>25</v>
      </c>
      <c r="F9626" s="52" t="s">
        <v>26</v>
      </c>
      <c r="G9626" s="53"/>
    </row>
    <row r="9627">
      <c r="A9627" s="49">
        <v>45122.244607037035</v>
      </c>
      <c r="B9627" s="50">
        <v>45122.3695826273</v>
      </c>
      <c r="C9627" s="51">
        <v>1.003</v>
      </c>
      <c r="D9627" s="51">
        <v>72.0</v>
      </c>
      <c r="E9627" s="52" t="s">
        <v>25</v>
      </c>
      <c r="F9627" s="52" t="s">
        <v>26</v>
      </c>
      <c r="G9627" s="53"/>
    </row>
    <row r="9628">
      <c r="A9628" s="49">
        <v>45122.25503353009</v>
      </c>
      <c r="B9628" s="50">
        <v>45122.3800044791</v>
      </c>
      <c r="C9628" s="51">
        <v>1.003</v>
      </c>
      <c r="D9628" s="51">
        <v>72.0</v>
      </c>
      <c r="E9628" s="52" t="s">
        <v>25</v>
      </c>
      <c r="F9628" s="52" t="s">
        <v>26</v>
      </c>
      <c r="G9628" s="53"/>
    </row>
    <row r="9629">
      <c r="A9629" s="49">
        <v>45122.26549049768</v>
      </c>
      <c r="B9629" s="50">
        <v>45122.3904605787</v>
      </c>
      <c r="C9629" s="51">
        <v>1.003</v>
      </c>
      <c r="D9629" s="51">
        <v>72.0</v>
      </c>
      <c r="E9629" s="52" t="s">
        <v>25</v>
      </c>
      <c r="F9629" s="52" t="s">
        <v>26</v>
      </c>
      <c r="G9629" s="53"/>
    </row>
    <row r="9630">
      <c r="A9630" s="49">
        <v>45122.27590923611</v>
      </c>
      <c r="B9630" s="50">
        <v>45122.4008805208</v>
      </c>
      <c r="C9630" s="51">
        <v>1.003</v>
      </c>
      <c r="D9630" s="51">
        <v>72.0</v>
      </c>
      <c r="E9630" s="52" t="s">
        <v>25</v>
      </c>
      <c r="F9630" s="52" t="s">
        <v>26</v>
      </c>
      <c r="G9630" s="53"/>
    </row>
    <row r="9631">
      <c r="A9631" s="49">
        <v>45122.28633528935</v>
      </c>
      <c r="B9631" s="50">
        <v>45122.4113026504</v>
      </c>
      <c r="C9631" s="51">
        <v>1.003</v>
      </c>
      <c r="D9631" s="51">
        <v>72.0</v>
      </c>
      <c r="E9631" s="52" t="s">
        <v>25</v>
      </c>
      <c r="F9631" s="52" t="s">
        <v>26</v>
      </c>
      <c r="G9631" s="53"/>
    </row>
    <row r="9632">
      <c r="A9632" s="49">
        <v>45122.29675068287</v>
      </c>
      <c r="B9632" s="50">
        <v>45122.421722037</v>
      </c>
      <c r="C9632" s="51">
        <v>1.004</v>
      </c>
      <c r="D9632" s="51">
        <v>72.0</v>
      </c>
      <c r="E9632" s="52" t="s">
        <v>25</v>
      </c>
      <c r="F9632" s="52" t="s">
        <v>26</v>
      </c>
      <c r="G9632" s="53"/>
    </row>
    <row r="9633">
      <c r="A9633" s="49">
        <v>45122.307169479165</v>
      </c>
      <c r="B9633" s="50">
        <v>45122.4321436226</v>
      </c>
      <c r="C9633" s="51">
        <v>1.003</v>
      </c>
      <c r="D9633" s="51">
        <v>72.0</v>
      </c>
      <c r="E9633" s="52" t="s">
        <v>25</v>
      </c>
      <c r="F9633" s="52" t="s">
        <v>26</v>
      </c>
      <c r="G9633" s="53"/>
    </row>
    <row r="9634">
      <c r="A9634" s="49">
        <v>45122.31759527778</v>
      </c>
      <c r="B9634" s="50">
        <v>45122.4425657638</v>
      </c>
      <c r="C9634" s="51">
        <v>1.003</v>
      </c>
      <c r="D9634" s="51">
        <v>72.0</v>
      </c>
      <c r="E9634" s="52" t="s">
        <v>25</v>
      </c>
      <c r="F9634" s="52" t="s">
        <v>26</v>
      </c>
      <c r="G9634" s="53"/>
    </row>
    <row r="9635">
      <c r="A9635" s="49">
        <v>45122.32800971065</v>
      </c>
      <c r="B9635" s="50">
        <v>45122.4529869907</v>
      </c>
      <c r="C9635" s="51">
        <v>1.003</v>
      </c>
      <c r="D9635" s="51">
        <v>72.0</v>
      </c>
      <c r="E9635" s="52" t="s">
        <v>25</v>
      </c>
      <c r="F9635" s="52" t="s">
        <v>26</v>
      </c>
      <c r="G9635" s="53"/>
    </row>
    <row r="9636">
      <c r="A9636" s="49">
        <v>45122.338439363426</v>
      </c>
      <c r="B9636" s="50">
        <v>45122.4634082986</v>
      </c>
      <c r="C9636" s="51">
        <v>1.003</v>
      </c>
      <c r="D9636" s="51">
        <v>72.0</v>
      </c>
      <c r="E9636" s="52" t="s">
        <v>25</v>
      </c>
      <c r="F9636" s="52" t="s">
        <v>26</v>
      </c>
      <c r="G9636" s="53"/>
    </row>
    <row r="9637">
      <c r="A9637" s="49">
        <v>45122.34885527778</v>
      </c>
      <c r="B9637" s="50">
        <v>45122.4738289699</v>
      </c>
      <c r="C9637" s="51">
        <v>1.003</v>
      </c>
      <c r="D9637" s="51">
        <v>72.0</v>
      </c>
      <c r="E9637" s="52" t="s">
        <v>25</v>
      </c>
      <c r="F9637" s="52" t="s">
        <v>26</v>
      </c>
      <c r="G9637" s="53"/>
    </row>
    <row r="9638">
      <c r="A9638" s="49">
        <v>45122.359279131946</v>
      </c>
      <c r="B9638" s="50">
        <v>45122.484251331</v>
      </c>
      <c r="C9638" s="51">
        <v>1.003</v>
      </c>
      <c r="D9638" s="51">
        <v>72.0</v>
      </c>
      <c r="E9638" s="52" t="s">
        <v>25</v>
      </c>
      <c r="F9638" s="52" t="s">
        <v>26</v>
      </c>
      <c r="G9638" s="53"/>
    </row>
    <row r="9639">
      <c r="A9639" s="49">
        <v>45122.36969842593</v>
      </c>
      <c r="B9639" s="50">
        <v>45122.4946735648</v>
      </c>
      <c r="C9639" s="51">
        <v>1.003</v>
      </c>
      <c r="D9639" s="51">
        <v>72.0</v>
      </c>
      <c r="E9639" s="52" t="s">
        <v>25</v>
      </c>
      <c r="F9639" s="52" t="s">
        <v>26</v>
      </c>
      <c r="G9639" s="53"/>
    </row>
    <row r="9640">
      <c r="A9640" s="49">
        <v>45122.380126874996</v>
      </c>
      <c r="B9640" s="50">
        <v>45122.5050950578</v>
      </c>
      <c r="C9640" s="51">
        <v>1.003</v>
      </c>
      <c r="D9640" s="51">
        <v>72.0</v>
      </c>
      <c r="E9640" s="52" t="s">
        <v>25</v>
      </c>
      <c r="F9640" s="52" t="s">
        <v>26</v>
      </c>
      <c r="G9640" s="53"/>
    </row>
    <row r="9641">
      <c r="A9641" s="49">
        <v>45122.39054820602</v>
      </c>
      <c r="B9641" s="50">
        <v>45122.5155179513</v>
      </c>
      <c r="C9641" s="51">
        <v>1.003</v>
      </c>
      <c r="D9641" s="51">
        <v>72.0</v>
      </c>
      <c r="E9641" s="52" t="s">
        <v>25</v>
      </c>
      <c r="F9641" s="52" t="s">
        <v>26</v>
      </c>
      <c r="G9641" s="53"/>
    </row>
    <row r="9642">
      <c r="A9642" s="49">
        <v>45122.40097001157</v>
      </c>
      <c r="B9642" s="50">
        <v>45122.5259374421</v>
      </c>
      <c r="C9642" s="51">
        <v>1.003</v>
      </c>
      <c r="D9642" s="51">
        <v>72.0</v>
      </c>
      <c r="E9642" s="52" t="s">
        <v>25</v>
      </c>
      <c r="F9642" s="52" t="s">
        <v>26</v>
      </c>
      <c r="G9642" s="53"/>
    </row>
    <row r="9643">
      <c r="A9643" s="49">
        <v>45122.4113864699</v>
      </c>
      <c r="B9643" s="50">
        <v>45122.5363579166</v>
      </c>
      <c r="C9643" s="51">
        <v>1.004</v>
      </c>
      <c r="D9643" s="51">
        <v>72.0</v>
      </c>
      <c r="E9643" s="52" t="s">
        <v>25</v>
      </c>
      <c r="F9643" s="52" t="s">
        <v>26</v>
      </c>
      <c r="G9643" s="53"/>
    </row>
    <row r="9644">
      <c r="A9644" s="49">
        <v>45122.42181063657</v>
      </c>
      <c r="B9644" s="50">
        <v>45122.5467788888</v>
      </c>
      <c r="C9644" s="51">
        <v>1.003</v>
      </c>
      <c r="D9644" s="51">
        <v>72.0</v>
      </c>
      <c r="E9644" s="52" t="s">
        <v>25</v>
      </c>
      <c r="F9644" s="52" t="s">
        <v>26</v>
      </c>
      <c r="G9644" s="53"/>
    </row>
    <row r="9645">
      <c r="A9645" s="49">
        <v>45122.43224174769</v>
      </c>
      <c r="B9645" s="50">
        <v>45122.5572131944</v>
      </c>
      <c r="C9645" s="51">
        <v>1.003</v>
      </c>
      <c r="D9645" s="51">
        <v>72.0</v>
      </c>
      <c r="E9645" s="52" t="s">
        <v>25</v>
      </c>
      <c r="F9645" s="52" t="s">
        <v>26</v>
      </c>
      <c r="G9645" s="53"/>
    </row>
    <row r="9646">
      <c r="A9646" s="49">
        <v>45122.44266434028</v>
      </c>
      <c r="B9646" s="50">
        <v>45122.5676449768</v>
      </c>
      <c r="C9646" s="51">
        <v>1.003</v>
      </c>
      <c r="D9646" s="51">
        <v>72.0</v>
      </c>
      <c r="E9646" s="52" t="s">
        <v>25</v>
      </c>
      <c r="F9646" s="52" t="s">
        <v>26</v>
      </c>
      <c r="G9646" s="53"/>
    </row>
    <row r="9647">
      <c r="A9647" s="49">
        <v>45122.453093715274</v>
      </c>
      <c r="B9647" s="50">
        <v>45122.5780648958</v>
      </c>
      <c r="C9647" s="51">
        <v>1.004</v>
      </c>
      <c r="D9647" s="51">
        <v>72.0</v>
      </c>
      <c r="E9647" s="52" t="s">
        <v>25</v>
      </c>
      <c r="F9647" s="52" t="s">
        <v>26</v>
      </c>
      <c r="G9647" s="53"/>
    </row>
    <row r="9648">
      <c r="A9648" s="49">
        <v>45122.46350864583</v>
      </c>
      <c r="B9648" s="50">
        <v>45122.5884861689</v>
      </c>
      <c r="C9648" s="51">
        <v>1.003</v>
      </c>
      <c r="D9648" s="51">
        <v>72.0</v>
      </c>
      <c r="E9648" s="52" t="s">
        <v>25</v>
      </c>
      <c r="F9648" s="52" t="s">
        <v>26</v>
      </c>
      <c r="G9648" s="53"/>
    </row>
    <row r="9649">
      <c r="A9649" s="49">
        <v>45122.47394108796</v>
      </c>
      <c r="B9649" s="50">
        <v>45122.5989100463</v>
      </c>
      <c r="C9649" s="51">
        <v>1.003</v>
      </c>
      <c r="D9649" s="51">
        <v>72.0</v>
      </c>
      <c r="E9649" s="52" t="s">
        <v>25</v>
      </c>
      <c r="F9649" s="52" t="s">
        <v>26</v>
      </c>
      <c r="G9649" s="53"/>
    </row>
    <row r="9650">
      <c r="A9650" s="49">
        <v>45122.48435648148</v>
      </c>
      <c r="B9650" s="50">
        <v>45122.6093312152</v>
      </c>
      <c r="C9650" s="51">
        <v>1.004</v>
      </c>
      <c r="D9650" s="51">
        <v>72.0</v>
      </c>
      <c r="E9650" s="52" t="s">
        <v>25</v>
      </c>
      <c r="F9650" s="52" t="s">
        <v>26</v>
      </c>
      <c r="G9650" s="53"/>
    </row>
    <row r="9651">
      <c r="A9651" s="49">
        <v>45122.49478127315</v>
      </c>
      <c r="B9651" s="50">
        <v>45122.619751331</v>
      </c>
      <c r="C9651" s="51">
        <v>1.003</v>
      </c>
      <c r="D9651" s="51">
        <v>72.0</v>
      </c>
      <c r="E9651" s="52" t="s">
        <v>25</v>
      </c>
      <c r="F9651" s="52" t="s">
        <v>26</v>
      </c>
      <c r="G9651" s="53"/>
    </row>
    <row r="9652">
      <c r="A9652" s="49">
        <v>45122.50520226852</v>
      </c>
      <c r="B9652" s="50">
        <v>45122.6301718981</v>
      </c>
      <c r="C9652" s="51">
        <v>1.003</v>
      </c>
      <c r="D9652" s="51">
        <v>72.0</v>
      </c>
      <c r="E9652" s="52" t="s">
        <v>25</v>
      </c>
      <c r="F9652" s="52" t="s">
        <v>26</v>
      </c>
      <c r="G9652" s="53"/>
    </row>
    <row r="9653">
      <c r="A9653" s="49">
        <v>45122.51561693287</v>
      </c>
      <c r="B9653" s="50">
        <v>45122.6405915625</v>
      </c>
      <c r="C9653" s="51">
        <v>1.003</v>
      </c>
      <c r="D9653" s="51">
        <v>72.0</v>
      </c>
      <c r="E9653" s="52" t="s">
        <v>25</v>
      </c>
      <c r="F9653" s="52" t="s">
        <v>26</v>
      </c>
      <c r="G9653" s="53"/>
    </row>
    <row r="9654">
      <c r="A9654" s="49">
        <v>45122.526041481484</v>
      </c>
      <c r="B9654" s="50">
        <v>45122.6510106481</v>
      </c>
      <c r="C9654" s="51">
        <v>1.003</v>
      </c>
      <c r="D9654" s="51">
        <v>72.0</v>
      </c>
      <c r="E9654" s="52" t="s">
        <v>25</v>
      </c>
      <c r="F9654" s="52" t="s">
        <v>26</v>
      </c>
      <c r="G9654" s="53"/>
    </row>
    <row r="9655">
      <c r="A9655" s="49">
        <v>45122.53645842592</v>
      </c>
      <c r="B9655" s="50">
        <v>45122.6614316898</v>
      </c>
      <c r="C9655" s="51">
        <v>1.003</v>
      </c>
      <c r="D9655" s="51">
        <v>72.0</v>
      </c>
      <c r="E9655" s="52" t="s">
        <v>25</v>
      </c>
      <c r="F9655" s="52" t="s">
        <v>26</v>
      </c>
      <c r="G9655" s="53"/>
    </row>
    <row r="9656">
      <c r="A9656" s="49">
        <v>45122.546891307866</v>
      </c>
      <c r="B9656" s="50">
        <v>45122.6718645833</v>
      </c>
      <c r="C9656" s="51">
        <v>1.003</v>
      </c>
      <c r="D9656" s="51">
        <v>72.0</v>
      </c>
      <c r="E9656" s="52" t="s">
        <v>25</v>
      </c>
      <c r="F9656" s="52" t="s">
        <v>26</v>
      </c>
      <c r="G9656" s="53"/>
    </row>
    <row r="9657">
      <c r="A9657" s="49">
        <v>45122.557323726855</v>
      </c>
      <c r="B9657" s="50">
        <v>45122.68229728</v>
      </c>
      <c r="C9657" s="51">
        <v>1.003</v>
      </c>
      <c r="D9657" s="51">
        <v>72.0</v>
      </c>
      <c r="E9657" s="52" t="s">
        <v>25</v>
      </c>
      <c r="F9657" s="52" t="s">
        <v>26</v>
      </c>
      <c r="G9657" s="53"/>
    </row>
    <row r="9658">
      <c r="A9658" s="49">
        <v>45122.567746597226</v>
      </c>
      <c r="B9658" s="50">
        <v>45122.6927193518</v>
      </c>
      <c r="C9658" s="51">
        <v>1.003</v>
      </c>
      <c r="D9658" s="51">
        <v>72.0</v>
      </c>
      <c r="E9658" s="52" t="s">
        <v>25</v>
      </c>
      <c r="F9658" s="52" t="s">
        <v>26</v>
      </c>
      <c r="G9658" s="53"/>
    </row>
    <row r="9659">
      <c r="A9659" s="49">
        <v>45122.57817096065</v>
      </c>
      <c r="B9659" s="50">
        <v>45122.7031427546</v>
      </c>
      <c r="C9659" s="51">
        <v>1.003</v>
      </c>
      <c r="D9659" s="51">
        <v>72.0</v>
      </c>
      <c r="E9659" s="52" t="s">
        <v>25</v>
      </c>
      <c r="F9659" s="52" t="s">
        <v>26</v>
      </c>
      <c r="G9659" s="53"/>
    </row>
    <row r="9660">
      <c r="A9660" s="49">
        <v>45122.588586122685</v>
      </c>
      <c r="B9660" s="50">
        <v>45122.7135637847</v>
      </c>
      <c r="C9660" s="51">
        <v>1.003</v>
      </c>
      <c r="D9660" s="51">
        <v>72.0</v>
      </c>
      <c r="E9660" s="52" t="s">
        <v>25</v>
      </c>
      <c r="F9660" s="52" t="s">
        <v>26</v>
      </c>
      <c r="G9660" s="53"/>
    </row>
    <row r="9661">
      <c r="A9661" s="49">
        <v>45122.59901539352</v>
      </c>
      <c r="B9661" s="50">
        <v>45122.7239840856</v>
      </c>
      <c r="C9661" s="51">
        <v>1.003</v>
      </c>
      <c r="D9661" s="51">
        <v>72.0</v>
      </c>
      <c r="E9661" s="52" t="s">
        <v>25</v>
      </c>
      <c r="F9661" s="52" t="s">
        <v>26</v>
      </c>
      <c r="G9661" s="53"/>
    </row>
    <row r="9662">
      <c r="A9662" s="49">
        <v>45122.609430439814</v>
      </c>
      <c r="B9662" s="50">
        <v>45122.734407905</v>
      </c>
      <c r="C9662" s="51">
        <v>1.003</v>
      </c>
      <c r="D9662" s="51">
        <v>72.0</v>
      </c>
      <c r="E9662" s="52" t="s">
        <v>25</v>
      </c>
      <c r="F9662" s="52" t="s">
        <v>26</v>
      </c>
      <c r="G9662" s="53"/>
    </row>
    <row r="9663">
      <c r="A9663" s="49">
        <v>45122.61985930556</v>
      </c>
      <c r="B9663" s="50">
        <v>45122.7448277546</v>
      </c>
      <c r="C9663" s="51">
        <v>1.003</v>
      </c>
      <c r="D9663" s="51">
        <v>72.0</v>
      </c>
      <c r="E9663" s="52" t="s">
        <v>25</v>
      </c>
      <c r="F9663" s="52" t="s">
        <v>26</v>
      </c>
      <c r="G9663" s="53"/>
    </row>
    <row r="9664">
      <c r="A9664" s="49">
        <v>45122.63027704861</v>
      </c>
      <c r="B9664" s="50">
        <v>45122.7552490509</v>
      </c>
      <c r="C9664" s="51">
        <v>1.003</v>
      </c>
      <c r="D9664" s="51">
        <v>72.0</v>
      </c>
      <c r="E9664" s="52" t="s">
        <v>25</v>
      </c>
      <c r="F9664" s="52" t="s">
        <v>26</v>
      </c>
      <c r="G9664" s="53"/>
    </row>
    <row r="9665">
      <c r="A9665" s="49">
        <v>45122.640694918984</v>
      </c>
      <c r="B9665" s="50">
        <v>45122.7656688541</v>
      </c>
      <c r="C9665" s="51">
        <v>1.004</v>
      </c>
      <c r="D9665" s="51">
        <v>72.0</v>
      </c>
      <c r="E9665" s="52" t="s">
        <v>25</v>
      </c>
      <c r="F9665" s="52" t="s">
        <v>26</v>
      </c>
      <c r="G9665" s="53"/>
    </row>
    <row r="9666">
      <c r="A9666" s="49">
        <v>45122.651120636576</v>
      </c>
      <c r="B9666" s="50">
        <v>45122.7761007638</v>
      </c>
      <c r="C9666" s="51">
        <v>1.003</v>
      </c>
      <c r="D9666" s="51">
        <v>72.0</v>
      </c>
      <c r="E9666" s="52" t="s">
        <v>25</v>
      </c>
      <c r="F9666" s="52" t="s">
        <v>26</v>
      </c>
      <c r="G9666" s="53"/>
    </row>
    <row r="9667">
      <c r="A9667" s="49">
        <v>45122.66155237269</v>
      </c>
      <c r="B9667" s="50">
        <v>45122.7865227199</v>
      </c>
      <c r="C9667" s="51">
        <v>1.004</v>
      </c>
      <c r="D9667" s="51">
        <v>72.0</v>
      </c>
      <c r="E9667" s="52" t="s">
        <v>25</v>
      </c>
      <c r="F9667" s="52" t="s">
        <v>26</v>
      </c>
      <c r="G9667" s="53"/>
    </row>
    <row r="9668">
      <c r="A9668" s="49">
        <v>45122.671969143514</v>
      </c>
      <c r="B9668" s="50">
        <v>45122.7969439236</v>
      </c>
      <c r="C9668" s="51">
        <v>1.003</v>
      </c>
      <c r="D9668" s="51">
        <v>72.0</v>
      </c>
      <c r="E9668" s="52" t="s">
        <v>25</v>
      </c>
      <c r="F9668" s="52" t="s">
        <v>26</v>
      </c>
      <c r="G9668" s="53"/>
    </row>
    <row r="9669">
      <c r="A9669" s="49">
        <v>45122.68238989583</v>
      </c>
      <c r="B9669" s="50">
        <v>45122.807363449</v>
      </c>
      <c r="C9669" s="51">
        <v>1.003</v>
      </c>
      <c r="D9669" s="51">
        <v>72.0</v>
      </c>
      <c r="E9669" s="52" t="s">
        <v>25</v>
      </c>
      <c r="F9669" s="52" t="s">
        <v>26</v>
      </c>
      <c r="G9669" s="53"/>
    </row>
    <row r="9670">
      <c r="A9670" s="49">
        <v>45122.69281371528</v>
      </c>
      <c r="B9670" s="50">
        <v>45122.8177837962</v>
      </c>
      <c r="C9670" s="51">
        <v>1.004</v>
      </c>
      <c r="D9670" s="51">
        <v>72.0</v>
      </c>
      <c r="E9670" s="52" t="s">
        <v>25</v>
      </c>
      <c r="F9670" s="52" t="s">
        <v>26</v>
      </c>
      <c r="G9670" s="53"/>
    </row>
    <row r="9671">
      <c r="A9671" s="49">
        <v>45122.70322568287</v>
      </c>
      <c r="B9671" s="50">
        <v>45122.828203831</v>
      </c>
      <c r="C9671" s="51">
        <v>1.004</v>
      </c>
      <c r="D9671" s="51">
        <v>72.0</v>
      </c>
      <c r="E9671" s="52" t="s">
        <v>25</v>
      </c>
      <c r="F9671" s="52" t="s">
        <v>26</v>
      </c>
      <c r="G9671" s="53"/>
    </row>
    <row r="9672">
      <c r="A9672" s="49">
        <v>45122.71365305556</v>
      </c>
      <c r="B9672" s="50">
        <v>45122.8386238773</v>
      </c>
      <c r="C9672" s="51">
        <v>1.003</v>
      </c>
      <c r="D9672" s="51">
        <v>72.0</v>
      </c>
      <c r="E9672" s="52" t="s">
        <v>25</v>
      </c>
      <c r="F9672" s="52" t="s">
        <v>26</v>
      </c>
      <c r="G9672" s="53"/>
    </row>
    <row r="9673">
      <c r="A9673" s="49">
        <v>45122.724084201385</v>
      </c>
      <c r="B9673" s="50">
        <v>45122.8490566435</v>
      </c>
      <c r="C9673" s="51">
        <v>1.003</v>
      </c>
      <c r="D9673" s="51">
        <v>72.0</v>
      </c>
      <c r="E9673" s="52" t="s">
        <v>25</v>
      </c>
      <c r="F9673" s="52" t="s">
        <v>26</v>
      </c>
      <c r="G9673" s="53"/>
    </row>
    <row r="9674">
      <c r="A9674" s="49">
        <v>45122.73450662037</v>
      </c>
      <c r="B9674" s="50">
        <v>45122.8594763657</v>
      </c>
      <c r="C9674" s="51">
        <v>1.003</v>
      </c>
      <c r="D9674" s="51">
        <v>72.0</v>
      </c>
      <c r="E9674" s="52" t="s">
        <v>25</v>
      </c>
      <c r="F9674" s="52" t="s">
        <v>26</v>
      </c>
      <c r="G9674" s="53"/>
    </row>
    <row r="9675">
      <c r="A9675" s="49">
        <v>45122.74491893519</v>
      </c>
      <c r="B9675" s="50">
        <v>45122.8698977893</v>
      </c>
      <c r="C9675" s="51">
        <v>1.003</v>
      </c>
      <c r="D9675" s="51">
        <v>72.0</v>
      </c>
      <c r="E9675" s="52" t="s">
        <v>25</v>
      </c>
      <c r="F9675" s="52" t="s">
        <v>26</v>
      </c>
      <c r="G9675" s="53"/>
    </row>
    <row r="9676">
      <c r="A9676" s="49">
        <v>45122.75534700231</v>
      </c>
      <c r="B9676" s="50">
        <v>45122.8803179745</v>
      </c>
      <c r="C9676" s="51">
        <v>1.003</v>
      </c>
      <c r="D9676" s="51">
        <v>72.0</v>
      </c>
      <c r="E9676" s="52" t="s">
        <v>25</v>
      </c>
      <c r="F9676" s="52" t="s">
        <v>26</v>
      </c>
      <c r="G9676" s="53"/>
    </row>
    <row r="9677">
      <c r="A9677" s="49">
        <v>45122.76576996528</v>
      </c>
      <c r="B9677" s="50">
        <v>45122.89074</v>
      </c>
      <c r="C9677" s="51">
        <v>1.003</v>
      </c>
      <c r="D9677" s="51">
        <v>72.0</v>
      </c>
      <c r="E9677" s="52" t="s">
        <v>25</v>
      </c>
      <c r="F9677" s="52" t="s">
        <v>26</v>
      </c>
      <c r="G9677" s="53"/>
    </row>
    <row r="9678">
      <c r="A9678" s="49">
        <v>45122.776196226856</v>
      </c>
      <c r="B9678" s="50">
        <v>45122.901160868</v>
      </c>
      <c r="C9678" s="51">
        <v>1.003</v>
      </c>
      <c r="D9678" s="51">
        <v>72.0</v>
      </c>
      <c r="E9678" s="52" t="s">
        <v>25</v>
      </c>
      <c r="F9678" s="52" t="s">
        <v>26</v>
      </c>
      <c r="G9678" s="53"/>
    </row>
    <row r="9679">
      <c r="A9679" s="49">
        <v>45122.78660479166</v>
      </c>
      <c r="B9679" s="50">
        <v>45122.9115817013</v>
      </c>
      <c r="C9679" s="51">
        <v>1.004</v>
      </c>
      <c r="D9679" s="51">
        <v>72.0</v>
      </c>
      <c r="E9679" s="52" t="s">
        <v>25</v>
      </c>
      <c r="F9679" s="52" t="s">
        <v>26</v>
      </c>
      <c r="G9679" s="53"/>
    </row>
    <row r="9680">
      <c r="A9680" s="49">
        <v>45122.79702657407</v>
      </c>
      <c r="B9680" s="50">
        <v>45122.9220028935</v>
      </c>
      <c r="C9680" s="51">
        <v>1.003</v>
      </c>
      <c r="D9680" s="51">
        <v>72.0</v>
      </c>
      <c r="E9680" s="52" t="s">
        <v>25</v>
      </c>
      <c r="F9680" s="52" t="s">
        <v>26</v>
      </c>
      <c r="G9680" s="53"/>
    </row>
    <row r="9681">
      <c r="A9681" s="49">
        <v>45122.80745865741</v>
      </c>
      <c r="B9681" s="50">
        <v>45122.9324234606</v>
      </c>
      <c r="C9681" s="51">
        <v>1.003</v>
      </c>
      <c r="D9681" s="51">
        <v>72.0</v>
      </c>
      <c r="E9681" s="52" t="s">
        <v>25</v>
      </c>
      <c r="F9681" s="52" t="s">
        <v>26</v>
      </c>
      <c r="G9681" s="53"/>
    </row>
    <row r="9682">
      <c r="A9682" s="49">
        <v>45122.817875381945</v>
      </c>
      <c r="B9682" s="50">
        <v>45122.9428453125</v>
      </c>
      <c r="C9682" s="51">
        <v>1.003</v>
      </c>
      <c r="D9682" s="51">
        <v>72.0</v>
      </c>
      <c r="E9682" s="52" t="s">
        <v>25</v>
      </c>
      <c r="F9682" s="52" t="s">
        <v>26</v>
      </c>
      <c r="G9682" s="53"/>
    </row>
    <row r="9683">
      <c r="A9683" s="49">
        <v>45122.828290185185</v>
      </c>
      <c r="B9683" s="50">
        <v>45122.9532662731</v>
      </c>
      <c r="C9683" s="51">
        <v>1.003</v>
      </c>
      <c r="D9683" s="51">
        <v>72.0</v>
      </c>
      <c r="E9683" s="52" t="s">
        <v>25</v>
      </c>
      <c r="F9683" s="52" t="s">
        <v>26</v>
      </c>
      <c r="G9683" s="53"/>
    </row>
    <row r="9684">
      <c r="A9684" s="49">
        <v>45122.83871012731</v>
      </c>
      <c r="B9684" s="50">
        <v>45122.9636867708</v>
      </c>
      <c r="C9684" s="51">
        <v>1.003</v>
      </c>
      <c r="D9684" s="51">
        <v>72.0</v>
      </c>
      <c r="E9684" s="52" t="s">
        <v>25</v>
      </c>
      <c r="F9684" s="52" t="s">
        <v>26</v>
      </c>
      <c r="G9684" s="53"/>
    </row>
    <row r="9685">
      <c r="A9685" s="49">
        <v>45122.84917425926</v>
      </c>
      <c r="B9685" s="50">
        <v>45122.9741451736</v>
      </c>
      <c r="C9685" s="51">
        <v>1.003</v>
      </c>
      <c r="D9685" s="51">
        <v>72.0</v>
      </c>
      <c r="E9685" s="52" t="s">
        <v>25</v>
      </c>
      <c r="F9685" s="52" t="s">
        <v>26</v>
      </c>
      <c r="G9685" s="53"/>
    </row>
    <row r="9686">
      <c r="A9686" s="49">
        <v>45122.85959075231</v>
      </c>
      <c r="B9686" s="50">
        <v>45122.9845686921</v>
      </c>
      <c r="C9686" s="51">
        <v>1.003</v>
      </c>
      <c r="D9686" s="51">
        <v>72.0</v>
      </c>
      <c r="E9686" s="52" t="s">
        <v>25</v>
      </c>
      <c r="F9686" s="52" t="s">
        <v>26</v>
      </c>
      <c r="G9686" s="53"/>
    </row>
    <row r="9687">
      <c r="A9687" s="49">
        <v>45122.8700228125</v>
      </c>
      <c r="B9687" s="50">
        <v>45122.9949881944</v>
      </c>
      <c r="C9687" s="51">
        <v>1.003</v>
      </c>
      <c r="D9687" s="51">
        <v>72.0</v>
      </c>
      <c r="E9687" s="52" t="s">
        <v>25</v>
      </c>
      <c r="F9687" s="52" t="s">
        <v>26</v>
      </c>
      <c r="G9687" s="53"/>
    </row>
    <row r="9688">
      <c r="A9688" s="49">
        <v>45122.880437175925</v>
      </c>
      <c r="B9688" s="50">
        <v>45123.0054093055</v>
      </c>
      <c r="C9688" s="51">
        <v>1.003</v>
      </c>
      <c r="D9688" s="51">
        <v>72.0</v>
      </c>
      <c r="E9688" s="52" t="s">
        <v>25</v>
      </c>
      <c r="F9688" s="52" t="s">
        <v>26</v>
      </c>
      <c r="G9688" s="53"/>
    </row>
    <row r="9689">
      <c r="A9689" s="49">
        <v>45122.890853530094</v>
      </c>
      <c r="B9689" s="50">
        <v>45123.0158292824</v>
      </c>
      <c r="C9689" s="51">
        <v>1.003</v>
      </c>
      <c r="D9689" s="51">
        <v>72.0</v>
      </c>
      <c r="E9689" s="52" t="s">
        <v>25</v>
      </c>
      <c r="F9689" s="52" t="s">
        <v>26</v>
      </c>
      <c r="G9689" s="53"/>
    </row>
    <row r="9690">
      <c r="A9690" s="49">
        <v>45122.901280694445</v>
      </c>
      <c r="B9690" s="50">
        <v>45123.0262503935</v>
      </c>
      <c r="C9690" s="51">
        <v>1.003</v>
      </c>
      <c r="D9690" s="51">
        <v>72.0</v>
      </c>
      <c r="E9690" s="52" t="s">
        <v>25</v>
      </c>
      <c r="F9690" s="52" t="s">
        <v>26</v>
      </c>
      <c r="G9690" s="53"/>
    </row>
    <row r="9691">
      <c r="A9691" s="49">
        <v>45122.91170226852</v>
      </c>
      <c r="B9691" s="50">
        <v>45123.036671412</v>
      </c>
      <c r="C9691" s="51">
        <v>1.003</v>
      </c>
      <c r="D9691" s="51">
        <v>72.0</v>
      </c>
      <c r="E9691" s="52" t="s">
        <v>25</v>
      </c>
      <c r="F9691" s="52" t="s">
        <v>26</v>
      </c>
      <c r="G9691" s="53"/>
    </row>
    <row r="9692">
      <c r="A9692" s="49">
        <v>45122.92211270833</v>
      </c>
      <c r="B9692" s="50">
        <v>45123.0470902314</v>
      </c>
      <c r="C9692" s="51">
        <v>1.004</v>
      </c>
      <c r="D9692" s="51">
        <v>72.0</v>
      </c>
      <c r="E9692" s="52" t="s">
        <v>25</v>
      </c>
      <c r="F9692" s="52" t="s">
        <v>26</v>
      </c>
      <c r="G9692" s="53"/>
    </row>
    <row r="9693">
      <c r="A9693" s="49">
        <v>45122.932538657406</v>
      </c>
      <c r="B9693" s="50">
        <v>45123.0575098958</v>
      </c>
      <c r="C9693" s="51">
        <v>1.003</v>
      </c>
      <c r="D9693" s="51">
        <v>72.0</v>
      </c>
      <c r="E9693" s="52" t="s">
        <v>25</v>
      </c>
      <c r="F9693" s="52" t="s">
        <v>26</v>
      </c>
      <c r="G9693" s="53"/>
    </row>
    <row r="9694">
      <c r="A9694" s="49">
        <v>45122.9429581713</v>
      </c>
      <c r="B9694" s="50">
        <v>45123.0679292939</v>
      </c>
      <c r="C9694" s="51">
        <v>1.003</v>
      </c>
      <c r="D9694" s="51">
        <v>72.0</v>
      </c>
      <c r="E9694" s="52" t="s">
        <v>25</v>
      </c>
      <c r="F9694" s="52" t="s">
        <v>26</v>
      </c>
      <c r="G9694" s="53"/>
    </row>
    <row r="9695">
      <c r="A9695" s="49">
        <v>45122.95337618055</v>
      </c>
      <c r="B9695" s="50">
        <v>45123.0783489467</v>
      </c>
      <c r="C9695" s="51">
        <v>1.003</v>
      </c>
      <c r="D9695" s="51">
        <v>72.0</v>
      </c>
      <c r="E9695" s="52" t="s">
        <v>25</v>
      </c>
      <c r="F9695" s="52" t="s">
        <v>26</v>
      </c>
      <c r="G9695" s="53"/>
    </row>
    <row r="9696">
      <c r="A9696" s="49">
        <v>45122.963817905096</v>
      </c>
      <c r="B9696" s="50">
        <v>45123.0887825</v>
      </c>
      <c r="C9696" s="51">
        <v>1.003</v>
      </c>
      <c r="D9696" s="51">
        <v>72.0</v>
      </c>
      <c r="E9696" s="52" t="s">
        <v>25</v>
      </c>
      <c r="F9696" s="52" t="s">
        <v>26</v>
      </c>
      <c r="G9696" s="53"/>
    </row>
    <row r="9697">
      <c r="A9697" s="49">
        <v>45122.97423876157</v>
      </c>
      <c r="B9697" s="50">
        <v>45123.0992148842</v>
      </c>
      <c r="C9697" s="51">
        <v>1.003</v>
      </c>
      <c r="D9697" s="51">
        <v>72.0</v>
      </c>
      <c r="E9697" s="52" t="s">
        <v>25</v>
      </c>
      <c r="F9697" s="52" t="s">
        <v>26</v>
      </c>
      <c r="G9697" s="53"/>
    </row>
    <row r="9698">
      <c r="A9698" s="49">
        <v>45122.98467277778</v>
      </c>
      <c r="B9698" s="50">
        <v>45123.1096474884</v>
      </c>
      <c r="C9698" s="51">
        <v>1.003</v>
      </c>
      <c r="D9698" s="51">
        <v>72.0</v>
      </c>
      <c r="E9698" s="52" t="s">
        <v>25</v>
      </c>
      <c r="F9698" s="52" t="s">
        <v>26</v>
      </c>
      <c r="G9698" s="53"/>
    </row>
    <row r="9699">
      <c r="A9699" s="49">
        <v>45122.995108483796</v>
      </c>
      <c r="B9699" s="50">
        <v>45123.1200810069</v>
      </c>
      <c r="C9699" s="51">
        <v>1.004</v>
      </c>
      <c r="D9699" s="51">
        <v>72.0</v>
      </c>
      <c r="E9699" s="52" t="s">
        <v>25</v>
      </c>
      <c r="F9699" s="52" t="s">
        <v>26</v>
      </c>
      <c r="G9699" s="53"/>
    </row>
    <row r="9700">
      <c r="A9700" s="49">
        <v>45123.00552651621</v>
      </c>
      <c r="B9700" s="50">
        <v>45123.130500405</v>
      </c>
      <c r="C9700" s="51">
        <v>1.003</v>
      </c>
      <c r="D9700" s="51">
        <v>72.0</v>
      </c>
      <c r="E9700" s="52" t="s">
        <v>25</v>
      </c>
      <c r="F9700" s="52" t="s">
        <v>26</v>
      </c>
      <c r="G9700" s="53"/>
    </row>
    <row r="9701">
      <c r="A9701" s="49">
        <v>45123.015987314815</v>
      </c>
      <c r="B9701" s="50">
        <v>45123.1409554629</v>
      </c>
      <c r="C9701" s="51">
        <v>1.004</v>
      </c>
      <c r="D9701" s="51">
        <v>72.0</v>
      </c>
      <c r="E9701" s="52" t="s">
        <v>25</v>
      </c>
      <c r="F9701" s="52" t="s">
        <v>26</v>
      </c>
      <c r="G9701" s="53"/>
    </row>
    <row r="9702">
      <c r="A9702" s="49">
        <v>45123.02641638889</v>
      </c>
      <c r="B9702" s="50">
        <v>45123.1513875347</v>
      </c>
      <c r="C9702" s="51">
        <v>1.003</v>
      </c>
      <c r="D9702" s="51">
        <v>72.0</v>
      </c>
      <c r="E9702" s="52" t="s">
        <v>25</v>
      </c>
      <c r="F9702" s="52" t="s">
        <v>26</v>
      </c>
      <c r="G9702" s="53"/>
    </row>
    <row r="9703">
      <c r="A9703" s="49">
        <v>45123.03683868056</v>
      </c>
      <c r="B9703" s="50">
        <v>45123.1618081018</v>
      </c>
      <c r="C9703" s="51">
        <v>1.003</v>
      </c>
      <c r="D9703" s="51">
        <v>72.0</v>
      </c>
      <c r="E9703" s="52" t="s">
        <v>25</v>
      </c>
      <c r="F9703" s="52" t="s">
        <v>26</v>
      </c>
      <c r="G9703" s="53"/>
    </row>
    <row r="9704">
      <c r="A9704" s="49">
        <v>45123.0472674537</v>
      </c>
      <c r="B9704" s="50">
        <v>45123.1722302777</v>
      </c>
      <c r="C9704" s="51">
        <v>1.003</v>
      </c>
      <c r="D9704" s="51">
        <v>72.0</v>
      </c>
      <c r="E9704" s="52" t="s">
        <v>25</v>
      </c>
      <c r="F9704" s="52" t="s">
        <v>26</v>
      </c>
      <c r="G9704" s="53"/>
    </row>
    <row r="9705">
      <c r="A9705" s="49">
        <v>45123.05768319445</v>
      </c>
      <c r="B9705" s="50">
        <v>45123.1826500347</v>
      </c>
      <c r="C9705" s="51">
        <v>1.003</v>
      </c>
      <c r="D9705" s="51">
        <v>72.0</v>
      </c>
      <c r="E9705" s="52" t="s">
        <v>25</v>
      </c>
      <c r="F9705" s="52" t="s">
        <v>26</v>
      </c>
      <c r="G9705" s="53"/>
    </row>
    <row r="9706">
      <c r="A9706" s="49">
        <v>45123.06813909722</v>
      </c>
      <c r="B9706" s="50">
        <v>45123.193116875</v>
      </c>
      <c r="C9706" s="51">
        <v>1.003</v>
      </c>
      <c r="D9706" s="51">
        <v>72.0</v>
      </c>
      <c r="E9706" s="52" t="s">
        <v>25</v>
      </c>
      <c r="F9706" s="52" t="s">
        <v>26</v>
      </c>
      <c r="G9706" s="53"/>
    </row>
    <row r="9707">
      <c r="A9707" s="49">
        <v>45123.07856814815</v>
      </c>
      <c r="B9707" s="50">
        <v>45123.2035387615</v>
      </c>
      <c r="C9707" s="51">
        <v>1.003</v>
      </c>
      <c r="D9707" s="51">
        <v>72.0</v>
      </c>
      <c r="E9707" s="52" t="s">
        <v>25</v>
      </c>
      <c r="F9707" s="52" t="s">
        <v>26</v>
      </c>
      <c r="G9707" s="53"/>
    </row>
    <row r="9708">
      <c r="A9708" s="49">
        <v>45123.08898483796</v>
      </c>
      <c r="B9708" s="50">
        <v>45123.2139590393</v>
      </c>
      <c r="C9708" s="51">
        <v>1.003</v>
      </c>
      <c r="D9708" s="51">
        <v>72.0</v>
      </c>
      <c r="E9708" s="52" t="s">
        <v>25</v>
      </c>
      <c r="F9708" s="52" t="s">
        <v>26</v>
      </c>
      <c r="G9708" s="53"/>
    </row>
    <row r="9709">
      <c r="A9709" s="49">
        <v>45123.09941034722</v>
      </c>
      <c r="B9709" s="50">
        <v>45123.2243803703</v>
      </c>
      <c r="C9709" s="51">
        <v>1.003</v>
      </c>
      <c r="D9709" s="51">
        <v>72.0</v>
      </c>
      <c r="E9709" s="52" t="s">
        <v>25</v>
      </c>
      <c r="F9709" s="52" t="s">
        <v>26</v>
      </c>
      <c r="G9709" s="53"/>
    </row>
    <row r="9710">
      <c r="A9710" s="49">
        <v>45123.10982783565</v>
      </c>
      <c r="B9710" s="50">
        <v>45123.2348005092</v>
      </c>
      <c r="C9710" s="51">
        <v>1.003</v>
      </c>
      <c r="D9710" s="51">
        <v>72.0</v>
      </c>
      <c r="E9710" s="52" t="s">
        <v>25</v>
      </c>
      <c r="F9710" s="52" t="s">
        <v>26</v>
      </c>
      <c r="G9710" s="53"/>
    </row>
    <row r="9711">
      <c r="A9711" s="49">
        <v>45123.12026517361</v>
      </c>
      <c r="B9711" s="50">
        <v>45123.245234155</v>
      </c>
      <c r="C9711" s="51">
        <v>1.004</v>
      </c>
      <c r="D9711" s="51">
        <v>72.0</v>
      </c>
      <c r="E9711" s="52" t="s">
        <v>25</v>
      </c>
      <c r="F9711" s="52" t="s">
        <v>26</v>
      </c>
      <c r="G9711" s="53"/>
    </row>
    <row r="9712">
      <c r="A9712" s="49">
        <v>45123.130676678236</v>
      </c>
      <c r="B9712" s="50">
        <v>45123.2556557638</v>
      </c>
      <c r="C9712" s="51">
        <v>1.003</v>
      </c>
      <c r="D9712" s="51">
        <v>72.0</v>
      </c>
      <c r="E9712" s="52" t="s">
        <v>25</v>
      </c>
      <c r="F9712" s="52" t="s">
        <v>26</v>
      </c>
      <c r="G9712" s="53"/>
    </row>
    <row r="9713">
      <c r="A9713" s="49">
        <v>45123.1411065162</v>
      </c>
      <c r="B9713" s="50">
        <v>45123.2660773842</v>
      </c>
      <c r="C9713" s="51">
        <v>1.004</v>
      </c>
      <c r="D9713" s="51">
        <v>72.0</v>
      </c>
      <c r="E9713" s="52" t="s">
        <v>25</v>
      </c>
      <c r="F9713" s="52" t="s">
        <v>26</v>
      </c>
      <c r="G9713" s="53"/>
    </row>
    <row r="9714">
      <c r="A9714" s="49">
        <v>45123.151532372685</v>
      </c>
      <c r="B9714" s="50">
        <v>45123.276500081</v>
      </c>
      <c r="C9714" s="51">
        <v>1.003</v>
      </c>
      <c r="D9714" s="51">
        <v>72.0</v>
      </c>
      <c r="E9714" s="52" t="s">
        <v>25</v>
      </c>
      <c r="F9714" s="52" t="s">
        <v>26</v>
      </c>
      <c r="G9714" s="53"/>
    </row>
    <row r="9715">
      <c r="A9715" s="49">
        <v>45123.161950775466</v>
      </c>
      <c r="B9715" s="50">
        <v>45123.28692125</v>
      </c>
      <c r="C9715" s="51">
        <v>1.003</v>
      </c>
      <c r="D9715" s="51">
        <v>72.0</v>
      </c>
      <c r="E9715" s="52" t="s">
        <v>25</v>
      </c>
      <c r="F9715" s="52" t="s">
        <v>26</v>
      </c>
      <c r="G9715" s="53"/>
    </row>
    <row r="9716">
      <c r="A9716" s="49">
        <v>45123.17236278935</v>
      </c>
      <c r="B9716" s="50">
        <v>45123.297343125</v>
      </c>
      <c r="C9716" s="51">
        <v>1.003</v>
      </c>
      <c r="D9716" s="51">
        <v>72.0</v>
      </c>
      <c r="E9716" s="52" t="s">
        <v>25</v>
      </c>
      <c r="F9716" s="52" t="s">
        <v>26</v>
      </c>
      <c r="G9716" s="53"/>
    </row>
    <row r="9717">
      <c r="A9717" s="49">
        <v>45123.18279622685</v>
      </c>
      <c r="B9717" s="50">
        <v>45123.3077633449</v>
      </c>
      <c r="C9717" s="51">
        <v>1.003</v>
      </c>
      <c r="D9717" s="51">
        <v>72.0</v>
      </c>
      <c r="E9717" s="52" t="s">
        <v>25</v>
      </c>
      <c r="F9717" s="52" t="s">
        <v>26</v>
      </c>
      <c r="G9717" s="53"/>
    </row>
    <row r="9718">
      <c r="A9718" s="49">
        <v>45123.19320871528</v>
      </c>
      <c r="B9718" s="50">
        <v>45123.3181828935</v>
      </c>
      <c r="C9718" s="51">
        <v>1.004</v>
      </c>
      <c r="D9718" s="51">
        <v>72.0</v>
      </c>
      <c r="E9718" s="52" t="s">
        <v>25</v>
      </c>
      <c r="F9718" s="52" t="s">
        <v>26</v>
      </c>
      <c r="G9718" s="53"/>
    </row>
    <row r="9719">
      <c r="A9719" s="49">
        <v>45123.20363474537</v>
      </c>
      <c r="B9719" s="50">
        <v>45123.3286041435</v>
      </c>
      <c r="C9719" s="51">
        <v>1.003</v>
      </c>
      <c r="D9719" s="51">
        <v>72.0</v>
      </c>
      <c r="E9719" s="52" t="s">
        <v>25</v>
      </c>
      <c r="F9719" s="52" t="s">
        <v>26</v>
      </c>
      <c r="G9719" s="53"/>
    </row>
    <row r="9720">
      <c r="A9720" s="49">
        <v>45123.21405473379</v>
      </c>
      <c r="B9720" s="50">
        <v>45123.3390252546</v>
      </c>
      <c r="C9720" s="51">
        <v>1.003</v>
      </c>
      <c r="D9720" s="51">
        <v>72.0</v>
      </c>
      <c r="E9720" s="52" t="s">
        <v>25</v>
      </c>
      <c r="F9720" s="52" t="s">
        <v>26</v>
      </c>
      <c r="G9720" s="53"/>
    </row>
    <row r="9721">
      <c r="A9721" s="49">
        <v>45123.22447056713</v>
      </c>
      <c r="B9721" s="50">
        <v>45123.3494459259</v>
      </c>
      <c r="C9721" s="51">
        <v>1.003</v>
      </c>
      <c r="D9721" s="51">
        <v>72.0</v>
      </c>
      <c r="E9721" s="52" t="s">
        <v>25</v>
      </c>
      <c r="F9721" s="52" t="s">
        <v>26</v>
      </c>
      <c r="G9721" s="53"/>
    </row>
    <row r="9722">
      <c r="A9722" s="49">
        <v>45123.23489569445</v>
      </c>
      <c r="B9722" s="50">
        <v>45123.3598671296</v>
      </c>
      <c r="C9722" s="51">
        <v>1.003</v>
      </c>
      <c r="D9722" s="51">
        <v>72.0</v>
      </c>
      <c r="E9722" s="52" t="s">
        <v>25</v>
      </c>
      <c r="F9722" s="52" t="s">
        <v>26</v>
      </c>
      <c r="G9722" s="53"/>
    </row>
    <row r="9723">
      <c r="A9723" s="49">
        <v>45123.245312314815</v>
      </c>
      <c r="B9723" s="50">
        <v>45123.3702889351</v>
      </c>
      <c r="C9723" s="51">
        <v>1.004</v>
      </c>
      <c r="D9723" s="51">
        <v>72.0</v>
      </c>
      <c r="E9723" s="52" t="s">
        <v>25</v>
      </c>
      <c r="F9723" s="52" t="s">
        <v>26</v>
      </c>
      <c r="G9723" s="53"/>
    </row>
    <row r="9724">
      <c r="A9724" s="49">
        <v>45123.25574458334</v>
      </c>
      <c r="B9724" s="50">
        <v>45123.380710625</v>
      </c>
      <c r="C9724" s="51">
        <v>1.004</v>
      </c>
      <c r="D9724" s="51">
        <v>72.0</v>
      </c>
      <c r="E9724" s="52" t="s">
        <v>25</v>
      </c>
      <c r="F9724" s="52" t="s">
        <v>26</v>
      </c>
      <c r="G9724" s="53"/>
    </row>
    <row r="9725">
      <c r="A9725" s="49">
        <v>45123.266155613426</v>
      </c>
      <c r="B9725" s="50">
        <v>45123.3911317824</v>
      </c>
      <c r="C9725" s="51">
        <v>1.003</v>
      </c>
      <c r="D9725" s="51">
        <v>72.0</v>
      </c>
      <c r="E9725" s="52" t="s">
        <v>25</v>
      </c>
      <c r="F9725" s="52" t="s">
        <v>26</v>
      </c>
      <c r="G9725" s="53"/>
    </row>
    <row r="9726">
      <c r="A9726" s="49">
        <v>45123.27658449074</v>
      </c>
      <c r="B9726" s="50">
        <v>45123.4015523263</v>
      </c>
      <c r="C9726" s="51">
        <v>1.004</v>
      </c>
      <c r="D9726" s="51">
        <v>72.0</v>
      </c>
      <c r="E9726" s="52" t="s">
        <v>25</v>
      </c>
      <c r="F9726" s="52" t="s">
        <v>26</v>
      </c>
      <c r="G9726" s="53"/>
    </row>
    <row r="9727">
      <c r="A9727" s="49">
        <v>45123.28701288195</v>
      </c>
      <c r="B9727" s="50">
        <v>45123.4119855208</v>
      </c>
      <c r="C9727" s="51">
        <v>1.004</v>
      </c>
      <c r="D9727" s="51">
        <v>72.0</v>
      </c>
      <c r="E9727" s="52" t="s">
        <v>25</v>
      </c>
      <c r="F9727" s="52" t="s">
        <v>26</v>
      </c>
      <c r="G9727" s="53"/>
    </row>
    <row r="9728">
      <c r="A9728" s="49">
        <v>45123.29744194444</v>
      </c>
      <c r="B9728" s="50">
        <v>45123.4224078472</v>
      </c>
      <c r="C9728" s="51">
        <v>1.003</v>
      </c>
      <c r="D9728" s="51">
        <v>72.0</v>
      </c>
      <c r="E9728" s="52" t="s">
        <v>25</v>
      </c>
      <c r="F9728" s="52" t="s">
        <v>26</v>
      </c>
      <c r="G9728" s="53"/>
    </row>
    <row r="9729">
      <c r="A9729" s="49">
        <v>45123.30789600694</v>
      </c>
      <c r="B9729" s="50">
        <v>45123.4328644791</v>
      </c>
      <c r="C9729" s="51">
        <v>1.003</v>
      </c>
      <c r="D9729" s="51">
        <v>72.0</v>
      </c>
      <c r="E9729" s="52" t="s">
        <v>25</v>
      </c>
      <c r="F9729" s="52" t="s">
        <v>26</v>
      </c>
      <c r="G9729" s="53"/>
    </row>
    <row r="9730">
      <c r="A9730" s="49">
        <v>45123.318315729164</v>
      </c>
      <c r="B9730" s="50">
        <v>45123.4432850347</v>
      </c>
      <c r="C9730" s="51">
        <v>1.003</v>
      </c>
      <c r="D9730" s="51">
        <v>72.0</v>
      </c>
      <c r="E9730" s="52" t="s">
        <v>25</v>
      </c>
      <c r="F9730" s="52" t="s">
        <v>26</v>
      </c>
      <c r="G9730" s="53"/>
    </row>
    <row r="9731">
      <c r="A9731" s="49">
        <v>45123.328731319445</v>
      </c>
      <c r="B9731" s="50">
        <v>45123.4537075</v>
      </c>
      <c r="C9731" s="51">
        <v>1.003</v>
      </c>
      <c r="D9731" s="51">
        <v>72.0</v>
      </c>
      <c r="E9731" s="52" t="s">
        <v>25</v>
      </c>
      <c r="F9731" s="52" t="s">
        <v>26</v>
      </c>
      <c r="G9731" s="53"/>
    </row>
    <row r="9732">
      <c r="A9732" s="49">
        <v>45123.33916231482</v>
      </c>
      <c r="B9732" s="50">
        <v>45123.4641293287</v>
      </c>
      <c r="C9732" s="51">
        <v>1.003</v>
      </c>
      <c r="D9732" s="51">
        <v>72.0</v>
      </c>
      <c r="E9732" s="52" t="s">
        <v>25</v>
      </c>
      <c r="F9732" s="52" t="s">
        <v>26</v>
      </c>
      <c r="G9732" s="53"/>
    </row>
    <row r="9733">
      <c r="A9733" s="49">
        <v>45123.34957377314</v>
      </c>
      <c r="B9733" s="50">
        <v>45123.4745493634</v>
      </c>
      <c r="C9733" s="51">
        <v>1.003</v>
      </c>
      <c r="D9733" s="51">
        <v>72.0</v>
      </c>
      <c r="E9733" s="52" t="s">
        <v>25</v>
      </c>
      <c r="F9733" s="52" t="s">
        <v>26</v>
      </c>
      <c r="G9733" s="53"/>
    </row>
    <row r="9734">
      <c r="A9734" s="49">
        <v>45123.360752106484</v>
      </c>
      <c r="B9734" s="50">
        <v>45123.4849710185</v>
      </c>
      <c r="C9734" s="51">
        <v>1.003</v>
      </c>
      <c r="D9734" s="51">
        <v>72.0</v>
      </c>
      <c r="E9734" s="52" t="s">
        <v>25</v>
      </c>
      <c r="F9734" s="52" t="s">
        <v>26</v>
      </c>
      <c r="G9734" s="53"/>
    </row>
    <row r="9735">
      <c r="A9735" s="49">
        <v>45123.370422858796</v>
      </c>
      <c r="B9735" s="50">
        <v>45123.495392581</v>
      </c>
      <c r="C9735" s="51">
        <v>1.003</v>
      </c>
      <c r="D9735" s="51">
        <v>72.0</v>
      </c>
      <c r="E9735" s="52" t="s">
        <v>25</v>
      </c>
      <c r="F9735" s="52" t="s">
        <v>26</v>
      </c>
      <c r="G9735" s="53"/>
    </row>
    <row r="9736">
      <c r="A9736" s="49">
        <v>45123.38084841435</v>
      </c>
      <c r="B9736" s="50">
        <v>45123.5058126041</v>
      </c>
      <c r="C9736" s="51">
        <v>1.003</v>
      </c>
      <c r="D9736" s="51">
        <v>72.0</v>
      </c>
      <c r="E9736" s="52" t="s">
        <v>25</v>
      </c>
      <c r="F9736" s="52" t="s">
        <v>26</v>
      </c>
      <c r="G9736" s="53"/>
    </row>
    <row r="9737">
      <c r="A9737" s="49">
        <v>45123.39126600695</v>
      </c>
      <c r="B9737" s="50">
        <v>45123.5162319444</v>
      </c>
      <c r="C9737" s="51">
        <v>1.003</v>
      </c>
      <c r="D9737" s="51">
        <v>72.0</v>
      </c>
      <c r="E9737" s="52" t="s">
        <v>25</v>
      </c>
      <c r="F9737" s="52" t="s">
        <v>26</v>
      </c>
      <c r="G9737" s="53"/>
    </row>
    <row r="9738">
      <c r="A9738" s="49">
        <v>45123.40168516204</v>
      </c>
      <c r="B9738" s="50">
        <v>45123.5266551041</v>
      </c>
      <c r="C9738" s="51">
        <v>1.003</v>
      </c>
      <c r="D9738" s="51">
        <v>72.0</v>
      </c>
      <c r="E9738" s="52" t="s">
        <v>25</v>
      </c>
      <c r="F9738" s="52" t="s">
        <v>26</v>
      </c>
      <c r="G9738" s="53"/>
    </row>
    <row r="9739">
      <c r="A9739" s="49">
        <v>45123.41211331019</v>
      </c>
      <c r="B9739" s="50">
        <v>45123.537089618</v>
      </c>
      <c r="C9739" s="51">
        <v>1.003</v>
      </c>
      <c r="D9739" s="51">
        <v>72.0</v>
      </c>
      <c r="E9739" s="52" t="s">
        <v>25</v>
      </c>
      <c r="F9739" s="52" t="s">
        <v>26</v>
      </c>
      <c r="G9739" s="53"/>
    </row>
    <row r="9740">
      <c r="A9740" s="49">
        <v>45123.4225399537</v>
      </c>
      <c r="B9740" s="50">
        <v>45123.5475104745</v>
      </c>
      <c r="C9740" s="51">
        <v>1.004</v>
      </c>
      <c r="D9740" s="51">
        <v>72.0</v>
      </c>
      <c r="E9740" s="52" t="s">
        <v>25</v>
      </c>
      <c r="F9740" s="52" t="s">
        <v>26</v>
      </c>
      <c r="G9740" s="53"/>
    </row>
    <row r="9741">
      <c r="A9741" s="49">
        <v>45123.43296622685</v>
      </c>
      <c r="B9741" s="50">
        <v>45123.5579324652</v>
      </c>
      <c r="C9741" s="51">
        <v>1.003</v>
      </c>
      <c r="D9741" s="51">
        <v>72.0</v>
      </c>
      <c r="E9741" s="52" t="s">
        <v>25</v>
      </c>
      <c r="F9741" s="52" t="s">
        <v>26</v>
      </c>
      <c r="G9741" s="53"/>
    </row>
    <row r="9742">
      <c r="A9742" s="49">
        <v>45123.44338597222</v>
      </c>
      <c r="B9742" s="50">
        <v>45123.5683549189</v>
      </c>
      <c r="C9742" s="51">
        <v>1.003</v>
      </c>
      <c r="D9742" s="51">
        <v>72.0</v>
      </c>
      <c r="E9742" s="52" t="s">
        <v>25</v>
      </c>
      <c r="F9742" s="52" t="s">
        <v>26</v>
      </c>
      <c r="G9742" s="53"/>
    </row>
    <row r="9743">
      <c r="A9743" s="49">
        <v>45123.45380928241</v>
      </c>
      <c r="B9743" s="50">
        <v>45123.5787742939</v>
      </c>
      <c r="C9743" s="51">
        <v>1.003</v>
      </c>
      <c r="D9743" s="51">
        <v>72.0</v>
      </c>
      <c r="E9743" s="52" t="s">
        <v>25</v>
      </c>
      <c r="F9743" s="52" t="s">
        <v>26</v>
      </c>
      <c r="G9743" s="53"/>
    </row>
    <row r="9744">
      <c r="A9744" s="49">
        <v>45123.46422121528</v>
      </c>
      <c r="B9744" s="50">
        <v>45123.5891948495</v>
      </c>
      <c r="C9744" s="51">
        <v>1.003</v>
      </c>
      <c r="D9744" s="51">
        <v>72.0</v>
      </c>
      <c r="E9744" s="52" t="s">
        <v>25</v>
      </c>
      <c r="F9744" s="52" t="s">
        <v>26</v>
      </c>
      <c r="G9744" s="53"/>
    </row>
    <row r="9745">
      <c r="A9745" s="49">
        <v>45123.474643194444</v>
      </c>
      <c r="B9745" s="50">
        <v>45123.5996153703</v>
      </c>
      <c r="C9745" s="51">
        <v>1.003</v>
      </c>
      <c r="D9745" s="51">
        <v>72.0</v>
      </c>
      <c r="E9745" s="52" t="s">
        <v>25</v>
      </c>
      <c r="F9745" s="52" t="s">
        <v>26</v>
      </c>
      <c r="G9745" s="53"/>
    </row>
    <row r="9746">
      <c r="A9746" s="49">
        <v>45123.485062858796</v>
      </c>
      <c r="B9746" s="50">
        <v>45123.6100358333</v>
      </c>
      <c r="C9746" s="51">
        <v>1.003</v>
      </c>
      <c r="D9746" s="51">
        <v>72.0</v>
      </c>
      <c r="E9746" s="52" t="s">
        <v>25</v>
      </c>
      <c r="F9746" s="52" t="s">
        <v>26</v>
      </c>
      <c r="G9746" s="53"/>
    </row>
    <row r="9747">
      <c r="A9747" s="49">
        <v>45123.4955003588</v>
      </c>
      <c r="B9747" s="50">
        <v>45123.6204689004</v>
      </c>
      <c r="C9747" s="51">
        <v>1.003</v>
      </c>
      <c r="D9747" s="51">
        <v>72.0</v>
      </c>
      <c r="E9747" s="52" t="s">
        <v>25</v>
      </c>
      <c r="F9747" s="52" t="s">
        <v>26</v>
      </c>
      <c r="G9747" s="53"/>
    </row>
    <row r="9748">
      <c r="A9748" s="49">
        <v>45123.50591951389</v>
      </c>
      <c r="B9748" s="50">
        <v>45123.6308889699</v>
      </c>
      <c r="C9748" s="51">
        <v>1.003</v>
      </c>
      <c r="D9748" s="51">
        <v>72.0</v>
      </c>
      <c r="E9748" s="52" t="s">
        <v>25</v>
      </c>
      <c r="F9748" s="52" t="s">
        <v>26</v>
      </c>
      <c r="G9748" s="53"/>
    </row>
    <row r="9749">
      <c r="A9749" s="49">
        <v>45123.51635899306</v>
      </c>
      <c r="B9749" s="50">
        <v>45123.6413329745</v>
      </c>
      <c r="C9749" s="51">
        <v>1.003</v>
      </c>
      <c r="D9749" s="51">
        <v>72.0</v>
      </c>
      <c r="E9749" s="52" t="s">
        <v>25</v>
      </c>
      <c r="F9749" s="52" t="s">
        <v>26</v>
      </c>
      <c r="G9749" s="53"/>
    </row>
    <row r="9750">
      <c r="A9750" s="49">
        <v>45123.52678892361</v>
      </c>
      <c r="B9750" s="50">
        <v>45123.6517556018</v>
      </c>
      <c r="C9750" s="51">
        <v>1.003</v>
      </c>
      <c r="D9750" s="51">
        <v>72.0</v>
      </c>
      <c r="E9750" s="52" t="s">
        <v>25</v>
      </c>
      <c r="F9750" s="52" t="s">
        <v>26</v>
      </c>
      <c r="G9750" s="53"/>
    </row>
    <row r="9751">
      <c r="A9751" s="49">
        <v>45123.537200439816</v>
      </c>
      <c r="B9751" s="50">
        <v>45123.6621763888</v>
      </c>
      <c r="C9751" s="51">
        <v>1.004</v>
      </c>
      <c r="D9751" s="51">
        <v>72.0</v>
      </c>
      <c r="E9751" s="52" t="s">
        <v>25</v>
      </c>
      <c r="F9751" s="52" t="s">
        <v>26</v>
      </c>
      <c r="G9751" s="53"/>
    </row>
    <row r="9752">
      <c r="A9752" s="49">
        <v>45123.54763094908</v>
      </c>
      <c r="B9752" s="50">
        <v>45123.6725982175</v>
      </c>
      <c r="C9752" s="51">
        <v>1.003</v>
      </c>
      <c r="D9752" s="51">
        <v>72.0</v>
      </c>
      <c r="E9752" s="52" t="s">
        <v>25</v>
      </c>
      <c r="F9752" s="52" t="s">
        <v>26</v>
      </c>
      <c r="G9752" s="53"/>
    </row>
    <row r="9753">
      <c r="A9753" s="49">
        <v>45123.5580541088</v>
      </c>
      <c r="B9753" s="50">
        <v>45123.6830184259</v>
      </c>
      <c r="C9753" s="51">
        <v>1.003</v>
      </c>
      <c r="D9753" s="51">
        <v>72.0</v>
      </c>
      <c r="E9753" s="52" t="s">
        <v>25</v>
      </c>
      <c r="F9753" s="52" t="s">
        <v>26</v>
      </c>
      <c r="G9753" s="53"/>
    </row>
    <row r="9754">
      <c r="A9754" s="49">
        <v>45123.56846542824</v>
      </c>
      <c r="B9754" s="50">
        <v>45123.6934387268</v>
      </c>
      <c r="C9754" s="51">
        <v>1.004</v>
      </c>
      <c r="D9754" s="51">
        <v>72.0</v>
      </c>
      <c r="E9754" s="52" t="s">
        <v>25</v>
      </c>
      <c r="F9754" s="52" t="s">
        <v>26</v>
      </c>
      <c r="G9754" s="53"/>
    </row>
    <row r="9755">
      <c r="A9755" s="49">
        <v>45123.57888400463</v>
      </c>
      <c r="B9755" s="50">
        <v>45123.7038596296</v>
      </c>
      <c r="C9755" s="51">
        <v>1.003</v>
      </c>
      <c r="D9755" s="51">
        <v>72.0</v>
      </c>
      <c r="E9755" s="52" t="s">
        <v>25</v>
      </c>
      <c r="F9755" s="52" t="s">
        <v>26</v>
      </c>
      <c r="G9755" s="53"/>
    </row>
    <row r="9756">
      <c r="A9756" s="49">
        <v>45123.58931009259</v>
      </c>
      <c r="B9756" s="50">
        <v>45123.7142812384</v>
      </c>
      <c r="C9756" s="51">
        <v>1.003</v>
      </c>
      <c r="D9756" s="51">
        <v>72.0</v>
      </c>
      <c r="E9756" s="52" t="s">
        <v>25</v>
      </c>
      <c r="F9756" s="52" t="s">
        <v>26</v>
      </c>
      <c r="G9756" s="53"/>
    </row>
    <row r="9757">
      <c r="A9757" s="49">
        <v>45123.59974420139</v>
      </c>
      <c r="B9757" s="50">
        <v>45123.7247150926</v>
      </c>
      <c r="C9757" s="51">
        <v>1.003</v>
      </c>
      <c r="D9757" s="51">
        <v>72.0</v>
      </c>
      <c r="E9757" s="52" t="s">
        <v>25</v>
      </c>
      <c r="F9757" s="52" t="s">
        <v>26</v>
      </c>
      <c r="G9757" s="53"/>
    </row>
    <row r="9758">
      <c r="A9758" s="49">
        <v>45123.610171886576</v>
      </c>
      <c r="B9758" s="50">
        <v>45123.7351375578</v>
      </c>
      <c r="C9758" s="51">
        <v>1.003</v>
      </c>
      <c r="D9758" s="51">
        <v>72.0</v>
      </c>
      <c r="E9758" s="52" t="s">
        <v>25</v>
      </c>
      <c r="F9758" s="52" t="s">
        <v>26</v>
      </c>
      <c r="G9758" s="53"/>
    </row>
    <row r="9759">
      <c r="A9759" s="49">
        <v>45123.62059278935</v>
      </c>
      <c r="B9759" s="50">
        <v>45123.7455599189</v>
      </c>
      <c r="C9759" s="51">
        <v>1.003</v>
      </c>
      <c r="D9759" s="51">
        <v>72.0</v>
      </c>
      <c r="E9759" s="52" t="s">
        <v>25</v>
      </c>
      <c r="F9759" s="52" t="s">
        <v>26</v>
      </c>
      <c r="G9759" s="53"/>
    </row>
    <row r="9760">
      <c r="A9760" s="49">
        <v>45123.63100915509</v>
      </c>
      <c r="B9760" s="50">
        <v>45123.7559806134</v>
      </c>
      <c r="C9760" s="51">
        <v>1.003</v>
      </c>
      <c r="D9760" s="51">
        <v>72.0</v>
      </c>
      <c r="E9760" s="52" t="s">
        <v>25</v>
      </c>
      <c r="F9760" s="52" t="s">
        <v>26</v>
      </c>
      <c r="G9760" s="53"/>
    </row>
    <row r="9761">
      <c r="A9761" s="49">
        <v>45123.64143011574</v>
      </c>
      <c r="B9761" s="50">
        <v>45123.7664032523</v>
      </c>
      <c r="C9761" s="51">
        <v>1.004</v>
      </c>
      <c r="D9761" s="51">
        <v>72.0</v>
      </c>
      <c r="E9761" s="52" t="s">
        <v>25</v>
      </c>
      <c r="F9761" s="52" t="s">
        <v>26</v>
      </c>
      <c r="G9761" s="53"/>
    </row>
    <row r="9762">
      <c r="A9762" s="49">
        <v>45123.651854502314</v>
      </c>
      <c r="B9762" s="50">
        <v>45123.7768230208</v>
      </c>
      <c r="C9762" s="51">
        <v>1.003</v>
      </c>
      <c r="D9762" s="51">
        <v>72.0</v>
      </c>
      <c r="E9762" s="52" t="s">
        <v>25</v>
      </c>
      <c r="F9762" s="52" t="s">
        <v>26</v>
      </c>
      <c r="G9762" s="53"/>
    </row>
    <row r="9763">
      <c r="A9763" s="49">
        <v>45123.66227259259</v>
      </c>
      <c r="B9763" s="50">
        <v>45123.7872447801</v>
      </c>
      <c r="C9763" s="51">
        <v>1.003</v>
      </c>
      <c r="D9763" s="51">
        <v>72.0</v>
      </c>
      <c r="E9763" s="52" t="s">
        <v>25</v>
      </c>
      <c r="F9763" s="52" t="s">
        <v>26</v>
      </c>
      <c r="G9763" s="53"/>
    </row>
    <row r="9764">
      <c r="A9764" s="49">
        <v>45123.672708275466</v>
      </c>
      <c r="B9764" s="50">
        <v>45123.7976778588</v>
      </c>
      <c r="C9764" s="51">
        <v>1.003</v>
      </c>
      <c r="D9764" s="51">
        <v>72.0</v>
      </c>
      <c r="E9764" s="52" t="s">
        <v>25</v>
      </c>
      <c r="F9764" s="52" t="s">
        <v>26</v>
      </c>
      <c r="G9764" s="53"/>
    </row>
    <row r="9765">
      <c r="A9765" s="49">
        <v>45123.68312325231</v>
      </c>
      <c r="B9765" s="50">
        <v>45123.8081001504</v>
      </c>
      <c r="C9765" s="51">
        <v>1.003</v>
      </c>
      <c r="D9765" s="51">
        <v>72.0</v>
      </c>
      <c r="E9765" s="52" t="s">
        <v>25</v>
      </c>
      <c r="F9765" s="52" t="s">
        <v>26</v>
      </c>
      <c r="G9765" s="53"/>
    </row>
    <row r="9766">
      <c r="A9766" s="49">
        <v>45123.69355600694</v>
      </c>
      <c r="B9766" s="50">
        <v>45123.8185200347</v>
      </c>
      <c r="C9766" s="51">
        <v>1.003</v>
      </c>
      <c r="D9766" s="51">
        <v>72.0</v>
      </c>
      <c r="E9766" s="52" t="s">
        <v>25</v>
      </c>
      <c r="F9766" s="52" t="s">
        <v>26</v>
      </c>
      <c r="G9766" s="53"/>
    </row>
    <row r="9767">
      <c r="A9767" s="49">
        <v>45123.703984629625</v>
      </c>
      <c r="B9767" s="50">
        <v>45123.8289519097</v>
      </c>
      <c r="C9767" s="51">
        <v>1.003</v>
      </c>
      <c r="D9767" s="51">
        <v>72.0</v>
      </c>
      <c r="E9767" s="52" t="s">
        <v>25</v>
      </c>
      <c r="F9767" s="52" t="s">
        <v>26</v>
      </c>
      <c r="G9767" s="53"/>
    </row>
    <row r="9768">
      <c r="A9768" s="49">
        <v>45123.71439675926</v>
      </c>
      <c r="B9768" s="50">
        <v>45123.8393737152</v>
      </c>
      <c r="C9768" s="51">
        <v>1.003</v>
      </c>
      <c r="D9768" s="51">
        <v>72.0</v>
      </c>
      <c r="E9768" s="52" t="s">
        <v>25</v>
      </c>
      <c r="F9768" s="52" t="s">
        <v>26</v>
      </c>
      <c r="G9768" s="53"/>
    </row>
    <row r="9769">
      <c r="A9769" s="49">
        <v>45123.72482819445</v>
      </c>
      <c r="B9769" s="50">
        <v>45123.849794375</v>
      </c>
      <c r="C9769" s="51">
        <v>1.003</v>
      </c>
      <c r="D9769" s="51">
        <v>72.0</v>
      </c>
      <c r="E9769" s="52" t="s">
        <v>25</v>
      </c>
      <c r="F9769" s="52" t="s">
        <v>26</v>
      </c>
      <c r="G9769" s="53"/>
    </row>
    <row r="9770">
      <c r="A9770" s="49">
        <v>45123.73525090278</v>
      </c>
      <c r="B9770" s="50">
        <v>45123.8602156365</v>
      </c>
      <c r="C9770" s="51">
        <v>1.003</v>
      </c>
      <c r="D9770" s="51">
        <v>72.0</v>
      </c>
      <c r="E9770" s="52" t="s">
        <v>25</v>
      </c>
      <c r="F9770" s="52" t="s">
        <v>26</v>
      </c>
      <c r="G9770" s="53"/>
    </row>
    <row r="9771">
      <c r="A9771" s="49">
        <v>45123.745663657406</v>
      </c>
      <c r="B9771" s="50">
        <v>45123.8706354861</v>
      </c>
      <c r="C9771" s="51">
        <v>1.003</v>
      </c>
      <c r="D9771" s="51">
        <v>72.0</v>
      </c>
      <c r="E9771" s="52" t="s">
        <v>25</v>
      </c>
      <c r="F9771" s="52" t="s">
        <v>26</v>
      </c>
      <c r="G9771" s="53"/>
    </row>
    <row r="9772">
      <c r="A9772" s="49">
        <v>45123.756083726854</v>
      </c>
      <c r="B9772" s="50">
        <v>45123.8810581365</v>
      </c>
      <c r="C9772" s="51">
        <v>1.003</v>
      </c>
      <c r="D9772" s="51">
        <v>72.0</v>
      </c>
      <c r="E9772" s="52" t="s">
        <v>25</v>
      </c>
      <c r="F9772" s="52" t="s">
        <v>26</v>
      </c>
      <c r="G9772" s="53"/>
    </row>
    <row r="9773">
      <c r="A9773" s="49">
        <v>45123.76651449074</v>
      </c>
      <c r="B9773" s="50">
        <v>45123.8914798611</v>
      </c>
      <c r="C9773" s="51">
        <v>1.003</v>
      </c>
      <c r="D9773" s="51">
        <v>72.0</v>
      </c>
      <c r="E9773" s="52" t="s">
        <v>25</v>
      </c>
      <c r="F9773" s="52" t="s">
        <v>26</v>
      </c>
      <c r="G9773" s="53"/>
    </row>
    <row r="9774">
      <c r="A9774" s="49">
        <v>45123.776936689814</v>
      </c>
      <c r="B9774" s="50">
        <v>45123.901901956</v>
      </c>
      <c r="C9774" s="51">
        <v>1.003</v>
      </c>
      <c r="D9774" s="51">
        <v>72.0</v>
      </c>
      <c r="E9774" s="52" t="s">
        <v>25</v>
      </c>
      <c r="F9774" s="52" t="s">
        <v>26</v>
      </c>
      <c r="G9774" s="53"/>
    </row>
    <row r="9775">
      <c r="A9775" s="49">
        <v>45123.78734758102</v>
      </c>
      <c r="B9775" s="50">
        <v>45123.91232228</v>
      </c>
      <c r="C9775" s="51">
        <v>1.003</v>
      </c>
      <c r="D9775" s="51">
        <v>72.0</v>
      </c>
      <c r="E9775" s="52" t="s">
        <v>25</v>
      </c>
      <c r="F9775" s="52" t="s">
        <v>26</v>
      </c>
      <c r="G9775" s="53"/>
    </row>
    <row r="9776">
      <c r="A9776" s="49">
        <v>45123.79778086806</v>
      </c>
      <c r="B9776" s="50">
        <v>45123.9227439814</v>
      </c>
      <c r="C9776" s="51">
        <v>1.003</v>
      </c>
      <c r="D9776" s="51">
        <v>72.0</v>
      </c>
      <c r="E9776" s="52" t="s">
        <v>25</v>
      </c>
      <c r="F9776" s="52" t="s">
        <v>26</v>
      </c>
      <c r="G9776" s="53"/>
    </row>
    <row r="9777">
      <c r="A9777" s="49">
        <v>45123.808196412036</v>
      </c>
      <c r="B9777" s="50">
        <v>45123.9331657291</v>
      </c>
      <c r="C9777" s="51">
        <v>1.003</v>
      </c>
      <c r="D9777" s="51">
        <v>72.0</v>
      </c>
      <c r="E9777" s="52" t="s">
        <v>25</v>
      </c>
      <c r="F9777" s="52" t="s">
        <v>26</v>
      </c>
      <c r="G9777" s="53"/>
    </row>
    <row r="9778">
      <c r="A9778" s="49">
        <v>45123.81863003472</v>
      </c>
      <c r="B9778" s="50">
        <v>45123.9435987152</v>
      </c>
      <c r="C9778" s="51">
        <v>1.003</v>
      </c>
      <c r="D9778" s="51">
        <v>72.0</v>
      </c>
      <c r="E9778" s="52" t="s">
        <v>25</v>
      </c>
      <c r="F9778" s="52" t="s">
        <v>26</v>
      </c>
      <c r="G9778" s="53"/>
    </row>
    <row r="9779">
      <c r="A9779" s="49">
        <v>45123.82904509259</v>
      </c>
      <c r="B9779" s="50">
        <v>45123.9540195023</v>
      </c>
      <c r="C9779" s="51">
        <v>1.003</v>
      </c>
      <c r="D9779" s="51">
        <v>72.0</v>
      </c>
      <c r="E9779" s="52" t="s">
        <v>25</v>
      </c>
      <c r="F9779" s="52" t="s">
        <v>26</v>
      </c>
      <c r="G9779" s="53"/>
    </row>
    <row r="9780">
      <c r="A9780" s="49">
        <v>45123.8394735301</v>
      </c>
      <c r="B9780" s="50">
        <v>45123.9644406713</v>
      </c>
      <c r="C9780" s="51">
        <v>1.003</v>
      </c>
      <c r="D9780" s="51">
        <v>72.0</v>
      </c>
      <c r="E9780" s="52" t="s">
        <v>25</v>
      </c>
      <c r="F9780" s="52" t="s">
        <v>26</v>
      </c>
      <c r="G9780" s="53"/>
    </row>
    <row r="9781">
      <c r="A9781" s="49">
        <v>45123.84989369213</v>
      </c>
      <c r="B9781" s="50">
        <v>45123.9748628125</v>
      </c>
      <c r="C9781" s="51">
        <v>1.003</v>
      </c>
      <c r="D9781" s="51">
        <v>72.0</v>
      </c>
      <c r="E9781" s="52" t="s">
        <v>25</v>
      </c>
      <c r="F9781" s="52" t="s">
        <v>26</v>
      </c>
      <c r="G9781" s="53"/>
    </row>
    <row r="9782">
      <c r="A9782" s="49">
        <v>45123.86031744213</v>
      </c>
      <c r="B9782" s="50">
        <v>45123.9852964583</v>
      </c>
      <c r="C9782" s="51">
        <v>1.004</v>
      </c>
      <c r="D9782" s="51">
        <v>72.0</v>
      </c>
      <c r="E9782" s="52" t="s">
        <v>25</v>
      </c>
      <c r="F9782" s="52" t="s">
        <v>26</v>
      </c>
      <c r="G9782" s="53"/>
    </row>
    <row r="9783">
      <c r="A9783" s="49">
        <v>45123.87074466435</v>
      </c>
      <c r="B9783" s="50">
        <v>45123.9957172106</v>
      </c>
      <c r="C9783" s="51">
        <v>1.004</v>
      </c>
      <c r="D9783" s="51">
        <v>72.0</v>
      </c>
      <c r="E9783" s="52" t="s">
        <v>25</v>
      </c>
      <c r="F9783" s="52" t="s">
        <v>26</v>
      </c>
      <c r="G9783" s="53"/>
    </row>
    <row r="9784">
      <c r="A9784" s="49">
        <v>45123.88115773148</v>
      </c>
      <c r="B9784" s="50">
        <v>45124.0061368518</v>
      </c>
      <c r="C9784" s="51">
        <v>1.003</v>
      </c>
      <c r="D9784" s="51">
        <v>72.0</v>
      </c>
      <c r="E9784" s="52" t="s">
        <v>25</v>
      </c>
      <c r="F9784" s="52" t="s">
        <v>26</v>
      </c>
      <c r="G9784" s="53"/>
    </row>
    <row r="9785">
      <c r="A9785" s="49">
        <v>45123.89158759259</v>
      </c>
      <c r="B9785" s="50">
        <v>45124.0165588078</v>
      </c>
      <c r="C9785" s="51">
        <v>1.003</v>
      </c>
      <c r="D9785" s="51">
        <v>72.0</v>
      </c>
      <c r="E9785" s="52" t="s">
        <v>25</v>
      </c>
      <c r="F9785" s="52" t="s">
        <v>26</v>
      </c>
      <c r="G9785" s="53"/>
    </row>
    <row r="9786">
      <c r="A9786" s="49">
        <v>45123.90201373842</v>
      </c>
      <c r="B9786" s="50">
        <v>45124.0269803009</v>
      </c>
      <c r="C9786" s="51">
        <v>1.003</v>
      </c>
      <c r="D9786" s="51">
        <v>72.0</v>
      </c>
      <c r="E9786" s="52" t="s">
        <v>25</v>
      </c>
      <c r="F9786" s="52" t="s">
        <v>26</v>
      </c>
      <c r="G9786" s="53"/>
    </row>
    <row r="9787">
      <c r="A9787" s="49">
        <v>45123.91243618056</v>
      </c>
      <c r="B9787" s="50">
        <v>45124.0374015162</v>
      </c>
      <c r="C9787" s="51">
        <v>1.003</v>
      </c>
      <c r="D9787" s="51">
        <v>72.0</v>
      </c>
      <c r="E9787" s="52" t="s">
        <v>25</v>
      </c>
      <c r="F9787" s="52" t="s">
        <v>26</v>
      </c>
      <c r="G9787" s="53"/>
    </row>
    <row r="9788">
      <c r="A9788" s="49">
        <v>45123.92284987269</v>
      </c>
      <c r="B9788" s="50">
        <v>45124.0478222222</v>
      </c>
      <c r="C9788" s="51">
        <v>1.003</v>
      </c>
      <c r="D9788" s="51">
        <v>72.0</v>
      </c>
      <c r="E9788" s="52" t="s">
        <v>25</v>
      </c>
      <c r="F9788" s="52" t="s">
        <v>26</v>
      </c>
      <c r="G9788" s="53"/>
    </row>
    <row r="9789">
      <c r="A9789" s="49">
        <v>45123.93327916667</v>
      </c>
      <c r="B9789" s="50">
        <v>45124.0582557291</v>
      </c>
      <c r="C9789" s="51">
        <v>1.003</v>
      </c>
      <c r="D9789" s="51">
        <v>72.0</v>
      </c>
      <c r="E9789" s="52" t="s">
        <v>25</v>
      </c>
      <c r="F9789" s="52" t="s">
        <v>26</v>
      </c>
      <c r="G9789" s="53"/>
    </row>
    <row r="9790">
      <c r="A9790" s="49">
        <v>45123.95412879629</v>
      </c>
      <c r="B9790" s="50">
        <v>45124.0790997685</v>
      </c>
      <c r="C9790" s="51">
        <v>1.004</v>
      </c>
      <c r="D9790" s="51">
        <v>72.0</v>
      </c>
      <c r="E9790" s="52" t="s">
        <v>25</v>
      </c>
      <c r="F9790" s="52" t="s">
        <v>26</v>
      </c>
      <c r="G9790" s="53"/>
    </row>
    <row r="9791">
      <c r="A9791" s="49">
        <v>45123.964547916665</v>
      </c>
      <c r="B9791" s="50">
        <v>45124.0895199189</v>
      </c>
      <c r="C9791" s="51">
        <v>1.003</v>
      </c>
      <c r="D9791" s="51">
        <v>72.0</v>
      </c>
      <c r="E9791" s="52" t="s">
        <v>25</v>
      </c>
      <c r="F9791" s="52" t="s">
        <v>26</v>
      </c>
      <c r="G9791" s="53"/>
    </row>
    <row r="9792">
      <c r="A9792" s="49">
        <v>45123.97496997685</v>
      </c>
      <c r="B9792" s="50">
        <v>45124.0999425347</v>
      </c>
      <c r="C9792" s="51">
        <v>1.003</v>
      </c>
      <c r="D9792" s="51">
        <v>72.0</v>
      </c>
      <c r="E9792" s="52" t="s">
        <v>25</v>
      </c>
      <c r="F9792" s="52" t="s">
        <v>26</v>
      </c>
      <c r="G9792" s="53"/>
    </row>
    <row r="9793">
      <c r="A9793" s="49">
        <v>45123.98539822917</v>
      </c>
      <c r="B9793" s="50">
        <v>45124.1103630092</v>
      </c>
      <c r="C9793" s="51">
        <v>1.003</v>
      </c>
      <c r="D9793" s="51">
        <v>72.0</v>
      </c>
      <c r="E9793" s="52" t="s">
        <v>25</v>
      </c>
      <c r="F9793" s="52" t="s">
        <v>26</v>
      </c>
      <c r="G9793" s="53"/>
    </row>
    <row r="9794">
      <c r="A9794" s="49">
        <v>45123.99581091435</v>
      </c>
      <c r="B9794" s="50">
        <v>45124.1207833912</v>
      </c>
      <c r="C9794" s="51">
        <v>1.003</v>
      </c>
      <c r="D9794" s="51">
        <v>72.0</v>
      </c>
      <c r="E9794" s="52" t="s">
        <v>25</v>
      </c>
      <c r="F9794" s="52" t="s">
        <v>26</v>
      </c>
      <c r="G9794" s="53"/>
    </row>
    <row r="9795">
      <c r="A9795" s="49">
        <v>45124.00623704861</v>
      </c>
      <c r="B9795" s="50">
        <v>45124.1312054861</v>
      </c>
      <c r="C9795" s="51">
        <v>1.003</v>
      </c>
      <c r="D9795" s="51">
        <v>72.0</v>
      </c>
      <c r="E9795" s="52" t="s">
        <v>25</v>
      </c>
      <c r="F9795" s="52" t="s">
        <v>26</v>
      </c>
      <c r="G9795" s="53"/>
    </row>
    <row r="9796">
      <c r="A9796" s="49">
        <v>45124.01665974537</v>
      </c>
      <c r="B9796" s="50">
        <v>45124.1416276504</v>
      </c>
      <c r="C9796" s="51">
        <v>1.003</v>
      </c>
      <c r="D9796" s="51">
        <v>72.0</v>
      </c>
      <c r="E9796" s="52" t="s">
        <v>25</v>
      </c>
      <c r="F9796" s="52" t="s">
        <v>26</v>
      </c>
      <c r="G9796" s="53"/>
    </row>
    <row r="9797">
      <c r="A9797" s="49">
        <v>45124.02709664352</v>
      </c>
      <c r="B9797" s="50">
        <v>45124.1520610648</v>
      </c>
      <c r="C9797" s="51">
        <v>1.003</v>
      </c>
      <c r="D9797" s="51">
        <v>72.0</v>
      </c>
      <c r="E9797" s="52" t="s">
        <v>25</v>
      </c>
      <c r="F9797" s="52" t="s">
        <v>26</v>
      </c>
      <c r="G9797" s="53"/>
    </row>
    <row r="9798">
      <c r="A9798" s="49">
        <v>45124.03751738426</v>
      </c>
      <c r="B9798" s="50">
        <v>45124.1624823611</v>
      </c>
      <c r="C9798" s="51">
        <v>1.003</v>
      </c>
      <c r="D9798" s="51">
        <v>72.0</v>
      </c>
      <c r="E9798" s="52" t="s">
        <v>25</v>
      </c>
      <c r="F9798" s="52" t="s">
        <v>26</v>
      </c>
      <c r="G9798" s="53"/>
    </row>
    <row r="9799">
      <c r="A9799" s="49">
        <v>45124.04795644676</v>
      </c>
      <c r="B9799" s="50">
        <v>45124.1729042824</v>
      </c>
      <c r="C9799" s="51">
        <v>1.003</v>
      </c>
      <c r="D9799" s="51">
        <v>72.0</v>
      </c>
      <c r="E9799" s="52" t="s">
        <v>25</v>
      </c>
      <c r="F9799" s="52" t="s">
        <v>26</v>
      </c>
      <c r="G9799" s="53"/>
    </row>
    <row r="9800">
      <c r="A9800" s="49">
        <v>45124.05835880787</v>
      </c>
      <c r="B9800" s="50">
        <v>45124.1833250231</v>
      </c>
      <c r="C9800" s="51">
        <v>1.004</v>
      </c>
      <c r="D9800" s="51">
        <v>72.0</v>
      </c>
      <c r="E9800" s="52" t="s">
        <v>25</v>
      </c>
      <c r="F9800" s="52" t="s">
        <v>26</v>
      </c>
      <c r="G9800" s="53"/>
    </row>
    <row r="9801">
      <c r="A9801" s="49">
        <v>45124.06878075231</v>
      </c>
      <c r="B9801" s="50">
        <v>45124.193746493</v>
      </c>
      <c r="C9801" s="51">
        <v>1.003</v>
      </c>
      <c r="D9801" s="51">
        <v>72.0</v>
      </c>
      <c r="E9801" s="52" t="s">
        <v>25</v>
      </c>
      <c r="F9801" s="52" t="s">
        <v>26</v>
      </c>
      <c r="G9801" s="53"/>
    </row>
    <row r="9802">
      <c r="A9802" s="49">
        <v>45124.07919202546</v>
      </c>
      <c r="B9802" s="50">
        <v>45124.2041678125</v>
      </c>
      <c r="C9802" s="51">
        <v>1.003</v>
      </c>
      <c r="D9802" s="51">
        <v>72.0</v>
      </c>
      <c r="E9802" s="52" t="s">
        <v>25</v>
      </c>
      <c r="F9802" s="52" t="s">
        <v>26</v>
      </c>
      <c r="G9802" s="53"/>
    </row>
    <row r="9803">
      <c r="A9803" s="49">
        <v>45124.089613749995</v>
      </c>
      <c r="B9803" s="50">
        <v>45124.2145898611</v>
      </c>
      <c r="C9803" s="51">
        <v>1.003</v>
      </c>
      <c r="D9803" s="51">
        <v>72.0</v>
      </c>
      <c r="E9803" s="52" t="s">
        <v>25</v>
      </c>
      <c r="F9803" s="52" t="s">
        <v>26</v>
      </c>
      <c r="G9803" s="53"/>
    </row>
    <row r="9804">
      <c r="A9804" s="49">
        <v>45124.10004085649</v>
      </c>
      <c r="B9804" s="50">
        <v>45124.2250095833</v>
      </c>
      <c r="C9804" s="51">
        <v>1.003</v>
      </c>
      <c r="D9804" s="51">
        <v>72.0</v>
      </c>
      <c r="E9804" s="52" t="s">
        <v>25</v>
      </c>
      <c r="F9804" s="52" t="s">
        <v>26</v>
      </c>
      <c r="G9804" s="53"/>
    </row>
    <row r="9805">
      <c r="A9805" s="49">
        <v>45124.11048631945</v>
      </c>
      <c r="B9805" s="50">
        <v>45124.2354440509</v>
      </c>
      <c r="C9805" s="51">
        <v>1.003</v>
      </c>
      <c r="D9805" s="51">
        <v>72.0</v>
      </c>
      <c r="E9805" s="52" t="s">
        <v>25</v>
      </c>
      <c r="F9805" s="52" t="s">
        <v>26</v>
      </c>
      <c r="G9805" s="53"/>
    </row>
    <row r="9806">
      <c r="A9806" s="49">
        <v>45124.12090893519</v>
      </c>
      <c r="B9806" s="50">
        <v>45124.2458749421</v>
      </c>
      <c r="C9806" s="51">
        <v>1.003</v>
      </c>
      <c r="D9806" s="51">
        <v>72.0</v>
      </c>
      <c r="E9806" s="52" t="s">
        <v>25</v>
      </c>
      <c r="F9806" s="52" t="s">
        <v>26</v>
      </c>
      <c r="G9806" s="53"/>
    </row>
    <row r="9807">
      <c r="A9807" s="49">
        <v>45124.13134319444</v>
      </c>
      <c r="B9807" s="50">
        <v>45124.2563078588</v>
      </c>
      <c r="C9807" s="51">
        <v>1.003</v>
      </c>
      <c r="D9807" s="51">
        <v>72.0</v>
      </c>
      <c r="E9807" s="52" t="s">
        <v>25</v>
      </c>
      <c r="F9807" s="52" t="s">
        <v>26</v>
      </c>
      <c r="G9807" s="53"/>
    </row>
    <row r="9808">
      <c r="A9808" s="49">
        <v>45124.14179622685</v>
      </c>
      <c r="B9808" s="50">
        <v>45124.2667642361</v>
      </c>
      <c r="C9808" s="51">
        <v>1.003</v>
      </c>
      <c r="D9808" s="51">
        <v>72.0</v>
      </c>
      <c r="E9808" s="52" t="s">
        <v>25</v>
      </c>
      <c r="F9808" s="52" t="s">
        <v>26</v>
      </c>
      <c r="G9808" s="53"/>
    </row>
    <row r="9809">
      <c r="A9809" s="49">
        <v>45124.1522203125</v>
      </c>
      <c r="B9809" s="50">
        <v>45124.2771982638</v>
      </c>
      <c r="C9809" s="51">
        <v>1.003</v>
      </c>
      <c r="D9809" s="51">
        <v>72.0</v>
      </c>
      <c r="E9809" s="52" t="s">
        <v>25</v>
      </c>
      <c r="F9809" s="52" t="s">
        <v>26</v>
      </c>
      <c r="G9809" s="53"/>
    </row>
    <row r="9810">
      <c r="A9810" s="49">
        <v>45124.1626475</v>
      </c>
      <c r="B9810" s="50">
        <v>45124.2876185648</v>
      </c>
      <c r="C9810" s="51">
        <v>1.003</v>
      </c>
      <c r="D9810" s="51">
        <v>72.0</v>
      </c>
      <c r="E9810" s="52" t="s">
        <v>25</v>
      </c>
      <c r="F9810" s="52" t="s">
        <v>26</v>
      </c>
      <c r="G9810" s="53"/>
    </row>
    <row r="9811">
      <c r="A9811" s="49">
        <v>45124.173088634256</v>
      </c>
      <c r="B9811" s="50">
        <v>45124.2980625347</v>
      </c>
      <c r="C9811" s="51">
        <v>1.003</v>
      </c>
      <c r="D9811" s="51">
        <v>72.0</v>
      </c>
      <c r="E9811" s="52" t="s">
        <v>25</v>
      </c>
      <c r="F9811" s="52" t="s">
        <v>26</v>
      </c>
      <c r="G9811" s="53"/>
    </row>
    <row r="9812">
      <c r="A9812" s="49">
        <v>45124.18351015046</v>
      </c>
      <c r="B9812" s="50">
        <v>45124.3084840856</v>
      </c>
      <c r="C9812" s="51">
        <v>1.003</v>
      </c>
      <c r="D9812" s="51">
        <v>72.0</v>
      </c>
      <c r="E9812" s="52" t="s">
        <v>25</v>
      </c>
      <c r="F9812" s="52" t="s">
        <v>26</v>
      </c>
      <c r="G9812" s="53"/>
    </row>
    <row r="9813">
      <c r="A9813" s="49">
        <v>45124.193937523145</v>
      </c>
      <c r="B9813" s="50">
        <v>45124.3189053472</v>
      </c>
      <c r="C9813" s="51">
        <v>1.003</v>
      </c>
      <c r="D9813" s="51">
        <v>72.0</v>
      </c>
      <c r="E9813" s="52" t="s">
        <v>25</v>
      </c>
      <c r="F9813" s="52" t="s">
        <v>26</v>
      </c>
      <c r="G9813" s="53"/>
    </row>
    <row r="9814">
      <c r="A9814" s="49">
        <v>45124.20436726852</v>
      </c>
      <c r="B9814" s="50">
        <v>45124.3293404629</v>
      </c>
      <c r="C9814" s="51">
        <v>1.004</v>
      </c>
      <c r="D9814" s="51">
        <v>72.0</v>
      </c>
      <c r="E9814" s="52" t="s">
        <v>25</v>
      </c>
      <c r="F9814" s="52" t="s">
        <v>26</v>
      </c>
      <c r="G9814" s="53"/>
    </row>
    <row r="9815">
      <c r="A9815" s="49">
        <v>45124.214792824074</v>
      </c>
      <c r="B9815" s="50">
        <v>45124.3397617129</v>
      </c>
      <c r="C9815" s="51">
        <v>1.003</v>
      </c>
      <c r="D9815" s="51">
        <v>72.0</v>
      </c>
      <c r="E9815" s="52" t="s">
        <v>25</v>
      </c>
      <c r="F9815" s="52" t="s">
        <v>26</v>
      </c>
      <c r="G9815" s="53"/>
    </row>
    <row r="9816">
      <c r="A9816" s="49">
        <v>45124.22521150463</v>
      </c>
      <c r="B9816" s="50">
        <v>45124.3501811111</v>
      </c>
      <c r="C9816" s="51">
        <v>1.003</v>
      </c>
      <c r="D9816" s="51">
        <v>72.0</v>
      </c>
      <c r="E9816" s="52" t="s">
        <v>25</v>
      </c>
      <c r="F9816" s="52" t="s">
        <v>26</v>
      </c>
      <c r="G9816" s="53"/>
    </row>
    <row r="9817">
      <c r="A9817" s="49">
        <v>45124.23563703704</v>
      </c>
      <c r="B9817" s="50">
        <v>45124.3606123958</v>
      </c>
      <c r="C9817" s="51">
        <v>1.003</v>
      </c>
      <c r="D9817" s="51">
        <v>72.0</v>
      </c>
      <c r="E9817" s="52" t="s">
        <v>25</v>
      </c>
      <c r="F9817" s="52" t="s">
        <v>26</v>
      </c>
      <c r="G9817" s="53"/>
    </row>
    <row r="9818">
      <c r="A9818" s="49">
        <v>45124.24606233796</v>
      </c>
      <c r="B9818" s="50">
        <v>45124.3710339467</v>
      </c>
      <c r="C9818" s="51">
        <v>1.003</v>
      </c>
      <c r="D9818" s="51">
        <v>72.0</v>
      </c>
      <c r="E9818" s="52" t="s">
        <v>25</v>
      </c>
      <c r="F9818" s="52" t="s">
        <v>26</v>
      </c>
      <c r="G9818" s="53"/>
    </row>
    <row r="9819">
      <c r="A9819" s="49">
        <v>45124.256496111106</v>
      </c>
      <c r="B9819" s="50">
        <v>45124.3814670601</v>
      </c>
      <c r="C9819" s="51">
        <v>1.003</v>
      </c>
      <c r="D9819" s="51">
        <v>72.0</v>
      </c>
      <c r="E9819" s="52" t="s">
        <v>25</v>
      </c>
      <c r="F9819" s="52" t="s">
        <v>26</v>
      </c>
      <c r="G9819" s="53"/>
    </row>
    <row r="9820">
      <c r="A9820" s="49">
        <v>45124.26691773148</v>
      </c>
      <c r="B9820" s="50">
        <v>45124.3918870254</v>
      </c>
      <c r="C9820" s="51">
        <v>1.003</v>
      </c>
      <c r="D9820" s="51">
        <v>72.0</v>
      </c>
      <c r="E9820" s="52" t="s">
        <v>25</v>
      </c>
      <c r="F9820" s="52" t="s">
        <v>26</v>
      </c>
      <c r="G9820" s="53"/>
    </row>
    <row r="9821">
      <c r="A9821" s="49">
        <v>45124.277349236116</v>
      </c>
      <c r="B9821" s="50">
        <v>45124.4023190509</v>
      </c>
      <c r="C9821" s="51">
        <v>1.003</v>
      </c>
      <c r="D9821" s="51">
        <v>72.0</v>
      </c>
      <c r="E9821" s="52" t="s">
        <v>25</v>
      </c>
      <c r="F9821" s="52" t="s">
        <v>26</v>
      </c>
      <c r="G9821" s="53"/>
    </row>
    <row r="9822">
      <c r="A9822" s="49">
        <v>45124.28777304398</v>
      </c>
      <c r="B9822" s="50">
        <v>45124.4127392129</v>
      </c>
      <c r="C9822" s="51">
        <v>1.003</v>
      </c>
      <c r="D9822" s="51">
        <v>72.0</v>
      </c>
      <c r="E9822" s="52" t="s">
        <v>25</v>
      </c>
      <c r="F9822" s="52" t="s">
        <v>26</v>
      </c>
      <c r="G9822" s="53"/>
    </row>
    <row r="9823">
      <c r="A9823" s="49">
        <v>45124.29818262732</v>
      </c>
      <c r="B9823" s="50">
        <v>45124.4231597106</v>
      </c>
      <c r="C9823" s="51">
        <v>1.003</v>
      </c>
      <c r="D9823" s="51">
        <v>72.0</v>
      </c>
      <c r="E9823" s="52" t="s">
        <v>25</v>
      </c>
      <c r="F9823" s="52" t="s">
        <v>26</v>
      </c>
      <c r="G9823" s="53"/>
    </row>
    <row r="9824">
      <c r="A9824" s="49">
        <v>45124.308618379626</v>
      </c>
      <c r="B9824" s="50">
        <v>45124.4335796296</v>
      </c>
      <c r="C9824" s="51">
        <v>1.004</v>
      </c>
      <c r="D9824" s="51">
        <v>72.0</v>
      </c>
      <c r="E9824" s="52" t="s">
        <v>25</v>
      </c>
      <c r="F9824" s="52" t="s">
        <v>26</v>
      </c>
      <c r="G9824" s="53"/>
    </row>
    <row r="9825">
      <c r="A9825" s="49">
        <v>45124.319040208335</v>
      </c>
      <c r="B9825" s="50">
        <v>45124.4440122222</v>
      </c>
      <c r="C9825" s="51">
        <v>1.003</v>
      </c>
      <c r="D9825" s="51">
        <v>72.0</v>
      </c>
      <c r="E9825" s="52" t="s">
        <v>25</v>
      </c>
      <c r="F9825" s="52" t="s">
        <v>26</v>
      </c>
      <c r="G9825" s="53"/>
    </row>
    <row r="9826">
      <c r="A9826" s="49">
        <v>45124.32946927083</v>
      </c>
      <c r="B9826" s="50">
        <v>45124.4544336226</v>
      </c>
      <c r="C9826" s="51">
        <v>1.003</v>
      </c>
      <c r="D9826" s="51">
        <v>72.0</v>
      </c>
      <c r="E9826" s="52" t="s">
        <v>25</v>
      </c>
      <c r="F9826" s="52" t="s">
        <v>26</v>
      </c>
      <c r="G9826" s="53"/>
    </row>
    <row r="9827">
      <c r="A9827" s="49">
        <v>45124.33988321759</v>
      </c>
      <c r="B9827" s="50">
        <v>45124.464854699</v>
      </c>
      <c r="C9827" s="51">
        <v>1.003</v>
      </c>
      <c r="D9827" s="51">
        <v>72.0</v>
      </c>
      <c r="E9827" s="52" t="s">
        <v>25</v>
      </c>
      <c r="F9827" s="52" t="s">
        <v>26</v>
      </c>
      <c r="G9827" s="53"/>
    </row>
    <row r="9828">
      <c r="A9828" s="49">
        <v>45124.35031523148</v>
      </c>
      <c r="B9828" s="50">
        <v>45124.4752873842</v>
      </c>
      <c r="C9828" s="51">
        <v>1.003</v>
      </c>
      <c r="D9828" s="51">
        <v>72.0</v>
      </c>
      <c r="E9828" s="52" t="s">
        <v>25</v>
      </c>
      <c r="F9828" s="52" t="s">
        <v>26</v>
      </c>
      <c r="G9828" s="53"/>
    </row>
    <row r="9829">
      <c r="A9829" s="49">
        <v>45124.36074255787</v>
      </c>
      <c r="B9829" s="50">
        <v>45124.485707743</v>
      </c>
      <c r="C9829" s="51">
        <v>1.003</v>
      </c>
      <c r="D9829" s="51">
        <v>72.0</v>
      </c>
      <c r="E9829" s="52" t="s">
        <v>25</v>
      </c>
      <c r="F9829" s="52" t="s">
        <v>26</v>
      </c>
      <c r="G9829" s="53"/>
    </row>
    <row r="9830">
      <c r="A9830" s="49">
        <v>45124.3711641088</v>
      </c>
      <c r="B9830" s="50">
        <v>45124.4961310995</v>
      </c>
      <c r="C9830" s="51">
        <v>1.003</v>
      </c>
      <c r="D9830" s="51">
        <v>72.0</v>
      </c>
      <c r="E9830" s="52" t="s">
        <v>25</v>
      </c>
      <c r="F9830" s="52" t="s">
        <v>26</v>
      </c>
      <c r="G9830" s="53"/>
    </row>
    <row r="9831">
      <c r="A9831" s="49">
        <v>45124.3815858912</v>
      </c>
      <c r="B9831" s="50">
        <v>45124.5065524884</v>
      </c>
      <c r="C9831" s="51">
        <v>1.003</v>
      </c>
      <c r="D9831" s="51">
        <v>72.0</v>
      </c>
      <c r="E9831" s="52" t="s">
        <v>25</v>
      </c>
      <c r="F9831" s="52" t="s">
        <v>26</v>
      </c>
      <c r="G9831" s="53"/>
    </row>
    <row r="9832">
      <c r="A9832" s="49">
        <v>45124.392040624996</v>
      </c>
      <c r="B9832" s="50">
        <v>45124.517008206</v>
      </c>
      <c r="C9832" s="51">
        <v>1.003</v>
      </c>
      <c r="D9832" s="51">
        <v>72.0</v>
      </c>
      <c r="E9832" s="52" t="s">
        <v>25</v>
      </c>
      <c r="F9832" s="52" t="s">
        <v>26</v>
      </c>
      <c r="G9832" s="53"/>
    </row>
    <row r="9833">
      <c r="A9833" s="49">
        <v>45124.40246210648</v>
      </c>
      <c r="B9833" s="50">
        <v>45124.5274306597</v>
      </c>
      <c r="C9833" s="51">
        <v>1.003</v>
      </c>
      <c r="D9833" s="51">
        <v>72.0</v>
      </c>
      <c r="E9833" s="52" t="s">
        <v>25</v>
      </c>
      <c r="F9833" s="52" t="s">
        <v>26</v>
      </c>
      <c r="G9833" s="53"/>
    </row>
    <row r="9834">
      <c r="A9834" s="49">
        <v>45124.4128784375</v>
      </c>
      <c r="B9834" s="50">
        <v>45124.5378502546</v>
      </c>
      <c r="C9834" s="51">
        <v>1.003</v>
      </c>
      <c r="D9834" s="51">
        <v>72.0</v>
      </c>
      <c r="E9834" s="52" t="s">
        <v>25</v>
      </c>
      <c r="F9834" s="52" t="s">
        <v>26</v>
      </c>
      <c r="G9834" s="53"/>
    </row>
    <row r="9835">
      <c r="A9835" s="49">
        <v>45124.42330790509</v>
      </c>
      <c r="B9835" s="50">
        <v>45124.5482713657</v>
      </c>
      <c r="C9835" s="51">
        <v>1.003</v>
      </c>
      <c r="D9835" s="51">
        <v>72.0</v>
      </c>
      <c r="E9835" s="52" t="s">
        <v>25</v>
      </c>
      <c r="F9835" s="52" t="s">
        <v>26</v>
      </c>
      <c r="G9835" s="53"/>
    </row>
    <row r="9836">
      <c r="A9836" s="49">
        <v>45124.43373469907</v>
      </c>
      <c r="B9836" s="50">
        <v>45124.5587036342</v>
      </c>
      <c r="C9836" s="51">
        <v>1.003</v>
      </c>
      <c r="D9836" s="51">
        <v>72.0</v>
      </c>
      <c r="E9836" s="52" t="s">
        <v>25</v>
      </c>
      <c r="F9836" s="52" t="s">
        <v>26</v>
      </c>
      <c r="G9836" s="53"/>
    </row>
    <row r="9837">
      <c r="A9837" s="49">
        <v>45124.4441584375</v>
      </c>
      <c r="B9837" s="50">
        <v>45124.569124699</v>
      </c>
      <c r="C9837" s="51">
        <v>1.003</v>
      </c>
      <c r="D9837" s="51">
        <v>72.0</v>
      </c>
      <c r="E9837" s="52" t="s">
        <v>25</v>
      </c>
      <c r="F9837" s="52" t="s">
        <v>26</v>
      </c>
      <c r="G9837" s="53"/>
    </row>
    <row r="9838">
      <c r="A9838" s="49">
        <v>45124.45456456019</v>
      </c>
      <c r="B9838" s="50">
        <v>45124.5795432986</v>
      </c>
      <c r="C9838" s="51">
        <v>1.004</v>
      </c>
      <c r="D9838" s="51">
        <v>72.0</v>
      </c>
      <c r="E9838" s="52" t="s">
        <v>25</v>
      </c>
      <c r="F9838" s="52" t="s">
        <v>26</v>
      </c>
      <c r="G9838" s="53"/>
    </row>
    <row r="9839">
      <c r="A9839" s="49">
        <v>45124.464993622685</v>
      </c>
      <c r="B9839" s="50">
        <v>45124.5899662152</v>
      </c>
      <c r="C9839" s="51">
        <v>1.003</v>
      </c>
      <c r="D9839" s="51">
        <v>72.0</v>
      </c>
      <c r="E9839" s="52" t="s">
        <v>25</v>
      </c>
      <c r="F9839" s="52" t="s">
        <v>26</v>
      </c>
      <c r="G9839" s="53"/>
    </row>
    <row r="9840">
      <c r="A9840" s="49">
        <v>45124.47540934027</v>
      </c>
      <c r="B9840" s="50">
        <v>45124.600387118</v>
      </c>
      <c r="C9840" s="51">
        <v>1.003</v>
      </c>
      <c r="D9840" s="51">
        <v>72.0</v>
      </c>
      <c r="E9840" s="52" t="s">
        <v>25</v>
      </c>
      <c r="F9840" s="52" t="s">
        <v>26</v>
      </c>
      <c r="G9840" s="53"/>
    </row>
    <row r="9841">
      <c r="A9841" s="49">
        <v>45124.48583630787</v>
      </c>
      <c r="B9841" s="50">
        <v>45124.6108082523</v>
      </c>
      <c r="C9841" s="51">
        <v>1.004</v>
      </c>
      <c r="D9841" s="51">
        <v>72.0</v>
      </c>
      <c r="E9841" s="52" t="s">
        <v>25</v>
      </c>
      <c r="F9841" s="52" t="s">
        <v>26</v>
      </c>
      <c r="G9841" s="53"/>
    </row>
    <row r="9842">
      <c r="A9842" s="49">
        <v>45124.496256701386</v>
      </c>
      <c r="B9842" s="50">
        <v>45124.6212287152</v>
      </c>
      <c r="C9842" s="51">
        <v>1.003</v>
      </c>
      <c r="D9842" s="51">
        <v>72.0</v>
      </c>
      <c r="E9842" s="52" t="s">
        <v>25</v>
      </c>
      <c r="F9842" s="52" t="s">
        <v>26</v>
      </c>
      <c r="G9842" s="53"/>
    </row>
    <row r="9843">
      <c r="A9843" s="49">
        <v>45124.506680810184</v>
      </c>
      <c r="B9843" s="50">
        <v>45124.6316499074</v>
      </c>
      <c r="C9843" s="51">
        <v>1.003</v>
      </c>
      <c r="D9843" s="51">
        <v>72.0</v>
      </c>
      <c r="E9843" s="52" t="s">
        <v>25</v>
      </c>
      <c r="F9843" s="52" t="s">
        <v>26</v>
      </c>
      <c r="G9843" s="53"/>
    </row>
    <row r="9844">
      <c r="A9844" s="49">
        <v>45124.51710790509</v>
      </c>
      <c r="B9844" s="50">
        <v>45124.6420825347</v>
      </c>
      <c r="C9844" s="51">
        <v>1.003</v>
      </c>
      <c r="D9844" s="51">
        <v>72.0</v>
      </c>
      <c r="E9844" s="52" t="s">
        <v>25</v>
      </c>
      <c r="F9844" s="52" t="s">
        <v>26</v>
      </c>
      <c r="G9844" s="53"/>
    </row>
    <row r="9845">
      <c r="A9845" s="49">
        <v>45124.527531354164</v>
      </c>
      <c r="B9845" s="50">
        <v>45124.65250375</v>
      </c>
      <c r="C9845" s="51">
        <v>1.004</v>
      </c>
      <c r="D9845" s="51">
        <v>72.0</v>
      </c>
      <c r="E9845" s="52" t="s">
        <v>25</v>
      </c>
      <c r="F9845" s="52" t="s">
        <v>26</v>
      </c>
      <c r="G9845" s="53"/>
    </row>
    <row r="9846">
      <c r="A9846" s="49">
        <v>45124.537965173615</v>
      </c>
      <c r="B9846" s="50">
        <v>45124.6629371759</v>
      </c>
      <c r="C9846" s="51">
        <v>1.004</v>
      </c>
      <c r="D9846" s="51">
        <v>72.0</v>
      </c>
      <c r="E9846" s="52" t="s">
        <v>25</v>
      </c>
      <c r="F9846" s="52" t="s">
        <v>26</v>
      </c>
      <c r="G9846" s="53"/>
    </row>
    <row r="9847">
      <c r="A9847" s="49">
        <v>45124.54838288194</v>
      </c>
      <c r="B9847" s="50">
        <v>45124.6733584838</v>
      </c>
      <c r="C9847" s="51">
        <v>1.003</v>
      </c>
      <c r="D9847" s="51">
        <v>72.0</v>
      </c>
      <c r="E9847" s="52" t="s">
        <v>25</v>
      </c>
      <c r="F9847" s="52" t="s">
        <v>26</v>
      </c>
      <c r="G9847" s="53"/>
    </row>
    <row r="9848">
      <c r="A9848" s="49">
        <v>45124.55881170139</v>
      </c>
      <c r="B9848" s="50">
        <v>45124.6837793518</v>
      </c>
      <c r="C9848" s="51">
        <v>1.003</v>
      </c>
      <c r="D9848" s="51">
        <v>72.0</v>
      </c>
      <c r="E9848" s="52" t="s">
        <v>25</v>
      </c>
      <c r="F9848" s="52" t="s">
        <v>26</v>
      </c>
      <c r="G9848" s="53"/>
    </row>
    <row r="9849">
      <c r="A9849" s="49">
        <v>45124.56923059028</v>
      </c>
      <c r="B9849" s="50">
        <v>45124.6941999421</v>
      </c>
      <c r="C9849" s="51">
        <v>1.003</v>
      </c>
      <c r="D9849" s="51">
        <v>72.0</v>
      </c>
      <c r="E9849" s="52" t="s">
        <v>25</v>
      </c>
      <c r="F9849" s="52" t="s">
        <v>26</v>
      </c>
      <c r="G9849" s="53"/>
    </row>
    <row r="9850">
      <c r="A9850" s="49">
        <v>45124.57965262732</v>
      </c>
      <c r="B9850" s="50">
        <v>45124.7046218171</v>
      </c>
      <c r="C9850" s="51">
        <v>1.003</v>
      </c>
      <c r="D9850" s="51">
        <v>72.0</v>
      </c>
      <c r="E9850" s="52" t="s">
        <v>25</v>
      </c>
      <c r="F9850" s="52" t="s">
        <v>26</v>
      </c>
      <c r="G9850" s="53"/>
    </row>
    <row r="9851">
      <c r="A9851" s="49">
        <v>45124.590079456015</v>
      </c>
      <c r="B9851" s="50">
        <v>45124.7150421875</v>
      </c>
      <c r="C9851" s="51">
        <v>1.003</v>
      </c>
      <c r="D9851" s="51">
        <v>72.0</v>
      </c>
      <c r="E9851" s="52" t="s">
        <v>25</v>
      </c>
      <c r="F9851" s="52" t="s">
        <v>26</v>
      </c>
      <c r="G9851" s="53"/>
    </row>
    <row r="9852">
      <c r="A9852" s="49">
        <v>45124.60048958333</v>
      </c>
      <c r="B9852" s="50">
        <v>45124.7254640162</v>
      </c>
      <c r="C9852" s="51">
        <v>1.003</v>
      </c>
      <c r="D9852" s="51">
        <v>72.0</v>
      </c>
      <c r="E9852" s="52" t="s">
        <v>25</v>
      </c>
      <c r="F9852" s="52" t="s">
        <v>26</v>
      </c>
      <c r="G9852" s="53"/>
    </row>
    <row r="9853">
      <c r="A9853" s="49">
        <v>45124.61092467593</v>
      </c>
      <c r="B9853" s="50">
        <v>45124.7358967708</v>
      </c>
      <c r="C9853" s="51">
        <v>1.003</v>
      </c>
      <c r="D9853" s="51">
        <v>72.0</v>
      </c>
      <c r="E9853" s="52" t="s">
        <v>25</v>
      </c>
      <c r="F9853" s="52" t="s">
        <v>26</v>
      </c>
      <c r="G9853" s="53"/>
    </row>
    <row r="9854">
      <c r="A9854" s="49">
        <v>45124.621348726854</v>
      </c>
      <c r="B9854" s="50">
        <v>45124.7463161921</v>
      </c>
      <c r="C9854" s="51">
        <v>1.003</v>
      </c>
      <c r="D9854" s="51">
        <v>72.0</v>
      </c>
      <c r="E9854" s="52" t="s">
        <v>25</v>
      </c>
      <c r="F9854" s="52" t="s">
        <v>26</v>
      </c>
      <c r="G9854" s="53"/>
    </row>
    <row r="9855">
      <c r="A9855" s="49">
        <v>45124.63177305556</v>
      </c>
      <c r="B9855" s="50">
        <v>45124.7567388657</v>
      </c>
      <c r="C9855" s="51">
        <v>1.003</v>
      </c>
      <c r="D9855" s="51">
        <v>72.0</v>
      </c>
      <c r="E9855" s="52" t="s">
        <v>25</v>
      </c>
      <c r="F9855" s="52" t="s">
        <v>26</v>
      </c>
      <c r="G9855" s="53"/>
    </row>
    <row r="9856">
      <c r="A9856" s="49">
        <v>45124.64219578703</v>
      </c>
      <c r="B9856" s="50">
        <v>45124.7671611805</v>
      </c>
      <c r="C9856" s="51">
        <v>1.003</v>
      </c>
      <c r="D9856" s="51">
        <v>72.0</v>
      </c>
      <c r="E9856" s="52" t="s">
        <v>25</v>
      </c>
      <c r="F9856" s="52" t="s">
        <v>26</v>
      </c>
      <c r="G9856" s="53"/>
    </row>
    <row r="9857">
      <c r="A9857" s="49">
        <v>45124.65260608796</v>
      </c>
      <c r="B9857" s="50">
        <v>45124.777583125</v>
      </c>
      <c r="C9857" s="51">
        <v>1.003</v>
      </c>
      <c r="D9857" s="51">
        <v>72.0</v>
      </c>
      <c r="E9857" s="52" t="s">
        <v>25</v>
      </c>
      <c r="F9857" s="52" t="s">
        <v>26</v>
      </c>
      <c r="G9857" s="53"/>
    </row>
    <row r="9858">
      <c r="A9858" s="49">
        <v>45124.66303835648</v>
      </c>
      <c r="B9858" s="50">
        <v>45124.7880049189</v>
      </c>
      <c r="C9858" s="51">
        <v>1.003</v>
      </c>
      <c r="D9858" s="51">
        <v>72.0</v>
      </c>
      <c r="E9858" s="52" t="s">
        <v>25</v>
      </c>
      <c r="F9858" s="52" t="s">
        <v>26</v>
      </c>
      <c r="G9858" s="53"/>
    </row>
    <row r="9859">
      <c r="A9859" s="49">
        <v>45124.67344824074</v>
      </c>
      <c r="B9859" s="50">
        <v>45124.7984235069</v>
      </c>
      <c r="C9859" s="51">
        <v>1.003</v>
      </c>
      <c r="D9859" s="51">
        <v>72.0</v>
      </c>
      <c r="E9859" s="52" t="s">
        <v>25</v>
      </c>
      <c r="F9859" s="52" t="s">
        <v>26</v>
      </c>
      <c r="G9859" s="53"/>
    </row>
    <row r="9860">
      <c r="A9860" s="49">
        <v>45124.6838741088</v>
      </c>
      <c r="B9860" s="50">
        <v>45124.8088432291</v>
      </c>
      <c r="C9860" s="51">
        <v>1.003</v>
      </c>
      <c r="D9860" s="51">
        <v>72.0</v>
      </c>
      <c r="E9860" s="52" t="s">
        <v>25</v>
      </c>
      <c r="F9860" s="52" t="s">
        <v>26</v>
      </c>
      <c r="G9860" s="53"/>
    </row>
    <row r="9861">
      <c r="A9861" s="49">
        <v>45124.69429408565</v>
      </c>
      <c r="B9861" s="50">
        <v>45124.8192631944</v>
      </c>
      <c r="C9861" s="51">
        <v>1.003</v>
      </c>
      <c r="D9861" s="51">
        <v>72.0</v>
      </c>
      <c r="E9861" s="52" t="s">
        <v>25</v>
      </c>
      <c r="F9861" s="52" t="s">
        <v>26</v>
      </c>
      <c r="G9861" s="53"/>
    </row>
    <row r="9862">
      <c r="A9862" s="49">
        <v>45124.70470756944</v>
      </c>
      <c r="B9862" s="50">
        <v>45124.8296840856</v>
      </c>
      <c r="C9862" s="51">
        <v>1.004</v>
      </c>
      <c r="D9862" s="51">
        <v>72.0</v>
      </c>
      <c r="E9862" s="52" t="s">
        <v>25</v>
      </c>
      <c r="F9862" s="52" t="s">
        <v>26</v>
      </c>
      <c r="G9862" s="53"/>
    </row>
    <row r="9863">
      <c r="A9863" s="49">
        <v>45124.71512699074</v>
      </c>
      <c r="B9863" s="50">
        <v>45124.8401049768</v>
      </c>
      <c r="C9863" s="51">
        <v>1.003</v>
      </c>
      <c r="D9863" s="51">
        <v>72.0</v>
      </c>
      <c r="E9863" s="52" t="s">
        <v>25</v>
      </c>
      <c r="F9863" s="52" t="s">
        <v>26</v>
      </c>
      <c r="G9863" s="53"/>
    </row>
    <row r="9864">
      <c r="A9864" s="49">
        <v>45124.72555387732</v>
      </c>
      <c r="B9864" s="50">
        <v>45124.8505275694</v>
      </c>
      <c r="C9864" s="51">
        <v>1.003</v>
      </c>
      <c r="D9864" s="51">
        <v>72.0</v>
      </c>
      <c r="E9864" s="52" t="s">
        <v>25</v>
      </c>
      <c r="F9864" s="52" t="s">
        <v>26</v>
      </c>
      <c r="G9864" s="53"/>
    </row>
    <row r="9865">
      <c r="A9865" s="49">
        <v>45124.73597185186</v>
      </c>
      <c r="B9865" s="50">
        <v>45124.8609478009</v>
      </c>
      <c r="C9865" s="51">
        <v>1.003</v>
      </c>
      <c r="D9865" s="51">
        <v>72.0</v>
      </c>
      <c r="E9865" s="52" t="s">
        <v>25</v>
      </c>
      <c r="F9865" s="52" t="s">
        <v>26</v>
      </c>
      <c r="G9865" s="53"/>
    </row>
    <row r="9866">
      <c r="A9866" s="49">
        <v>45124.746397106486</v>
      </c>
      <c r="B9866" s="50">
        <v>45124.8713700578</v>
      </c>
      <c r="C9866" s="51">
        <v>1.004</v>
      </c>
      <c r="D9866" s="51">
        <v>72.0</v>
      </c>
      <c r="E9866" s="52" t="s">
        <v>25</v>
      </c>
      <c r="F9866" s="52" t="s">
        <v>26</v>
      </c>
      <c r="G9866" s="53"/>
    </row>
    <row r="9867">
      <c r="A9867" s="49">
        <v>45124.75681517361</v>
      </c>
      <c r="B9867" s="50">
        <v>45124.8817912615</v>
      </c>
      <c r="C9867" s="51">
        <v>1.003</v>
      </c>
      <c r="D9867" s="51">
        <v>72.0</v>
      </c>
      <c r="E9867" s="52" t="s">
        <v>25</v>
      </c>
      <c r="F9867" s="52" t="s">
        <v>26</v>
      </c>
      <c r="G9867" s="53"/>
    </row>
    <row r="9868">
      <c r="A9868" s="49">
        <v>45124.767243078706</v>
      </c>
      <c r="B9868" s="50">
        <v>45124.8922117129</v>
      </c>
      <c r="C9868" s="51">
        <v>1.003</v>
      </c>
      <c r="D9868" s="51">
        <v>72.0</v>
      </c>
      <c r="E9868" s="52" t="s">
        <v>25</v>
      </c>
      <c r="F9868" s="52" t="s">
        <v>26</v>
      </c>
      <c r="G9868" s="53"/>
    </row>
    <row r="9869">
      <c r="A9869" s="49">
        <v>45124.777660162035</v>
      </c>
      <c r="B9869" s="50">
        <v>45124.9026317013</v>
      </c>
      <c r="C9869" s="51">
        <v>1.003</v>
      </c>
      <c r="D9869" s="51">
        <v>72.0</v>
      </c>
      <c r="E9869" s="52" t="s">
        <v>25</v>
      </c>
      <c r="F9869" s="52" t="s">
        <v>26</v>
      </c>
      <c r="G9869" s="53"/>
    </row>
    <row r="9870">
      <c r="A9870" s="49">
        <v>45124.78807334491</v>
      </c>
      <c r="B9870" s="50">
        <v>45124.9130540277</v>
      </c>
      <c r="C9870" s="51">
        <v>1.003</v>
      </c>
      <c r="D9870" s="51">
        <v>72.0</v>
      </c>
      <c r="E9870" s="52" t="s">
        <v>25</v>
      </c>
      <c r="F9870" s="52" t="s">
        <v>26</v>
      </c>
      <c r="G9870" s="53"/>
    </row>
    <row r="9871">
      <c r="A9871" s="49">
        <v>45124.79850152778</v>
      </c>
      <c r="B9871" s="50">
        <v>45124.9234735185</v>
      </c>
      <c r="C9871" s="51">
        <v>1.003</v>
      </c>
      <c r="D9871" s="51">
        <v>72.0</v>
      </c>
      <c r="E9871" s="52" t="s">
        <v>25</v>
      </c>
      <c r="F9871" s="52" t="s">
        <v>26</v>
      </c>
      <c r="G9871" s="53"/>
    </row>
    <row r="9872">
      <c r="A9872" s="49">
        <v>45124.80891743056</v>
      </c>
      <c r="B9872" s="50">
        <v>45124.9338955555</v>
      </c>
      <c r="C9872" s="51">
        <v>1.003</v>
      </c>
      <c r="D9872" s="51">
        <v>72.0</v>
      </c>
      <c r="E9872" s="52" t="s">
        <v>25</v>
      </c>
      <c r="F9872" s="52" t="s">
        <v>26</v>
      </c>
      <c r="G9872" s="53"/>
    </row>
    <row r="9873">
      <c r="A9873" s="49">
        <v>45124.81936842593</v>
      </c>
      <c r="B9873" s="50">
        <v>45124.9443410995</v>
      </c>
      <c r="C9873" s="51">
        <v>1.003</v>
      </c>
      <c r="D9873" s="51">
        <v>72.0</v>
      </c>
      <c r="E9873" s="52" t="s">
        <v>25</v>
      </c>
      <c r="F9873" s="52" t="s">
        <v>26</v>
      </c>
      <c r="G9873" s="53"/>
    </row>
    <row r="9874">
      <c r="A9874" s="49">
        <v>45124.82979876157</v>
      </c>
      <c r="B9874" s="50">
        <v>45124.9547722222</v>
      </c>
      <c r="C9874" s="51">
        <v>1.003</v>
      </c>
      <c r="D9874" s="51">
        <v>72.0</v>
      </c>
      <c r="E9874" s="52" t="s">
        <v>25</v>
      </c>
      <c r="F9874" s="52" t="s">
        <v>26</v>
      </c>
      <c r="G9874" s="53"/>
    </row>
    <row r="9875">
      <c r="A9875" s="49">
        <v>45124.840216875</v>
      </c>
      <c r="B9875" s="50">
        <v>45124.9651923611</v>
      </c>
      <c r="C9875" s="51">
        <v>1.003</v>
      </c>
      <c r="D9875" s="51">
        <v>72.0</v>
      </c>
      <c r="E9875" s="52" t="s">
        <v>25</v>
      </c>
      <c r="F9875" s="52" t="s">
        <v>26</v>
      </c>
      <c r="G9875" s="53"/>
    </row>
    <row r="9876">
      <c r="A9876" s="49">
        <v>45124.850646493054</v>
      </c>
      <c r="B9876" s="50">
        <v>45124.9756166203</v>
      </c>
      <c r="C9876" s="51">
        <v>1.003</v>
      </c>
      <c r="D9876" s="51">
        <v>72.0</v>
      </c>
      <c r="E9876" s="52" t="s">
        <v>25</v>
      </c>
      <c r="F9876" s="52" t="s">
        <v>26</v>
      </c>
      <c r="G9876" s="53"/>
    </row>
    <row r="9877">
      <c r="A9877" s="49">
        <v>45124.86106940972</v>
      </c>
      <c r="B9877" s="50">
        <v>45124.9860383333</v>
      </c>
      <c r="C9877" s="51">
        <v>1.003</v>
      </c>
      <c r="D9877" s="51">
        <v>72.0</v>
      </c>
      <c r="E9877" s="52" t="s">
        <v>25</v>
      </c>
      <c r="F9877" s="52" t="s">
        <v>26</v>
      </c>
      <c r="G9877" s="53"/>
    </row>
    <row r="9878">
      <c r="A9878" s="49">
        <v>45124.87149613426</v>
      </c>
      <c r="B9878" s="50">
        <v>45124.9964693634</v>
      </c>
      <c r="C9878" s="51">
        <v>1.003</v>
      </c>
      <c r="D9878" s="51">
        <v>72.0</v>
      </c>
      <c r="E9878" s="52" t="s">
        <v>25</v>
      </c>
      <c r="F9878" s="52" t="s">
        <v>26</v>
      </c>
      <c r="G9878" s="53"/>
    </row>
    <row r="9879">
      <c r="A9879" s="49">
        <v>45124.88192075232</v>
      </c>
      <c r="B9879" s="50">
        <v>45125.0068895254</v>
      </c>
      <c r="C9879" s="51">
        <v>1.003</v>
      </c>
      <c r="D9879" s="51">
        <v>72.0</v>
      </c>
      <c r="E9879" s="52" t="s">
        <v>25</v>
      </c>
      <c r="F9879" s="52" t="s">
        <v>26</v>
      </c>
      <c r="G9879" s="53"/>
    </row>
    <row r="9880">
      <c r="A9880" s="49">
        <v>45124.89233824074</v>
      </c>
      <c r="B9880" s="50">
        <v>45125.0173130092</v>
      </c>
      <c r="C9880" s="51">
        <v>1.003</v>
      </c>
      <c r="D9880" s="51">
        <v>72.0</v>
      </c>
      <c r="E9880" s="52" t="s">
        <v>25</v>
      </c>
      <c r="F9880" s="52" t="s">
        <v>26</v>
      </c>
      <c r="G9880" s="53"/>
    </row>
    <row r="9881">
      <c r="A9881" s="49">
        <v>45124.90275746528</v>
      </c>
      <c r="B9881" s="50">
        <v>45125.0277328819</v>
      </c>
      <c r="C9881" s="51">
        <v>1.003</v>
      </c>
      <c r="D9881" s="51">
        <v>72.0</v>
      </c>
      <c r="E9881" s="52" t="s">
        <v>25</v>
      </c>
      <c r="F9881" s="52" t="s">
        <v>26</v>
      </c>
      <c r="G9881" s="53"/>
    </row>
    <row r="9882">
      <c r="A9882" s="49">
        <v>45124.91318699074</v>
      </c>
      <c r="B9882" s="50">
        <v>45125.0381658449</v>
      </c>
      <c r="C9882" s="51">
        <v>1.003</v>
      </c>
      <c r="D9882" s="51">
        <v>72.0</v>
      </c>
      <c r="E9882" s="52" t="s">
        <v>25</v>
      </c>
      <c r="F9882" s="52" t="s">
        <v>26</v>
      </c>
      <c r="G9882" s="53"/>
    </row>
    <row r="9883">
      <c r="A9883" s="49">
        <v>45124.92360546296</v>
      </c>
      <c r="B9883" s="50">
        <v>45125.048586655</v>
      </c>
      <c r="C9883" s="51">
        <v>1.003</v>
      </c>
      <c r="D9883" s="51">
        <v>72.0</v>
      </c>
      <c r="E9883" s="52" t="s">
        <v>25</v>
      </c>
      <c r="F9883" s="52" t="s">
        <v>26</v>
      </c>
      <c r="G9883" s="53"/>
    </row>
    <row r="9884">
      <c r="A9884" s="49">
        <v>45124.93402674768</v>
      </c>
      <c r="B9884" s="50">
        <v>45125.0590079861</v>
      </c>
      <c r="C9884" s="51">
        <v>1.003</v>
      </c>
      <c r="D9884" s="51">
        <v>72.0</v>
      </c>
      <c r="E9884" s="52" t="s">
        <v>25</v>
      </c>
      <c r="F9884" s="52" t="s">
        <v>26</v>
      </c>
      <c r="G9884" s="53"/>
    </row>
    <row r="9885">
      <c r="A9885" s="49">
        <v>45124.94445027778</v>
      </c>
      <c r="B9885" s="50">
        <v>45125.0694284027</v>
      </c>
      <c r="C9885" s="51">
        <v>1.003</v>
      </c>
      <c r="D9885" s="51">
        <v>72.0</v>
      </c>
      <c r="E9885" s="52" t="s">
        <v>25</v>
      </c>
      <c r="F9885" s="52" t="s">
        <v>26</v>
      </c>
      <c r="G9885" s="53"/>
    </row>
    <row r="9886">
      <c r="A9886" s="49">
        <v>45124.9548831713</v>
      </c>
      <c r="B9886" s="50">
        <v>45125.0798507407</v>
      </c>
      <c r="C9886" s="51">
        <v>1.003</v>
      </c>
      <c r="D9886" s="51">
        <v>72.0</v>
      </c>
      <c r="E9886" s="52" t="s">
        <v>25</v>
      </c>
      <c r="F9886" s="52" t="s">
        <v>26</v>
      </c>
      <c r="G9886" s="53"/>
    </row>
    <row r="9887">
      <c r="A9887" s="49">
        <v>45124.96530752315</v>
      </c>
      <c r="B9887" s="50">
        <v>45125.0902712268</v>
      </c>
      <c r="C9887" s="51">
        <v>1.003</v>
      </c>
      <c r="D9887" s="51">
        <v>72.0</v>
      </c>
      <c r="E9887" s="52" t="s">
        <v>25</v>
      </c>
      <c r="F9887" s="52" t="s">
        <v>26</v>
      </c>
      <c r="G9887" s="53"/>
    </row>
    <row r="9888">
      <c r="A9888" s="49">
        <v>45124.97572296296</v>
      </c>
      <c r="B9888" s="50">
        <v>45125.1006914467</v>
      </c>
      <c r="C9888" s="51">
        <v>1.003</v>
      </c>
      <c r="D9888" s="51">
        <v>72.0</v>
      </c>
      <c r="E9888" s="52" t="s">
        <v>25</v>
      </c>
      <c r="F9888" s="52" t="s">
        <v>26</v>
      </c>
      <c r="G9888" s="53"/>
    </row>
    <row r="9889">
      <c r="A9889" s="49">
        <v>45124.986139189816</v>
      </c>
      <c r="B9889" s="50">
        <v>45125.1111117245</v>
      </c>
      <c r="C9889" s="51">
        <v>1.003</v>
      </c>
      <c r="D9889" s="51">
        <v>72.0</v>
      </c>
      <c r="E9889" s="52" t="s">
        <v>25</v>
      </c>
      <c r="F9889" s="52" t="s">
        <v>26</v>
      </c>
      <c r="G9889" s="53"/>
    </row>
    <row r="9890">
      <c r="A9890" s="49">
        <v>45124.996555694444</v>
      </c>
      <c r="B9890" s="50">
        <v>45125.1215332638</v>
      </c>
      <c r="C9890" s="51">
        <v>1.003</v>
      </c>
      <c r="D9890" s="51">
        <v>72.0</v>
      </c>
      <c r="E9890" s="52" t="s">
        <v>25</v>
      </c>
      <c r="F9890" s="52" t="s">
        <v>26</v>
      </c>
      <c r="G9890" s="53"/>
    </row>
    <row r="9891">
      <c r="A9891" s="49">
        <v>45125.00697814814</v>
      </c>
      <c r="B9891" s="50">
        <v>45125.1319547685</v>
      </c>
      <c r="C9891" s="51">
        <v>1.004</v>
      </c>
      <c r="D9891" s="51">
        <v>72.0</v>
      </c>
      <c r="E9891" s="52" t="s">
        <v>25</v>
      </c>
      <c r="F9891" s="52" t="s">
        <v>26</v>
      </c>
      <c r="G9891" s="53"/>
    </row>
    <row r="9892">
      <c r="A9892" s="49">
        <v>45125.01740689814</v>
      </c>
      <c r="B9892" s="50">
        <v>45125.1423739467</v>
      </c>
      <c r="C9892" s="51">
        <v>1.003</v>
      </c>
      <c r="D9892" s="51">
        <v>72.0</v>
      </c>
      <c r="E9892" s="52" t="s">
        <v>25</v>
      </c>
      <c r="F9892" s="52" t="s">
        <v>26</v>
      </c>
      <c r="G9892" s="53"/>
    </row>
    <row r="9893">
      <c r="A9893" s="49">
        <v>45125.02781758102</v>
      </c>
      <c r="B9893" s="50">
        <v>45125.1527946412</v>
      </c>
      <c r="C9893" s="51">
        <v>1.003</v>
      </c>
      <c r="D9893" s="51">
        <v>72.0</v>
      </c>
      <c r="E9893" s="52" t="s">
        <v>25</v>
      </c>
      <c r="F9893" s="52" t="s">
        <v>26</v>
      </c>
      <c r="G9893" s="53"/>
    </row>
    <row r="9894">
      <c r="A9894" s="49">
        <v>45125.03824945602</v>
      </c>
      <c r="B9894" s="50">
        <v>45125.1632161689</v>
      </c>
      <c r="C9894" s="51">
        <v>1.003</v>
      </c>
      <c r="D9894" s="51">
        <v>72.0</v>
      </c>
      <c r="E9894" s="52" t="s">
        <v>25</v>
      </c>
      <c r="F9894" s="52" t="s">
        <v>26</v>
      </c>
      <c r="G9894" s="53"/>
    </row>
    <row r="9895">
      <c r="A9895" s="49">
        <v>45125.04866925926</v>
      </c>
      <c r="B9895" s="50">
        <v>45125.1736367592</v>
      </c>
      <c r="C9895" s="51">
        <v>1.003</v>
      </c>
      <c r="D9895" s="51">
        <v>72.0</v>
      </c>
      <c r="E9895" s="52" t="s">
        <v>25</v>
      </c>
      <c r="F9895" s="52" t="s">
        <v>26</v>
      </c>
      <c r="G9895" s="53"/>
    </row>
    <row r="9896">
      <c r="A9896" s="49">
        <v>45125.059082962965</v>
      </c>
      <c r="B9896" s="50">
        <v>45125.1840549074</v>
      </c>
      <c r="C9896" s="51">
        <v>1.003</v>
      </c>
      <c r="D9896" s="51">
        <v>72.0</v>
      </c>
      <c r="E9896" s="52" t="s">
        <v>25</v>
      </c>
      <c r="F9896" s="52" t="s">
        <v>26</v>
      </c>
      <c r="G9896" s="53"/>
    </row>
    <row r="9897">
      <c r="A9897" s="49">
        <v>45125.06950269676</v>
      </c>
      <c r="B9897" s="50">
        <v>45125.194476655</v>
      </c>
      <c r="C9897" s="51">
        <v>1.003</v>
      </c>
      <c r="D9897" s="51">
        <v>72.0</v>
      </c>
      <c r="E9897" s="52" t="s">
        <v>25</v>
      </c>
      <c r="F9897" s="52" t="s">
        <v>26</v>
      </c>
      <c r="G9897" s="53"/>
    </row>
    <row r="9898">
      <c r="A9898" s="49">
        <v>45125.07992908565</v>
      </c>
      <c r="B9898" s="50">
        <v>45125.204898831</v>
      </c>
      <c r="C9898" s="51">
        <v>1.003</v>
      </c>
      <c r="D9898" s="51">
        <v>72.0</v>
      </c>
      <c r="E9898" s="52" t="s">
        <v>25</v>
      </c>
      <c r="F9898" s="52" t="s">
        <v>26</v>
      </c>
      <c r="G9898" s="53"/>
    </row>
    <row r="9899">
      <c r="A9899" s="49">
        <v>45125.09035513889</v>
      </c>
      <c r="B9899" s="50">
        <v>45125.2153212037</v>
      </c>
      <c r="C9899" s="51">
        <v>1.004</v>
      </c>
      <c r="D9899" s="51">
        <v>72.0</v>
      </c>
      <c r="E9899" s="52" t="s">
        <v>25</v>
      </c>
      <c r="F9899" s="52" t="s">
        <v>26</v>
      </c>
      <c r="G9899" s="53"/>
    </row>
    <row r="9900">
      <c r="A9900" s="49">
        <v>45125.1007702662</v>
      </c>
      <c r="B9900" s="50">
        <v>45125.2257432407</v>
      </c>
      <c r="C9900" s="51">
        <v>1.003</v>
      </c>
      <c r="D9900" s="51">
        <v>72.0</v>
      </c>
      <c r="E9900" s="52" t="s">
        <v>25</v>
      </c>
      <c r="F9900" s="52" t="s">
        <v>26</v>
      </c>
      <c r="G9900" s="53"/>
    </row>
    <row r="9901">
      <c r="A9901" s="49">
        <v>45125.11118738426</v>
      </c>
      <c r="B9901" s="50">
        <v>45125.2361641898</v>
      </c>
      <c r="C9901" s="51">
        <v>1.003</v>
      </c>
      <c r="D9901" s="51">
        <v>72.0</v>
      </c>
      <c r="E9901" s="52" t="s">
        <v>25</v>
      </c>
      <c r="F9901" s="52" t="s">
        <v>26</v>
      </c>
      <c r="G9901" s="53"/>
    </row>
    <row r="9902">
      <c r="A9902" s="49">
        <v>45125.12161398148</v>
      </c>
      <c r="B9902" s="50">
        <v>45125.2465844791</v>
      </c>
      <c r="C9902" s="51">
        <v>1.004</v>
      </c>
      <c r="D9902" s="51">
        <v>72.0</v>
      </c>
      <c r="E9902" s="52" t="s">
        <v>25</v>
      </c>
      <c r="F9902" s="52" t="s">
        <v>26</v>
      </c>
      <c r="G9902" s="53"/>
    </row>
    <row r="9903">
      <c r="A9903" s="49">
        <v>45125.13203574074</v>
      </c>
      <c r="B9903" s="50">
        <v>45125.2570045486</v>
      </c>
      <c r="C9903" s="51">
        <v>1.003</v>
      </c>
      <c r="D9903" s="51">
        <v>72.0</v>
      </c>
      <c r="E9903" s="52" t="s">
        <v>25</v>
      </c>
      <c r="F9903" s="52" t="s">
        <v>26</v>
      </c>
      <c r="G9903" s="53"/>
    </row>
    <row r="9904">
      <c r="A9904" s="49">
        <v>45125.142445590274</v>
      </c>
      <c r="B9904" s="50">
        <v>45125.2674234027</v>
      </c>
      <c r="C9904" s="51">
        <v>1.003</v>
      </c>
      <c r="D9904" s="51">
        <v>72.0</v>
      </c>
      <c r="E9904" s="52" t="s">
        <v>25</v>
      </c>
      <c r="F9904" s="52" t="s">
        <v>26</v>
      </c>
      <c r="G9904" s="53"/>
    </row>
    <row r="9905">
      <c r="A9905" s="49">
        <v>45125.15288395833</v>
      </c>
      <c r="B9905" s="50">
        <v>45125.2778564699</v>
      </c>
      <c r="C9905" s="51">
        <v>1.003</v>
      </c>
      <c r="D9905" s="51">
        <v>72.0</v>
      </c>
      <c r="E9905" s="52" t="s">
        <v>25</v>
      </c>
      <c r="F9905" s="52" t="s">
        <v>26</v>
      </c>
      <c r="G9905" s="53"/>
    </row>
    <row r="9906">
      <c r="A9906" s="49">
        <v>45125.16331863426</v>
      </c>
      <c r="B9906" s="50">
        <v>45125.2882884606</v>
      </c>
      <c r="C9906" s="51">
        <v>1.003</v>
      </c>
      <c r="D9906" s="51">
        <v>72.0</v>
      </c>
      <c r="E9906" s="52" t="s">
        <v>25</v>
      </c>
      <c r="F9906" s="52" t="s">
        <v>26</v>
      </c>
      <c r="G9906" s="53"/>
    </row>
    <row r="9907">
      <c r="A9907" s="49">
        <v>45125.17373097222</v>
      </c>
      <c r="B9907" s="50">
        <v>45125.2987082407</v>
      </c>
      <c r="C9907" s="51">
        <v>1.003</v>
      </c>
      <c r="D9907" s="51">
        <v>72.0</v>
      </c>
      <c r="E9907" s="52" t="s">
        <v>25</v>
      </c>
      <c r="F9907" s="52" t="s">
        <v>26</v>
      </c>
      <c r="G9907" s="53"/>
    </row>
    <row r="9908">
      <c r="A9908" s="49">
        <v>45125.18417140046</v>
      </c>
      <c r="B9908" s="50">
        <v>45125.3091411574</v>
      </c>
      <c r="C9908" s="51">
        <v>1.003</v>
      </c>
      <c r="D9908" s="51">
        <v>72.0</v>
      </c>
      <c r="E9908" s="52" t="s">
        <v>25</v>
      </c>
      <c r="F9908" s="52" t="s">
        <v>26</v>
      </c>
      <c r="G9908" s="53"/>
    </row>
    <row r="9909">
      <c r="A9909" s="49">
        <v>45125.19458578704</v>
      </c>
      <c r="B9909" s="50">
        <v>45125.3195632176</v>
      </c>
      <c r="C9909" s="51">
        <v>1.003</v>
      </c>
      <c r="D9909" s="51">
        <v>72.0</v>
      </c>
      <c r="E9909" s="52" t="s">
        <v>25</v>
      </c>
      <c r="F9909" s="52" t="s">
        <v>26</v>
      </c>
      <c r="G9909" s="53"/>
    </row>
    <row r="9910">
      <c r="A9910" s="49">
        <v>45125.20500884259</v>
      </c>
      <c r="B9910" s="50">
        <v>45125.329983449</v>
      </c>
      <c r="C9910" s="51">
        <v>1.003</v>
      </c>
      <c r="D9910" s="51">
        <v>72.0</v>
      </c>
      <c r="E9910" s="52" t="s">
        <v>25</v>
      </c>
      <c r="F9910" s="52" t="s">
        <v>26</v>
      </c>
      <c r="G9910" s="53"/>
    </row>
    <row r="9911">
      <c r="A9911" s="49">
        <v>45125.21547840278</v>
      </c>
      <c r="B9911" s="50">
        <v>45125.3404515856</v>
      </c>
      <c r="C9911" s="51">
        <v>1.003</v>
      </c>
      <c r="D9911" s="51">
        <v>72.0</v>
      </c>
      <c r="E9911" s="52" t="s">
        <v>25</v>
      </c>
      <c r="F9911" s="52" t="s">
        <v>26</v>
      </c>
      <c r="G9911" s="53"/>
    </row>
    <row r="9912">
      <c r="A9912" s="49">
        <v>45125.22589756944</v>
      </c>
      <c r="B9912" s="50">
        <v>45125.3508722916</v>
      </c>
      <c r="C9912" s="51">
        <v>1.003</v>
      </c>
      <c r="D9912" s="51">
        <v>72.0</v>
      </c>
      <c r="E9912" s="52" t="s">
        <v>25</v>
      </c>
      <c r="F9912" s="52" t="s">
        <v>26</v>
      </c>
      <c r="G9912" s="53"/>
    </row>
    <row r="9913">
      <c r="A9913" s="49">
        <v>45125.23632358796</v>
      </c>
      <c r="B9913" s="50">
        <v>45125.3612940856</v>
      </c>
      <c r="C9913" s="51">
        <v>1.003</v>
      </c>
      <c r="D9913" s="51">
        <v>72.0</v>
      </c>
      <c r="E9913" s="52" t="s">
        <v>25</v>
      </c>
      <c r="F9913" s="52" t="s">
        <v>26</v>
      </c>
      <c r="G9913" s="53"/>
    </row>
    <row r="9914">
      <c r="A9914" s="49">
        <v>45125.24676351852</v>
      </c>
      <c r="B9914" s="50">
        <v>45125.3717259143</v>
      </c>
      <c r="C9914" s="51">
        <v>1.003</v>
      </c>
      <c r="D9914" s="51">
        <v>72.0</v>
      </c>
      <c r="E9914" s="52" t="s">
        <v>25</v>
      </c>
      <c r="F9914" s="52" t="s">
        <v>26</v>
      </c>
      <c r="G9914" s="53"/>
    </row>
    <row r="9915">
      <c r="A9915" s="49">
        <v>45125.25717431713</v>
      </c>
      <c r="B9915" s="50">
        <v>45125.382146875</v>
      </c>
      <c r="C9915" s="51">
        <v>1.003</v>
      </c>
      <c r="D9915" s="51">
        <v>72.0</v>
      </c>
      <c r="E9915" s="52" t="s">
        <v>25</v>
      </c>
      <c r="F9915" s="52" t="s">
        <v>26</v>
      </c>
      <c r="G9915" s="53"/>
    </row>
    <row r="9916">
      <c r="A9916" s="49">
        <v>45125.26760101852</v>
      </c>
      <c r="B9916" s="50">
        <v>45125.3925684143</v>
      </c>
      <c r="C9916" s="51">
        <v>1.003</v>
      </c>
      <c r="D9916" s="51">
        <v>72.0</v>
      </c>
      <c r="E9916" s="52" t="s">
        <v>25</v>
      </c>
      <c r="F9916" s="52" t="s">
        <v>26</v>
      </c>
      <c r="G9916" s="53"/>
    </row>
    <row r="9917">
      <c r="A9917" s="49">
        <v>45125.278012870374</v>
      </c>
      <c r="B9917" s="50">
        <v>45125.4029920949</v>
      </c>
      <c r="C9917" s="51">
        <v>1.004</v>
      </c>
      <c r="D9917" s="51">
        <v>72.0</v>
      </c>
      <c r="E9917" s="52" t="s">
        <v>25</v>
      </c>
      <c r="F9917" s="52" t="s">
        <v>26</v>
      </c>
      <c r="G9917" s="53"/>
    </row>
    <row r="9918">
      <c r="A9918" s="49">
        <v>45125.28843479167</v>
      </c>
      <c r="B9918" s="50">
        <v>45125.4134131713</v>
      </c>
      <c r="C9918" s="51">
        <v>1.003</v>
      </c>
      <c r="D9918" s="51">
        <v>72.0</v>
      </c>
      <c r="E9918" s="52" t="s">
        <v>25</v>
      </c>
      <c r="F9918" s="52" t="s">
        <v>26</v>
      </c>
      <c r="G9918" s="53"/>
    </row>
    <row r="9919">
      <c r="A9919" s="49">
        <v>45125.29886623843</v>
      </c>
      <c r="B9919" s="50">
        <v>45125.4238340162</v>
      </c>
      <c r="C9919" s="51">
        <v>1.003</v>
      </c>
      <c r="D9919" s="51">
        <v>72.0</v>
      </c>
      <c r="E9919" s="52" t="s">
        <v>25</v>
      </c>
      <c r="F9919" s="52" t="s">
        <v>26</v>
      </c>
      <c r="G9919" s="53"/>
    </row>
    <row r="9920">
      <c r="A9920" s="49">
        <v>45125.309288379634</v>
      </c>
      <c r="B9920" s="50">
        <v>45125.4342534722</v>
      </c>
      <c r="C9920" s="51">
        <v>1.003</v>
      </c>
      <c r="D9920" s="51">
        <v>72.0</v>
      </c>
      <c r="E9920" s="52" t="s">
        <v>25</v>
      </c>
      <c r="F9920" s="52" t="s">
        <v>26</v>
      </c>
      <c r="G9920" s="53"/>
    </row>
    <row r="9921">
      <c r="A9921" s="49">
        <v>45125.31970390046</v>
      </c>
      <c r="B9921" s="50">
        <v>45125.4446736111</v>
      </c>
      <c r="C9921" s="51">
        <v>1.003</v>
      </c>
      <c r="D9921" s="51">
        <v>72.0</v>
      </c>
      <c r="E9921" s="52" t="s">
        <v>25</v>
      </c>
      <c r="F9921" s="52" t="s">
        <v>26</v>
      </c>
      <c r="G9921" s="53"/>
    </row>
    <row r="9922">
      <c r="A9922" s="49">
        <v>45125.33012650463</v>
      </c>
      <c r="B9922" s="50">
        <v>45125.4551067013</v>
      </c>
      <c r="C9922" s="51">
        <v>1.003</v>
      </c>
      <c r="D9922" s="51">
        <v>72.0</v>
      </c>
      <c r="E9922" s="52" t="s">
        <v>25</v>
      </c>
      <c r="F9922" s="52" t="s">
        <v>26</v>
      </c>
      <c r="G9922" s="53"/>
    </row>
    <row r="9923">
      <c r="A9923" s="49">
        <v>45125.34055922454</v>
      </c>
      <c r="B9923" s="50">
        <v>45125.4655285185</v>
      </c>
      <c r="C9923" s="51">
        <v>1.003</v>
      </c>
      <c r="D9923" s="51">
        <v>72.0</v>
      </c>
      <c r="E9923" s="52" t="s">
        <v>25</v>
      </c>
      <c r="F9923" s="52" t="s">
        <v>26</v>
      </c>
      <c r="G9923" s="53"/>
    </row>
    <row r="9924">
      <c r="A9924" s="49">
        <v>45125.35102935185</v>
      </c>
      <c r="B9924" s="50">
        <v>45125.4759954398</v>
      </c>
      <c r="C9924" s="51">
        <v>1.003</v>
      </c>
      <c r="D9924" s="51">
        <v>72.0</v>
      </c>
      <c r="E9924" s="52" t="s">
        <v>25</v>
      </c>
      <c r="F9924" s="52" t="s">
        <v>26</v>
      </c>
      <c r="G9924" s="53"/>
    </row>
    <row r="9925">
      <c r="A9925" s="49">
        <v>45125.36144143519</v>
      </c>
      <c r="B9925" s="50">
        <v>45125.4864182407</v>
      </c>
      <c r="C9925" s="51">
        <v>1.003</v>
      </c>
      <c r="D9925" s="51">
        <v>72.0</v>
      </c>
      <c r="E9925" s="52" t="s">
        <v>25</v>
      </c>
      <c r="F9925" s="52" t="s">
        <v>26</v>
      </c>
      <c r="G9925" s="53"/>
    </row>
    <row r="9926">
      <c r="A9926" s="49">
        <v>45125.37186668981</v>
      </c>
      <c r="B9926" s="50">
        <v>45125.4968398032</v>
      </c>
      <c r="C9926" s="51">
        <v>1.003</v>
      </c>
      <c r="D9926" s="51">
        <v>72.0</v>
      </c>
      <c r="E9926" s="52" t="s">
        <v>25</v>
      </c>
      <c r="F9926" s="52" t="s">
        <v>26</v>
      </c>
      <c r="G9926" s="53"/>
    </row>
    <row r="9927">
      <c r="A9927" s="49">
        <v>45125.38228921297</v>
      </c>
      <c r="B9927" s="50">
        <v>45125.5072609143</v>
      </c>
      <c r="C9927" s="51">
        <v>1.003</v>
      </c>
      <c r="D9927" s="51">
        <v>72.0</v>
      </c>
      <c r="E9927" s="52" t="s">
        <v>25</v>
      </c>
      <c r="F9927" s="52" t="s">
        <v>26</v>
      </c>
      <c r="G9927" s="53"/>
    </row>
    <row r="9928">
      <c r="A9928" s="49">
        <v>45125.39271559028</v>
      </c>
      <c r="B9928" s="50">
        <v>45125.5176817592</v>
      </c>
      <c r="C9928" s="51">
        <v>1.003</v>
      </c>
      <c r="D9928" s="51">
        <v>72.0</v>
      </c>
      <c r="E9928" s="52" t="s">
        <v>25</v>
      </c>
      <c r="F9928" s="52" t="s">
        <v>26</v>
      </c>
      <c r="G9928" s="53"/>
    </row>
    <row r="9929">
      <c r="A9929" s="49">
        <v>45125.40314297454</v>
      </c>
      <c r="B9929" s="50">
        <v>45125.5281034143</v>
      </c>
      <c r="C9929" s="51">
        <v>1.003</v>
      </c>
      <c r="D9929" s="51">
        <v>72.0</v>
      </c>
      <c r="E9929" s="52" t="s">
        <v>25</v>
      </c>
      <c r="F9929" s="52" t="s">
        <v>26</v>
      </c>
      <c r="G9929" s="53"/>
    </row>
    <row r="9930">
      <c r="A9930" s="49">
        <v>45125.41355895833</v>
      </c>
      <c r="B9930" s="50">
        <v>45125.5385236458</v>
      </c>
      <c r="C9930" s="51">
        <v>1.003</v>
      </c>
      <c r="D9930" s="51">
        <v>72.0</v>
      </c>
      <c r="E9930" s="52" t="s">
        <v>25</v>
      </c>
      <c r="F9930" s="52" t="s">
        <v>26</v>
      </c>
      <c r="G9930" s="53"/>
    </row>
    <row r="9931">
      <c r="A9931" s="49">
        <v>45125.42397520834</v>
      </c>
      <c r="B9931" s="50">
        <v>45125.548945787</v>
      </c>
      <c r="C9931" s="51">
        <v>1.003</v>
      </c>
      <c r="D9931" s="51">
        <v>72.0</v>
      </c>
      <c r="E9931" s="52" t="s">
        <v>25</v>
      </c>
      <c r="F9931" s="52" t="s">
        <v>26</v>
      </c>
      <c r="G9931" s="53"/>
    </row>
    <row r="9932">
      <c r="A9932" s="49">
        <v>45125.43440652778</v>
      </c>
      <c r="B9932" s="50">
        <v>45125.5593791666</v>
      </c>
      <c r="C9932" s="51">
        <v>1.003</v>
      </c>
      <c r="D9932" s="51">
        <v>72.0</v>
      </c>
      <c r="E9932" s="52" t="s">
        <v>25</v>
      </c>
      <c r="F9932" s="52" t="s">
        <v>26</v>
      </c>
      <c r="G9932" s="53"/>
    </row>
    <row r="9933">
      <c r="A9933" s="49">
        <v>45125.44484564815</v>
      </c>
      <c r="B9933" s="50">
        <v>45125.5698250231</v>
      </c>
      <c r="C9933" s="51">
        <v>1.003</v>
      </c>
      <c r="D9933" s="51">
        <v>72.0</v>
      </c>
      <c r="E9933" s="52" t="s">
        <v>25</v>
      </c>
      <c r="F9933" s="52" t="s">
        <v>26</v>
      </c>
      <c r="G9933" s="53"/>
    </row>
    <row r="9934">
      <c r="A9934" s="49">
        <v>45125.45527496528</v>
      </c>
      <c r="B9934" s="50">
        <v>45125.5802463194</v>
      </c>
      <c r="C9934" s="51">
        <v>1.003</v>
      </c>
      <c r="D9934" s="51">
        <v>72.0</v>
      </c>
      <c r="E9934" s="52" t="s">
        <v>25</v>
      </c>
      <c r="F9934" s="52" t="s">
        <v>26</v>
      </c>
      <c r="G9934" s="53"/>
    </row>
    <row r="9935">
      <c r="A9935" s="49">
        <v>45125.46572280093</v>
      </c>
      <c r="B9935" s="50">
        <v>45125.5906789236</v>
      </c>
      <c r="C9935" s="51">
        <v>1.004</v>
      </c>
      <c r="D9935" s="51">
        <v>72.0</v>
      </c>
      <c r="E9935" s="52" t="s">
        <v>25</v>
      </c>
      <c r="F9935" s="52" t="s">
        <v>26</v>
      </c>
      <c r="G9935" s="53"/>
    </row>
    <row r="9936">
      <c r="A9936" s="49">
        <v>45125.47612767361</v>
      </c>
      <c r="B9936" s="50">
        <v>45125.6011022569</v>
      </c>
      <c r="C9936" s="51">
        <v>1.003</v>
      </c>
      <c r="D9936" s="51">
        <v>72.0</v>
      </c>
      <c r="E9936" s="52" t="s">
        <v>25</v>
      </c>
      <c r="F9936" s="52" t="s">
        <v>26</v>
      </c>
      <c r="G9936" s="53"/>
    </row>
    <row r="9937">
      <c r="A9937" s="49">
        <v>45125.48654261574</v>
      </c>
      <c r="B9937" s="50">
        <v>45125.6115222916</v>
      </c>
      <c r="C9937" s="51">
        <v>1.003</v>
      </c>
      <c r="D9937" s="51">
        <v>72.0</v>
      </c>
      <c r="E9937" s="52" t="s">
        <v>25</v>
      </c>
      <c r="F9937" s="52" t="s">
        <v>26</v>
      </c>
      <c r="G9937" s="53"/>
    </row>
    <row r="9938">
      <c r="A9938" s="49">
        <v>45125.496970127315</v>
      </c>
      <c r="B9938" s="50">
        <v>45125.6219449305</v>
      </c>
      <c r="C9938" s="51">
        <v>1.003</v>
      </c>
      <c r="D9938" s="51">
        <v>72.0</v>
      </c>
      <c r="E9938" s="52" t="s">
        <v>25</v>
      </c>
      <c r="F9938" s="52" t="s">
        <v>26</v>
      </c>
      <c r="G9938" s="53"/>
    </row>
    <row r="9939">
      <c r="A9939" s="49">
        <v>45125.50738914352</v>
      </c>
      <c r="B9939" s="50">
        <v>45125.632366875</v>
      </c>
      <c r="C9939" s="51">
        <v>1.003</v>
      </c>
      <c r="D9939" s="51">
        <v>72.0</v>
      </c>
      <c r="E9939" s="52" t="s">
        <v>25</v>
      </c>
      <c r="F9939" s="52" t="s">
        <v>26</v>
      </c>
      <c r="G9939" s="53"/>
    </row>
    <row r="9940">
      <c r="A9940" s="49">
        <v>45125.517809756944</v>
      </c>
      <c r="B9940" s="50">
        <v>45125.6427893171</v>
      </c>
      <c r="C9940" s="51">
        <v>1.003</v>
      </c>
      <c r="D9940" s="51">
        <v>72.0</v>
      </c>
      <c r="E9940" s="52" t="s">
        <v>25</v>
      </c>
      <c r="F9940" s="52" t="s">
        <v>26</v>
      </c>
      <c r="G9940" s="53"/>
    </row>
    <row r="9941">
      <c r="A9941" s="49">
        <v>45125.52823679398</v>
      </c>
      <c r="B9941" s="50">
        <v>45125.653210868</v>
      </c>
      <c r="C9941" s="51">
        <v>1.003</v>
      </c>
      <c r="D9941" s="51">
        <v>72.0</v>
      </c>
      <c r="E9941" s="52" t="s">
        <v>25</v>
      </c>
      <c r="F9941" s="52" t="s">
        <v>26</v>
      </c>
      <c r="G9941" s="53"/>
    </row>
    <row r="9942">
      <c r="A9942" s="49">
        <v>45125.538662465275</v>
      </c>
      <c r="B9942" s="50">
        <v>45125.6636310648</v>
      </c>
      <c r="C9942" s="51">
        <v>1.003</v>
      </c>
      <c r="D9942" s="51">
        <v>72.0</v>
      </c>
      <c r="E9942" s="52" t="s">
        <v>25</v>
      </c>
      <c r="F9942" s="52" t="s">
        <v>26</v>
      </c>
      <c r="G9942" s="53"/>
    </row>
    <row r="9943">
      <c r="A9943" s="49">
        <v>45125.5490750926</v>
      </c>
      <c r="B9943" s="50">
        <v>45125.6740520254</v>
      </c>
      <c r="C9943" s="51">
        <v>1.003</v>
      </c>
      <c r="D9943" s="51">
        <v>72.0</v>
      </c>
      <c r="E9943" s="52" t="s">
        <v>25</v>
      </c>
      <c r="F9943" s="52" t="s">
        <v>26</v>
      </c>
      <c r="G9943" s="53"/>
    </row>
    <row r="9944">
      <c r="A9944" s="49">
        <v>45125.559498946765</v>
      </c>
      <c r="B9944" s="50">
        <v>45125.6844723842</v>
      </c>
      <c r="C9944" s="51">
        <v>1.003</v>
      </c>
      <c r="D9944" s="51">
        <v>72.0</v>
      </c>
      <c r="E9944" s="52" t="s">
        <v>25</v>
      </c>
      <c r="F9944" s="52" t="s">
        <v>26</v>
      </c>
      <c r="G9944" s="53"/>
    </row>
    <row r="9945">
      <c r="A9945" s="49">
        <v>45125.56995887731</v>
      </c>
      <c r="B9945" s="50">
        <v>45125.6949279629</v>
      </c>
      <c r="C9945" s="51">
        <v>1.003</v>
      </c>
      <c r="D9945" s="51">
        <v>72.0</v>
      </c>
      <c r="E9945" s="52" t="s">
        <v>25</v>
      </c>
      <c r="F9945" s="52" t="s">
        <v>26</v>
      </c>
      <c r="G9945" s="53"/>
    </row>
    <row r="9946">
      <c r="A9946" s="49">
        <v>45125.580378425926</v>
      </c>
      <c r="B9946" s="50">
        <v>45125.7053478009</v>
      </c>
      <c r="C9946" s="51">
        <v>1.003</v>
      </c>
      <c r="D9946" s="51">
        <v>72.0</v>
      </c>
      <c r="E9946" s="52" t="s">
        <v>25</v>
      </c>
      <c r="F9946" s="52" t="s">
        <v>26</v>
      </c>
      <c r="G9946" s="53"/>
    </row>
    <row r="9947">
      <c r="A9947" s="49">
        <v>45125.59084255787</v>
      </c>
      <c r="B9947" s="50">
        <v>45125.7158046064</v>
      </c>
      <c r="C9947" s="51">
        <v>1.003</v>
      </c>
      <c r="D9947" s="51">
        <v>72.0</v>
      </c>
      <c r="E9947" s="52" t="s">
        <v>25</v>
      </c>
      <c r="F9947" s="52" t="s">
        <v>26</v>
      </c>
      <c r="G9947" s="53"/>
    </row>
    <row r="9948">
      <c r="A9948" s="49">
        <v>45125.601280601855</v>
      </c>
      <c r="B9948" s="50">
        <v>45125.7262496527</v>
      </c>
      <c r="C9948" s="51">
        <v>1.003</v>
      </c>
      <c r="D9948" s="51">
        <v>72.0</v>
      </c>
      <c r="E9948" s="52" t="s">
        <v>25</v>
      </c>
      <c r="F9948" s="52" t="s">
        <v>26</v>
      </c>
      <c r="G9948" s="53"/>
    </row>
    <row r="9949">
      <c r="A9949" s="49">
        <v>45125.61169319444</v>
      </c>
      <c r="B9949" s="50">
        <v>45125.7366705902</v>
      </c>
      <c r="C9949" s="51">
        <v>1.003</v>
      </c>
      <c r="D9949" s="51">
        <v>72.0</v>
      </c>
      <c r="E9949" s="52" t="s">
        <v>25</v>
      </c>
      <c r="F9949" s="52" t="s">
        <v>26</v>
      </c>
      <c r="G9949" s="53"/>
    </row>
    <row r="9950">
      <c r="A9950" s="49">
        <v>45125.622119074076</v>
      </c>
      <c r="B9950" s="50">
        <v>45125.7470908101</v>
      </c>
      <c r="C9950" s="51">
        <v>1.003</v>
      </c>
      <c r="D9950" s="51">
        <v>72.0</v>
      </c>
      <c r="E9950" s="52" t="s">
        <v>25</v>
      </c>
      <c r="F9950" s="52" t="s">
        <v>26</v>
      </c>
      <c r="G9950" s="53"/>
    </row>
    <row r="9951">
      <c r="A9951" s="49">
        <v>45125.63254921296</v>
      </c>
      <c r="B9951" s="50">
        <v>45125.7575226273</v>
      </c>
      <c r="C9951" s="51">
        <v>1.003</v>
      </c>
      <c r="D9951" s="51">
        <v>72.0</v>
      </c>
      <c r="E9951" s="52" t="s">
        <v>25</v>
      </c>
      <c r="F9951" s="52" t="s">
        <v>26</v>
      </c>
      <c r="G9951" s="53"/>
    </row>
    <row r="9952">
      <c r="A9952" s="49">
        <v>45125.642970914356</v>
      </c>
      <c r="B9952" s="50">
        <v>45125.7679442592</v>
      </c>
      <c r="C9952" s="51">
        <v>1.003</v>
      </c>
      <c r="D9952" s="51">
        <v>72.0</v>
      </c>
      <c r="E9952" s="52" t="s">
        <v>25</v>
      </c>
      <c r="F9952" s="52" t="s">
        <v>26</v>
      </c>
      <c r="G9952" s="53"/>
    </row>
    <row r="9953">
      <c r="A9953" s="49">
        <v>45125.65340618056</v>
      </c>
      <c r="B9953" s="50">
        <v>45125.7783773726</v>
      </c>
      <c r="C9953" s="51">
        <v>1.003</v>
      </c>
      <c r="D9953" s="51">
        <v>72.0</v>
      </c>
      <c r="E9953" s="52" t="s">
        <v>25</v>
      </c>
      <c r="F9953" s="52" t="s">
        <v>26</v>
      </c>
      <c r="G9953" s="53"/>
    </row>
    <row r="9954">
      <c r="A9954" s="49">
        <v>45125.663825462965</v>
      </c>
      <c r="B9954" s="50">
        <v>45125.7887969791</v>
      </c>
      <c r="C9954" s="51">
        <v>1.003</v>
      </c>
      <c r="D9954" s="51">
        <v>72.0</v>
      </c>
      <c r="E9954" s="52" t="s">
        <v>25</v>
      </c>
      <c r="F9954" s="52" t="s">
        <v>26</v>
      </c>
      <c r="G9954" s="53"/>
    </row>
    <row r="9955">
      <c r="A9955" s="49">
        <v>45125.674249062504</v>
      </c>
      <c r="B9955" s="50">
        <v>45125.7992191203</v>
      </c>
      <c r="C9955" s="51">
        <v>1.003</v>
      </c>
      <c r="D9955" s="51">
        <v>72.0</v>
      </c>
      <c r="E9955" s="52" t="s">
        <v>25</v>
      </c>
      <c r="F9955" s="52" t="s">
        <v>26</v>
      </c>
      <c r="G9955" s="53"/>
    </row>
    <row r="9956">
      <c r="A9956" s="49">
        <v>45125.68468153935</v>
      </c>
      <c r="B9956" s="50">
        <v>45125.809652199</v>
      </c>
      <c r="C9956" s="51">
        <v>1.003</v>
      </c>
      <c r="D9956" s="51">
        <v>72.0</v>
      </c>
      <c r="E9956" s="52" t="s">
        <v>25</v>
      </c>
      <c r="F9956" s="52" t="s">
        <v>26</v>
      </c>
      <c r="G9956" s="53"/>
    </row>
    <row r="9957">
      <c r="A9957" s="49">
        <v>45125.69509206018</v>
      </c>
      <c r="B9957" s="50">
        <v>45125.8200728472</v>
      </c>
      <c r="C9957" s="51">
        <v>1.003</v>
      </c>
      <c r="D9957" s="51">
        <v>72.0</v>
      </c>
      <c r="E9957" s="52" t="s">
        <v>25</v>
      </c>
      <c r="F9957" s="52" t="s">
        <v>26</v>
      </c>
      <c r="G9957" s="53"/>
    </row>
    <row r="9958">
      <c r="A9958" s="49">
        <v>45125.70551672454</v>
      </c>
      <c r="B9958" s="50">
        <v>45125.8304953935</v>
      </c>
      <c r="C9958" s="51">
        <v>1.003</v>
      </c>
      <c r="D9958" s="51">
        <v>72.0</v>
      </c>
      <c r="E9958" s="52" t="s">
        <v>25</v>
      </c>
      <c r="F9958" s="52" t="s">
        <v>26</v>
      </c>
      <c r="G9958" s="53"/>
    </row>
    <row r="9959">
      <c r="A9959" s="49">
        <v>45125.715947442135</v>
      </c>
      <c r="B9959" s="50">
        <v>45125.8409271412</v>
      </c>
      <c r="C9959" s="51">
        <v>1.003</v>
      </c>
      <c r="D9959" s="51">
        <v>72.0</v>
      </c>
      <c r="E9959" s="52" t="s">
        <v>25</v>
      </c>
      <c r="F9959" s="52" t="s">
        <v>26</v>
      </c>
      <c r="G9959" s="53"/>
    </row>
    <row r="9960">
      <c r="A9960" s="49">
        <v>45125.7263791088</v>
      </c>
      <c r="B9960" s="50">
        <v>45125.851347824</v>
      </c>
      <c r="C9960" s="51">
        <v>1.003</v>
      </c>
      <c r="D9960" s="51">
        <v>72.0</v>
      </c>
      <c r="E9960" s="52" t="s">
        <v>25</v>
      </c>
      <c r="F9960" s="52" t="s">
        <v>26</v>
      </c>
      <c r="G9960" s="53"/>
    </row>
    <row r="9961">
      <c r="A9961" s="49">
        <v>45125.73679789352</v>
      </c>
      <c r="B9961" s="50">
        <v>45125.8617685069</v>
      </c>
      <c r="C9961" s="51">
        <v>1.003</v>
      </c>
      <c r="D9961" s="51">
        <v>72.0</v>
      </c>
      <c r="E9961" s="52" t="s">
        <v>25</v>
      </c>
      <c r="F9961" s="52" t="s">
        <v>26</v>
      </c>
      <c r="G9961" s="53"/>
    </row>
    <row r="9962">
      <c r="A9962" s="49">
        <v>45125.747214143514</v>
      </c>
      <c r="B9962" s="50">
        <v>45125.8721897453</v>
      </c>
      <c r="C9962" s="51">
        <v>1.003</v>
      </c>
      <c r="D9962" s="51">
        <v>72.0</v>
      </c>
      <c r="E9962" s="52" t="s">
        <v>25</v>
      </c>
      <c r="F9962" s="52" t="s">
        <v>26</v>
      </c>
      <c r="G9962" s="53"/>
    </row>
    <row r="9963">
      <c r="A9963" s="49">
        <v>45125.757640497686</v>
      </c>
      <c r="B9963" s="50">
        <v>45125.88261103</v>
      </c>
      <c r="C9963" s="51">
        <v>1.003</v>
      </c>
      <c r="D9963" s="51">
        <v>72.0</v>
      </c>
      <c r="E9963" s="52" t="s">
        <v>25</v>
      </c>
      <c r="F9963" s="52" t="s">
        <v>26</v>
      </c>
      <c r="G9963" s="53"/>
    </row>
    <row r="9964">
      <c r="A9964" s="49">
        <v>45125.768057511574</v>
      </c>
      <c r="B9964" s="50">
        <v>45125.8930311226</v>
      </c>
      <c r="C9964" s="51">
        <v>1.003</v>
      </c>
      <c r="D9964" s="51">
        <v>72.0</v>
      </c>
      <c r="E9964" s="52" t="s">
        <v>25</v>
      </c>
      <c r="F9964" s="52" t="s">
        <v>26</v>
      </c>
      <c r="G9964" s="53"/>
    </row>
    <row r="9965">
      <c r="A9965" s="49">
        <v>45125.778474583334</v>
      </c>
      <c r="B9965" s="50">
        <v>45125.9034516435</v>
      </c>
      <c r="C9965" s="51">
        <v>1.003</v>
      </c>
      <c r="D9965" s="51">
        <v>72.0</v>
      </c>
      <c r="E9965" s="52" t="s">
        <v>25</v>
      </c>
      <c r="F9965" s="52" t="s">
        <v>26</v>
      </c>
      <c r="G9965" s="53"/>
    </row>
    <row r="9966">
      <c r="A9966" s="49">
        <v>45125.78891641204</v>
      </c>
      <c r="B9966" s="50">
        <v>45125.9138837847</v>
      </c>
      <c r="C9966" s="51">
        <v>1.003</v>
      </c>
      <c r="D9966" s="51">
        <v>72.0</v>
      </c>
      <c r="E9966" s="52" t="s">
        <v>25</v>
      </c>
      <c r="F9966" s="52" t="s">
        <v>26</v>
      </c>
      <c r="G9966" s="53"/>
    </row>
    <row r="9967">
      <c r="A9967" s="49">
        <v>45125.79934211806</v>
      </c>
      <c r="B9967" s="50">
        <v>45125.9243042476</v>
      </c>
      <c r="C9967" s="51">
        <v>1.004</v>
      </c>
      <c r="D9967" s="51">
        <v>72.0</v>
      </c>
      <c r="E9967" s="52" t="s">
        <v>25</v>
      </c>
      <c r="F9967" s="52" t="s">
        <v>26</v>
      </c>
      <c r="G9967" s="53"/>
    </row>
    <row r="9968">
      <c r="A9968" s="49">
        <v>45125.809756215276</v>
      </c>
      <c r="B9968" s="50">
        <v>45125.9347271759</v>
      </c>
      <c r="C9968" s="51">
        <v>1.003</v>
      </c>
      <c r="D9968" s="51">
        <v>72.0</v>
      </c>
      <c r="E9968" s="52" t="s">
        <v>25</v>
      </c>
      <c r="F9968" s="52" t="s">
        <v>26</v>
      </c>
      <c r="G9968" s="53"/>
    </row>
    <row r="9969">
      <c r="A9969" s="49">
        <v>45125.820193113424</v>
      </c>
      <c r="B9969" s="50">
        <v>45125.9451601041</v>
      </c>
      <c r="C9969" s="51">
        <v>1.003</v>
      </c>
      <c r="D9969" s="51">
        <v>72.0</v>
      </c>
      <c r="E9969" s="52" t="s">
        <v>25</v>
      </c>
      <c r="F9969" s="52" t="s">
        <v>26</v>
      </c>
      <c r="G9969" s="53"/>
    </row>
    <row r="9970">
      <c r="A9970" s="49">
        <v>45125.83063320602</v>
      </c>
      <c r="B9970" s="50">
        <v>45125.9556030787</v>
      </c>
      <c r="C9970" s="51">
        <v>1.003</v>
      </c>
      <c r="D9970" s="51">
        <v>72.0</v>
      </c>
      <c r="E9970" s="52" t="s">
        <v>25</v>
      </c>
      <c r="F9970" s="52" t="s">
        <v>26</v>
      </c>
      <c r="G9970" s="53"/>
    </row>
    <row r="9971">
      <c r="A9971" s="49">
        <v>45125.84106866898</v>
      </c>
      <c r="B9971" s="50">
        <v>45125.9660367476</v>
      </c>
      <c r="C9971" s="51">
        <v>1.003</v>
      </c>
      <c r="D9971" s="51">
        <v>72.0</v>
      </c>
      <c r="E9971" s="52" t="s">
        <v>25</v>
      </c>
      <c r="F9971" s="52" t="s">
        <v>26</v>
      </c>
      <c r="G9971" s="53"/>
    </row>
    <row r="9972">
      <c r="A9972" s="49">
        <v>45125.851488113425</v>
      </c>
      <c r="B9972" s="50">
        <v>45125.9764585185</v>
      </c>
      <c r="C9972" s="51">
        <v>1.003</v>
      </c>
      <c r="D9972" s="51">
        <v>72.0</v>
      </c>
      <c r="E9972" s="52" t="s">
        <v>25</v>
      </c>
      <c r="F9972" s="52" t="s">
        <v>26</v>
      </c>
      <c r="G9972" s="53"/>
    </row>
    <row r="9973">
      <c r="A9973" s="49">
        <v>45125.86190732638</v>
      </c>
      <c r="B9973" s="50">
        <v>45125.9868785879</v>
      </c>
      <c r="C9973" s="51">
        <v>1.003</v>
      </c>
      <c r="D9973" s="51">
        <v>72.0</v>
      </c>
      <c r="E9973" s="52" t="s">
        <v>25</v>
      </c>
      <c r="F9973" s="52" t="s">
        <v>26</v>
      </c>
      <c r="G9973" s="53"/>
    </row>
    <row r="9974">
      <c r="A9974" s="49">
        <v>45125.87232618056</v>
      </c>
      <c r="B9974" s="50">
        <v>45125.9972975926</v>
      </c>
      <c r="C9974" s="51">
        <v>1.003</v>
      </c>
      <c r="D9974" s="51">
        <v>72.0</v>
      </c>
      <c r="E9974" s="52" t="s">
        <v>25</v>
      </c>
      <c r="F9974" s="52" t="s">
        <v>26</v>
      </c>
      <c r="G9974" s="53"/>
    </row>
    <row r="9975">
      <c r="A9975" s="49">
        <v>45125.88275496528</v>
      </c>
      <c r="B9975" s="50">
        <v>45126.0077190046</v>
      </c>
      <c r="C9975" s="51">
        <v>1.003</v>
      </c>
      <c r="D9975" s="51">
        <v>72.0</v>
      </c>
      <c r="E9975" s="52" t="s">
        <v>25</v>
      </c>
      <c r="F9975" s="52" t="s">
        <v>26</v>
      </c>
      <c r="G9975" s="53"/>
    </row>
    <row r="9976">
      <c r="A9976" s="49">
        <v>45125.89317224537</v>
      </c>
      <c r="B9976" s="50">
        <v>45126.0181413888</v>
      </c>
      <c r="C9976" s="51">
        <v>1.003</v>
      </c>
      <c r="D9976" s="51">
        <v>72.0</v>
      </c>
      <c r="E9976" s="52" t="s">
        <v>25</v>
      </c>
      <c r="F9976" s="52" t="s">
        <v>26</v>
      </c>
      <c r="G9976" s="53"/>
    </row>
    <row r="9977">
      <c r="A9977" s="49">
        <v>45125.903597384255</v>
      </c>
      <c r="B9977" s="50">
        <v>45126.0285629976</v>
      </c>
      <c r="C9977" s="51">
        <v>1.003</v>
      </c>
      <c r="D9977" s="51">
        <v>72.0</v>
      </c>
      <c r="E9977" s="52" t="s">
        <v>25</v>
      </c>
      <c r="F9977" s="52" t="s">
        <v>26</v>
      </c>
      <c r="G9977" s="53"/>
    </row>
    <row r="9978">
      <c r="A9978" s="49">
        <v>45125.914021261575</v>
      </c>
      <c r="B9978" s="50">
        <v>45126.0389839236</v>
      </c>
      <c r="C9978" s="51">
        <v>1.003</v>
      </c>
      <c r="D9978" s="51">
        <v>72.0</v>
      </c>
      <c r="E9978" s="52" t="s">
        <v>25</v>
      </c>
      <c r="F9978" s="52" t="s">
        <v>26</v>
      </c>
      <c r="G9978" s="53"/>
    </row>
    <row r="9979">
      <c r="A9979" s="49">
        <v>45125.924449178245</v>
      </c>
      <c r="B9979" s="50">
        <v>45126.0494152662</v>
      </c>
      <c r="C9979" s="51">
        <v>1.003</v>
      </c>
      <c r="D9979" s="51">
        <v>72.0</v>
      </c>
      <c r="E9979" s="52" t="s">
        <v>25</v>
      </c>
      <c r="F9979" s="52" t="s">
        <v>26</v>
      </c>
      <c r="G9979" s="53"/>
    </row>
    <row r="9980">
      <c r="A9980" s="49">
        <v>45125.93487054398</v>
      </c>
      <c r="B9980" s="50">
        <v>45126.0598462268</v>
      </c>
      <c r="C9980" s="51">
        <v>1.003</v>
      </c>
      <c r="D9980" s="51">
        <v>72.0</v>
      </c>
      <c r="E9980" s="52" t="s">
        <v>25</v>
      </c>
      <c r="F9980" s="52" t="s">
        <v>26</v>
      </c>
      <c r="G9980" s="53"/>
    </row>
    <row r="9981">
      <c r="A9981" s="49">
        <v>45125.945298148145</v>
      </c>
      <c r="B9981" s="50">
        <v>45126.0702666319</v>
      </c>
      <c r="C9981" s="51">
        <v>1.003</v>
      </c>
      <c r="D9981" s="51">
        <v>72.0</v>
      </c>
      <c r="E9981" s="52" t="s">
        <v>25</v>
      </c>
      <c r="F9981" s="52" t="s">
        <v>26</v>
      </c>
      <c r="G9981" s="53"/>
    </row>
    <row r="9982">
      <c r="A9982" s="49">
        <v>45125.955713703705</v>
      </c>
      <c r="B9982" s="50">
        <v>45126.0806890277</v>
      </c>
      <c r="C9982" s="51">
        <v>1.003</v>
      </c>
      <c r="D9982" s="51">
        <v>72.0</v>
      </c>
      <c r="E9982" s="52" t="s">
        <v>25</v>
      </c>
      <c r="F9982" s="52" t="s">
        <v>26</v>
      </c>
      <c r="G9982" s="53"/>
    </row>
    <row r="9983">
      <c r="A9983" s="49">
        <v>45125.966147037034</v>
      </c>
      <c r="B9983" s="50">
        <v>45126.0911214351</v>
      </c>
      <c r="C9983" s="51">
        <v>1.003</v>
      </c>
      <c r="D9983" s="51">
        <v>72.0</v>
      </c>
      <c r="E9983" s="52" t="s">
        <v>25</v>
      </c>
      <c r="F9983" s="52" t="s">
        <v>26</v>
      </c>
      <c r="G9983" s="53"/>
    </row>
    <row r="9984">
      <c r="A9984" s="49">
        <v>45125.976572997686</v>
      </c>
      <c r="B9984" s="50">
        <v>45126.1015424305</v>
      </c>
      <c r="C9984" s="51">
        <v>1.003</v>
      </c>
      <c r="D9984" s="51">
        <v>72.0</v>
      </c>
      <c r="E9984" s="52" t="s">
        <v>25</v>
      </c>
      <c r="F9984" s="52" t="s">
        <v>26</v>
      </c>
      <c r="G9984" s="53"/>
    </row>
    <row r="9985">
      <c r="A9985" s="49">
        <v>45125.98700025463</v>
      </c>
      <c r="B9985" s="50">
        <v>45126.111975081</v>
      </c>
      <c r="C9985" s="51">
        <v>1.003</v>
      </c>
      <c r="D9985" s="51">
        <v>72.0</v>
      </c>
      <c r="E9985" s="52" t="s">
        <v>25</v>
      </c>
      <c r="F9985" s="52" t="s">
        <v>26</v>
      </c>
      <c r="G9985" s="53"/>
    </row>
    <row r="9986">
      <c r="A9986" s="49">
        <v>45125.99742717593</v>
      </c>
      <c r="B9986" s="50">
        <v>45126.1223968634</v>
      </c>
      <c r="C9986" s="51">
        <v>1.003</v>
      </c>
      <c r="D9986" s="51">
        <v>72.0</v>
      </c>
      <c r="E9986" s="52" t="s">
        <v>25</v>
      </c>
      <c r="F9986" s="52" t="s">
        <v>26</v>
      </c>
      <c r="G9986" s="53"/>
    </row>
    <row r="9987">
      <c r="A9987" s="49">
        <v>45126.00784302084</v>
      </c>
      <c r="B9987" s="50">
        <v>45126.1328178356</v>
      </c>
      <c r="C9987" s="51">
        <v>1.003</v>
      </c>
      <c r="D9987" s="51">
        <v>72.0</v>
      </c>
      <c r="E9987" s="52" t="s">
        <v>25</v>
      </c>
      <c r="F9987" s="52" t="s">
        <v>26</v>
      </c>
      <c r="G9987" s="53"/>
    </row>
    <row r="9988">
      <c r="A9988" s="49">
        <v>45126.018258321754</v>
      </c>
      <c r="B9988" s="50">
        <v>45126.1432376504</v>
      </c>
      <c r="C9988" s="51">
        <v>1.003</v>
      </c>
      <c r="D9988" s="51">
        <v>72.0</v>
      </c>
      <c r="E9988" s="52" t="s">
        <v>25</v>
      </c>
      <c r="F9988" s="52" t="s">
        <v>26</v>
      </c>
      <c r="G9988" s="53"/>
    </row>
    <row r="9989">
      <c r="A9989" s="49">
        <v>45126.02870390046</v>
      </c>
      <c r="B9989" s="50">
        <v>45126.1536697106</v>
      </c>
      <c r="C9989" s="51">
        <v>1.003</v>
      </c>
      <c r="D9989" s="51">
        <v>72.0</v>
      </c>
      <c r="E9989" s="52" t="s">
        <v>25</v>
      </c>
      <c r="F9989" s="52" t="s">
        <v>26</v>
      </c>
      <c r="G9989" s="53"/>
    </row>
    <row r="9990">
      <c r="A9990" s="49">
        <v>45126.03912243056</v>
      </c>
      <c r="B9990" s="50">
        <v>45126.1640909722</v>
      </c>
      <c r="C9990" s="51">
        <v>1.003</v>
      </c>
      <c r="D9990" s="51">
        <v>72.0</v>
      </c>
      <c r="E9990" s="52" t="s">
        <v>25</v>
      </c>
      <c r="F9990" s="52" t="s">
        <v>26</v>
      </c>
      <c r="G9990" s="53"/>
    </row>
    <row r="9991">
      <c r="A9991" s="49">
        <v>45126.04953583333</v>
      </c>
      <c r="B9991" s="50">
        <v>45126.1745118171</v>
      </c>
      <c r="C9991" s="51">
        <v>1.003</v>
      </c>
      <c r="D9991" s="51">
        <v>72.0</v>
      </c>
      <c r="E9991" s="52" t="s">
        <v>25</v>
      </c>
      <c r="F9991" s="52" t="s">
        <v>26</v>
      </c>
      <c r="G9991" s="53"/>
    </row>
    <row r="9992">
      <c r="A9992" s="49">
        <v>45126.059962858795</v>
      </c>
      <c r="B9992" s="50">
        <v>45126.1849321875</v>
      </c>
      <c r="C9992" s="51">
        <v>1.003</v>
      </c>
      <c r="D9992" s="51">
        <v>72.0</v>
      </c>
      <c r="E9992" s="52" t="s">
        <v>25</v>
      </c>
      <c r="F9992" s="52" t="s">
        <v>26</v>
      </c>
      <c r="G9992" s="53"/>
    </row>
    <row r="9993">
      <c r="A9993" s="49">
        <v>45126.070383240745</v>
      </c>
      <c r="B9993" s="50">
        <v>45126.1953522569</v>
      </c>
      <c r="C9993" s="51">
        <v>1.003</v>
      </c>
      <c r="D9993" s="51">
        <v>72.0</v>
      </c>
      <c r="E9993" s="52" t="s">
        <v>25</v>
      </c>
      <c r="F9993" s="52" t="s">
        <v>26</v>
      </c>
      <c r="G9993" s="53"/>
    </row>
    <row r="9994">
      <c r="A9994" s="49">
        <v>45126.08080240741</v>
      </c>
      <c r="B9994" s="50">
        <v>45126.2057757754</v>
      </c>
      <c r="C9994" s="51">
        <v>1.003</v>
      </c>
      <c r="D9994" s="51">
        <v>72.0</v>
      </c>
      <c r="E9994" s="52" t="s">
        <v>25</v>
      </c>
      <c r="F9994" s="52" t="s">
        <v>26</v>
      </c>
      <c r="G9994" s="53"/>
    </row>
    <row r="9995">
      <c r="A9995" s="49">
        <v>45126.09122944444</v>
      </c>
      <c r="B9995" s="50">
        <v>45126.216198993</v>
      </c>
      <c r="C9995" s="51">
        <v>1.003</v>
      </c>
      <c r="D9995" s="51">
        <v>72.0</v>
      </c>
      <c r="E9995" s="52" t="s">
        <v>25</v>
      </c>
      <c r="F9995" s="52" t="s">
        <v>26</v>
      </c>
      <c r="G9995" s="53"/>
    </row>
    <row r="9996">
      <c r="A9996" s="49">
        <v>45126.10164332176</v>
      </c>
      <c r="B9996" s="50">
        <v>45126.2266197106</v>
      </c>
      <c r="C9996" s="51">
        <v>1.003</v>
      </c>
      <c r="D9996" s="51">
        <v>72.0</v>
      </c>
      <c r="E9996" s="52" t="s">
        <v>25</v>
      </c>
      <c r="F9996" s="52" t="s">
        <v>26</v>
      </c>
      <c r="G9996" s="53"/>
    </row>
    <row r="9997">
      <c r="A9997" s="49">
        <v>45126.112072511576</v>
      </c>
      <c r="B9997" s="50">
        <v>45126.2370416319</v>
      </c>
      <c r="C9997" s="51">
        <v>1.003</v>
      </c>
      <c r="D9997" s="51">
        <v>72.0</v>
      </c>
      <c r="E9997" s="52" t="s">
        <v>25</v>
      </c>
      <c r="F9997" s="52" t="s">
        <v>26</v>
      </c>
      <c r="G9997" s="53"/>
    </row>
    <row r="9998">
      <c r="A9998" s="49">
        <v>45126.122491539354</v>
      </c>
      <c r="B9998" s="50">
        <v>45126.2474633912</v>
      </c>
      <c r="C9998" s="51">
        <v>1.003</v>
      </c>
      <c r="D9998" s="51">
        <v>72.0</v>
      </c>
      <c r="E9998" s="52" t="s">
        <v>25</v>
      </c>
      <c r="F9998" s="52" t="s">
        <v>26</v>
      </c>
      <c r="G9998" s="53"/>
    </row>
    <row r="9999">
      <c r="A9999" s="49">
        <v>45126.13292263889</v>
      </c>
      <c r="B9999" s="50">
        <v>45126.257895625</v>
      </c>
      <c r="C9999" s="51">
        <v>1.003</v>
      </c>
      <c r="D9999" s="51">
        <v>72.0</v>
      </c>
      <c r="E9999" s="52" t="s">
        <v>25</v>
      </c>
      <c r="F9999" s="52" t="s">
        <v>26</v>
      </c>
      <c r="G9999" s="53"/>
    </row>
    <row r="10000">
      <c r="A10000" s="49">
        <v>45126.14337425926</v>
      </c>
      <c r="B10000" s="50">
        <v>45126.268328993</v>
      </c>
      <c r="C10000" s="51">
        <v>1.003</v>
      </c>
      <c r="D10000" s="51">
        <v>72.0</v>
      </c>
      <c r="E10000" s="52" t="s">
        <v>25</v>
      </c>
      <c r="F10000" s="52" t="s">
        <v>26</v>
      </c>
      <c r="G10000" s="53"/>
    </row>
    <row r="10001">
      <c r="A10001" s="49">
        <v>45126.15377716435</v>
      </c>
      <c r="B10001" s="50">
        <v>45126.2787510532</v>
      </c>
      <c r="C10001" s="51">
        <v>1.003</v>
      </c>
      <c r="D10001" s="51">
        <v>72.0</v>
      </c>
      <c r="E10001" s="52" t="s">
        <v>25</v>
      </c>
      <c r="F10001" s="52" t="s">
        <v>26</v>
      </c>
      <c r="G10001" s="53"/>
    </row>
    <row r="10002">
      <c r="A10002" s="49">
        <v>45126.16420734954</v>
      </c>
      <c r="B10002" s="50">
        <v>45126.289171412</v>
      </c>
      <c r="C10002" s="51">
        <v>1.003</v>
      </c>
      <c r="D10002" s="51">
        <v>72.0</v>
      </c>
      <c r="E10002" s="52" t="s">
        <v>25</v>
      </c>
      <c r="F10002" s="52" t="s">
        <v>26</v>
      </c>
      <c r="G10002" s="53"/>
    </row>
    <row r="10003">
      <c r="A10003" s="49">
        <v>45126.17463675926</v>
      </c>
      <c r="B10003" s="50">
        <v>45126.2996030439</v>
      </c>
      <c r="C10003" s="51">
        <v>1.003</v>
      </c>
      <c r="D10003" s="51">
        <v>72.0</v>
      </c>
      <c r="E10003" s="52" t="s">
        <v>25</v>
      </c>
      <c r="F10003" s="52" t="s">
        <v>26</v>
      </c>
      <c r="G10003" s="53"/>
    </row>
    <row r="10004">
      <c r="A10004" s="49">
        <v>45126.185052500005</v>
      </c>
      <c r="B10004" s="50">
        <v>45126.310023368</v>
      </c>
      <c r="C10004" s="51">
        <v>1.003</v>
      </c>
      <c r="D10004" s="51">
        <v>72.0</v>
      </c>
      <c r="E10004" s="52" t="s">
        <v>25</v>
      </c>
      <c r="F10004" s="52" t="s">
        <v>26</v>
      </c>
      <c r="G10004" s="53"/>
    </row>
    <row r="10005">
      <c r="A10005" s="49">
        <v>45126.195489502315</v>
      </c>
      <c r="B10005" s="50">
        <v>45126.3204561689</v>
      </c>
      <c r="C10005" s="51">
        <v>1.003</v>
      </c>
      <c r="D10005" s="51">
        <v>72.0</v>
      </c>
      <c r="E10005" s="52" t="s">
        <v>25</v>
      </c>
      <c r="F10005" s="52" t="s">
        <v>26</v>
      </c>
      <c r="G10005" s="53"/>
    </row>
    <row r="10006">
      <c r="A10006" s="49">
        <v>45126.205905532406</v>
      </c>
      <c r="B10006" s="50">
        <v>45126.3308770254</v>
      </c>
      <c r="C10006" s="51">
        <v>1.003</v>
      </c>
      <c r="D10006" s="51">
        <v>72.0</v>
      </c>
      <c r="E10006" s="52" t="s">
        <v>25</v>
      </c>
      <c r="F10006" s="52" t="s">
        <v>26</v>
      </c>
      <c r="G10006" s="53"/>
    </row>
    <row r="10007">
      <c r="A10007" s="49">
        <v>45126.21633962963</v>
      </c>
      <c r="B10007" s="50">
        <v>45126.3412979166</v>
      </c>
      <c r="C10007" s="51">
        <v>1.003</v>
      </c>
      <c r="D10007" s="51">
        <v>73.0</v>
      </c>
      <c r="E10007" s="52" t="s">
        <v>25</v>
      </c>
      <c r="F10007" s="52" t="s">
        <v>26</v>
      </c>
      <c r="G10007" s="53"/>
    </row>
    <row r="10008">
      <c r="A10008" s="49">
        <v>45126.226762465274</v>
      </c>
      <c r="B10008" s="50">
        <v>45126.3517176273</v>
      </c>
      <c r="C10008" s="51">
        <v>1.003</v>
      </c>
      <c r="D10008" s="51">
        <v>72.0</v>
      </c>
      <c r="E10008" s="52" t="s">
        <v>25</v>
      </c>
      <c r="F10008" s="52" t="s">
        <v>26</v>
      </c>
      <c r="G10008" s="53"/>
    </row>
    <row r="10009">
      <c r="A10009" s="49">
        <v>45126.23716538194</v>
      </c>
      <c r="B10009" s="50">
        <v>45126.3621396527</v>
      </c>
      <c r="C10009" s="51">
        <v>1.003</v>
      </c>
      <c r="D10009" s="51">
        <v>72.0</v>
      </c>
      <c r="E10009" s="52" t="s">
        <v>25</v>
      </c>
      <c r="F10009" s="52" t="s">
        <v>26</v>
      </c>
      <c r="G10009" s="53"/>
    </row>
    <row r="10010">
      <c r="A10010" s="49">
        <v>45126.24759616898</v>
      </c>
      <c r="B10010" s="50">
        <v>45126.3725601504</v>
      </c>
      <c r="C10010" s="51">
        <v>1.004</v>
      </c>
      <c r="D10010" s="51">
        <v>72.0</v>
      </c>
      <c r="E10010" s="52" t="s">
        <v>25</v>
      </c>
      <c r="F10010" s="52" t="s">
        <v>26</v>
      </c>
      <c r="G10010" s="53"/>
    </row>
    <row r="10011">
      <c r="A10011" s="49">
        <v>45126.25801168982</v>
      </c>
      <c r="B10011" s="50">
        <v>45126.3829828819</v>
      </c>
      <c r="C10011" s="51">
        <v>1.003</v>
      </c>
      <c r="D10011" s="51">
        <v>72.0</v>
      </c>
      <c r="E10011" s="52" t="s">
        <v>25</v>
      </c>
      <c r="F10011" s="52" t="s">
        <v>26</v>
      </c>
      <c r="G10011" s="53"/>
    </row>
    <row r="10012">
      <c r="A10012" s="49">
        <v>45126.26844324074</v>
      </c>
      <c r="B10012" s="50">
        <v>45126.3934053935</v>
      </c>
      <c r="C10012" s="51">
        <v>1.003</v>
      </c>
      <c r="D10012" s="51">
        <v>72.0</v>
      </c>
      <c r="E10012" s="52" t="s">
        <v>25</v>
      </c>
      <c r="F10012" s="52" t="s">
        <v>26</v>
      </c>
      <c r="G10012" s="53"/>
    </row>
    <row r="10013">
      <c r="A10013" s="49">
        <v>45126.278851828705</v>
      </c>
      <c r="B10013" s="50">
        <v>45126.4038244444</v>
      </c>
      <c r="C10013" s="51">
        <v>1.003</v>
      </c>
      <c r="D10013" s="51">
        <v>73.0</v>
      </c>
      <c r="E10013" s="52" t="s">
        <v>25</v>
      </c>
      <c r="F10013" s="52" t="s">
        <v>26</v>
      </c>
      <c r="G10013" s="53"/>
    </row>
    <row r="10014">
      <c r="A10014" s="49">
        <v>45126.28928247685</v>
      </c>
      <c r="B10014" s="50">
        <v>45126.4142477314</v>
      </c>
      <c r="C10014" s="51">
        <v>1.003</v>
      </c>
      <c r="D10014" s="51">
        <v>73.0</v>
      </c>
      <c r="E10014" s="52" t="s">
        <v>25</v>
      </c>
      <c r="F10014" s="52" t="s">
        <v>26</v>
      </c>
      <c r="G10014" s="53"/>
    </row>
    <row r="10015">
      <c r="A10015" s="49">
        <v>45126.2997080787</v>
      </c>
      <c r="B10015" s="50">
        <v>45126.4246804976</v>
      </c>
      <c r="C10015" s="51">
        <v>1.004</v>
      </c>
      <c r="D10015" s="51">
        <v>72.0</v>
      </c>
      <c r="E10015" s="52" t="s">
        <v>25</v>
      </c>
      <c r="F10015" s="52" t="s">
        <v>26</v>
      </c>
      <c r="G10015" s="53"/>
    </row>
    <row r="10016">
      <c r="A10016" s="49">
        <v>45126.31013539352</v>
      </c>
      <c r="B10016" s="50">
        <v>45126.4351026157</v>
      </c>
      <c r="C10016" s="51">
        <v>1.003</v>
      </c>
      <c r="D10016" s="51">
        <v>72.0</v>
      </c>
      <c r="E10016" s="52" t="s">
        <v>25</v>
      </c>
      <c r="F10016" s="52" t="s">
        <v>26</v>
      </c>
      <c r="G10016" s="53"/>
    </row>
    <row r="10017">
      <c r="A10017" s="49">
        <v>45126.320551145836</v>
      </c>
      <c r="B10017" s="50">
        <v>45126.4455259838</v>
      </c>
      <c r="C10017" s="51">
        <v>1.003</v>
      </c>
      <c r="D10017" s="51">
        <v>72.0</v>
      </c>
      <c r="E10017" s="52" t="s">
        <v>25</v>
      </c>
      <c r="F10017" s="52" t="s">
        <v>26</v>
      </c>
      <c r="G10017" s="53"/>
    </row>
    <row r="10018">
      <c r="A10018" s="49">
        <v>45126.33098099537</v>
      </c>
      <c r="B10018" s="50">
        <v>45126.4559462384</v>
      </c>
      <c r="C10018" s="51">
        <v>1.003</v>
      </c>
      <c r="D10018" s="51">
        <v>72.0</v>
      </c>
      <c r="E10018" s="52" t="s">
        <v>25</v>
      </c>
      <c r="F10018" s="52" t="s">
        <v>26</v>
      </c>
      <c r="G10018" s="53"/>
    </row>
    <row r="10019">
      <c r="A10019" s="49">
        <v>45126.34139806713</v>
      </c>
      <c r="B10019" s="50">
        <v>45126.4663676504</v>
      </c>
      <c r="C10019" s="51">
        <v>1.003</v>
      </c>
      <c r="D10019" s="51">
        <v>72.0</v>
      </c>
      <c r="E10019" s="52" t="s">
        <v>25</v>
      </c>
      <c r="F10019" s="52" t="s">
        <v>26</v>
      </c>
      <c r="G10019" s="53"/>
    </row>
    <row r="10020">
      <c r="A10020" s="49">
        <v>45126.351828321756</v>
      </c>
      <c r="B10020" s="50">
        <v>45126.4768000578</v>
      </c>
      <c r="C10020" s="51">
        <v>1.003</v>
      </c>
      <c r="D10020" s="51">
        <v>72.0</v>
      </c>
      <c r="E10020" s="52" t="s">
        <v>25</v>
      </c>
      <c r="F10020" s="52" t="s">
        <v>26</v>
      </c>
      <c r="G10020" s="53"/>
    </row>
    <row r="10021">
      <c r="A10021" s="49">
        <v>45126.36224958333</v>
      </c>
      <c r="B10021" s="50">
        <v>45126.4872224537</v>
      </c>
      <c r="C10021" s="51">
        <v>1.003</v>
      </c>
      <c r="D10021" s="51">
        <v>72.0</v>
      </c>
      <c r="E10021" s="52" t="s">
        <v>25</v>
      </c>
      <c r="F10021" s="52" t="s">
        <v>26</v>
      </c>
      <c r="G10021" s="53"/>
    </row>
    <row r="10022">
      <c r="A10022" s="49">
        <v>45126.37268324074</v>
      </c>
      <c r="B10022" s="50">
        <v>45126.4976541319</v>
      </c>
      <c r="C10022" s="51">
        <v>1.003</v>
      </c>
      <c r="D10022" s="51">
        <v>72.0</v>
      </c>
      <c r="E10022" s="52" t="s">
        <v>25</v>
      </c>
      <c r="F10022" s="52" t="s">
        <v>26</v>
      </c>
      <c r="G10022" s="53"/>
    </row>
    <row r="10023">
      <c r="A10023" s="49">
        <v>45126.383102210646</v>
      </c>
      <c r="B10023" s="50">
        <v>45126.5080756365</v>
      </c>
      <c r="C10023" s="51">
        <v>1.003</v>
      </c>
      <c r="D10023" s="51">
        <v>73.0</v>
      </c>
      <c r="E10023" s="52" t="s">
        <v>25</v>
      </c>
      <c r="F10023" s="52" t="s">
        <v>26</v>
      </c>
      <c r="G10023" s="53"/>
    </row>
    <row r="10024">
      <c r="A10024" s="49">
        <v>45126.39353021991</v>
      </c>
      <c r="B10024" s="50">
        <v>45126.5184988426</v>
      </c>
      <c r="C10024" s="51">
        <v>1.003</v>
      </c>
      <c r="D10024" s="51">
        <v>73.0</v>
      </c>
      <c r="E10024" s="52" t="s">
        <v>25</v>
      </c>
      <c r="F10024" s="52" t="s">
        <v>26</v>
      </c>
      <c r="G10024" s="53"/>
    </row>
    <row r="10025">
      <c r="A10025" s="49">
        <v>45126.40395262731</v>
      </c>
      <c r="B10025" s="50">
        <v>45126.528919699</v>
      </c>
      <c r="C10025" s="51">
        <v>1.003</v>
      </c>
      <c r="D10025" s="51">
        <v>73.0</v>
      </c>
      <c r="E10025" s="52" t="s">
        <v>25</v>
      </c>
      <c r="F10025" s="52" t="s">
        <v>26</v>
      </c>
      <c r="G10025" s="53"/>
    </row>
    <row r="10026">
      <c r="A10026" s="49">
        <v>45126.41437592593</v>
      </c>
      <c r="B10026" s="50">
        <v>45126.5393412037</v>
      </c>
      <c r="C10026" s="51">
        <v>1.003</v>
      </c>
      <c r="D10026" s="51">
        <v>73.0</v>
      </c>
      <c r="E10026" s="52" t="s">
        <v>25</v>
      </c>
      <c r="F10026" s="52" t="s">
        <v>26</v>
      </c>
      <c r="G10026" s="53"/>
    </row>
    <row r="10027">
      <c r="A10027" s="49">
        <v>45126.42481011574</v>
      </c>
      <c r="B10027" s="50">
        <v>45126.5497740972</v>
      </c>
      <c r="C10027" s="51">
        <v>1.003</v>
      </c>
      <c r="D10027" s="51">
        <v>73.0</v>
      </c>
      <c r="E10027" s="52" t="s">
        <v>25</v>
      </c>
      <c r="F10027" s="52" t="s">
        <v>26</v>
      </c>
      <c r="G10027" s="53"/>
    </row>
    <row r="10028">
      <c r="A10028" s="49">
        <v>45126.43522322917</v>
      </c>
      <c r="B10028" s="50">
        <v>45126.5601966782</v>
      </c>
      <c r="C10028" s="51">
        <v>1.003</v>
      </c>
      <c r="D10028" s="51">
        <v>73.0</v>
      </c>
      <c r="E10028" s="52" t="s">
        <v>25</v>
      </c>
      <c r="F10028" s="52" t="s">
        <v>26</v>
      </c>
      <c r="G10028" s="53"/>
    </row>
    <row r="10029">
      <c r="A10029" s="49">
        <v>45126.44564615741</v>
      </c>
      <c r="B10029" s="50">
        <v>45126.5706176504</v>
      </c>
      <c r="C10029" s="51">
        <v>1.003</v>
      </c>
      <c r="D10029" s="51">
        <v>72.0</v>
      </c>
      <c r="E10029" s="52" t="s">
        <v>25</v>
      </c>
      <c r="F10029" s="52" t="s">
        <v>26</v>
      </c>
      <c r="G10029" s="53"/>
    </row>
    <row r="10030">
      <c r="A10030" s="49">
        <v>45126.45606938658</v>
      </c>
      <c r="B10030" s="50">
        <v>45126.5810387152</v>
      </c>
      <c r="C10030" s="51">
        <v>1.003</v>
      </c>
      <c r="D10030" s="51">
        <v>73.0</v>
      </c>
      <c r="E10030" s="52" t="s">
        <v>25</v>
      </c>
      <c r="F10030" s="52" t="s">
        <v>26</v>
      </c>
      <c r="G10030" s="53"/>
    </row>
    <row r="10031">
      <c r="A10031" s="49">
        <v>45126.46649090278</v>
      </c>
      <c r="B10031" s="50">
        <v>45126.5914599652</v>
      </c>
      <c r="C10031" s="51">
        <v>1.003</v>
      </c>
      <c r="D10031" s="51">
        <v>73.0</v>
      </c>
      <c r="E10031" s="52" t="s">
        <v>25</v>
      </c>
      <c r="F10031" s="52" t="s">
        <v>26</v>
      </c>
      <c r="G10031" s="53"/>
    </row>
    <row r="10032">
      <c r="A10032" s="49">
        <v>45126.476916631946</v>
      </c>
      <c r="B10032" s="50">
        <v>45126.6018809259</v>
      </c>
      <c r="C10032" s="51">
        <v>1.003</v>
      </c>
      <c r="D10032" s="51">
        <v>72.0</v>
      </c>
      <c r="E10032" s="52" t="s">
        <v>25</v>
      </c>
      <c r="F10032" s="52" t="s">
        <v>26</v>
      </c>
      <c r="G10032" s="53"/>
    </row>
    <row r="10033">
      <c r="A10033" s="49">
        <v>45126.48733563657</v>
      </c>
      <c r="B10033" s="50">
        <v>45126.6123013541</v>
      </c>
      <c r="C10033" s="51">
        <v>1.003</v>
      </c>
      <c r="D10033" s="51">
        <v>72.0</v>
      </c>
      <c r="E10033" s="52" t="s">
        <v>25</v>
      </c>
      <c r="F10033" s="52" t="s">
        <v>26</v>
      </c>
      <c r="G10033" s="53"/>
    </row>
    <row r="10034">
      <c r="A10034" s="49">
        <v>45126.49776182871</v>
      </c>
      <c r="B10034" s="50">
        <v>45126.6227228703</v>
      </c>
      <c r="C10034" s="51">
        <v>1.003</v>
      </c>
      <c r="D10034" s="51">
        <v>73.0</v>
      </c>
      <c r="E10034" s="52" t="s">
        <v>25</v>
      </c>
      <c r="F10034" s="52" t="s">
        <v>26</v>
      </c>
      <c r="G10034" s="53"/>
    </row>
    <row r="10035">
      <c r="A10035" s="49">
        <v>45126.50817395833</v>
      </c>
      <c r="B10035" s="50">
        <v>45126.6331439814</v>
      </c>
      <c r="C10035" s="51">
        <v>1.003</v>
      </c>
      <c r="D10035" s="51">
        <v>73.0</v>
      </c>
      <c r="E10035" s="52" t="s">
        <v>25</v>
      </c>
      <c r="F10035" s="52" t="s">
        <v>26</v>
      </c>
      <c r="G10035" s="53"/>
    </row>
    <row r="10036">
      <c r="A10036" s="49">
        <v>45126.51860484954</v>
      </c>
      <c r="B10036" s="50">
        <v>45126.643575081</v>
      </c>
      <c r="C10036" s="51">
        <v>1.003</v>
      </c>
      <c r="D10036" s="51">
        <v>73.0</v>
      </c>
      <c r="E10036" s="52" t="s">
        <v>25</v>
      </c>
      <c r="F10036" s="52" t="s">
        <v>26</v>
      </c>
      <c r="G10036" s="53"/>
    </row>
    <row r="10037">
      <c r="A10037" s="49">
        <v>45126.52903269676</v>
      </c>
      <c r="B10037" s="50">
        <v>45126.6540067476</v>
      </c>
      <c r="C10037" s="51">
        <v>1.003</v>
      </c>
      <c r="D10037" s="51">
        <v>73.0</v>
      </c>
      <c r="E10037" s="52" t="s">
        <v>25</v>
      </c>
      <c r="F10037" s="52" t="s">
        <v>26</v>
      </c>
      <c r="G10037" s="53"/>
    </row>
    <row r="10038">
      <c r="A10038" s="49">
        <v>45126.53948465278</v>
      </c>
      <c r="B10038" s="50">
        <v>45126.664452905</v>
      </c>
      <c r="C10038" s="51">
        <v>1.003</v>
      </c>
      <c r="D10038" s="51">
        <v>73.0</v>
      </c>
      <c r="E10038" s="52" t="s">
        <v>25</v>
      </c>
      <c r="F10038" s="52" t="s">
        <v>26</v>
      </c>
      <c r="G10038" s="53"/>
    </row>
    <row r="10039">
      <c r="A10039" s="49">
        <v>45126.54991377315</v>
      </c>
      <c r="B10039" s="50">
        <v>45126.6748725925</v>
      </c>
      <c r="C10039" s="51">
        <v>1.003</v>
      </c>
      <c r="D10039" s="51">
        <v>72.0</v>
      </c>
      <c r="E10039" s="52" t="s">
        <v>25</v>
      </c>
      <c r="F10039" s="52" t="s">
        <v>26</v>
      </c>
      <c r="G10039" s="53"/>
    </row>
    <row r="10040">
      <c r="A10040" s="49">
        <v>45126.56033658565</v>
      </c>
      <c r="B10040" s="50">
        <v>45126.685305868</v>
      </c>
      <c r="C10040" s="51">
        <v>1.003</v>
      </c>
      <c r="D10040" s="51">
        <v>73.0</v>
      </c>
      <c r="E10040" s="52" t="s">
        <v>25</v>
      </c>
      <c r="F10040" s="52" t="s">
        <v>26</v>
      </c>
      <c r="G10040" s="53"/>
    </row>
    <row r="10041">
      <c r="A10041" s="49">
        <v>45126.57075840278</v>
      </c>
      <c r="B10041" s="50">
        <v>45126.6957262847</v>
      </c>
      <c r="C10041" s="51">
        <v>1.003</v>
      </c>
      <c r="D10041" s="51">
        <v>72.0</v>
      </c>
      <c r="E10041" s="52" t="s">
        <v>25</v>
      </c>
      <c r="F10041" s="52" t="s">
        <v>26</v>
      </c>
      <c r="G10041" s="53"/>
    </row>
    <row r="10042">
      <c r="A10042" s="49">
        <v>45126.58117712963</v>
      </c>
      <c r="B10042" s="50">
        <v>45126.7061479745</v>
      </c>
      <c r="C10042" s="51">
        <v>1.004</v>
      </c>
      <c r="D10042" s="51">
        <v>72.0</v>
      </c>
      <c r="E10042" s="52" t="s">
        <v>25</v>
      </c>
      <c r="F10042" s="52" t="s">
        <v>26</v>
      </c>
      <c r="G10042" s="53"/>
    </row>
    <row r="10043">
      <c r="A10043" s="49">
        <v>45126.59161050926</v>
      </c>
      <c r="B10043" s="50">
        <v>45126.7165800578</v>
      </c>
      <c r="C10043" s="51">
        <v>1.003</v>
      </c>
      <c r="D10043" s="51">
        <v>72.0</v>
      </c>
      <c r="E10043" s="52" t="s">
        <v>25</v>
      </c>
      <c r="F10043" s="52" t="s">
        <v>26</v>
      </c>
      <c r="G10043" s="53"/>
    </row>
    <row r="10044">
      <c r="A10044" s="49">
        <v>45126.6020277662</v>
      </c>
      <c r="B10044" s="50">
        <v>45126.7270000462</v>
      </c>
      <c r="C10044" s="51">
        <v>1.003</v>
      </c>
      <c r="D10044" s="51">
        <v>72.0</v>
      </c>
      <c r="E10044" s="52" t="s">
        <v>25</v>
      </c>
      <c r="F10044" s="52" t="s">
        <v>26</v>
      </c>
      <c r="G10044" s="53"/>
    </row>
    <row r="10045">
      <c r="A10045" s="49">
        <v>45126.612454953705</v>
      </c>
      <c r="B10045" s="50">
        <v>45126.7374208333</v>
      </c>
      <c r="C10045" s="51">
        <v>1.003</v>
      </c>
      <c r="D10045" s="51">
        <v>72.0</v>
      </c>
      <c r="E10045" s="52" t="s">
        <v>25</v>
      </c>
      <c r="F10045" s="52" t="s">
        <v>26</v>
      </c>
      <c r="G10045" s="53"/>
    </row>
    <row r="10046">
      <c r="A10046" s="49">
        <v>45126.622868182865</v>
      </c>
      <c r="B10046" s="50">
        <v>45126.7478412963</v>
      </c>
      <c r="C10046" s="51">
        <v>1.003</v>
      </c>
      <c r="D10046" s="51">
        <v>72.0</v>
      </c>
      <c r="E10046" s="52" t="s">
        <v>25</v>
      </c>
      <c r="F10046" s="52" t="s">
        <v>26</v>
      </c>
      <c r="G10046" s="53"/>
    </row>
    <row r="10047">
      <c r="A10047" s="49">
        <v>45126.63329709491</v>
      </c>
      <c r="B10047" s="50">
        <v>45126.7582754166</v>
      </c>
      <c r="C10047" s="51">
        <v>1.003</v>
      </c>
      <c r="D10047" s="51">
        <v>72.0</v>
      </c>
      <c r="E10047" s="52" t="s">
        <v>25</v>
      </c>
      <c r="F10047" s="52" t="s">
        <v>26</v>
      </c>
      <c r="G10047" s="53"/>
    </row>
    <row r="10048">
      <c r="A10048" s="49">
        <v>45126.64373952546</v>
      </c>
      <c r="B10048" s="50">
        <v>45126.7687083333</v>
      </c>
      <c r="C10048" s="51">
        <v>1.003</v>
      </c>
      <c r="D10048" s="51">
        <v>72.0</v>
      </c>
      <c r="E10048" s="52" t="s">
        <v>25</v>
      </c>
      <c r="F10048" s="52" t="s">
        <v>26</v>
      </c>
      <c r="G10048" s="53"/>
    </row>
    <row r="10049">
      <c r="A10049" s="49">
        <v>45126.65415498843</v>
      </c>
      <c r="B10049" s="50">
        <v>45126.7791292824</v>
      </c>
      <c r="C10049" s="51">
        <v>1.003</v>
      </c>
      <c r="D10049" s="51">
        <v>72.0</v>
      </c>
      <c r="E10049" s="52" t="s">
        <v>25</v>
      </c>
      <c r="F10049" s="52" t="s">
        <v>26</v>
      </c>
      <c r="G10049" s="53"/>
    </row>
    <row r="10050">
      <c r="A10050" s="49">
        <v>45126.66458570602</v>
      </c>
      <c r="B10050" s="50">
        <v>45126.7895515509</v>
      </c>
      <c r="C10050" s="51">
        <v>1.003</v>
      </c>
      <c r="D10050" s="51">
        <v>72.0</v>
      </c>
      <c r="E10050" s="52" t="s">
        <v>25</v>
      </c>
      <c r="F10050" s="52" t="s">
        <v>26</v>
      </c>
      <c r="G10050" s="53"/>
    </row>
    <row r="10051">
      <c r="A10051" s="49">
        <v>45126.67500402778</v>
      </c>
      <c r="B10051" s="50">
        <v>45126.7999704513</v>
      </c>
      <c r="C10051" s="51">
        <v>1.003</v>
      </c>
      <c r="D10051" s="51">
        <v>72.0</v>
      </c>
      <c r="E10051" s="52" t="s">
        <v>25</v>
      </c>
      <c r="F10051" s="52" t="s">
        <v>26</v>
      </c>
      <c r="G10051" s="53"/>
    </row>
    <row r="10052">
      <c r="A10052" s="49">
        <v>45126.685424247684</v>
      </c>
      <c r="B10052" s="50">
        <v>45126.810393206</v>
      </c>
      <c r="C10052" s="51">
        <v>1.003</v>
      </c>
      <c r="D10052" s="51">
        <v>72.0</v>
      </c>
      <c r="E10052" s="52" t="s">
        <v>25</v>
      </c>
      <c r="F10052" s="52" t="s">
        <v>26</v>
      </c>
      <c r="G10052" s="53"/>
    </row>
    <row r="10053">
      <c r="A10053" s="49">
        <v>45126.695850081014</v>
      </c>
      <c r="B10053" s="50">
        <v>45126.820814155</v>
      </c>
      <c r="C10053" s="51">
        <v>1.003</v>
      </c>
      <c r="D10053" s="51">
        <v>72.0</v>
      </c>
      <c r="E10053" s="52" t="s">
        <v>25</v>
      </c>
      <c r="F10053" s="52" t="s">
        <v>26</v>
      </c>
      <c r="G10053" s="53"/>
    </row>
    <row r="10054">
      <c r="A10054" s="49">
        <v>45126.706271863426</v>
      </c>
      <c r="B10054" s="50">
        <v>45126.831235625</v>
      </c>
      <c r="C10054" s="51">
        <v>1.003</v>
      </c>
      <c r="D10054" s="51">
        <v>72.0</v>
      </c>
      <c r="E10054" s="52" t="s">
        <v>25</v>
      </c>
      <c r="F10054" s="52" t="s">
        <v>26</v>
      </c>
      <c r="G10054" s="53"/>
    </row>
    <row r="10055">
      <c r="A10055" s="49">
        <v>45126.716699212964</v>
      </c>
      <c r="B10055" s="50">
        <v>45126.8416682175</v>
      </c>
      <c r="C10055" s="51">
        <v>1.003</v>
      </c>
      <c r="D10055" s="51">
        <v>72.0</v>
      </c>
      <c r="E10055" s="52" t="s">
        <v>25</v>
      </c>
      <c r="F10055" s="52" t="s">
        <v>26</v>
      </c>
      <c r="G10055" s="53"/>
    </row>
    <row r="10056">
      <c r="A10056" s="49">
        <v>45126.72713247685</v>
      </c>
      <c r="B10056" s="50">
        <v>45126.8521016666</v>
      </c>
      <c r="C10056" s="51">
        <v>1.003</v>
      </c>
      <c r="D10056" s="51">
        <v>72.0</v>
      </c>
      <c r="E10056" s="52" t="s">
        <v>25</v>
      </c>
      <c r="F10056" s="52" t="s">
        <v>26</v>
      </c>
      <c r="G10056" s="53"/>
    </row>
    <row r="10057">
      <c r="A10057" s="49">
        <v>45126.737545613425</v>
      </c>
      <c r="B10057" s="50">
        <v>45126.8625225347</v>
      </c>
      <c r="C10057" s="51">
        <v>1.003</v>
      </c>
      <c r="D10057" s="51">
        <v>72.0</v>
      </c>
      <c r="E10057" s="52" t="s">
        <v>25</v>
      </c>
      <c r="F10057" s="52" t="s">
        <v>26</v>
      </c>
      <c r="G10057" s="53"/>
    </row>
    <row r="10058">
      <c r="A10058" s="49">
        <v>45126.74796791667</v>
      </c>
      <c r="B10058" s="50">
        <v>45126.8729427199</v>
      </c>
      <c r="C10058" s="51">
        <v>1.003</v>
      </c>
      <c r="D10058" s="51">
        <v>72.0</v>
      </c>
      <c r="E10058" s="52" t="s">
        <v>25</v>
      </c>
      <c r="F10058" s="52" t="s">
        <v>26</v>
      </c>
      <c r="G10058" s="53"/>
    </row>
    <row r="10059">
      <c r="A10059" s="49">
        <v>45126.758396944446</v>
      </c>
      <c r="B10059" s="50">
        <v>45126.8833629166</v>
      </c>
      <c r="C10059" s="51">
        <v>1.003</v>
      </c>
      <c r="D10059" s="51">
        <v>72.0</v>
      </c>
      <c r="E10059" s="52" t="s">
        <v>25</v>
      </c>
      <c r="F10059" s="52" t="s">
        <v>26</v>
      </c>
      <c r="G10059" s="53"/>
    </row>
    <row r="10060">
      <c r="A10060" s="49">
        <v>45126.76880962963</v>
      </c>
      <c r="B10060" s="50">
        <v>45126.893785243</v>
      </c>
      <c r="C10060" s="51">
        <v>1.003</v>
      </c>
      <c r="D10060" s="51">
        <v>72.0</v>
      </c>
      <c r="E10060" s="52" t="s">
        <v>25</v>
      </c>
      <c r="F10060" s="52" t="s">
        <v>26</v>
      </c>
      <c r="G10060" s="53"/>
    </row>
    <row r="10061">
      <c r="A10061" s="49">
        <v>45126.779240289354</v>
      </c>
      <c r="B10061" s="50">
        <v>45126.9042061458</v>
      </c>
      <c r="C10061" s="51">
        <v>1.003</v>
      </c>
      <c r="D10061" s="51">
        <v>72.0</v>
      </c>
      <c r="E10061" s="52" t="s">
        <v>25</v>
      </c>
      <c r="F10061" s="52" t="s">
        <v>26</v>
      </c>
      <c r="G10061" s="53"/>
    </row>
    <row r="10062">
      <c r="A10062" s="49">
        <v>45126.78966217593</v>
      </c>
      <c r="B10062" s="50">
        <v>45126.914627581</v>
      </c>
      <c r="C10062" s="51">
        <v>1.003</v>
      </c>
      <c r="D10062" s="51">
        <v>72.0</v>
      </c>
      <c r="E10062" s="52" t="s">
        <v>25</v>
      </c>
      <c r="F10062" s="52" t="s">
        <v>26</v>
      </c>
      <c r="G10062" s="53"/>
    </row>
    <row r="10063">
      <c r="A10063" s="49">
        <v>45126.8000834375</v>
      </c>
      <c r="B10063" s="50">
        <v>45126.9250487037</v>
      </c>
      <c r="C10063" s="51">
        <v>1.003</v>
      </c>
      <c r="D10063" s="51">
        <v>72.0</v>
      </c>
      <c r="E10063" s="52" t="s">
        <v>25</v>
      </c>
      <c r="F10063" s="52" t="s">
        <v>26</v>
      </c>
      <c r="G10063" s="53"/>
    </row>
    <row r="10064">
      <c r="A10064" s="49">
        <v>45126.81050571759</v>
      </c>
      <c r="B10064" s="50">
        <v>45126.9354708101</v>
      </c>
      <c r="C10064" s="51">
        <v>1.003</v>
      </c>
      <c r="D10064" s="51">
        <v>72.0</v>
      </c>
      <c r="E10064" s="52" t="s">
        <v>25</v>
      </c>
      <c r="F10064" s="52" t="s">
        <v>26</v>
      </c>
      <c r="G10064" s="53"/>
    </row>
    <row r="10065">
      <c r="A10065" s="49">
        <v>45126.820926597225</v>
      </c>
      <c r="B10065" s="50">
        <v>45126.9458920717</v>
      </c>
      <c r="C10065" s="51">
        <v>1.003</v>
      </c>
      <c r="D10065" s="51">
        <v>72.0</v>
      </c>
      <c r="E10065" s="52" t="s">
        <v>25</v>
      </c>
      <c r="F10065" s="52" t="s">
        <v>26</v>
      </c>
      <c r="G10065" s="53"/>
    </row>
    <row r="10066">
      <c r="A10066" s="49">
        <v>45126.83134228009</v>
      </c>
      <c r="B10066" s="50">
        <v>45126.9563137731</v>
      </c>
      <c r="C10066" s="51">
        <v>1.003</v>
      </c>
      <c r="D10066" s="51">
        <v>72.0</v>
      </c>
      <c r="E10066" s="52" t="s">
        <v>25</v>
      </c>
      <c r="F10066" s="52" t="s">
        <v>26</v>
      </c>
      <c r="G10066" s="53"/>
    </row>
    <row r="10067">
      <c r="A10067" s="49">
        <v>45126.841772071755</v>
      </c>
      <c r="B10067" s="50">
        <v>45126.9667361226</v>
      </c>
      <c r="C10067" s="51">
        <v>1.003</v>
      </c>
      <c r="D10067" s="51">
        <v>72.0</v>
      </c>
      <c r="E10067" s="52" t="s">
        <v>25</v>
      </c>
      <c r="F10067" s="52" t="s">
        <v>26</v>
      </c>
      <c r="G10067" s="53"/>
    </row>
    <row r="10068">
      <c r="A10068" s="49">
        <v>45126.852186724536</v>
      </c>
      <c r="B10068" s="50">
        <v>45126.9771555439</v>
      </c>
      <c r="C10068" s="51">
        <v>1.003</v>
      </c>
      <c r="D10068" s="51">
        <v>72.0</v>
      </c>
      <c r="E10068" s="52" t="s">
        <v>25</v>
      </c>
      <c r="F10068" s="52" t="s">
        <v>26</v>
      </c>
      <c r="G10068" s="53"/>
    </row>
    <row r="10069">
      <c r="A10069" s="49">
        <v>45126.86261521991</v>
      </c>
      <c r="B10069" s="50">
        <v>45126.9875875578</v>
      </c>
      <c r="C10069" s="51">
        <v>1.003</v>
      </c>
      <c r="D10069" s="51">
        <v>72.0</v>
      </c>
      <c r="E10069" s="52" t="s">
        <v>25</v>
      </c>
      <c r="F10069" s="52" t="s">
        <v>26</v>
      </c>
      <c r="G10069" s="53"/>
    </row>
    <row r="10070">
      <c r="A10070" s="49">
        <v>45126.873036261575</v>
      </c>
      <c r="B10070" s="50">
        <v>45126.9980073726</v>
      </c>
      <c r="C10070" s="51">
        <v>1.003</v>
      </c>
      <c r="D10070" s="51">
        <v>72.0</v>
      </c>
      <c r="E10070" s="52" t="s">
        <v>25</v>
      </c>
      <c r="F10070" s="52" t="s">
        <v>26</v>
      </c>
      <c r="G10070" s="53"/>
    </row>
    <row r="10071">
      <c r="A10071" s="49">
        <v>45126.88346340277</v>
      </c>
      <c r="B10071" s="50">
        <v>45127.0084287963</v>
      </c>
      <c r="C10071" s="51">
        <v>1.003</v>
      </c>
      <c r="D10071" s="51">
        <v>72.0</v>
      </c>
      <c r="E10071" s="52" t="s">
        <v>25</v>
      </c>
      <c r="F10071" s="52" t="s">
        <v>26</v>
      </c>
      <c r="G10071" s="53"/>
    </row>
    <row r="10072">
      <c r="A10072" s="49">
        <v>45126.89387181713</v>
      </c>
      <c r="B10072" s="50">
        <v>45127.0188489236</v>
      </c>
      <c r="C10072" s="51">
        <v>1.003</v>
      </c>
      <c r="D10072" s="51">
        <v>72.0</v>
      </c>
      <c r="E10072" s="52" t="s">
        <v>25</v>
      </c>
      <c r="F10072" s="52" t="s">
        <v>26</v>
      </c>
      <c r="G10072" s="53"/>
    </row>
    <row r="10073">
      <c r="A10073" s="49">
        <v>45126.90435701389</v>
      </c>
      <c r="B10073" s="50">
        <v>45127.0293268634</v>
      </c>
      <c r="C10073" s="51">
        <v>1.004</v>
      </c>
      <c r="D10073" s="51">
        <v>72.0</v>
      </c>
      <c r="E10073" s="52" t="s">
        <v>25</v>
      </c>
      <c r="F10073" s="52" t="s">
        <v>26</v>
      </c>
      <c r="G10073" s="53"/>
    </row>
    <row r="10074">
      <c r="A10074" s="49">
        <v>45126.91479065972</v>
      </c>
      <c r="B10074" s="50">
        <v>45127.0397611689</v>
      </c>
      <c r="C10074" s="51">
        <v>1.003</v>
      </c>
      <c r="D10074" s="51">
        <v>72.0</v>
      </c>
      <c r="E10074" s="52" t="s">
        <v>25</v>
      </c>
      <c r="F10074" s="52" t="s">
        <v>26</v>
      </c>
      <c r="G10074" s="53"/>
    </row>
    <row r="10075">
      <c r="A10075" s="49">
        <v>45126.92521025463</v>
      </c>
      <c r="B10075" s="50">
        <v>45127.0501826736</v>
      </c>
      <c r="C10075" s="51">
        <v>1.003</v>
      </c>
      <c r="D10075" s="51">
        <v>72.0</v>
      </c>
      <c r="E10075" s="52" t="s">
        <v>25</v>
      </c>
      <c r="F10075" s="52" t="s">
        <v>26</v>
      </c>
      <c r="G10075" s="53"/>
    </row>
    <row r="10076">
      <c r="A10076" s="49">
        <v>45126.935637048606</v>
      </c>
      <c r="B10076" s="50">
        <v>45127.0606039467</v>
      </c>
      <c r="C10076" s="51">
        <v>1.003</v>
      </c>
      <c r="D10076" s="51">
        <v>73.0</v>
      </c>
      <c r="E10076" s="52" t="s">
        <v>25</v>
      </c>
      <c r="F10076" s="52" t="s">
        <v>26</v>
      </c>
      <c r="G10076" s="53"/>
    </row>
    <row r="10077">
      <c r="A10077" s="49">
        <v>45126.94606185185</v>
      </c>
      <c r="B10077" s="50">
        <v>45127.0710266666</v>
      </c>
      <c r="C10077" s="51">
        <v>1.003</v>
      </c>
      <c r="D10077" s="51">
        <v>72.0</v>
      </c>
      <c r="E10077" s="52" t="s">
        <v>25</v>
      </c>
      <c r="F10077" s="52" t="s">
        <v>26</v>
      </c>
      <c r="G10077" s="53"/>
    </row>
    <row r="10078">
      <c r="A10078" s="49">
        <v>45126.95648245371</v>
      </c>
      <c r="B10078" s="50">
        <v>45127.0814477083</v>
      </c>
      <c r="C10078" s="51">
        <v>1.003</v>
      </c>
      <c r="D10078" s="51">
        <v>72.0</v>
      </c>
      <c r="E10078" s="52" t="s">
        <v>25</v>
      </c>
      <c r="F10078" s="52" t="s">
        <v>26</v>
      </c>
      <c r="G10078" s="53"/>
    </row>
    <row r="10079">
      <c r="A10079" s="49">
        <v>45126.96689498842</v>
      </c>
      <c r="B10079" s="50">
        <v>45127.0918696527</v>
      </c>
      <c r="C10079" s="51">
        <v>1.003</v>
      </c>
      <c r="D10079" s="51">
        <v>72.0</v>
      </c>
      <c r="E10079" s="52" t="s">
        <v>25</v>
      </c>
      <c r="F10079" s="52" t="s">
        <v>26</v>
      </c>
      <c r="G10079" s="53"/>
    </row>
    <row r="10080">
      <c r="A10080" s="49">
        <v>45126.977322754625</v>
      </c>
      <c r="B10080" s="50">
        <v>45127.1022908564</v>
      </c>
      <c r="C10080" s="51">
        <v>1.003</v>
      </c>
      <c r="D10080" s="51">
        <v>72.0</v>
      </c>
      <c r="E10080" s="52" t="s">
        <v>25</v>
      </c>
      <c r="F10080" s="52" t="s">
        <v>26</v>
      </c>
      <c r="G10080" s="53"/>
    </row>
    <row r="10081">
      <c r="A10081" s="49">
        <v>45126.9877468287</v>
      </c>
      <c r="B10081" s="50">
        <v>45127.1127111342</v>
      </c>
      <c r="C10081" s="51">
        <v>1.003</v>
      </c>
      <c r="D10081" s="51">
        <v>72.0</v>
      </c>
      <c r="E10081" s="52" t="s">
        <v>25</v>
      </c>
      <c r="F10081" s="52" t="s">
        <v>26</v>
      </c>
      <c r="G10081" s="53"/>
    </row>
    <row r="10082">
      <c r="A10082" s="49">
        <v>45126.99816641204</v>
      </c>
      <c r="B10082" s="50">
        <v>45127.1231323148</v>
      </c>
      <c r="C10082" s="51">
        <v>1.003</v>
      </c>
      <c r="D10082" s="51">
        <v>72.0</v>
      </c>
      <c r="E10082" s="52" t="s">
        <v>25</v>
      </c>
      <c r="F10082" s="52" t="s">
        <v>26</v>
      </c>
      <c r="G10082" s="53"/>
    </row>
    <row r="10083">
      <c r="A10083" s="49">
        <v>45127.00858445602</v>
      </c>
      <c r="B10083" s="50">
        <v>45127.1335541666</v>
      </c>
      <c r="C10083" s="51">
        <v>1.003</v>
      </c>
      <c r="D10083" s="51">
        <v>73.0</v>
      </c>
      <c r="E10083" s="52" t="s">
        <v>25</v>
      </c>
      <c r="F10083" s="52" t="s">
        <v>26</v>
      </c>
      <c r="G10083" s="53"/>
    </row>
    <row r="10084">
      <c r="A10084" s="49">
        <v>45127.01900166667</v>
      </c>
      <c r="B10084" s="50">
        <v>45127.1439755092</v>
      </c>
      <c r="C10084" s="51">
        <v>1.003</v>
      </c>
      <c r="D10084" s="51">
        <v>72.0</v>
      </c>
      <c r="E10084" s="52" t="s">
        <v>25</v>
      </c>
      <c r="F10084" s="52" t="s">
        <v>26</v>
      </c>
      <c r="G10084" s="53"/>
    </row>
    <row r="10085">
      <c r="A10085" s="49">
        <v>45127.029427500005</v>
      </c>
      <c r="B10085" s="50">
        <v>45127.1543984722</v>
      </c>
      <c r="C10085" s="51">
        <v>1.003</v>
      </c>
      <c r="D10085" s="51">
        <v>72.0</v>
      </c>
      <c r="E10085" s="52" t="s">
        <v>25</v>
      </c>
      <c r="F10085" s="52" t="s">
        <v>26</v>
      </c>
      <c r="G10085" s="53"/>
    </row>
    <row r="10086">
      <c r="A10086" s="49">
        <v>45127.03984481482</v>
      </c>
      <c r="B10086" s="50">
        <v>45127.1648189699</v>
      </c>
      <c r="C10086" s="51">
        <v>1.003</v>
      </c>
      <c r="D10086" s="51">
        <v>72.0</v>
      </c>
      <c r="E10086" s="52" t="s">
        <v>25</v>
      </c>
      <c r="F10086" s="52" t="s">
        <v>26</v>
      </c>
      <c r="G10086" s="53"/>
    </row>
    <row r="10087">
      <c r="A10087" s="49">
        <v>45127.05027231482</v>
      </c>
      <c r="B10087" s="50">
        <v>45127.175241331</v>
      </c>
      <c r="C10087" s="51">
        <v>1.004</v>
      </c>
      <c r="D10087" s="51">
        <v>73.0</v>
      </c>
      <c r="E10087" s="52" t="s">
        <v>25</v>
      </c>
      <c r="F10087" s="52" t="s">
        <v>26</v>
      </c>
      <c r="G10087" s="53"/>
    </row>
    <row r="10088">
      <c r="A10088" s="49">
        <v>45127.060700208334</v>
      </c>
      <c r="B10088" s="50">
        <v>45127.1856731944</v>
      </c>
      <c r="C10088" s="51">
        <v>1.003</v>
      </c>
      <c r="D10088" s="51">
        <v>72.0</v>
      </c>
      <c r="E10088" s="52" t="s">
        <v>25</v>
      </c>
      <c r="F10088" s="52" t="s">
        <v>26</v>
      </c>
      <c r="G10088" s="53"/>
    </row>
    <row r="10089">
      <c r="A10089" s="49">
        <v>45127.07112607639</v>
      </c>
      <c r="B10089" s="50">
        <v>45127.1960953703</v>
      </c>
      <c r="C10089" s="51">
        <v>1.003</v>
      </c>
      <c r="D10089" s="51">
        <v>73.0</v>
      </c>
      <c r="E10089" s="52" t="s">
        <v>25</v>
      </c>
      <c r="F10089" s="52" t="s">
        <v>26</v>
      </c>
      <c r="G10089" s="53"/>
    </row>
    <row r="10090">
      <c r="A10090" s="49">
        <v>45127.08154273148</v>
      </c>
      <c r="B10090" s="50">
        <v>45127.2065160763</v>
      </c>
      <c r="C10090" s="51">
        <v>1.003</v>
      </c>
      <c r="D10090" s="51">
        <v>73.0</v>
      </c>
      <c r="E10090" s="52" t="s">
        <v>25</v>
      </c>
      <c r="F10090" s="52" t="s">
        <v>26</v>
      </c>
      <c r="G10090" s="53"/>
    </row>
    <row r="10091">
      <c r="A10091" s="49">
        <v>45127.09197483797</v>
      </c>
      <c r="B10091" s="50">
        <v>45127.2169358912</v>
      </c>
      <c r="C10091" s="51">
        <v>1.003</v>
      </c>
      <c r="D10091" s="51">
        <v>72.0</v>
      </c>
      <c r="E10091" s="52" t="s">
        <v>25</v>
      </c>
      <c r="F10091" s="52" t="s">
        <v>26</v>
      </c>
      <c r="G10091" s="53"/>
    </row>
    <row r="10092">
      <c r="A10092" s="49">
        <v>45127.10239177084</v>
      </c>
      <c r="B10092" s="50">
        <v>45127.2273585763</v>
      </c>
      <c r="C10092" s="51">
        <v>1.003</v>
      </c>
      <c r="D10092" s="51">
        <v>72.0</v>
      </c>
      <c r="E10092" s="52" t="s">
        <v>25</v>
      </c>
      <c r="F10092" s="52" t="s">
        <v>26</v>
      </c>
      <c r="G10092" s="53"/>
    </row>
    <row r="10093">
      <c r="A10093" s="49">
        <v>45127.11281391204</v>
      </c>
      <c r="B10093" s="50">
        <v>45127.2377797338</v>
      </c>
      <c r="C10093" s="51">
        <v>1.003</v>
      </c>
      <c r="D10093" s="51">
        <v>72.0</v>
      </c>
      <c r="E10093" s="52" t="s">
        <v>25</v>
      </c>
      <c r="F10093" s="52" t="s">
        <v>26</v>
      </c>
      <c r="G10093" s="53"/>
    </row>
    <row r="10094">
      <c r="A10094" s="49">
        <v>45127.12323351852</v>
      </c>
      <c r="B10094" s="50">
        <v>45127.2482121527</v>
      </c>
      <c r="C10094" s="51">
        <v>1.003</v>
      </c>
      <c r="D10094" s="51">
        <v>72.0</v>
      </c>
      <c r="E10094" s="52" t="s">
        <v>25</v>
      </c>
      <c r="F10094" s="52" t="s">
        <v>26</v>
      </c>
      <c r="G10094" s="53"/>
    </row>
    <row r="10095">
      <c r="A10095" s="49">
        <v>45127.13366782408</v>
      </c>
      <c r="B10095" s="50">
        <v>45127.2586341898</v>
      </c>
      <c r="C10095" s="51">
        <v>1.004</v>
      </c>
      <c r="D10095" s="51">
        <v>73.0</v>
      </c>
      <c r="E10095" s="52" t="s">
        <v>25</v>
      </c>
      <c r="F10095" s="52" t="s">
        <v>26</v>
      </c>
      <c r="G10095" s="53"/>
    </row>
    <row r="10096">
      <c r="A10096" s="49">
        <v>45127.14409878472</v>
      </c>
      <c r="B10096" s="50">
        <v>45127.2690670717</v>
      </c>
      <c r="C10096" s="51">
        <v>1.003</v>
      </c>
      <c r="D10096" s="51">
        <v>73.0</v>
      </c>
      <c r="E10096" s="52" t="s">
        <v>25</v>
      </c>
      <c r="F10096" s="52" t="s">
        <v>26</v>
      </c>
      <c r="G10096" s="53"/>
    </row>
    <row r="10097">
      <c r="A10097" s="49">
        <v>45127.1545305787</v>
      </c>
      <c r="B10097" s="50">
        <v>45127.2794991203</v>
      </c>
      <c r="C10097" s="51">
        <v>1.003</v>
      </c>
      <c r="D10097" s="51">
        <v>72.0</v>
      </c>
      <c r="E10097" s="52" t="s">
        <v>25</v>
      </c>
      <c r="F10097" s="52" t="s">
        <v>26</v>
      </c>
      <c r="G10097" s="53"/>
    </row>
    <row r="10098">
      <c r="A10098" s="49">
        <v>45127.16496417824</v>
      </c>
      <c r="B10098" s="50">
        <v>45127.2899312268</v>
      </c>
      <c r="C10098" s="51">
        <v>1.003</v>
      </c>
      <c r="D10098" s="51">
        <v>73.0</v>
      </c>
      <c r="E10098" s="52" t="s">
        <v>25</v>
      </c>
      <c r="F10098" s="52" t="s">
        <v>26</v>
      </c>
      <c r="G10098" s="53"/>
    </row>
    <row r="10099">
      <c r="A10099" s="49">
        <v>45127.17540068287</v>
      </c>
      <c r="B10099" s="50">
        <v>45127.3003740393</v>
      </c>
      <c r="C10099" s="51">
        <v>1.004</v>
      </c>
      <c r="D10099" s="51">
        <v>73.0</v>
      </c>
      <c r="E10099" s="52" t="s">
        <v>25</v>
      </c>
      <c r="F10099" s="52" t="s">
        <v>26</v>
      </c>
      <c r="G10099" s="53"/>
    </row>
    <row r="10100">
      <c r="A10100" s="49">
        <v>45127.18582616898</v>
      </c>
      <c r="B10100" s="50">
        <v>45127.3107947569</v>
      </c>
      <c r="C10100" s="51">
        <v>1.004</v>
      </c>
      <c r="D10100" s="51">
        <v>73.0</v>
      </c>
      <c r="E10100" s="52" t="s">
        <v>25</v>
      </c>
      <c r="F10100" s="52" t="s">
        <v>26</v>
      </c>
      <c r="G10100" s="53"/>
    </row>
    <row r="10101">
      <c r="A10101" s="49">
        <v>45127.196238344906</v>
      </c>
      <c r="B10101" s="50">
        <v>45127.3212141551</v>
      </c>
      <c r="C10101" s="51">
        <v>1.003</v>
      </c>
      <c r="D10101" s="51">
        <v>73.0</v>
      </c>
      <c r="E10101" s="52" t="s">
        <v>25</v>
      </c>
      <c r="F10101" s="52" t="s">
        <v>26</v>
      </c>
      <c r="G10101" s="53"/>
    </row>
    <row r="10102">
      <c r="A10102" s="49">
        <v>45127.206680104166</v>
      </c>
      <c r="B10102" s="50">
        <v>45127.3316469791</v>
      </c>
      <c r="C10102" s="51">
        <v>1.004</v>
      </c>
      <c r="D10102" s="51">
        <v>73.0</v>
      </c>
      <c r="E10102" s="52" t="s">
        <v>25</v>
      </c>
      <c r="F10102" s="52" t="s">
        <v>26</v>
      </c>
      <c r="G10102" s="53"/>
    </row>
    <row r="10103">
      <c r="A10103" s="49">
        <v>45127.2171065625</v>
      </c>
      <c r="B10103" s="50">
        <v>45127.3420676967</v>
      </c>
      <c r="C10103" s="51">
        <v>1.003</v>
      </c>
      <c r="D10103" s="51">
        <v>73.0</v>
      </c>
      <c r="E10103" s="52" t="s">
        <v>25</v>
      </c>
      <c r="F10103" s="52" t="s">
        <v>26</v>
      </c>
      <c r="G10103" s="53"/>
    </row>
    <row r="10104">
      <c r="A10104" s="49">
        <v>45127.227521354165</v>
      </c>
      <c r="B10104" s="50">
        <v>45127.35248875</v>
      </c>
      <c r="C10104" s="51">
        <v>1.003</v>
      </c>
      <c r="D10104" s="51">
        <v>73.0</v>
      </c>
      <c r="E10104" s="52" t="s">
        <v>25</v>
      </c>
      <c r="F10104" s="52" t="s">
        <v>26</v>
      </c>
      <c r="G10104" s="53"/>
    </row>
    <row r="10105">
      <c r="A10105" s="49">
        <v>45127.237946712965</v>
      </c>
      <c r="B10105" s="50">
        <v>45127.3629087268</v>
      </c>
      <c r="C10105" s="51">
        <v>1.003</v>
      </c>
      <c r="D10105" s="51">
        <v>73.0</v>
      </c>
      <c r="E10105" s="52" t="s">
        <v>25</v>
      </c>
      <c r="F10105" s="52" t="s">
        <v>26</v>
      </c>
      <c r="G10105" s="53"/>
    </row>
    <row r="10106">
      <c r="A10106" s="49">
        <v>45127.248361412036</v>
      </c>
      <c r="B10106" s="50">
        <v>45127.3733302199</v>
      </c>
      <c r="C10106" s="51">
        <v>1.003</v>
      </c>
      <c r="D10106" s="51">
        <v>73.0</v>
      </c>
      <c r="E10106" s="52" t="s">
        <v>25</v>
      </c>
      <c r="F10106" s="52" t="s">
        <v>26</v>
      </c>
      <c r="G10106" s="53"/>
    </row>
    <row r="10107">
      <c r="A10107" s="49">
        <v>45127.25878881944</v>
      </c>
      <c r="B10107" s="50">
        <v>45127.3837520139</v>
      </c>
      <c r="C10107" s="51">
        <v>1.003</v>
      </c>
      <c r="D10107" s="51">
        <v>73.0</v>
      </c>
      <c r="E10107" s="52" t="s">
        <v>25</v>
      </c>
      <c r="F10107" s="52" t="s">
        <v>26</v>
      </c>
      <c r="G10107" s="53"/>
    </row>
    <row r="10108">
      <c r="A10108" s="49">
        <v>45127.26920430556</v>
      </c>
      <c r="B10108" s="50">
        <v>45127.3941730787</v>
      </c>
      <c r="C10108" s="51">
        <v>1.004</v>
      </c>
      <c r="D10108" s="51">
        <v>73.0</v>
      </c>
      <c r="E10108" s="52" t="s">
        <v>25</v>
      </c>
      <c r="F10108" s="52" t="s">
        <v>26</v>
      </c>
      <c r="G10108" s="53"/>
    </row>
    <row r="10109">
      <c r="A10109" s="49">
        <v>45127.27962341435</v>
      </c>
      <c r="B10109" s="50">
        <v>45127.4045955324</v>
      </c>
      <c r="C10109" s="51">
        <v>1.003</v>
      </c>
      <c r="D10109" s="51">
        <v>73.0</v>
      </c>
      <c r="E10109" s="52" t="s">
        <v>25</v>
      </c>
      <c r="F10109" s="52" t="s">
        <v>26</v>
      </c>
      <c r="G10109" s="53"/>
    </row>
    <row r="10110">
      <c r="A10110" s="49">
        <v>45127.29003920138</v>
      </c>
      <c r="B10110" s="50">
        <v>45127.4150152893</v>
      </c>
      <c r="C10110" s="51">
        <v>1.003</v>
      </c>
      <c r="D10110" s="51">
        <v>73.0</v>
      </c>
      <c r="E10110" s="52" t="s">
        <v>25</v>
      </c>
      <c r="F10110" s="52" t="s">
        <v>26</v>
      </c>
      <c r="G10110" s="53"/>
    </row>
    <row r="10111">
      <c r="A10111" s="49">
        <v>45127.300497222226</v>
      </c>
      <c r="B10111" s="50">
        <v>45127.4254606713</v>
      </c>
      <c r="C10111" s="51">
        <v>1.003</v>
      </c>
      <c r="D10111" s="51">
        <v>73.0</v>
      </c>
      <c r="E10111" s="52" t="s">
        <v>25</v>
      </c>
      <c r="F10111" s="52" t="s">
        <v>26</v>
      </c>
      <c r="G10111" s="53"/>
    </row>
    <row r="10112">
      <c r="A10112" s="49">
        <v>45127.31090832176</v>
      </c>
      <c r="B10112" s="50">
        <v>45127.435881956</v>
      </c>
      <c r="C10112" s="51">
        <v>1.004</v>
      </c>
      <c r="D10112" s="51">
        <v>73.0</v>
      </c>
      <c r="E10112" s="52" t="s">
        <v>25</v>
      </c>
      <c r="F10112" s="52" t="s">
        <v>26</v>
      </c>
      <c r="G10112" s="53"/>
    </row>
    <row r="10113">
      <c r="A10113" s="49">
        <v>45127.32133740741</v>
      </c>
      <c r="B10113" s="50">
        <v>45127.4463049421</v>
      </c>
      <c r="C10113" s="51">
        <v>1.003</v>
      </c>
      <c r="D10113" s="51">
        <v>73.0</v>
      </c>
      <c r="E10113" s="52" t="s">
        <v>25</v>
      </c>
      <c r="F10113" s="52" t="s">
        <v>26</v>
      </c>
      <c r="G10113" s="53"/>
    </row>
    <row r="10114">
      <c r="A10114" s="49">
        <v>45127.3317605787</v>
      </c>
      <c r="B10114" s="50">
        <v>45127.4567270254</v>
      </c>
      <c r="C10114" s="51">
        <v>1.003</v>
      </c>
      <c r="D10114" s="51">
        <v>72.0</v>
      </c>
      <c r="E10114" s="52" t="s">
        <v>25</v>
      </c>
      <c r="F10114" s="52" t="s">
        <v>26</v>
      </c>
      <c r="G10114" s="53"/>
    </row>
    <row r="10115">
      <c r="A10115" s="49">
        <v>45127.34217957176</v>
      </c>
      <c r="B10115" s="50">
        <v>45127.4671489236</v>
      </c>
      <c r="C10115" s="51">
        <v>1.003</v>
      </c>
      <c r="D10115" s="51">
        <v>73.0</v>
      </c>
      <c r="E10115" s="52" t="s">
        <v>25</v>
      </c>
      <c r="F10115" s="52" t="s">
        <v>26</v>
      </c>
      <c r="G10115" s="53"/>
    </row>
    <row r="10116">
      <c r="A10116" s="49">
        <v>45127.35260305555</v>
      </c>
      <c r="B10116" s="50">
        <v>45127.4775703819</v>
      </c>
      <c r="C10116" s="51">
        <v>1.003</v>
      </c>
      <c r="D10116" s="51">
        <v>73.0</v>
      </c>
      <c r="E10116" s="52" t="s">
        <v>25</v>
      </c>
      <c r="F10116" s="52" t="s">
        <v>26</v>
      </c>
      <c r="G10116" s="53"/>
    </row>
    <row r="10117">
      <c r="A10117" s="49">
        <v>45127.36302719907</v>
      </c>
      <c r="B10117" s="50">
        <v>45127.4879918981</v>
      </c>
      <c r="C10117" s="51">
        <v>1.003</v>
      </c>
      <c r="D10117" s="51">
        <v>73.0</v>
      </c>
      <c r="E10117" s="52" t="s">
        <v>25</v>
      </c>
      <c r="F10117" s="52" t="s">
        <v>26</v>
      </c>
      <c r="G10117" s="53"/>
    </row>
    <row r="10118">
      <c r="A10118" s="49">
        <v>45127.37344336805</v>
      </c>
      <c r="B10118" s="50">
        <v>45127.4984118402</v>
      </c>
      <c r="C10118" s="51">
        <v>1.003</v>
      </c>
      <c r="D10118" s="51">
        <v>73.0</v>
      </c>
      <c r="E10118" s="52" t="s">
        <v>25</v>
      </c>
      <c r="F10118" s="52" t="s">
        <v>26</v>
      </c>
      <c r="G10118" s="53"/>
    </row>
    <row r="10119">
      <c r="A10119" s="49">
        <v>45127.383869108795</v>
      </c>
      <c r="B10119" s="50">
        <v>45127.5088319328</v>
      </c>
      <c r="C10119" s="51">
        <v>1.003</v>
      </c>
      <c r="D10119" s="51">
        <v>73.0</v>
      </c>
      <c r="E10119" s="52" t="s">
        <v>25</v>
      </c>
      <c r="F10119" s="52" t="s">
        <v>26</v>
      </c>
      <c r="G10119" s="53"/>
    </row>
    <row r="10120">
      <c r="A10120" s="49">
        <v>45127.39431087963</v>
      </c>
      <c r="B10120" s="50">
        <v>45127.5192774421</v>
      </c>
      <c r="C10120" s="51">
        <v>1.004</v>
      </c>
      <c r="D10120" s="51">
        <v>73.0</v>
      </c>
      <c r="E10120" s="52" t="s">
        <v>25</v>
      </c>
      <c r="F10120" s="52" t="s">
        <v>26</v>
      </c>
      <c r="G10120" s="53"/>
    </row>
    <row r="10121">
      <c r="A10121" s="49">
        <v>45127.404736909724</v>
      </c>
      <c r="B10121" s="50">
        <v>45127.5297085416</v>
      </c>
      <c r="C10121" s="51">
        <v>1.003</v>
      </c>
      <c r="D10121" s="51">
        <v>73.0</v>
      </c>
      <c r="E10121" s="52" t="s">
        <v>25</v>
      </c>
      <c r="F10121" s="52" t="s">
        <v>26</v>
      </c>
      <c r="G10121" s="53"/>
    </row>
    <row r="10122">
      <c r="A10122" s="49">
        <v>45127.41516042824</v>
      </c>
      <c r="B10122" s="50">
        <v>45127.5401301736</v>
      </c>
      <c r="C10122" s="51">
        <v>1.003</v>
      </c>
      <c r="D10122" s="51">
        <v>73.0</v>
      </c>
      <c r="E10122" s="52" t="s">
        <v>25</v>
      </c>
      <c r="F10122" s="52" t="s">
        <v>26</v>
      </c>
      <c r="G10122" s="53"/>
    </row>
    <row r="10123">
      <c r="A10123" s="49">
        <v>45127.42558439815</v>
      </c>
      <c r="B10123" s="50">
        <v>45127.5505496875</v>
      </c>
      <c r="C10123" s="51">
        <v>1.003</v>
      </c>
      <c r="D10123" s="51">
        <v>73.0</v>
      </c>
      <c r="E10123" s="52" t="s">
        <v>25</v>
      </c>
      <c r="F10123" s="52" t="s">
        <v>26</v>
      </c>
      <c r="G10123" s="53"/>
    </row>
    <row r="10124">
      <c r="A10124" s="49">
        <v>45127.43601188657</v>
      </c>
      <c r="B10124" s="50">
        <v>45127.5609704745</v>
      </c>
      <c r="C10124" s="51">
        <v>1.003</v>
      </c>
      <c r="D10124" s="51">
        <v>73.0</v>
      </c>
      <c r="E10124" s="52" t="s">
        <v>25</v>
      </c>
      <c r="F10124" s="52" t="s">
        <v>26</v>
      </c>
      <c r="G10124" s="53"/>
    </row>
    <row r="10125">
      <c r="A10125" s="49">
        <v>45127.446427048606</v>
      </c>
      <c r="B10125" s="50">
        <v>45127.5713921064</v>
      </c>
      <c r="C10125" s="51">
        <v>1.003</v>
      </c>
      <c r="D10125" s="51">
        <v>73.0</v>
      </c>
      <c r="E10125" s="52" t="s">
        <v>25</v>
      </c>
      <c r="F10125" s="52" t="s">
        <v>26</v>
      </c>
      <c r="G10125" s="53"/>
    </row>
    <row r="10126">
      <c r="A10126" s="49">
        <v>45127.456857268524</v>
      </c>
      <c r="B10126" s="50">
        <v>45127.5818260995</v>
      </c>
      <c r="C10126" s="51">
        <v>1.003</v>
      </c>
      <c r="D10126" s="51">
        <v>73.0</v>
      </c>
      <c r="E10126" s="52" t="s">
        <v>25</v>
      </c>
      <c r="F10126" s="52" t="s">
        <v>26</v>
      </c>
      <c r="G10126" s="53"/>
    </row>
    <row r="10127">
      <c r="A10127" s="49">
        <v>45127.46727903935</v>
      </c>
      <c r="B10127" s="50">
        <v>45127.5922461805</v>
      </c>
      <c r="C10127" s="51">
        <v>1.003</v>
      </c>
      <c r="D10127" s="51">
        <v>73.0</v>
      </c>
      <c r="E10127" s="52" t="s">
        <v>25</v>
      </c>
      <c r="F10127" s="52" t="s">
        <v>26</v>
      </c>
      <c r="G10127" s="53"/>
    </row>
    <row r="10128">
      <c r="A10128" s="49">
        <v>45127.477702222226</v>
      </c>
      <c r="B10128" s="50">
        <v>45127.6026667013</v>
      </c>
      <c r="C10128" s="51">
        <v>1.003</v>
      </c>
      <c r="D10128" s="51">
        <v>73.0</v>
      </c>
      <c r="E10128" s="52" t="s">
        <v>25</v>
      </c>
      <c r="F10128" s="52" t="s">
        <v>26</v>
      </c>
      <c r="G10128" s="53"/>
    </row>
    <row r="10129">
      <c r="A10129" s="49">
        <v>45127.488114074076</v>
      </c>
      <c r="B10129" s="50">
        <v>45127.6130881712</v>
      </c>
      <c r="C10129" s="51">
        <v>1.003</v>
      </c>
      <c r="D10129" s="51">
        <v>73.0</v>
      </c>
      <c r="E10129" s="52" t="s">
        <v>25</v>
      </c>
      <c r="F10129" s="52" t="s">
        <v>26</v>
      </c>
      <c r="G10129" s="53"/>
    </row>
    <row r="10130">
      <c r="A10130" s="49">
        <v>45127.49855684028</v>
      </c>
      <c r="B10130" s="50">
        <v>45127.623521655</v>
      </c>
      <c r="C10130" s="51">
        <v>1.003</v>
      </c>
      <c r="D10130" s="51">
        <v>72.0</v>
      </c>
      <c r="E10130" s="52" t="s">
        <v>25</v>
      </c>
      <c r="F10130" s="52" t="s">
        <v>26</v>
      </c>
      <c r="G10130" s="53"/>
    </row>
    <row r="10131">
      <c r="A10131" s="49">
        <v>45127.50898554398</v>
      </c>
      <c r="B10131" s="50">
        <v>45127.6339554282</v>
      </c>
      <c r="C10131" s="51">
        <v>1.003</v>
      </c>
      <c r="D10131" s="51">
        <v>73.0</v>
      </c>
      <c r="E10131" s="52" t="s">
        <v>25</v>
      </c>
      <c r="F10131" s="52" t="s">
        <v>26</v>
      </c>
      <c r="G10131" s="53"/>
    </row>
    <row r="10132">
      <c r="A10132" s="49">
        <v>45127.5194068287</v>
      </c>
      <c r="B10132" s="50">
        <v>45127.6443760995</v>
      </c>
      <c r="C10132" s="51">
        <v>1.003</v>
      </c>
      <c r="D10132" s="51">
        <v>73.0</v>
      </c>
      <c r="E10132" s="52" t="s">
        <v>25</v>
      </c>
      <c r="F10132" s="52" t="s">
        <v>26</v>
      </c>
      <c r="G10132" s="53"/>
    </row>
    <row r="10133">
      <c r="A10133" s="49">
        <v>45127.52983371528</v>
      </c>
      <c r="B10133" s="50">
        <v>45127.6547977083</v>
      </c>
      <c r="C10133" s="51">
        <v>1.003</v>
      </c>
      <c r="D10133" s="51">
        <v>72.0</v>
      </c>
      <c r="E10133" s="52" t="s">
        <v>25</v>
      </c>
      <c r="F10133" s="52" t="s">
        <v>26</v>
      </c>
      <c r="G10133" s="53"/>
    </row>
    <row r="10134">
      <c r="A10134" s="49">
        <v>45127.540242303236</v>
      </c>
      <c r="B10134" s="50">
        <v>45127.6652184259</v>
      </c>
      <c r="C10134" s="51">
        <v>1.003</v>
      </c>
      <c r="D10134" s="51">
        <v>72.0</v>
      </c>
      <c r="E10134" s="52" t="s">
        <v>25</v>
      </c>
      <c r="F10134" s="52" t="s">
        <v>26</v>
      </c>
      <c r="G10134" s="53"/>
    </row>
    <row r="10135">
      <c r="A10135" s="49">
        <v>45127.55067884259</v>
      </c>
      <c r="B10135" s="50">
        <v>45127.6756499652</v>
      </c>
      <c r="C10135" s="51">
        <v>1.003</v>
      </c>
      <c r="D10135" s="51">
        <v>72.0</v>
      </c>
      <c r="E10135" s="52" t="s">
        <v>25</v>
      </c>
      <c r="F10135" s="52" t="s">
        <v>26</v>
      </c>
      <c r="G10135" s="53"/>
    </row>
    <row r="10136">
      <c r="A10136" s="49">
        <v>45127.561109814815</v>
      </c>
      <c r="B10136" s="50">
        <v>45127.6860721412</v>
      </c>
      <c r="C10136" s="51">
        <v>1.003</v>
      </c>
      <c r="D10136" s="51">
        <v>72.0</v>
      </c>
      <c r="E10136" s="52" t="s">
        <v>25</v>
      </c>
      <c r="F10136" s="52" t="s">
        <v>26</v>
      </c>
      <c r="G10136" s="53"/>
    </row>
    <row r="10137">
      <c r="A10137" s="49">
        <v>45127.57154010417</v>
      </c>
      <c r="B10137" s="50">
        <v>45127.6965056481</v>
      </c>
      <c r="C10137" s="51">
        <v>1.003</v>
      </c>
      <c r="D10137" s="51">
        <v>72.0</v>
      </c>
      <c r="E10137" s="52" t="s">
        <v>25</v>
      </c>
      <c r="F10137" s="52" t="s">
        <v>26</v>
      </c>
      <c r="G10137" s="53"/>
    </row>
    <row r="10138">
      <c r="A10138" s="49">
        <v>45127.58195685185</v>
      </c>
      <c r="B10138" s="50">
        <v>45127.706926875</v>
      </c>
      <c r="C10138" s="51">
        <v>1.003</v>
      </c>
      <c r="D10138" s="51">
        <v>72.0</v>
      </c>
      <c r="E10138" s="52" t="s">
        <v>25</v>
      </c>
      <c r="F10138" s="52" t="s">
        <v>26</v>
      </c>
      <c r="G10138" s="53"/>
    </row>
    <row r="10139">
      <c r="A10139" s="49">
        <v>45127.59239445602</v>
      </c>
      <c r="B10139" s="50">
        <v>45127.7173592245</v>
      </c>
      <c r="C10139" s="51">
        <v>1.003</v>
      </c>
      <c r="D10139" s="51">
        <v>72.0</v>
      </c>
      <c r="E10139" s="52" t="s">
        <v>25</v>
      </c>
      <c r="F10139" s="52" t="s">
        <v>26</v>
      </c>
      <c r="G10139" s="53"/>
    </row>
    <row r="10140">
      <c r="A10140" s="49">
        <v>45127.60281152777</v>
      </c>
      <c r="B10140" s="50">
        <v>45127.7277797685</v>
      </c>
      <c r="C10140" s="51">
        <v>1.003</v>
      </c>
      <c r="D10140" s="51">
        <v>72.0</v>
      </c>
      <c r="E10140" s="52" t="s">
        <v>25</v>
      </c>
      <c r="F10140" s="52" t="s">
        <v>26</v>
      </c>
      <c r="G10140" s="53"/>
    </row>
    <row r="10141">
      <c r="A10141" s="49">
        <v>45127.613230138886</v>
      </c>
      <c r="B10141" s="50">
        <v>45127.7382005439</v>
      </c>
      <c r="C10141" s="51">
        <v>1.003</v>
      </c>
      <c r="D10141" s="51">
        <v>72.0</v>
      </c>
      <c r="E10141" s="52" t="s">
        <v>25</v>
      </c>
      <c r="F10141" s="52" t="s">
        <v>26</v>
      </c>
      <c r="G10141" s="53"/>
    </row>
    <row r="10142">
      <c r="A10142" s="49">
        <v>45127.62366434028</v>
      </c>
      <c r="B10142" s="50">
        <v>45127.748633287</v>
      </c>
      <c r="C10142" s="51">
        <v>1.003</v>
      </c>
      <c r="D10142" s="51">
        <v>72.0</v>
      </c>
      <c r="E10142" s="52" t="s">
        <v>25</v>
      </c>
      <c r="F10142" s="52" t="s">
        <v>26</v>
      </c>
      <c r="G10142" s="53"/>
    </row>
    <row r="10143">
      <c r="A10143" s="49">
        <v>45127.63409572917</v>
      </c>
      <c r="B10143" s="50">
        <v>45127.7590660532</v>
      </c>
      <c r="C10143" s="51">
        <v>1.003</v>
      </c>
      <c r="D10143" s="51">
        <v>72.0</v>
      </c>
      <c r="E10143" s="52" t="s">
        <v>25</v>
      </c>
      <c r="F10143" s="52" t="s">
        <v>26</v>
      </c>
      <c r="G10143" s="53"/>
    </row>
    <row r="10144">
      <c r="A10144" s="49">
        <v>45127.64452048611</v>
      </c>
      <c r="B10144" s="50">
        <v>45127.7694868865</v>
      </c>
      <c r="C10144" s="51">
        <v>1.003</v>
      </c>
      <c r="D10144" s="51">
        <v>72.0</v>
      </c>
      <c r="E10144" s="52" t="s">
        <v>25</v>
      </c>
      <c r="F10144" s="52" t="s">
        <v>26</v>
      </c>
      <c r="G10144" s="53"/>
    </row>
    <row r="10145">
      <c r="A10145" s="49">
        <v>45127.65493762732</v>
      </c>
      <c r="B10145" s="50">
        <v>45127.7799067361</v>
      </c>
      <c r="C10145" s="51">
        <v>1.003</v>
      </c>
      <c r="D10145" s="51">
        <v>72.0</v>
      </c>
      <c r="E10145" s="52" t="s">
        <v>25</v>
      </c>
      <c r="F10145" s="52" t="s">
        <v>26</v>
      </c>
      <c r="G10145" s="53"/>
    </row>
    <row r="10146">
      <c r="A10146" s="49">
        <v>45127.66536212963</v>
      </c>
      <c r="B10146" s="50">
        <v>45127.7903283449</v>
      </c>
      <c r="C10146" s="51">
        <v>1.003</v>
      </c>
      <c r="D10146" s="51">
        <v>72.0</v>
      </c>
      <c r="E10146" s="52" t="s">
        <v>25</v>
      </c>
      <c r="F10146" s="52" t="s">
        <v>26</v>
      </c>
      <c r="G10146" s="53"/>
    </row>
    <row r="10147">
      <c r="A10147" s="49">
        <v>45127.67577969907</v>
      </c>
      <c r="B10147" s="50">
        <v>45127.8007482754</v>
      </c>
      <c r="C10147" s="51">
        <v>1.003</v>
      </c>
      <c r="D10147" s="51">
        <v>72.0</v>
      </c>
      <c r="E10147" s="52" t="s">
        <v>25</v>
      </c>
      <c r="F10147" s="52" t="s">
        <v>26</v>
      </c>
      <c r="G10147" s="53"/>
    </row>
    <row r="10148">
      <c r="A10148" s="49">
        <v>45127.68619424768</v>
      </c>
      <c r="B10148" s="50">
        <v>45127.811169375</v>
      </c>
      <c r="C10148" s="51">
        <v>1.003</v>
      </c>
      <c r="D10148" s="51">
        <v>72.0</v>
      </c>
      <c r="E10148" s="52" t="s">
        <v>25</v>
      </c>
      <c r="F10148" s="52" t="s">
        <v>26</v>
      </c>
      <c r="G10148" s="53"/>
    </row>
    <row r="10149">
      <c r="A10149" s="49">
        <v>45127.69663888889</v>
      </c>
      <c r="B10149" s="50">
        <v>45127.8216018981</v>
      </c>
      <c r="C10149" s="51">
        <v>1.003</v>
      </c>
      <c r="D10149" s="51">
        <v>72.0</v>
      </c>
      <c r="E10149" s="52" t="s">
        <v>25</v>
      </c>
      <c r="F10149" s="52" t="s">
        <v>26</v>
      </c>
      <c r="G10149" s="53"/>
    </row>
    <row r="10150">
      <c r="A10150" s="49">
        <v>45127.70705273148</v>
      </c>
      <c r="B10150" s="50">
        <v>45127.8320221296</v>
      </c>
      <c r="C10150" s="51">
        <v>1.003</v>
      </c>
      <c r="D10150" s="51">
        <v>72.0</v>
      </c>
      <c r="E10150" s="52" t="s">
        <v>25</v>
      </c>
      <c r="F10150" s="52" t="s">
        <v>26</v>
      </c>
      <c r="G10150" s="53"/>
    </row>
    <row r="10151">
      <c r="A10151" s="49">
        <v>45127.7174861574</v>
      </c>
      <c r="B10151" s="50">
        <v>45127.8424448726</v>
      </c>
      <c r="C10151" s="51">
        <v>1.003</v>
      </c>
      <c r="D10151" s="51">
        <v>72.0</v>
      </c>
      <c r="E10151" s="52" t="s">
        <v>25</v>
      </c>
      <c r="F10151" s="52" t="s">
        <v>26</v>
      </c>
      <c r="G10151" s="53"/>
    </row>
    <row r="10152">
      <c r="A10152" s="49">
        <v>45127.72790471065</v>
      </c>
      <c r="B10152" s="50">
        <v>45127.8528653125</v>
      </c>
      <c r="C10152" s="51">
        <v>1.003</v>
      </c>
      <c r="D10152" s="51">
        <v>72.0</v>
      </c>
      <c r="E10152" s="52" t="s">
        <v>25</v>
      </c>
      <c r="F10152" s="52" t="s">
        <v>26</v>
      </c>
      <c r="G10152" s="53"/>
    </row>
    <row r="10153">
      <c r="A10153" s="49">
        <v>45127.73831891204</v>
      </c>
      <c r="B10153" s="50">
        <v>45127.8632867129</v>
      </c>
      <c r="C10153" s="51">
        <v>1.003</v>
      </c>
      <c r="D10153" s="51">
        <v>72.0</v>
      </c>
      <c r="E10153" s="52" t="s">
        <v>25</v>
      </c>
      <c r="F10153" s="52" t="s">
        <v>26</v>
      </c>
      <c r="G10153" s="53"/>
    </row>
    <row r="10154">
      <c r="A10154" s="49">
        <v>45127.74874092593</v>
      </c>
      <c r="B10154" s="50">
        <v>45127.8737058101</v>
      </c>
      <c r="C10154" s="51">
        <v>1.003</v>
      </c>
      <c r="D10154" s="51">
        <v>72.0</v>
      </c>
      <c r="E10154" s="52" t="s">
        <v>25</v>
      </c>
      <c r="F10154" s="52" t="s">
        <v>26</v>
      </c>
      <c r="G10154" s="53"/>
    </row>
    <row r="10155">
      <c r="A10155" s="49">
        <v>45127.759157685185</v>
      </c>
      <c r="B10155" s="50">
        <v>45127.8841265162</v>
      </c>
      <c r="C10155" s="51">
        <v>1.003</v>
      </c>
      <c r="D10155" s="51">
        <v>72.0</v>
      </c>
      <c r="E10155" s="52" t="s">
        <v>25</v>
      </c>
      <c r="F10155" s="52" t="s">
        <v>26</v>
      </c>
      <c r="G10155" s="53"/>
    </row>
    <row r="10156">
      <c r="A10156" s="49">
        <v>45127.769574606486</v>
      </c>
      <c r="B10156" s="50">
        <v>45127.8945475694</v>
      </c>
      <c r="C10156" s="51">
        <v>1.003</v>
      </c>
      <c r="D10156" s="51">
        <v>72.0</v>
      </c>
      <c r="E10156" s="52" t="s">
        <v>25</v>
      </c>
      <c r="F10156" s="52" t="s">
        <v>26</v>
      </c>
      <c r="G10156" s="53"/>
    </row>
    <row r="10157">
      <c r="A10157" s="49">
        <v>45127.78000298611</v>
      </c>
      <c r="B10157" s="50">
        <v>45127.9049691666</v>
      </c>
      <c r="C10157" s="51">
        <v>1.003</v>
      </c>
      <c r="D10157" s="51">
        <v>72.0</v>
      </c>
      <c r="E10157" s="52" t="s">
        <v>25</v>
      </c>
      <c r="F10157" s="52" t="s">
        <v>26</v>
      </c>
      <c r="G10157" s="53"/>
    </row>
    <row r="10158">
      <c r="A10158" s="49">
        <v>45127.7904430787</v>
      </c>
      <c r="B10158" s="50">
        <v>45127.9154023842</v>
      </c>
      <c r="C10158" s="51">
        <v>1.003</v>
      </c>
      <c r="D10158" s="51">
        <v>72.0</v>
      </c>
      <c r="E10158" s="52" t="s">
        <v>25</v>
      </c>
      <c r="F10158" s="52" t="s">
        <v>26</v>
      </c>
      <c r="G10158" s="53"/>
    </row>
    <row r="10159">
      <c r="A10159" s="49">
        <v>45127.800862511576</v>
      </c>
      <c r="B10159" s="50">
        <v>45127.925825081</v>
      </c>
      <c r="C10159" s="51">
        <v>1.003</v>
      </c>
      <c r="D10159" s="51">
        <v>72.0</v>
      </c>
      <c r="E10159" s="52" t="s">
        <v>25</v>
      </c>
      <c r="F10159" s="52" t="s">
        <v>26</v>
      </c>
      <c r="G10159" s="53"/>
    </row>
    <row r="10160">
      <c r="A10160" s="49">
        <v>45127.8112774537</v>
      </c>
      <c r="B10160" s="50">
        <v>45127.936245787</v>
      </c>
      <c r="C10160" s="51">
        <v>1.003</v>
      </c>
      <c r="D10160" s="51">
        <v>72.0</v>
      </c>
      <c r="E10160" s="52" t="s">
        <v>25</v>
      </c>
      <c r="F10160" s="52" t="s">
        <v>26</v>
      </c>
      <c r="G10160" s="53"/>
    </row>
    <row r="10161">
      <c r="A10161" s="49">
        <v>45127.821696921295</v>
      </c>
      <c r="B10161" s="50">
        <v>45127.9466675231</v>
      </c>
      <c r="C10161" s="51">
        <v>1.003</v>
      </c>
      <c r="D10161" s="51">
        <v>72.0</v>
      </c>
      <c r="E10161" s="52" t="s">
        <v>25</v>
      </c>
      <c r="F10161" s="52" t="s">
        <v>26</v>
      </c>
      <c r="G10161" s="53"/>
    </row>
    <row r="10162">
      <c r="A10162" s="49">
        <v>45127.83212384259</v>
      </c>
      <c r="B10162" s="50">
        <v>45127.9570882754</v>
      </c>
      <c r="C10162" s="51">
        <v>1.003</v>
      </c>
      <c r="D10162" s="51">
        <v>72.0</v>
      </c>
      <c r="E10162" s="52" t="s">
        <v>25</v>
      </c>
      <c r="F10162" s="52" t="s">
        <v>26</v>
      </c>
      <c r="G10162" s="53"/>
    </row>
    <row r="10163">
      <c r="A10163" s="49">
        <v>45127.84254165509</v>
      </c>
      <c r="B10163" s="50">
        <v>45127.9675093171</v>
      </c>
      <c r="C10163" s="51">
        <v>1.003</v>
      </c>
      <c r="D10163" s="51">
        <v>72.0</v>
      </c>
      <c r="E10163" s="52" t="s">
        <v>25</v>
      </c>
      <c r="F10163" s="52" t="s">
        <v>26</v>
      </c>
      <c r="G10163" s="53"/>
    </row>
    <row r="10164">
      <c r="A10164" s="49">
        <v>45127.85295956019</v>
      </c>
      <c r="B10164" s="50">
        <v>45127.9779305555</v>
      </c>
      <c r="C10164" s="51">
        <v>1.003</v>
      </c>
      <c r="D10164" s="51">
        <v>72.0</v>
      </c>
      <c r="E10164" s="52" t="s">
        <v>25</v>
      </c>
      <c r="F10164" s="52" t="s">
        <v>26</v>
      </c>
      <c r="G10164" s="53"/>
    </row>
    <row r="10165">
      <c r="A10165" s="49">
        <v>45127.86338876157</v>
      </c>
      <c r="B10165" s="50">
        <v>45127.9883628356</v>
      </c>
      <c r="C10165" s="51">
        <v>1.003</v>
      </c>
      <c r="D10165" s="51">
        <v>72.0</v>
      </c>
      <c r="E10165" s="52" t="s">
        <v>25</v>
      </c>
      <c r="F10165" s="52" t="s">
        <v>26</v>
      </c>
      <c r="G10165" s="53"/>
    </row>
    <row r="10166">
      <c r="A10166" s="49">
        <v>45127.87381590278</v>
      </c>
      <c r="B10166" s="50">
        <v>45127.9987827893</v>
      </c>
      <c r="C10166" s="51">
        <v>1.003</v>
      </c>
      <c r="D10166" s="51">
        <v>72.0</v>
      </c>
      <c r="E10166" s="52" t="s">
        <v>25</v>
      </c>
      <c r="F10166" s="52" t="s">
        <v>26</v>
      </c>
      <c r="G10166" s="53"/>
    </row>
    <row r="10167">
      <c r="A10167" s="49">
        <v>45127.884231585645</v>
      </c>
      <c r="B10167" s="50">
        <v>45128.0092043981</v>
      </c>
      <c r="C10167" s="51">
        <v>1.003</v>
      </c>
      <c r="D10167" s="51">
        <v>72.0</v>
      </c>
      <c r="E10167" s="52" t="s">
        <v>25</v>
      </c>
      <c r="F10167" s="52" t="s">
        <v>26</v>
      </c>
      <c r="G10167" s="53"/>
    </row>
    <row r="10168">
      <c r="A10168" s="49">
        <v>45127.894649884256</v>
      </c>
      <c r="B10168" s="50">
        <v>45128.0196241898</v>
      </c>
      <c r="C10168" s="51">
        <v>1.003</v>
      </c>
      <c r="D10168" s="51">
        <v>72.0</v>
      </c>
      <c r="E10168" s="52" t="s">
        <v>25</v>
      </c>
      <c r="F10168" s="52" t="s">
        <v>26</v>
      </c>
      <c r="G10168" s="53"/>
    </row>
    <row r="10169">
      <c r="A10169" s="49">
        <v>45127.905087210645</v>
      </c>
      <c r="B10169" s="50">
        <v>45128.0300583101</v>
      </c>
      <c r="C10169" s="51">
        <v>1.003</v>
      </c>
      <c r="D10169" s="51">
        <v>72.0</v>
      </c>
      <c r="E10169" s="52" t="s">
        <v>25</v>
      </c>
      <c r="F10169" s="52" t="s">
        <v>26</v>
      </c>
      <c r="G10169" s="53"/>
    </row>
    <row r="10170">
      <c r="A10170" s="49">
        <v>45127.91550844908</v>
      </c>
      <c r="B10170" s="50">
        <v>45128.040479155</v>
      </c>
      <c r="C10170" s="51">
        <v>1.003</v>
      </c>
      <c r="D10170" s="51">
        <v>72.0</v>
      </c>
      <c r="E10170" s="52" t="s">
        <v>25</v>
      </c>
      <c r="F10170" s="52" t="s">
        <v>26</v>
      </c>
      <c r="G10170" s="53"/>
    </row>
    <row r="10171">
      <c r="A10171" s="49">
        <v>45127.92593429398</v>
      </c>
      <c r="B10171" s="50">
        <v>45128.050900405</v>
      </c>
      <c r="C10171" s="51">
        <v>1.003</v>
      </c>
      <c r="D10171" s="51">
        <v>72.0</v>
      </c>
      <c r="E10171" s="52" t="s">
        <v>25</v>
      </c>
      <c r="F10171" s="52" t="s">
        <v>26</v>
      </c>
      <c r="G10171" s="53"/>
    </row>
    <row r="10172">
      <c r="A10172" s="49">
        <v>45127.9363487963</v>
      </c>
      <c r="B10172" s="50">
        <v>45128.0613217592</v>
      </c>
      <c r="C10172" s="51">
        <v>1.003</v>
      </c>
      <c r="D10172" s="51">
        <v>72.0</v>
      </c>
      <c r="E10172" s="52" t="s">
        <v>25</v>
      </c>
      <c r="F10172" s="52" t="s">
        <v>26</v>
      </c>
      <c r="G10172" s="53"/>
    </row>
    <row r="10173">
      <c r="A10173" s="49">
        <v>45127.94678951389</v>
      </c>
      <c r="B10173" s="50">
        <v>45128.0717543055</v>
      </c>
      <c r="C10173" s="51">
        <v>1.003</v>
      </c>
      <c r="D10173" s="51">
        <v>72.0</v>
      </c>
      <c r="E10173" s="52" t="s">
        <v>25</v>
      </c>
      <c r="F10173" s="52" t="s">
        <v>26</v>
      </c>
      <c r="G10173" s="53"/>
    </row>
    <row r="10174">
      <c r="A10174" s="49">
        <v>45127.95720238426</v>
      </c>
      <c r="B10174" s="50">
        <v>45128.082175625</v>
      </c>
      <c r="C10174" s="51">
        <v>1.003</v>
      </c>
      <c r="D10174" s="51">
        <v>72.0</v>
      </c>
      <c r="E10174" s="52" t="s">
        <v>25</v>
      </c>
      <c r="F10174" s="52" t="s">
        <v>26</v>
      </c>
      <c r="G10174" s="53"/>
    </row>
    <row r="10175">
      <c r="A10175" s="49">
        <v>45127.967632314816</v>
      </c>
      <c r="B10175" s="50">
        <v>45128.0925981134</v>
      </c>
      <c r="C10175" s="51">
        <v>1.003</v>
      </c>
      <c r="D10175" s="51">
        <v>72.0</v>
      </c>
      <c r="E10175" s="52" t="s">
        <v>25</v>
      </c>
      <c r="F10175" s="52" t="s">
        <v>26</v>
      </c>
      <c r="G10175" s="53"/>
    </row>
    <row r="10176">
      <c r="A10176" s="49">
        <v>45127.978049502315</v>
      </c>
      <c r="B10176" s="50">
        <v>45128.1030190856</v>
      </c>
      <c r="C10176" s="51">
        <v>1.003</v>
      </c>
      <c r="D10176" s="51">
        <v>72.0</v>
      </c>
      <c r="E10176" s="52" t="s">
        <v>25</v>
      </c>
      <c r="F10176" s="52" t="s">
        <v>26</v>
      </c>
      <c r="G10176" s="53"/>
    </row>
    <row r="10177">
      <c r="A10177" s="49">
        <v>45127.988466423616</v>
      </c>
      <c r="B10177" s="50">
        <v>45128.1134413773</v>
      </c>
      <c r="C10177" s="51">
        <v>1.003</v>
      </c>
      <c r="D10177" s="51">
        <v>72.0</v>
      </c>
      <c r="E10177" s="52" t="s">
        <v>25</v>
      </c>
      <c r="F10177" s="52" t="s">
        <v>26</v>
      </c>
      <c r="G10177" s="53"/>
    </row>
    <row r="10178">
      <c r="A10178" s="49">
        <v>45127.998897708334</v>
      </c>
      <c r="B10178" s="50">
        <v>45128.123873287</v>
      </c>
      <c r="C10178" s="51">
        <v>1.003</v>
      </c>
      <c r="D10178" s="51">
        <v>72.0</v>
      </c>
      <c r="E10178" s="52" t="s">
        <v>25</v>
      </c>
      <c r="F10178" s="52" t="s">
        <v>26</v>
      </c>
      <c r="G10178" s="53"/>
    </row>
    <row r="10179">
      <c r="A10179" s="49">
        <v>45128.009316006945</v>
      </c>
      <c r="B10179" s="50">
        <v>45128.1342937037</v>
      </c>
      <c r="C10179" s="51">
        <v>1.003</v>
      </c>
      <c r="D10179" s="51">
        <v>72.0</v>
      </c>
      <c r="E10179" s="52" t="s">
        <v>25</v>
      </c>
      <c r="F10179" s="52" t="s">
        <v>26</v>
      </c>
      <c r="G10179" s="53"/>
    </row>
    <row r="10180">
      <c r="A10180" s="49">
        <v>45128.019754016204</v>
      </c>
      <c r="B10180" s="50">
        <v>45128.1447267013</v>
      </c>
      <c r="C10180" s="51">
        <v>1.003</v>
      </c>
      <c r="D10180" s="51">
        <v>72.0</v>
      </c>
      <c r="E10180" s="52" t="s">
        <v>25</v>
      </c>
      <c r="F10180" s="52" t="s">
        <v>26</v>
      </c>
      <c r="G10180" s="53"/>
    </row>
    <row r="10181">
      <c r="A10181" s="49">
        <v>45128.030172025465</v>
      </c>
      <c r="B10181" s="50">
        <v>45128.1551479051</v>
      </c>
      <c r="C10181" s="51">
        <v>1.003</v>
      </c>
      <c r="D10181" s="51">
        <v>72.0</v>
      </c>
      <c r="E10181" s="52" t="s">
        <v>25</v>
      </c>
      <c r="F10181" s="52" t="s">
        <v>26</v>
      </c>
      <c r="G10181" s="53"/>
    </row>
    <row r="10182">
      <c r="A10182" s="49">
        <v>45128.0406003588</v>
      </c>
      <c r="B10182" s="50">
        <v>45128.1655697916</v>
      </c>
      <c r="C10182" s="51">
        <v>1.003</v>
      </c>
      <c r="D10182" s="51">
        <v>72.0</v>
      </c>
      <c r="E10182" s="52" t="s">
        <v>25</v>
      </c>
      <c r="F10182" s="52" t="s">
        <v>26</v>
      </c>
      <c r="G10182" s="53"/>
    </row>
    <row r="10183">
      <c r="A10183" s="49">
        <v>45128.0510178125</v>
      </c>
      <c r="B10183" s="50">
        <v>45128.1759908912</v>
      </c>
      <c r="C10183" s="51">
        <v>1.003</v>
      </c>
      <c r="D10183" s="51">
        <v>72.0</v>
      </c>
      <c r="E10183" s="52" t="s">
        <v>25</v>
      </c>
      <c r="F10183" s="52" t="s">
        <v>26</v>
      </c>
      <c r="G10183" s="53"/>
    </row>
    <row r="10184">
      <c r="A10184" s="49">
        <v>45128.06146131945</v>
      </c>
      <c r="B10184" s="50">
        <v>45128.1864242592</v>
      </c>
      <c r="C10184" s="51">
        <v>1.003</v>
      </c>
      <c r="D10184" s="51">
        <v>72.0</v>
      </c>
      <c r="E10184" s="52" t="s">
        <v>25</v>
      </c>
      <c r="F10184" s="52" t="s">
        <v>26</v>
      </c>
      <c r="G10184" s="53"/>
    </row>
    <row r="10185">
      <c r="A10185" s="49">
        <v>45128.07187659723</v>
      </c>
      <c r="B10185" s="50">
        <v>45128.1968462963</v>
      </c>
      <c r="C10185" s="51">
        <v>1.003</v>
      </c>
      <c r="D10185" s="51">
        <v>72.0</v>
      </c>
      <c r="E10185" s="52" t="s">
        <v>25</v>
      </c>
      <c r="F10185" s="52" t="s">
        <v>26</v>
      </c>
      <c r="G10185" s="53"/>
    </row>
    <row r="10186">
      <c r="A10186" s="49">
        <v>45128.082290335646</v>
      </c>
      <c r="B10186" s="50">
        <v>45128.2072674074</v>
      </c>
      <c r="C10186" s="51">
        <v>1.003</v>
      </c>
      <c r="D10186" s="51">
        <v>72.0</v>
      </c>
      <c r="E10186" s="52" t="s">
        <v>25</v>
      </c>
      <c r="F10186" s="52" t="s">
        <v>26</v>
      </c>
      <c r="G10186" s="53"/>
    </row>
    <row r="10187">
      <c r="A10187" s="49">
        <v>45128.09271287037</v>
      </c>
      <c r="B10187" s="50">
        <v>45128.2176896759</v>
      </c>
      <c r="C10187" s="51">
        <v>1.003</v>
      </c>
      <c r="D10187" s="51">
        <v>72.0</v>
      </c>
      <c r="E10187" s="52" t="s">
        <v>25</v>
      </c>
      <c r="F10187" s="52" t="s">
        <v>26</v>
      </c>
      <c r="G10187" s="53"/>
    </row>
    <row r="10188">
      <c r="A10188" s="49">
        <v>45128.1031421875</v>
      </c>
      <c r="B10188" s="50">
        <v>45128.2281106481</v>
      </c>
      <c r="C10188" s="51">
        <v>1.003</v>
      </c>
      <c r="D10188" s="51">
        <v>72.0</v>
      </c>
      <c r="E10188" s="52" t="s">
        <v>25</v>
      </c>
      <c r="F10188" s="52" t="s">
        <v>26</v>
      </c>
      <c r="G10188" s="53"/>
    </row>
    <row r="10189">
      <c r="A10189" s="49">
        <v>45128.11356172454</v>
      </c>
      <c r="B10189" s="50">
        <v>45128.2385328472</v>
      </c>
      <c r="C10189" s="51">
        <v>1.003</v>
      </c>
      <c r="D10189" s="51">
        <v>72.0</v>
      </c>
      <c r="E10189" s="52" t="s">
        <v>25</v>
      </c>
      <c r="F10189" s="52" t="s">
        <v>26</v>
      </c>
      <c r="G10189" s="53"/>
    </row>
    <row r="10190">
      <c r="A10190" s="49">
        <v>45128.12398334491</v>
      </c>
      <c r="B10190" s="50">
        <v>45128.2489526851</v>
      </c>
      <c r="C10190" s="51">
        <v>1.003</v>
      </c>
      <c r="D10190" s="51">
        <v>72.0</v>
      </c>
      <c r="E10190" s="52" t="s">
        <v>25</v>
      </c>
      <c r="F10190" s="52" t="s">
        <v>26</v>
      </c>
      <c r="G10190" s="53"/>
    </row>
    <row r="10191">
      <c r="A10191" s="49">
        <v>45128.134417361114</v>
      </c>
      <c r="B10191" s="50">
        <v>45128.2593848148</v>
      </c>
      <c r="C10191" s="51">
        <v>1.003</v>
      </c>
      <c r="D10191" s="51">
        <v>72.0</v>
      </c>
      <c r="E10191" s="52" t="s">
        <v>25</v>
      </c>
      <c r="F10191" s="52" t="s">
        <v>26</v>
      </c>
      <c r="G10191" s="53"/>
    </row>
    <row r="10192">
      <c r="A10192" s="49">
        <v>45128.14483819444</v>
      </c>
      <c r="B10192" s="50">
        <v>45128.2698059606</v>
      </c>
      <c r="C10192" s="51">
        <v>1.003</v>
      </c>
      <c r="D10192" s="51">
        <v>73.0</v>
      </c>
      <c r="E10192" s="52" t="s">
        <v>25</v>
      </c>
      <c r="F10192" s="52" t="s">
        <v>26</v>
      </c>
      <c r="G10192" s="53"/>
    </row>
    <row r="10193">
      <c r="A10193" s="49">
        <v>45128.15525917824</v>
      </c>
      <c r="B10193" s="50">
        <v>45128.2802265393</v>
      </c>
      <c r="C10193" s="51">
        <v>1.003</v>
      </c>
      <c r="D10193" s="51">
        <v>72.0</v>
      </c>
      <c r="E10193" s="52" t="s">
        <v>25</v>
      </c>
      <c r="F10193" s="52" t="s">
        <v>26</v>
      </c>
      <c r="G10193" s="53"/>
    </row>
    <row r="10194">
      <c r="A10194" s="49">
        <v>45128.16567210648</v>
      </c>
      <c r="B10194" s="50">
        <v>45128.2906498495</v>
      </c>
      <c r="C10194" s="51">
        <v>1.003</v>
      </c>
      <c r="D10194" s="51">
        <v>72.0</v>
      </c>
      <c r="E10194" s="52" t="s">
        <v>25</v>
      </c>
      <c r="F10194" s="52" t="s">
        <v>26</v>
      </c>
      <c r="G10194" s="53"/>
    </row>
    <row r="10195">
      <c r="A10195" s="49">
        <v>45128.17610354167</v>
      </c>
      <c r="B10195" s="50">
        <v>45128.3010720833</v>
      </c>
      <c r="C10195" s="51">
        <v>1.003</v>
      </c>
      <c r="D10195" s="51">
        <v>72.0</v>
      </c>
      <c r="E10195" s="52" t="s">
        <v>25</v>
      </c>
      <c r="F10195" s="52" t="s">
        <v>26</v>
      </c>
      <c r="G10195" s="53"/>
    </row>
    <row r="10196">
      <c r="A10196" s="49">
        <v>45128.18651443287</v>
      </c>
      <c r="B10196" s="50">
        <v>45128.311492581</v>
      </c>
      <c r="C10196" s="51">
        <v>1.003</v>
      </c>
      <c r="D10196" s="51">
        <v>72.0</v>
      </c>
      <c r="E10196" s="52" t="s">
        <v>25</v>
      </c>
      <c r="F10196" s="52" t="s">
        <v>26</v>
      </c>
      <c r="G10196" s="53"/>
    </row>
    <row r="10197">
      <c r="A10197" s="49">
        <v>45128.19694724537</v>
      </c>
      <c r="B10197" s="50">
        <v>45128.3219131481</v>
      </c>
      <c r="C10197" s="51">
        <v>1.003</v>
      </c>
      <c r="D10197" s="51">
        <v>72.0</v>
      </c>
      <c r="E10197" s="52" t="s">
        <v>25</v>
      </c>
      <c r="F10197" s="52" t="s">
        <v>26</v>
      </c>
      <c r="G10197" s="53"/>
    </row>
    <row r="10198">
      <c r="A10198" s="49">
        <v>45128.20736144676</v>
      </c>
      <c r="B10198" s="50">
        <v>45128.3323351157</v>
      </c>
      <c r="C10198" s="51">
        <v>1.003</v>
      </c>
      <c r="D10198" s="51">
        <v>73.0</v>
      </c>
      <c r="E10198" s="52" t="s">
        <v>25</v>
      </c>
      <c r="F10198" s="52" t="s">
        <v>26</v>
      </c>
      <c r="G10198" s="53"/>
    </row>
    <row r="10199">
      <c r="A10199" s="49">
        <v>45128.21779256944</v>
      </c>
      <c r="B10199" s="50">
        <v>45128.3427551273</v>
      </c>
      <c r="C10199" s="51">
        <v>1.003</v>
      </c>
      <c r="D10199" s="51">
        <v>73.0</v>
      </c>
      <c r="E10199" s="52" t="s">
        <v>25</v>
      </c>
      <c r="F10199" s="52" t="s">
        <v>26</v>
      </c>
      <c r="G10199" s="53"/>
    </row>
    <row r="10200">
      <c r="A10200" s="49">
        <v>45128.22821246528</v>
      </c>
      <c r="B10200" s="50">
        <v>45128.3531776041</v>
      </c>
      <c r="C10200" s="51">
        <v>1.003</v>
      </c>
      <c r="D10200" s="51">
        <v>73.0</v>
      </c>
      <c r="E10200" s="52" t="s">
        <v>25</v>
      </c>
      <c r="F10200" s="52" t="s">
        <v>26</v>
      </c>
      <c r="G10200" s="53"/>
    </row>
    <row r="10201">
      <c r="A10201" s="49">
        <v>45128.23869666667</v>
      </c>
      <c r="B10201" s="50">
        <v>45128.3635987384</v>
      </c>
      <c r="C10201" s="51">
        <v>1.003</v>
      </c>
      <c r="D10201" s="51">
        <v>73.0</v>
      </c>
      <c r="E10201" s="52" t="s">
        <v>25</v>
      </c>
      <c r="F10201" s="52" t="s">
        <v>26</v>
      </c>
      <c r="G10201" s="53"/>
    </row>
    <row r="10202">
      <c r="A10202" s="49">
        <v>45128.249052141204</v>
      </c>
      <c r="B10202" s="50">
        <v>45128.3740198842</v>
      </c>
      <c r="C10202" s="51">
        <v>1.003</v>
      </c>
      <c r="D10202" s="51">
        <v>73.0</v>
      </c>
      <c r="E10202" s="52" t="s">
        <v>25</v>
      </c>
      <c r="F10202" s="52" t="s">
        <v>26</v>
      </c>
      <c r="G10202" s="53"/>
    </row>
    <row r="10203">
      <c r="A10203" s="49">
        <v>45128.25948482639</v>
      </c>
      <c r="B10203" s="50">
        <v>45128.3844391782</v>
      </c>
      <c r="C10203" s="51">
        <v>1.003</v>
      </c>
      <c r="D10203" s="51">
        <v>72.0</v>
      </c>
      <c r="E10203" s="52" t="s">
        <v>25</v>
      </c>
      <c r="F10203" s="52" t="s">
        <v>26</v>
      </c>
      <c r="G10203" s="53"/>
    </row>
    <row r="10204">
      <c r="A10204" s="49">
        <v>45128.26988959491</v>
      </c>
      <c r="B10204" s="50">
        <v>45128.3948615393</v>
      </c>
      <c r="C10204" s="51">
        <v>1.003</v>
      </c>
      <c r="D10204" s="51">
        <v>72.0</v>
      </c>
      <c r="E10204" s="52" t="s">
        <v>25</v>
      </c>
      <c r="F10204" s="52" t="s">
        <v>26</v>
      </c>
      <c r="G10204" s="53"/>
    </row>
    <row r="10205">
      <c r="A10205" s="49">
        <v>45128.28031685185</v>
      </c>
      <c r="B10205" s="50">
        <v>45128.4052924537</v>
      </c>
      <c r="C10205" s="51">
        <v>1.003</v>
      </c>
      <c r="D10205" s="51">
        <v>73.0</v>
      </c>
      <c r="E10205" s="52" t="s">
        <v>25</v>
      </c>
      <c r="F10205" s="52" t="s">
        <v>26</v>
      </c>
      <c r="G10205" s="53"/>
    </row>
    <row r="10206">
      <c r="A10206" s="49">
        <v>45128.29074625</v>
      </c>
      <c r="B10206" s="50">
        <v>45128.4157149421</v>
      </c>
      <c r="C10206" s="51">
        <v>1.003</v>
      </c>
      <c r="D10206" s="51">
        <v>73.0</v>
      </c>
      <c r="E10206" s="52" t="s">
        <v>25</v>
      </c>
      <c r="F10206" s="52" t="s">
        <v>26</v>
      </c>
      <c r="G10206" s="53"/>
    </row>
    <row r="10207">
      <c r="A10207" s="49">
        <v>45128.3011800463</v>
      </c>
      <c r="B10207" s="50">
        <v>45128.4261466088</v>
      </c>
      <c r="C10207" s="51">
        <v>1.003</v>
      </c>
      <c r="D10207" s="51">
        <v>73.0</v>
      </c>
      <c r="E10207" s="52" t="s">
        <v>25</v>
      </c>
      <c r="F10207" s="52" t="s">
        <v>26</v>
      </c>
      <c r="G10207" s="53"/>
    </row>
    <row r="10208">
      <c r="A10208" s="49">
        <v>45128.31159848379</v>
      </c>
      <c r="B10208" s="50">
        <v>45128.4365670717</v>
      </c>
      <c r="C10208" s="51">
        <v>1.003</v>
      </c>
      <c r="D10208" s="51">
        <v>72.0</v>
      </c>
      <c r="E10208" s="52" t="s">
        <v>25</v>
      </c>
      <c r="F10208" s="52" t="s">
        <v>26</v>
      </c>
      <c r="G10208" s="53"/>
    </row>
    <row r="10209">
      <c r="A10209" s="49">
        <v>45128.32202076389</v>
      </c>
      <c r="B10209" s="50">
        <v>45128.4469875463</v>
      </c>
      <c r="C10209" s="51">
        <v>1.003</v>
      </c>
      <c r="D10209" s="51">
        <v>73.0</v>
      </c>
      <c r="E10209" s="52" t="s">
        <v>25</v>
      </c>
      <c r="F10209" s="52" t="s">
        <v>26</v>
      </c>
      <c r="G10209" s="53"/>
    </row>
    <row r="10210">
      <c r="A10210" s="49">
        <v>45128.33244621528</v>
      </c>
      <c r="B10210" s="50">
        <v>45128.4574070949</v>
      </c>
      <c r="C10210" s="51">
        <v>1.003</v>
      </c>
      <c r="D10210" s="51">
        <v>73.0</v>
      </c>
      <c r="E10210" s="52" t="s">
        <v>25</v>
      </c>
      <c r="F10210" s="52" t="s">
        <v>26</v>
      </c>
      <c r="G10210" s="53"/>
    </row>
    <row r="10211">
      <c r="A10211" s="49">
        <v>45128.34284940972</v>
      </c>
      <c r="B10211" s="50">
        <v>45128.4678278935</v>
      </c>
      <c r="C10211" s="51">
        <v>1.003</v>
      </c>
      <c r="D10211" s="51">
        <v>73.0</v>
      </c>
      <c r="E10211" s="52" t="s">
        <v>25</v>
      </c>
      <c r="F10211" s="52" t="s">
        <v>26</v>
      </c>
      <c r="G10211" s="53"/>
    </row>
    <row r="10212">
      <c r="A10212" s="49">
        <v>45128.35329417824</v>
      </c>
      <c r="B10212" s="50">
        <v>45128.4782610416</v>
      </c>
      <c r="C10212" s="51">
        <v>1.003</v>
      </c>
      <c r="D10212" s="51">
        <v>73.0</v>
      </c>
      <c r="E10212" s="52" t="s">
        <v>25</v>
      </c>
      <c r="F10212" s="52" t="s">
        <v>26</v>
      </c>
      <c r="G10212" s="53"/>
    </row>
    <row r="10213">
      <c r="A10213" s="49">
        <v>45128.36370615741</v>
      </c>
      <c r="B10213" s="50">
        <v>45128.488680787</v>
      </c>
      <c r="C10213" s="51">
        <v>1.003</v>
      </c>
      <c r="D10213" s="51">
        <v>73.0</v>
      </c>
      <c r="E10213" s="52" t="s">
        <v>25</v>
      </c>
      <c r="F10213" s="52" t="s">
        <v>26</v>
      </c>
      <c r="G10213" s="53"/>
    </row>
    <row r="10214">
      <c r="A10214" s="49">
        <v>45128.37415752315</v>
      </c>
      <c r="B10214" s="50">
        <v>45128.4991254282</v>
      </c>
      <c r="C10214" s="51">
        <v>1.003</v>
      </c>
      <c r="D10214" s="51">
        <v>72.0</v>
      </c>
      <c r="E10214" s="52" t="s">
        <v>25</v>
      </c>
      <c r="F10214" s="52" t="s">
        <v>26</v>
      </c>
      <c r="G10214" s="53"/>
    </row>
    <row r="10215">
      <c r="A10215" s="49">
        <v>45128.38457230324</v>
      </c>
      <c r="B10215" s="50">
        <v>45128.5095472222</v>
      </c>
      <c r="C10215" s="51">
        <v>1.003</v>
      </c>
      <c r="D10215" s="51">
        <v>73.0</v>
      </c>
      <c r="E10215" s="52" t="s">
        <v>25</v>
      </c>
      <c r="F10215" s="52" t="s">
        <v>26</v>
      </c>
      <c r="G10215" s="53"/>
    </row>
    <row r="10216">
      <c r="A10216" s="49">
        <v>45128.39500696759</v>
      </c>
      <c r="B10216" s="50">
        <v>45128.5199705208</v>
      </c>
      <c r="C10216" s="51">
        <v>1.003</v>
      </c>
      <c r="D10216" s="51">
        <v>72.0</v>
      </c>
      <c r="E10216" s="52" t="s">
        <v>25</v>
      </c>
      <c r="F10216" s="52" t="s">
        <v>26</v>
      </c>
      <c r="G10216" s="53"/>
    </row>
    <row r="10217">
      <c r="A10217" s="49">
        <v>45128.40543387731</v>
      </c>
      <c r="B10217" s="50">
        <v>45128.5304030324</v>
      </c>
      <c r="C10217" s="51">
        <v>1.004</v>
      </c>
      <c r="D10217" s="51">
        <v>72.0</v>
      </c>
      <c r="E10217" s="52" t="s">
        <v>25</v>
      </c>
      <c r="F10217" s="52" t="s">
        <v>26</v>
      </c>
      <c r="G10217" s="53"/>
    </row>
    <row r="10218">
      <c r="A10218" s="49">
        <v>45128.41586818287</v>
      </c>
      <c r="B10218" s="50">
        <v>45128.5408363425</v>
      </c>
      <c r="C10218" s="51">
        <v>1.003</v>
      </c>
      <c r="D10218" s="51">
        <v>72.0</v>
      </c>
      <c r="E10218" s="52" t="s">
        <v>25</v>
      </c>
      <c r="F10218" s="52" t="s">
        <v>26</v>
      </c>
      <c r="G10218" s="53"/>
    </row>
    <row r="10219">
      <c r="A10219" s="49">
        <v>45128.42628752315</v>
      </c>
      <c r="B10219" s="50">
        <v>45128.5512578819</v>
      </c>
      <c r="C10219" s="51">
        <v>1.003</v>
      </c>
      <c r="D10219" s="51">
        <v>72.0</v>
      </c>
      <c r="E10219" s="52" t="s">
        <v>25</v>
      </c>
      <c r="F10219" s="52" t="s">
        <v>26</v>
      </c>
      <c r="G10219" s="53"/>
    </row>
    <row r="10220">
      <c r="A10220" s="49">
        <v>45128.436711076385</v>
      </c>
      <c r="B10220" s="50">
        <v>45128.5616784375</v>
      </c>
      <c r="C10220" s="51">
        <v>1.003</v>
      </c>
      <c r="D10220" s="51">
        <v>72.0</v>
      </c>
      <c r="E10220" s="52" t="s">
        <v>25</v>
      </c>
      <c r="F10220" s="52" t="s">
        <v>26</v>
      </c>
      <c r="G10220" s="53"/>
    </row>
    <row r="10221">
      <c r="A10221" s="49">
        <v>45128.44712920139</v>
      </c>
      <c r="B10221" s="50">
        <v>45128.5720989583</v>
      </c>
      <c r="C10221" s="51">
        <v>1.003</v>
      </c>
      <c r="D10221" s="51">
        <v>72.0</v>
      </c>
      <c r="E10221" s="52" t="s">
        <v>25</v>
      </c>
      <c r="F10221" s="52" t="s">
        <v>26</v>
      </c>
      <c r="G10221" s="53"/>
    </row>
    <row r="10222">
      <c r="A10222" s="49">
        <v>45128.45755233796</v>
      </c>
      <c r="B10222" s="50">
        <v>45128.5825198148</v>
      </c>
      <c r="C10222" s="51">
        <v>1.003</v>
      </c>
      <c r="D10222" s="51">
        <v>72.0</v>
      </c>
      <c r="E10222" s="52" t="s">
        <v>25</v>
      </c>
      <c r="F10222" s="52" t="s">
        <v>26</v>
      </c>
      <c r="G10222" s="53"/>
    </row>
    <row r="10223">
      <c r="A10223" s="49">
        <v>45128.467988344906</v>
      </c>
      <c r="B10223" s="50">
        <v>45128.5929512615</v>
      </c>
      <c r="C10223" s="51">
        <v>1.003</v>
      </c>
      <c r="D10223" s="51">
        <v>72.0</v>
      </c>
      <c r="E10223" s="52" t="s">
        <v>25</v>
      </c>
      <c r="F10223" s="52" t="s">
        <v>26</v>
      </c>
      <c r="G10223" s="53"/>
    </row>
    <row r="10224">
      <c r="A10224" s="49">
        <v>45128.478403483794</v>
      </c>
      <c r="B10224" s="50">
        <v>45128.6033739236</v>
      </c>
      <c r="C10224" s="51">
        <v>1.003</v>
      </c>
      <c r="D10224" s="51">
        <v>72.0</v>
      </c>
      <c r="E10224" s="52" t="s">
        <v>25</v>
      </c>
      <c r="F10224" s="52" t="s">
        <v>26</v>
      </c>
      <c r="G10224" s="53"/>
    </row>
    <row r="10225">
      <c r="A10225" s="49">
        <v>45128.48882006944</v>
      </c>
      <c r="B10225" s="50">
        <v>45128.6137931712</v>
      </c>
      <c r="C10225" s="51">
        <v>1.003</v>
      </c>
      <c r="D10225" s="51">
        <v>72.0</v>
      </c>
      <c r="E10225" s="52" t="s">
        <v>25</v>
      </c>
      <c r="F10225" s="52" t="s">
        <v>26</v>
      </c>
      <c r="G10225" s="53"/>
    </row>
    <row r="10226">
      <c r="A10226" s="49">
        <v>45128.49925475694</v>
      </c>
      <c r="B10226" s="50">
        <v>45128.6242250231</v>
      </c>
      <c r="C10226" s="51">
        <v>1.003</v>
      </c>
      <c r="D10226" s="51">
        <v>72.0</v>
      </c>
      <c r="E10226" s="52" t="s">
        <v>25</v>
      </c>
      <c r="F10226" s="52" t="s">
        <v>26</v>
      </c>
      <c r="G10226" s="53"/>
    </row>
    <row r="10227">
      <c r="A10227" s="49">
        <v>45128.509699131944</v>
      </c>
      <c r="B10227" s="50">
        <v>45128.6346585416</v>
      </c>
      <c r="C10227" s="51">
        <v>1.003</v>
      </c>
      <c r="D10227" s="51">
        <v>72.0</v>
      </c>
      <c r="E10227" s="52" t="s">
        <v>25</v>
      </c>
      <c r="F10227" s="52" t="s">
        <v>26</v>
      </c>
      <c r="G10227" s="53"/>
    </row>
    <row r="10228">
      <c r="A10228" s="49">
        <v>45128.520111122685</v>
      </c>
      <c r="B10228" s="50">
        <v>45128.645079537</v>
      </c>
      <c r="C10228" s="51">
        <v>1.004</v>
      </c>
      <c r="D10228" s="51">
        <v>72.0</v>
      </c>
      <c r="E10228" s="52" t="s">
        <v>25</v>
      </c>
      <c r="F10228" s="52" t="s">
        <v>26</v>
      </c>
      <c r="G10228" s="53"/>
    </row>
    <row r="10229">
      <c r="A10229" s="49">
        <v>45128.53054126157</v>
      </c>
      <c r="B10229" s="50">
        <v>45128.6555120601</v>
      </c>
      <c r="C10229" s="51">
        <v>1.003</v>
      </c>
      <c r="D10229" s="51">
        <v>72.0</v>
      </c>
      <c r="E10229" s="52" t="s">
        <v>25</v>
      </c>
      <c r="F10229" s="52" t="s">
        <v>26</v>
      </c>
      <c r="G10229" s="53"/>
    </row>
    <row r="10230">
      <c r="A10230" s="49">
        <v>45128.540956909725</v>
      </c>
      <c r="B10230" s="50">
        <v>45128.6659316088</v>
      </c>
      <c r="C10230" s="51">
        <v>1.003</v>
      </c>
      <c r="D10230" s="51">
        <v>72.0</v>
      </c>
      <c r="E10230" s="52" t="s">
        <v>25</v>
      </c>
      <c r="F10230" s="52" t="s">
        <v>26</v>
      </c>
      <c r="G10230" s="53"/>
    </row>
    <row r="10231">
      <c r="A10231" s="49">
        <v>45128.5513724537</v>
      </c>
      <c r="B10231" s="50">
        <v>45128.6763529166</v>
      </c>
      <c r="C10231" s="51">
        <v>1.003</v>
      </c>
      <c r="D10231" s="51">
        <v>72.0</v>
      </c>
      <c r="E10231" s="52" t="s">
        <v>25</v>
      </c>
      <c r="F10231" s="52" t="s">
        <v>26</v>
      </c>
      <c r="G10231" s="53"/>
    </row>
    <row r="10232">
      <c r="A10232" s="49">
        <v>45128.56180177083</v>
      </c>
      <c r="B10232" s="50">
        <v>45128.6867755092</v>
      </c>
      <c r="C10232" s="51">
        <v>1.003</v>
      </c>
      <c r="D10232" s="51">
        <v>72.0</v>
      </c>
      <c r="E10232" s="52" t="s">
        <v>25</v>
      </c>
      <c r="F10232" s="52" t="s">
        <v>26</v>
      </c>
      <c r="G10232" s="53"/>
    </row>
    <row r="10233">
      <c r="A10233" s="49">
        <v>45128.57223366898</v>
      </c>
      <c r="B10233" s="50">
        <v>45128.6971965972</v>
      </c>
      <c r="C10233" s="51">
        <v>1.003</v>
      </c>
      <c r="D10233" s="51">
        <v>72.0</v>
      </c>
      <c r="E10233" s="52" t="s">
        <v>25</v>
      </c>
      <c r="F10233" s="52" t="s">
        <v>26</v>
      </c>
      <c r="G10233" s="53"/>
    </row>
    <row r="10234">
      <c r="A10234" s="49">
        <v>45128.58264836806</v>
      </c>
      <c r="B10234" s="50">
        <v>45128.7076184838</v>
      </c>
      <c r="C10234" s="51">
        <v>1.003</v>
      </c>
      <c r="D10234" s="51">
        <v>72.0</v>
      </c>
      <c r="E10234" s="52" t="s">
        <v>25</v>
      </c>
      <c r="F10234" s="52" t="s">
        <v>26</v>
      </c>
      <c r="G10234" s="53"/>
    </row>
    <row r="10235">
      <c r="A10235" s="49">
        <v>45128.593066319445</v>
      </c>
      <c r="B10235" s="50">
        <v>45128.7180403472</v>
      </c>
      <c r="C10235" s="51">
        <v>1.003</v>
      </c>
      <c r="D10235" s="51">
        <v>72.0</v>
      </c>
      <c r="E10235" s="52" t="s">
        <v>25</v>
      </c>
      <c r="F10235" s="52" t="s">
        <v>26</v>
      </c>
      <c r="G10235" s="53"/>
    </row>
    <row r="10236">
      <c r="A10236" s="49">
        <v>45128.60349622685</v>
      </c>
      <c r="B10236" s="50">
        <v>45128.7284604513</v>
      </c>
      <c r="C10236" s="51">
        <v>1.003</v>
      </c>
      <c r="D10236" s="51">
        <v>72.0</v>
      </c>
      <c r="E10236" s="52" t="s">
        <v>25</v>
      </c>
      <c r="F10236" s="52" t="s">
        <v>26</v>
      </c>
      <c r="G10236" s="53"/>
    </row>
    <row r="10237">
      <c r="A10237" s="49">
        <v>45128.61391476852</v>
      </c>
      <c r="B10237" s="50">
        <v>45128.7388933796</v>
      </c>
      <c r="C10237" s="51">
        <v>1.003</v>
      </c>
      <c r="D10237" s="51">
        <v>72.0</v>
      </c>
      <c r="E10237" s="52" t="s">
        <v>25</v>
      </c>
      <c r="F10237" s="52" t="s">
        <v>26</v>
      </c>
      <c r="G10237" s="53"/>
    </row>
    <row r="10238">
      <c r="A10238" s="49">
        <v>45128.62435666667</v>
      </c>
      <c r="B10238" s="50">
        <v>45128.749325706</v>
      </c>
      <c r="C10238" s="51">
        <v>1.003</v>
      </c>
      <c r="D10238" s="51">
        <v>72.0</v>
      </c>
      <c r="E10238" s="52" t="s">
        <v>25</v>
      </c>
      <c r="F10238" s="52" t="s">
        <v>26</v>
      </c>
      <c r="G10238" s="53"/>
    </row>
    <row r="10239">
      <c r="A10239" s="49">
        <v>45128.63477653935</v>
      </c>
      <c r="B10239" s="50">
        <v>45128.7597473032</v>
      </c>
      <c r="C10239" s="51">
        <v>1.003</v>
      </c>
      <c r="D10239" s="51">
        <v>72.0</v>
      </c>
      <c r="E10239" s="52" t="s">
        <v>25</v>
      </c>
      <c r="F10239" s="52" t="s">
        <v>26</v>
      </c>
      <c r="G10239" s="53"/>
    </row>
    <row r="10240">
      <c r="A10240" s="49">
        <v>45128.64520092592</v>
      </c>
      <c r="B10240" s="50">
        <v>45128.7701685416</v>
      </c>
      <c r="C10240" s="51">
        <v>1.003</v>
      </c>
      <c r="D10240" s="51">
        <v>72.0</v>
      </c>
      <c r="E10240" s="52" t="s">
        <v>25</v>
      </c>
      <c r="F10240" s="52" t="s">
        <v>26</v>
      </c>
      <c r="G10240" s="53"/>
    </row>
    <row r="10241">
      <c r="A10241" s="49">
        <v>45128.655621701386</v>
      </c>
      <c r="B10241" s="50">
        <v>45128.7805872338</v>
      </c>
      <c r="C10241" s="51">
        <v>1.003</v>
      </c>
      <c r="D10241" s="51">
        <v>72.0</v>
      </c>
      <c r="E10241" s="52" t="s">
        <v>25</v>
      </c>
      <c r="F10241" s="52" t="s">
        <v>26</v>
      </c>
      <c r="G10241" s="53"/>
    </row>
    <row r="10242">
      <c r="A10242" s="49">
        <v>45128.666049861116</v>
      </c>
      <c r="B10242" s="50">
        <v>45128.7910192708</v>
      </c>
      <c r="C10242" s="51">
        <v>1.003</v>
      </c>
      <c r="D10242" s="51">
        <v>72.0</v>
      </c>
      <c r="E10242" s="52" t="s">
        <v>25</v>
      </c>
      <c r="F10242" s="52" t="s">
        <v>26</v>
      </c>
      <c r="G10242" s="53"/>
    </row>
    <row r="10243">
      <c r="A10243" s="49">
        <v>45128.67646545139</v>
      </c>
      <c r="B10243" s="50">
        <v>45128.8014407407</v>
      </c>
      <c r="C10243" s="51">
        <v>1.003</v>
      </c>
      <c r="D10243" s="51">
        <v>72.0</v>
      </c>
      <c r="E10243" s="52" t="s">
        <v>25</v>
      </c>
      <c r="F10243" s="52" t="s">
        <v>26</v>
      </c>
      <c r="G10243" s="53"/>
    </row>
    <row r="10244">
      <c r="A10244" s="49">
        <v>45128.686898263884</v>
      </c>
      <c r="B10244" s="50">
        <v>45128.8118616319</v>
      </c>
      <c r="C10244" s="51">
        <v>1.003</v>
      </c>
      <c r="D10244" s="51">
        <v>72.0</v>
      </c>
      <c r="E10244" s="52" t="s">
        <v>25</v>
      </c>
      <c r="F10244" s="52" t="s">
        <v>26</v>
      </c>
      <c r="G10244" s="53"/>
    </row>
    <row r="10245">
      <c r="A10245" s="49">
        <v>45128.69732042824</v>
      </c>
      <c r="B10245" s="50">
        <v>45128.822283831</v>
      </c>
      <c r="C10245" s="51">
        <v>1.003</v>
      </c>
      <c r="D10245" s="51">
        <v>72.0</v>
      </c>
      <c r="E10245" s="52" t="s">
        <v>25</v>
      </c>
      <c r="F10245" s="52" t="s">
        <v>26</v>
      </c>
      <c r="G10245" s="53"/>
    </row>
    <row r="10246">
      <c r="A10246" s="49">
        <v>45128.70773451389</v>
      </c>
      <c r="B10246" s="50">
        <v>45128.8327034953</v>
      </c>
      <c r="C10246" s="51">
        <v>1.003</v>
      </c>
      <c r="D10246" s="51">
        <v>72.0</v>
      </c>
      <c r="E10246" s="52" t="s">
        <v>25</v>
      </c>
      <c r="F10246" s="52" t="s">
        <v>26</v>
      </c>
      <c r="G10246" s="53"/>
    </row>
    <row r="10247">
      <c r="A10247" s="49">
        <v>45128.718156585644</v>
      </c>
      <c r="B10247" s="50">
        <v>45128.843125324</v>
      </c>
      <c r="C10247" s="51">
        <v>1.003</v>
      </c>
      <c r="D10247" s="51">
        <v>72.0</v>
      </c>
      <c r="E10247" s="52" t="s">
        <v>25</v>
      </c>
      <c r="F10247" s="52" t="s">
        <v>26</v>
      </c>
      <c r="G10247" s="53"/>
    </row>
    <row r="10248">
      <c r="A10248" s="49">
        <v>45128.7285681713</v>
      </c>
      <c r="B10248" s="50">
        <v>45128.8535455671</v>
      </c>
      <c r="C10248" s="51">
        <v>1.003</v>
      </c>
      <c r="D10248" s="51">
        <v>72.0</v>
      </c>
      <c r="E10248" s="52" t="s">
        <v>25</v>
      </c>
      <c r="F10248" s="52" t="s">
        <v>26</v>
      </c>
      <c r="G10248" s="53"/>
    </row>
    <row r="10249">
      <c r="A10249" s="49">
        <v>45128.73899778935</v>
      </c>
      <c r="B10249" s="50">
        <v>45128.8639665625</v>
      </c>
      <c r="C10249" s="51">
        <v>1.003</v>
      </c>
      <c r="D10249" s="51">
        <v>72.0</v>
      </c>
      <c r="E10249" s="52" t="s">
        <v>25</v>
      </c>
      <c r="F10249" s="52" t="s">
        <v>26</v>
      </c>
      <c r="G10249" s="53"/>
    </row>
    <row r="10250">
      <c r="A10250" s="49">
        <v>45128.749441631946</v>
      </c>
      <c r="B10250" s="50">
        <v>45128.8743975694</v>
      </c>
      <c r="C10250" s="51">
        <v>1.003</v>
      </c>
      <c r="D10250" s="51">
        <v>72.0</v>
      </c>
      <c r="E10250" s="52" t="s">
        <v>25</v>
      </c>
      <c r="F10250" s="52" t="s">
        <v>26</v>
      </c>
      <c r="G10250" s="53"/>
    </row>
    <row r="10251">
      <c r="A10251" s="49">
        <v>45128.759841481486</v>
      </c>
      <c r="B10251" s="50">
        <v>45128.8848186574</v>
      </c>
      <c r="C10251" s="51">
        <v>1.003</v>
      </c>
      <c r="D10251" s="51">
        <v>72.0</v>
      </c>
      <c r="E10251" s="52" t="s">
        <v>25</v>
      </c>
      <c r="F10251" s="52" t="s">
        <v>26</v>
      </c>
      <c r="G10251" s="53"/>
    </row>
    <row r="10252">
      <c r="A10252" s="49">
        <v>45128.77027337963</v>
      </c>
      <c r="B10252" s="50">
        <v>45128.8952398379</v>
      </c>
      <c r="C10252" s="51">
        <v>1.003</v>
      </c>
      <c r="D10252" s="51">
        <v>72.0</v>
      </c>
      <c r="E10252" s="52" t="s">
        <v>25</v>
      </c>
      <c r="F10252" s="52" t="s">
        <v>26</v>
      </c>
      <c r="G10252" s="53"/>
    </row>
    <row r="10253">
      <c r="A10253" s="49">
        <v>45128.78068434028</v>
      </c>
      <c r="B10253" s="50">
        <v>45128.9056611458</v>
      </c>
      <c r="C10253" s="51">
        <v>1.003</v>
      </c>
      <c r="D10253" s="51">
        <v>72.0</v>
      </c>
      <c r="E10253" s="52" t="s">
        <v>25</v>
      </c>
      <c r="F10253" s="52" t="s">
        <v>26</v>
      </c>
      <c r="G10253" s="53"/>
    </row>
    <row r="10254">
      <c r="A10254" s="49">
        <v>45128.791111493054</v>
      </c>
      <c r="B10254" s="50">
        <v>45128.9160820486</v>
      </c>
      <c r="C10254" s="51">
        <v>1.003</v>
      </c>
      <c r="D10254" s="51">
        <v>72.0</v>
      </c>
      <c r="E10254" s="52" t="s">
        <v>25</v>
      </c>
      <c r="F10254" s="52" t="s">
        <v>26</v>
      </c>
      <c r="G10254" s="53"/>
    </row>
    <row r="10255">
      <c r="A10255" s="49">
        <v>45128.80152576389</v>
      </c>
      <c r="B10255" s="50">
        <v>45128.9265041666</v>
      </c>
      <c r="C10255" s="51">
        <v>1.003</v>
      </c>
      <c r="D10255" s="51">
        <v>72.0</v>
      </c>
      <c r="E10255" s="52" t="s">
        <v>25</v>
      </c>
      <c r="F10255" s="52" t="s">
        <v>26</v>
      </c>
      <c r="G10255" s="53"/>
    </row>
    <row r="10256">
      <c r="A10256" s="49">
        <v>45128.81195434028</v>
      </c>
      <c r="B10256" s="50">
        <v>45128.9369259375</v>
      </c>
      <c r="C10256" s="51">
        <v>1.003</v>
      </c>
      <c r="D10256" s="51">
        <v>72.0</v>
      </c>
      <c r="E10256" s="52" t="s">
        <v>25</v>
      </c>
      <c r="F10256" s="52" t="s">
        <v>26</v>
      </c>
      <c r="G10256" s="53"/>
    </row>
    <row r="10257">
      <c r="A10257" s="49">
        <v>45128.82240134259</v>
      </c>
      <c r="B10257" s="50">
        <v>45128.9473585069</v>
      </c>
      <c r="C10257" s="51">
        <v>1.003</v>
      </c>
      <c r="D10257" s="51">
        <v>72.0</v>
      </c>
      <c r="E10257" s="52" t="s">
        <v>25</v>
      </c>
      <c r="F10257" s="52" t="s">
        <v>26</v>
      </c>
      <c r="G10257" s="53"/>
    </row>
    <row r="10258">
      <c r="A10258" s="49">
        <v>45128.832815312504</v>
      </c>
      <c r="B10258" s="50">
        <v>45128.9577798842</v>
      </c>
      <c r="C10258" s="51">
        <v>1.003</v>
      </c>
      <c r="D10258" s="51">
        <v>72.0</v>
      </c>
      <c r="E10258" s="52" t="s">
        <v>25</v>
      </c>
      <c r="F10258" s="52" t="s">
        <v>26</v>
      </c>
      <c r="G10258" s="53"/>
    </row>
    <row r="10259">
      <c r="A10259" s="49">
        <v>45128.84324106482</v>
      </c>
      <c r="B10259" s="50">
        <v>45128.9682126736</v>
      </c>
      <c r="C10259" s="51">
        <v>1.003</v>
      </c>
      <c r="D10259" s="51">
        <v>72.0</v>
      </c>
      <c r="E10259" s="52" t="s">
        <v>25</v>
      </c>
      <c r="F10259" s="52" t="s">
        <v>26</v>
      </c>
      <c r="G10259" s="53"/>
    </row>
    <row r="10260">
      <c r="A10260" s="49">
        <v>45128.85365829861</v>
      </c>
      <c r="B10260" s="50">
        <v>45128.9786354282</v>
      </c>
      <c r="C10260" s="51">
        <v>1.003</v>
      </c>
      <c r="D10260" s="51">
        <v>72.0</v>
      </c>
      <c r="E10260" s="52" t="s">
        <v>25</v>
      </c>
      <c r="F10260" s="52" t="s">
        <v>26</v>
      </c>
      <c r="G10260" s="53"/>
    </row>
    <row r="10261">
      <c r="A10261" s="49">
        <v>45128.8641121875</v>
      </c>
      <c r="B10261" s="50">
        <v>45128.9890790046</v>
      </c>
      <c r="C10261" s="51">
        <v>1.003</v>
      </c>
      <c r="D10261" s="51">
        <v>72.0</v>
      </c>
      <c r="E10261" s="52" t="s">
        <v>25</v>
      </c>
      <c r="F10261" s="52" t="s">
        <v>26</v>
      </c>
      <c r="G10261" s="53"/>
    </row>
    <row r="10262">
      <c r="A10262" s="49">
        <v>45128.8745240625</v>
      </c>
      <c r="B10262" s="50">
        <v>45128.9995007407</v>
      </c>
      <c r="C10262" s="51">
        <v>1.004</v>
      </c>
      <c r="D10262" s="51">
        <v>72.0</v>
      </c>
      <c r="E10262" s="52" t="s">
        <v>25</v>
      </c>
      <c r="F10262" s="52" t="s">
        <v>26</v>
      </c>
      <c r="G10262" s="53"/>
    </row>
    <row r="10263">
      <c r="A10263" s="49">
        <v>45128.88495253472</v>
      </c>
      <c r="B10263" s="50">
        <v>45129.009921331</v>
      </c>
      <c r="C10263" s="51">
        <v>1.003</v>
      </c>
      <c r="D10263" s="51">
        <v>72.0</v>
      </c>
      <c r="E10263" s="52" t="s">
        <v>25</v>
      </c>
      <c r="F10263" s="52" t="s">
        <v>26</v>
      </c>
      <c r="G10263" s="53"/>
    </row>
    <row r="10264">
      <c r="A10264" s="49">
        <v>45128.895368136575</v>
      </c>
      <c r="B10264" s="50">
        <v>45129.020342118</v>
      </c>
      <c r="C10264" s="51">
        <v>1.003</v>
      </c>
      <c r="D10264" s="51">
        <v>72.0</v>
      </c>
      <c r="E10264" s="52" t="s">
        <v>25</v>
      </c>
      <c r="F10264" s="52" t="s">
        <v>26</v>
      </c>
      <c r="G10264" s="53"/>
    </row>
    <row r="10265">
      <c r="A10265" s="49">
        <v>45128.90579672453</v>
      </c>
      <c r="B10265" s="50">
        <v>45129.030763125</v>
      </c>
      <c r="C10265" s="51">
        <v>1.003</v>
      </c>
      <c r="D10265" s="51">
        <v>72.0</v>
      </c>
      <c r="E10265" s="52" t="s">
        <v>25</v>
      </c>
      <c r="F10265" s="52" t="s">
        <v>26</v>
      </c>
      <c r="G10265" s="53"/>
    </row>
    <row r="10266">
      <c r="A10266" s="49">
        <v>45128.916222280095</v>
      </c>
      <c r="B10266" s="50">
        <v>45129.0411970486</v>
      </c>
      <c r="C10266" s="51">
        <v>1.003</v>
      </c>
      <c r="D10266" s="51">
        <v>72.0</v>
      </c>
      <c r="E10266" s="52" t="s">
        <v>25</v>
      </c>
      <c r="F10266" s="52" t="s">
        <v>26</v>
      </c>
      <c r="G10266" s="53"/>
    </row>
    <row r="10267">
      <c r="A10267" s="49">
        <v>45128.92664875</v>
      </c>
      <c r="B10267" s="50">
        <v>45129.0516188541</v>
      </c>
      <c r="C10267" s="51">
        <v>1.003</v>
      </c>
      <c r="D10267" s="51">
        <v>72.0</v>
      </c>
      <c r="E10267" s="52" t="s">
        <v>25</v>
      </c>
      <c r="F10267" s="52" t="s">
        <v>26</v>
      </c>
      <c r="G10267" s="53"/>
    </row>
    <row r="10268">
      <c r="A10268" s="49">
        <v>45128.93706946759</v>
      </c>
      <c r="B10268" s="50">
        <v>45129.0620381944</v>
      </c>
      <c r="C10268" s="51">
        <v>1.003</v>
      </c>
      <c r="D10268" s="51">
        <v>72.0</v>
      </c>
      <c r="E10268" s="52" t="s">
        <v>25</v>
      </c>
      <c r="F10268" s="52" t="s">
        <v>26</v>
      </c>
      <c r="G10268" s="53"/>
    </row>
    <row r="10269">
      <c r="A10269" s="49">
        <v>45128.94748863426</v>
      </c>
      <c r="B10269" s="50">
        <v>45129.0724594097</v>
      </c>
      <c r="C10269" s="51">
        <v>1.003</v>
      </c>
      <c r="D10269" s="51">
        <v>72.0</v>
      </c>
      <c r="E10269" s="52" t="s">
        <v>25</v>
      </c>
      <c r="F10269" s="52" t="s">
        <v>26</v>
      </c>
      <c r="G10269" s="53"/>
    </row>
    <row r="10270">
      <c r="A10270" s="49">
        <v>45128.957921574074</v>
      </c>
      <c r="B10270" s="50">
        <v>45129.0828924884</v>
      </c>
      <c r="C10270" s="51">
        <v>1.003</v>
      </c>
      <c r="D10270" s="51">
        <v>72.0</v>
      </c>
      <c r="E10270" s="52" t="s">
        <v>25</v>
      </c>
      <c r="F10270" s="52" t="s">
        <v>26</v>
      </c>
      <c r="G10270" s="53"/>
    </row>
    <row r="10271">
      <c r="A10271" s="49">
        <v>45128.96833747685</v>
      </c>
      <c r="B10271" s="50">
        <v>45129.0933127314</v>
      </c>
      <c r="C10271" s="51">
        <v>1.003</v>
      </c>
      <c r="D10271" s="51">
        <v>72.0</v>
      </c>
      <c r="E10271" s="52" t="s">
        <v>25</v>
      </c>
      <c r="F10271" s="52" t="s">
        <v>26</v>
      </c>
      <c r="G10271" s="53"/>
    </row>
    <row r="10272">
      <c r="A10272" s="49">
        <v>45128.978800613426</v>
      </c>
      <c r="B10272" s="50">
        <v>45129.1037345138</v>
      </c>
      <c r="C10272" s="51">
        <v>1.003</v>
      </c>
      <c r="D10272" s="51">
        <v>72.0</v>
      </c>
      <c r="E10272" s="52" t="s">
        <v>25</v>
      </c>
      <c r="F10272" s="52" t="s">
        <v>26</v>
      </c>
      <c r="G10272" s="53"/>
    </row>
    <row r="10273">
      <c r="A10273" s="49">
        <v>45128.98921144676</v>
      </c>
      <c r="B10273" s="50">
        <v>45129.1141793055</v>
      </c>
      <c r="C10273" s="51">
        <v>1.003</v>
      </c>
      <c r="D10273" s="51">
        <v>72.0</v>
      </c>
      <c r="E10273" s="52" t="s">
        <v>25</v>
      </c>
      <c r="F10273" s="52" t="s">
        <v>26</v>
      </c>
      <c r="G10273" s="53"/>
    </row>
    <row r="10274">
      <c r="A10274" s="49">
        <v>45128.99963126157</v>
      </c>
      <c r="B10274" s="50">
        <v>45129.124598449</v>
      </c>
      <c r="C10274" s="51">
        <v>1.003</v>
      </c>
      <c r="D10274" s="51">
        <v>72.0</v>
      </c>
      <c r="E10274" s="52" t="s">
        <v>25</v>
      </c>
      <c r="F10274" s="52" t="s">
        <v>26</v>
      </c>
      <c r="G10274" s="53"/>
    </row>
    <row r="10275">
      <c r="A10275" s="49">
        <v>45129.01004925926</v>
      </c>
      <c r="B10275" s="50">
        <v>45129.1350203125</v>
      </c>
      <c r="C10275" s="51">
        <v>1.003</v>
      </c>
      <c r="D10275" s="51">
        <v>72.0</v>
      </c>
      <c r="E10275" s="52" t="s">
        <v>25</v>
      </c>
      <c r="F10275" s="52" t="s">
        <v>26</v>
      </c>
      <c r="G10275" s="53"/>
    </row>
    <row r="10276">
      <c r="A10276" s="49">
        <v>45129.02047732639</v>
      </c>
      <c r="B10276" s="50">
        <v>45129.1454518865</v>
      </c>
      <c r="C10276" s="51">
        <v>1.003</v>
      </c>
      <c r="D10276" s="51">
        <v>72.0</v>
      </c>
      <c r="E10276" s="52" t="s">
        <v>25</v>
      </c>
      <c r="F10276" s="52" t="s">
        <v>26</v>
      </c>
      <c r="G10276" s="53"/>
    </row>
    <row r="10277">
      <c r="A10277" s="49">
        <v>45129.03090517361</v>
      </c>
      <c r="B10277" s="50">
        <v>45129.155873449</v>
      </c>
      <c r="C10277" s="51">
        <v>1.003</v>
      </c>
      <c r="D10277" s="51">
        <v>72.0</v>
      </c>
      <c r="E10277" s="52" t="s">
        <v>25</v>
      </c>
      <c r="F10277" s="52" t="s">
        <v>26</v>
      </c>
      <c r="G10277" s="53"/>
    </row>
    <row r="10278">
      <c r="A10278" s="49">
        <v>45129.04133415509</v>
      </c>
      <c r="B10278" s="50">
        <v>45129.166306574</v>
      </c>
      <c r="C10278" s="51">
        <v>1.003</v>
      </c>
      <c r="D10278" s="51">
        <v>72.0</v>
      </c>
      <c r="E10278" s="52" t="s">
        <v>25</v>
      </c>
      <c r="F10278" s="52" t="s">
        <v>26</v>
      </c>
      <c r="G10278" s="53"/>
    </row>
    <row r="10279">
      <c r="A10279" s="49">
        <v>45129.05175182871</v>
      </c>
      <c r="B10279" s="50">
        <v>45129.176726331</v>
      </c>
      <c r="C10279" s="51">
        <v>1.003</v>
      </c>
      <c r="D10279" s="51">
        <v>72.0</v>
      </c>
      <c r="E10279" s="52" t="s">
        <v>25</v>
      </c>
      <c r="F10279" s="52" t="s">
        <v>26</v>
      </c>
      <c r="G10279" s="53"/>
    </row>
    <row r="10280">
      <c r="A10280" s="49">
        <v>45129.0621775926</v>
      </c>
      <c r="B10280" s="50">
        <v>45129.1871468171</v>
      </c>
      <c r="C10280" s="51">
        <v>1.003</v>
      </c>
      <c r="D10280" s="51">
        <v>72.0</v>
      </c>
      <c r="E10280" s="52" t="s">
        <v>25</v>
      </c>
      <c r="F10280" s="52" t="s">
        <v>26</v>
      </c>
      <c r="G10280" s="53"/>
    </row>
    <row r="10281">
      <c r="A10281" s="49">
        <v>45129.072593680554</v>
      </c>
      <c r="B10281" s="50">
        <v>45129.1975676273</v>
      </c>
      <c r="C10281" s="51">
        <v>1.003</v>
      </c>
      <c r="D10281" s="51">
        <v>72.0</v>
      </c>
      <c r="E10281" s="52" t="s">
        <v>25</v>
      </c>
      <c r="F10281" s="52" t="s">
        <v>26</v>
      </c>
      <c r="G10281" s="53"/>
    </row>
    <row r="10282">
      <c r="A10282" s="49">
        <v>45129.08303527778</v>
      </c>
      <c r="B10282" s="50">
        <v>45129.2080017824</v>
      </c>
      <c r="C10282" s="51">
        <v>1.003</v>
      </c>
      <c r="D10282" s="51">
        <v>72.0</v>
      </c>
      <c r="E10282" s="52" t="s">
        <v>25</v>
      </c>
      <c r="F10282" s="52" t="s">
        <v>26</v>
      </c>
      <c r="G10282" s="53"/>
    </row>
    <row r="10283">
      <c r="A10283" s="49">
        <v>45129.09345372685</v>
      </c>
      <c r="B10283" s="50">
        <v>45129.2184230092</v>
      </c>
      <c r="C10283" s="51">
        <v>1.003</v>
      </c>
      <c r="D10283" s="51">
        <v>72.0</v>
      </c>
      <c r="E10283" s="52" t="s">
        <v>25</v>
      </c>
      <c r="F10283" s="52" t="s">
        <v>26</v>
      </c>
      <c r="G10283" s="53"/>
    </row>
    <row r="10284">
      <c r="A10284" s="49">
        <v>45129.10388840278</v>
      </c>
      <c r="B10284" s="50">
        <v>45129.2288555324</v>
      </c>
      <c r="C10284" s="51">
        <v>1.003</v>
      </c>
      <c r="D10284" s="51">
        <v>72.0</v>
      </c>
      <c r="E10284" s="52" t="s">
        <v>25</v>
      </c>
      <c r="F10284" s="52" t="s">
        <v>26</v>
      </c>
      <c r="G10284" s="53"/>
    </row>
    <row r="10285">
      <c r="A10285" s="49">
        <v>45129.11429795139</v>
      </c>
      <c r="B10285" s="50">
        <v>45129.2392757638</v>
      </c>
      <c r="C10285" s="51">
        <v>1.003</v>
      </c>
      <c r="D10285" s="51">
        <v>72.0</v>
      </c>
      <c r="E10285" s="52" t="s">
        <v>25</v>
      </c>
      <c r="F10285" s="52" t="s">
        <v>26</v>
      </c>
      <c r="G10285" s="53"/>
    </row>
    <row r="10286">
      <c r="A10286" s="49">
        <v>45129.12472736111</v>
      </c>
      <c r="B10286" s="50">
        <v>45129.2496969791</v>
      </c>
      <c r="C10286" s="51">
        <v>1.004</v>
      </c>
      <c r="D10286" s="51">
        <v>72.0</v>
      </c>
      <c r="E10286" s="52" t="s">
        <v>25</v>
      </c>
      <c r="F10286" s="52" t="s">
        <v>26</v>
      </c>
      <c r="G10286" s="53"/>
    </row>
    <row r="10287">
      <c r="A10287" s="49">
        <v>45129.135150277776</v>
      </c>
      <c r="B10287" s="50">
        <v>45129.2601179745</v>
      </c>
      <c r="C10287" s="51">
        <v>1.004</v>
      </c>
      <c r="D10287" s="51">
        <v>72.0</v>
      </c>
      <c r="E10287" s="52" t="s">
        <v>25</v>
      </c>
      <c r="F10287" s="52" t="s">
        <v>26</v>
      </c>
      <c r="G10287" s="53"/>
    </row>
    <row r="10288">
      <c r="A10288" s="49">
        <v>45129.145566747684</v>
      </c>
      <c r="B10288" s="50">
        <v>45129.2705394444</v>
      </c>
      <c r="C10288" s="51">
        <v>1.003</v>
      </c>
      <c r="D10288" s="51">
        <v>72.0</v>
      </c>
      <c r="E10288" s="52" t="s">
        <v>25</v>
      </c>
      <c r="F10288" s="52" t="s">
        <v>26</v>
      </c>
      <c r="G10288" s="53"/>
    </row>
    <row r="10289">
      <c r="A10289" s="49">
        <v>45129.155993761575</v>
      </c>
      <c r="B10289" s="50">
        <v>45129.2809605787</v>
      </c>
      <c r="C10289" s="51">
        <v>1.003</v>
      </c>
      <c r="D10289" s="51">
        <v>72.0</v>
      </c>
      <c r="E10289" s="52" t="s">
        <v>25</v>
      </c>
      <c r="F10289" s="52" t="s">
        <v>26</v>
      </c>
      <c r="G10289" s="53"/>
    </row>
    <row r="10290">
      <c r="A10290" s="49">
        <v>45129.166407372686</v>
      </c>
      <c r="B10290" s="50">
        <v>45129.2913831134</v>
      </c>
      <c r="C10290" s="51">
        <v>1.003</v>
      </c>
      <c r="D10290" s="51">
        <v>72.0</v>
      </c>
      <c r="E10290" s="52" t="s">
        <v>25</v>
      </c>
      <c r="F10290" s="52" t="s">
        <v>26</v>
      </c>
      <c r="G10290" s="53"/>
    </row>
    <row r="10291">
      <c r="A10291" s="49">
        <v>45129.176837824074</v>
      </c>
      <c r="B10291" s="50">
        <v>45129.3018152546</v>
      </c>
      <c r="C10291" s="51">
        <v>1.003</v>
      </c>
      <c r="D10291" s="51">
        <v>72.0</v>
      </c>
      <c r="E10291" s="52" t="s">
        <v>25</v>
      </c>
      <c r="F10291" s="52" t="s">
        <v>26</v>
      </c>
      <c r="G10291" s="53"/>
    </row>
    <row r="10292">
      <c r="A10292" s="49">
        <v>45129.18726746528</v>
      </c>
      <c r="B10292" s="50">
        <v>45129.3122353819</v>
      </c>
      <c r="C10292" s="51">
        <v>1.003</v>
      </c>
      <c r="D10292" s="51">
        <v>72.0</v>
      </c>
      <c r="E10292" s="52" t="s">
        <v>25</v>
      </c>
      <c r="F10292" s="52" t="s">
        <v>26</v>
      </c>
      <c r="G10292" s="53"/>
    </row>
    <row r="10293">
      <c r="A10293" s="49">
        <v>45129.19768863426</v>
      </c>
      <c r="B10293" s="50">
        <v>45129.3226568518</v>
      </c>
      <c r="C10293" s="51">
        <v>1.003</v>
      </c>
      <c r="D10293" s="51">
        <v>72.0</v>
      </c>
      <c r="E10293" s="52" t="s">
        <v>25</v>
      </c>
      <c r="F10293" s="52" t="s">
        <v>26</v>
      </c>
      <c r="G10293" s="53"/>
    </row>
    <row r="10294">
      <c r="A10294" s="49">
        <v>45129.20812590278</v>
      </c>
      <c r="B10294" s="50">
        <v>45129.3330895601</v>
      </c>
      <c r="C10294" s="51">
        <v>1.003</v>
      </c>
      <c r="D10294" s="51">
        <v>72.0</v>
      </c>
      <c r="E10294" s="52" t="s">
        <v>25</v>
      </c>
      <c r="F10294" s="52" t="s">
        <v>26</v>
      </c>
      <c r="G10294" s="53"/>
    </row>
    <row r="10295">
      <c r="A10295" s="49">
        <v>45129.218537256944</v>
      </c>
      <c r="B10295" s="50">
        <v>45129.3435088657</v>
      </c>
      <c r="C10295" s="51">
        <v>1.003</v>
      </c>
      <c r="D10295" s="51">
        <v>72.0</v>
      </c>
      <c r="E10295" s="52" t="s">
        <v>25</v>
      </c>
      <c r="F10295" s="52" t="s">
        <v>26</v>
      </c>
      <c r="G10295" s="53"/>
    </row>
    <row r="10296">
      <c r="A10296" s="49">
        <v>45129.22896371528</v>
      </c>
      <c r="B10296" s="50">
        <v>45129.3539302546</v>
      </c>
      <c r="C10296" s="51">
        <v>1.003</v>
      </c>
      <c r="D10296" s="51">
        <v>72.0</v>
      </c>
      <c r="E10296" s="52" t="s">
        <v>25</v>
      </c>
      <c r="F10296" s="52" t="s">
        <v>26</v>
      </c>
      <c r="G10296" s="53"/>
    </row>
    <row r="10297">
      <c r="A10297" s="49">
        <v>45129.23940032408</v>
      </c>
      <c r="B10297" s="50">
        <v>45129.3643642708</v>
      </c>
      <c r="C10297" s="51">
        <v>1.003</v>
      </c>
      <c r="D10297" s="51">
        <v>72.0</v>
      </c>
      <c r="E10297" s="52" t="s">
        <v>25</v>
      </c>
      <c r="F10297" s="52" t="s">
        <v>26</v>
      </c>
      <c r="G10297" s="53"/>
    </row>
    <row r="10298">
      <c r="A10298" s="49">
        <v>45129.2498128588</v>
      </c>
      <c r="B10298" s="50">
        <v>45129.3747872338</v>
      </c>
      <c r="C10298" s="51">
        <v>1.003</v>
      </c>
      <c r="D10298" s="51">
        <v>72.0</v>
      </c>
      <c r="E10298" s="52" t="s">
        <v>25</v>
      </c>
      <c r="F10298" s="52" t="s">
        <v>26</v>
      </c>
      <c r="G10298" s="53"/>
    </row>
    <row r="10299">
      <c r="A10299" s="49">
        <v>45129.260242557866</v>
      </c>
      <c r="B10299" s="50">
        <v>45129.3852191435</v>
      </c>
      <c r="C10299" s="51">
        <v>1.003</v>
      </c>
      <c r="D10299" s="51">
        <v>72.0</v>
      </c>
      <c r="E10299" s="52" t="s">
        <v>25</v>
      </c>
      <c r="F10299" s="52" t="s">
        <v>26</v>
      </c>
      <c r="G10299" s="53"/>
    </row>
    <row r="10300">
      <c r="A10300" s="49">
        <v>45129.27069167824</v>
      </c>
      <c r="B10300" s="50">
        <v>45129.3956653009</v>
      </c>
      <c r="C10300" s="51">
        <v>1.003</v>
      </c>
      <c r="D10300" s="51">
        <v>72.0</v>
      </c>
      <c r="E10300" s="52" t="s">
        <v>25</v>
      </c>
      <c r="F10300" s="52" t="s">
        <v>26</v>
      </c>
      <c r="G10300" s="53"/>
    </row>
    <row r="10301">
      <c r="A10301" s="49">
        <v>45129.281109247684</v>
      </c>
      <c r="B10301" s="50">
        <v>45129.4060846759</v>
      </c>
      <c r="C10301" s="51">
        <v>1.003</v>
      </c>
      <c r="D10301" s="51">
        <v>72.0</v>
      </c>
      <c r="E10301" s="52" t="s">
        <v>25</v>
      </c>
      <c r="F10301" s="52" t="s">
        <v>26</v>
      </c>
      <c r="G10301" s="53"/>
    </row>
    <row r="10302">
      <c r="A10302" s="49">
        <v>45129.29157260417</v>
      </c>
      <c r="B10302" s="50">
        <v>45129.4165392939</v>
      </c>
      <c r="C10302" s="51">
        <v>1.004</v>
      </c>
      <c r="D10302" s="51">
        <v>72.0</v>
      </c>
      <c r="E10302" s="52" t="s">
        <v>25</v>
      </c>
      <c r="F10302" s="52" t="s">
        <v>26</v>
      </c>
      <c r="G10302" s="53"/>
    </row>
    <row r="10303">
      <c r="A10303" s="49">
        <v>45129.301988356485</v>
      </c>
      <c r="B10303" s="50">
        <v>45129.426960706</v>
      </c>
      <c r="C10303" s="51">
        <v>1.003</v>
      </c>
      <c r="D10303" s="51">
        <v>72.0</v>
      </c>
      <c r="E10303" s="52" t="s">
        <v>25</v>
      </c>
      <c r="F10303" s="52" t="s">
        <v>26</v>
      </c>
      <c r="G10303" s="53"/>
    </row>
    <row r="10304">
      <c r="A10304" s="49">
        <v>45129.3124078588</v>
      </c>
      <c r="B10304" s="50">
        <v>45129.437381956</v>
      </c>
      <c r="C10304" s="51">
        <v>1.003</v>
      </c>
      <c r="D10304" s="51">
        <v>72.0</v>
      </c>
      <c r="E10304" s="52" t="s">
        <v>25</v>
      </c>
      <c r="F10304" s="52" t="s">
        <v>26</v>
      </c>
      <c r="G10304" s="53"/>
    </row>
    <row r="10305">
      <c r="A10305" s="49">
        <v>45129.322835439816</v>
      </c>
      <c r="B10305" s="50">
        <v>45129.4478027083</v>
      </c>
      <c r="C10305" s="51">
        <v>1.003</v>
      </c>
      <c r="D10305" s="51">
        <v>72.0</v>
      </c>
      <c r="E10305" s="52" t="s">
        <v>25</v>
      </c>
      <c r="F10305" s="52" t="s">
        <v>26</v>
      </c>
      <c r="G10305" s="53"/>
    </row>
    <row r="10306">
      <c r="A10306" s="49">
        <v>45129.33325416667</v>
      </c>
      <c r="B10306" s="50">
        <v>45129.458224155</v>
      </c>
      <c r="C10306" s="51">
        <v>1.003</v>
      </c>
      <c r="D10306" s="51">
        <v>72.0</v>
      </c>
      <c r="E10306" s="52" t="s">
        <v>25</v>
      </c>
      <c r="F10306" s="52" t="s">
        <v>26</v>
      </c>
      <c r="G10306" s="53"/>
    </row>
    <row r="10307">
      <c r="A10307" s="49">
        <v>45129.3436749074</v>
      </c>
      <c r="B10307" s="50">
        <v>45129.468647118</v>
      </c>
      <c r="C10307" s="51">
        <v>1.003</v>
      </c>
      <c r="D10307" s="51">
        <v>72.0</v>
      </c>
      <c r="E10307" s="52" t="s">
        <v>25</v>
      </c>
      <c r="F10307" s="52" t="s">
        <v>26</v>
      </c>
      <c r="G10307" s="53"/>
    </row>
    <row r="10308">
      <c r="A10308" s="49">
        <v>45129.354111990746</v>
      </c>
      <c r="B10308" s="50">
        <v>45129.4790779629</v>
      </c>
      <c r="C10308" s="51">
        <v>1.003</v>
      </c>
      <c r="D10308" s="51">
        <v>72.0</v>
      </c>
      <c r="E10308" s="52" t="s">
        <v>25</v>
      </c>
      <c r="F10308" s="52" t="s">
        <v>26</v>
      </c>
      <c r="G10308" s="53"/>
    </row>
    <row r="10309">
      <c r="A10309" s="49">
        <v>45129.42639309028</v>
      </c>
      <c r="B10309" s="50">
        <v>45129.5513488078</v>
      </c>
      <c r="C10309" s="51">
        <v>1.003</v>
      </c>
      <c r="D10309" s="51">
        <v>72.0</v>
      </c>
      <c r="E10309" s="52" t="s">
        <v>25</v>
      </c>
      <c r="F10309" s="52" t="s">
        <v>26</v>
      </c>
      <c r="G10309" s="53"/>
    </row>
    <row r="10310">
      <c r="A10310" s="49">
        <v>45129.43680783565</v>
      </c>
      <c r="B10310" s="50">
        <v>45129.561771493</v>
      </c>
      <c r="C10310" s="51">
        <v>1.003</v>
      </c>
      <c r="D10310" s="51">
        <v>72.0</v>
      </c>
      <c r="E10310" s="52" t="s">
        <v>25</v>
      </c>
      <c r="F10310" s="52" t="s">
        <v>26</v>
      </c>
      <c r="G10310" s="53"/>
    </row>
    <row r="10311">
      <c r="A10311" s="49">
        <v>45129.44722454861</v>
      </c>
      <c r="B10311" s="50">
        <v>45129.5721917129</v>
      </c>
      <c r="C10311" s="51">
        <v>1.003</v>
      </c>
      <c r="D10311" s="51">
        <v>72.0</v>
      </c>
      <c r="E10311" s="52" t="s">
        <v>25</v>
      </c>
      <c r="F10311" s="52" t="s">
        <v>26</v>
      </c>
      <c r="G10311" s="53"/>
    </row>
    <row r="10312">
      <c r="A10312" s="49">
        <v>45129.45764877315</v>
      </c>
      <c r="B10312" s="50">
        <v>45129.5826122685</v>
      </c>
      <c r="C10312" s="51">
        <v>1.003</v>
      </c>
      <c r="D10312" s="51">
        <v>72.0</v>
      </c>
      <c r="E10312" s="52" t="s">
        <v>25</v>
      </c>
      <c r="F10312" s="52" t="s">
        <v>26</v>
      </c>
      <c r="G10312" s="53"/>
    </row>
    <row r="10313">
      <c r="A10313" s="49">
        <v>45129.46807905093</v>
      </c>
      <c r="B10313" s="50">
        <v>45129.593047199</v>
      </c>
      <c r="C10313" s="51">
        <v>1.003</v>
      </c>
      <c r="D10313" s="51">
        <v>72.0</v>
      </c>
      <c r="E10313" s="52" t="s">
        <v>25</v>
      </c>
      <c r="F10313" s="52" t="s">
        <v>26</v>
      </c>
      <c r="G10313" s="53"/>
    </row>
    <row r="10314">
      <c r="A10314" s="49">
        <v>45129.478509953704</v>
      </c>
      <c r="B10314" s="50">
        <v>45129.6034792129</v>
      </c>
      <c r="C10314" s="51">
        <v>1.003</v>
      </c>
      <c r="D10314" s="51">
        <v>72.0</v>
      </c>
      <c r="E10314" s="52" t="s">
        <v>25</v>
      </c>
      <c r="F10314" s="52" t="s">
        <v>26</v>
      </c>
      <c r="G10314" s="53"/>
    </row>
    <row r="10315">
      <c r="A10315" s="49">
        <v>45129.488929432875</v>
      </c>
      <c r="B10315" s="50">
        <v>45129.6138999074</v>
      </c>
      <c r="C10315" s="51">
        <v>1.003</v>
      </c>
      <c r="D10315" s="51">
        <v>72.0</v>
      </c>
      <c r="E10315" s="52" t="s">
        <v>25</v>
      </c>
      <c r="F10315" s="52" t="s">
        <v>26</v>
      </c>
      <c r="G10315" s="53"/>
    </row>
    <row r="10316">
      <c r="A10316" s="49">
        <v>45129.49935787037</v>
      </c>
      <c r="B10316" s="50">
        <v>45129.6243224768</v>
      </c>
      <c r="C10316" s="51">
        <v>1.003</v>
      </c>
      <c r="D10316" s="51">
        <v>72.0</v>
      </c>
      <c r="E10316" s="52" t="s">
        <v>25</v>
      </c>
      <c r="F10316" s="52" t="s">
        <v>26</v>
      </c>
      <c r="G10316" s="53"/>
    </row>
    <row r="10317">
      <c r="A10317" s="49">
        <v>45129.50977770833</v>
      </c>
      <c r="B10317" s="50">
        <v>45129.6347432986</v>
      </c>
      <c r="C10317" s="51">
        <v>1.003</v>
      </c>
      <c r="D10317" s="51">
        <v>72.0</v>
      </c>
      <c r="E10317" s="52" t="s">
        <v>25</v>
      </c>
      <c r="F10317" s="52" t="s">
        <v>26</v>
      </c>
      <c r="G10317" s="53"/>
    </row>
    <row r="10318">
      <c r="A10318" s="49">
        <v>45129.52020263889</v>
      </c>
      <c r="B10318" s="50">
        <v>45129.6451735763</v>
      </c>
      <c r="C10318" s="51">
        <v>1.003</v>
      </c>
      <c r="D10318" s="51">
        <v>72.0</v>
      </c>
      <c r="E10318" s="52" t="s">
        <v>25</v>
      </c>
      <c r="F10318" s="52" t="s">
        <v>26</v>
      </c>
      <c r="G10318" s="53"/>
    </row>
    <row r="10319">
      <c r="A10319" s="49">
        <v>45129.53401175926</v>
      </c>
      <c r="B10319" s="50">
        <v>45129.6588622569</v>
      </c>
      <c r="C10319" s="51">
        <v>1.003</v>
      </c>
      <c r="D10319" s="51">
        <v>72.0</v>
      </c>
      <c r="E10319" s="52" t="s">
        <v>25</v>
      </c>
      <c r="F10319" s="52" t="s">
        <v>26</v>
      </c>
      <c r="G10319" s="53"/>
    </row>
    <row r="10320">
      <c r="A10320" s="49">
        <v>45129.54432</v>
      </c>
      <c r="B10320" s="50">
        <v>45129.6692866203</v>
      </c>
      <c r="C10320" s="51">
        <v>1.003</v>
      </c>
      <c r="D10320" s="51">
        <v>72.0</v>
      </c>
      <c r="E10320" s="52" t="s">
        <v>25</v>
      </c>
      <c r="F10320" s="52" t="s">
        <v>26</v>
      </c>
      <c r="G10320" s="53"/>
    </row>
    <row r="10321">
      <c r="A10321" s="49">
        <v>45129.55473577546</v>
      </c>
      <c r="B10321" s="50">
        <v>45129.6797060879</v>
      </c>
      <c r="C10321" s="51">
        <v>1.003</v>
      </c>
      <c r="D10321" s="51">
        <v>72.0</v>
      </c>
      <c r="E10321" s="52" t="s">
        <v>25</v>
      </c>
      <c r="F10321" s="52" t="s">
        <v>26</v>
      </c>
      <c r="G10321" s="53"/>
    </row>
    <row r="10322">
      <c r="A10322" s="49">
        <v>45129.56515446759</v>
      </c>
      <c r="B10322" s="50">
        <v>45129.6901270833</v>
      </c>
      <c r="C10322" s="51">
        <v>1.003</v>
      </c>
      <c r="D10322" s="51">
        <v>72.0</v>
      </c>
      <c r="E10322" s="52" t="s">
        <v>25</v>
      </c>
      <c r="F10322" s="52" t="s">
        <v>26</v>
      </c>
      <c r="G10322" s="53"/>
    </row>
    <row r="10323">
      <c r="A10323" s="49">
        <v>45129.57557671296</v>
      </c>
      <c r="B10323" s="50">
        <v>45129.7005473263</v>
      </c>
      <c r="C10323" s="51">
        <v>1.003</v>
      </c>
      <c r="D10323" s="51">
        <v>72.0</v>
      </c>
      <c r="E10323" s="52" t="s">
        <v>25</v>
      </c>
      <c r="F10323" s="52" t="s">
        <v>26</v>
      </c>
      <c r="G10323" s="53"/>
    </row>
    <row r="10324">
      <c r="A10324" s="49">
        <v>45129.58599493056</v>
      </c>
      <c r="B10324" s="50">
        <v>45129.7109680902</v>
      </c>
      <c r="C10324" s="51">
        <v>1.003</v>
      </c>
      <c r="D10324" s="51">
        <v>72.0</v>
      </c>
      <c r="E10324" s="52" t="s">
        <v>25</v>
      </c>
      <c r="F10324" s="52" t="s">
        <v>26</v>
      </c>
      <c r="G10324" s="53"/>
    </row>
    <row r="10325">
      <c r="A10325" s="49">
        <v>45129.596417187495</v>
      </c>
      <c r="B10325" s="50">
        <v>45129.7213896296</v>
      </c>
      <c r="C10325" s="51">
        <v>1.003</v>
      </c>
      <c r="D10325" s="51">
        <v>72.0</v>
      </c>
      <c r="E10325" s="52" t="s">
        <v>25</v>
      </c>
      <c r="F10325" s="52" t="s">
        <v>26</v>
      </c>
      <c r="G10325" s="53"/>
    </row>
    <row r="10326">
      <c r="A10326" s="49">
        <v>45129.60684313657</v>
      </c>
      <c r="B10326" s="50">
        <v>45129.7318095833</v>
      </c>
      <c r="C10326" s="51">
        <v>1.003</v>
      </c>
      <c r="D10326" s="51">
        <v>72.0</v>
      </c>
      <c r="E10326" s="52" t="s">
        <v>25</v>
      </c>
      <c r="F10326" s="52" t="s">
        <v>26</v>
      </c>
      <c r="G10326" s="53"/>
    </row>
    <row r="10327">
      <c r="A10327" s="49">
        <v>45129.61725896991</v>
      </c>
      <c r="B10327" s="50">
        <v>45129.7422308217</v>
      </c>
      <c r="C10327" s="51">
        <v>1.003</v>
      </c>
      <c r="D10327" s="51">
        <v>72.0</v>
      </c>
      <c r="E10327" s="52" t="s">
        <v>25</v>
      </c>
      <c r="F10327" s="52" t="s">
        <v>26</v>
      </c>
      <c r="G10327" s="53"/>
    </row>
    <row r="10328">
      <c r="A10328" s="49">
        <v>45129.62769245371</v>
      </c>
      <c r="B10328" s="50">
        <v>45129.7526630324</v>
      </c>
      <c r="C10328" s="51">
        <v>1.003</v>
      </c>
      <c r="D10328" s="51">
        <v>72.0</v>
      </c>
      <c r="E10328" s="52" t="s">
        <v>25</v>
      </c>
      <c r="F10328" s="52" t="s">
        <v>26</v>
      </c>
      <c r="G10328" s="53"/>
    </row>
    <row r="10329">
      <c r="A10329" s="49">
        <v>45129.638131493055</v>
      </c>
      <c r="B10329" s="50">
        <v>45129.7630952546</v>
      </c>
      <c r="C10329" s="51">
        <v>1.003</v>
      </c>
      <c r="D10329" s="51">
        <v>72.0</v>
      </c>
      <c r="E10329" s="52" t="s">
        <v>25</v>
      </c>
      <c r="F10329" s="52" t="s">
        <v>26</v>
      </c>
      <c r="G10329" s="53"/>
    </row>
    <row r="10330">
      <c r="A10330" s="49">
        <v>45129.64854589121</v>
      </c>
      <c r="B10330" s="50">
        <v>45129.7735157638</v>
      </c>
      <c r="C10330" s="51">
        <v>1.003</v>
      </c>
      <c r="D10330" s="51">
        <v>72.0</v>
      </c>
      <c r="E10330" s="52" t="s">
        <v>25</v>
      </c>
      <c r="F10330" s="52" t="s">
        <v>26</v>
      </c>
      <c r="G10330" s="53"/>
    </row>
    <row r="10331">
      <c r="A10331" s="49">
        <v>45129.658992303244</v>
      </c>
      <c r="B10331" s="50">
        <v>45129.7839599421</v>
      </c>
      <c r="C10331" s="51">
        <v>1.003</v>
      </c>
      <c r="D10331" s="51">
        <v>72.0</v>
      </c>
      <c r="E10331" s="52" t="s">
        <v>25</v>
      </c>
      <c r="F10331" s="52" t="s">
        <v>26</v>
      </c>
      <c r="G10331" s="53"/>
    </row>
    <row r="10332">
      <c r="A10332" s="49">
        <v>45129.66940668982</v>
      </c>
      <c r="B10332" s="50">
        <v>45129.7943810185</v>
      </c>
      <c r="C10332" s="51">
        <v>1.003</v>
      </c>
      <c r="D10332" s="51">
        <v>72.0</v>
      </c>
      <c r="E10332" s="52" t="s">
        <v>25</v>
      </c>
      <c r="F10332" s="52" t="s">
        <v>26</v>
      </c>
      <c r="G10332" s="53"/>
    </row>
    <row r="10333">
      <c r="A10333" s="49">
        <v>45129.679880185184</v>
      </c>
      <c r="B10333" s="50">
        <v>45129.8048137268</v>
      </c>
      <c r="C10333" s="51">
        <v>1.003</v>
      </c>
      <c r="D10333" s="51">
        <v>72.0</v>
      </c>
      <c r="E10333" s="52" t="s">
        <v>25</v>
      </c>
      <c r="F10333" s="52" t="s">
        <v>26</v>
      </c>
      <c r="G10333" s="53"/>
    </row>
    <row r="10334">
      <c r="A10334" s="49">
        <v>45129.690308703706</v>
      </c>
      <c r="B10334" s="50">
        <v>45129.8152347106</v>
      </c>
      <c r="C10334" s="51">
        <v>1.003</v>
      </c>
      <c r="D10334" s="51">
        <v>72.0</v>
      </c>
      <c r="E10334" s="52" t="s">
        <v>25</v>
      </c>
      <c r="F10334" s="52" t="s">
        <v>26</v>
      </c>
      <c r="G10334" s="53"/>
    </row>
    <row r="10335">
      <c r="A10335" s="49">
        <v>45129.70072334491</v>
      </c>
      <c r="B10335" s="50">
        <v>45129.825667905</v>
      </c>
      <c r="C10335" s="51">
        <v>1.003</v>
      </c>
      <c r="D10335" s="51">
        <v>72.0</v>
      </c>
      <c r="E10335" s="52" t="s">
        <v>25</v>
      </c>
      <c r="F10335" s="52" t="s">
        <v>26</v>
      </c>
      <c r="G10335" s="53"/>
    </row>
    <row r="10336">
      <c r="A10336" s="49">
        <v>45129.71116388889</v>
      </c>
      <c r="B10336" s="50">
        <v>45129.8361010532</v>
      </c>
      <c r="C10336" s="51">
        <v>1.004</v>
      </c>
      <c r="D10336" s="51">
        <v>72.0</v>
      </c>
      <c r="E10336" s="52" t="s">
        <v>25</v>
      </c>
      <c r="F10336" s="52" t="s">
        <v>26</v>
      </c>
      <c r="G10336" s="53"/>
    </row>
    <row r="10337">
      <c r="A10337" s="49">
        <v>45129.72158125</v>
      </c>
      <c r="B10337" s="50">
        <v>45129.8465218865</v>
      </c>
      <c r="C10337" s="51">
        <v>1.003</v>
      </c>
      <c r="D10337" s="51">
        <v>72.0</v>
      </c>
      <c r="E10337" s="52" t="s">
        <v>25</v>
      </c>
      <c r="F10337" s="52" t="s">
        <v>26</v>
      </c>
      <c r="G10337" s="53"/>
    </row>
    <row r="10338">
      <c r="A10338" s="49">
        <v>45129.73202232639</v>
      </c>
      <c r="B10338" s="50">
        <v>45129.8569916898</v>
      </c>
      <c r="C10338" s="51">
        <v>1.003</v>
      </c>
      <c r="D10338" s="51">
        <v>72.0</v>
      </c>
      <c r="E10338" s="52" t="s">
        <v>25</v>
      </c>
      <c r="F10338" s="52" t="s">
        <v>26</v>
      </c>
      <c r="G10338" s="53"/>
    </row>
    <row r="10339">
      <c r="A10339" s="49">
        <v>45129.742452349536</v>
      </c>
      <c r="B10339" s="50">
        <v>45129.8674240162</v>
      </c>
      <c r="C10339" s="51">
        <v>1.003</v>
      </c>
      <c r="D10339" s="51">
        <v>72.0</v>
      </c>
      <c r="E10339" s="52" t="s">
        <v>25</v>
      </c>
      <c r="F10339" s="52" t="s">
        <v>26</v>
      </c>
      <c r="G10339" s="53"/>
    </row>
    <row r="10340">
      <c r="A10340" s="49">
        <v>45129.752893888886</v>
      </c>
      <c r="B10340" s="50">
        <v>45129.877845162</v>
      </c>
      <c r="C10340" s="51">
        <v>1.003</v>
      </c>
      <c r="D10340" s="51">
        <v>72.0</v>
      </c>
      <c r="E10340" s="52" t="s">
        <v>25</v>
      </c>
      <c r="F10340" s="52" t="s">
        <v>26</v>
      </c>
      <c r="G10340" s="53"/>
    </row>
    <row r="10341">
      <c r="A10341" s="49">
        <v>45129.763319571764</v>
      </c>
      <c r="B10341" s="50">
        <v>45129.8882664004</v>
      </c>
      <c r="C10341" s="51">
        <v>1.003</v>
      </c>
      <c r="D10341" s="51">
        <v>72.0</v>
      </c>
      <c r="E10341" s="52" t="s">
        <v>25</v>
      </c>
      <c r="F10341" s="52" t="s">
        <v>26</v>
      </c>
      <c r="G10341" s="53"/>
    </row>
    <row r="10342">
      <c r="A10342" s="49">
        <v>45129.77382988426</v>
      </c>
      <c r="B10342" s="50">
        <v>45129.8986869675</v>
      </c>
      <c r="C10342" s="51">
        <v>1.003</v>
      </c>
      <c r="D10342" s="51">
        <v>72.0</v>
      </c>
      <c r="E10342" s="52" t="s">
        <v>25</v>
      </c>
      <c r="F10342" s="52" t="s">
        <v>26</v>
      </c>
      <c r="G10342" s="53"/>
    </row>
    <row r="10343">
      <c r="A10343" s="49">
        <v>45129.78416520833</v>
      </c>
      <c r="B10343" s="50">
        <v>45129.9091083449</v>
      </c>
      <c r="C10343" s="51">
        <v>1.003</v>
      </c>
      <c r="D10343" s="51">
        <v>72.0</v>
      </c>
      <c r="E10343" s="52" t="s">
        <v>25</v>
      </c>
      <c r="F10343" s="52" t="s">
        <v>26</v>
      </c>
      <c r="G10343" s="53"/>
    </row>
    <row r="10344">
      <c r="A10344" s="49">
        <v>45129.794595300926</v>
      </c>
      <c r="B10344" s="50">
        <v>45129.9195308796</v>
      </c>
      <c r="C10344" s="51">
        <v>1.003</v>
      </c>
      <c r="D10344" s="51">
        <v>72.0</v>
      </c>
      <c r="E10344" s="52" t="s">
        <v>25</v>
      </c>
      <c r="F10344" s="52" t="s">
        <v>26</v>
      </c>
      <c r="G10344" s="53"/>
    </row>
    <row r="10345">
      <c r="A10345" s="49">
        <v>45129.80497921296</v>
      </c>
      <c r="B10345" s="50">
        <v>45129.9299536921</v>
      </c>
      <c r="C10345" s="51">
        <v>1.003</v>
      </c>
      <c r="D10345" s="51">
        <v>72.0</v>
      </c>
      <c r="E10345" s="52" t="s">
        <v>25</v>
      </c>
      <c r="F10345" s="52" t="s">
        <v>26</v>
      </c>
      <c r="G10345" s="53"/>
    </row>
    <row r="10346">
      <c r="A10346" s="49">
        <v>45129.81540550926</v>
      </c>
      <c r="B10346" s="50">
        <v>45129.9403752083</v>
      </c>
      <c r="C10346" s="51">
        <v>1.003</v>
      </c>
      <c r="D10346" s="51">
        <v>72.0</v>
      </c>
      <c r="E10346" s="52" t="s">
        <v>25</v>
      </c>
      <c r="F10346" s="52" t="s">
        <v>26</v>
      </c>
      <c r="G10346" s="53"/>
    </row>
    <row r="10347">
      <c r="A10347" s="49">
        <v>45129.82582561343</v>
      </c>
      <c r="B10347" s="50">
        <v>45129.9507956134</v>
      </c>
      <c r="C10347" s="51">
        <v>1.003</v>
      </c>
      <c r="D10347" s="51">
        <v>72.0</v>
      </c>
      <c r="E10347" s="52" t="s">
        <v>25</v>
      </c>
      <c r="F10347" s="52" t="s">
        <v>26</v>
      </c>
      <c r="G10347" s="53"/>
    </row>
    <row r="10348">
      <c r="A10348" s="49">
        <v>45129.83623973379</v>
      </c>
      <c r="B10348" s="50">
        <v>45129.9612155671</v>
      </c>
      <c r="C10348" s="51">
        <v>1.003</v>
      </c>
      <c r="D10348" s="51">
        <v>72.0</v>
      </c>
      <c r="E10348" s="52" t="s">
        <v>25</v>
      </c>
      <c r="F10348" s="52" t="s">
        <v>26</v>
      </c>
      <c r="G10348" s="53"/>
    </row>
    <row r="10349">
      <c r="A10349" s="49">
        <v>45129.84667084491</v>
      </c>
      <c r="B10349" s="50">
        <v>45129.9716481944</v>
      </c>
      <c r="C10349" s="51">
        <v>1.003</v>
      </c>
      <c r="D10349" s="51">
        <v>72.0</v>
      </c>
      <c r="E10349" s="52" t="s">
        <v>25</v>
      </c>
      <c r="F10349" s="52" t="s">
        <v>26</v>
      </c>
      <c r="G10349" s="53"/>
    </row>
    <row r="10350">
      <c r="A10350" s="49">
        <v>45129.85710016204</v>
      </c>
      <c r="B10350" s="50">
        <v>45129.98206853</v>
      </c>
      <c r="C10350" s="51">
        <v>1.003</v>
      </c>
      <c r="D10350" s="51">
        <v>72.0</v>
      </c>
      <c r="E10350" s="52" t="s">
        <v>25</v>
      </c>
      <c r="F10350" s="52" t="s">
        <v>26</v>
      </c>
      <c r="G10350" s="53"/>
    </row>
    <row r="10351">
      <c r="A10351" s="49">
        <v>45129.86751831019</v>
      </c>
      <c r="B10351" s="50">
        <v>45129.9924900578</v>
      </c>
      <c r="C10351" s="51">
        <v>1.003</v>
      </c>
      <c r="D10351" s="51">
        <v>72.0</v>
      </c>
      <c r="E10351" s="52" t="s">
        <v>25</v>
      </c>
      <c r="F10351" s="52" t="s">
        <v>26</v>
      </c>
      <c r="G10351" s="53"/>
    </row>
    <row r="10352">
      <c r="A10352" s="49">
        <v>45129.877945127315</v>
      </c>
      <c r="B10352" s="50">
        <v>45130.0029118055</v>
      </c>
      <c r="C10352" s="51">
        <v>1.003</v>
      </c>
      <c r="D10352" s="51">
        <v>72.0</v>
      </c>
      <c r="E10352" s="52" t="s">
        <v>25</v>
      </c>
      <c r="F10352" s="52" t="s">
        <v>26</v>
      </c>
      <c r="G10352" s="53"/>
    </row>
    <row r="10353">
      <c r="A10353" s="49">
        <v>45129.88836196759</v>
      </c>
      <c r="B10353" s="50">
        <v>45130.0133325115</v>
      </c>
      <c r="C10353" s="51">
        <v>1.003</v>
      </c>
      <c r="D10353" s="51">
        <v>72.0</v>
      </c>
      <c r="E10353" s="52" t="s">
        <v>25</v>
      </c>
      <c r="F10353" s="52" t="s">
        <v>26</v>
      </c>
      <c r="G10353" s="53"/>
    </row>
    <row r="10354">
      <c r="A10354" s="49">
        <v>45129.898781412034</v>
      </c>
      <c r="B10354" s="50">
        <v>45130.0237538078</v>
      </c>
      <c r="C10354" s="51">
        <v>1.003</v>
      </c>
      <c r="D10354" s="51">
        <v>72.0</v>
      </c>
      <c r="E10354" s="52" t="s">
        <v>25</v>
      </c>
      <c r="F10354" s="52" t="s">
        <v>26</v>
      </c>
      <c r="G10354" s="53"/>
    </row>
    <row r="10355">
      <c r="A10355" s="49">
        <v>45129.90919881944</v>
      </c>
      <c r="B10355" s="50">
        <v>45130.0341751157</v>
      </c>
      <c r="C10355" s="51">
        <v>1.003</v>
      </c>
      <c r="D10355" s="51">
        <v>72.0</v>
      </c>
      <c r="E10355" s="52" t="s">
        <v>25</v>
      </c>
      <c r="F10355" s="52" t="s">
        <v>26</v>
      </c>
      <c r="G10355" s="53"/>
    </row>
    <row r="10356">
      <c r="A10356" s="49">
        <v>45129.91962428241</v>
      </c>
      <c r="B10356" s="50">
        <v>45130.0445961342</v>
      </c>
      <c r="C10356" s="51">
        <v>1.003</v>
      </c>
      <c r="D10356" s="51">
        <v>72.0</v>
      </c>
      <c r="E10356" s="52" t="s">
        <v>25</v>
      </c>
      <c r="F10356" s="52" t="s">
        <v>26</v>
      </c>
      <c r="G10356" s="53"/>
    </row>
    <row r="10357">
      <c r="A10357" s="49">
        <v>45129.93006083333</v>
      </c>
      <c r="B10357" s="50">
        <v>45130.0550298148</v>
      </c>
      <c r="C10357" s="51">
        <v>1.003</v>
      </c>
      <c r="D10357" s="51">
        <v>72.0</v>
      </c>
      <c r="E10357" s="52" t="s">
        <v>25</v>
      </c>
      <c r="F10357" s="52" t="s">
        <v>26</v>
      </c>
      <c r="G10357" s="53"/>
    </row>
    <row r="10358">
      <c r="A10358" s="49">
        <v>45129.94048292824</v>
      </c>
      <c r="B10358" s="50">
        <v>45130.065450081</v>
      </c>
      <c r="C10358" s="51">
        <v>1.003</v>
      </c>
      <c r="D10358" s="51">
        <v>72.0</v>
      </c>
      <c r="E10358" s="52" t="s">
        <v>25</v>
      </c>
      <c r="F10358" s="52" t="s">
        <v>26</v>
      </c>
      <c r="G10358" s="53"/>
    </row>
    <row r="10359">
      <c r="A10359" s="49">
        <v>45129.95092290509</v>
      </c>
      <c r="B10359" s="50">
        <v>45130.0758948611</v>
      </c>
      <c r="C10359" s="51">
        <v>1.003</v>
      </c>
      <c r="D10359" s="51">
        <v>72.0</v>
      </c>
      <c r="E10359" s="52" t="s">
        <v>25</v>
      </c>
      <c r="F10359" s="52" t="s">
        <v>26</v>
      </c>
      <c r="G10359" s="53"/>
    </row>
    <row r="10360">
      <c r="A10360" s="49">
        <v>45129.96134201389</v>
      </c>
      <c r="B10360" s="50">
        <v>45130.0863157754</v>
      </c>
      <c r="C10360" s="51">
        <v>1.003</v>
      </c>
      <c r="D10360" s="51">
        <v>72.0</v>
      </c>
      <c r="E10360" s="52" t="s">
        <v>25</v>
      </c>
      <c r="F10360" s="52" t="s">
        <v>26</v>
      </c>
      <c r="G10360" s="53"/>
    </row>
    <row r="10361">
      <c r="A10361" s="49">
        <v>45129.97177178241</v>
      </c>
      <c r="B10361" s="50">
        <v>45130.0967472916</v>
      </c>
      <c r="C10361" s="51">
        <v>1.003</v>
      </c>
      <c r="D10361" s="51">
        <v>72.0</v>
      </c>
      <c r="E10361" s="52" t="s">
        <v>25</v>
      </c>
      <c r="F10361" s="52" t="s">
        <v>26</v>
      </c>
      <c r="G10361" s="53"/>
    </row>
    <row r="10362">
      <c r="A10362" s="49">
        <v>45129.98220615741</v>
      </c>
      <c r="B10362" s="50">
        <v>45130.1071714699</v>
      </c>
      <c r="C10362" s="51">
        <v>1.004</v>
      </c>
      <c r="D10362" s="51">
        <v>72.0</v>
      </c>
      <c r="E10362" s="52" t="s">
        <v>25</v>
      </c>
      <c r="F10362" s="52" t="s">
        <v>26</v>
      </c>
      <c r="G10362" s="53"/>
    </row>
    <row r="10363">
      <c r="A10363" s="49">
        <v>45129.992624942126</v>
      </c>
      <c r="B10363" s="50">
        <v>45130.1175914236</v>
      </c>
      <c r="C10363" s="51">
        <v>1.003</v>
      </c>
      <c r="D10363" s="51">
        <v>72.0</v>
      </c>
      <c r="E10363" s="52" t="s">
        <v>25</v>
      </c>
      <c r="F10363" s="52" t="s">
        <v>26</v>
      </c>
      <c r="G10363" s="53"/>
    </row>
    <row r="10364">
      <c r="A10364" s="49">
        <v>45130.003038298615</v>
      </c>
      <c r="B10364" s="50">
        <v>45130.1280128819</v>
      </c>
      <c r="C10364" s="51">
        <v>1.003</v>
      </c>
      <c r="D10364" s="51">
        <v>72.0</v>
      </c>
      <c r="E10364" s="52" t="s">
        <v>25</v>
      </c>
      <c r="F10364" s="52" t="s">
        <v>26</v>
      </c>
      <c r="G10364" s="53"/>
    </row>
    <row r="10365">
      <c r="A10365" s="49">
        <v>45130.01345775463</v>
      </c>
      <c r="B10365" s="50">
        <v>45130.1384322569</v>
      </c>
      <c r="C10365" s="51">
        <v>1.003</v>
      </c>
      <c r="D10365" s="51">
        <v>72.0</v>
      </c>
      <c r="E10365" s="52" t="s">
        <v>25</v>
      </c>
      <c r="F10365" s="52" t="s">
        <v>26</v>
      </c>
      <c r="G10365" s="53"/>
    </row>
    <row r="10366">
      <c r="A10366" s="49">
        <v>45130.023885925926</v>
      </c>
      <c r="B10366" s="50">
        <v>45130.1488538657</v>
      </c>
      <c r="C10366" s="51">
        <v>1.003</v>
      </c>
      <c r="D10366" s="51">
        <v>72.0</v>
      </c>
      <c r="E10366" s="52" t="s">
        <v>25</v>
      </c>
      <c r="F10366" s="52" t="s">
        <v>26</v>
      </c>
      <c r="G10366" s="53"/>
    </row>
    <row r="10367">
      <c r="A10367" s="49">
        <v>45130.03430208333</v>
      </c>
      <c r="B10367" s="50">
        <v>45130.1592743518</v>
      </c>
      <c r="C10367" s="51">
        <v>1.003</v>
      </c>
      <c r="D10367" s="51">
        <v>72.0</v>
      </c>
      <c r="E10367" s="52" t="s">
        <v>25</v>
      </c>
      <c r="F10367" s="52" t="s">
        <v>26</v>
      </c>
      <c r="G10367" s="53"/>
    </row>
    <row r="10368">
      <c r="A10368" s="49">
        <v>45130.04471681713</v>
      </c>
      <c r="B10368" s="50">
        <v>45130.1696947338</v>
      </c>
      <c r="C10368" s="51">
        <v>1.003</v>
      </c>
      <c r="D10368" s="51">
        <v>72.0</v>
      </c>
      <c r="E10368" s="52" t="s">
        <v>25</v>
      </c>
      <c r="F10368" s="52" t="s">
        <v>26</v>
      </c>
      <c r="G10368" s="53"/>
    </row>
    <row r="10369">
      <c r="A10369" s="49">
        <v>45130.05560530093</v>
      </c>
      <c r="B10369" s="50">
        <v>45130.1801161574</v>
      </c>
      <c r="C10369" s="51">
        <v>1.003</v>
      </c>
      <c r="D10369" s="51">
        <v>72.0</v>
      </c>
      <c r="E10369" s="52" t="s">
        <v>25</v>
      </c>
      <c r="F10369" s="52" t="s">
        <v>26</v>
      </c>
      <c r="G10369" s="53"/>
    </row>
    <row r="10370">
      <c r="A10370" s="49">
        <v>45130.0655884375</v>
      </c>
      <c r="B10370" s="50">
        <v>45130.1905608333</v>
      </c>
      <c r="C10370" s="51">
        <v>1.003</v>
      </c>
      <c r="D10370" s="51">
        <v>72.0</v>
      </c>
      <c r="E10370" s="52" t="s">
        <v>25</v>
      </c>
      <c r="F10370" s="52" t="s">
        <v>26</v>
      </c>
      <c r="G10370" s="53"/>
    </row>
    <row r="10371">
      <c r="A10371" s="49">
        <v>45130.07600335648</v>
      </c>
      <c r="B10371" s="50">
        <v>45130.2009818981</v>
      </c>
      <c r="C10371" s="51">
        <v>1.003</v>
      </c>
      <c r="D10371" s="51">
        <v>72.0</v>
      </c>
      <c r="E10371" s="52" t="s">
        <v>25</v>
      </c>
      <c r="F10371" s="52" t="s">
        <v>26</v>
      </c>
      <c r="G10371" s="53"/>
    </row>
    <row r="10372">
      <c r="A10372" s="49">
        <v>45130.0864395949</v>
      </c>
      <c r="B10372" s="50">
        <v>45130.2114031018</v>
      </c>
      <c r="C10372" s="51">
        <v>1.003</v>
      </c>
      <c r="D10372" s="51">
        <v>72.0</v>
      </c>
      <c r="E10372" s="52" t="s">
        <v>25</v>
      </c>
      <c r="F10372" s="52" t="s">
        <v>26</v>
      </c>
      <c r="G10372" s="53"/>
    </row>
    <row r="10373">
      <c r="A10373" s="49">
        <v>45130.096859247686</v>
      </c>
      <c r="B10373" s="50">
        <v>45130.2218248495</v>
      </c>
      <c r="C10373" s="51">
        <v>1.003</v>
      </c>
      <c r="D10373" s="51">
        <v>72.0</v>
      </c>
      <c r="E10373" s="52" t="s">
        <v>25</v>
      </c>
      <c r="F10373" s="52" t="s">
        <v>26</v>
      </c>
      <c r="G10373" s="53"/>
    </row>
    <row r="10374">
      <c r="A10374" s="49">
        <v>45130.107277546296</v>
      </c>
      <c r="B10374" s="50">
        <v>45130.232246331</v>
      </c>
      <c r="C10374" s="51">
        <v>1.004</v>
      </c>
      <c r="D10374" s="51">
        <v>72.0</v>
      </c>
      <c r="E10374" s="52" t="s">
        <v>25</v>
      </c>
      <c r="F10374" s="52" t="s">
        <v>26</v>
      </c>
      <c r="G10374" s="53"/>
    </row>
    <row r="10375">
      <c r="A10375" s="49">
        <v>45130.11771229167</v>
      </c>
      <c r="B10375" s="50">
        <v>45130.2426790162</v>
      </c>
      <c r="C10375" s="51">
        <v>1.003</v>
      </c>
      <c r="D10375" s="51">
        <v>72.0</v>
      </c>
      <c r="E10375" s="52" t="s">
        <v>25</v>
      </c>
      <c r="F10375" s="52" t="s">
        <v>26</v>
      </c>
      <c r="G10375" s="53"/>
    </row>
    <row r="10376">
      <c r="A10376" s="49">
        <v>45130.128132094906</v>
      </c>
      <c r="B10376" s="50">
        <v>45130.253099074</v>
      </c>
      <c r="C10376" s="51">
        <v>1.003</v>
      </c>
      <c r="D10376" s="51">
        <v>72.0</v>
      </c>
      <c r="E10376" s="52" t="s">
        <v>25</v>
      </c>
      <c r="F10376" s="52" t="s">
        <v>26</v>
      </c>
      <c r="G10376" s="53"/>
    </row>
    <row r="10377">
      <c r="A10377" s="49">
        <v>45130.138551689815</v>
      </c>
      <c r="B10377" s="50">
        <v>45130.2635205555</v>
      </c>
      <c r="C10377" s="51">
        <v>1.003</v>
      </c>
      <c r="D10377" s="51">
        <v>72.0</v>
      </c>
      <c r="E10377" s="52" t="s">
        <v>25</v>
      </c>
      <c r="F10377" s="52" t="s">
        <v>26</v>
      </c>
      <c r="G10377" s="53"/>
    </row>
    <row r="10378">
      <c r="A10378" s="49">
        <v>45130.148972083334</v>
      </c>
      <c r="B10378" s="50">
        <v>45130.2739429976</v>
      </c>
      <c r="C10378" s="51">
        <v>1.003</v>
      </c>
      <c r="D10378" s="51">
        <v>72.0</v>
      </c>
      <c r="E10378" s="52" t="s">
        <v>25</v>
      </c>
      <c r="F10378" s="52" t="s">
        <v>26</v>
      </c>
      <c r="G10378" s="53"/>
    </row>
    <row r="10379">
      <c r="A10379" s="49">
        <v>45130.15939576389</v>
      </c>
      <c r="B10379" s="50">
        <v>45130.2843635879</v>
      </c>
      <c r="C10379" s="51">
        <v>1.003</v>
      </c>
      <c r="D10379" s="51">
        <v>72.0</v>
      </c>
      <c r="E10379" s="52" t="s">
        <v>25</v>
      </c>
      <c r="F10379" s="52" t="s">
        <v>26</v>
      </c>
      <c r="G10379" s="53"/>
    </row>
    <row r="10380">
      <c r="A10380" s="49">
        <v>45130.169813043976</v>
      </c>
      <c r="B10380" s="50">
        <v>45130.2947840972</v>
      </c>
      <c r="C10380" s="51">
        <v>1.003</v>
      </c>
      <c r="D10380" s="51">
        <v>72.0</v>
      </c>
      <c r="E10380" s="52" t="s">
        <v>25</v>
      </c>
      <c r="F10380" s="52" t="s">
        <v>26</v>
      </c>
      <c r="G10380" s="53"/>
    </row>
    <row r="10381">
      <c r="A10381" s="49">
        <v>45130.18024108796</v>
      </c>
      <c r="B10381" s="50">
        <v>45130.3052055439</v>
      </c>
      <c r="C10381" s="51">
        <v>1.003</v>
      </c>
      <c r="D10381" s="51">
        <v>72.0</v>
      </c>
      <c r="E10381" s="52" t="s">
        <v>25</v>
      </c>
      <c r="F10381" s="52" t="s">
        <v>26</v>
      </c>
      <c r="G10381" s="53"/>
    </row>
    <row r="10382">
      <c r="A10382" s="49">
        <v>45130.19065568287</v>
      </c>
      <c r="B10382" s="50">
        <v>45130.3156259722</v>
      </c>
      <c r="C10382" s="51">
        <v>1.003</v>
      </c>
      <c r="D10382" s="51">
        <v>72.0</v>
      </c>
      <c r="E10382" s="52" t="s">
        <v>25</v>
      </c>
      <c r="F10382" s="52" t="s">
        <v>26</v>
      </c>
      <c r="G10382" s="53"/>
    </row>
    <row r="10383">
      <c r="A10383" s="49">
        <v>45130.20108445601</v>
      </c>
      <c r="B10383" s="50">
        <v>45130.3260494444</v>
      </c>
      <c r="C10383" s="51">
        <v>1.003</v>
      </c>
      <c r="D10383" s="51">
        <v>72.0</v>
      </c>
      <c r="E10383" s="52" t="s">
        <v>25</v>
      </c>
      <c r="F10383" s="52" t="s">
        <v>26</v>
      </c>
      <c r="G10383" s="53"/>
    </row>
    <row r="10384">
      <c r="A10384" s="49">
        <v>45130.21150269676</v>
      </c>
      <c r="B10384" s="50">
        <v>45130.3364702893</v>
      </c>
      <c r="C10384" s="51">
        <v>1.003</v>
      </c>
      <c r="D10384" s="51">
        <v>72.0</v>
      </c>
      <c r="E10384" s="52" t="s">
        <v>25</v>
      </c>
      <c r="F10384" s="52" t="s">
        <v>26</v>
      </c>
      <c r="G10384" s="53"/>
    </row>
    <row r="10385">
      <c r="A10385" s="49">
        <v>45130.22191861111</v>
      </c>
      <c r="B10385" s="50">
        <v>45130.3468919791</v>
      </c>
      <c r="C10385" s="51">
        <v>1.003</v>
      </c>
      <c r="D10385" s="51">
        <v>72.0</v>
      </c>
      <c r="E10385" s="52" t="s">
        <v>25</v>
      </c>
      <c r="F10385" s="52" t="s">
        <v>26</v>
      </c>
      <c r="G10385" s="53"/>
    </row>
    <row r="10386">
      <c r="A10386" s="49">
        <v>45130.23233594907</v>
      </c>
      <c r="B10386" s="50">
        <v>45130.3573124189</v>
      </c>
      <c r="C10386" s="51">
        <v>1.003</v>
      </c>
      <c r="D10386" s="51">
        <v>72.0</v>
      </c>
      <c r="E10386" s="52" t="s">
        <v>25</v>
      </c>
      <c r="F10386" s="52" t="s">
        <v>26</v>
      </c>
      <c r="G10386" s="53"/>
    </row>
    <row r="10387">
      <c r="A10387" s="49">
        <v>45130.242757685184</v>
      </c>
      <c r="B10387" s="50">
        <v>45130.3677349189</v>
      </c>
      <c r="C10387" s="51">
        <v>1.003</v>
      </c>
      <c r="D10387" s="51">
        <v>72.0</v>
      </c>
      <c r="E10387" s="52" t="s">
        <v>25</v>
      </c>
      <c r="F10387" s="52" t="s">
        <v>26</v>
      </c>
      <c r="G10387" s="53"/>
    </row>
    <row r="10388">
      <c r="A10388" s="49">
        <v>45130.25318396991</v>
      </c>
      <c r="B10388" s="50">
        <v>45130.3781555555</v>
      </c>
      <c r="C10388" s="51">
        <v>1.003</v>
      </c>
      <c r="D10388" s="51">
        <v>72.0</v>
      </c>
      <c r="E10388" s="52" t="s">
        <v>25</v>
      </c>
      <c r="F10388" s="52" t="s">
        <v>26</v>
      </c>
      <c r="G10388" s="53"/>
    </row>
    <row r="10389">
      <c r="A10389" s="49">
        <v>45130.26360780092</v>
      </c>
      <c r="B10389" s="50">
        <v>45130.3885770833</v>
      </c>
      <c r="C10389" s="51">
        <v>1.004</v>
      </c>
      <c r="D10389" s="51">
        <v>72.0</v>
      </c>
      <c r="E10389" s="52" t="s">
        <v>25</v>
      </c>
      <c r="F10389" s="52" t="s">
        <v>26</v>
      </c>
      <c r="G10389" s="53"/>
    </row>
    <row r="10390">
      <c r="A10390" s="49">
        <v>45130.274036539355</v>
      </c>
      <c r="B10390" s="50">
        <v>45130.3989974189</v>
      </c>
      <c r="C10390" s="51">
        <v>1.003</v>
      </c>
      <c r="D10390" s="51">
        <v>72.0</v>
      </c>
      <c r="E10390" s="52" t="s">
        <v>25</v>
      </c>
      <c r="F10390" s="52" t="s">
        <v>26</v>
      </c>
      <c r="G10390" s="53"/>
    </row>
    <row r="10391">
      <c r="A10391" s="49">
        <v>45130.28445327547</v>
      </c>
      <c r="B10391" s="50">
        <v>45130.4094190046</v>
      </c>
      <c r="C10391" s="51">
        <v>1.003</v>
      </c>
      <c r="D10391" s="51">
        <v>72.0</v>
      </c>
      <c r="E10391" s="52" t="s">
        <v>25</v>
      </c>
      <c r="F10391" s="52" t="s">
        <v>26</v>
      </c>
      <c r="G10391" s="53"/>
    </row>
    <row r="10392">
      <c r="A10392" s="49">
        <v>45130.29488423611</v>
      </c>
      <c r="B10392" s="50">
        <v>45130.4198537268</v>
      </c>
      <c r="C10392" s="51">
        <v>1.003</v>
      </c>
      <c r="D10392" s="51">
        <v>72.0</v>
      </c>
      <c r="E10392" s="52" t="s">
        <v>25</v>
      </c>
      <c r="F10392" s="52" t="s">
        <v>26</v>
      </c>
      <c r="G10392" s="53"/>
    </row>
    <row r="10393">
      <c r="A10393" s="49">
        <v>45130.30530332176</v>
      </c>
      <c r="B10393" s="50">
        <v>45130.4302752083</v>
      </c>
      <c r="C10393" s="51">
        <v>1.004</v>
      </c>
      <c r="D10393" s="51">
        <v>72.0</v>
      </c>
      <c r="E10393" s="52" t="s">
        <v>25</v>
      </c>
      <c r="F10393" s="52" t="s">
        <v>26</v>
      </c>
      <c r="G10393" s="53"/>
    </row>
    <row r="10394">
      <c r="A10394" s="49">
        <v>45130.315735393524</v>
      </c>
      <c r="B10394" s="50">
        <v>45130.4406971875</v>
      </c>
      <c r="C10394" s="51">
        <v>1.003</v>
      </c>
      <c r="D10394" s="51">
        <v>72.0</v>
      </c>
      <c r="E10394" s="52" t="s">
        <v>25</v>
      </c>
      <c r="F10394" s="52" t="s">
        <v>26</v>
      </c>
      <c r="G10394" s="53"/>
    </row>
    <row r="10395">
      <c r="A10395" s="49">
        <v>45130.32615069444</v>
      </c>
      <c r="B10395" s="50">
        <v>45130.4511190277</v>
      </c>
      <c r="C10395" s="51">
        <v>1.003</v>
      </c>
      <c r="D10395" s="51">
        <v>72.0</v>
      </c>
      <c r="E10395" s="52" t="s">
        <v>25</v>
      </c>
      <c r="F10395" s="52" t="s">
        <v>26</v>
      </c>
      <c r="G10395" s="53"/>
    </row>
    <row r="10396">
      <c r="A10396" s="49">
        <v>45130.336576863425</v>
      </c>
      <c r="B10396" s="50">
        <v>45130.4615401736</v>
      </c>
      <c r="C10396" s="51">
        <v>1.003</v>
      </c>
      <c r="D10396" s="51">
        <v>72.0</v>
      </c>
      <c r="E10396" s="52" t="s">
        <v>25</v>
      </c>
      <c r="F10396" s="52" t="s">
        <v>26</v>
      </c>
      <c r="G10396" s="53"/>
    </row>
    <row r="10397">
      <c r="A10397" s="49">
        <v>45130.3470049537</v>
      </c>
      <c r="B10397" s="50">
        <v>45130.471971875</v>
      </c>
      <c r="C10397" s="51">
        <v>1.003</v>
      </c>
      <c r="D10397" s="51">
        <v>72.0</v>
      </c>
      <c r="E10397" s="52" t="s">
        <v>25</v>
      </c>
      <c r="F10397" s="52" t="s">
        <v>26</v>
      </c>
      <c r="G10397" s="53"/>
    </row>
    <row r="10398">
      <c r="A10398" s="49">
        <v>45130.35741578703</v>
      </c>
      <c r="B10398" s="50">
        <v>45130.4823934722</v>
      </c>
      <c r="C10398" s="51">
        <v>1.004</v>
      </c>
      <c r="D10398" s="51">
        <v>72.0</v>
      </c>
      <c r="E10398" s="52" t="s">
        <v>25</v>
      </c>
      <c r="F10398" s="52" t="s">
        <v>26</v>
      </c>
      <c r="G10398" s="53"/>
    </row>
    <row r="10399">
      <c r="A10399" s="49">
        <v>45130.36784989583</v>
      </c>
      <c r="B10399" s="50">
        <v>45130.4928143981</v>
      </c>
      <c r="C10399" s="51">
        <v>1.003</v>
      </c>
      <c r="D10399" s="51">
        <v>72.0</v>
      </c>
      <c r="E10399" s="52" t="s">
        <v>25</v>
      </c>
      <c r="F10399" s="52" t="s">
        <v>26</v>
      </c>
      <c r="G10399" s="53"/>
    </row>
    <row r="10400">
      <c r="A10400" s="49">
        <v>45130.37825623843</v>
      </c>
      <c r="B10400" s="50">
        <v>45130.5032353819</v>
      </c>
      <c r="C10400" s="51">
        <v>1.003</v>
      </c>
      <c r="D10400" s="51">
        <v>72.0</v>
      </c>
      <c r="E10400" s="52" t="s">
        <v>25</v>
      </c>
      <c r="F10400" s="52" t="s">
        <v>26</v>
      </c>
      <c r="G10400" s="53"/>
    </row>
    <row r="10401">
      <c r="A10401" s="49">
        <v>45130.38868260417</v>
      </c>
      <c r="B10401" s="50">
        <v>45130.5136565509</v>
      </c>
      <c r="C10401" s="51">
        <v>1.003</v>
      </c>
      <c r="D10401" s="51">
        <v>72.0</v>
      </c>
      <c r="E10401" s="52" t="s">
        <v>25</v>
      </c>
      <c r="F10401" s="52" t="s">
        <v>26</v>
      </c>
      <c r="G10401" s="53"/>
    </row>
    <row r="10402">
      <c r="A10402" s="49">
        <v>45130.399108136575</v>
      </c>
      <c r="B10402" s="50">
        <v>45130.52407603</v>
      </c>
      <c r="C10402" s="51">
        <v>1.003</v>
      </c>
      <c r="D10402" s="51">
        <v>72.0</v>
      </c>
      <c r="E10402" s="52" t="s">
        <v>25</v>
      </c>
      <c r="F10402" s="52" t="s">
        <v>26</v>
      </c>
      <c r="G10402" s="53"/>
    </row>
    <row r="10403">
      <c r="A10403" s="49">
        <v>45130.409524305556</v>
      </c>
      <c r="B10403" s="50">
        <v>45130.5344959259</v>
      </c>
      <c r="C10403" s="51">
        <v>1.003</v>
      </c>
      <c r="D10403" s="51">
        <v>72.0</v>
      </c>
      <c r="E10403" s="52" t="s">
        <v>25</v>
      </c>
      <c r="F10403" s="52" t="s">
        <v>26</v>
      </c>
      <c r="G10403" s="53"/>
    </row>
    <row r="10404">
      <c r="A10404" s="49">
        <v>45130.419946458336</v>
      </c>
      <c r="B10404" s="50">
        <v>45130.5449180787</v>
      </c>
      <c r="C10404" s="51">
        <v>1.003</v>
      </c>
      <c r="D10404" s="51">
        <v>72.0</v>
      </c>
      <c r="E10404" s="52" t="s">
        <v>25</v>
      </c>
      <c r="F10404" s="52" t="s">
        <v>26</v>
      </c>
      <c r="G10404" s="53"/>
    </row>
    <row r="10405">
      <c r="A10405" s="49">
        <v>45130.43038431713</v>
      </c>
      <c r="B10405" s="50">
        <v>45130.5553521875</v>
      </c>
      <c r="C10405" s="51">
        <v>1.003</v>
      </c>
      <c r="D10405" s="51">
        <v>72.0</v>
      </c>
      <c r="E10405" s="52" t="s">
        <v>25</v>
      </c>
      <c r="F10405" s="52" t="s">
        <v>26</v>
      </c>
      <c r="G10405" s="53"/>
    </row>
    <row r="10406">
      <c r="A10406" s="49">
        <v>45130.440817800925</v>
      </c>
      <c r="B10406" s="50">
        <v>45130.5657865162</v>
      </c>
      <c r="C10406" s="51">
        <v>1.003</v>
      </c>
      <c r="D10406" s="51">
        <v>72.0</v>
      </c>
      <c r="E10406" s="52" t="s">
        <v>25</v>
      </c>
      <c r="F10406" s="52" t="s">
        <v>26</v>
      </c>
      <c r="G10406" s="53"/>
    </row>
    <row r="10407">
      <c r="A10407" s="49">
        <v>45130.451236504625</v>
      </c>
      <c r="B10407" s="50">
        <v>45130.5762069097</v>
      </c>
      <c r="C10407" s="51">
        <v>1.003</v>
      </c>
      <c r="D10407" s="51">
        <v>72.0</v>
      </c>
      <c r="E10407" s="52" t="s">
        <v>25</v>
      </c>
      <c r="F10407" s="52" t="s">
        <v>26</v>
      </c>
      <c r="G10407" s="53"/>
    </row>
    <row r="10408">
      <c r="A10408" s="49">
        <v>45130.46165895833</v>
      </c>
      <c r="B10408" s="50">
        <v>45130.5866272453</v>
      </c>
      <c r="C10408" s="51">
        <v>1.003</v>
      </c>
      <c r="D10408" s="51">
        <v>72.0</v>
      </c>
      <c r="E10408" s="52" t="s">
        <v>25</v>
      </c>
      <c r="F10408" s="52" t="s">
        <v>26</v>
      </c>
      <c r="G10408" s="53"/>
    </row>
    <row r="10409">
      <c r="A10409" s="49">
        <v>45130.472081898144</v>
      </c>
      <c r="B10409" s="50">
        <v>45130.5970476388</v>
      </c>
      <c r="C10409" s="51">
        <v>1.003</v>
      </c>
      <c r="D10409" s="51">
        <v>72.0</v>
      </c>
      <c r="E10409" s="52" t="s">
        <v>25</v>
      </c>
      <c r="F10409" s="52" t="s">
        <v>26</v>
      </c>
      <c r="G10409" s="53"/>
    </row>
    <row r="10410">
      <c r="A10410" s="49">
        <v>45130.482493738426</v>
      </c>
      <c r="B10410" s="50">
        <v>45130.607468449</v>
      </c>
      <c r="C10410" s="51">
        <v>1.003</v>
      </c>
      <c r="D10410" s="51">
        <v>72.0</v>
      </c>
      <c r="E10410" s="52" t="s">
        <v>25</v>
      </c>
      <c r="F10410" s="52" t="s">
        <v>26</v>
      </c>
      <c r="G10410" s="53"/>
    </row>
    <row r="10411">
      <c r="A10411" s="49">
        <v>45130.492923854166</v>
      </c>
      <c r="B10411" s="50">
        <v>45130.6178890162</v>
      </c>
      <c r="C10411" s="51">
        <v>1.003</v>
      </c>
      <c r="D10411" s="51">
        <v>72.0</v>
      </c>
      <c r="E10411" s="52" t="s">
        <v>25</v>
      </c>
      <c r="F10411" s="52" t="s">
        <v>26</v>
      </c>
      <c r="G10411" s="53"/>
    </row>
    <row r="10412">
      <c r="A10412" s="49">
        <v>45130.50334357639</v>
      </c>
      <c r="B10412" s="50">
        <v>45130.6283114583</v>
      </c>
      <c r="C10412" s="51">
        <v>1.003</v>
      </c>
      <c r="D10412" s="51">
        <v>72.0</v>
      </c>
      <c r="E10412" s="52" t="s">
        <v>25</v>
      </c>
      <c r="F10412" s="52" t="s">
        <v>26</v>
      </c>
      <c r="G10412" s="53"/>
    </row>
    <row r="10413">
      <c r="A10413" s="49">
        <v>45130.51376270833</v>
      </c>
      <c r="B10413" s="50">
        <v>45130.6387337731</v>
      </c>
      <c r="C10413" s="51">
        <v>1.003</v>
      </c>
      <c r="D10413" s="51">
        <v>72.0</v>
      </c>
      <c r="E10413" s="52" t="s">
        <v>25</v>
      </c>
      <c r="F10413" s="52" t="s">
        <v>26</v>
      </c>
      <c r="G10413" s="53"/>
    </row>
    <row r="10414">
      <c r="A10414" s="49">
        <v>45130.52418158565</v>
      </c>
      <c r="B10414" s="50">
        <v>45130.649153368</v>
      </c>
      <c r="C10414" s="51">
        <v>1.003</v>
      </c>
      <c r="D10414" s="51">
        <v>72.0</v>
      </c>
      <c r="E10414" s="52" t="s">
        <v>25</v>
      </c>
      <c r="F10414" s="52" t="s">
        <v>26</v>
      </c>
      <c r="G10414" s="53"/>
    </row>
    <row r="10415">
      <c r="A10415" s="49">
        <v>45130.534598171296</v>
      </c>
      <c r="B10415" s="50">
        <v>45130.6595751504</v>
      </c>
      <c r="C10415" s="51">
        <v>1.003</v>
      </c>
      <c r="D10415" s="51">
        <v>72.0</v>
      </c>
      <c r="E10415" s="52" t="s">
        <v>25</v>
      </c>
      <c r="F10415" s="52" t="s">
        <v>26</v>
      </c>
      <c r="G10415" s="53"/>
    </row>
    <row r="10416">
      <c r="A10416" s="49">
        <v>45130.54503108797</v>
      </c>
      <c r="B10416" s="50">
        <v>45130.6699958449</v>
      </c>
      <c r="C10416" s="51">
        <v>1.003</v>
      </c>
      <c r="D10416" s="51">
        <v>72.0</v>
      </c>
      <c r="E10416" s="52" t="s">
        <v>25</v>
      </c>
      <c r="F10416" s="52" t="s">
        <v>26</v>
      </c>
      <c r="G10416" s="53"/>
    </row>
    <row r="10417">
      <c r="A10417" s="49">
        <v>45130.55546005787</v>
      </c>
      <c r="B10417" s="50">
        <v>45130.6804295486</v>
      </c>
      <c r="C10417" s="51">
        <v>1.003</v>
      </c>
      <c r="D10417" s="51">
        <v>72.0</v>
      </c>
      <c r="E10417" s="52" t="s">
        <v>25</v>
      </c>
      <c r="F10417" s="52" t="s">
        <v>26</v>
      </c>
      <c r="G10417" s="53"/>
    </row>
    <row r="10418">
      <c r="A10418" s="49">
        <v>45130.565874884254</v>
      </c>
      <c r="B10418" s="50">
        <v>45130.6908490509</v>
      </c>
      <c r="C10418" s="51">
        <v>1.003</v>
      </c>
      <c r="D10418" s="51">
        <v>72.0</v>
      </c>
      <c r="E10418" s="52" t="s">
        <v>25</v>
      </c>
      <c r="F10418" s="52" t="s">
        <v>26</v>
      </c>
      <c r="G10418" s="53"/>
    </row>
    <row r="10419">
      <c r="A10419" s="49">
        <v>45130.57631921297</v>
      </c>
      <c r="B10419" s="50">
        <v>45130.7012723379</v>
      </c>
      <c r="C10419" s="51">
        <v>1.003</v>
      </c>
      <c r="D10419" s="51">
        <v>72.0</v>
      </c>
      <c r="E10419" s="52" t="s">
        <v>25</v>
      </c>
      <c r="F10419" s="52" t="s">
        <v>26</v>
      </c>
      <c r="G10419" s="53"/>
    </row>
    <row r="10420">
      <c r="A10420" s="49">
        <v>45130.58675212963</v>
      </c>
      <c r="B10420" s="50">
        <v>45130.7117063541</v>
      </c>
      <c r="C10420" s="51">
        <v>1.003</v>
      </c>
      <c r="D10420" s="51">
        <v>72.0</v>
      </c>
      <c r="E10420" s="52" t="s">
        <v>25</v>
      </c>
      <c r="F10420" s="52" t="s">
        <v>26</v>
      </c>
      <c r="G10420" s="53"/>
    </row>
    <row r="10421">
      <c r="A10421" s="49">
        <v>45130.59715869213</v>
      </c>
      <c r="B10421" s="50">
        <v>45130.7221292939</v>
      </c>
      <c r="C10421" s="51">
        <v>1.003</v>
      </c>
      <c r="D10421" s="51">
        <v>72.0</v>
      </c>
      <c r="E10421" s="52" t="s">
        <v>25</v>
      </c>
      <c r="F10421" s="52" t="s">
        <v>26</v>
      </c>
      <c r="G10421" s="53"/>
    </row>
    <row r="10422">
      <c r="A10422" s="49">
        <v>45130.607577511575</v>
      </c>
      <c r="B10422" s="50">
        <v>45130.7325497685</v>
      </c>
      <c r="C10422" s="51">
        <v>1.004</v>
      </c>
      <c r="D10422" s="51">
        <v>72.0</v>
      </c>
      <c r="E10422" s="52" t="s">
        <v>25</v>
      </c>
      <c r="F10422" s="52" t="s">
        <v>26</v>
      </c>
      <c r="G10422" s="53"/>
    </row>
    <row r="10423">
      <c r="A10423" s="49">
        <v>45130.618004131946</v>
      </c>
      <c r="B10423" s="50">
        <v>45130.7429697453</v>
      </c>
      <c r="C10423" s="51">
        <v>1.003</v>
      </c>
      <c r="D10423" s="51">
        <v>72.0</v>
      </c>
      <c r="E10423" s="52" t="s">
        <v>25</v>
      </c>
      <c r="F10423" s="52" t="s">
        <v>26</v>
      </c>
      <c r="G10423" s="53"/>
    </row>
    <row r="10424">
      <c r="A10424" s="49">
        <v>45130.62842349537</v>
      </c>
      <c r="B10424" s="50">
        <v>45130.7533909143</v>
      </c>
      <c r="C10424" s="51">
        <v>1.003</v>
      </c>
      <c r="D10424" s="51">
        <v>72.0</v>
      </c>
      <c r="E10424" s="52" t="s">
        <v>25</v>
      </c>
      <c r="F10424" s="52" t="s">
        <v>26</v>
      </c>
      <c r="G10424" s="53"/>
    </row>
    <row r="10425">
      <c r="A10425" s="49">
        <v>45130.63884111111</v>
      </c>
      <c r="B10425" s="50">
        <v>45130.7638118981</v>
      </c>
      <c r="C10425" s="51">
        <v>1.003</v>
      </c>
      <c r="D10425" s="51">
        <v>72.0</v>
      </c>
      <c r="E10425" s="52" t="s">
        <v>25</v>
      </c>
      <c r="F10425" s="52" t="s">
        <v>26</v>
      </c>
      <c r="G10425" s="53"/>
    </row>
    <row r="10426">
      <c r="A10426" s="49">
        <v>45130.6492724537</v>
      </c>
      <c r="B10426" s="50">
        <v>45130.7742441319</v>
      </c>
      <c r="C10426" s="51">
        <v>1.003</v>
      </c>
      <c r="D10426" s="51">
        <v>73.0</v>
      </c>
      <c r="E10426" s="52" t="s">
        <v>25</v>
      </c>
      <c r="F10426" s="52" t="s">
        <v>26</v>
      </c>
      <c r="G10426" s="53"/>
    </row>
    <row r="10427">
      <c r="A10427" s="49">
        <v>45130.659696539355</v>
      </c>
      <c r="B10427" s="50">
        <v>45130.7846658333</v>
      </c>
      <c r="C10427" s="51">
        <v>1.003</v>
      </c>
      <c r="D10427" s="51">
        <v>72.0</v>
      </c>
      <c r="E10427" s="52" t="s">
        <v>25</v>
      </c>
      <c r="F10427" s="52" t="s">
        <v>26</v>
      </c>
      <c r="G10427" s="53"/>
    </row>
    <row r="10428">
      <c r="A10428" s="49">
        <v>45130.67011391204</v>
      </c>
      <c r="B10428" s="50">
        <v>45130.7950878819</v>
      </c>
      <c r="C10428" s="51">
        <v>1.003</v>
      </c>
      <c r="D10428" s="51">
        <v>73.0</v>
      </c>
      <c r="E10428" s="52" t="s">
        <v>25</v>
      </c>
      <c r="F10428" s="52" t="s">
        <v>26</v>
      </c>
      <c r="G10428" s="53"/>
    </row>
    <row r="10429">
      <c r="A10429" s="49">
        <v>45130.68054233796</v>
      </c>
      <c r="B10429" s="50">
        <v>45130.8055104166</v>
      </c>
      <c r="C10429" s="51">
        <v>1.003</v>
      </c>
      <c r="D10429" s="51">
        <v>73.0</v>
      </c>
      <c r="E10429" s="52" t="s">
        <v>25</v>
      </c>
      <c r="F10429" s="52" t="s">
        <v>26</v>
      </c>
      <c r="G10429" s="53"/>
    </row>
    <row r="10430">
      <c r="A10430" s="49">
        <v>45130.69096365741</v>
      </c>
      <c r="B10430" s="50">
        <v>45130.8159332754</v>
      </c>
      <c r="C10430" s="51">
        <v>1.003</v>
      </c>
      <c r="D10430" s="51">
        <v>73.0</v>
      </c>
      <c r="E10430" s="52" t="s">
        <v>25</v>
      </c>
      <c r="F10430" s="52" t="s">
        <v>26</v>
      </c>
      <c r="G10430" s="53"/>
    </row>
    <row r="10431">
      <c r="A10431" s="49">
        <v>45130.70140164351</v>
      </c>
      <c r="B10431" s="50">
        <v>45130.8263664583</v>
      </c>
      <c r="C10431" s="51">
        <v>1.003</v>
      </c>
      <c r="D10431" s="51">
        <v>73.0</v>
      </c>
      <c r="E10431" s="52" t="s">
        <v>25</v>
      </c>
      <c r="F10431" s="52" t="s">
        <v>26</v>
      </c>
      <c r="G10431" s="53"/>
    </row>
    <row r="10432">
      <c r="A10432" s="49">
        <v>45130.711827210645</v>
      </c>
      <c r="B10432" s="50">
        <v>45130.8367886921</v>
      </c>
      <c r="C10432" s="51">
        <v>1.003</v>
      </c>
      <c r="D10432" s="51">
        <v>73.0</v>
      </c>
      <c r="E10432" s="52" t="s">
        <v>25</v>
      </c>
      <c r="F10432" s="52" t="s">
        <v>26</v>
      </c>
      <c r="G10432" s="53"/>
    </row>
    <row r="10433">
      <c r="A10433" s="49">
        <v>45130.72223890046</v>
      </c>
      <c r="B10433" s="50">
        <v>45130.8472092476</v>
      </c>
      <c r="C10433" s="51">
        <v>1.003</v>
      </c>
      <c r="D10433" s="51">
        <v>73.0</v>
      </c>
      <c r="E10433" s="52" t="s">
        <v>25</v>
      </c>
      <c r="F10433" s="52" t="s">
        <v>26</v>
      </c>
      <c r="G10433" s="53"/>
    </row>
    <row r="10434">
      <c r="A10434" s="49">
        <v>45130.73266247685</v>
      </c>
      <c r="B10434" s="50">
        <v>45130.8576301967</v>
      </c>
      <c r="C10434" s="51">
        <v>1.003</v>
      </c>
      <c r="D10434" s="51">
        <v>73.0</v>
      </c>
      <c r="E10434" s="52" t="s">
        <v>25</v>
      </c>
      <c r="F10434" s="52" t="s">
        <v>26</v>
      </c>
      <c r="G10434" s="53"/>
    </row>
    <row r="10435">
      <c r="A10435" s="49">
        <v>45130.74308141204</v>
      </c>
      <c r="B10435" s="50">
        <v>45130.8680530324</v>
      </c>
      <c r="C10435" s="51">
        <v>1.003</v>
      </c>
      <c r="D10435" s="51">
        <v>73.0</v>
      </c>
      <c r="E10435" s="52" t="s">
        <v>25</v>
      </c>
      <c r="F10435" s="52" t="s">
        <v>26</v>
      </c>
      <c r="G10435" s="53"/>
    </row>
    <row r="10436">
      <c r="A10436" s="49">
        <v>45130.75351055556</v>
      </c>
      <c r="B10436" s="50">
        <v>45130.8784751157</v>
      </c>
      <c r="C10436" s="51">
        <v>1.003</v>
      </c>
      <c r="D10436" s="51">
        <v>73.0</v>
      </c>
      <c r="E10436" s="52" t="s">
        <v>25</v>
      </c>
      <c r="F10436" s="52" t="s">
        <v>26</v>
      </c>
      <c r="G10436" s="53"/>
    </row>
    <row r="10437">
      <c r="A10437" s="49">
        <v>45130.76393920139</v>
      </c>
      <c r="B10437" s="50">
        <v>45130.8889069444</v>
      </c>
      <c r="C10437" s="51">
        <v>1.003</v>
      </c>
      <c r="D10437" s="51">
        <v>73.0</v>
      </c>
      <c r="E10437" s="52" t="s">
        <v>25</v>
      </c>
      <c r="F10437" s="52" t="s">
        <v>26</v>
      </c>
      <c r="G10437" s="53"/>
    </row>
    <row r="10438">
      <c r="A10438" s="49">
        <v>45130.774350798616</v>
      </c>
      <c r="B10438" s="50">
        <v>45130.8993274768</v>
      </c>
      <c r="C10438" s="51">
        <v>1.003</v>
      </c>
      <c r="D10438" s="51">
        <v>73.0</v>
      </c>
      <c r="E10438" s="52" t="s">
        <v>25</v>
      </c>
      <c r="F10438" s="52" t="s">
        <v>26</v>
      </c>
      <c r="G10438" s="53"/>
    </row>
    <row r="10439">
      <c r="A10439" s="49">
        <v>45130.784779953705</v>
      </c>
      <c r="B10439" s="50">
        <v>45130.9097486111</v>
      </c>
      <c r="C10439" s="51">
        <v>1.003</v>
      </c>
      <c r="D10439" s="51">
        <v>73.0</v>
      </c>
      <c r="E10439" s="52" t="s">
        <v>25</v>
      </c>
      <c r="F10439" s="52" t="s">
        <v>26</v>
      </c>
      <c r="G10439" s="53"/>
    </row>
    <row r="10440">
      <c r="A10440" s="49">
        <v>45130.79520179398</v>
      </c>
      <c r="B10440" s="50">
        <v>45130.9201694675</v>
      </c>
      <c r="C10440" s="51">
        <v>1.003</v>
      </c>
      <c r="D10440" s="51">
        <v>73.0</v>
      </c>
      <c r="E10440" s="52" t="s">
        <v>25</v>
      </c>
      <c r="F10440" s="52" t="s">
        <v>26</v>
      </c>
      <c r="G10440" s="53"/>
    </row>
    <row r="10441">
      <c r="A10441" s="49">
        <v>45130.80561403935</v>
      </c>
      <c r="B10441" s="50">
        <v>45130.9305902546</v>
      </c>
      <c r="C10441" s="51">
        <v>1.003</v>
      </c>
      <c r="D10441" s="51">
        <v>73.0</v>
      </c>
      <c r="E10441" s="52" t="s">
        <v>25</v>
      </c>
      <c r="F10441" s="52" t="s">
        <v>26</v>
      </c>
      <c r="G10441" s="53"/>
    </row>
    <row r="10442">
      <c r="A10442" s="49">
        <v>45130.81604277778</v>
      </c>
      <c r="B10442" s="50">
        <v>45130.9410121412</v>
      </c>
      <c r="C10442" s="51">
        <v>1.003</v>
      </c>
      <c r="D10442" s="51">
        <v>73.0</v>
      </c>
      <c r="E10442" s="52" t="s">
        <v>25</v>
      </c>
      <c r="F10442" s="52" t="s">
        <v>26</v>
      </c>
      <c r="G10442" s="53"/>
    </row>
    <row r="10443">
      <c r="A10443" s="49">
        <v>45130.82648188657</v>
      </c>
      <c r="B10443" s="50">
        <v>45130.9514558101</v>
      </c>
      <c r="C10443" s="51">
        <v>1.003</v>
      </c>
      <c r="D10443" s="51">
        <v>73.0</v>
      </c>
      <c r="E10443" s="52" t="s">
        <v>25</v>
      </c>
      <c r="F10443" s="52" t="s">
        <v>26</v>
      </c>
      <c r="G10443" s="53"/>
    </row>
    <row r="10444">
      <c r="A10444" s="49">
        <v>45130.83689821759</v>
      </c>
      <c r="B10444" s="50">
        <v>45130.9618769675</v>
      </c>
      <c r="C10444" s="51">
        <v>1.004</v>
      </c>
      <c r="D10444" s="51">
        <v>73.0</v>
      </c>
      <c r="E10444" s="52" t="s">
        <v>25</v>
      </c>
      <c r="F10444" s="52" t="s">
        <v>26</v>
      </c>
      <c r="G10444" s="53"/>
    </row>
    <row r="10445">
      <c r="A10445" s="49">
        <v>45130.84732033565</v>
      </c>
      <c r="B10445" s="50">
        <v>45130.972298449</v>
      </c>
      <c r="C10445" s="51">
        <v>1.003</v>
      </c>
      <c r="D10445" s="51">
        <v>73.0</v>
      </c>
      <c r="E10445" s="52" t="s">
        <v>25</v>
      </c>
      <c r="F10445" s="52" t="s">
        <v>26</v>
      </c>
      <c r="G10445" s="53"/>
    </row>
    <row r="10446">
      <c r="A10446" s="49">
        <v>45130.85774335648</v>
      </c>
      <c r="B10446" s="50">
        <v>45130.9827183564</v>
      </c>
      <c r="C10446" s="51">
        <v>1.003</v>
      </c>
      <c r="D10446" s="51">
        <v>73.0</v>
      </c>
      <c r="E10446" s="52" t="s">
        <v>25</v>
      </c>
      <c r="F10446" s="52" t="s">
        <v>26</v>
      </c>
      <c r="G10446" s="53"/>
    </row>
    <row r="10447">
      <c r="A10447" s="49">
        <v>45130.86816809028</v>
      </c>
      <c r="B10447" s="50">
        <v>45130.9931409606</v>
      </c>
      <c r="C10447" s="51">
        <v>1.003</v>
      </c>
      <c r="D10447" s="51">
        <v>73.0</v>
      </c>
      <c r="E10447" s="52" t="s">
        <v>25</v>
      </c>
      <c r="F10447" s="52" t="s">
        <v>26</v>
      </c>
      <c r="G10447" s="53"/>
    </row>
    <row r="10448">
      <c r="A10448" s="49">
        <v>45130.87859393518</v>
      </c>
      <c r="B10448" s="50">
        <v>45131.0035621643</v>
      </c>
      <c r="C10448" s="51">
        <v>1.003</v>
      </c>
      <c r="D10448" s="51">
        <v>73.0</v>
      </c>
      <c r="E10448" s="52" t="s">
        <v>25</v>
      </c>
      <c r="F10448" s="52" t="s">
        <v>26</v>
      </c>
      <c r="G10448" s="53"/>
    </row>
    <row r="10449">
      <c r="A10449" s="49">
        <v>45130.88901100695</v>
      </c>
      <c r="B10449" s="50">
        <v>45131.0139836458</v>
      </c>
      <c r="C10449" s="51">
        <v>1.003</v>
      </c>
      <c r="D10449" s="51">
        <v>73.0</v>
      </c>
      <c r="E10449" s="52" t="s">
        <v>25</v>
      </c>
      <c r="F10449" s="52" t="s">
        <v>26</v>
      </c>
      <c r="G10449" s="53"/>
    </row>
    <row r="10450">
      <c r="A10450" s="49">
        <v>45130.89943376157</v>
      </c>
      <c r="B10450" s="50">
        <v>45131.0244061689</v>
      </c>
      <c r="C10450" s="51">
        <v>1.003</v>
      </c>
      <c r="D10450" s="51">
        <v>73.0</v>
      </c>
      <c r="E10450" s="52" t="s">
        <v>25</v>
      </c>
      <c r="F10450" s="52" t="s">
        <v>26</v>
      </c>
      <c r="G10450" s="53"/>
    </row>
    <row r="10451">
      <c r="A10451" s="49">
        <v>45130.90986482639</v>
      </c>
      <c r="B10451" s="50">
        <v>45131.0348278703</v>
      </c>
      <c r="C10451" s="51">
        <v>1.003</v>
      </c>
      <c r="D10451" s="51">
        <v>73.0</v>
      </c>
      <c r="E10451" s="52" t="s">
        <v>25</v>
      </c>
      <c r="F10451" s="52" t="s">
        <v>26</v>
      </c>
      <c r="G10451" s="53"/>
    </row>
    <row r="10452">
      <c r="A10452" s="49">
        <v>45130.920279513884</v>
      </c>
      <c r="B10452" s="50">
        <v>45131.045248206</v>
      </c>
      <c r="C10452" s="51">
        <v>1.003</v>
      </c>
      <c r="D10452" s="51">
        <v>73.0</v>
      </c>
      <c r="E10452" s="52" t="s">
        <v>25</v>
      </c>
      <c r="F10452" s="52" t="s">
        <v>26</v>
      </c>
      <c r="G10452" s="53"/>
    </row>
    <row r="10453">
      <c r="A10453" s="49">
        <v>45130.930688113425</v>
      </c>
      <c r="B10453" s="50">
        <v>45131.0556678935</v>
      </c>
      <c r="C10453" s="51">
        <v>1.003</v>
      </c>
      <c r="D10453" s="51">
        <v>73.0</v>
      </c>
      <c r="E10453" s="52" t="s">
        <v>25</v>
      </c>
      <c r="F10453" s="52" t="s">
        <v>26</v>
      </c>
      <c r="G10453" s="53"/>
    </row>
    <row r="10454">
      <c r="A10454" s="49">
        <v>45130.94111724537</v>
      </c>
      <c r="B10454" s="50">
        <v>45131.0660872453</v>
      </c>
      <c r="C10454" s="51">
        <v>1.003</v>
      </c>
      <c r="D10454" s="51">
        <v>73.0</v>
      </c>
      <c r="E10454" s="52" t="s">
        <v>25</v>
      </c>
      <c r="F10454" s="52" t="s">
        <v>26</v>
      </c>
      <c r="G10454" s="53"/>
    </row>
    <row r="10455">
      <c r="A10455" s="49">
        <v>45130.9515432176</v>
      </c>
      <c r="B10455" s="50">
        <v>45131.0765065046</v>
      </c>
      <c r="C10455" s="51">
        <v>1.003</v>
      </c>
      <c r="D10455" s="51">
        <v>73.0</v>
      </c>
      <c r="E10455" s="52" t="s">
        <v>25</v>
      </c>
      <c r="F10455" s="52" t="s">
        <v>26</v>
      </c>
      <c r="G10455" s="53"/>
    </row>
    <row r="10456">
      <c r="A10456" s="49">
        <v>45130.961954212966</v>
      </c>
      <c r="B10456" s="50">
        <v>45131.0869279629</v>
      </c>
      <c r="C10456" s="51">
        <v>1.003</v>
      </c>
      <c r="D10456" s="51">
        <v>73.0</v>
      </c>
      <c r="E10456" s="52" t="s">
        <v>25</v>
      </c>
      <c r="F10456" s="52" t="s">
        <v>26</v>
      </c>
      <c r="G10456" s="53"/>
    </row>
    <row r="10457">
      <c r="A10457" s="49">
        <v>45130.972396956015</v>
      </c>
      <c r="B10457" s="50">
        <v>45131.0973586805</v>
      </c>
      <c r="C10457" s="51">
        <v>1.003</v>
      </c>
      <c r="D10457" s="51">
        <v>73.0</v>
      </c>
      <c r="E10457" s="52" t="s">
        <v>25</v>
      </c>
      <c r="F10457" s="52" t="s">
        <v>26</v>
      </c>
      <c r="G10457" s="53"/>
    </row>
    <row r="10458">
      <c r="A10458" s="49">
        <v>45130.98280457176</v>
      </c>
      <c r="B10458" s="50">
        <v>45131.107780081</v>
      </c>
      <c r="C10458" s="51">
        <v>1.003</v>
      </c>
      <c r="D10458" s="51">
        <v>73.0</v>
      </c>
      <c r="E10458" s="52" t="s">
        <v>25</v>
      </c>
      <c r="F10458" s="52" t="s">
        <v>26</v>
      </c>
      <c r="G10458" s="53"/>
    </row>
    <row r="10459">
      <c r="A10459" s="49">
        <v>45130.99322052083</v>
      </c>
      <c r="B10459" s="50">
        <v>45131.1181997222</v>
      </c>
      <c r="C10459" s="51">
        <v>1.003</v>
      </c>
      <c r="D10459" s="51">
        <v>73.0</v>
      </c>
      <c r="E10459" s="52" t="s">
        <v>25</v>
      </c>
      <c r="F10459" s="52" t="s">
        <v>26</v>
      </c>
      <c r="G10459" s="53"/>
    </row>
    <row r="10460">
      <c r="A10460" s="49">
        <v>45131.003650451385</v>
      </c>
      <c r="B10460" s="50">
        <v>45131.1286210185</v>
      </c>
      <c r="C10460" s="51">
        <v>1.003</v>
      </c>
      <c r="D10460" s="51">
        <v>73.0</v>
      </c>
      <c r="E10460" s="52" t="s">
        <v>25</v>
      </c>
      <c r="F10460" s="52" t="s">
        <v>26</v>
      </c>
      <c r="G10460" s="53"/>
    </row>
    <row r="10461">
      <c r="A10461" s="49">
        <v>45131.01406854167</v>
      </c>
      <c r="B10461" s="50">
        <v>45131.1390423842</v>
      </c>
      <c r="C10461" s="51">
        <v>1.003</v>
      </c>
      <c r="D10461" s="51">
        <v>73.0</v>
      </c>
      <c r="E10461" s="52" t="s">
        <v>25</v>
      </c>
      <c r="F10461" s="52" t="s">
        <v>26</v>
      </c>
      <c r="G10461" s="53"/>
    </row>
    <row r="10462">
      <c r="A10462" s="49">
        <v>45131.02449336805</v>
      </c>
      <c r="B10462" s="50">
        <v>45131.1494627777</v>
      </c>
      <c r="C10462" s="51">
        <v>1.003</v>
      </c>
      <c r="D10462" s="51">
        <v>73.0</v>
      </c>
      <c r="E10462" s="52" t="s">
        <v>25</v>
      </c>
      <c r="F10462" s="52" t="s">
        <v>26</v>
      </c>
      <c r="G10462" s="53"/>
    </row>
    <row r="10463">
      <c r="A10463" s="49">
        <v>45131.03492229167</v>
      </c>
      <c r="B10463" s="50">
        <v>45131.1598966435</v>
      </c>
      <c r="C10463" s="51">
        <v>1.004</v>
      </c>
      <c r="D10463" s="51">
        <v>73.0</v>
      </c>
      <c r="E10463" s="52" t="s">
        <v>25</v>
      </c>
      <c r="F10463" s="52" t="s">
        <v>26</v>
      </c>
      <c r="G10463" s="53"/>
    </row>
    <row r="10464">
      <c r="A10464" s="49">
        <v>45131.04536122685</v>
      </c>
      <c r="B10464" s="50">
        <v>45131.1703305208</v>
      </c>
      <c r="C10464" s="51">
        <v>1.003</v>
      </c>
      <c r="D10464" s="51">
        <v>73.0</v>
      </c>
      <c r="E10464" s="52" t="s">
        <v>25</v>
      </c>
      <c r="F10464" s="52" t="s">
        <v>26</v>
      </c>
      <c r="G10464" s="53"/>
    </row>
    <row r="10465">
      <c r="A10465" s="49">
        <v>45131.05577680556</v>
      </c>
      <c r="B10465" s="50">
        <v>45131.1807497801</v>
      </c>
      <c r="C10465" s="51">
        <v>1.003</v>
      </c>
      <c r="D10465" s="51">
        <v>73.0</v>
      </c>
      <c r="E10465" s="52" t="s">
        <v>25</v>
      </c>
      <c r="F10465" s="52" t="s">
        <v>26</v>
      </c>
      <c r="G10465" s="53"/>
    </row>
    <row r="10466">
      <c r="A10466" s="49">
        <v>45131.06620240741</v>
      </c>
      <c r="B10466" s="50">
        <v>45131.1911707754</v>
      </c>
      <c r="C10466" s="51">
        <v>1.003</v>
      </c>
      <c r="D10466" s="51">
        <v>73.0</v>
      </c>
      <c r="E10466" s="52" t="s">
        <v>25</v>
      </c>
      <c r="F10466" s="52" t="s">
        <v>26</v>
      </c>
      <c r="G10466" s="53"/>
    </row>
    <row r="10467">
      <c r="A10467" s="49">
        <v>45131.07662841435</v>
      </c>
      <c r="B10467" s="50">
        <v>45131.2016040972</v>
      </c>
      <c r="C10467" s="51">
        <v>1.003</v>
      </c>
      <c r="D10467" s="51">
        <v>73.0</v>
      </c>
      <c r="E10467" s="52" t="s">
        <v>25</v>
      </c>
      <c r="F10467" s="52" t="s">
        <v>26</v>
      </c>
      <c r="G10467" s="53"/>
    </row>
    <row r="10468">
      <c r="A10468" s="49">
        <v>45131.0870659375</v>
      </c>
      <c r="B10468" s="50">
        <v>45131.2120362037</v>
      </c>
      <c r="C10468" s="51">
        <v>1.003</v>
      </c>
      <c r="D10468" s="51">
        <v>73.0</v>
      </c>
      <c r="E10468" s="52" t="s">
        <v>25</v>
      </c>
      <c r="F10468" s="52" t="s">
        <v>26</v>
      </c>
      <c r="G10468" s="53"/>
    </row>
    <row r="10469">
      <c r="A10469" s="49">
        <v>45131.097481377314</v>
      </c>
      <c r="B10469" s="50">
        <v>45131.2224579398</v>
      </c>
      <c r="C10469" s="51">
        <v>1.003</v>
      </c>
      <c r="D10469" s="51">
        <v>73.0</v>
      </c>
      <c r="E10469" s="52" t="s">
        <v>25</v>
      </c>
      <c r="F10469" s="52" t="s">
        <v>26</v>
      </c>
      <c r="G10469" s="53"/>
    </row>
    <row r="10470">
      <c r="A10470" s="49">
        <v>45131.107909363425</v>
      </c>
      <c r="B10470" s="50">
        <v>45131.2328798379</v>
      </c>
      <c r="C10470" s="51">
        <v>1.003</v>
      </c>
      <c r="D10470" s="51">
        <v>73.0</v>
      </c>
      <c r="E10470" s="52" t="s">
        <v>25</v>
      </c>
      <c r="F10470" s="52" t="s">
        <v>26</v>
      </c>
      <c r="G10470" s="53"/>
    </row>
    <row r="10471">
      <c r="A10471" s="49">
        <v>45131.11833193287</v>
      </c>
      <c r="B10471" s="50">
        <v>45131.2433011226</v>
      </c>
      <c r="C10471" s="51">
        <v>1.003</v>
      </c>
      <c r="D10471" s="51">
        <v>73.0</v>
      </c>
      <c r="E10471" s="52" t="s">
        <v>25</v>
      </c>
      <c r="F10471" s="52" t="s">
        <v>26</v>
      </c>
      <c r="G10471" s="53"/>
    </row>
    <row r="10472">
      <c r="A10472" s="49">
        <v>45131.12874351852</v>
      </c>
      <c r="B10472" s="50">
        <v>45131.2537214814</v>
      </c>
      <c r="C10472" s="51">
        <v>1.003</v>
      </c>
      <c r="D10472" s="51">
        <v>73.0</v>
      </c>
      <c r="E10472" s="52" t="s">
        <v>25</v>
      </c>
      <c r="F10472" s="52" t="s">
        <v>26</v>
      </c>
      <c r="G10472" s="53"/>
    </row>
    <row r="10473">
      <c r="A10473" s="49">
        <v>45131.1391634375</v>
      </c>
      <c r="B10473" s="50">
        <v>45131.2641423032</v>
      </c>
      <c r="C10473" s="51">
        <v>1.003</v>
      </c>
      <c r="D10473" s="51">
        <v>73.0</v>
      </c>
      <c r="E10473" s="52" t="s">
        <v>25</v>
      </c>
      <c r="F10473" s="52" t="s">
        <v>26</v>
      </c>
      <c r="G10473" s="53"/>
    </row>
    <row r="10474">
      <c r="A10474" s="49">
        <v>45131.1495922801</v>
      </c>
      <c r="B10474" s="50">
        <v>45131.2745632754</v>
      </c>
      <c r="C10474" s="51">
        <v>1.003</v>
      </c>
      <c r="D10474" s="51">
        <v>73.0</v>
      </c>
      <c r="E10474" s="52" t="s">
        <v>25</v>
      </c>
      <c r="F10474" s="52" t="s">
        <v>26</v>
      </c>
      <c r="G10474" s="53"/>
    </row>
    <row r="10475">
      <c r="A10475" s="49">
        <v>45131.16000969907</v>
      </c>
      <c r="B10475" s="50">
        <v>45131.284984456</v>
      </c>
      <c r="C10475" s="51">
        <v>1.003</v>
      </c>
      <c r="D10475" s="51">
        <v>73.0</v>
      </c>
      <c r="E10475" s="52" t="s">
        <v>25</v>
      </c>
      <c r="F10475" s="52" t="s">
        <v>26</v>
      </c>
      <c r="G10475" s="53"/>
    </row>
    <row r="10476">
      <c r="A10476" s="49">
        <v>45131.17043923611</v>
      </c>
      <c r="B10476" s="50">
        <v>45131.2954054166</v>
      </c>
      <c r="C10476" s="51">
        <v>1.003</v>
      </c>
      <c r="D10476" s="51">
        <v>73.0</v>
      </c>
      <c r="E10476" s="52" t="s">
        <v>25</v>
      </c>
      <c r="F10476" s="52" t="s">
        <v>26</v>
      </c>
      <c r="G10476" s="53"/>
    </row>
    <row r="10477">
      <c r="A10477" s="49">
        <v>45131.180861493056</v>
      </c>
      <c r="B10477" s="50">
        <v>45131.3058262847</v>
      </c>
      <c r="C10477" s="51">
        <v>1.003</v>
      </c>
      <c r="D10477" s="51">
        <v>73.0</v>
      </c>
      <c r="E10477" s="52" t="s">
        <v>25</v>
      </c>
      <c r="F10477" s="52" t="s">
        <v>26</v>
      </c>
      <c r="G10477" s="53"/>
    </row>
    <row r="10478">
      <c r="A10478" s="49">
        <v>45131.19127792824</v>
      </c>
      <c r="B10478" s="50">
        <v>45131.3162472569</v>
      </c>
      <c r="C10478" s="51">
        <v>1.003</v>
      </c>
      <c r="D10478" s="51">
        <v>73.0</v>
      </c>
      <c r="E10478" s="52" t="s">
        <v>25</v>
      </c>
      <c r="F10478" s="52" t="s">
        <v>26</v>
      </c>
      <c r="G10478" s="53"/>
    </row>
    <row r="10479">
      <c r="A10479" s="49">
        <v>45131.20170197917</v>
      </c>
      <c r="B10479" s="50">
        <v>45131.3266684027</v>
      </c>
      <c r="C10479" s="51">
        <v>1.003</v>
      </c>
      <c r="D10479" s="51">
        <v>73.0</v>
      </c>
      <c r="E10479" s="52" t="s">
        <v>25</v>
      </c>
      <c r="F10479" s="52" t="s">
        <v>26</v>
      </c>
      <c r="G10479" s="53"/>
    </row>
    <row r="10480">
      <c r="A10480" s="49">
        <v>45131.21211150463</v>
      </c>
      <c r="B10480" s="50">
        <v>45131.3370893287</v>
      </c>
      <c r="C10480" s="51">
        <v>1.003</v>
      </c>
      <c r="D10480" s="51">
        <v>73.0</v>
      </c>
      <c r="E10480" s="52" t="s">
        <v>25</v>
      </c>
      <c r="F10480" s="52" t="s">
        <v>26</v>
      </c>
      <c r="G10480" s="53"/>
    </row>
    <row r="10481">
      <c r="A10481" s="49">
        <v>45131.2225550463</v>
      </c>
      <c r="B10481" s="50">
        <v>45131.3475226157</v>
      </c>
      <c r="C10481" s="51">
        <v>1.003</v>
      </c>
      <c r="D10481" s="51">
        <v>73.0</v>
      </c>
      <c r="E10481" s="52" t="s">
        <v>25</v>
      </c>
      <c r="F10481" s="52" t="s">
        <v>26</v>
      </c>
      <c r="G10481" s="53"/>
    </row>
    <row r="10482">
      <c r="A10482" s="49">
        <v>45131.23296476852</v>
      </c>
      <c r="B10482" s="50">
        <v>45131.3579420833</v>
      </c>
      <c r="C10482" s="51">
        <v>1.003</v>
      </c>
      <c r="D10482" s="51">
        <v>73.0</v>
      </c>
      <c r="E10482" s="52" t="s">
        <v>25</v>
      </c>
      <c r="F10482" s="52" t="s">
        <v>26</v>
      </c>
      <c r="G10482" s="53"/>
    </row>
    <row r="10483">
      <c r="A10483" s="49">
        <v>45131.243393888886</v>
      </c>
      <c r="B10483" s="50">
        <v>45131.3683614583</v>
      </c>
      <c r="C10483" s="51">
        <v>1.003</v>
      </c>
      <c r="D10483" s="51">
        <v>73.0</v>
      </c>
      <c r="E10483" s="52" t="s">
        <v>25</v>
      </c>
      <c r="F10483" s="52" t="s">
        <v>26</v>
      </c>
      <c r="G10483" s="53"/>
    </row>
    <row r="10484">
      <c r="A10484" s="49">
        <v>45131.25385887732</v>
      </c>
      <c r="B10484" s="50">
        <v>45131.378782662</v>
      </c>
      <c r="C10484" s="51">
        <v>1.003</v>
      </c>
      <c r="D10484" s="51">
        <v>73.0</v>
      </c>
      <c r="E10484" s="52" t="s">
        <v>25</v>
      </c>
      <c r="F10484" s="52" t="s">
        <v>26</v>
      </c>
      <c r="G10484" s="53"/>
    </row>
    <row r="10485">
      <c r="A10485" s="49">
        <v>45131.264231678244</v>
      </c>
      <c r="B10485" s="50">
        <v>45131.3892037615</v>
      </c>
      <c r="C10485" s="51">
        <v>1.003</v>
      </c>
      <c r="D10485" s="51">
        <v>73.0</v>
      </c>
      <c r="E10485" s="52" t="s">
        <v>25</v>
      </c>
      <c r="F10485" s="52" t="s">
        <v>26</v>
      </c>
      <c r="G10485" s="53"/>
    </row>
    <row r="10486">
      <c r="A10486" s="49">
        <v>45131.274654733796</v>
      </c>
      <c r="B10486" s="50">
        <v>45131.3996252893</v>
      </c>
      <c r="C10486" s="51">
        <v>1.003</v>
      </c>
      <c r="D10486" s="51">
        <v>73.0</v>
      </c>
      <c r="E10486" s="52" t="s">
        <v>25</v>
      </c>
      <c r="F10486" s="52" t="s">
        <v>26</v>
      </c>
      <c r="G10486" s="53"/>
    </row>
    <row r="10487">
      <c r="A10487" s="49">
        <v>45131.28508253473</v>
      </c>
      <c r="B10487" s="50">
        <v>45131.4100474074</v>
      </c>
      <c r="C10487" s="51">
        <v>1.003</v>
      </c>
      <c r="D10487" s="51">
        <v>73.0</v>
      </c>
      <c r="E10487" s="52" t="s">
        <v>25</v>
      </c>
      <c r="F10487" s="52" t="s">
        <v>26</v>
      </c>
      <c r="G10487" s="53"/>
    </row>
    <row r="10488">
      <c r="A10488" s="49">
        <v>45131.295502002315</v>
      </c>
      <c r="B10488" s="50">
        <v>45131.4204718287</v>
      </c>
      <c r="C10488" s="51">
        <v>1.003</v>
      </c>
      <c r="D10488" s="51">
        <v>73.0</v>
      </c>
      <c r="E10488" s="52" t="s">
        <v>25</v>
      </c>
      <c r="F10488" s="52" t="s">
        <v>26</v>
      </c>
      <c r="G10488" s="53"/>
    </row>
    <row r="10489">
      <c r="A10489" s="49">
        <v>45131.30592903935</v>
      </c>
      <c r="B10489" s="50">
        <v>45131.4308933333</v>
      </c>
      <c r="C10489" s="51">
        <v>1.003</v>
      </c>
      <c r="D10489" s="51">
        <v>73.0</v>
      </c>
      <c r="E10489" s="52" t="s">
        <v>25</v>
      </c>
      <c r="F10489" s="52" t="s">
        <v>26</v>
      </c>
      <c r="G10489" s="53"/>
    </row>
    <row r="10490">
      <c r="A10490" s="49">
        <v>45131.31634261574</v>
      </c>
      <c r="B10490" s="50">
        <v>45131.4413128935</v>
      </c>
      <c r="C10490" s="51">
        <v>1.003</v>
      </c>
      <c r="D10490" s="51">
        <v>73.0</v>
      </c>
      <c r="E10490" s="52" t="s">
        <v>25</v>
      </c>
      <c r="F10490" s="52" t="s">
        <v>26</v>
      </c>
      <c r="G10490" s="53"/>
    </row>
    <row r="10491">
      <c r="A10491" s="49">
        <v>45131.32677</v>
      </c>
      <c r="B10491" s="50">
        <v>45131.4517463425</v>
      </c>
      <c r="C10491" s="51">
        <v>1.003</v>
      </c>
      <c r="D10491" s="51">
        <v>73.0</v>
      </c>
      <c r="E10491" s="52" t="s">
        <v>25</v>
      </c>
      <c r="F10491" s="52" t="s">
        <v>26</v>
      </c>
      <c r="G10491" s="53"/>
    </row>
    <row r="10492">
      <c r="A10492" s="49">
        <v>45131.337192453706</v>
      </c>
      <c r="B10492" s="50">
        <v>45131.462169155</v>
      </c>
      <c r="C10492" s="51">
        <v>1.003</v>
      </c>
      <c r="D10492" s="51">
        <v>73.0</v>
      </c>
      <c r="E10492" s="52" t="s">
        <v>25</v>
      </c>
      <c r="F10492" s="52" t="s">
        <v>26</v>
      </c>
      <c r="G10492" s="53"/>
    </row>
    <row r="10493">
      <c r="A10493" s="49">
        <v>45131.347618113425</v>
      </c>
      <c r="B10493" s="50">
        <v>45131.4725904976</v>
      </c>
      <c r="C10493" s="51">
        <v>1.003</v>
      </c>
      <c r="D10493" s="51">
        <v>73.0</v>
      </c>
      <c r="E10493" s="52" t="s">
        <v>25</v>
      </c>
      <c r="F10493" s="52" t="s">
        <v>26</v>
      </c>
      <c r="G10493" s="53"/>
    </row>
    <row r="10494">
      <c r="A10494" s="49">
        <v>45131.35804607639</v>
      </c>
      <c r="B10494" s="50">
        <v>45131.4830115162</v>
      </c>
      <c r="C10494" s="51">
        <v>1.003</v>
      </c>
      <c r="D10494" s="51">
        <v>73.0</v>
      </c>
      <c r="E10494" s="52" t="s">
        <v>25</v>
      </c>
      <c r="F10494" s="52" t="s">
        <v>26</v>
      </c>
      <c r="G10494" s="53"/>
    </row>
    <row r="10495">
      <c r="A10495" s="49">
        <v>45131.36846489583</v>
      </c>
      <c r="B10495" s="50">
        <v>45131.4934332986</v>
      </c>
      <c r="C10495" s="51">
        <v>1.003</v>
      </c>
      <c r="D10495" s="51">
        <v>73.0</v>
      </c>
      <c r="E10495" s="52" t="s">
        <v>25</v>
      </c>
      <c r="F10495" s="52" t="s">
        <v>26</v>
      </c>
      <c r="G10495" s="53"/>
    </row>
    <row r="10496">
      <c r="A10496" s="49">
        <v>45131.37888403935</v>
      </c>
      <c r="B10496" s="50">
        <v>45131.503854074</v>
      </c>
      <c r="C10496" s="51">
        <v>1.003</v>
      </c>
      <c r="D10496" s="51">
        <v>73.0</v>
      </c>
      <c r="E10496" s="52" t="s">
        <v>25</v>
      </c>
      <c r="F10496" s="52" t="s">
        <v>26</v>
      </c>
      <c r="G10496" s="53"/>
    </row>
    <row r="10497">
      <c r="A10497" s="49">
        <v>45131.38930851852</v>
      </c>
      <c r="B10497" s="50">
        <v>45131.5142748726</v>
      </c>
      <c r="C10497" s="51">
        <v>1.003</v>
      </c>
      <c r="D10497" s="51">
        <v>73.0</v>
      </c>
      <c r="E10497" s="52" t="s">
        <v>25</v>
      </c>
      <c r="F10497" s="52" t="s">
        <v>26</v>
      </c>
      <c r="G10497" s="53"/>
    </row>
    <row r="10498">
      <c r="A10498" s="49">
        <v>45131.3997325463</v>
      </c>
      <c r="B10498" s="50">
        <v>45131.5246966203</v>
      </c>
      <c r="C10498" s="51">
        <v>1.004</v>
      </c>
      <c r="D10498" s="51">
        <v>73.0</v>
      </c>
      <c r="E10498" s="52" t="s">
        <v>25</v>
      </c>
      <c r="F10498" s="52" t="s">
        <v>26</v>
      </c>
      <c r="G10498" s="53"/>
    </row>
    <row r="10499">
      <c r="A10499" s="49">
        <v>45131.410151979166</v>
      </c>
      <c r="B10499" s="50">
        <v>45131.5351159953</v>
      </c>
      <c r="C10499" s="51">
        <v>1.003</v>
      </c>
      <c r="D10499" s="51">
        <v>73.0</v>
      </c>
      <c r="E10499" s="52" t="s">
        <v>25</v>
      </c>
      <c r="F10499" s="52" t="s">
        <v>26</v>
      </c>
      <c r="G10499" s="53"/>
    </row>
    <row r="10500">
      <c r="A10500" s="49">
        <v>45131.42057328703</v>
      </c>
      <c r="B10500" s="50">
        <v>45131.545547581</v>
      </c>
      <c r="C10500" s="51">
        <v>1.003</v>
      </c>
      <c r="D10500" s="51">
        <v>73.0</v>
      </c>
      <c r="E10500" s="52" t="s">
        <v>25</v>
      </c>
      <c r="F10500" s="52" t="s">
        <v>26</v>
      </c>
      <c r="G10500" s="53"/>
    </row>
    <row r="10501">
      <c r="A10501" s="49">
        <v>45131.431002592595</v>
      </c>
      <c r="B10501" s="50">
        <v>45131.5559681481</v>
      </c>
      <c r="C10501" s="51">
        <v>1.003</v>
      </c>
      <c r="D10501" s="51">
        <v>73.0</v>
      </c>
      <c r="E10501" s="52" t="s">
        <v>25</v>
      </c>
      <c r="F10501" s="52" t="s">
        <v>26</v>
      </c>
      <c r="G10501" s="53"/>
    </row>
    <row r="10502">
      <c r="A10502" s="49">
        <v>45131.44143291667</v>
      </c>
      <c r="B10502" s="50">
        <v>45131.5664017824</v>
      </c>
      <c r="C10502" s="51">
        <v>1.003</v>
      </c>
      <c r="D10502" s="51">
        <v>73.0</v>
      </c>
      <c r="E10502" s="52" t="s">
        <v>25</v>
      </c>
      <c r="F10502" s="52" t="s">
        <v>26</v>
      </c>
      <c r="G10502" s="53"/>
    </row>
    <row r="10503">
      <c r="A10503" s="49">
        <v>45131.451857465276</v>
      </c>
      <c r="B10503" s="50">
        <v>45131.5768236458</v>
      </c>
      <c r="C10503" s="51">
        <v>1.003</v>
      </c>
      <c r="D10503" s="51">
        <v>73.0</v>
      </c>
      <c r="E10503" s="52" t="s">
        <v>25</v>
      </c>
      <c r="F10503" s="52" t="s">
        <v>26</v>
      </c>
      <c r="G10503" s="53"/>
    </row>
    <row r="10504">
      <c r="A10504" s="49">
        <v>45131.46228011574</v>
      </c>
      <c r="B10504" s="50">
        <v>45131.5872437268</v>
      </c>
      <c r="C10504" s="51">
        <v>1.003</v>
      </c>
      <c r="D10504" s="51">
        <v>73.0</v>
      </c>
      <c r="E10504" s="52" t="s">
        <v>25</v>
      </c>
      <c r="F10504" s="52" t="s">
        <v>26</v>
      </c>
      <c r="G10504" s="53"/>
    </row>
    <row r="10505">
      <c r="A10505" s="49">
        <v>45131.47270976852</v>
      </c>
      <c r="B10505" s="50">
        <v>45131.597677037</v>
      </c>
      <c r="C10505" s="51">
        <v>1.003</v>
      </c>
      <c r="D10505" s="51">
        <v>73.0</v>
      </c>
      <c r="E10505" s="52" t="s">
        <v>25</v>
      </c>
      <c r="F10505" s="52" t="s">
        <v>26</v>
      </c>
      <c r="G10505" s="53"/>
    </row>
    <row r="10506">
      <c r="A10506" s="49">
        <v>45131.483127581014</v>
      </c>
      <c r="B10506" s="50">
        <v>45131.6080977546</v>
      </c>
      <c r="C10506" s="51">
        <v>1.003</v>
      </c>
      <c r="D10506" s="51">
        <v>73.0</v>
      </c>
      <c r="E10506" s="52" t="s">
        <v>25</v>
      </c>
      <c r="F10506" s="52" t="s">
        <v>26</v>
      </c>
      <c r="G10506" s="53"/>
    </row>
    <row r="10507">
      <c r="A10507" s="49">
        <v>45131.49356756944</v>
      </c>
      <c r="B10507" s="50">
        <v>45131.6185312963</v>
      </c>
      <c r="C10507" s="51">
        <v>1.003</v>
      </c>
      <c r="D10507" s="51">
        <v>73.0</v>
      </c>
      <c r="E10507" s="52" t="s">
        <v>25</v>
      </c>
      <c r="F10507" s="52" t="s">
        <v>26</v>
      </c>
      <c r="G10507" s="53"/>
    </row>
    <row r="10508">
      <c r="A10508" s="49">
        <v>45131.50406144676</v>
      </c>
      <c r="B10508" s="50">
        <v>45131.6289536921</v>
      </c>
      <c r="C10508" s="51">
        <v>1.003</v>
      </c>
      <c r="D10508" s="51">
        <v>73.0</v>
      </c>
      <c r="E10508" s="52" t="s">
        <v>25</v>
      </c>
      <c r="F10508" s="52" t="s">
        <v>26</v>
      </c>
      <c r="G10508" s="53"/>
    </row>
    <row r="10509">
      <c r="A10509" s="49">
        <v>45131.51440351852</v>
      </c>
      <c r="B10509" s="50">
        <v>45131.6393738888</v>
      </c>
      <c r="C10509" s="51">
        <v>1.003</v>
      </c>
      <c r="D10509" s="51">
        <v>73.0</v>
      </c>
      <c r="E10509" s="52" t="s">
        <v>25</v>
      </c>
      <c r="F10509" s="52" t="s">
        <v>26</v>
      </c>
      <c r="G10509" s="53"/>
    </row>
    <row r="10510">
      <c r="A10510" s="49">
        <v>45131.52482997686</v>
      </c>
      <c r="B10510" s="50">
        <v>45131.6497939467</v>
      </c>
      <c r="C10510" s="51">
        <v>1.003</v>
      </c>
      <c r="D10510" s="51">
        <v>73.0</v>
      </c>
      <c r="E10510" s="52" t="s">
        <v>25</v>
      </c>
      <c r="F10510" s="52" t="s">
        <v>26</v>
      </c>
      <c r="G10510" s="53"/>
    </row>
    <row r="10511">
      <c r="A10511" s="49">
        <v>45131.535253298614</v>
      </c>
      <c r="B10511" s="50">
        <v>45131.6602162384</v>
      </c>
      <c r="C10511" s="51">
        <v>1.003</v>
      </c>
      <c r="D10511" s="51">
        <v>73.0</v>
      </c>
      <c r="E10511" s="52" t="s">
        <v>25</v>
      </c>
      <c r="F10511" s="52" t="s">
        <v>26</v>
      </c>
      <c r="G10511" s="53"/>
    </row>
    <row r="10512">
      <c r="A10512" s="49">
        <v>45131.54566430555</v>
      </c>
      <c r="B10512" s="50">
        <v>45131.6706389351</v>
      </c>
      <c r="C10512" s="51">
        <v>1.003</v>
      </c>
      <c r="D10512" s="51">
        <v>73.0</v>
      </c>
      <c r="E10512" s="52" t="s">
        <v>25</v>
      </c>
      <c r="F10512" s="52" t="s">
        <v>26</v>
      </c>
      <c r="G10512" s="53"/>
    </row>
    <row r="10513">
      <c r="A10513" s="49">
        <v>45131.55611873843</v>
      </c>
      <c r="B10513" s="50">
        <v>45131.6810827083</v>
      </c>
      <c r="C10513" s="51">
        <v>1.004</v>
      </c>
      <c r="D10513" s="51">
        <v>73.0</v>
      </c>
      <c r="E10513" s="52" t="s">
        <v>25</v>
      </c>
      <c r="F10513" s="52" t="s">
        <v>26</v>
      </c>
      <c r="G10513" s="53"/>
    </row>
    <row r="10514">
      <c r="A10514" s="49">
        <v>45131.56655142361</v>
      </c>
      <c r="B10514" s="50">
        <v>45131.6915155208</v>
      </c>
      <c r="C10514" s="51">
        <v>1.003</v>
      </c>
      <c r="D10514" s="51">
        <v>73.0</v>
      </c>
      <c r="E10514" s="52" t="s">
        <v>25</v>
      </c>
      <c r="F10514" s="52" t="s">
        <v>26</v>
      </c>
      <c r="G10514" s="53"/>
    </row>
    <row r="10515">
      <c r="A10515" s="49">
        <v>45131.57698215278</v>
      </c>
      <c r="B10515" s="50">
        <v>45131.7019492013</v>
      </c>
      <c r="C10515" s="51">
        <v>1.003</v>
      </c>
      <c r="D10515" s="51">
        <v>73.0</v>
      </c>
      <c r="E10515" s="52" t="s">
        <v>25</v>
      </c>
      <c r="F10515" s="52" t="s">
        <v>26</v>
      </c>
      <c r="G10515" s="53"/>
    </row>
    <row r="10516">
      <c r="A10516" s="49">
        <v>45131.58740429398</v>
      </c>
      <c r="B10516" s="50">
        <v>45131.7123724652</v>
      </c>
      <c r="C10516" s="51">
        <v>1.003</v>
      </c>
      <c r="D10516" s="51">
        <v>73.0</v>
      </c>
      <c r="E10516" s="52" t="s">
        <v>25</v>
      </c>
      <c r="F10516" s="52" t="s">
        <v>26</v>
      </c>
      <c r="G10516" s="53"/>
    </row>
    <row r="10517">
      <c r="A10517" s="49">
        <v>45131.59783252315</v>
      </c>
      <c r="B10517" s="50">
        <v>45131.7228074652</v>
      </c>
      <c r="C10517" s="51">
        <v>1.003</v>
      </c>
      <c r="D10517" s="51">
        <v>73.0</v>
      </c>
      <c r="E10517" s="52" t="s">
        <v>25</v>
      </c>
      <c r="F10517" s="52" t="s">
        <v>26</v>
      </c>
      <c r="G10517" s="53"/>
    </row>
    <row r="10518">
      <c r="A10518" s="49">
        <v>45131.6082671412</v>
      </c>
      <c r="B10518" s="50">
        <v>45131.7332299884</v>
      </c>
      <c r="C10518" s="51">
        <v>1.004</v>
      </c>
      <c r="D10518" s="51">
        <v>73.0</v>
      </c>
      <c r="E10518" s="52" t="s">
        <v>25</v>
      </c>
      <c r="F10518" s="52" t="s">
        <v>26</v>
      </c>
      <c r="G10518" s="53"/>
    </row>
    <row r="10519">
      <c r="A10519" s="49">
        <v>45131.618682534725</v>
      </c>
      <c r="B10519" s="50">
        <v>45131.7436525694</v>
      </c>
      <c r="C10519" s="51">
        <v>1.003</v>
      </c>
      <c r="D10519" s="51">
        <v>73.0</v>
      </c>
      <c r="E10519" s="52" t="s">
        <v>25</v>
      </c>
      <c r="F10519" s="52" t="s">
        <v>26</v>
      </c>
      <c r="G10519" s="53"/>
    </row>
    <row r="10520">
      <c r="A10520" s="49">
        <v>45131.629117812496</v>
      </c>
      <c r="B10520" s="50">
        <v>45131.7540855671</v>
      </c>
      <c r="C10520" s="51">
        <v>1.003</v>
      </c>
      <c r="D10520" s="51">
        <v>73.0</v>
      </c>
      <c r="E10520" s="52" t="s">
        <v>25</v>
      </c>
      <c r="F10520" s="52" t="s">
        <v>26</v>
      </c>
      <c r="G10520" s="53"/>
    </row>
    <row r="10521">
      <c r="A10521" s="49">
        <v>45131.6395525463</v>
      </c>
      <c r="B10521" s="50">
        <v>45131.7645194328</v>
      </c>
      <c r="C10521" s="51">
        <v>1.003</v>
      </c>
      <c r="D10521" s="51">
        <v>73.0</v>
      </c>
      <c r="E10521" s="52" t="s">
        <v>25</v>
      </c>
      <c r="F10521" s="52" t="s">
        <v>26</v>
      </c>
      <c r="G10521" s="53"/>
    </row>
    <row r="10522">
      <c r="A10522" s="49">
        <v>45131.64996730324</v>
      </c>
      <c r="B10522" s="50">
        <v>45131.7749403472</v>
      </c>
      <c r="C10522" s="51">
        <v>1.003</v>
      </c>
      <c r="D10522" s="51">
        <v>73.0</v>
      </c>
      <c r="E10522" s="52" t="s">
        <v>25</v>
      </c>
      <c r="F10522" s="52" t="s">
        <v>26</v>
      </c>
      <c r="G10522" s="53"/>
    </row>
    <row r="10523">
      <c r="A10523" s="49">
        <v>45131.6604041088</v>
      </c>
      <c r="B10523" s="50">
        <v>45131.7853738888</v>
      </c>
      <c r="C10523" s="51">
        <v>1.003</v>
      </c>
      <c r="D10523" s="51">
        <v>73.0</v>
      </c>
      <c r="E10523" s="52" t="s">
        <v>25</v>
      </c>
      <c r="F10523" s="52" t="s">
        <v>26</v>
      </c>
      <c r="G10523" s="53"/>
    </row>
    <row r="10524">
      <c r="A10524" s="49">
        <v>45131.67082936343</v>
      </c>
      <c r="B10524" s="50">
        <v>45131.7957954745</v>
      </c>
      <c r="C10524" s="51">
        <v>1.003</v>
      </c>
      <c r="D10524" s="51">
        <v>73.0</v>
      </c>
      <c r="E10524" s="52" t="s">
        <v>25</v>
      </c>
      <c r="F10524" s="52" t="s">
        <v>26</v>
      </c>
      <c r="G10524" s="53"/>
    </row>
    <row r="10525">
      <c r="A10525" s="49">
        <v>45131.68125770833</v>
      </c>
      <c r="B10525" s="50">
        <v>45131.8062278125</v>
      </c>
      <c r="C10525" s="51">
        <v>1.003</v>
      </c>
      <c r="D10525" s="51">
        <v>73.0</v>
      </c>
      <c r="E10525" s="52" t="s">
        <v>25</v>
      </c>
      <c r="F10525" s="52" t="s">
        <v>26</v>
      </c>
      <c r="G10525" s="53"/>
    </row>
    <row r="10526">
      <c r="A10526" s="49">
        <v>45131.691677951385</v>
      </c>
      <c r="B10526" s="50">
        <v>45131.8166478009</v>
      </c>
      <c r="C10526" s="51">
        <v>1.003</v>
      </c>
      <c r="D10526" s="51">
        <v>73.0</v>
      </c>
      <c r="E10526" s="52" t="s">
        <v>25</v>
      </c>
      <c r="F10526" s="52" t="s">
        <v>26</v>
      </c>
      <c r="G10526" s="53"/>
    </row>
    <row r="10527">
      <c r="A10527" s="49">
        <v>45131.70210664352</v>
      </c>
      <c r="B10527" s="50">
        <v>45131.8270684606</v>
      </c>
      <c r="C10527" s="51">
        <v>1.003</v>
      </c>
      <c r="D10527" s="51">
        <v>73.0</v>
      </c>
      <c r="E10527" s="52" t="s">
        <v>25</v>
      </c>
      <c r="F10527" s="52" t="s">
        <v>26</v>
      </c>
      <c r="G10527" s="53"/>
    </row>
    <row r="10528">
      <c r="A10528" s="49">
        <v>45131.712522037036</v>
      </c>
      <c r="B10528" s="50">
        <v>45131.8374890277</v>
      </c>
      <c r="C10528" s="51">
        <v>1.003</v>
      </c>
      <c r="D10528" s="51">
        <v>73.0</v>
      </c>
      <c r="E10528" s="52" t="s">
        <v>25</v>
      </c>
      <c r="F10528" s="52" t="s">
        <v>26</v>
      </c>
      <c r="G10528" s="53"/>
    </row>
    <row r="10529">
      <c r="A10529" s="49">
        <v>45131.722944594905</v>
      </c>
      <c r="B10529" s="50">
        <v>45131.8479111458</v>
      </c>
      <c r="C10529" s="51">
        <v>1.003</v>
      </c>
      <c r="D10529" s="51">
        <v>73.0</v>
      </c>
      <c r="E10529" s="52" t="s">
        <v>25</v>
      </c>
      <c r="F10529" s="52" t="s">
        <v>26</v>
      </c>
      <c r="G10529" s="53"/>
    </row>
    <row r="10530">
      <c r="A10530" s="49">
        <v>45131.7333608912</v>
      </c>
      <c r="B10530" s="50">
        <v>45131.8583307638</v>
      </c>
      <c r="C10530" s="51">
        <v>1.003</v>
      </c>
      <c r="D10530" s="51">
        <v>73.0</v>
      </c>
      <c r="E10530" s="52" t="s">
        <v>25</v>
      </c>
      <c r="F10530" s="52" t="s">
        <v>26</v>
      </c>
      <c r="G10530" s="53"/>
    </row>
    <row r="10531">
      <c r="A10531" s="49">
        <v>45131.74378800926</v>
      </c>
      <c r="B10531" s="50">
        <v>45131.868750081</v>
      </c>
      <c r="C10531" s="51">
        <v>1.003</v>
      </c>
      <c r="D10531" s="51">
        <v>73.0</v>
      </c>
      <c r="E10531" s="52" t="s">
        <v>25</v>
      </c>
      <c r="F10531" s="52" t="s">
        <v>26</v>
      </c>
      <c r="G10531" s="53"/>
    </row>
    <row r="10532">
      <c r="A10532" s="49">
        <v>45131.754208819446</v>
      </c>
      <c r="B10532" s="50">
        <v>45131.8791714004</v>
      </c>
      <c r="C10532" s="51">
        <v>1.003</v>
      </c>
      <c r="D10532" s="51">
        <v>73.0</v>
      </c>
      <c r="E10532" s="52" t="s">
        <v>25</v>
      </c>
      <c r="F10532" s="52" t="s">
        <v>26</v>
      </c>
      <c r="G10532" s="53"/>
    </row>
    <row r="10533">
      <c r="A10533" s="49">
        <v>45131.764616064815</v>
      </c>
      <c r="B10533" s="50">
        <v>45131.8895911921</v>
      </c>
      <c r="C10533" s="51">
        <v>1.003</v>
      </c>
      <c r="D10533" s="51">
        <v>73.0</v>
      </c>
      <c r="E10533" s="52" t="s">
        <v>25</v>
      </c>
      <c r="F10533" s="52" t="s">
        <v>26</v>
      </c>
      <c r="G10533" s="53"/>
    </row>
    <row r="10534">
      <c r="A10534" s="49">
        <v>45131.775046979164</v>
      </c>
      <c r="B10534" s="50">
        <v>45131.9000130439</v>
      </c>
      <c r="C10534" s="51">
        <v>1.003</v>
      </c>
      <c r="D10534" s="51">
        <v>73.0</v>
      </c>
      <c r="E10534" s="52" t="s">
        <v>25</v>
      </c>
      <c r="F10534" s="52" t="s">
        <v>26</v>
      </c>
      <c r="G10534" s="53"/>
    </row>
    <row r="10535">
      <c r="A10535" s="49">
        <v>45131.785467071764</v>
      </c>
      <c r="B10535" s="50">
        <v>45131.9104350694</v>
      </c>
      <c r="C10535" s="51">
        <v>1.003</v>
      </c>
      <c r="D10535" s="51">
        <v>73.0</v>
      </c>
      <c r="E10535" s="52" t="s">
        <v>25</v>
      </c>
      <c r="F10535" s="52" t="s">
        <v>26</v>
      </c>
      <c r="G10535" s="53"/>
    </row>
    <row r="10536">
      <c r="A10536" s="49">
        <v>45131.79587984954</v>
      </c>
      <c r="B10536" s="50">
        <v>45131.920856493</v>
      </c>
      <c r="C10536" s="51">
        <v>1.003</v>
      </c>
      <c r="D10536" s="51">
        <v>73.0</v>
      </c>
      <c r="E10536" s="52" t="s">
        <v>25</v>
      </c>
      <c r="F10536" s="52" t="s">
        <v>26</v>
      </c>
      <c r="G10536" s="53"/>
    </row>
    <row r="10537">
      <c r="A10537" s="49">
        <v>45131.80630748843</v>
      </c>
      <c r="B10537" s="50">
        <v>45131.9312774652</v>
      </c>
      <c r="C10537" s="51">
        <v>1.003</v>
      </c>
      <c r="D10537" s="51">
        <v>73.0</v>
      </c>
      <c r="E10537" s="52" t="s">
        <v>25</v>
      </c>
      <c r="F10537" s="52" t="s">
        <v>26</v>
      </c>
      <c r="G10537" s="53"/>
    </row>
    <row r="10538">
      <c r="A10538" s="49">
        <v>45131.81672320602</v>
      </c>
      <c r="B10538" s="50">
        <v>45131.9416989236</v>
      </c>
      <c r="C10538" s="51">
        <v>1.003</v>
      </c>
      <c r="D10538" s="51">
        <v>73.0</v>
      </c>
      <c r="E10538" s="52" t="s">
        <v>25</v>
      </c>
      <c r="F10538" s="52" t="s">
        <v>26</v>
      </c>
      <c r="G10538" s="53"/>
    </row>
    <row r="10539">
      <c r="A10539" s="49">
        <v>45131.82715467592</v>
      </c>
      <c r="B10539" s="50">
        <v>45131.9521208333</v>
      </c>
      <c r="C10539" s="51">
        <v>1.003</v>
      </c>
      <c r="D10539" s="51">
        <v>73.0</v>
      </c>
      <c r="E10539" s="52" t="s">
        <v>25</v>
      </c>
      <c r="F10539" s="52" t="s">
        <v>26</v>
      </c>
      <c r="G10539" s="53"/>
    </row>
    <row r="10540">
      <c r="A10540" s="49">
        <v>45131.83757175926</v>
      </c>
      <c r="B10540" s="50">
        <v>45131.9625403935</v>
      </c>
      <c r="C10540" s="51">
        <v>1.003</v>
      </c>
      <c r="D10540" s="51">
        <v>73.0</v>
      </c>
      <c r="E10540" s="52" t="s">
        <v>25</v>
      </c>
      <c r="F10540" s="52" t="s">
        <v>26</v>
      </c>
      <c r="G10540" s="53"/>
    </row>
    <row r="10541">
      <c r="A10541" s="49">
        <v>45131.84799703704</v>
      </c>
      <c r="B10541" s="50">
        <v>45131.9729619676</v>
      </c>
      <c r="C10541" s="51">
        <v>1.003</v>
      </c>
      <c r="D10541" s="51">
        <v>73.0</v>
      </c>
      <c r="E10541" s="52" t="s">
        <v>25</v>
      </c>
      <c r="F10541" s="52" t="s">
        <v>26</v>
      </c>
      <c r="G10541" s="53"/>
    </row>
    <row r="10542">
      <c r="A10542" s="49">
        <v>45131.85841234954</v>
      </c>
      <c r="B10542" s="50">
        <v>45131.9833833217</v>
      </c>
      <c r="C10542" s="51">
        <v>1.003</v>
      </c>
      <c r="D10542" s="51">
        <v>73.0</v>
      </c>
      <c r="E10542" s="52" t="s">
        <v>25</v>
      </c>
      <c r="F10542" s="52" t="s">
        <v>26</v>
      </c>
      <c r="G10542" s="53"/>
    </row>
    <row r="10543">
      <c r="A10543" s="49">
        <v>45131.86883799768</v>
      </c>
      <c r="B10543" s="50">
        <v>45131.993805</v>
      </c>
      <c r="C10543" s="51">
        <v>1.003</v>
      </c>
      <c r="D10543" s="51">
        <v>73.0</v>
      </c>
      <c r="E10543" s="52" t="s">
        <v>25</v>
      </c>
      <c r="F10543" s="52" t="s">
        <v>26</v>
      </c>
      <c r="G10543" s="53"/>
    </row>
    <row r="10544">
      <c r="A10544" s="49">
        <v>45131.87926336806</v>
      </c>
      <c r="B10544" s="50">
        <v>45132.0042272685</v>
      </c>
      <c r="C10544" s="51">
        <v>1.003</v>
      </c>
      <c r="D10544" s="51">
        <v>73.0</v>
      </c>
      <c r="E10544" s="52" t="s">
        <v>25</v>
      </c>
      <c r="F10544" s="52" t="s">
        <v>26</v>
      </c>
      <c r="G10544" s="53"/>
    </row>
    <row r="10545">
      <c r="A10545" s="49">
        <v>45131.8896815162</v>
      </c>
      <c r="B10545" s="50">
        <v>45132.0146483217</v>
      </c>
      <c r="C10545" s="51">
        <v>1.003</v>
      </c>
      <c r="D10545" s="51">
        <v>73.0</v>
      </c>
      <c r="E10545" s="52" t="s">
        <v>25</v>
      </c>
      <c r="F10545" s="52" t="s">
        <v>26</v>
      </c>
      <c r="G10545" s="53"/>
    </row>
    <row r="10546">
      <c r="A10546" s="49">
        <v>45131.90011333334</v>
      </c>
      <c r="B10546" s="50">
        <v>45132.0250809375</v>
      </c>
      <c r="C10546" s="51">
        <v>1.003</v>
      </c>
      <c r="D10546" s="51">
        <v>73.0</v>
      </c>
      <c r="E10546" s="52" t="s">
        <v>25</v>
      </c>
      <c r="F10546" s="52" t="s">
        <v>26</v>
      </c>
      <c r="G10546" s="53"/>
    </row>
    <row r="10547">
      <c r="A10547" s="49">
        <v>45131.91053065972</v>
      </c>
      <c r="B10547" s="50">
        <v>45132.0355011921</v>
      </c>
      <c r="C10547" s="51">
        <v>1.003</v>
      </c>
      <c r="D10547" s="51">
        <v>73.0</v>
      </c>
      <c r="E10547" s="52" t="s">
        <v>25</v>
      </c>
      <c r="F10547" s="52" t="s">
        <v>26</v>
      </c>
      <c r="G10547" s="53"/>
    </row>
    <row r="10548">
      <c r="A10548" s="49">
        <v>45131.92096662037</v>
      </c>
      <c r="B10548" s="50">
        <v>45132.0459338773</v>
      </c>
      <c r="C10548" s="51">
        <v>1.003</v>
      </c>
      <c r="D10548" s="51">
        <v>73.0</v>
      </c>
      <c r="E10548" s="52" t="s">
        <v>25</v>
      </c>
      <c r="F10548" s="52" t="s">
        <v>26</v>
      </c>
      <c r="G10548" s="53"/>
    </row>
    <row r="10549">
      <c r="A10549" s="49">
        <v>45131.93138658565</v>
      </c>
      <c r="B10549" s="50">
        <v>45132.0563559143</v>
      </c>
      <c r="C10549" s="51">
        <v>1.003</v>
      </c>
      <c r="D10549" s="51">
        <v>73.0</v>
      </c>
      <c r="E10549" s="52" t="s">
        <v>25</v>
      </c>
      <c r="F10549" s="52" t="s">
        <v>26</v>
      </c>
      <c r="G10549" s="53"/>
    </row>
    <row r="10550">
      <c r="A10550" s="49">
        <v>45131.94180569444</v>
      </c>
      <c r="B10550" s="50">
        <v>45132.0667765509</v>
      </c>
      <c r="C10550" s="51">
        <v>1.003</v>
      </c>
      <c r="D10550" s="51">
        <v>73.0</v>
      </c>
      <c r="E10550" s="52" t="s">
        <v>25</v>
      </c>
      <c r="F10550" s="52" t="s">
        <v>26</v>
      </c>
      <c r="G10550" s="53"/>
    </row>
    <row r="10551">
      <c r="A10551" s="49">
        <v>45131.952226249996</v>
      </c>
      <c r="B10551" s="50">
        <v>45132.0771973958</v>
      </c>
      <c r="C10551" s="51">
        <v>1.003</v>
      </c>
      <c r="D10551" s="51">
        <v>73.0</v>
      </c>
      <c r="E10551" s="52" t="s">
        <v>25</v>
      </c>
      <c r="F10551" s="52" t="s">
        <v>26</v>
      </c>
      <c r="G10551" s="53"/>
    </row>
    <row r="10552">
      <c r="A10552" s="49">
        <v>45131.962642858794</v>
      </c>
      <c r="B10552" s="50">
        <v>45132.0876176041</v>
      </c>
      <c r="C10552" s="51">
        <v>1.003</v>
      </c>
      <c r="D10552" s="51">
        <v>73.0</v>
      </c>
      <c r="E10552" s="52" t="s">
        <v>25</v>
      </c>
      <c r="F10552" s="52" t="s">
        <v>26</v>
      </c>
      <c r="G10552" s="53"/>
    </row>
    <row r="10553">
      <c r="A10553" s="49">
        <v>45131.97307740741</v>
      </c>
      <c r="B10553" s="50">
        <v>45132.0980498263</v>
      </c>
      <c r="C10553" s="51">
        <v>1.003</v>
      </c>
      <c r="D10553" s="51">
        <v>73.0</v>
      </c>
      <c r="E10553" s="52" t="s">
        <v>25</v>
      </c>
      <c r="F10553" s="52" t="s">
        <v>26</v>
      </c>
      <c r="G10553" s="53"/>
    </row>
    <row r="10554">
      <c r="A10554" s="49">
        <v>45131.98350229167</v>
      </c>
      <c r="B10554" s="50">
        <v>45132.1084717013</v>
      </c>
      <c r="C10554" s="51">
        <v>1.003</v>
      </c>
      <c r="D10554" s="51">
        <v>73.0</v>
      </c>
      <c r="E10554" s="52" t="s">
        <v>25</v>
      </c>
      <c r="F10554" s="52" t="s">
        <v>26</v>
      </c>
      <c r="G10554" s="53"/>
    </row>
    <row r="10555">
      <c r="A10555" s="49">
        <v>45131.99392519676</v>
      </c>
      <c r="B10555" s="50">
        <v>45132.1188926273</v>
      </c>
      <c r="C10555" s="51">
        <v>1.003</v>
      </c>
      <c r="D10555" s="51">
        <v>73.0</v>
      </c>
      <c r="E10555" s="52" t="s">
        <v>25</v>
      </c>
      <c r="F10555" s="52" t="s">
        <v>26</v>
      </c>
      <c r="G10555" s="53"/>
    </row>
    <row r="10556">
      <c r="A10556" s="49">
        <v>45132.00434431713</v>
      </c>
      <c r="B10556" s="50">
        <v>45132.129314155</v>
      </c>
      <c r="C10556" s="51">
        <v>1.003</v>
      </c>
      <c r="D10556" s="51">
        <v>73.0</v>
      </c>
      <c r="E10556" s="52" t="s">
        <v>25</v>
      </c>
      <c r="F10556" s="52" t="s">
        <v>26</v>
      </c>
      <c r="G10556" s="53"/>
    </row>
    <row r="10557">
      <c r="A10557" s="49">
        <v>45132.0147677662</v>
      </c>
      <c r="B10557" s="50">
        <v>45132.1397349652</v>
      </c>
      <c r="C10557" s="51">
        <v>1.003</v>
      </c>
      <c r="D10557" s="51">
        <v>73.0</v>
      </c>
      <c r="E10557" s="52" t="s">
        <v>25</v>
      </c>
      <c r="F10557" s="52" t="s">
        <v>26</v>
      </c>
      <c r="G10557" s="53"/>
    </row>
    <row r="10558">
      <c r="A10558" s="49">
        <v>45132.025189328706</v>
      </c>
      <c r="B10558" s="50">
        <v>45132.1501573842</v>
      </c>
      <c r="C10558" s="51">
        <v>1.003</v>
      </c>
      <c r="D10558" s="51">
        <v>73.0</v>
      </c>
      <c r="E10558" s="52" t="s">
        <v>25</v>
      </c>
      <c r="F10558" s="52" t="s">
        <v>26</v>
      </c>
      <c r="G10558" s="53"/>
    </row>
    <row r="10559">
      <c r="A10559" s="49">
        <v>45132.035614444445</v>
      </c>
      <c r="B10559" s="50">
        <v>45132.1605784143</v>
      </c>
      <c r="C10559" s="51">
        <v>1.003</v>
      </c>
      <c r="D10559" s="51">
        <v>73.0</v>
      </c>
      <c r="E10559" s="52" t="s">
        <v>25</v>
      </c>
      <c r="F10559" s="52" t="s">
        <v>26</v>
      </c>
      <c r="G10559" s="53"/>
    </row>
    <row r="10560">
      <c r="A10560" s="49">
        <v>45132.04602876157</v>
      </c>
      <c r="B10560" s="50">
        <v>45132.1709994791</v>
      </c>
      <c r="C10560" s="51">
        <v>1.003</v>
      </c>
      <c r="D10560" s="51">
        <v>73.0</v>
      </c>
      <c r="E10560" s="52" t="s">
        <v>25</v>
      </c>
      <c r="F10560" s="52" t="s">
        <v>26</v>
      </c>
      <c r="G10560" s="53"/>
    </row>
    <row r="10561">
      <c r="A10561" s="49">
        <v>45132.05645159722</v>
      </c>
      <c r="B10561" s="50">
        <v>45132.1814221527</v>
      </c>
      <c r="C10561" s="51">
        <v>1.003</v>
      </c>
      <c r="D10561" s="51">
        <v>73.0</v>
      </c>
      <c r="E10561" s="52" t="s">
        <v>25</v>
      </c>
      <c r="F10561" s="52" t="s">
        <v>26</v>
      </c>
      <c r="G10561" s="53"/>
    </row>
    <row r="10562">
      <c r="A10562" s="49">
        <v>45132.06686709491</v>
      </c>
      <c r="B10562" s="50">
        <v>45132.1918415162</v>
      </c>
      <c r="C10562" s="51">
        <v>1.003</v>
      </c>
      <c r="D10562" s="51">
        <v>73.0</v>
      </c>
      <c r="E10562" s="52" t="s">
        <v>25</v>
      </c>
      <c r="F10562" s="52" t="s">
        <v>26</v>
      </c>
      <c r="G10562" s="53"/>
    </row>
    <row r="10563">
      <c r="A10563" s="49">
        <v>45132.07729238426</v>
      </c>
      <c r="B10563" s="50">
        <v>45132.2022611689</v>
      </c>
      <c r="C10563" s="51">
        <v>1.003</v>
      </c>
      <c r="D10563" s="51">
        <v>73.0</v>
      </c>
      <c r="E10563" s="52" t="s">
        <v>25</v>
      </c>
      <c r="F10563" s="52" t="s">
        <v>26</v>
      </c>
      <c r="G10563" s="53"/>
    </row>
    <row r="10564">
      <c r="A10564" s="49">
        <v>45132.08770957176</v>
      </c>
      <c r="B10564" s="50">
        <v>45132.2126826736</v>
      </c>
      <c r="C10564" s="51">
        <v>1.003</v>
      </c>
      <c r="D10564" s="51">
        <v>73.0</v>
      </c>
      <c r="E10564" s="52" t="s">
        <v>25</v>
      </c>
      <c r="F10564" s="52" t="s">
        <v>26</v>
      </c>
      <c r="G10564" s="53"/>
    </row>
    <row r="10565">
      <c r="A10565" s="49">
        <v>45132.09813773148</v>
      </c>
      <c r="B10565" s="50">
        <v>45132.2231033564</v>
      </c>
      <c r="C10565" s="51">
        <v>1.003</v>
      </c>
      <c r="D10565" s="51">
        <v>73.0</v>
      </c>
      <c r="E10565" s="52" t="s">
        <v>25</v>
      </c>
      <c r="F10565" s="52" t="s">
        <v>26</v>
      </c>
      <c r="G10565" s="53"/>
    </row>
    <row r="10566">
      <c r="A10566" s="49">
        <v>45132.10855122685</v>
      </c>
      <c r="B10566" s="50">
        <v>45132.2335233912</v>
      </c>
      <c r="C10566" s="51">
        <v>1.003</v>
      </c>
      <c r="D10566" s="51">
        <v>73.0</v>
      </c>
      <c r="E10566" s="52" t="s">
        <v>25</v>
      </c>
      <c r="F10566" s="52" t="s">
        <v>26</v>
      </c>
      <c r="G10566" s="53"/>
    </row>
    <row r="10567">
      <c r="A10567" s="49">
        <v>45132.118978391205</v>
      </c>
      <c r="B10567" s="50">
        <v>45132.243945787</v>
      </c>
      <c r="C10567" s="51">
        <v>1.003</v>
      </c>
      <c r="D10567" s="51">
        <v>73.0</v>
      </c>
      <c r="E10567" s="52" t="s">
        <v>25</v>
      </c>
      <c r="F10567" s="52" t="s">
        <v>26</v>
      </c>
      <c r="G10567" s="53"/>
    </row>
    <row r="10568">
      <c r="A10568" s="49">
        <v>45132.12939430556</v>
      </c>
      <c r="B10568" s="50">
        <v>45132.2543658333</v>
      </c>
      <c r="C10568" s="51">
        <v>1.003</v>
      </c>
      <c r="D10568" s="51">
        <v>73.0</v>
      </c>
      <c r="E10568" s="52" t="s">
        <v>25</v>
      </c>
      <c r="F10568" s="52" t="s">
        <v>26</v>
      </c>
      <c r="G10568" s="53"/>
    </row>
    <row r="10569">
      <c r="A10569" s="49">
        <v>45132.13982303241</v>
      </c>
      <c r="B10569" s="50">
        <v>45132.2647865509</v>
      </c>
      <c r="C10569" s="51">
        <v>1.003</v>
      </c>
      <c r="D10569" s="51">
        <v>73.0</v>
      </c>
      <c r="E10569" s="52" t="s">
        <v>25</v>
      </c>
      <c r="F10569" s="52" t="s">
        <v>26</v>
      </c>
      <c r="G10569" s="53"/>
    </row>
    <row r="10570">
      <c r="A10570" s="49">
        <v>45132.15024569444</v>
      </c>
      <c r="B10570" s="50">
        <v>45132.2752070601</v>
      </c>
      <c r="C10570" s="51">
        <v>1.003</v>
      </c>
      <c r="D10570" s="51">
        <v>73.0</v>
      </c>
      <c r="E10570" s="52" t="s">
        <v>25</v>
      </c>
      <c r="F10570" s="52" t="s">
        <v>26</v>
      </c>
      <c r="G10570" s="53"/>
    </row>
    <row r="10571">
      <c r="A10571" s="49">
        <v>45132.160664131945</v>
      </c>
      <c r="B10571" s="50">
        <v>45132.2856284838</v>
      </c>
      <c r="C10571" s="51">
        <v>1.003</v>
      </c>
      <c r="D10571" s="51">
        <v>73.0</v>
      </c>
      <c r="E10571" s="52" t="s">
        <v>25</v>
      </c>
      <c r="F10571" s="52" t="s">
        <v>26</v>
      </c>
      <c r="G10571" s="53"/>
    </row>
    <row r="10572">
      <c r="A10572" s="49">
        <v>45132.17108630787</v>
      </c>
      <c r="B10572" s="50">
        <v>45132.2960492129</v>
      </c>
      <c r="C10572" s="51">
        <v>1.003</v>
      </c>
      <c r="D10572" s="51">
        <v>73.0</v>
      </c>
      <c r="E10572" s="52" t="s">
        <v>25</v>
      </c>
      <c r="F10572" s="52" t="s">
        <v>26</v>
      </c>
      <c r="G10572" s="53"/>
    </row>
    <row r="10573">
      <c r="A10573" s="49">
        <v>45132.18150106481</v>
      </c>
      <c r="B10573" s="50">
        <v>45132.3064696527</v>
      </c>
      <c r="C10573" s="51">
        <v>1.003</v>
      </c>
      <c r="D10573" s="51">
        <v>73.0</v>
      </c>
      <c r="E10573" s="52" t="s">
        <v>25</v>
      </c>
      <c r="F10573" s="52" t="s">
        <v>26</v>
      </c>
      <c r="G10573" s="53"/>
    </row>
    <row r="10574">
      <c r="A10574" s="49">
        <v>45132.191924548606</v>
      </c>
      <c r="B10574" s="50">
        <v>45132.3168910879</v>
      </c>
      <c r="C10574" s="51">
        <v>1.003</v>
      </c>
      <c r="D10574" s="51">
        <v>73.0</v>
      </c>
      <c r="E10574" s="52" t="s">
        <v>25</v>
      </c>
      <c r="F10574" s="52" t="s">
        <v>26</v>
      </c>
      <c r="G10574" s="53"/>
    </row>
    <row r="10575">
      <c r="A10575" s="49">
        <v>45132.202375266206</v>
      </c>
      <c r="B10575" s="50">
        <v>45132.3273482175</v>
      </c>
      <c r="C10575" s="51">
        <v>1.003</v>
      </c>
      <c r="D10575" s="51">
        <v>73.0</v>
      </c>
      <c r="E10575" s="52" t="s">
        <v>25</v>
      </c>
      <c r="F10575" s="52" t="s">
        <v>26</v>
      </c>
      <c r="G10575" s="53"/>
    </row>
    <row r="10576">
      <c r="A10576" s="49">
        <v>45132.21280146991</v>
      </c>
      <c r="B10576" s="50">
        <v>45132.3377694444</v>
      </c>
      <c r="C10576" s="51">
        <v>1.003</v>
      </c>
      <c r="D10576" s="51">
        <v>73.0</v>
      </c>
      <c r="E10576" s="52" t="s">
        <v>25</v>
      </c>
      <c r="F10576" s="52" t="s">
        <v>26</v>
      </c>
      <c r="G10576" s="53"/>
    </row>
    <row r="10577">
      <c r="A10577" s="49">
        <v>45132.223223761575</v>
      </c>
      <c r="B10577" s="50">
        <v>45132.3481914351</v>
      </c>
      <c r="C10577" s="51">
        <v>1.003</v>
      </c>
      <c r="D10577" s="51">
        <v>73.0</v>
      </c>
      <c r="E10577" s="52" t="s">
        <v>25</v>
      </c>
      <c r="F10577" s="52" t="s">
        <v>26</v>
      </c>
      <c r="G10577" s="53"/>
    </row>
    <row r="10578">
      <c r="A10578" s="49">
        <v>45132.23364340278</v>
      </c>
      <c r="B10578" s="50">
        <v>45132.3586130439</v>
      </c>
      <c r="C10578" s="51">
        <v>1.003</v>
      </c>
      <c r="D10578" s="51">
        <v>73.0</v>
      </c>
      <c r="E10578" s="52" t="s">
        <v>25</v>
      </c>
      <c r="F10578" s="52" t="s">
        <v>26</v>
      </c>
      <c r="G10578" s="53"/>
    </row>
    <row r="10579">
      <c r="A10579" s="49">
        <v>45132.244062314814</v>
      </c>
      <c r="B10579" s="50">
        <v>45132.3690328125</v>
      </c>
      <c r="C10579" s="51">
        <v>1.003</v>
      </c>
      <c r="D10579" s="51">
        <v>73.0</v>
      </c>
      <c r="E10579" s="52" t="s">
        <v>25</v>
      </c>
      <c r="F10579" s="52" t="s">
        <v>26</v>
      </c>
      <c r="G10579" s="53"/>
    </row>
    <row r="10580">
      <c r="A10580" s="49">
        <v>45132.25452166666</v>
      </c>
      <c r="B10580" s="50">
        <v>45132.3794541666</v>
      </c>
      <c r="C10580" s="51">
        <v>1.003</v>
      </c>
      <c r="D10580" s="51">
        <v>73.0</v>
      </c>
      <c r="E10580" s="52" t="s">
        <v>25</v>
      </c>
      <c r="F10580" s="52" t="s">
        <v>26</v>
      </c>
      <c r="G10580" s="53"/>
    </row>
    <row r="10581">
      <c r="A10581" s="49">
        <v>45132.26490758102</v>
      </c>
      <c r="B10581" s="50">
        <v>45132.3898745254</v>
      </c>
      <c r="C10581" s="51">
        <v>1.003</v>
      </c>
      <c r="D10581" s="51">
        <v>73.0</v>
      </c>
      <c r="E10581" s="52" t="s">
        <v>25</v>
      </c>
      <c r="F10581" s="52" t="s">
        <v>26</v>
      </c>
      <c r="G10581" s="53"/>
    </row>
    <row r="10582">
      <c r="A10582" s="49">
        <v>45132.27532804398</v>
      </c>
      <c r="B10582" s="50">
        <v>45132.4002957986</v>
      </c>
      <c r="C10582" s="51">
        <v>1.003</v>
      </c>
      <c r="D10582" s="51">
        <v>73.0</v>
      </c>
      <c r="E10582" s="52" t="s">
        <v>25</v>
      </c>
      <c r="F10582" s="52" t="s">
        <v>26</v>
      </c>
      <c r="G10582" s="53"/>
    </row>
    <row r="10583">
      <c r="A10583" s="49">
        <v>45132.28576009259</v>
      </c>
      <c r="B10583" s="50">
        <v>45132.4107272453</v>
      </c>
      <c r="C10583" s="51">
        <v>1.003</v>
      </c>
      <c r="D10583" s="51">
        <v>73.0</v>
      </c>
      <c r="E10583" s="52" t="s">
        <v>25</v>
      </c>
      <c r="F10583" s="52" t="s">
        <v>26</v>
      </c>
      <c r="G10583" s="53"/>
    </row>
    <row r="10584">
      <c r="A10584" s="49">
        <v>45132.29617670139</v>
      </c>
      <c r="B10584" s="50">
        <v>45132.4211488888</v>
      </c>
      <c r="C10584" s="51">
        <v>1.003</v>
      </c>
      <c r="D10584" s="51">
        <v>73.0</v>
      </c>
      <c r="E10584" s="52" t="s">
        <v>25</v>
      </c>
      <c r="F10584" s="52" t="s">
        <v>26</v>
      </c>
      <c r="G10584" s="53"/>
    </row>
    <row r="10585">
      <c r="A10585" s="49">
        <v>45132.306605694444</v>
      </c>
      <c r="B10585" s="50">
        <v>45132.4315711689</v>
      </c>
      <c r="C10585" s="51">
        <v>1.003</v>
      </c>
      <c r="D10585" s="51">
        <v>73.0</v>
      </c>
      <c r="E10585" s="52" t="s">
        <v>25</v>
      </c>
      <c r="F10585" s="52" t="s">
        <v>26</v>
      </c>
      <c r="G10585" s="53"/>
    </row>
    <row r="10586">
      <c r="A10586" s="49">
        <v>45132.31707350694</v>
      </c>
      <c r="B10586" s="50">
        <v>45132.4419914351</v>
      </c>
      <c r="C10586" s="51">
        <v>1.003</v>
      </c>
      <c r="D10586" s="51">
        <v>73.0</v>
      </c>
      <c r="E10586" s="52" t="s">
        <v>25</v>
      </c>
      <c r="F10586" s="52" t="s">
        <v>26</v>
      </c>
      <c r="G10586" s="53"/>
    </row>
    <row r="10587">
      <c r="A10587" s="49">
        <v>45132.32745372685</v>
      </c>
      <c r="B10587" s="50">
        <v>45132.4524148611</v>
      </c>
      <c r="C10587" s="51">
        <v>1.003</v>
      </c>
      <c r="D10587" s="51">
        <v>73.0</v>
      </c>
      <c r="E10587" s="52" t="s">
        <v>25</v>
      </c>
      <c r="F10587" s="52" t="s">
        <v>26</v>
      </c>
      <c r="G10587" s="53"/>
    </row>
    <row r="10588">
      <c r="A10588" s="49">
        <v>45132.33785957176</v>
      </c>
      <c r="B10588" s="50">
        <v>45132.4628351273</v>
      </c>
      <c r="C10588" s="51">
        <v>1.003</v>
      </c>
      <c r="D10588" s="51">
        <v>73.0</v>
      </c>
      <c r="E10588" s="52" t="s">
        <v>25</v>
      </c>
      <c r="F10588" s="52" t="s">
        <v>26</v>
      </c>
      <c r="G10588" s="53"/>
    </row>
    <row r="10589">
      <c r="A10589" s="49">
        <v>45132.34830199074</v>
      </c>
      <c r="B10589" s="50">
        <v>45132.4732703703</v>
      </c>
      <c r="C10589" s="51">
        <v>1.003</v>
      </c>
      <c r="D10589" s="51">
        <v>73.0</v>
      </c>
      <c r="E10589" s="52" t="s">
        <v>25</v>
      </c>
      <c r="F10589" s="52" t="s">
        <v>26</v>
      </c>
      <c r="G10589" s="53"/>
    </row>
    <row r="10590">
      <c r="A10590" s="49">
        <v>45132.35872135416</v>
      </c>
      <c r="B10590" s="50">
        <v>45132.4836910995</v>
      </c>
      <c r="C10590" s="51">
        <v>1.003</v>
      </c>
      <c r="D10590" s="51">
        <v>73.0</v>
      </c>
      <c r="E10590" s="52" t="s">
        <v>25</v>
      </c>
      <c r="F10590" s="52" t="s">
        <v>26</v>
      </c>
      <c r="G10590" s="53"/>
    </row>
    <row r="10591">
      <c r="A10591" s="49">
        <v>45132.36914738426</v>
      </c>
      <c r="B10591" s="50">
        <v>45132.4941112152</v>
      </c>
      <c r="C10591" s="51">
        <v>1.003</v>
      </c>
      <c r="D10591" s="51">
        <v>73.0</v>
      </c>
      <c r="E10591" s="52" t="s">
        <v>25</v>
      </c>
      <c r="F10591" s="52" t="s">
        <v>26</v>
      </c>
      <c r="G10591" s="53"/>
    </row>
    <row r="10592">
      <c r="A10592" s="49">
        <v>45132.379585312505</v>
      </c>
      <c r="B10592" s="50">
        <v>45132.5045435416</v>
      </c>
      <c r="C10592" s="51">
        <v>1.003</v>
      </c>
      <c r="D10592" s="51">
        <v>73.0</v>
      </c>
      <c r="E10592" s="52" t="s">
        <v>25</v>
      </c>
      <c r="F10592" s="52" t="s">
        <v>26</v>
      </c>
      <c r="G10592" s="53"/>
    </row>
    <row r="10593">
      <c r="A10593" s="49">
        <v>45132.39000246528</v>
      </c>
      <c r="B10593" s="50">
        <v>45132.514965324</v>
      </c>
      <c r="C10593" s="51">
        <v>1.003</v>
      </c>
      <c r="D10593" s="51">
        <v>73.0</v>
      </c>
      <c r="E10593" s="52" t="s">
        <v>25</v>
      </c>
      <c r="F10593" s="52" t="s">
        <v>26</v>
      </c>
      <c r="G10593" s="53"/>
    </row>
    <row r="10594">
      <c r="A10594" s="49">
        <v>45132.40042013889</v>
      </c>
      <c r="B10594" s="50">
        <v>45132.5253866435</v>
      </c>
      <c r="C10594" s="51">
        <v>1.003</v>
      </c>
      <c r="D10594" s="51">
        <v>73.0</v>
      </c>
      <c r="E10594" s="52" t="s">
        <v>25</v>
      </c>
      <c r="F10594" s="52" t="s">
        <v>26</v>
      </c>
      <c r="G10594" s="53"/>
    </row>
    <row r="10595">
      <c r="A10595" s="49">
        <v>45132.410842627316</v>
      </c>
      <c r="B10595" s="50">
        <v>45132.5358072916</v>
      </c>
      <c r="C10595" s="51">
        <v>1.003</v>
      </c>
      <c r="D10595" s="51">
        <v>73.0</v>
      </c>
      <c r="E10595" s="52" t="s">
        <v>25</v>
      </c>
      <c r="F10595" s="52" t="s">
        <v>26</v>
      </c>
      <c r="G10595" s="53"/>
    </row>
    <row r="10596">
      <c r="A10596" s="49">
        <v>45132.421265613426</v>
      </c>
      <c r="B10596" s="50">
        <v>45132.5462287731</v>
      </c>
      <c r="C10596" s="51">
        <v>1.003</v>
      </c>
      <c r="D10596" s="51">
        <v>73.0</v>
      </c>
      <c r="E10596" s="52" t="s">
        <v>25</v>
      </c>
      <c r="F10596" s="52" t="s">
        <v>26</v>
      </c>
      <c r="G10596" s="53"/>
    </row>
    <row r="10597">
      <c r="A10597" s="49">
        <v>45132.43168725695</v>
      </c>
      <c r="B10597" s="50">
        <v>45132.5566506134</v>
      </c>
      <c r="C10597" s="51">
        <v>1.003</v>
      </c>
      <c r="D10597" s="51">
        <v>73.0</v>
      </c>
      <c r="E10597" s="52" t="s">
        <v>25</v>
      </c>
      <c r="F10597" s="52" t="s">
        <v>26</v>
      </c>
      <c r="G10597" s="53"/>
    </row>
    <row r="10598">
      <c r="A10598" s="49">
        <v>45132.44210565972</v>
      </c>
      <c r="B10598" s="50">
        <v>45132.5670714004</v>
      </c>
      <c r="C10598" s="51">
        <v>1.003</v>
      </c>
      <c r="D10598" s="51">
        <v>73.0</v>
      </c>
      <c r="E10598" s="52" t="s">
        <v>25</v>
      </c>
      <c r="F10598" s="52" t="s">
        <v>26</v>
      </c>
      <c r="G10598" s="53"/>
    </row>
    <row r="10599">
      <c r="A10599" s="49">
        <v>45132.452523113425</v>
      </c>
      <c r="B10599" s="50">
        <v>45132.5774922453</v>
      </c>
      <c r="C10599" s="51">
        <v>1.003</v>
      </c>
      <c r="D10599" s="51">
        <v>73.0</v>
      </c>
      <c r="E10599" s="52" t="s">
        <v>25</v>
      </c>
      <c r="F10599" s="52" t="s">
        <v>26</v>
      </c>
      <c r="G10599" s="53"/>
    </row>
    <row r="10600">
      <c r="A10600" s="49">
        <v>45132.4629574537</v>
      </c>
      <c r="B10600" s="50">
        <v>45132.5879257754</v>
      </c>
      <c r="C10600" s="51">
        <v>1.003</v>
      </c>
      <c r="D10600" s="51">
        <v>73.0</v>
      </c>
      <c r="E10600" s="52" t="s">
        <v>25</v>
      </c>
      <c r="F10600" s="52" t="s">
        <v>26</v>
      </c>
      <c r="G10600" s="53"/>
    </row>
    <row r="10601">
      <c r="A10601" s="49">
        <v>45132.47337811343</v>
      </c>
      <c r="B10601" s="50">
        <v>45132.598348368</v>
      </c>
      <c r="C10601" s="51">
        <v>1.003</v>
      </c>
      <c r="D10601" s="51">
        <v>73.0</v>
      </c>
      <c r="E10601" s="52" t="s">
        <v>25</v>
      </c>
      <c r="F10601" s="52" t="s">
        <v>26</v>
      </c>
      <c r="G10601" s="53"/>
    </row>
    <row r="10602">
      <c r="A10602" s="49">
        <v>45132.48382658565</v>
      </c>
      <c r="B10602" s="50">
        <v>45132.6087935185</v>
      </c>
      <c r="C10602" s="51">
        <v>1.003</v>
      </c>
      <c r="D10602" s="51">
        <v>73.0</v>
      </c>
      <c r="E10602" s="52" t="s">
        <v>25</v>
      </c>
      <c r="F10602" s="52" t="s">
        <v>26</v>
      </c>
      <c r="G10602" s="53"/>
    </row>
    <row r="10603">
      <c r="A10603" s="49">
        <v>45132.49425070602</v>
      </c>
      <c r="B10603" s="50">
        <v>45132.6192261111</v>
      </c>
      <c r="C10603" s="51">
        <v>1.003</v>
      </c>
      <c r="D10603" s="51">
        <v>73.0</v>
      </c>
      <c r="E10603" s="52" t="s">
        <v>25</v>
      </c>
      <c r="F10603" s="52" t="s">
        <v>26</v>
      </c>
      <c r="G10603" s="53"/>
    </row>
    <row r="10604">
      <c r="A10604" s="49">
        <v>45132.50467971065</v>
      </c>
      <c r="B10604" s="50">
        <v>45132.6296471527</v>
      </c>
      <c r="C10604" s="51">
        <v>1.003</v>
      </c>
      <c r="D10604" s="51">
        <v>73.0</v>
      </c>
      <c r="E10604" s="52" t="s">
        <v>25</v>
      </c>
      <c r="F10604" s="52" t="s">
        <v>26</v>
      </c>
      <c r="G10604" s="53"/>
    </row>
    <row r="10605">
      <c r="A10605" s="49">
        <v>45132.51511190972</v>
      </c>
      <c r="B10605" s="50">
        <v>45132.640080324</v>
      </c>
      <c r="C10605" s="51">
        <v>1.003</v>
      </c>
      <c r="D10605" s="51">
        <v>73.0</v>
      </c>
      <c r="E10605" s="52" t="s">
        <v>25</v>
      </c>
      <c r="F10605" s="52" t="s">
        <v>26</v>
      </c>
      <c r="G10605" s="53"/>
    </row>
    <row r="10606">
      <c r="A10606" s="49">
        <v>45132.52552513889</v>
      </c>
      <c r="B10606" s="50">
        <v>45132.6505005324</v>
      </c>
      <c r="C10606" s="51">
        <v>1.003</v>
      </c>
      <c r="D10606" s="51">
        <v>73.0</v>
      </c>
      <c r="E10606" s="52" t="s">
        <v>25</v>
      </c>
      <c r="F10606" s="52" t="s">
        <v>26</v>
      </c>
      <c r="G10606" s="53"/>
    </row>
    <row r="10607">
      <c r="A10607" s="49">
        <v>45132.53595416667</v>
      </c>
      <c r="B10607" s="50">
        <v>45132.6609211805</v>
      </c>
      <c r="C10607" s="51">
        <v>1.003</v>
      </c>
      <c r="D10607" s="51">
        <v>73.0</v>
      </c>
      <c r="E10607" s="52" t="s">
        <v>25</v>
      </c>
      <c r="F10607" s="52" t="s">
        <v>26</v>
      </c>
      <c r="G10607" s="53"/>
    </row>
    <row r="10608">
      <c r="A10608" s="49">
        <v>45132.54637403935</v>
      </c>
      <c r="B10608" s="50">
        <v>45132.6713434143</v>
      </c>
      <c r="C10608" s="51">
        <v>1.003</v>
      </c>
      <c r="D10608" s="51">
        <v>73.0</v>
      </c>
      <c r="E10608" s="52" t="s">
        <v>25</v>
      </c>
      <c r="F10608" s="52" t="s">
        <v>26</v>
      </c>
      <c r="G10608" s="53"/>
    </row>
    <row r="10609">
      <c r="A10609" s="49">
        <v>45132.55679180556</v>
      </c>
      <c r="B10609" s="50">
        <v>45132.6817647106</v>
      </c>
      <c r="C10609" s="51">
        <v>1.003</v>
      </c>
      <c r="D10609" s="51">
        <v>73.0</v>
      </c>
      <c r="E10609" s="52" t="s">
        <v>25</v>
      </c>
      <c r="F10609" s="52" t="s">
        <v>26</v>
      </c>
      <c r="G10609" s="53"/>
    </row>
    <row r="10610">
      <c r="A10610" s="49">
        <v>45132.56723966435</v>
      </c>
      <c r="B10610" s="50">
        <v>45132.6922091088</v>
      </c>
      <c r="C10610" s="51">
        <v>1.003</v>
      </c>
      <c r="D10610" s="51">
        <v>73.0</v>
      </c>
      <c r="E10610" s="52" t="s">
        <v>25</v>
      </c>
      <c r="F10610" s="52" t="s">
        <v>26</v>
      </c>
      <c r="G10610" s="53"/>
    </row>
    <row r="10611">
      <c r="A10611" s="49">
        <v>45132.57765890047</v>
      </c>
      <c r="B10611" s="50">
        <v>45132.7026305324</v>
      </c>
      <c r="C10611" s="51">
        <v>1.003</v>
      </c>
      <c r="D10611" s="51">
        <v>73.0</v>
      </c>
      <c r="E10611" s="52" t="s">
        <v>25</v>
      </c>
      <c r="F10611" s="52" t="s">
        <v>26</v>
      </c>
      <c r="G10611" s="53"/>
    </row>
    <row r="10612">
      <c r="A10612" s="49">
        <v>45132.58809186342</v>
      </c>
      <c r="B10612" s="50">
        <v>45132.713062581</v>
      </c>
      <c r="C10612" s="51">
        <v>1.003</v>
      </c>
      <c r="D10612" s="51">
        <v>73.0</v>
      </c>
      <c r="E10612" s="52" t="s">
        <v>25</v>
      </c>
      <c r="F10612" s="52" t="s">
        <v>26</v>
      </c>
      <c r="G10612" s="53"/>
    </row>
    <row r="10613">
      <c r="A10613" s="49">
        <v>45132.59851285879</v>
      </c>
      <c r="B10613" s="50">
        <v>45132.723484618</v>
      </c>
      <c r="C10613" s="51">
        <v>1.003</v>
      </c>
      <c r="D10613" s="51">
        <v>73.0</v>
      </c>
      <c r="E10613" s="52" t="s">
        <v>25</v>
      </c>
      <c r="F10613" s="52" t="s">
        <v>26</v>
      </c>
      <c r="G10613" s="53"/>
    </row>
    <row r="10614">
      <c r="A10614" s="49">
        <v>45132.608952800925</v>
      </c>
      <c r="B10614" s="50">
        <v>45132.7339279861</v>
      </c>
      <c r="C10614" s="51">
        <v>1.003</v>
      </c>
      <c r="D10614" s="51">
        <v>73.0</v>
      </c>
      <c r="E10614" s="52" t="s">
        <v>25</v>
      </c>
      <c r="F10614" s="52" t="s">
        <v>26</v>
      </c>
      <c r="G10614" s="53"/>
    </row>
    <row r="10615">
      <c r="A10615" s="49">
        <v>45132.61938805555</v>
      </c>
      <c r="B10615" s="50">
        <v>45132.744361412</v>
      </c>
      <c r="C10615" s="51">
        <v>1.003</v>
      </c>
      <c r="D10615" s="51">
        <v>73.0</v>
      </c>
      <c r="E10615" s="52" t="s">
        <v>25</v>
      </c>
      <c r="F10615" s="52" t="s">
        <v>26</v>
      </c>
      <c r="G10615" s="53"/>
    </row>
    <row r="10616">
      <c r="A10616" s="49">
        <v>45132.62980943287</v>
      </c>
      <c r="B10616" s="50">
        <v>45132.7547834259</v>
      </c>
      <c r="C10616" s="51">
        <v>1.003</v>
      </c>
      <c r="D10616" s="51">
        <v>73.0</v>
      </c>
      <c r="E10616" s="52" t="s">
        <v>25</v>
      </c>
      <c r="F10616" s="52" t="s">
        <v>26</v>
      </c>
      <c r="G10616" s="53"/>
    </row>
    <row r="10617">
      <c r="A10617" s="49">
        <v>45132.64024493056</v>
      </c>
      <c r="B10617" s="50">
        <v>45132.7652150347</v>
      </c>
      <c r="C10617" s="51">
        <v>1.003</v>
      </c>
      <c r="D10617" s="51">
        <v>73.0</v>
      </c>
      <c r="E10617" s="52" t="s">
        <v>25</v>
      </c>
      <c r="F10617" s="52" t="s">
        <v>26</v>
      </c>
      <c r="G10617" s="53"/>
    </row>
    <row r="10618">
      <c r="A10618" s="49">
        <v>45132.65066542824</v>
      </c>
      <c r="B10618" s="50">
        <v>45132.7756363773</v>
      </c>
      <c r="C10618" s="51">
        <v>1.003</v>
      </c>
      <c r="D10618" s="51">
        <v>73.0</v>
      </c>
      <c r="E10618" s="52" t="s">
        <v>25</v>
      </c>
      <c r="F10618" s="52" t="s">
        <v>26</v>
      </c>
      <c r="G10618" s="53"/>
    </row>
    <row r="10619">
      <c r="A10619" s="49">
        <v>45132.66110508102</v>
      </c>
      <c r="B10619" s="50">
        <v>45132.7860698495</v>
      </c>
      <c r="C10619" s="51">
        <v>1.003</v>
      </c>
      <c r="D10619" s="51">
        <v>73.0</v>
      </c>
      <c r="E10619" s="52" t="s">
        <v>25</v>
      </c>
      <c r="F10619" s="52" t="s">
        <v>26</v>
      </c>
      <c r="G10619" s="53"/>
    </row>
    <row r="10620">
      <c r="A10620" s="49">
        <v>45132.68194527778</v>
      </c>
      <c r="B10620" s="50">
        <v>45132.8069140972</v>
      </c>
      <c r="C10620" s="51">
        <v>1.004</v>
      </c>
      <c r="D10620" s="51">
        <v>73.0</v>
      </c>
      <c r="E10620" s="52" t="s">
        <v>25</v>
      </c>
      <c r="F10620" s="52" t="s">
        <v>26</v>
      </c>
      <c r="G10620" s="53"/>
    </row>
    <row r="10621">
      <c r="A10621" s="49">
        <v>45132.692356064814</v>
      </c>
      <c r="B10621" s="50">
        <v>45132.8173342245</v>
      </c>
      <c r="C10621" s="51">
        <v>1.003</v>
      </c>
      <c r="D10621" s="51">
        <v>73.0</v>
      </c>
      <c r="E10621" s="52" t="s">
        <v>25</v>
      </c>
      <c r="F10621" s="52" t="s">
        <v>26</v>
      </c>
      <c r="G10621" s="53"/>
    </row>
    <row r="10622">
      <c r="A10622" s="49">
        <v>45132.70278402777</v>
      </c>
      <c r="B10622" s="50">
        <v>45132.8277659143</v>
      </c>
      <c r="C10622" s="51">
        <v>1.003</v>
      </c>
      <c r="D10622" s="51">
        <v>73.0</v>
      </c>
      <c r="E10622" s="52" t="s">
        <v>25</v>
      </c>
      <c r="F10622" s="52" t="s">
        <v>26</v>
      </c>
      <c r="G10622" s="53"/>
    </row>
    <row r="10623">
      <c r="A10623" s="49">
        <v>45132.71321664352</v>
      </c>
      <c r="B10623" s="50">
        <v>45132.8381864583</v>
      </c>
      <c r="C10623" s="51">
        <v>1.003</v>
      </c>
      <c r="D10623" s="51">
        <v>73.0</v>
      </c>
      <c r="E10623" s="52" t="s">
        <v>25</v>
      </c>
      <c r="F10623" s="52" t="s">
        <v>26</v>
      </c>
      <c r="G10623" s="53"/>
    </row>
    <row r="10624">
      <c r="A10624" s="49">
        <v>45132.72364297454</v>
      </c>
      <c r="B10624" s="50">
        <v>45132.8486185879</v>
      </c>
      <c r="C10624" s="51">
        <v>1.003</v>
      </c>
      <c r="D10624" s="51">
        <v>73.0</v>
      </c>
      <c r="E10624" s="52" t="s">
        <v>25</v>
      </c>
      <c r="F10624" s="52" t="s">
        <v>26</v>
      </c>
      <c r="G10624" s="53"/>
    </row>
    <row r="10625">
      <c r="A10625" s="49">
        <v>45132.73406899306</v>
      </c>
      <c r="B10625" s="50">
        <v>45132.8590391898</v>
      </c>
      <c r="C10625" s="51">
        <v>1.004</v>
      </c>
      <c r="D10625" s="51">
        <v>73.0</v>
      </c>
      <c r="E10625" s="52" t="s">
        <v>25</v>
      </c>
      <c r="F10625" s="52" t="s">
        <v>26</v>
      </c>
      <c r="G10625" s="53"/>
    </row>
    <row r="10626">
      <c r="A10626" s="49">
        <v>45132.744490763886</v>
      </c>
      <c r="B10626" s="50">
        <v>45132.8694596527</v>
      </c>
      <c r="C10626" s="51">
        <v>1.003</v>
      </c>
      <c r="D10626" s="51">
        <v>73.0</v>
      </c>
      <c r="E10626" s="52" t="s">
        <v>25</v>
      </c>
      <c r="F10626" s="52" t="s">
        <v>26</v>
      </c>
      <c r="G10626" s="53"/>
    </row>
    <row r="10627">
      <c r="A10627" s="49">
        <v>45132.7549228125</v>
      </c>
      <c r="B10627" s="50">
        <v>45132.8798928935</v>
      </c>
      <c r="C10627" s="51">
        <v>1.003</v>
      </c>
      <c r="D10627" s="51">
        <v>73.0</v>
      </c>
      <c r="E10627" s="52" t="s">
        <v>25</v>
      </c>
      <c r="F10627" s="52" t="s">
        <v>26</v>
      </c>
      <c r="G10627" s="53"/>
    </row>
    <row r="10628">
      <c r="A10628" s="49">
        <v>45132.76533783565</v>
      </c>
      <c r="B10628" s="50">
        <v>45132.8903131713</v>
      </c>
      <c r="C10628" s="51">
        <v>1.003</v>
      </c>
      <c r="D10628" s="51">
        <v>73.0</v>
      </c>
      <c r="E10628" s="52" t="s">
        <v>25</v>
      </c>
      <c r="F10628" s="52" t="s">
        <v>26</v>
      </c>
      <c r="G10628" s="53"/>
    </row>
    <row r="10629">
      <c r="A10629" s="49">
        <v>45132.775758749995</v>
      </c>
      <c r="B10629" s="50">
        <v>45132.9007332638</v>
      </c>
      <c r="C10629" s="51">
        <v>1.003</v>
      </c>
      <c r="D10629" s="51">
        <v>73.0</v>
      </c>
      <c r="E10629" s="52" t="s">
        <v>25</v>
      </c>
      <c r="F10629" s="52" t="s">
        <v>26</v>
      </c>
      <c r="G10629" s="53"/>
    </row>
    <row r="10630">
      <c r="A10630" s="49">
        <v>45132.78617699074</v>
      </c>
      <c r="B10630" s="50">
        <v>45132.9111545023</v>
      </c>
      <c r="C10630" s="51">
        <v>1.003</v>
      </c>
      <c r="D10630" s="51">
        <v>73.0</v>
      </c>
      <c r="E10630" s="52" t="s">
        <v>25</v>
      </c>
      <c r="F10630" s="52" t="s">
        <v>26</v>
      </c>
      <c r="G10630" s="53"/>
    </row>
    <row r="10631">
      <c r="A10631" s="49">
        <v>45132.79660050926</v>
      </c>
      <c r="B10631" s="50">
        <v>45132.9215751157</v>
      </c>
      <c r="C10631" s="51">
        <v>1.003</v>
      </c>
      <c r="D10631" s="51">
        <v>73.0</v>
      </c>
      <c r="E10631" s="52" t="s">
        <v>25</v>
      </c>
      <c r="F10631" s="52" t="s">
        <v>26</v>
      </c>
      <c r="G10631" s="53"/>
    </row>
    <row r="10632">
      <c r="A10632" s="49">
        <v>45132.80702740741</v>
      </c>
      <c r="B10632" s="50">
        <v>45132.9319979513</v>
      </c>
      <c r="C10632" s="51">
        <v>1.003</v>
      </c>
      <c r="D10632" s="51">
        <v>73.0</v>
      </c>
      <c r="E10632" s="52" t="s">
        <v>25</v>
      </c>
      <c r="F10632" s="52" t="s">
        <v>26</v>
      </c>
      <c r="G10632" s="53"/>
    </row>
    <row r="10633">
      <c r="A10633" s="49">
        <v>45132.81744366898</v>
      </c>
      <c r="B10633" s="50">
        <v>45132.9424212037</v>
      </c>
      <c r="C10633" s="51">
        <v>1.003</v>
      </c>
      <c r="D10633" s="51">
        <v>73.0</v>
      </c>
      <c r="E10633" s="52" t="s">
        <v>25</v>
      </c>
      <c r="F10633" s="52" t="s">
        <v>26</v>
      </c>
      <c r="G10633" s="53"/>
    </row>
    <row r="10634">
      <c r="A10634" s="49">
        <v>45132.82788054398</v>
      </c>
      <c r="B10634" s="50">
        <v>45132.9528421643</v>
      </c>
      <c r="C10634" s="51">
        <v>1.003</v>
      </c>
      <c r="D10634" s="51">
        <v>73.0</v>
      </c>
      <c r="E10634" s="52" t="s">
        <v>25</v>
      </c>
      <c r="F10634" s="52" t="s">
        <v>26</v>
      </c>
      <c r="G10634" s="53"/>
    </row>
    <row r="10635">
      <c r="A10635" s="49">
        <v>45132.83833856482</v>
      </c>
      <c r="B10635" s="50">
        <v>45132.9632868518</v>
      </c>
      <c r="C10635" s="51">
        <v>1.003</v>
      </c>
      <c r="D10635" s="51">
        <v>73.0</v>
      </c>
      <c r="E10635" s="52" t="s">
        <v>25</v>
      </c>
      <c r="F10635" s="52" t="s">
        <v>26</v>
      </c>
      <c r="G10635" s="53"/>
    </row>
    <row r="10636">
      <c r="A10636" s="49">
        <v>45132.848734837964</v>
      </c>
      <c r="B10636" s="50">
        <v>45132.9737079513</v>
      </c>
      <c r="C10636" s="51">
        <v>1.003</v>
      </c>
      <c r="D10636" s="51">
        <v>73.0</v>
      </c>
      <c r="E10636" s="52" t="s">
        <v>25</v>
      </c>
      <c r="F10636" s="52" t="s">
        <v>26</v>
      </c>
      <c r="G10636" s="53"/>
    </row>
    <row r="10637">
      <c r="A10637" s="49">
        <v>45132.859167048606</v>
      </c>
      <c r="B10637" s="50">
        <v>45132.9841388425</v>
      </c>
      <c r="C10637" s="51">
        <v>1.003</v>
      </c>
      <c r="D10637" s="51">
        <v>73.0</v>
      </c>
      <c r="E10637" s="52" t="s">
        <v>25</v>
      </c>
      <c r="F10637" s="52" t="s">
        <v>26</v>
      </c>
      <c r="G10637" s="53"/>
    </row>
    <row r="10638">
      <c r="A10638" s="49">
        <v>45132.86959711806</v>
      </c>
      <c r="B10638" s="50">
        <v>45132.9945702777</v>
      </c>
      <c r="C10638" s="51">
        <v>1.003</v>
      </c>
      <c r="D10638" s="51">
        <v>73.0</v>
      </c>
      <c r="E10638" s="52" t="s">
        <v>25</v>
      </c>
      <c r="F10638" s="52" t="s">
        <v>26</v>
      </c>
      <c r="G10638" s="53"/>
    </row>
    <row r="10639">
      <c r="A10639" s="49">
        <v>45132.88002702546</v>
      </c>
      <c r="B10639" s="50">
        <v>45133.0049925</v>
      </c>
      <c r="C10639" s="51">
        <v>1.003</v>
      </c>
      <c r="D10639" s="51">
        <v>73.0</v>
      </c>
      <c r="E10639" s="52" t="s">
        <v>25</v>
      </c>
      <c r="F10639" s="52" t="s">
        <v>26</v>
      </c>
      <c r="G10639" s="53"/>
    </row>
    <row r="10640">
      <c r="A10640" s="49">
        <v>45132.89044074074</v>
      </c>
      <c r="B10640" s="50">
        <v>45133.0154132407</v>
      </c>
      <c r="C10640" s="51">
        <v>1.004</v>
      </c>
      <c r="D10640" s="51">
        <v>73.0</v>
      </c>
      <c r="E10640" s="52" t="s">
        <v>25</v>
      </c>
      <c r="F10640" s="52" t="s">
        <v>26</v>
      </c>
      <c r="G10640" s="53"/>
    </row>
    <row r="10641">
      <c r="A10641" s="49">
        <v>45132.90088207176</v>
      </c>
      <c r="B10641" s="50">
        <v>45133.0258461111</v>
      </c>
      <c r="C10641" s="51">
        <v>1.003</v>
      </c>
      <c r="D10641" s="51">
        <v>73.0</v>
      </c>
      <c r="E10641" s="52" t="s">
        <v>25</v>
      </c>
      <c r="F10641" s="52" t="s">
        <v>26</v>
      </c>
      <c r="G10641" s="53"/>
    </row>
    <row r="10642">
      <c r="A10642" s="49">
        <v>45132.911317129634</v>
      </c>
      <c r="B10642" s="50">
        <v>45133.0362891782</v>
      </c>
      <c r="C10642" s="51">
        <v>1.003</v>
      </c>
      <c r="D10642" s="51">
        <v>73.0</v>
      </c>
      <c r="E10642" s="52" t="s">
        <v>25</v>
      </c>
      <c r="F10642" s="52" t="s">
        <v>26</v>
      </c>
      <c r="G10642" s="53"/>
    </row>
    <row r="10643">
      <c r="A10643" s="49">
        <v>45132.92173277777</v>
      </c>
      <c r="B10643" s="50">
        <v>45133.0467099189</v>
      </c>
      <c r="C10643" s="51">
        <v>1.003</v>
      </c>
      <c r="D10643" s="51">
        <v>73.0</v>
      </c>
      <c r="E10643" s="52" t="s">
        <v>25</v>
      </c>
      <c r="F10643" s="52" t="s">
        <v>26</v>
      </c>
      <c r="G10643" s="53"/>
    </row>
    <row r="10644">
      <c r="A10644" s="49">
        <v>45132.93215988426</v>
      </c>
      <c r="B10644" s="50">
        <v>45133.0571312037</v>
      </c>
      <c r="C10644" s="51">
        <v>1.003</v>
      </c>
      <c r="D10644" s="51">
        <v>73.0</v>
      </c>
      <c r="E10644" s="52" t="s">
        <v>25</v>
      </c>
      <c r="F10644" s="52" t="s">
        <v>26</v>
      </c>
      <c r="G10644" s="53"/>
    </row>
    <row r="10645">
      <c r="A10645" s="49">
        <v>45132.94258081018</v>
      </c>
      <c r="B10645" s="50">
        <v>45133.0675524189</v>
      </c>
      <c r="C10645" s="51">
        <v>1.003</v>
      </c>
      <c r="D10645" s="51">
        <v>73.0</v>
      </c>
      <c r="E10645" s="52" t="s">
        <v>25</v>
      </c>
      <c r="F10645" s="52" t="s">
        <v>26</v>
      </c>
      <c r="G10645" s="53"/>
    </row>
    <row r="10646">
      <c r="A10646" s="49">
        <v>45132.953016342595</v>
      </c>
      <c r="B10646" s="50">
        <v>45133.0779846643</v>
      </c>
      <c r="C10646" s="51">
        <v>1.003</v>
      </c>
      <c r="D10646" s="51">
        <v>73.0</v>
      </c>
      <c r="E10646" s="52" t="s">
        <v>25</v>
      </c>
      <c r="F10646" s="52" t="s">
        <v>26</v>
      </c>
      <c r="G10646" s="53"/>
    </row>
    <row r="10647">
      <c r="A10647" s="49">
        <v>45132.9634272338</v>
      </c>
      <c r="B10647" s="50">
        <v>45133.0884053125</v>
      </c>
      <c r="C10647" s="51">
        <v>1.003</v>
      </c>
      <c r="D10647" s="51">
        <v>73.0</v>
      </c>
      <c r="E10647" s="52" t="s">
        <v>25</v>
      </c>
      <c r="F10647" s="52" t="s">
        <v>26</v>
      </c>
      <c r="G10647" s="53"/>
    </row>
    <row r="10648">
      <c r="A10648" s="49">
        <v>45132.97385363426</v>
      </c>
      <c r="B10648" s="50">
        <v>45133.0988266435</v>
      </c>
      <c r="C10648" s="51">
        <v>1.003</v>
      </c>
      <c r="D10648" s="51">
        <v>73.0</v>
      </c>
      <c r="E10648" s="52" t="s">
        <v>25</v>
      </c>
      <c r="F10648" s="52" t="s">
        <v>26</v>
      </c>
      <c r="G10648" s="53"/>
    </row>
    <row r="10649">
      <c r="A10649" s="49">
        <v>45132.98428109953</v>
      </c>
      <c r="B10649" s="50">
        <v>45133.1092594675</v>
      </c>
      <c r="C10649" s="51">
        <v>1.003</v>
      </c>
      <c r="D10649" s="51">
        <v>73.0</v>
      </c>
      <c r="E10649" s="52" t="s">
        <v>25</v>
      </c>
      <c r="F10649" s="52" t="s">
        <v>26</v>
      </c>
      <c r="G10649" s="53"/>
    </row>
    <row r="10650">
      <c r="A10650" s="49">
        <v>45132.99470978009</v>
      </c>
      <c r="B10650" s="50">
        <v>45133.1196801388</v>
      </c>
      <c r="C10650" s="51">
        <v>1.003</v>
      </c>
      <c r="D10650" s="51">
        <v>73.0</v>
      </c>
      <c r="E10650" s="52" t="s">
        <v>25</v>
      </c>
      <c r="F10650" s="52" t="s">
        <v>26</v>
      </c>
      <c r="G10650" s="53"/>
    </row>
    <row r="10651">
      <c r="A10651" s="49">
        <v>45133.005131157406</v>
      </c>
      <c r="B10651" s="50">
        <v>45133.1301014004</v>
      </c>
      <c r="C10651" s="51">
        <v>1.003</v>
      </c>
      <c r="D10651" s="51">
        <v>73.0</v>
      </c>
      <c r="E10651" s="52" t="s">
        <v>25</v>
      </c>
      <c r="F10651" s="52" t="s">
        <v>26</v>
      </c>
      <c r="G10651" s="53"/>
    </row>
    <row r="10652">
      <c r="A10652" s="49">
        <v>45133.015550972224</v>
      </c>
      <c r="B10652" s="50">
        <v>45133.1405218865</v>
      </c>
      <c r="C10652" s="51">
        <v>1.003</v>
      </c>
      <c r="D10652" s="51">
        <v>73.0</v>
      </c>
      <c r="E10652" s="52" t="s">
        <v>25</v>
      </c>
      <c r="F10652" s="52" t="s">
        <v>26</v>
      </c>
      <c r="G10652" s="53"/>
    </row>
    <row r="10653">
      <c r="A10653" s="49">
        <v>45133.02596905093</v>
      </c>
      <c r="B10653" s="50">
        <v>45133.1509422569</v>
      </c>
      <c r="C10653" s="51">
        <v>1.003</v>
      </c>
      <c r="D10653" s="51">
        <v>73.0</v>
      </c>
      <c r="E10653" s="52" t="s">
        <v>25</v>
      </c>
      <c r="F10653" s="52" t="s">
        <v>26</v>
      </c>
      <c r="G10653" s="53"/>
    </row>
    <row r="10654">
      <c r="A10654" s="49">
        <v>45133.03639974537</v>
      </c>
      <c r="B10654" s="50">
        <v>45133.1613648726</v>
      </c>
      <c r="C10654" s="51">
        <v>1.003</v>
      </c>
      <c r="D10654" s="51">
        <v>73.0</v>
      </c>
      <c r="E10654" s="52" t="s">
        <v>25</v>
      </c>
      <c r="F10654" s="52" t="s">
        <v>26</v>
      </c>
      <c r="G10654" s="53"/>
    </row>
    <row r="10655">
      <c r="A10655" s="49">
        <v>45133.046832430555</v>
      </c>
      <c r="B10655" s="50">
        <v>45133.1717979166</v>
      </c>
      <c r="C10655" s="51">
        <v>1.003</v>
      </c>
      <c r="D10655" s="51">
        <v>73.0</v>
      </c>
      <c r="E10655" s="52" t="s">
        <v>25</v>
      </c>
      <c r="F10655" s="52" t="s">
        <v>26</v>
      </c>
      <c r="G10655" s="53"/>
    </row>
    <row r="10656">
      <c r="A10656" s="49">
        <v>45133.05726055556</v>
      </c>
      <c r="B10656" s="50">
        <v>45133.182230162</v>
      </c>
      <c r="C10656" s="51">
        <v>1.003</v>
      </c>
      <c r="D10656" s="51">
        <v>73.0</v>
      </c>
      <c r="E10656" s="52" t="s">
        <v>25</v>
      </c>
      <c r="F10656" s="52" t="s">
        <v>26</v>
      </c>
      <c r="G10656" s="53"/>
    </row>
    <row r="10657">
      <c r="A10657" s="49">
        <v>45133.06768466435</v>
      </c>
      <c r="B10657" s="50">
        <v>45133.1926519097</v>
      </c>
      <c r="C10657" s="51">
        <v>1.003</v>
      </c>
      <c r="D10657" s="51">
        <v>73.0</v>
      </c>
      <c r="E10657" s="52" t="s">
        <v>25</v>
      </c>
      <c r="F10657" s="52" t="s">
        <v>26</v>
      </c>
      <c r="G10657" s="53"/>
    </row>
    <row r="10658">
      <c r="A10658" s="49">
        <v>45133.07809769676</v>
      </c>
      <c r="B10658" s="50">
        <v>45133.2030726504</v>
      </c>
      <c r="C10658" s="51">
        <v>1.003</v>
      </c>
      <c r="D10658" s="51">
        <v>73.0</v>
      </c>
      <c r="E10658" s="52" t="s">
        <v>25</v>
      </c>
      <c r="F10658" s="52" t="s">
        <v>26</v>
      </c>
      <c r="G10658" s="53"/>
    </row>
    <row r="10659">
      <c r="A10659" s="49">
        <v>45133.08852148148</v>
      </c>
      <c r="B10659" s="50">
        <v>45133.2134953703</v>
      </c>
      <c r="C10659" s="51">
        <v>1.003</v>
      </c>
      <c r="D10659" s="51">
        <v>73.0</v>
      </c>
      <c r="E10659" s="52" t="s">
        <v>25</v>
      </c>
      <c r="F10659" s="52" t="s">
        <v>26</v>
      </c>
      <c r="G10659" s="53"/>
    </row>
    <row r="10660">
      <c r="A10660" s="49">
        <v>45133.09894373843</v>
      </c>
      <c r="B10660" s="50">
        <v>45133.2239160532</v>
      </c>
      <c r="C10660" s="51">
        <v>1.003</v>
      </c>
      <c r="D10660" s="51">
        <v>73.0</v>
      </c>
      <c r="E10660" s="52" t="s">
        <v>25</v>
      </c>
      <c r="F10660" s="52" t="s">
        <v>26</v>
      </c>
      <c r="G10660" s="53"/>
    </row>
    <row r="10661">
      <c r="A10661" s="49">
        <v>45133.10937722222</v>
      </c>
      <c r="B10661" s="50">
        <v>45133.2343496296</v>
      </c>
      <c r="C10661" s="51">
        <v>1.003</v>
      </c>
      <c r="D10661" s="51">
        <v>73.0</v>
      </c>
      <c r="E10661" s="52" t="s">
        <v>25</v>
      </c>
      <c r="F10661" s="52" t="s">
        <v>26</v>
      </c>
      <c r="G10661" s="53"/>
    </row>
    <row r="10662">
      <c r="A10662" s="49">
        <v>45133.1198021412</v>
      </c>
      <c r="B10662" s="50">
        <v>45133.2447697106</v>
      </c>
      <c r="C10662" s="51">
        <v>1.003</v>
      </c>
      <c r="D10662" s="51">
        <v>73.0</v>
      </c>
      <c r="E10662" s="52" t="s">
        <v>25</v>
      </c>
      <c r="F10662" s="52" t="s">
        <v>26</v>
      </c>
      <c r="G10662" s="53"/>
    </row>
    <row r="10663">
      <c r="A10663" s="49">
        <v>45133.130216481484</v>
      </c>
      <c r="B10663" s="50">
        <v>45133.2551872916</v>
      </c>
      <c r="C10663" s="51">
        <v>1.003</v>
      </c>
      <c r="D10663" s="51">
        <v>73.0</v>
      </c>
      <c r="E10663" s="52" t="s">
        <v>25</v>
      </c>
      <c r="F10663" s="52" t="s">
        <v>26</v>
      </c>
      <c r="G10663" s="53"/>
    </row>
    <row r="10664">
      <c r="A10664" s="49">
        <v>45133.1406612037</v>
      </c>
      <c r="B10664" s="50">
        <v>45133.2656199652</v>
      </c>
      <c r="C10664" s="51">
        <v>1.003</v>
      </c>
      <c r="D10664" s="51">
        <v>73.0</v>
      </c>
      <c r="E10664" s="52" t="s">
        <v>25</v>
      </c>
      <c r="F10664" s="52" t="s">
        <v>26</v>
      </c>
      <c r="G10664" s="53"/>
    </row>
    <row r="10665">
      <c r="A10665" s="49">
        <v>45133.15108469907</v>
      </c>
      <c r="B10665" s="50">
        <v>45133.2760535763</v>
      </c>
      <c r="C10665" s="51">
        <v>1.003</v>
      </c>
      <c r="D10665" s="51">
        <v>73.0</v>
      </c>
      <c r="E10665" s="52" t="s">
        <v>25</v>
      </c>
      <c r="F10665" s="52" t="s">
        <v>26</v>
      </c>
      <c r="G10665" s="53"/>
    </row>
    <row r="10666">
      <c r="A10666" s="49">
        <v>45133.16149554398</v>
      </c>
      <c r="B10666" s="50">
        <v>45133.2864736226</v>
      </c>
      <c r="C10666" s="51">
        <v>1.003</v>
      </c>
      <c r="D10666" s="51">
        <v>73.0</v>
      </c>
      <c r="E10666" s="52" t="s">
        <v>25</v>
      </c>
      <c r="F10666" s="52" t="s">
        <v>26</v>
      </c>
      <c r="G10666" s="53"/>
    </row>
    <row r="10667">
      <c r="A10667" s="49">
        <v>45133.17192783565</v>
      </c>
      <c r="B10667" s="50">
        <v>45133.2968953356</v>
      </c>
      <c r="C10667" s="51">
        <v>1.003</v>
      </c>
      <c r="D10667" s="51">
        <v>73.0</v>
      </c>
      <c r="E10667" s="52" t="s">
        <v>25</v>
      </c>
      <c r="F10667" s="52" t="s">
        <v>26</v>
      </c>
      <c r="G10667" s="53"/>
    </row>
    <row r="10668">
      <c r="A10668" s="49">
        <v>45133.18235265046</v>
      </c>
      <c r="B10668" s="50">
        <v>45133.3073162152</v>
      </c>
      <c r="C10668" s="51">
        <v>1.003</v>
      </c>
      <c r="D10668" s="51">
        <v>73.0</v>
      </c>
      <c r="E10668" s="52" t="s">
        <v>25</v>
      </c>
      <c r="F10668" s="52" t="s">
        <v>26</v>
      </c>
      <c r="G10668" s="53"/>
    </row>
    <row r="10669">
      <c r="A10669" s="49">
        <v>45133.1927693287</v>
      </c>
      <c r="B10669" s="50">
        <v>45133.3177374189</v>
      </c>
      <c r="C10669" s="51">
        <v>1.003</v>
      </c>
      <c r="D10669" s="51">
        <v>73.0</v>
      </c>
      <c r="E10669" s="52" t="s">
        <v>25</v>
      </c>
      <c r="F10669" s="52" t="s">
        <v>26</v>
      </c>
      <c r="G10669" s="53"/>
    </row>
    <row r="10670">
      <c r="A10670" s="49">
        <v>45133.203198483796</v>
      </c>
      <c r="B10670" s="50">
        <v>45133.3281693518</v>
      </c>
      <c r="C10670" s="51">
        <v>1.003</v>
      </c>
      <c r="D10670" s="51">
        <v>73.0</v>
      </c>
      <c r="E10670" s="52" t="s">
        <v>25</v>
      </c>
      <c r="F10670" s="52" t="s">
        <v>26</v>
      </c>
      <c r="G10670" s="53"/>
    </row>
    <row r="10671">
      <c r="A10671" s="49">
        <v>45133.21361762732</v>
      </c>
      <c r="B10671" s="50">
        <v>45133.3385915277</v>
      </c>
      <c r="C10671" s="51">
        <v>1.003</v>
      </c>
      <c r="D10671" s="51">
        <v>73.0</v>
      </c>
      <c r="E10671" s="52" t="s">
        <v>25</v>
      </c>
      <c r="F10671" s="52" t="s">
        <v>26</v>
      </c>
      <c r="G10671" s="53"/>
    </row>
    <row r="10672">
      <c r="A10672" s="49">
        <v>45133.22403667824</v>
      </c>
      <c r="B10672" s="50">
        <v>45133.3490130555</v>
      </c>
      <c r="C10672" s="51">
        <v>1.003</v>
      </c>
      <c r="D10672" s="51">
        <v>73.0</v>
      </c>
      <c r="E10672" s="52" t="s">
        <v>25</v>
      </c>
      <c r="F10672" s="52" t="s">
        <v>26</v>
      </c>
      <c r="G10672" s="53"/>
    </row>
    <row r="10673">
      <c r="A10673" s="49">
        <v>45133.23448506945</v>
      </c>
      <c r="B10673" s="50">
        <v>45133.3594586458</v>
      </c>
      <c r="C10673" s="51">
        <v>1.003</v>
      </c>
      <c r="D10673" s="51">
        <v>73.0</v>
      </c>
      <c r="E10673" s="52" t="s">
        <v>25</v>
      </c>
      <c r="F10673" s="52" t="s">
        <v>26</v>
      </c>
      <c r="G10673" s="53"/>
    </row>
    <row r="10674">
      <c r="A10674" s="49">
        <v>45133.244925335646</v>
      </c>
      <c r="B10674" s="50">
        <v>45133.3698907175</v>
      </c>
      <c r="C10674" s="51">
        <v>1.003</v>
      </c>
      <c r="D10674" s="51">
        <v>73.0</v>
      </c>
      <c r="E10674" s="52" t="s">
        <v>25</v>
      </c>
      <c r="F10674" s="52" t="s">
        <v>26</v>
      </c>
      <c r="G10674" s="53"/>
    </row>
    <row r="10675">
      <c r="A10675" s="49">
        <v>45133.25535407408</v>
      </c>
      <c r="B10675" s="50">
        <v>45133.3803228356</v>
      </c>
      <c r="C10675" s="51">
        <v>1.003</v>
      </c>
      <c r="D10675" s="51">
        <v>73.0</v>
      </c>
      <c r="E10675" s="52" t="s">
        <v>25</v>
      </c>
      <c r="F10675" s="52" t="s">
        <v>26</v>
      </c>
      <c r="G10675" s="53"/>
    </row>
    <row r="10676">
      <c r="A10676" s="49">
        <v>45133.265767916666</v>
      </c>
      <c r="B10676" s="50">
        <v>45133.3907454629</v>
      </c>
      <c r="C10676" s="51">
        <v>1.003</v>
      </c>
      <c r="D10676" s="51">
        <v>73.0</v>
      </c>
      <c r="E10676" s="52" t="s">
        <v>25</v>
      </c>
      <c r="F10676" s="52" t="s">
        <v>26</v>
      </c>
      <c r="G10676" s="53"/>
    </row>
    <row r="10677">
      <c r="A10677" s="49">
        <v>45133.27618501158</v>
      </c>
      <c r="B10677" s="50">
        <v>45133.4011649652</v>
      </c>
      <c r="C10677" s="51">
        <v>1.003</v>
      </c>
      <c r="D10677" s="51">
        <v>73.0</v>
      </c>
      <c r="E10677" s="52" t="s">
        <v>25</v>
      </c>
      <c r="F10677" s="52" t="s">
        <v>26</v>
      </c>
      <c r="G10677" s="53"/>
    </row>
    <row r="10678">
      <c r="A10678" s="49">
        <v>45133.286620729166</v>
      </c>
      <c r="B10678" s="50">
        <v>45133.4115868518</v>
      </c>
      <c r="C10678" s="51">
        <v>1.003</v>
      </c>
      <c r="D10678" s="51">
        <v>73.0</v>
      </c>
      <c r="E10678" s="52" t="s">
        <v>25</v>
      </c>
      <c r="F10678" s="52" t="s">
        <v>26</v>
      </c>
      <c r="G10678" s="53"/>
    </row>
    <row r="10679">
      <c r="A10679" s="49">
        <v>45133.29703398148</v>
      </c>
      <c r="B10679" s="50">
        <v>45133.4220074421</v>
      </c>
      <c r="C10679" s="51">
        <v>1.003</v>
      </c>
      <c r="D10679" s="51">
        <v>73.0</v>
      </c>
      <c r="E10679" s="52" t="s">
        <v>25</v>
      </c>
      <c r="F10679" s="52" t="s">
        <v>26</v>
      </c>
      <c r="G10679" s="53"/>
    </row>
    <row r="10680">
      <c r="A10680" s="49">
        <v>45133.30745806713</v>
      </c>
      <c r="B10680" s="50">
        <v>45133.4324286458</v>
      </c>
      <c r="C10680" s="51">
        <v>1.003</v>
      </c>
      <c r="D10680" s="51">
        <v>73.0</v>
      </c>
      <c r="E10680" s="52" t="s">
        <v>25</v>
      </c>
      <c r="F10680" s="52" t="s">
        <v>26</v>
      </c>
      <c r="G10680" s="53"/>
    </row>
    <row r="10681">
      <c r="A10681" s="49">
        <v>45133.317873437496</v>
      </c>
      <c r="B10681" s="50">
        <v>45133.4428506481</v>
      </c>
      <c r="C10681" s="51">
        <v>1.003</v>
      </c>
      <c r="D10681" s="51">
        <v>73.0</v>
      </c>
      <c r="E10681" s="52" t="s">
        <v>25</v>
      </c>
      <c r="F10681" s="52" t="s">
        <v>26</v>
      </c>
      <c r="G10681" s="53"/>
    </row>
    <row r="10682">
      <c r="A10682" s="49">
        <v>45133.3283050926</v>
      </c>
      <c r="B10682" s="50">
        <v>45133.4532711689</v>
      </c>
      <c r="C10682" s="51">
        <v>1.003</v>
      </c>
      <c r="D10682" s="51">
        <v>73.0</v>
      </c>
      <c r="E10682" s="52" t="s">
        <v>25</v>
      </c>
      <c r="F10682" s="52" t="s">
        <v>26</v>
      </c>
      <c r="G10682" s="53"/>
    </row>
    <row r="10683">
      <c r="A10683" s="49">
        <v>45133.33871282407</v>
      </c>
      <c r="B10683" s="50">
        <v>45133.4636901041</v>
      </c>
      <c r="C10683" s="51">
        <v>1.003</v>
      </c>
      <c r="D10683" s="51">
        <v>73.0</v>
      </c>
      <c r="E10683" s="52" t="s">
        <v>25</v>
      </c>
      <c r="F10683" s="52" t="s">
        <v>26</v>
      </c>
      <c r="G10683" s="53"/>
    </row>
    <row r="10684">
      <c r="A10684" s="49">
        <v>45133.34915940972</v>
      </c>
      <c r="B10684" s="50">
        <v>45133.4741342708</v>
      </c>
      <c r="C10684" s="51">
        <v>1.003</v>
      </c>
      <c r="D10684" s="51">
        <v>73.0</v>
      </c>
      <c r="E10684" s="52" t="s">
        <v>25</v>
      </c>
      <c r="F10684" s="52" t="s">
        <v>26</v>
      </c>
      <c r="G10684" s="53"/>
    </row>
    <row r="10685">
      <c r="A10685" s="49">
        <v>45133.35958521991</v>
      </c>
      <c r="B10685" s="50">
        <v>45133.4845553472</v>
      </c>
      <c r="C10685" s="51">
        <v>1.003</v>
      </c>
      <c r="D10685" s="51">
        <v>73.0</v>
      </c>
      <c r="E10685" s="52" t="s">
        <v>25</v>
      </c>
      <c r="F10685" s="52" t="s">
        <v>26</v>
      </c>
      <c r="G10685" s="53"/>
    </row>
    <row r="10686">
      <c r="A10686" s="49">
        <v>45133.370020312504</v>
      </c>
      <c r="B10686" s="50">
        <v>45133.4949881365</v>
      </c>
      <c r="C10686" s="51">
        <v>1.003</v>
      </c>
      <c r="D10686" s="51">
        <v>73.0</v>
      </c>
      <c r="E10686" s="52" t="s">
        <v>25</v>
      </c>
      <c r="F10686" s="52" t="s">
        <v>26</v>
      </c>
      <c r="G10686" s="53"/>
    </row>
    <row r="10687">
      <c r="A10687" s="49">
        <v>45133.3804355787</v>
      </c>
      <c r="B10687" s="50">
        <v>45133.5054093865</v>
      </c>
      <c r="C10687" s="51">
        <v>1.003</v>
      </c>
      <c r="D10687" s="51">
        <v>73.0</v>
      </c>
      <c r="E10687" s="52" t="s">
        <v>25</v>
      </c>
      <c r="F10687" s="52" t="s">
        <v>26</v>
      </c>
      <c r="G10687" s="53"/>
    </row>
    <row r="10688">
      <c r="A10688" s="49">
        <v>45133.39086009259</v>
      </c>
      <c r="B10688" s="50">
        <v>45133.5158317361</v>
      </c>
      <c r="C10688" s="51">
        <v>1.003</v>
      </c>
      <c r="D10688" s="51">
        <v>73.0</v>
      </c>
      <c r="E10688" s="52" t="s">
        <v>25</v>
      </c>
      <c r="F10688" s="52" t="s">
        <v>26</v>
      </c>
      <c r="G10688" s="53"/>
    </row>
    <row r="10689">
      <c r="A10689" s="49">
        <v>45133.40128128472</v>
      </c>
      <c r="B10689" s="50">
        <v>45133.5262539467</v>
      </c>
      <c r="C10689" s="51">
        <v>1.003</v>
      </c>
      <c r="D10689" s="51">
        <v>73.0</v>
      </c>
      <c r="E10689" s="52" t="s">
        <v>25</v>
      </c>
      <c r="F10689" s="52" t="s">
        <v>26</v>
      </c>
      <c r="G10689" s="53"/>
    </row>
    <row r="10690">
      <c r="A10690" s="49">
        <v>45133.41171128472</v>
      </c>
      <c r="B10690" s="50">
        <v>45133.5366740509</v>
      </c>
      <c r="C10690" s="51">
        <v>1.003</v>
      </c>
      <c r="D10690" s="51">
        <v>73.0</v>
      </c>
      <c r="E10690" s="52" t="s">
        <v>25</v>
      </c>
      <c r="F10690" s="52" t="s">
        <v>26</v>
      </c>
      <c r="G10690" s="53"/>
    </row>
    <row r="10691">
      <c r="A10691" s="49">
        <v>45133.42216623842</v>
      </c>
      <c r="B10691" s="50">
        <v>45133.5471065277</v>
      </c>
      <c r="C10691" s="51">
        <v>1.003</v>
      </c>
      <c r="D10691" s="51">
        <v>73.0</v>
      </c>
      <c r="E10691" s="52" t="s">
        <v>25</v>
      </c>
      <c r="F10691" s="52" t="s">
        <v>26</v>
      </c>
      <c r="G10691" s="53"/>
    </row>
    <row r="10692">
      <c r="A10692" s="49">
        <v>45133.43255471065</v>
      </c>
      <c r="B10692" s="50">
        <v>45133.5575269676</v>
      </c>
      <c r="C10692" s="51">
        <v>1.003</v>
      </c>
      <c r="D10692" s="51">
        <v>73.0</v>
      </c>
      <c r="E10692" s="52" t="s">
        <v>25</v>
      </c>
      <c r="F10692" s="52" t="s">
        <v>26</v>
      </c>
      <c r="G10692" s="53"/>
    </row>
    <row r="10693">
      <c r="A10693" s="49">
        <v>45133.442969745374</v>
      </c>
      <c r="B10693" s="50">
        <v>45133.5679466551</v>
      </c>
      <c r="C10693" s="51">
        <v>1.003</v>
      </c>
      <c r="D10693" s="51">
        <v>73.0</v>
      </c>
      <c r="E10693" s="52" t="s">
        <v>25</v>
      </c>
      <c r="F10693" s="52" t="s">
        <v>26</v>
      </c>
      <c r="G10693" s="53"/>
    </row>
    <row r="10694">
      <c r="A10694" s="49">
        <v>45133.453399363425</v>
      </c>
      <c r="B10694" s="50">
        <v>45133.5783789004</v>
      </c>
      <c r="C10694" s="51">
        <v>1.003</v>
      </c>
      <c r="D10694" s="51">
        <v>73.0</v>
      </c>
      <c r="E10694" s="52" t="s">
        <v>25</v>
      </c>
      <c r="F10694" s="52" t="s">
        <v>26</v>
      </c>
      <c r="G10694" s="53"/>
    </row>
    <row r="10695">
      <c r="A10695" s="49">
        <v>45133.46382287037</v>
      </c>
      <c r="B10695" s="50">
        <v>45133.5887993171</v>
      </c>
      <c r="C10695" s="51">
        <v>1.003</v>
      </c>
      <c r="D10695" s="51">
        <v>73.0</v>
      </c>
      <c r="E10695" s="52" t="s">
        <v>25</v>
      </c>
      <c r="F10695" s="52" t="s">
        <v>26</v>
      </c>
      <c r="G10695" s="53"/>
    </row>
    <row r="10696">
      <c r="A10696" s="49">
        <v>45133.474252314816</v>
      </c>
      <c r="B10696" s="50">
        <v>45133.5992196296</v>
      </c>
      <c r="C10696" s="51">
        <v>1.003</v>
      </c>
      <c r="D10696" s="51">
        <v>73.0</v>
      </c>
      <c r="E10696" s="52" t="s">
        <v>25</v>
      </c>
      <c r="F10696" s="52" t="s">
        <v>26</v>
      </c>
      <c r="G10696" s="53"/>
    </row>
    <row r="10697">
      <c r="A10697" s="49">
        <v>45133.484663125</v>
      </c>
      <c r="B10697" s="50">
        <v>45133.6096392129</v>
      </c>
      <c r="C10697" s="51">
        <v>1.003</v>
      </c>
      <c r="D10697" s="51">
        <v>73.0</v>
      </c>
      <c r="E10697" s="52" t="s">
        <v>25</v>
      </c>
      <c r="F10697" s="52" t="s">
        <v>26</v>
      </c>
      <c r="G10697" s="53"/>
    </row>
    <row r="10698">
      <c r="A10698" s="49">
        <v>45133.49511694444</v>
      </c>
      <c r="B10698" s="50">
        <v>45133.6200836342</v>
      </c>
      <c r="C10698" s="51">
        <v>1.003</v>
      </c>
      <c r="D10698" s="51">
        <v>73.0</v>
      </c>
      <c r="E10698" s="52" t="s">
        <v>25</v>
      </c>
      <c r="F10698" s="52" t="s">
        <v>26</v>
      </c>
      <c r="G10698" s="53"/>
    </row>
    <row r="10699">
      <c r="A10699" s="49">
        <v>45133.50552774305</v>
      </c>
      <c r="B10699" s="50">
        <v>45133.6305053935</v>
      </c>
      <c r="C10699" s="51">
        <v>1.003</v>
      </c>
      <c r="D10699" s="51">
        <v>73.0</v>
      </c>
      <c r="E10699" s="52" t="s">
        <v>25</v>
      </c>
      <c r="F10699" s="52" t="s">
        <v>26</v>
      </c>
      <c r="G10699" s="53"/>
    </row>
    <row r="10700">
      <c r="A10700" s="49">
        <v>45133.51595796296</v>
      </c>
      <c r="B10700" s="50">
        <v>45133.6409266319</v>
      </c>
      <c r="C10700" s="51">
        <v>1.003</v>
      </c>
      <c r="D10700" s="51">
        <v>73.0</v>
      </c>
      <c r="E10700" s="52" t="s">
        <v>25</v>
      </c>
      <c r="F10700" s="52" t="s">
        <v>26</v>
      </c>
      <c r="G10700" s="53"/>
    </row>
    <row r="10701">
      <c r="A10701" s="49">
        <v>45133.5263725463</v>
      </c>
      <c r="B10701" s="50">
        <v>45133.6513487615</v>
      </c>
      <c r="C10701" s="51">
        <v>1.003</v>
      </c>
      <c r="D10701" s="51">
        <v>73.0</v>
      </c>
      <c r="E10701" s="52" t="s">
        <v>25</v>
      </c>
      <c r="F10701" s="52" t="s">
        <v>26</v>
      </c>
      <c r="G10701" s="53"/>
    </row>
    <row r="10702">
      <c r="A10702" s="49">
        <v>45133.53683469907</v>
      </c>
      <c r="B10702" s="50">
        <v>45133.6617815972</v>
      </c>
      <c r="C10702" s="51">
        <v>1.003</v>
      </c>
      <c r="D10702" s="51">
        <v>73.0</v>
      </c>
      <c r="E10702" s="52" t="s">
        <v>25</v>
      </c>
      <c r="F10702" s="52" t="s">
        <v>26</v>
      </c>
      <c r="G10702" s="53"/>
    </row>
    <row r="10703">
      <c r="A10703" s="49">
        <v>45133.54722630787</v>
      </c>
      <c r="B10703" s="50">
        <v>45133.6722030902</v>
      </c>
      <c r="C10703" s="51">
        <v>1.003</v>
      </c>
      <c r="D10703" s="51">
        <v>73.0</v>
      </c>
      <c r="E10703" s="52" t="s">
        <v>25</v>
      </c>
      <c r="F10703" s="52" t="s">
        <v>26</v>
      </c>
      <c r="G10703" s="53"/>
    </row>
    <row r="10704">
      <c r="A10704" s="49">
        <v>45133.557655439814</v>
      </c>
      <c r="B10704" s="50">
        <v>45133.6826255787</v>
      </c>
      <c r="C10704" s="51">
        <v>1.003</v>
      </c>
      <c r="D10704" s="51">
        <v>73.0</v>
      </c>
      <c r="E10704" s="52" t="s">
        <v>25</v>
      </c>
      <c r="F10704" s="52" t="s">
        <v>26</v>
      </c>
      <c r="G10704" s="53"/>
    </row>
    <row r="10705">
      <c r="A10705" s="49">
        <v>45133.56807121528</v>
      </c>
      <c r="B10705" s="50">
        <v>45133.6930467476</v>
      </c>
      <c r="C10705" s="51">
        <v>1.003</v>
      </c>
      <c r="D10705" s="51">
        <v>73.0</v>
      </c>
      <c r="E10705" s="52" t="s">
        <v>25</v>
      </c>
      <c r="F10705" s="52" t="s">
        <v>26</v>
      </c>
      <c r="G10705" s="53"/>
    </row>
    <row r="10706">
      <c r="A10706" s="49">
        <v>45133.57849703704</v>
      </c>
      <c r="B10706" s="50">
        <v>45133.703468125</v>
      </c>
      <c r="C10706" s="51">
        <v>1.003</v>
      </c>
      <c r="D10706" s="51">
        <v>73.0</v>
      </c>
      <c r="E10706" s="52" t="s">
        <v>25</v>
      </c>
      <c r="F10706" s="52" t="s">
        <v>26</v>
      </c>
      <c r="G10706" s="53"/>
    </row>
    <row r="10707">
      <c r="A10707" s="49">
        <v>45133.58892875</v>
      </c>
      <c r="B10707" s="50">
        <v>45133.7139017939</v>
      </c>
      <c r="C10707" s="51">
        <v>1.003</v>
      </c>
      <c r="D10707" s="51">
        <v>73.0</v>
      </c>
      <c r="E10707" s="52" t="s">
        <v>25</v>
      </c>
      <c r="F10707" s="52" t="s">
        <v>26</v>
      </c>
      <c r="G10707" s="53"/>
    </row>
    <row r="10708">
      <c r="A10708" s="49">
        <v>45133.599354328704</v>
      </c>
      <c r="B10708" s="50">
        <v>45133.7243231944</v>
      </c>
      <c r="C10708" s="51">
        <v>1.003</v>
      </c>
      <c r="D10708" s="51">
        <v>73.0</v>
      </c>
      <c r="E10708" s="52" t="s">
        <v>25</v>
      </c>
      <c r="F10708" s="52" t="s">
        <v>26</v>
      </c>
      <c r="G10708" s="53"/>
    </row>
    <row r="10709">
      <c r="A10709" s="49">
        <v>45133.60978467592</v>
      </c>
      <c r="B10709" s="50">
        <v>45133.7347561226</v>
      </c>
      <c r="C10709" s="51">
        <v>1.003</v>
      </c>
      <c r="D10709" s="51">
        <v>73.0</v>
      </c>
      <c r="E10709" s="52" t="s">
        <v>25</v>
      </c>
      <c r="F10709" s="52" t="s">
        <v>26</v>
      </c>
      <c r="G10709" s="53"/>
    </row>
    <row r="10710">
      <c r="A10710" s="49">
        <v>45133.62020599537</v>
      </c>
      <c r="B10710" s="50">
        <v>45133.7451774305</v>
      </c>
      <c r="C10710" s="51">
        <v>1.003</v>
      </c>
      <c r="D10710" s="51">
        <v>73.0</v>
      </c>
      <c r="E10710" s="52" t="s">
        <v>25</v>
      </c>
      <c r="F10710" s="52" t="s">
        <v>26</v>
      </c>
      <c r="G10710" s="53"/>
    </row>
    <row r="10711">
      <c r="A10711" s="49">
        <v>45133.63062733796</v>
      </c>
      <c r="B10711" s="50">
        <v>45133.7555980324</v>
      </c>
      <c r="C10711" s="51">
        <v>1.003</v>
      </c>
      <c r="D10711" s="51">
        <v>73.0</v>
      </c>
      <c r="E10711" s="52" t="s">
        <v>25</v>
      </c>
      <c r="F10711" s="52" t="s">
        <v>26</v>
      </c>
      <c r="G10711" s="53"/>
    </row>
    <row r="10712">
      <c r="A10712" s="49">
        <v>45133.64106620371</v>
      </c>
      <c r="B10712" s="50">
        <v>45133.7660292939</v>
      </c>
      <c r="C10712" s="51">
        <v>1.003</v>
      </c>
      <c r="D10712" s="51">
        <v>73.0</v>
      </c>
      <c r="E10712" s="52" t="s">
        <v>25</v>
      </c>
      <c r="F10712" s="52" t="s">
        <v>26</v>
      </c>
      <c r="G10712" s="53"/>
    </row>
    <row r="10713">
      <c r="A10713" s="49">
        <v>45133.65147484954</v>
      </c>
      <c r="B10713" s="50">
        <v>45133.7764512384</v>
      </c>
      <c r="C10713" s="51">
        <v>1.003</v>
      </c>
      <c r="D10713" s="51">
        <v>73.0</v>
      </c>
      <c r="E10713" s="52" t="s">
        <v>25</v>
      </c>
      <c r="F10713" s="52" t="s">
        <v>26</v>
      </c>
      <c r="G10713" s="53"/>
    </row>
    <row r="10714">
      <c r="A10714" s="49">
        <v>45133.661896006946</v>
      </c>
      <c r="B10714" s="50">
        <v>45133.786873912</v>
      </c>
      <c r="C10714" s="51">
        <v>1.003</v>
      </c>
      <c r="D10714" s="51">
        <v>73.0</v>
      </c>
      <c r="E10714" s="52" t="s">
        <v>25</v>
      </c>
      <c r="F10714" s="52" t="s">
        <v>26</v>
      </c>
      <c r="G10714" s="53"/>
    </row>
    <row r="10715">
      <c r="A10715" s="49">
        <v>45133.67232549768</v>
      </c>
      <c r="B10715" s="50">
        <v>45133.7972970601</v>
      </c>
      <c r="C10715" s="51">
        <v>1.003</v>
      </c>
      <c r="D10715" s="51">
        <v>73.0</v>
      </c>
      <c r="E10715" s="52" t="s">
        <v>25</v>
      </c>
      <c r="F10715" s="52" t="s">
        <v>26</v>
      </c>
      <c r="G10715" s="53"/>
    </row>
    <row r="10716">
      <c r="A10716" s="49">
        <v>45133.68274771991</v>
      </c>
      <c r="B10716" s="50">
        <v>45133.8077159838</v>
      </c>
      <c r="C10716" s="51">
        <v>1.003</v>
      </c>
      <c r="D10716" s="51">
        <v>73.0</v>
      </c>
      <c r="E10716" s="52" t="s">
        <v>25</v>
      </c>
      <c r="F10716" s="52" t="s">
        <v>26</v>
      </c>
      <c r="G10716" s="53"/>
    </row>
    <row r="10717">
      <c r="A10717" s="49">
        <v>45133.693179050926</v>
      </c>
      <c r="B10717" s="50">
        <v>45133.8181499421</v>
      </c>
      <c r="C10717" s="51">
        <v>1.003</v>
      </c>
      <c r="D10717" s="51">
        <v>73.0</v>
      </c>
      <c r="E10717" s="52" t="s">
        <v>25</v>
      </c>
      <c r="F10717" s="52" t="s">
        <v>26</v>
      </c>
      <c r="G10717" s="53"/>
    </row>
    <row r="10718">
      <c r="A10718" s="49">
        <v>45133.703593240745</v>
      </c>
      <c r="B10718" s="50">
        <v>45133.8285703819</v>
      </c>
      <c r="C10718" s="51">
        <v>1.003</v>
      </c>
      <c r="D10718" s="51">
        <v>73.0</v>
      </c>
      <c r="E10718" s="52" t="s">
        <v>25</v>
      </c>
      <c r="F10718" s="52" t="s">
        <v>26</v>
      </c>
      <c r="G10718" s="53"/>
    </row>
    <row r="10719">
      <c r="A10719" s="49">
        <v>45133.714019328705</v>
      </c>
      <c r="B10719" s="50">
        <v>45133.8389915625</v>
      </c>
      <c r="C10719" s="51">
        <v>1.003</v>
      </c>
      <c r="D10719" s="51">
        <v>73.0</v>
      </c>
      <c r="E10719" s="52" t="s">
        <v>25</v>
      </c>
      <c r="F10719" s="52" t="s">
        <v>26</v>
      </c>
      <c r="G10719" s="53"/>
    </row>
    <row r="10720">
      <c r="A10720" s="49">
        <v>45133.72444085648</v>
      </c>
      <c r="B10720" s="50">
        <v>45133.8494123726</v>
      </c>
      <c r="C10720" s="51">
        <v>1.003</v>
      </c>
      <c r="D10720" s="51">
        <v>73.0</v>
      </c>
      <c r="E10720" s="52" t="s">
        <v>25</v>
      </c>
      <c r="F10720" s="52" t="s">
        <v>26</v>
      </c>
      <c r="G10720" s="53"/>
    </row>
    <row r="10721">
      <c r="A10721" s="49">
        <v>45133.734862303245</v>
      </c>
      <c r="B10721" s="50">
        <v>45133.8598333564</v>
      </c>
      <c r="C10721" s="51">
        <v>1.003</v>
      </c>
      <c r="D10721" s="51">
        <v>73.0</v>
      </c>
      <c r="E10721" s="52" t="s">
        <v>25</v>
      </c>
      <c r="F10721" s="52" t="s">
        <v>26</v>
      </c>
      <c r="G10721" s="53"/>
    </row>
    <row r="10722">
      <c r="A10722" s="49">
        <v>45133.74528516203</v>
      </c>
      <c r="B10722" s="50">
        <v>45133.8702567592</v>
      </c>
      <c r="C10722" s="51">
        <v>1.003</v>
      </c>
      <c r="D10722" s="51">
        <v>73.0</v>
      </c>
      <c r="E10722" s="52" t="s">
        <v>25</v>
      </c>
      <c r="F10722" s="52" t="s">
        <v>26</v>
      </c>
      <c r="G10722" s="53"/>
    </row>
    <row r="10723">
      <c r="A10723" s="49">
        <v>45133.75571516204</v>
      </c>
      <c r="B10723" s="50">
        <v>45133.8806796412</v>
      </c>
      <c r="C10723" s="51">
        <v>1.003</v>
      </c>
      <c r="D10723" s="51">
        <v>73.0</v>
      </c>
      <c r="E10723" s="52" t="s">
        <v>25</v>
      </c>
      <c r="F10723" s="52" t="s">
        <v>26</v>
      </c>
      <c r="G10723" s="53"/>
    </row>
    <row r="10724">
      <c r="A10724" s="49">
        <v>45133.76612501158</v>
      </c>
      <c r="B10724" s="50">
        <v>45133.8910995601</v>
      </c>
      <c r="C10724" s="51">
        <v>1.003</v>
      </c>
      <c r="D10724" s="51">
        <v>73.0</v>
      </c>
      <c r="E10724" s="52" t="s">
        <v>25</v>
      </c>
      <c r="F10724" s="52" t="s">
        <v>26</v>
      </c>
      <c r="G10724" s="53"/>
    </row>
    <row r="10725">
      <c r="A10725" s="49">
        <v>45133.77655238426</v>
      </c>
      <c r="B10725" s="50">
        <v>45133.9015215162</v>
      </c>
      <c r="C10725" s="51">
        <v>1.003</v>
      </c>
      <c r="D10725" s="51">
        <v>73.0</v>
      </c>
      <c r="E10725" s="52" t="s">
        <v>25</v>
      </c>
      <c r="F10725" s="52" t="s">
        <v>26</v>
      </c>
      <c r="G10725" s="53"/>
    </row>
    <row r="10726">
      <c r="A10726" s="49">
        <v>45133.78697673611</v>
      </c>
      <c r="B10726" s="50">
        <v>45133.9119423032</v>
      </c>
      <c r="C10726" s="51">
        <v>1.003</v>
      </c>
      <c r="D10726" s="51">
        <v>73.0</v>
      </c>
      <c r="E10726" s="52" t="s">
        <v>25</v>
      </c>
      <c r="F10726" s="52" t="s">
        <v>26</v>
      </c>
      <c r="G10726" s="53"/>
    </row>
    <row r="10727">
      <c r="A10727" s="49">
        <v>45133.79739685185</v>
      </c>
      <c r="B10727" s="50">
        <v>45133.9223645138</v>
      </c>
      <c r="C10727" s="51">
        <v>1.003</v>
      </c>
      <c r="D10727" s="51">
        <v>73.0</v>
      </c>
      <c r="E10727" s="52" t="s">
        <v>25</v>
      </c>
      <c r="F10727" s="52" t="s">
        <v>26</v>
      </c>
      <c r="G10727" s="53"/>
    </row>
    <row r="10728">
      <c r="A10728" s="49">
        <v>45133.80782501157</v>
      </c>
      <c r="B10728" s="50">
        <v>45133.9327863773</v>
      </c>
      <c r="C10728" s="51">
        <v>1.003</v>
      </c>
      <c r="D10728" s="51">
        <v>73.0</v>
      </c>
      <c r="E10728" s="52" t="s">
        <v>25</v>
      </c>
      <c r="F10728" s="52" t="s">
        <v>26</v>
      </c>
      <c r="G10728" s="53"/>
    </row>
    <row r="10729">
      <c r="A10729" s="49">
        <v>45133.818232881946</v>
      </c>
      <c r="B10729" s="50">
        <v>45133.9432075347</v>
      </c>
      <c r="C10729" s="51">
        <v>1.003</v>
      </c>
      <c r="D10729" s="51">
        <v>73.0</v>
      </c>
      <c r="E10729" s="52" t="s">
        <v>25</v>
      </c>
      <c r="F10729" s="52" t="s">
        <v>26</v>
      </c>
      <c r="G10729" s="53"/>
    </row>
    <row r="10730">
      <c r="A10730" s="49">
        <v>45133.828661921296</v>
      </c>
      <c r="B10730" s="50">
        <v>45133.9536276388</v>
      </c>
      <c r="C10730" s="51">
        <v>1.003</v>
      </c>
      <c r="D10730" s="51">
        <v>73.0</v>
      </c>
      <c r="E10730" s="52" t="s">
        <v>25</v>
      </c>
      <c r="F10730" s="52" t="s">
        <v>26</v>
      </c>
      <c r="G10730" s="53"/>
    </row>
    <row r="10731">
      <c r="A10731" s="49">
        <v>45133.83907270833</v>
      </c>
      <c r="B10731" s="50">
        <v>45133.9640496064</v>
      </c>
      <c r="C10731" s="51">
        <v>1.003</v>
      </c>
      <c r="D10731" s="51">
        <v>73.0</v>
      </c>
      <c r="E10731" s="52" t="s">
        <v>25</v>
      </c>
      <c r="F10731" s="52" t="s">
        <v>26</v>
      </c>
      <c r="G10731" s="53"/>
    </row>
    <row r="10732">
      <c r="A10732" s="49">
        <v>45133.84950252315</v>
      </c>
      <c r="B10732" s="50">
        <v>45133.9744701388</v>
      </c>
      <c r="C10732" s="51">
        <v>1.003</v>
      </c>
      <c r="D10732" s="51">
        <v>73.0</v>
      </c>
      <c r="E10732" s="52" t="s">
        <v>25</v>
      </c>
      <c r="F10732" s="52" t="s">
        <v>26</v>
      </c>
      <c r="G10732" s="53"/>
    </row>
    <row r="10733">
      <c r="A10733" s="49">
        <v>45133.859924351855</v>
      </c>
      <c r="B10733" s="50">
        <v>45133.9848941203</v>
      </c>
      <c r="C10733" s="51">
        <v>1.003</v>
      </c>
      <c r="D10733" s="51">
        <v>73.0</v>
      </c>
      <c r="E10733" s="52" t="s">
        <v>25</v>
      </c>
      <c r="F10733" s="52" t="s">
        <v>26</v>
      </c>
      <c r="G10733" s="53"/>
    </row>
    <row r="10734">
      <c r="A10734" s="49">
        <v>45133.87035513889</v>
      </c>
      <c r="B10734" s="50">
        <v>45133.9953277083</v>
      </c>
      <c r="C10734" s="51">
        <v>1.003</v>
      </c>
      <c r="D10734" s="51">
        <v>73.0</v>
      </c>
      <c r="E10734" s="52" t="s">
        <v>25</v>
      </c>
      <c r="F10734" s="52" t="s">
        <v>26</v>
      </c>
      <c r="G10734" s="53"/>
    </row>
    <row r="10735">
      <c r="A10735" s="49">
        <v>45133.88078364583</v>
      </c>
      <c r="B10735" s="50">
        <v>45134.0057496643</v>
      </c>
      <c r="C10735" s="51">
        <v>1.003</v>
      </c>
      <c r="D10735" s="51">
        <v>73.0</v>
      </c>
      <c r="E10735" s="52" t="s">
        <v>25</v>
      </c>
      <c r="F10735" s="52" t="s">
        <v>26</v>
      </c>
      <c r="G10735" s="53"/>
    </row>
    <row r="10736">
      <c r="A10736" s="49">
        <v>45133.89120603009</v>
      </c>
      <c r="B10736" s="50">
        <v>45134.0161720138</v>
      </c>
      <c r="C10736" s="51">
        <v>1.003</v>
      </c>
      <c r="D10736" s="51">
        <v>73.0</v>
      </c>
      <c r="E10736" s="52" t="s">
        <v>25</v>
      </c>
      <c r="F10736" s="52" t="s">
        <v>26</v>
      </c>
      <c r="G10736" s="53"/>
    </row>
    <row r="10737">
      <c r="A10737" s="49">
        <v>45133.90162372685</v>
      </c>
      <c r="B10737" s="50">
        <v>45134.0266031597</v>
      </c>
      <c r="C10737" s="51">
        <v>1.003</v>
      </c>
      <c r="D10737" s="51">
        <v>73.0</v>
      </c>
      <c r="E10737" s="52" t="s">
        <v>25</v>
      </c>
      <c r="F10737" s="52" t="s">
        <v>26</v>
      </c>
      <c r="G10737" s="53"/>
    </row>
    <row r="10738">
      <c r="A10738" s="49">
        <v>45133.912059282404</v>
      </c>
      <c r="B10738" s="50">
        <v>45134.0370237037</v>
      </c>
      <c r="C10738" s="51">
        <v>1.003</v>
      </c>
      <c r="D10738" s="51">
        <v>73.0</v>
      </c>
      <c r="E10738" s="52" t="s">
        <v>25</v>
      </c>
      <c r="F10738" s="52" t="s">
        <v>26</v>
      </c>
      <c r="G10738" s="53"/>
    </row>
    <row r="10739">
      <c r="A10739" s="49">
        <v>45133.922485821764</v>
      </c>
      <c r="B10739" s="50">
        <v>45134.0474576851</v>
      </c>
      <c r="C10739" s="51">
        <v>1.003</v>
      </c>
      <c r="D10739" s="51">
        <v>73.0</v>
      </c>
      <c r="E10739" s="52" t="s">
        <v>25</v>
      </c>
      <c r="F10739" s="52" t="s">
        <v>26</v>
      </c>
      <c r="G10739" s="53"/>
    </row>
    <row r="10740">
      <c r="A10740" s="49">
        <v>45133.943324884254</v>
      </c>
      <c r="B10740" s="50">
        <v>45134.0682983912</v>
      </c>
      <c r="C10740" s="51">
        <v>1.003</v>
      </c>
      <c r="D10740" s="51">
        <v>73.0</v>
      </c>
      <c r="E10740" s="52" t="s">
        <v>25</v>
      </c>
      <c r="F10740" s="52" t="s">
        <v>26</v>
      </c>
      <c r="G10740" s="53"/>
    </row>
    <row r="10741">
      <c r="A10741" s="49">
        <v>45133.95374805556</v>
      </c>
      <c r="B10741" s="50">
        <v>45134.0787201388</v>
      </c>
      <c r="C10741" s="51">
        <v>1.003</v>
      </c>
      <c r="D10741" s="51">
        <v>73.0</v>
      </c>
      <c r="E10741" s="52" t="s">
        <v>25</v>
      </c>
      <c r="F10741" s="52" t="s">
        <v>26</v>
      </c>
      <c r="G10741" s="53"/>
    </row>
    <row r="10742">
      <c r="A10742" s="49">
        <v>45133.96418277778</v>
      </c>
      <c r="B10742" s="50">
        <v>45134.0891536226</v>
      </c>
      <c r="C10742" s="51">
        <v>1.003</v>
      </c>
      <c r="D10742" s="51">
        <v>73.0</v>
      </c>
      <c r="E10742" s="52" t="s">
        <v>25</v>
      </c>
      <c r="F10742" s="52" t="s">
        <v>26</v>
      </c>
      <c r="G10742" s="53"/>
    </row>
    <row r="10743">
      <c r="A10743" s="49">
        <v>45133.97459563657</v>
      </c>
      <c r="B10743" s="50">
        <v>45134.0995717129</v>
      </c>
      <c r="C10743" s="51">
        <v>1.003</v>
      </c>
      <c r="D10743" s="51">
        <v>73.0</v>
      </c>
      <c r="E10743" s="52" t="s">
        <v>25</v>
      </c>
      <c r="F10743" s="52" t="s">
        <v>26</v>
      </c>
      <c r="G10743" s="53"/>
    </row>
    <row r="10744">
      <c r="A10744" s="49">
        <v>45133.98502533565</v>
      </c>
      <c r="B10744" s="50">
        <v>45134.1099935185</v>
      </c>
      <c r="C10744" s="51">
        <v>1.003</v>
      </c>
      <c r="D10744" s="51">
        <v>73.0</v>
      </c>
      <c r="E10744" s="52" t="s">
        <v>25</v>
      </c>
      <c r="F10744" s="52" t="s">
        <v>26</v>
      </c>
      <c r="G10744" s="53"/>
    </row>
    <row r="10745">
      <c r="A10745" s="49">
        <v>45133.99543568287</v>
      </c>
      <c r="B10745" s="50">
        <v>45134.1204156597</v>
      </c>
      <c r="C10745" s="51">
        <v>1.003</v>
      </c>
      <c r="D10745" s="51">
        <v>73.0</v>
      </c>
      <c r="E10745" s="52" t="s">
        <v>25</v>
      </c>
      <c r="F10745" s="52" t="s">
        <v>26</v>
      </c>
      <c r="G10745" s="53"/>
    </row>
    <row r="10746">
      <c r="A10746" s="49">
        <v>45134.005872650465</v>
      </c>
      <c r="B10746" s="50">
        <v>45134.1308377083</v>
      </c>
      <c r="C10746" s="51">
        <v>1.003</v>
      </c>
      <c r="D10746" s="51">
        <v>73.0</v>
      </c>
      <c r="E10746" s="52" t="s">
        <v>25</v>
      </c>
      <c r="F10746" s="52" t="s">
        <v>26</v>
      </c>
      <c r="G10746" s="53"/>
    </row>
    <row r="10747">
      <c r="A10747" s="49">
        <v>45134.01627744213</v>
      </c>
      <c r="B10747" s="50">
        <v>45134.1412584953</v>
      </c>
      <c r="C10747" s="51">
        <v>1.003</v>
      </c>
      <c r="D10747" s="51">
        <v>73.0</v>
      </c>
      <c r="E10747" s="52" t="s">
        <v>25</v>
      </c>
      <c r="F10747" s="52" t="s">
        <v>26</v>
      </c>
      <c r="G10747" s="53"/>
    </row>
    <row r="10748">
      <c r="A10748" s="49">
        <v>45134.02670666667</v>
      </c>
      <c r="B10748" s="50">
        <v>45134.151678993</v>
      </c>
      <c r="C10748" s="51">
        <v>1.003</v>
      </c>
      <c r="D10748" s="51">
        <v>73.0</v>
      </c>
      <c r="E10748" s="52" t="s">
        <v>25</v>
      </c>
      <c r="F10748" s="52" t="s">
        <v>26</v>
      </c>
      <c r="G10748" s="53"/>
    </row>
    <row r="10749">
      <c r="A10749" s="49">
        <v>45134.03713094907</v>
      </c>
      <c r="B10749" s="50">
        <v>45134.1621006713</v>
      </c>
      <c r="C10749" s="51">
        <v>1.003</v>
      </c>
      <c r="D10749" s="51">
        <v>74.0</v>
      </c>
      <c r="E10749" s="52" t="s">
        <v>25</v>
      </c>
      <c r="F10749" s="52" t="s">
        <v>26</v>
      </c>
      <c r="G10749" s="53"/>
    </row>
    <row r="10750">
      <c r="A10750" s="49">
        <v>45134.04754097223</v>
      </c>
      <c r="B10750" s="50">
        <v>45134.1725211574</v>
      </c>
      <c r="C10750" s="51">
        <v>1.003</v>
      </c>
      <c r="D10750" s="51">
        <v>74.0</v>
      </c>
      <c r="E10750" s="52" t="s">
        <v>25</v>
      </c>
      <c r="F10750" s="52" t="s">
        <v>26</v>
      </c>
      <c r="G10750" s="53"/>
    </row>
    <row r="10751">
      <c r="A10751" s="49">
        <v>45134.05797047453</v>
      </c>
      <c r="B10751" s="50">
        <v>45134.1829422222</v>
      </c>
      <c r="C10751" s="51">
        <v>1.003</v>
      </c>
      <c r="D10751" s="51">
        <v>73.0</v>
      </c>
      <c r="E10751" s="52" t="s">
        <v>25</v>
      </c>
      <c r="F10751" s="52" t="s">
        <v>26</v>
      </c>
      <c r="G10751" s="53"/>
    </row>
    <row r="10752">
      <c r="A10752" s="49">
        <v>45134.06838832176</v>
      </c>
      <c r="B10752" s="50">
        <v>45134.1933626273</v>
      </c>
      <c r="C10752" s="51">
        <v>1.003</v>
      </c>
      <c r="D10752" s="51">
        <v>73.0</v>
      </c>
      <c r="E10752" s="52" t="s">
        <v>25</v>
      </c>
      <c r="F10752" s="52" t="s">
        <v>26</v>
      </c>
      <c r="G10752" s="53"/>
    </row>
    <row r="10753">
      <c r="A10753" s="49">
        <v>45134.07880737269</v>
      </c>
      <c r="B10753" s="50">
        <v>45134.2037826736</v>
      </c>
      <c r="C10753" s="51">
        <v>1.003</v>
      </c>
      <c r="D10753" s="51">
        <v>74.0</v>
      </c>
      <c r="E10753" s="52" t="s">
        <v>25</v>
      </c>
      <c r="F10753" s="52" t="s">
        <v>26</v>
      </c>
      <c r="G10753" s="53"/>
    </row>
    <row r="10754">
      <c r="A10754" s="49">
        <v>45134.08925716435</v>
      </c>
      <c r="B10754" s="50">
        <v>45134.2142270601</v>
      </c>
      <c r="C10754" s="51">
        <v>1.003</v>
      </c>
      <c r="D10754" s="51">
        <v>73.0</v>
      </c>
      <c r="E10754" s="52" t="s">
        <v>25</v>
      </c>
      <c r="F10754" s="52" t="s">
        <v>26</v>
      </c>
      <c r="G10754" s="53"/>
    </row>
    <row r="10755">
      <c r="A10755" s="49">
        <v>45134.09968024306</v>
      </c>
      <c r="B10755" s="50">
        <v>45134.2246497106</v>
      </c>
      <c r="C10755" s="51">
        <v>1.003</v>
      </c>
      <c r="D10755" s="51">
        <v>74.0</v>
      </c>
      <c r="E10755" s="52" t="s">
        <v>25</v>
      </c>
      <c r="F10755" s="52" t="s">
        <v>26</v>
      </c>
      <c r="G10755" s="53"/>
    </row>
    <row r="10756">
      <c r="A10756" s="49">
        <v>45134.110096435186</v>
      </c>
      <c r="B10756" s="50">
        <v>45134.2350717708</v>
      </c>
      <c r="C10756" s="51">
        <v>1.003</v>
      </c>
      <c r="D10756" s="51">
        <v>73.0</v>
      </c>
      <c r="E10756" s="52" t="s">
        <v>25</v>
      </c>
      <c r="F10756" s="52" t="s">
        <v>26</v>
      </c>
      <c r="G10756" s="53"/>
    </row>
    <row r="10757">
      <c r="A10757" s="49">
        <v>45134.12052440972</v>
      </c>
      <c r="B10757" s="50">
        <v>45134.2454935416</v>
      </c>
      <c r="C10757" s="51">
        <v>1.003</v>
      </c>
      <c r="D10757" s="51">
        <v>74.0</v>
      </c>
      <c r="E10757" s="52" t="s">
        <v>25</v>
      </c>
      <c r="F10757" s="52" t="s">
        <v>26</v>
      </c>
      <c r="G10757" s="53"/>
    </row>
    <row r="10758">
      <c r="A10758" s="49">
        <v>45134.13094594907</v>
      </c>
      <c r="B10758" s="50">
        <v>45134.2559144676</v>
      </c>
      <c r="C10758" s="51">
        <v>1.003</v>
      </c>
      <c r="D10758" s="51">
        <v>73.0</v>
      </c>
      <c r="E10758" s="52" t="s">
        <v>25</v>
      </c>
      <c r="F10758" s="52" t="s">
        <v>26</v>
      </c>
      <c r="G10758" s="53"/>
    </row>
    <row r="10759">
      <c r="A10759" s="49">
        <v>45134.14136041667</v>
      </c>
      <c r="B10759" s="50">
        <v>45134.2663354629</v>
      </c>
      <c r="C10759" s="51">
        <v>1.003</v>
      </c>
      <c r="D10759" s="51">
        <v>74.0</v>
      </c>
      <c r="E10759" s="52" t="s">
        <v>25</v>
      </c>
      <c r="F10759" s="52" t="s">
        <v>26</v>
      </c>
      <c r="G10759" s="53"/>
    </row>
    <row r="10760">
      <c r="A10760" s="49">
        <v>45134.15178688658</v>
      </c>
      <c r="B10760" s="50">
        <v>45134.2767569097</v>
      </c>
      <c r="C10760" s="51">
        <v>1.003</v>
      </c>
      <c r="D10760" s="51">
        <v>74.0</v>
      </c>
      <c r="E10760" s="52" t="s">
        <v>25</v>
      </c>
      <c r="F10760" s="52" t="s">
        <v>26</v>
      </c>
      <c r="G10760" s="53"/>
    </row>
    <row r="10761">
      <c r="A10761" s="49">
        <v>45134.162197453705</v>
      </c>
      <c r="B10761" s="50">
        <v>45134.2871777662</v>
      </c>
      <c r="C10761" s="51">
        <v>1.003</v>
      </c>
      <c r="D10761" s="51">
        <v>73.0</v>
      </c>
      <c r="E10761" s="52" t="s">
        <v>25</v>
      </c>
      <c r="F10761" s="52" t="s">
        <v>26</v>
      </c>
      <c r="G10761" s="53"/>
    </row>
    <row r="10762">
      <c r="A10762" s="49">
        <v>45134.17262533565</v>
      </c>
      <c r="B10762" s="50">
        <v>45134.2976005787</v>
      </c>
      <c r="C10762" s="51">
        <v>1.003</v>
      </c>
      <c r="D10762" s="51">
        <v>74.0</v>
      </c>
      <c r="E10762" s="52" t="s">
        <v>25</v>
      </c>
      <c r="F10762" s="52" t="s">
        <v>26</v>
      </c>
      <c r="G10762" s="53"/>
    </row>
    <row r="10763">
      <c r="A10763" s="49">
        <v>45134.183059143514</v>
      </c>
      <c r="B10763" s="50">
        <v>45134.3080339467</v>
      </c>
      <c r="C10763" s="51">
        <v>1.003</v>
      </c>
      <c r="D10763" s="51">
        <v>74.0</v>
      </c>
      <c r="E10763" s="52" t="s">
        <v>25</v>
      </c>
      <c r="F10763" s="52" t="s">
        <v>26</v>
      </c>
      <c r="G10763" s="53"/>
    </row>
    <row r="10764">
      <c r="A10764" s="49">
        <v>45134.19349179398</v>
      </c>
      <c r="B10764" s="50">
        <v>45134.318467199</v>
      </c>
      <c r="C10764" s="51">
        <v>1.003</v>
      </c>
      <c r="D10764" s="51">
        <v>74.0</v>
      </c>
      <c r="E10764" s="52" t="s">
        <v>25</v>
      </c>
      <c r="F10764" s="52" t="s">
        <v>26</v>
      </c>
      <c r="G10764" s="53"/>
    </row>
    <row r="10765">
      <c r="A10765" s="49">
        <v>45134.20391028935</v>
      </c>
      <c r="B10765" s="50">
        <v>45134.3288869212</v>
      </c>
      <c r="C10765" s="51">
        <v>1.003</v>
      </c>
      <c r="D10765" s="51">
        <v>74.0</v>
      </c>
      <c r="E10765" s="52" t="s">
        <v>25</v>
      </c>
      <c r="F10765" s="52" t="s">
        <v>26</v>
      </c>
      <c r="G10765" s="53"/>
    </row>
    <row r="10766">
      <c r="A10766" s="49">
        <v>45134.21434856481</v>
      </c>
      <c r="B10766" s="50">
        <v>45134.3393184375</v>
      </c>
      <c r="C10766" s="51">
        <v>1.003</v>
      </c>
      <c r="D10766" s="51">
        <v>74.0</v>
      </c>
      <c r="E10766" s="52" t="s">
        <v>25</v>
      </c>
      <c r="F10766" s="52" t="s">
        <v>26</v>
      </c>
      <c r="G10766" s="53"/>
    </row>
    <row r="10767">
      <c r="A10767" s="49">
        <v>45134.22477170139</v>
      </c>
      <c r="B10767" s="50">
        <v>45134.3497392476</v>
      </c>
      <c r="C10767" s="51">
        <v>1.003</v>
      </c>
      <c r="D10767" s="51">
        <v>74.0</v>
      </c>
      <c r="E10767" s="52" t="s">
        <v>25</v>
      </c>
      <c r="F10767" s="52" t="s">
        <v>26</v>
      </c>
      <c r="G10767" s="53"/>
    </row>
    <row r="10768">
      <c r="A10768" s="49">
        <v>45134.23518923611</v>
      </c>
      <c r="B10768" s="50">
        <v>45134.3601591666</v>
      </c>
      <c r="C10768" s="51">
        <v>1.003</v>
      </c>
      <c r="D10768" s="51">
        <v>74.0</v>
      </c>
      <c r="E10768" s="52" t="s">
        <v>25</v>
      </c>
      <c r="F10768" s="52" t="s">
        <v>26</v>
      </c>
      <c r="G10768" s="53"/>
    </row>
    <row r="10769">
      <c r="A10769" s="49">
        <v>45134.245611342594</v>
      </c>
      <c r="B10769" s="50">
        <v>45134.3705804166</v>
      </c>
      <c r="C10769" s="51">
        <v>1.003</v>
      </c>
      <c r="D10769" s="51">
        <v>74.0</v>
      </c>
      <c r="E10769" s="52" t="s">
        <v>25</v>
      </c>
      <c r="F10769" s="52" t="s">
        <v>26</v>
      </c>
      <c r="G10769" s="53"/>
    </row>
    <row r="10770">
      <c r="A10770" s="49">
        <v>45134.256022326386</v>
      </c>
      <c r="B10770" s="50">
        <v>45134.3810000463</v>
      </c>
      <c r="C10770" s="51">
        <v>1.003</v>
      </c>
      <c r="D10770" s="51">
        <v>74.0</v>
      </c>
      <c r="E10770" s="52" t="s">
        <v>25</v>
      </c>
      <c r="F10770" s="52" t="s">
        <v>26</v>
      </c>
      <c r="G10770" s="53"/>
    </row>
    <row r="10771">
      <c r="A10771" s="49">
        <v>45134.26645362268</v>
      </c>
      <c r="B10771" s="50">
        <v>45134.3914188657</v>
      </c>
      <c r="C10771" s="51">
        <v>1.003</v>
      </c>
      <c r="D10771" s="51">
        <v>74.0</v>
      </c>
      <c r="E10771" s="52" t="s">
        <v>25</v>
      </c>
      <c r="F10771" s="52" t="s">
        <v>26</v>
      </c>
      <c r="G10771" s="53"/>
    </row>
    <row r="10772">
      <c r="A10772" s="49">
        <v>45134.27688077546</v>
      </c>
      <c r="B10772" s="50">
        <v>45134.4018523726</v>
      </c>
      <c r="C10772" s="51">
        <v>1.003</v>
      </c>
      <c r="D10772" s="51">
        <v>74.0</v>
      </c>
      <c r="E10772" s="52" t="s">
        <v>25</v>
      </c>
      <c r="F10772" s="52" t="s">
        <v>26</v>
      </c>
      <c r="G10772" s="53"/>
    </row>
    <row r="10773">
      <c r="A10773" s="49">
        <v>45134.287298125</v>
      </c>
      <c r="B10773" s="50">
        <v>45134.4122739467</v>
      </c>
      <c r="C10773" s="51">
        <v>1.003</v>
      </c>
      <c r="D10773" s="51">
        <v>73.0</v>
      </c>
      <c r="E10773" s="52" t="s">
        <v>25</v>
      </c>
      <c r="F10773" s="52" t="s">
        <v>26</v>
      </c>
      <c r="G10773" s="53"/>
    </row>
    <row r="10774">
      <c r="A10774" s="49">
        <v>45134.29772700231</v>
      </c>
      <c r="B10774" s="50">
        <v>45134.4226963078</v>
      </c>
      <c r="C10774" s="51">
        <v>1.003</v>
      </c>
      <c r="D10774" s="51">
        <v>74.0</v>
      </c>
      <c r="E10774" s="52" t="s">
        <v>25</v>
      </c>
      <c r="F10774" s="52" t="s">
        <v>26</v>
      </c>
      <c r="G10774" s="53"/>
    </row>
    <row r="10775">
      <c r="A10775" s="49">
        <v>45134.31859924769</v>
      </c>
      <c r="B10775" s="50">
        <v>45134.4435630324</v>
      </c>
      <c r="C10775" s="51">
        <v>1.003</v>
      </c>
      <c r="D10775" s="51">
        <v>74.0</v>
      </c>
      <c r="E10775" s="52" t="s">
        <v>25</v>
      </c>
      <c r="F10775" s="52" t="s">
        <v>26</v>
      </c>
      <c r="G10775" s="53"/>
    </row>
    <row r="10776">
      <c r="A10776" s="49">
        <v>45134.32901072917</v>
      </c>
      <c r="B10776" s="50">
        <v>45134.4539853703</v>
      </c>
      <c r="C10776" s="51">
        <v>1.003</v>
      </c>
      <c r="D10776" s="51">
        <v>74.0</v>
      </c>
      <c r="E10776" s="52" t="s">
        <v>25</v>
      </c>
      <c r="F10776" s="52" t="s">
        <v>26</v>
      </c>
      <c r="G10776" s="53"/>
    </row>
    <row r="10777">
      <c r="A10777" s="49">
        <v>45134.33943903935</v>
      </c>
      <c r="B10777" s="50">
        <v>45134.4644071527</v>
      </c>
      <c r="C10777" s="51">
        <v>1.003</v>
      </c>
      <c r="D10777" s="51">
        <v>74.0</v>
      </c>
      <c r="E10777" s="52" t="s">
        <v>25</v>
      </c>
      <c r="F10777" s="52" t="s">
        <v>26</v>
      </c>
      <c r="G10777" s="53"/>
    </row>
    <row r="10778">
      <c r="A10778" s="49">
        <v>45134.34986112268</v>
      </c>
      <c r="B10778" s="50">
        <v>45134.4748278819</v>
      </c>
      <c r="C10778" s="51">
        <v>1.003</v>
      </c>
      <c r="D10778" s="51">
        <v>74.0</v>
      </c>
      <c r="E10778" s="52" t="s">
        <v>25</v>
      </c>
      <c r="F10778" s="52" t="s">
        <v>26</v>
      </c>
      <c r="G10778" s="53"/>
    </row>
    <row r="10779">
      <c r="A10779" s="49">
        <v>45134.360287812495</v>
      </c>
      <c r="B10779" s="50">
        <v>45134.4852503819</v>
      </c>
      <c r="C10779" s="51">
        <v>1.003</v>
      </c>
      <c r="D10779" s="51">
        <v>74.0</v>
      </c>
      <c r="E10779" s="52" t="s">
        <v>25</v>
      </c>
      <c r="F10779" s="52" t="s">
        <v>26</v>
      </c>
      <c r="G10779" s="53"/>
    </row>
    <row r="10780">
      <c r="A10780" s="49">
        <v>45134.3707152662</v>
      </c>
      <c r="B10780" s="50">
        <v>45134.4956852314</v>
      </c>
      <c r="C10780" s="51">
        <v>1.003</v>
      </c>
      <c r="D10780" s="51">
        <v>74.0</v>
      </c>
      <c r="E10780" s="52" t="s">
        <v>25</v>
      </c>
      <c r="F10780" s="52" t="s">
        <v>26</v>
      </c>
      <c r="G10780" s="53"/>
    </row>
    <row r="10781">
      <c r="A10781" s="49">
        <v>45134.38114293982</v>
      </c>
      <c r="B10781" s="50">
        <v>45134.5061067592</v>
      </c>
      <c r="C10781" s="51">
        <v>1.003</v>
      </c>
      <c r="D10781" s="51">
        <v>74.0</v>
      </c>
      <c r="E10781" s="52" t="s">
        <v>25</v>
      </c>
      <c r="F10781" s="52" t="s">
        <v>26</v>
      </c>
      <c r="G10781" s="53"/>
    </row>
    <row r="10782">
      <c r="A10782" s="49">
        <v>45134.39156383101</v>
      </c>
      <c r="B10782" s="50">
        <v>45134.5165278472</v>
      </c>
      <c r="C10782" s="51">
        <v>1.003</v>
      </c>
      <c r="D10782" s="51">
        <v>74.0</v>
      </c>
      <c r="E10782" s="52" t="s">
        <v>25</v>
      </c>
      <c r="F10782" s="52" t="s">
        <v>26</v>
      </c>
      <c r="G10782" s="53"/>
    </row>
    <row r="10783">
      <c r="A10783" s="49">
        <v>45134.40197518519</v>
      </c>
      <c r="B10783" s="50">
        <v>45134.5269480902</v>
      </c>
      <c r="C10783" s="51">
        <v>1.003</v>
      </c>
      <c r="D10783" s="51">
        <v>74.0</v>
      </c>
      <c r="E10783" s="52" t="s">
        <v>25</v>
      </c>
      <c r="F10783" s="52" t="s">
        <v>26</v>
      </c>
      <c r="G10783" s="53"/>
    </row>
    <row r="10784">
      <c r="A10784" s="49">
        <v>45134.412408310185</v>
      </c>
      <c r="B10784" s="50">
        <v>45134.5373796759</v>
      </c>
      <c r="C10784" s="51">
        <v>1.003</v>
      </c>
      <c r="D10784" s="51">
        <v>74.0</v>
      </c>
      <c r="E10784" s="52" t="s">
        <v>25</v>
      </c>
      <c r="F10784" s="52" t="s">
        <v>26</v>
      </c>
      <c r="G10784" s="53"/>
    </row>
    <row r="10785">
      <c r="A10785" s="49">
        <v>45134.42283228009</v>
      </c>
      <c r="B10785" s="50">
        <v>45134.5477991435</v>
      </c>
      <c r="C10785" s="51">
        <v>1.003</v>
      </c>
      <c r="D10785" s="51">
        <v>74.0</v>
      </c>
      <c r="E10785" s="52" t="s">
        <v>25</v>
      </c>
      <c r="F10785" s="52" t="s">
        <v>26</v>
      </c>
      <c r="G10785" s="53"/>
    </row>
    <row r="10786">
      <c r="A10786" s="49">
        <v>45134.43324621528</v>
      </c>
      <c r="B10786" s="50">
        <v>45134.5582213078</v>
      </c>
      <c r="C10786" s="51">
        <v>1.003</v>
      </c>
      <c r="D10786" s="51">
        <v>74.0</v>
      </c>
      <c r="E10786" s="52" t="s">
        <v>25</v>
      </c>
      <c r="F10786" s="52" t="s">
        <v>26</v>
      </c>
      <c r="G10786" s="53"/>
    </row>
    <row r="10787">
      <c r="A10787" s="49">
        <v>45134.443680324075</v>
      </c>
      <c r="B10787" s="50">
        <v>45134.5686413888</v>
      </c>
      <c r="C10787" s="51">
        <v>1.003</v>
      </c>
      <c r="D10787" s="51">
        <v>74.0</v>
      </c>
      <c r="E10787" s="52" t="s">
        <v>25</v>
      </c>
      <c r="F10787" s="52" t="s">
        <v>26</v>
      </c>
      <c r="G10787" s="53"/>
    </row>
    <row r="10788">
      <c r="A10788" s="49">
        <v>45134.454093356486</v>
      </c>
      <c r="B10788" s="50">
        <v>45134.5790616666</v>
      </c>
      <c r="C10788" s="51">
        <v>1.003</v>
      </c>
      <c r="D10788" s="51">
        <v>74.0</v>
      </c>
      <c r="E10788" s="52" t="s">
        <v>25</v>
      </c>
      <c r="F10788" s="52" t="s">
        <v>26</v>
      </c>
      <c r="G10788" s="53"/>
    </row>
    <row r="10789">
      <c r="A10789" s="49">
        <v>45134.46451523148</v>
      </c>
      <c r="B10789" s="50">
        <v>45134.5894821759</v>
      </c>
      <c r="C10789" s="51">
        <v>1.003</v>
      </c>
      <c r="D10789" s="51">
        <v>74.0</v>
      </c>
      <c r="E10789" s="52" t="s">
        <v>25</v>
      </c>
      <c r="F10789" s="52" t="s">
        <v>26</v>
      </c>
      <c r="G10789" s="53"/>
    </row>
    <row r="10790">
      <c r="A10790" s="49">
        <v>45134.47494530093</v>
      </c>
      <c r="B10790" s="50">
        <v>45134.5999149305</v>
      </c>
      <c r="C10790" s="51">
        <v>1.003</v>
      </c>
      <c r="D10790" s="51">
        <v>74.0</v>
      </c>
      <c r="E10790" s="52" t="s">
        <v>25</v>
      </c>
      <c r="F10790" s="52" t="s">
        <v>26</v>
      </c>
      <c r="G10790" s="53"/>
    </row>
    <row r="10791">
      <c r="A10791" s="49">
        <v>45134.485366099536</v>
      </c>
      <c r="B10791" s="50">
        <v>45134.6103354861</v>
      </c>
      <c r="C10791" s="51">
        <v>1.003</v>
      </c>
      <c r="D10791" s="51">
        <v>74.0</v>
      </c>
      <c r="E10791" s="52" t="s">
        <v>25</v>
      </c>
      <c r="F10791" s="52" t="s">
        <v>26</v>
      </c>
      <c r="G10791" s="53"/>
    </row>
    <row r="10792">
      <c r="A10792" s="49">
        <v>45134.495801666664</v>
      </c>
      <c r="B10792" s="50">
        <v>45134.6207567939</v>
      </c>
      <c r="C10792" s="51">
        <v>1.003</v>
      </c>
      <c r="D10792" s="51">
        <v>74.0</v>
      </c>
      <c r="E10792" s="52" t="s">
        <v>25</v>
      </c>
      <c r="F10792" s="52" t="s">
        <v>26</v>
      </c>
      <c r="G10792" s="53"/>
    </row>
    <row r="10793">
      <c r="A10793" s="49">
        <v>45134.50620549769</v>
      </c>
      <c r="B10793" s="50">
        <v>45134.6311780902</v>
      </c>
      <c r="C10793" s="51">
        <v>1.003</v>
      </c>
      <c r="D10793" s="51">
        <v>74.0</v>
      </c>
      <c r="E10793" s="52" t="s">
        <v>25</v>
      </c>
      <c r="F10793" s="52" t="s">
        <v>26</v>
      </c>
      <c r="G10793" s="53"/>
    </row>
    <row r="10794">
      <c r="A10794" s="49">
        <v>45134.51662793981</v>
      </c>
      <c r="B10794" s="50">
        <v>45134.6415992592</v>
      </c>
      <c r="C10794" s="51">
        <v>1.003</v>
      </c>
      <c r="D10794" s="51">
        <v>74.0</v>
      </c>
      <c r="E10794" s="52" t="s">
        <v>25</v>
      </c>
      <c r="F10794" s="52" t="s">
        <v>26</v>
      </c>
      <c r="G10794" s="53"/>
    </row>
    <row r="10795">
      <c r="A10795" s="49">
        <v>45134.52705107639</v>
      </c>
      <c r="B10795" s="50">
        <v>45134.6520196064</v>
      </c>
      <c r="C10795" s="51">
        <v>1.003</v>
      </c>
      <c r="D10795" s="51">
        <v>74.0</v>
      </c>
      <c r="E10795" s="52" t="s">
        <v>25</v>
      </c>
      <c r="F10795" s="52" t="s">
        <v>26</v>
      </c>
      <c r="G10795" s="53"/>
    </row>
    <row r="10796">
      <c r="A10796" s="49">
        <v>45134.53747403935</v>
      </c>
      <c r="B10796" s="50">
        <v>45134.6624414236</v>
      </c>
      <c r="C10796" s="51">
        <v>1.003</v>
      </c>
      <c r="D10796" s="51">
        <v>74.0</v>
      </c>
      <c r="E10796" s="52" t="s">
        <v>25</v>
      </c>
      <c r="F10796" s="52" t="s">
        <v>26</v>
      </c>
      <c r="G10796" s="53"/>
    </row>
    <row r="10797">
      <c r="A10797" s="49">
        <v>45134.547887106484</v>
      </c>
      <c r="B10797" s="50">
        <v>45134.6728615393</v>
      </c>
      <c r="C10797" s="51">
        <v>1.003</v>
      </c>
      <c r="D10797" s="51">
        <v>74.0</v>
      </c>
      <c r="E10797" s="52" t="s">
        <v>25</v>
      </c>
      <c r="F10797" s="52" t="s">
        <v>26</v>
      </c>
      <c r="G10797" s="53"/>
    </row>
    <row r="10798">
      <c r="A10798" s="49">
        <v>45134.55830387732</v>
      </c>
      <c r="B10798" s="50">
        <v>45134.6832831597</v>
      </c>
      <c r="C10798" s="51">
        <v>1.003</v>
      </c>
      <c r="D10798" s="51">
        <v>74.0</v>
      </c>
      <c r="E10798" s="52" t="s">
        <v>25</v>
      </c>
      <c r="F10798" s="52" t="s">
        <v>26</v>
      </c>
      <c r="G10798" s="53"/>
    </row>
    <row r="10799">
      <c r="A10799" s="49">
        <v>45134.56873728009</v>
      </c>
      <c r="B10799" s="50">
        <v>45134.6937144328</v>
      </c>
      <c r="C10799" s="51">
        <v>1.003</v>
      </c>
      <c r="D10799" s="51">
        <v>74.0</v>
      </c>
      <c r="E10799" s="52" t="s">
        <v>25</v>
      </c>
      <c r="F10799" s="52" t="s">
        <v>26</v>
      </c>
      <c r="G10799" s="53"/>
    </row>
    <row r="10800">
      <c r="A10800" s="49">
        <v>45134.57916734954</v>
      </c>
      <c r="B10800" s="50">
        <v>45134.7041363888</v>
      </c>
      <c r="C10800" s="51">
        <v>1.003</v>
      </c>
      <c r="D10800" s="51">
        <v>74.0</v>
      </c>
      <c r="E10800" s="52" t="s">
        <v>25</v>
      </c>
      <c r="F10800" s="52" t="s">
        <v>26</v>
      </c>
      <c r="G10800" s="53"/>
    </row>
    <row r="10801">
      <c r="A10801" s="49">
        <v>45134.58957674769</v>
      </c>
      <c r="B10801" s="50">
        <v>45134.7145570949</v>
      </c>
      <c r="C10801" s="51">
        <v>1.003</v>
      </c>
      <c r="D10801" s="51">
        <v>74.0</v>
      </c>
      <c r="E10801" s="52" t="s">
        <v>25</v>
      </c>
      <c r="F10801" s="52" t="s">
        <v>26</v>
      </c>
      <c r="G10801" s="53"/>
    </row>
    <row r="10802">
      <c r="A10802" s="49">
        <v>45134.600008912035</v>
      </c>
      <c r="B10802" s="50">
        <v>45134.7249770254</v>
      </c>
      <c r="C10802" s="51">
        <v>1.003</v>
      </c>
      <c r="D10802" s="51">
        <v>74.0</v>
      </c>
      <c r="E10802" s="52" t="s">
        <v>25</v>
      </c>
      <c r="F10802" s="52" t="s">
        <v>26</v>
      </c>
      <c r="G10802" s="53"/>
    </row>
    <row r="10803">
      <c r="A10803" s="49">
        <v>45134.61042523148</v>
      </c>
      <c r="B10803" s="50">
        <v>45134.7353987152</v>
      </c>
      <c r="C10803" s="51">
        <v>1.003</v>
      </c>
      <c r="D10803" s="51">
        <v>74.0</v>
      </c>
      <c r="E10803" s="52" t="s">
        <v>25</v>
      </c>
      <c r="F10803" s="52" t="s">
        <v>26</v>
      </c>
      <c r="G10803" s="53"/>
    </row>
    <row r="10804">
      <c r="A10804" s="49">
        <v>45134.620840613425</v>
      </c>
      <c r="B10804" s="50">
        <v>45134.7458188773</v>
      </c>
      <c r="C10804" s="51">
        <v>1.003</v>
      </c>
      <c r="D10804" s="51">
        <v>74.0</v>
      </c>
      <c r="E10804" s="52" t="s">
        <v>25</v>
      </c>
      <c r="F10804" s="52" t="s">
        <v>26</v>
      </c>
      <c r="G10804" s="53"/>
    </row>
    <row r="10805">
      <c r="A10805" s="49">
        <v>45134.63126282407</v>
      </c>
      <c r="B10805" s="50">
        <v>45134.7562398148</v>
      </c>
      <c r="C10805" s="51">
        <v>1.003</v>
      </c>
      <c r="D10805" s="51">
        <v>74.0</v>
      </c>
      <c r="E10805" s="52" t="s">
        <v>25</v>
      </c>
      <c r="F10805" s="52" t="s">
        <v>26</v>
      </c>
      <c r="G10805" s="53"/>
    </row>
    <row r="10806">
      <c r="A10806" s="49">
        <v>45134.64170450231</v>
      </c>
      <c r="B10806" s="50">
        <v>45134.7666728819</v>
      </c>
      <c r="C10806" s="51">
        <v>1.003</v>
      </c>
      <c r="D10806" s="51">
        <v>74.0</v>
      </c>
      <c r="E10806" s="52" t="s">
        <v>25</v>
      </c>
      <c r="F10806" s="52" t="s">
        <v>26</v>
      </c>
      <c r="G10806" s="53"/>
    </row>
    <row r="10807">
      <c r="A10807" s="49">
        <v>45134.6521268287</v>
      </c>
      <c r="B10807" s="50">
        <v>45134.7770942013</v>
      </c>
      <c r="C10807" s="51">
        <v>1.003</v>
      </c>
      <c r="D10807" s="51">
        <v>74.0</v>
      </c>
      <c r="E10807" s="52" t="s">
        <v>25</v>
      </c>
      <c r="F10807" s="52" t="s">
        <v>26</v>
      </c>
      <c r="G10807" s="53"/>
    </row>
    <row r="10808">
      <c r="A10808" s="49">
        <v>45134.66254415509</v>
      </c>
      <c r="B10808" s="50">
        <v>45134.7875152314</v>
      </c>
      <c r="C10808" s="51">
        <v>1.003</v>
      </c>
      <c r="D10808" s="51">
        <v>74.0</v>
      </c>
      <c r="E10808" s="52" t="s">
        <v>25</v>
      </c>
      <c r="F10808" s="52" t="s">
        <v>26</v>
      </c>
      <c r="G10808" s="53"/>
    </row>
    <row r="10809">
      <c r="A10809" s="49">
        <v>45134.67295717592</v>
      </c>
      <c r="B10809" s="50">
        <v>45134.7979350463</v>
      </c>
      <c r="C10809" s="51">
        <v>1.003</v>
      </c>
      <c r="D10809" s="51">
        <v>74.0</v>
      </c>
      <c r="E10809" s="52" t="s">
        <v>25</v>
      </c>
      <c r="F10809" s="52" t="s">
        <v>26</v>
      </c>
      <c r="G10809" s="53"/>
    </row>
    <row r="10810">
      <c r="A10810" s="49">
        <v>45134.68339148148</v>
      </c>
      <c r="B10810" s="50">
        <v>45134.8083672338</v>
      </c>
      <c r="C10810" s="51">
        <v>1.003</v>
      </c>
      <c r="D10810" s="51">
        <v>74.0</v>
      </c>
      <c r="E10810" s="52" t="s">
        <v>25</v>
      </c>
      <c r="F10810" s="52" t="s">
        <v>26</v>
      </c>
      <c r="G10810" s="53"/>
    </row>
    <row r="10811">
      <c r="A10811" s="49">
        <v>45134.693819293985</v>
      </c>
      <c r="B10811" s="50">
        <v>45134.8187882986</v>
      </c>
      <c r="C10811" s="51">
        <v>1.003</v>
      </c>
      <c r="D10811" s="51">
        <v>74.0</v>
      </c>
      <c r="E10811" s="52" t="s">
        <v>25</v>
      </c>
      <c r="F10811" s="52" t="s">
        <v>26</v>
      </c>
      <c r="G10811" s="53"/>
    </row>
    <row r="10812">
      <c r="A10812" s="49">
        <v>45134.70426005787</v>
      </c>
      <c r="B10812" s="50">
        <v>45134.8292309722</v>
      </c>
      <c r="C10812" s="51">
        <v>1.003</v>
      </c>
      <c r="D10812" s="51">
        <v>74.0</v>
      </c>
      <c r="E10812" s="52" t="s">
        <v>25</v>
      </c>
      <c r="F10812" s="52" t="s">
        <v>26</v>
      </c>
      <c r="G10812" s="53"/>
    </row>
    <row r="10813">
      <c r="A10813" s="49">
        <v>45134.714680324076</v>
      </c>
      <c r="B10813" s="50">
        <v>45134.8396511921</v>
      </c>
      <c r="C10813" s="51">
        <v>1.003</v>
      </c>
      <c r="D10813" s="51">
        <v>74.0</v>
      </c>
      <c r="E10813" s="52" t="s">
        <v>25</v>
      </c>
      <c r="F10813" s="52" t="s">
        <v>26</v>
      </c>
      <c r="G10813" s="53"/>
    </row>
    <row r="10814">
      <c r="A10814" s="49">
        <v>45134.72510134259</v>
      </c>
      <c r="B10814" s="50">
        <v>45134.850071875</v>
      </c>
      <c r="C10814" s="51">
        <v>1.003</v>
      </c>
      <c r="D10814" s="51">
        <v>74.0</v>
      </c>
      <c r="E10814" s="52" t="s">
        <v>25</v>
      </c>
      <c r="F10814" s="52" t="s">
        <v>26</v>
      </c>
      <c r="G10814" s="53"/>
    </row>
    <row r="10815">
      <c r="A10815" s="49">
        <v>45134.735523090276</v>
      </c>
      <c r="B10815" s="50">
        <v>45134.8604935185</v>
      </c>
      <c r="C10815" s="51">
        <v>1.003</v>
      </c>
      <c r="D10815" s="51">
        <v>74.0</v>
      </c>
      <c r="E10815" s="52" t="s">
        <v>25</v>
      </c>
      <c r="F10815" s="52" t="s">
        <v>26</v>
      </c>
      <c r="G10815" s="53"/>
    </row>
    <row r="10816">
      <c r="A10816" s="49">
        <v>45134.74594599537</v>
      </c>
      <c r="B10816" s="50">
        <v>45134.8709148032</v>
      </c>
      <c r="C10816" s="51">
        <v>1.003</v>
      </c>
      <c r="D10816" s="51">
        <v>74.0</v>
      </c>
      <c r="E10816" s="52" t="s">
        <v>25</v>
      </c>
      <c r="F10816" s="52" t="s">
        <v>26</v>
      </c>
      <c r="G10816" s="53"/>
    </row>
    <row r="10817">
      <c r="A10817" s="49">
        <v>45134.75637546297</v>
      </c>
      <c r="B10817" s="50">
        <v>45134.8813493402</v>
      </c>
      <c r="C10817" s="51">
        <v>1.003</v>
      </c>
      <c r="D10817" s="51">
        <v>74.0</v>
      </c>
      <c r="E10817" s="52" t="s">
        <v>25</v>
      </c>
      <c r="F10817" s="52" t="s">
        <v>26</v>
      </c>
      <c r="G10817" s="53"/>
    </row>
    <row r="10818">
      <c r="A10818" s="49">
        <v>45134.76680188657</v>
      </c>
      <c r="B10818" s="50">
        <v>45134.8917709259</v>
      </c>
      <c r="C10818" s="51">
        <v>1.003</v>
      </c>
      <c r="D10818" s="51">
        <v>74.0</v>
      </c>
      <c r="E10818" s="52" t="s">
        <v>25</v>
      </c>
      <c r="F10818" s="52" t="s">
        <v>26</v>
      </c>
      <c r="G10818" s="53"/>
    </row>
    <row r="10819">
      <c r="A10819" s="49">
        <v>45134.76866800926</v>
      </c>
      <c r="B10819" s="50">
        <v>45134.8936442013</v>
      </c>
      <c r="C10819" s="51">
        <v>1.003</v>
      </c>
      <c r="D10819" s="51">
        <v>74.0</v>
      </c>
      <c r="E10819" s="52" t="s">
        <v>25</v>
      </c>
      <c r="F10819" s="52" t="s">
        <v>26</v>
      </c>
      <c r="G10819" s="53"/>
    </row>
    <row r="10820">
      <c r="A10820" s="49">
        <v>45134.77909626157</v>
      </c>
      <c r="B10820" s="50">
        <v>45134.9040653703</v>
      </c>
      <c r="C10820" s="51">
        <v>1.003</v>
      </c>
      <c r="D10820" s="51">
        <v>74.0</v>
      </c>
      <c r="E10820" s="52" t="s">
        <v>25</v>
      </c>
      <c r="F10820" s="52" t="s">
        <v>26</v>
      </c>
      <c r="G10820" s="53"/>
    </row>
    <row r="10821">
      <c r="A10821" s="49">
        <v>45134.7895171875</v>
      </c>
      <c r="B10821" s="50">
        <v>45134.9144855439</v>
      </c>
      <c r="C10821" s="51">
        <v>1.003</v>
      </c>
      <c r="D10821" s="51">
        <v>74.0</v>
      </c>
      <c r="E10821" s="52" t="s">
        <v>25</v>
      </c>
      <c r="F10821" s="52" t="s">
        <v>26</v>
      </c>
      <c r="G10821" s="53"/>
    </row>
    <row r="10822">
      <c r="A10822" s="49">
        <v>45134.79993168981</v>
      </c>
      <c r="B10822" s="50">
        <v>45134.9249056365</v>
      </c>
      <c r="C10822" s="51">
        <v>1.003</v>
      </c>
      <c r="D10822" s="51">
        <v>74.0</v>
      </c>
      <c r="E10822" s="52" t="s">
        <v>25</v>
      </c>
      <c r="F10822" s="52" t="s">
        <v>26</v>
      </c>
      <c r="G10822" s="53"/>
    </row>
    <row r="10823">
      <c r="A10823" s="49">
        <v>45134.810362743054</v>
      </c>
      <c r="B10823" s="50">
        <v>45134.9353273726</v>
      </c>
      <c r="C10823" s="51">
        <v>1.003</v>
      </c>
      <c r="D10823" s="51">
        <v>74.0</v>
      </c>
      <c r="E10823" s="52" t="s">
        <v>25</v>
      </c>
      <c r="F10823" s="52" t="s">
        <v>26</v>
      </c>
      <c r="G10823" s="53"/>
    </row>
    <row r="10824">
      <c r="A10824" s="49">
        <v>45134.82077855324</v>
      </c>
      <c r="B10824" s="50">
        <v>45134.9457488773</v>
      </c>
      <c r="C10824" s="51">
        <v>1.003</v>
      </c>
      <c r="D10824" s="51">
        <v>74.0</v>
      </c>
      <c r="E10824" s="52" t="s">
        <v>25</v>
      </c>
      <c r="F10824" s="52" t="s">
        <v>26</v>
      </c>
      <c r="G10824" s="53"/>
    </row>
    <row r="10825">
      <c r="A10825" s="49">
        <v>45134.831206574076</v>
      </c>
      <c r="B10825" s="50">
        <v>45134.9561809027</v>
      </c>
      <c r="C10825" s="51">
        <v>1.003</v>
      </c>
      <c r="D10825" s="51">
        <v>74.0</v>
      </c>
      <c r="E10825" s="52" t="s">
        <v>25</v>
      </c>
      <c r="F10825" s="52" t="s">
        <v>26</v>
      </c>
      <c r="G10825" s="53"/>
    </row>
    <row r="10826">
      <c r="A10826" s="49">
        <v>45134.84163048611</v>
      </c>
      <c r="B10826" s="50">
        <v>45134.9666029282</v>
      </c>
      <c r="C10826" s="51">
        <v>1.003</v>
      </c>
      <c r="D10826" s="51">
        <v>74.0</v>
      </c>
      <c r="E10826" s="52" t="s">
        <v>25</v>
      </c>
      <c r="F10826" s="52" t="s">
        <v>26</v>
      </c>
      <c r="G10826" s="53"/>
    </row>
    <row r="10827">
      <c r="A10827" s="49">
        <v>45134.85204790509</v>
      </c>
      <c r="B10827" s="50">
        <v>45134.9770238541</v>
      </c>
      <c r="C10827" s="51">
        <v>1.003</v>
      </c>
      <c r="D10827" s="51">
        <v>74.0</v>
      </c>
      <c r="E10827" s="52" t="s">
        <v>25</v>
      </c>
      <c r="F10827" s="52" t="s">
        <v>26</v>
      </c>
      <c r="G10827" s="53"/>
    </row>
    <row r="10828">
      <c r="A10828" s="49">
        <v>45134.86248862269</v>
      </c>
      <c r="B10828" s="50">
        <v>45134.9874574537</v>
      </c>
      <c r="C10828" s="51">
        <v>1.003</v>
      </c>
      <c r="D10828" s="51">
        <v>74.0</v>
      </c>
      <c r="E10828" s="52" t="s">
        <v>25</v>
      </c>
      <c r="F10828" s="52" t="s">
        <v>26</v>
      </c>
      <c r="G10828" s="53"/>
    </row>
    <row r="10829">
      <c r="A10829" s="49">
        <v>45134.872905462966</v>
      </c>
      <c r="B10829" s="50">
        <v>45134.9978801736</v>
      </c>
      <c r="C10829" s="51">
        <v>1.003</v>
      </c>
      <c r="D10829" s="51">
        <v>74.0</v>
      </c>
      <c r="E10829" s="52" t="s">
        <v>25</v>
      </c>
      <c r="F10829" s="52" t="s">
        <v>26</v>
      </c>
      <c r="G10829" s="53"/>
    </row>
    <row r="10830">
      <c r="A10830" s="49">
        <v>45134.883327256946</v>
      </c>
      <c r="B10830" s="50">
        <v>45135.0083010879</v>
      </c>
      <c r="C10830" s="51">
        <v>1.003</v>
      </c>
      <c r="D10830" s="51">
        <v>74.0</v>
      </c>
      <c r="E10830" s="52" t="s">
        <v>25</v>
      </c>
      <c r="F10830" s="52" t="s">
        <v>26</v>
      </c>
      <c r="G10830" s="53"/>
    </row>
    <row r="10831">
      <c r="A10831" s="49">
        <v>45134.8937528588</v>
      </c>
      <c r="B10831" s="50">
        <v>45135.0187214004</v>
      </c>
      <c r="C10831" s="51">
        <v>1.003</v>
      </c>
      <c r="D10831" s="51">
        <v>74.0</v>
      </c>
      <c r="E10831" s="52" t="s">
        <v>25</v>
      </c>
      <c r="F10831" s="52" t="s">
        <v>26</v>
      </c>
      <c r="G10831" s="53"/>
    </row>
    <row r="10832">
      <c r="A10832" s="49">
        <v>45134.90417335648</v>
      </c>
      <c r="B10832" s="50">
        <v>45135.0291431018</v>
      </c>
      <c r="C10832" s="51">
        <v>1.003</v>
      </c>
      <c r="D10832" s="51">
        <v>74.0</v>
      </c>
      <c r="E10832" s="52" t="s">
        <v>25</v>
      </c>
      <c r="F10832" s="52" t="s">
        <v>26</v>
      </c>
      <c r="G10832" s="53"/>
    </row>
    <row r="10833">
      <c r="A10833" s="49">
        <v>45134.91458469907</v>
      </c>
      <c r="B10833" s="50">
        <v>45135.0395651157</v>
      </c>
      <c r="C10833" s="51">
        <v>1.003</v>
      </c>
      <c r="D10833" s="51">
        <v>74.0</v>
      </c>
      <c r="E10833" s="52" t="s">
        <v>25</v>
      </c>
      <c r="F10833" s="52" t="s">
        <v>26</v>
      </c>
      <c r="G10833" s="53"/>
    </row>
    <row r="10834">
      <c r="A10834" s="49">
        <v>45134.92502606481</v>
      </c>
      <c r="B10834" s="50">
        <v>45135.0499986689</v>
      </c>
      <c r="C10834" s="51">
        <v>1.003</v>
      </c>
      <c r="D10834" s="51">
        <v>74.0</v>
      </c>
      <c r="E10834" s="52" t="s">
        <v>25</v>
      </c>
      <c r="F10834" s="52" t="s">
        <v>26</v>
      </c>
      <c r="G10834" s="53"/>
    </row>
    <row r="10835">
      <c r="A10835" s="49">
        <v>45134.935444629635</v>
      </c>
      <c r="B10835" s="50">
        <v>45135.0604190856</v>
      </c>
      <c r="C10835" s="51">
        <v>1.003</v>
      </c>
      <c r="D10835" s="51">
        <v>74.0</v>
      </c>
      <c r="E10835" s="52" t="s">
        <v>25</v>
      </c>
      <c r="F10835" s="52" t="s">
        <v>26</v>
      </c>
      <c r="G10835" s="53"/>
    </row>
    <row r="10836">
      <c r="A10836" s="49">
        <v>45134.94586756945</v>
      </c>
      <c r="B10836" s="50">
        <v>45135.0708406481</v>
      </c>
      <c r="C10836" s="51">
        <v>1.003</v>
      </c>
      <c r="D10836" s="51">
        <v>74.0</v>
      </c>
      <c r="E10836" s="52" t="s">
        <v>25</v>
      </c>
      <c r="F10836" s="52" t="s">
        <v>26</v>
      </c>
      <c r="G10836" s="53"/>
    </row>
    <row r="10837">
      <c r="A10837" s="49">
        <v>45134.95630336806</v>
      </c>
      <c r="B10837" s="50">
        <v>45135.0812719907</v>
      </c>
      <c r="C10837" s="51">
        <v>1.003</v>
      </c>
      <c r="D10837" s="51">
        <v>74.0</v>
      </c>
      <c r="E10837" s="52" t="s">
        <v>25</v>
      </c>
      <c r="F10837" s="52" t="s">
        <v>26</v>
      </c>
      <c r="G10837" s="53"/>
    </row>
    <row r="10838">
      <c r="A10838" s="49">
        <v>45134.96672864583</v>
      </c>
      <c r="B10838" s="50">
        <v>45135.0916930555</v>
      </c>
      <c r="C10838" s="51">
        <v>1.003</v>
      </c>
      <c r="D10838" s="51">
        <v>74.0</v>
      </c>
      <c r="E10838" s="52" t="s">
        <v>25</v>
      </c>
      <c r="F10838" s="52" t="s">
        <v>26</v>
      </c>
      <c r="G10838" s="53"/>
    </row>
    <row r="10839">
      <c r="A10839" s="49">
        <v>45134.97714476852</v>
      </c>
      <c r="B10839" s="50">
        <v>45135.1021135879</v>
      </c>
      <c r="C10839" s="51">
        <v>1.003</v>
      </c>
      <c r="D10839" s="51">
        <v>74.0</v>
      </c>
      <c r="E10839" s="52" t="s">
        <v>25</v>
      </c>
      <c r="F10839" s="52" t="s">
        <v>26</v>
      </c>
      <c r="G10839" s="53"/>
    </row>
    <row r="10840">
      <c r="A10840" s="49">
        <v>45134.98757188657</v>
      </c>
      <c r="B10840" s="50">
        <v>45135.11254625</v>
      </c>
      <c r="C10840" s="51">
        <v>1.003</v>
      </c>
      <c r="D10840" s="51">
        <v>74.0</v>
      </c>
      <c r="E10840" s="52" t="s">
        <v>25</v>
      </c>
      <c r="F10840" s="52" t="s">
        <v>26</v>
      </c>
      <c r="G10840" s="53"/>
    </row>
    <row r="10841">
      <c r="A10841" s="49">
        <v>45134.99799704862</v>
      </c>
      <c r="B10841" s="50">
        <v>45135.1229672106</v>
      </c>
      <c r="C10841" s="51">
        <v>1.003</v>
      </c>
      <c r="D10841" s="51">
        <v>74.0</v>
      </c>
      <c r="E10841" s="52" t="s">
        <v>25</v>
      </c>
      <c r="F10841" s="52" t="s">
        <v>26</v>
      </c>
      <c r="G10841" s="53"/>
    </row>
    <row r="10842">
      <c r="A10842" s="49">
        <v>45135.00842023148</v>
      </c>
      <c r="B10842" s="50">
        <v>45135.13338853</v>
      </c>
      <c r="C10842" s="51">
        <v>1.003</v>
      </c>
      <c r="D10842" s="51">
        <v>74.0</v>
      </c>
      <c r="E10842" s="52" t="s">
        <v>25</v>
      </c>
      <c r="F10842" s="52" t="s">
        <v>26</v>
      </c>
      <c r="G10842" s="53"/>
    </row>
    <row r="10843">
      <c r="A10843" s="49">
        <v>45135.01884157407</v>
      </c>
      <c r="B10843" s="50">
        <v>45135.1438102314</v>
      </c>
      <c r="C10843" s="51">
        <v>1.003</v>
      </c>
      <c r="D10843" s="51">
        <v>74.0</v>
      </c>
      <c r="E10843" s="52" t="s">
        <v>25</v>
      </c>
      <c r="F10843" s="52" t="s">
        <v>26</v>
      </c>
      <c r="G10843" s="53"/>
    </row>
    <row r="10844">
      <c r="A10844" s="49">
        <v>45135.02926488426</v>
      </c>
      <c r="B10844" s="50">
        <v>45135.1542311921</v>
      </c>
      <c r="C10844" s="51">
        <v>1.003</v>
      </c>
      <c r="D10844" s="51">
        <v>74.0</v>
      </c>
      <c r="E10844" s="52" t="s">
        <v>25</v>
      </c>
      <c r="F10844" s="52" t="s">
        <v>26</v>
      </c>
      <c r="G10844" s="53"/>
    </row>
    <row r="10845">
      <c r="A10845" s="49">
        <v>45135.03968025463</v>
      </c>
      <c r="B10845" s="50">
        <v>45135.1646526157</v>
      </c>
      <c r="C10845" s="51">
        <v>1.003</v>
      </c>
      <c r="D10845" s="51">
        <v>74.0</v>
      </c>
      <c r="E10845" s="52" t="s">
        <v>25</v>
      </c>
      <c r="F10845" s="52" t="s">
        <v>26</v>
      </c>
      <c r="G10845" s="53"/>
    </row>
    <row r="10846">
      <c r="A10846" s="49">
        <v>45135.05010775463</v>
      </c>
      <c r="B10846" s="50">
        <v>45135.1750740162</v>
      </c>
      <c r="C10846" s="51">
        <v>1.003</v>
      </c>
      <c r="D10846" s="51">
        <v>74.0</v>
      </c>
      <c r="E10846" s="52" t="s">
        <v>25</v>
      </c>
      <c r="F10846" s="52" t="s">
        <v>26</v>
      </c>
      <c r="G10846" s="53"/>
    </row>
    <row r="10847">
      <c r="A10847" s="49">
        <v>45135.060525277775</v>
      </c>
      <c r="B10847" s="50">
        <v>45135.1854961805</v>
      </c>
      <c r="C10847" s="51">
        <v>1.003</v>
      </c>
      <c r="D10847" s="51">
        <v>74.0</v>
      </c>
      <c r="E10847" s="52" t="s">
        <v>25</v>
      </c>
      <c r="F10847" s="52" t="s">
        <v>26</v>
      </c>
      <c r="G10847" s="53"/>
    </row>
    <row r="10848">
      <c r="A10848" s="49">
        <v>45135.07096239583</v>
      </c>
      <c r="B10848" s="50">
        <v>45135.1959159953</v>
      </c>
      <c r="C10848" s="51">
        <v>1.003</v>
      </c>
      <c r="D10848" s="51">
        <v>74.0</v>
      </c>
      <c r="E10848" s="52" t="s">
        <v>25</v>
      </c>
      <c r="F10848" s="52" t="s">
        <v>26</v>
      </c>
      <c r="G10848" s="53"/>
    </row>
    <row r="10849">
      <c r="A10849" s="49">
        <v>45135.08137300926</v>
      </c>
      <c r="B10849" s="50">
        <v>45135.2063366782</v>
      </c>
      <c r="C10849" s="51">
        <v>1.003</v>
      </c>
      <c r="D10849" s="51">
        <v>74.0</v>
      </c>
      <c r="E10849" s="52" t="s">
        <v>25</v>
      </c>
      <c r="F10849" s="52" t="s">
        <v>26</v>
      </c>
      <c r="G10849" s="53"/>
    </row>
    <row r="10850">
      <c r="A10850" s="49">
        <v>45135.09179167824</v>
      </c>
      <c r="B10850" s="50">
        <v>45135.2167595833</v>
      </c>
      <c r="C10850" s="51">
        <v>1.003</v>
      </c>
      <c r="D10850" s="51">
        <v>74.0</v>
      </c>
      <c r="E10850" s="52" t="s">
        <v>25</v>
      </c>
      <c r="F10850" s="52" t="s">
        <v>26</v>
      </c>
      <c r="G10850" s="53"/>
    </row>
    <row r="10851">
      <c r="A10851" s="49">
        <v>45135.10221863426</v>
      </c>
      <c r="B10851" s="50">
        <v>45135.22718125</v>
      </c>
      <c r="C10851" s="51">
        <v>1.003</v>
      </c>
      <c r="D10851" s="51">
        <v>74.0</v>
      </c>
      <c r="E10851" s="52" t="s">
        <v>25</v>
      </c>
      <c r="F10851" s="52" t="s">
        <v>26</v>
      </c>
      <c r="G10851" s="53"/>
    </row>
    <row r="10852">
      <c r="A10852" s="49">
        <v>45135.112631446755</v>
      </c>
      <c r="B10852" s="50">
        <v>45135.2376020023</v>
      </c>
      <c r="C10852" s="51">
        <v>1.003</v>
      </c>
      <c r="D10852" s="51">
        <v>74.0</v>
      </c>
      <c r="E10852" s="52" t="s">
        <v>25</v>
      </c>
      <c r="F10852" s="52" t="s">
        <v>26</v>
      </c>
      <c r="G10852" s="53"/>
    </row>
    <row r="10853">
      <c r="A10853" s="49">
        <v>45135.12304605324</v>
      </c>
      <c r="B10853" s="50">
        <v>45135.2480234143</v>
      </c>
      <c r="C10853" s="51">
        <v>1.003</v>
      </c>
      <c r="D10853" s="51">
        <v>74.0</v>
      </c>
      <c r="E10853" s="52" t="s">
        <v>25</v>
      </c>
      <c r="F10853" s="52" t="s">
        <v>26</v>
      </c>
      <c r="G10853" s="53"/>
    </row>
    <row r="10854">
      <c r="A10854" s="49">
        <v>45135.13349059028</v>
      </c>
      <c r="B10854" s="50">
        <v>45135.2584545601</v>
      </c>
      <c r="C10854" s="51">
        <v>1.003</v>
      </c>
      <c r="D10854" s="51">
        <v>74.0</v>
      </c>
      <c r="E10854" s="52" t="s">
        <v>25</v>
      </c>
      <c r="F10854" s="52" t="s">
        <v>26</v>
      </c>
      <c r="G10854" s="53"/>
    </row>
    <row r="10855">
      <c r="A10855" s="49">
        <v>45135.1439044213</v>
      </c>
      <c r="B10855" s="50">
        <v>45135.2688759027</v>
      </c>
      <c r="C10855" s="51">
        <v>1.003</v>
      </c>
      <c r="D10855" s="51">
        <v>74.0</v>
      </c>
      <c r="E10855" s="52" t="s">
        <v>25</v>
      </c>
      <c r="F10855" s="52" t="s">
        <v>26</v>
      </c>
      <c r="G10855" s="53"/>
    </row>
    <row r="10856">
      <c r="A10856" s="49">
        <v>45135.15434165509</v>
      </c>
      <c r="B10856" s="50">
        <v>45135.2793089814</v>
      </c>
      <c r="C10856" s="51">
        <v>1.003</v>
      </c>
      <c r="D10856" s="51">
        <v>74.0</v>
      </c>
      <c r="E10856" s="52" t="s">
        <v>25</v>
      </c>
      <c r="F10856" s="52" t="s">
        <v>26</v>
      </c>
      <c r="G10856" s="53"/>
    </row>
    <row r="10857">
      <c r="A10857" s="49">
        <v>45135.16475873842</v>
      </c>
      <c r="B10857" s="50">
        <v>45135.289730324</v>
      </c>
      <c r="C10857" s="51">
        <v>1.003</v>
      </c>
      <c r="D10857" s="51">
        <v>74.0</v>
      </c>
      <c r="E10857" s="52" t="s">
        <v>25</v>
      </c>
      <c r="F10857" s="52" t="s">
        <v>26</v>
      </c>
      <c r="G10857" s="53"/>
    </row>
    <row r="10858">
      <c r="A10858" s="49">
        <v>45135.17518662037</v>
      </c>
      <c r="B10858" s="50">
        <v>45135.300152118</v>
      </c>
      <c r="C10858" s="51">
        <v>1.003</v>
      </c>
      <c r="D10858" s="51">
        <v>74.0</v>
      </c>
      <c r="E10858" s="52" t="s">
        <v>25</v>
      </c>
      <c r="F10858" s="52" t="s">
        <v>26</v>
      </c>
      <c r="G10858" s="53"/>
    </row>
    <row r="10859">
      <c r="A10859" s="49">
        <v>45135.18560053241</v>
      </c>
      <c r="B10859" s="50">
        <v>45135.3105734375</v>
      </c>
      <c r="C10859" s="51">
        <v>1.003</v>
      </c>
      <c r="D10859" s="51">
        <v>74.0</v>
      </c>
      <c r="E10859" s="52" t="s">
        <v>25</v>
      </c>
      <c r="F10859" s="52" t="s">
        <v>26</v>
      </c>
      <c r="G10859" s="53"/>
    </row>
    <row r="10860">
      <c r="A10860" s="49">
        <v>45135.1960350463</v>
      </c>
      <c r="B10860" s="50">
        <v>45135.3209952314</v>
      </c>
      <c r="C10860" s="51">
        <v>1.003</v>
      </c>
      <c r="D10860" s="51">
        <v>74.0</v>
      </c>
      <c r="E10860" s="52" t="s">
        <v>25</v>
      </c>
      <c r="F10860" s="52" t="s">
        <v>26</v>
      </c>
      <c r="G10860" s="53"/>
    </row>
    <row r="10861">
      <c r="A10861" s="49">
        <v>45135.206445868054</v>
      </c>
      <c r="B10861" s="50">
        <v>45135.3314180324</v>
      </c>
      <c r="C10861" s="51">
        <v>1.003</v>
      </c>
      <c r="D10861" s="51">
        <v>74.0</v>
      </c>
      <c r="E10861" s="52" t="s">
        <v>25</v>
      </c>
      <c r="F10861" s="52" t="s">
        <v>26</v>
      </c>
      <c r="G10861" s="53"/>
    </row>
    <row r="10862">
      <c r="A10862" s="49">
        <v>45135.21687201389</v>
      </c>
      <c r="B10862" s="50">
        <v>45135.3418395254</v>
      </c>
      <c r="C10862" s="51">
        <v>1.003</v>
      </c>
      <c r="D10862" s="51">
        <v>74.0</v>
      </c>
      <c r="E10862" s="52" t="s">
        <v>25</v>
      </c>
      <c r="F10862" s="52" t="s">
        <v>26</v>
      </c>
      <c r="G10862" s="53"/>
    </row>
    <row r="10863">
      <c r="A10863" s="49">
        <v>45135.227296111116</v>
      </c>
      <c r="B10863" s="50">
        <v>45135.3522605902</v>
      </c>
      <c r="C10863" s="51">
        <v>1.003</v>
      </c>
      <c r="D10863" s="51">
        <v>74.0</v>
      </c>
      <c r="E10863" s="52" t="s">
        <v>25</v>
      </c>
      <c r="F10863" s="52" t="s">
        <v>26</v>
      </c>
      <c r="G10863" s="53"/>
    </row>
    <row r="10864">
      <c r="A10864" s="49">
        <v>45135.23771239583</v>
      </c>
      <c r="B10864" s="50">
        <v>45135.3626821412</v>
      </c>
      <c r="C10864" s="51">
        <v>1.003</v>
      </c>
      <c r="D10864" s="51">
        <v>74.0</v>
      </c>
      <c r="E10864" s="52" t="s">
        <v>25</v>
      </c>
      <c r="F10864" s="52" t="s">
        <v>26</v>
      </c>
      <c r="G10864" s="53"/>
    </row>
    <row r="10865">
      <c r="A10865" s="49">
        <v>45135.248132719906</v>
      </c>
      <c r="B10865" s="50">
        <v>45135.3731042361</v>
      </c>
      <c r="C10865" s="51">
        <v>1.003</v>
      </c>
      <c r="D10865" s="51">
        <v>74.0</v>
      </c>
      <c r="E10865" s="52" t="s">
        <v>25</v>
      </c>
      <c r="F10865" s="52" t="s">
        <v>26</v>
      </c>
      <c r="G10865" s="53"/>
    </row>
    <row r="10866">
      <c r="A10866" s="49">
        <v>45135.258556307876</v>
      </c>
      <c r="B10866" s="50">
        <v>45135.3835263425</v>
      </c>
      <c r="C10866" s="51">
        <v>1.003</v>
      </c>
      <c r="D10866" s="51">
        <v>74.0</v>
      </c>
      <c r="E10866" s="52" t="s">
        <v>25</v>
      </c>
      <c r="F10866" s="52" t="s">
        <v>26</v>
      </c>
      <c r="G10866" s="53"/>
    </row>
    <row r="10867">
      <c r="A10867" s="49">
        <v>45135.26898309028</v>
      </c>
      <c r="B10867" s="50">
        <v>45135.3939582175</v>
      </c>
      <c r="C10867" s="51">
        <v>1.003</v>
      </c>
      <c r="D10867" s="51">
        <v>74.0</v>
      </c>
      <c r="E10867" s="52" t="s">
        <v>25</v>
      </c>
      <c r="F10867" s="52" t="s">
        <v>26</v>
      </c>
      <c r="G10867" s="53"/>
    </row>
    <row r="10868">
      <c r="A10868" s="49">
        <v>45135.279411435185</v>
      </c>
      <c r="B10868" s="50">
        <v>45135.4043820717</v>
      </c>
      <c r="C10868" s="51">
        <v>1.003</v>
      </c>
      <c r="D10868" s="51">
        <v>74.0</v>
      </c>
      <c r="E10868" s="52" t="s">
        <v>25</v>
      </c>
      <c r="F10868" s="52" t="s">
        <v>26</v>
      </c>
      <c r="G10868" s="53"/>
    </row>
    <row r="10869">
      <c r="A10869" s="49">
        <v>45135.2898258912</v>
      </c>
      <c r="B10869" s="50">
        <v>45135.4148022801</v>
      </c>
      <c r="C10869" s="51">
        <v>1.003</v>
      </c>
      <c r="D10869" s="51">
        <v>74.0</v>
      </c>
      <c r="E10869" s="52" t="s">
        <v>25</v>
      </c>
      <c r="F10869" s="52" t="s">
        <v>26</v>
      </c>
      <c r="G10869" s="53"/>
    </row>
    <row r="10870">
      <c r="A10870" s="49">
        <v>45135.3002575</v>
      </c>
      <c r="B10870" s="50">
        <v>45135.4252229513</v>
      </c>
      <c r="C10870" s="51">
        <v>1.003</v>
      </c>
      <c r="D10870" s="51">
        <v>74.0</v>
      </c>
      <c r="E10870" s="52" t="s">
        <v>25</v>
      </c>
      <c r="F10870" s="52" t="s">
        <v>26</v>
      </c>
      <c r="G10870" s="53"/>
    </row>
    <row r="10871">
      <c r="A10871" s="49">
        <v>45135.31069655092</v>
      </c>
      <c r="B10871" s="50">
        <v>45135.4356440046</v>
      </c>
      <c r="C10871" s="51">
        <v>1.003</v>
      </c>
      <c r="D10871" s="51">
        <v>74.0</v>
      </c>
      <c r="E10871" s="52" t="s">
        <v>25</v>
      </c>
      <c r="F10871" s="52" t="s">
        <v>26</v>
      </c>
      <c r="G10871" s="53"/>
    </row>
    <row r="10872">
      <c r="A10872" s="49">
        <v>45135.321097673615</v>
      </c>
      <c r="B10872" s="50">
        <v>45135.4460643402</v>
      </c>
      <c r="C10872" s="51">
        <v>1.003</v>
      </c>
      <c r="D10872" s="51">
        <v>74.0</v>
      </c>
      <c r="E10872" s="52" t="s">
        <v>25</v>
      </c>
      <c r="F10872" s="52" t="s">
        <v>26</v>
      </c>
      <c r="G10872" s="53"/>
    </row>
    <row r="10873">
      <c r="A10873" s="49">
        <v>45135.331521307875</v>
      </c>
      <c r="B10873" s="50">
        <v>45135.4564857175</v>
      </c>
      <c r="C10873" s="51">
        <v>1.003</v>
      </c>
      <c r="D10873" s="51">
        <v>74.0</v>
      </c>
      <c r="E10873" s="52" t="s">
        <v>25</v>
      </c>
      <c r="F10873" s="52" t="s">
        <v>26</v>
      </c>
      <c r="G10873" s="53"/>
    </row>
    <row r="10874">
      <c r="A10874" s="49">
        <v>45135.34194081018</v>
      </c>
      <c r="B10874" s="50">
        <v>45135.4669058449</v>
      </c>
      <c r="C10874" s="51">
        <v>1.003</v>
      </c>
      <c r="D10874" s="51">
        <v>74.0</v>
      </c>
      <c r="E10874" s="52" t="s">
        <v>25</v>
      </c>
      <c r="F10874" s="52" t="s">
        <v>26</v>
      </c>
      <c r="G10874" s="53"/>
    </row>
    <row r="10875">
      <c r="A10875" s="49">
        <v>45135.352356250005</v>
      </c>
      <c r="B10875" s="50">
        <v>45135.4773274074</v>
      </c>
      <c r="C10875" s="51">
        <v>1.003</v>
      </c>
      <c r="D10875" s="51">
        <v>74.0</v>
      </c>
      <c r="E10875" s="52" t="s">
        <v>25</v>
      </c>
      <c r="F10875" s="52" t="s">
        <v>26</v>
      </c>
      <c r="G10875" s="53"/>
    </row>
    <row r="10876">
      <c r="A10876" s="49">
        <v>45135.36277935185</v>
      </c>
      <c r="B10876" s="50">
        <v>45135.4877477662</v>
      </c>
      <c r="C10876" s="51">
        <v>1.003</v>
      </c>
      <c r="D10876" s="51">
        <v>74.0</v>
      </c>
      <c r="E10876" s="52" t="s">
        <v>25</v>
      </c>
      <c r="F10876" s="52" t="s">
        <v>26</v>
      </c>
      <c r="G10876" s="53"/>
    </row>
    <row r="10877">
      <c r="A10877" s="49">
        <v>45135.37320232639</v>
      </c>
      <c r="B10877" s="50">
        <v>45135.49817</v>
      </c>
      <c r="C10877" s="51">
        <v>1.003</v>
      </c>
      <c r="D10877" s="51">
        <v>74.0</v>
      </c>
      <c r="E10877" s="52" t="s">
        <v>25</v>
      </c>
      <c r="F10877" s="52" t="s">
        <v>26</v>
      </c>
      <c r="G10877" s="53"/>
    </row>
    <row r="10878">
      <c r="A10878" s="49">
        <v>45135.38361884259</v>
      </c>
      <c r="B10878" s="50">
        <v>45135.5085890162</v>
      </c>
      <c r="C10878" s="51">
        <v>1.003</v>
      </c>
      <c r="D10878" s="51">
        <v>74.0</v>
      </c>
      <c r="E10878" s="52" t="s">
        <v>25</v>
      </c>
      <c r="F10878" s="52" t="s">
        <v>26</v>
      </c>
      <c r="G10878" s="53"/>
    </row>
    <row r="10879">
      <c r="A10879" s="49">
        <v>45135.39404009259</v>
      </c>
      <c r="B10879" s="50">
        <v>45135.5190095833</v>
      </c>
      <c r="C10879" s="51">
        <v>1.003</v>
      </c>
      <c r="D10879" s="51">
        <v>74.0</v>
      </c>
      <c r="E10879" s="52" t="s">
        <v>25</v>
      </c>
      <c r="F10879" s="52" t="s">
        <v>26</v>
      </c>
      <c r="G10879" s="53"/>
    </row>
    <row r="10880">
      <c r="A10880" s="49">
        <v>45135.40446571759</v>
      </c>
      <c r="B10880" s="50">
        <v>45135.5294300578</v>
      </c>
      <c r="C10880" s="51">
        <v>1.003</v>
      </c>
      <c r="D10880" s="51">
        <v>74.0</v>
      </c>
      <c r="E10880" s="52" t="s">
        <v>25</v>
      </c>
      <c r="F10880" s="52" t="s">
        <v>26</v>
      </c>
      <c r="G10880" s="53"/>
    </row>
    <row r="10881">
      <c r="A10881" s="49">
        <v>45135.41487734954</v>
      </c>
      <c r="B10881" s="50">
        <v>45135.5398514699</v>
      </c>
      <c r="C10881" s="51">
        <v>1.003</v>
      </c>
      <c r="D10881" s="51">
        <v>74.0</v>
      </c>
      <c r="E10881" s="52" t="s">
        <v>25</v>
      </c>
      <c r="F10881" s="52" t="s">
        <v>26</v>
      </c>
      <c r="G10881" s="53"/>
    </row>
    <row r="10882">
      <c r="A10882" s="49">
        <v>45135.42530315972</v>
      </c>
      <c r="B10882" s="50">
        <v>45135.5502723726</v>
      </c>
      <c r="C10882" s="51">
        <v>1.003</v>
      </c>
      <c r="D10882" s="51">
        <v>74.0</v>
      </c>
      <c r="E10882" s="52" t="s">
        <v>25</v>
      </c>
      <c r="F10882" s="52" t="s">
        <v>26</v>
      </c>
      <c r="G10882" s="53"/>
    </row>
    <row r="10883">
      <c r="A10883" s="49">
        <v>45135.43571815972</v>
      </c>
      <c r="B10883" s="50">
        <v>45135.5606938426</v>
      </c>
      <c r="C10883" s="51">
        <v>1.003</v>
      </c>
      <c r="D10883" s="51">
        <v>74.0</v>
      </c>
      <c r="E10883" s="52" t="s">
        <v>25</v>
      </c>
      <c r="F10883" s="52" t="s">
        <v>26</v>
      </c>
      <c r="G10883" s="53"/>
    </row>
    <row r="10884">
      <c r="A10884" s="49">
        <v>45135.446154537036</v>
      </c>
      <c r="B10884" s="50">
        <v>45135.5711256713</v>
      </c>
      <c r="C10884" s="51">
        <v>1.003</v>
      </c>
      <c r="D10884" s="51">
        <v>74.0</v>
      </c>
      <c r="E10884" s="52" t="s">
        <v>25</v>
      </c>
      <c r="F10884" s="52" t="s">
        <v>26</v>
      </c>
      <c r="G10884" s="53"/>
    </row>
    <row r="10885">
      <c r="A10885" s="49">
        <v>45135.456578310186</v>
      </c>
      <c r="B10885" s="50">
        <v>45135.5815437384</v>
      </c>
      <c r="C10885" s="51">
        <v>1.003</v>
      </c>
      <c r="D10885" s="51">
        <v>74.0</v>
      </c>
      <c r="E10885" s="52" t="s">
        <v>25</v>
      </c>
      <c r="F10885" s="52" t="s">
        <v>26</v>
      </c>
      <c r="G10885" s="53"/>
    </row>
    <row r="10886">
      <c r="A10886" s="49">
        <v>45135.46698469907</v>
      </c>
      <c r="B10886" s="50">
        <v>45135.5919645833</v>
      </c>
      <c r="C10886" s="51">
        <v>1.003</v>
      </c>
      <c r="D10886" s="51">
        <v>74.0</v>
      </c>
      <c r="E10886" s="52" t="s">
        <v>25</v>
      </c>
      <c r="F10886" s="52" t="s">
        <v>26</v>
      </c>
      <c r="G10886" s="53"/>
    </row>
    <row r="10887">
      <c r="A10887" s="49">
        <v>45135.47741547454</v>
      </c>
      <c r="B10887" s="50">
        <v>45135.6023861689</v>
      </c>
      <c r="C10887" s="51">
        <v>1.003</v>
      </c>
      <c r="D10887" s="51">
        <v>74.0</v>
      </c>
      <c r="E10887" s="52" t="s">
        <v>25</v>
      </c>
      <c r="F10887" s="52" t="s">
        <v>26</v>
      </c>
      <c r="G10887" s="53"/>
    </row>
    <row r="10888">
      <c r="A10888" s="49">
        <v>45135.48783150463</v>
      </c>
      <c r="B10888" s="50">
        <v>45135.6128073726</v>
      </c>
      <c r="C10888" s="51">
        <v>1.003</v>
      </c>
      <c r="D10888" s="51">
        <v>74.0</v>
      </c>
      <c r="E10888" s="52" t="s">
        <v>25</v>
      </c>
      <c r="F10888" s="52" t="s">
        <v>26</v>
      </c>
      <c r="G10888" s="53"/>
    </row>
    <row r="10889">
      <c r="A10889" s="49">
        <v>45135.498260011576</v>
      </c>
      <c r="B10889" s="50">
        <v>45135.6232293287</v>
      </c>
      <c r="C10889" s="51">
        <v>1.003</v>
      </c>
      <c r="D10889" s="51">
        <v>74.0</v>
      </c>
      <c r="E10889" s="52" t="s">
        <v>25</v>
      </c>
      <c r="F10889" s="52" t="s">
        <v>26</v>
      </c>
      <c r="G10889" s="53"/>
    </row>
    <row r="10890">
      <c r="A10890" s="49">
        <v>45135.508675439814</v>
      </c>
      <c r="B10890" s="50">
        <v>45135.6336516319</v>
      </c>
      <c r="C10890" s="51">
        <v>1.003</v>
      </c>
      <c r="D10890" s="51">
        <v>74.0</v>
      </c>
      <c r="E10890" s="52" t="s">
        <v>25</v>
      </c>
      <c r="F10890" s="52" t="s">
        <v>26</v>
      </c>
      <c r="G10890" s="53"/>
    </row>
    <row r="10891">
      <c r="A10891" s="49">
        <v>45135.519113518516</v>
      </c>
      <c r="B10891" s="50">
        <v>45135.6440861226</v>
      </c>
      <c r="C10891" s="51">
        <v>1.003</v>
      </c>
      <c r="D10891" s="51">
        <v>74.0</v>
      </c>
      <c r="E10891" s="52" t="s">
        <v>25</v>
      </c>
      <c r="F10891" s="52" t="s">
        <v>26</v>
      </c>
      <c r="G10891" s="53"/>
    </row>
    <row r="10892">
      <c r="A10892" s="49">
        <v>45135.52954413195</v>
      </c>
      <c r="B10892" s="50">
        <v>45135.6545186689</v>
      </c>
      <c r="C10892" s="51">
        <v>1.003</v>
      </c>
      <c r="D10892" s="51">
        <v>74.0</v>
      </c>
      <c r="E10892" s="52" t="s">
        <v>25</v>
      </c>
      <c r="F10892" s="52" t="s">
        <v>26</v>
      </c>
      <c r="G10892" s="53"/>
    </row>
    <row r="10893">
      <c r="A10893" s="49">
        <v>45135.53997239583</v>
      </c>
      <c r="B10893" s="50">
        <v>45135.6649396875</v>
      </c>
      <c r="C10893" s="51">
        <v>1.003</v>
      </c>
      <c r="D10893" s="51">
        <v>74.0</v>
      </c>
      <c r="E10893" s="52" t="s">
        <v>25</v>
      </c>
      <c r="F10893" s="52" t="s">
        <v>26</v>
      </c>
      <c r="G10893" s="53"/>
    </row>
    <row r="10894">
      <c r="A10894" s="49">
        <v>45135.55038488426</v>
      </c>
      <c r="B10894" s="50">
        <v>45135.6753624421</v>
      </c>
      <c r="C10894" s="51">
        <v>1.003</v>
      </c>
      <c r="D10894" s="51">
        <v>74.0</v>
      </c>
      <c r="E10894" s="52" t="s">
        <v>25</v>
      </c>
      <c r="F10894" s="52" t="s">
        <v>26</v>
      </c>
      <c r="G10894" s="53"/>
    </row>
    <row r="10895">
      <c r="A10895" s="49">
        <v>45135.56081403935</v>
      </c>
      <c r="B10895" s="50">
        <v>45135.6857843402</v>
      </c>
      <c r="C10895" s="51">
        <v>1.003</v>
      </c>
      <c r="D10895" s="51">
        <v>74.0</v>
      </c>
      <c r="E10895" s="52" t="s">
        <v>25</v>
      </c>
      <c r="F10895" s="52" t="s">
        <v>26</v>
      </c>
      <c r="G10895" s="53"/>
    </row>
    <row r="10896">
      <c r="A10896" s="49">
        <v>45135.57123108796</v>
      </c>
      <c r="B10896" s="50">
        <v>45135.6962055902</v>
      </c>
      <c r="C10896" s="51">
        <v>1.003</v>
      </c>
      <c r="D10896" s="51">
        <v>74.0</v>
      </c>
      <c r="E10896" s="52" t="s">
        <v>25</v>
      </c>
      <c r="F10896" s="52" t="s">
        <v>26</v>
      </c>
      <c r="G10896" s="53"/>
    </row>
    <row r="10897">
      <c r="A10897" s="49">
        <v>45135.58165734954</v>
      </c>
      <c r="B10897" s="50">
        <v>45135.7066279745</v>
      </c>
      <c r="C10897" s="51">
        <v>1.003</v>
      </c>
      <c r="D10897" s="51">
        <v>74.0</v>
      </c>
      <c r="E10897" s="52" t="s">
        <v>25</v>
      </c>
      <c r="F10897" s="52" t="s">
        <v>26</v>
      </c>
      <c r="G10897" s="53"/>
    </row>
    <row r="10898">
      <c r="A10898" s="49">
        <v>45135.59208109954</v>
      </c>
      <c r="B10898" s="50">
        <v>45135.7170492245</v>
      </c>
      <c r="C10898" s="51">
        <v>1.003</v>
      </c>
      <c r="D10898" s="51">
        <v>74.0</v>
      </c>
      <c r="E10898" s="52" t="s">
        <v>25</v>
      </c>
      <c r="F10898" s="52" t="s">
        <v>26</v>
      </c>
      <c r="G10898" s="53"/>
    </row>
    <row r="10899">
      <c r="A10899" s="49">
        <v>45135.60250357639</v>
      </c>
      <c r="B10899" s="50">
        <v>45135.7274713194</v>
      </c>
      <c r="C10899" s="51">
        <v>1.003</v>
      </c>
      <c r="D10899" s="51">
        <v>74.0</v>
      </c>
      <c r="E10899" s="52" t="s">
        <v>25</v>
      </c>
      <c r="F10899" s="52" t="s">
        <v>26</v>
      </c>
      <c r="G10899" s="53"/>
    </row>
    <row r="10900">
      <c r="A10900" s="49">
        <v>45135.61291967593</v>
      </c>
      <c r="B10900" s="50">
        <v>45135.7378922453</v>
      </c>
      <c r="C10900" s="51">
        <v>1.003</v>
      </c>
      <c r="D10900" s="51">
        <v>74.0</v>
      </c>
      <c r="E10900" s="52" t="s">
        <v>25</v>
      </c>
      <c r="F10900" s="52" t="s">
        <v>26</v>
      </c>
      <c r="G10900" s="53"/>
    </row>
    <row r="10901">
      <c r="A10901" s="49">
        <v>45135.62334086806</v>
      </c>
      <c r="B10901" s="50">
        <v>45135.7483128125</v>
      </c>
      <c r="C10901" s="51">
        <v>1.003</v>
      </c>
      <c r="D10901" s="51">
        <v>74.0</v>
      </c>
      <c r="E10901" s="52" t="s">
        <v>25</v>
      </c>
      <c r="F10901" s="52" t="s">
        <v>26</v>
      </c>
      <c r="G10901" s="53"/>
    </row>
    <row r="10902">
      <c r="A10902" s="49">
        <v>45135.633751076384</v>
      </c>
      <c r="B10902" s="50">
        <v>45135.7587335416</v>
      </c>
      <c r="C10902" s="51">
        <v>1.003</v>
      </c>
      <c r="D10902" s="51">
        <v>74.0</v>
      </c>
      <c r="E10902" s="52" t="s">
        <v>25</v>
      </c>
      <c r="F10902" s="52" t="s">
        <v>26</v>
      </c>
      <c r="G10902" s="53"/>
    </row>
    <row r="10903">
      <c r="A10903" s="49">
        <v>45135.64418366898</v>
      </c>
      <c r="B10903" s="50">
        <v>45135.7691551273</v>
      </c>
      <c r="C10903" s="51">
        <v>1.003</v>
      </c>
      <c r="D10903" s="51">
        <v>74.0</v>
      </c>
      <c r="E10903" s="52" t="s">
        <v>25</v>
      </c>
      <c r="F10903" s="52" t="s">
        <v>26</v>
      </c>
      <c r="G10903" s="53"/>
    </row>
    <row r="10904">
      <c r="A10904" s="49">
        <v>45135.654597546294</v>
      </c>
      <c r="B10904" s="50">
        <v>45135.7795757754</v>
      </c>
      <c r="C10904" s="51">
        <v>1.003</v>
      </c>
      <c r="D10904" s="51">
        <v>74.0</v>
      </c>
      <c r="E10904" s="52" t="s">
        <v>25</v>
      </c>
      <c r="F10904" s="52" t="s">
        <v>26</v>
      </c>
      <c r="G10904" s="53"/>
    </row>
    <row r="10905">
      <c r="A10905" s="49">
        <v>45135.66502579861</v>
      </c>
      <c r="B10905" s="50">
        <v>45135.7899973495</v>
      </c>
      <c r="C10905" s="51">
        <v>1.003</v>
      </c>
      <c r="D10905" s="51">
        <v>74.0</v>
      </c>
      <c r="E10905" s="52" t="s">
        <v>25</v>
      </c>
      <c r="F10905" s="52" t="s">
        <v>26</v>
      </c>
      <c r="G10905" s="53"/>
    </row>
    <row r="10906">
      <c r="A10906" s="49">
        <v>45135.675449456015</v>
      </c>
      <c r="B10906" s="50">
        <v>45135.8004179166</v>
      </c>
      <c r="C10906" s="51">
        <v>1.003</v>
      </c>
      <c r="D10906" s="51">
        <v>74.0</v>
      </c>
      <c r="E10906" s="52" t="s">
        <v>25</v>
      </c>
      <c r="F10906" s="52" t="s">
        <v>26</v>
      </c>
      <c r="G10906" s="53"/>
    </row>
    <row r="10907">
      <c r="A10907" s="49">
        <v>45135.68586099537</v>
      </c>
      <c r="B10907" s="50">
        <v>45135.8108392129</v>
      </c>
      <c r="C10907" s="51">
        <v>1.003</v>
      </c>
      <c r="D10907" s="51">
        <v>74.0</v>
      </c>
      <c r="E10907" s="52" t="s">
        <v>25</v>
      </c>
      <c r="F10907" s="52" t="s">
        <v>26</v>
      </c>
      <c r="G10907" s="53"/>
    </row>
    <row r="10908">
      <c r="A10908" s="49">
        <v>45135.69630303241</v>
      </c>
      <c r="B10908" s="50">
        <v>45135.8212600926</v>
      </c>
      <c r="C10908" s="51">
        <v>1.003</v>
      </c>
      <c r="D10908" s="51">
        <v>74.0</v>
      </c>
      <c r="E10908" s="52" t="s">
        <v>25</v>
      </c>
      <c r="F10908" s="52" t="s">
        <v>26</v>
      </c>
      <c r="G10908" s="53"/>
    </row>
    <row r="10909">
      <c r="A10909" s="49">
        <v>45135.70671439815</v>
      </c>
      <c r="B10909" s="50">
        <v>45135.8316810069</v>
      </c>
      <c r="C10909" s="51">
        <v>1.003</v>
      </c>
      <c r="D10909" s="51">
        <v>74.0</v>
      </c>
      <c r="E10909" s="52" t="s">
        <v>25</v>
      </c>
      <c r="F10909" s="52" t="s">
        <v>26</v>
      </c>
      <c r="G10909" s="53"/>
    </row>
    <row r="10910">
      <c r="A10910" s="49">
        <v>45135.71713521991</v>
      </c>
      <c r="B10910" s="50">
        <v>45135.8421018287</v>
      </c>
      <c r="C10910" s="51">
        <v>1.003</v>
      </c>
      <c r="D10910" s="51">
        <v>74.0</v>
      </c>
      <c r="E10910" s="52" t="s">
        <v>25</v>
      </c>
      <c r="F10910" s="52" t="s">
        <v>26</v>
      </c>
      <c r="G10910" s="53"/>
    </row>
    <row r="10911">
      <c r="A10911" s="49">
        <v>45135.72755226852</v>
      </c>
      <c r="B10911" s="50">
        <v>45135.8525237731</v>
      </c>
      <c r="C10911" s="51">
        <v>1.003</v>
      </c>
      <c r="D10911" s="51">
        <v>74.0</v>
      </c>
      <c r="E10911" s="52" t="s">
        <v>25</v>
      </c>
      <c r="F10911" s="52" t="s">
        <v>26</v>
      </c>
      <c r="G10911" s="53"/>
    </row>
    <row r="10912">
      <c r="A10912" s="49">
        <v>45135.737987650464</v>
      </c>
      <c r="B10912" s="50">
        <v>45135.8629560648</v>
      </c>
      <c r="C10912" s="51">
        <v>1.003</v>
      </c>
      <c r="D10912" s="51">
        <v>74.0</v>
      </c>
      <c r="E10912" s="52" t="s">
        <v>25</v>
      </c>
      <c r="F10912" s="52" t="s">
        <v>26</v>
      </c>
      <c r="G10912" s="53"/>
    </row>
    <row r="10913">
      <c r="A10913" s="49">
        <v>45135.74841082176</v>
      </c>
      <c r="B10913" s="50">
        <v>45135.8733765856</v>
      </c>
      <c r="C10913" s="51">
        <v>1.003</v>
      </c>
      <c r="D10913" s="51">
        <v>74.0</v>
      </c>
      <c r="E10913" s="52" t="s">
        <v>25</v>
      </c>
      <c r="F10913" s="52" t="s">
        <v>26</v>
      </c>
      <c r="G10913" s="53"/>
    </row>
    <row r="10914">
      <c r="A10914" s="49">
        <v>45135.75882778935</v>
      </c>
      <c r="B10914" s="50">
        <v>45135.883799074</v>
      </c>
      <c r="C10914" s="51">
        <v>1.003</v>
      </c>
      <c r="D10914" s="51">
        <v>74.0</v>
      </c>
      <c r="E10914" s="52" t="s">
        <v>25</v>
      </c>
      <c r="F10914" s="52" t="s">
        <v>26</v>
      </c>
      <c r="G10914" s="53"/>
    </row>
    <row r="10915">
      <c r="A10915" s="49">
        <v>45135.769247986114</v>
      </c>
      <c r="B10915" s="50">
        <v>45135.8942186574</v>
      </c>
      <c r="C10915" s="51">
        <v>1.003</v>
      </c>
      <c r="D10915" s="51">
        <v>74.0</v>
      </c>
      <c r="E10915" s="52" t="s">
        <v>25</v>
      </c>
      <c r="F10915" s="52" t="s">
        <v>26</v>
      </c>
      <c r="G10915" s="53"/>
    </row>
    <row r="10916">
      <c r="A10916" s="49">
        <v>45135.77966667824</v>
      </c>
      <c r="B10916" s="50">
        <v>45135.9046396064</v>
      </c>
      <c r="C10916" s="51">
        <v>1.003</v>
      </c>
      <c r="D10916" s="51">
        <v>74.0</v>
      </c>
      <c r="E10916" s="52" t="s">
        <v>25</v>
      </c>
      <c r="F10916" s="52" t="s">
        <v>26</v>
      </c>
      <c r="G10916" s="53"/>
    </row>
    <row r="10917">
      <c r="A10917" s="49">
        <v>45135.790080949075</v>
      </c>
      <c r="B10917" s="50">
        <v>45135.9150601157</v>
      </c>
      <c r="C10917" s="51">
        <v>1.003</v>
      </c>
      <c r="D10917" s="51">
        <v>74.0</v>
      </c>
      <c r="E10917" s="52" t="s">
        <v>25</v>
      </c>
      <c r="F10917" s="52" t="s">
        <v>26</v>
      </c>
      <c r="G10917" s="53"/>
    </row>
    <row r="10918">
      <c r="A10918" s="49">
        <v>45135.80051584491</v>
      </c>
      <c r="B10918" s="50">
        <v>45135.9254932638</v>
      </c>
      <c r="C10918" s="51">
        <v>1.003</v>
      </c>
      <c r="D10918" s="51">
        <v>74.0</v>
      </c>
      <c r="E10918" s="52" t="s">
        <v>25</v>
      </c>
      <c r="F10918" s="52" t="s">
        <v>26</v>
      </c>
      <c r="G10918" s="53"/>
    </row>
    <row r="10919">
      <c r="A10919" s="49">
        <v>45135.81094685185</v>
      </c>
      <c r="B10919" s="50">
        <v>45135.9359142245</v>
      </c>
      <c r="C10919" s="51">
        <v>1.003</v>
      </c>
      <c r="D10919" s="51">
        <v>74.0</v>
      </c>
      <c r="E10919" s="52" t="s">
        <v>25</v>
      </c>
      <c r="F10919" s="52" t="s">
        <v>26</v>
      </c>
      <c r="G10919" s="53"/>
    </row>
    <row r="10920">
      <c r="A10920" s="49">
        <v>45135.8213656713</v>
      </c>
      <c r="B10920" s="50">
        <v>45135.9463346875</v>
      </c>
      <c r="C10920" s="51">
        <v>1.003</v>
      </c>
      <c r="D10920" s="51">
        <v>74.0</v>
      </c>
      <c r="E10920" s="52" t="s">
        <v>25</v>
      </c>
      <c r="F10920" s="52" t="s">
        <v>26</v>
      </c>
      <c r="G10920" s="53"/>
    </row>
    <row r="10921">
      <c r="A10921" s="49">
        <v>45135.83177809027</v>
      </c>
      <c r="B10921" s="50">
        <v>45135.9567547106</v>
      </c>
      <c r="C10921" s="51">
        <v>1.003</v>
      </c>
      <c r="D10921" s="51">
        <v>74.0</v>
      </c>
      <c r="E10921" s="52" t="s">
        <v>25</v>
      </c>
      <c r="F10921" s="52" t="s">
        <v>26</v>
      </c>
      <c r="G10921" s="53"/>
    </row>
    <row r="10922">
      <c r="A10922" s="49">
        <v>45135.84220613426</v>
      </c>
      <c r="B10922" s="50">
        <v>45135.9671782754</v>
      </c>
      <c r="C10922" s="51">
        <v>1.003</v>
      </c>
      <c r="D10922" s="51">
        <v>74.0</v>
      </c>
      <c r="E10922" s="52" t="s">
        <v>25</v>
      </c>
      <c r="F10922" s="52" t="s">
        <v>26</v>
      </c>
      <c r="G10922" s="53"/>
    </row>
    <row r="10923">
      <c r="A10923" s="49">
        <v>45135.85265439815</v>
      </c>
      <c r="B10923" s="50">
        <v>45135.9776233449</v>
      </c>
      <c r="C10923" s="51">
        <v>1.003</v>
      </c>
      <c r="D10923" s="51">
        <v>74.0</v>
      </c>
      <c r="E10923" s="52" t="s">
        <v>25</v>
      </c>
      <c r="F10923" s="52" t="s">
        <v>26</v>
      </c>
      <c r="G10923" s="53"/>
    </row>
    <row r="10924">
      <c r="A10924" s="49">
        <v>45135.86307737268</v>
      </c>
      <c r="B10924" s="50">
        <v>45135.9880435763</v>
      </c>
      <c r="C10924" s="51">
        <v>1.003</v>
      </c>
      <c r="D10924" s="51">
        <v>74.0</v>
      </c>
      <c r="E10924" s="52" t="s">
        <v>25</v>
      </c>
      <c r="F10924" s="52" t="s">
        <v>26</v>
      </c>
      <c r="G10924" s="53"/>
    </row>
    <row r="10925">
      <c r="A10925" s="49">
        <v>45135.873495</v>
      </c>
      <c r="B10925" s="50">
        <v>45135.9984662847</v>
      </c>
      <c r="C10925" s="51">
        <v>1.003</v>
      </c>
      <c r="D10925" s="51">
        <v>74.0</v>
      </c>
      <c r="E10925" s="52" t="s">
        <v>25</v>
      </c>
      <c r="F10925" s="52" t="s">
        <v>26</v>
      </c>
      <c r="G10925" s="53"/>
    </row>
    <row r="10926">
      <c r="A10926" s="49">
        <v>45135.88391371528</v>
      </c>
      <c r="B10926" s="50">
        <v>45136.0088857175</v>
      </c>
      <c r="C10926" s="51">
        <v>1.003</v>
      </c>
      <c r="D10926" s="51">
        <v>74.0</v>
      </c>
      <c r="E10926" s="52" t="s">
        <v>25</v>
      </c>
      <c r="F10926" s="52" t="s">
        <v>26</v>
      </c>
      <c r="G10926" s="53"/>
    </row>
    <row r="10927">
      <c r="A10927" s="49">
        <v>45135.89433252315</v>
      </c>
      <c r="B10927" s="50">
        <v>45136.0193062037</v>
      </c>
      <c r="C10927" s="51">
        <v>1.003</v>
      </c>
      <c r="D10927" s="51">
        <v>74.0</v>
      </c>
      <c r="E10927" s="52" t="s">
        <v>25</v>
      </c>
      <c r="F10927" s="52" t="s">
        <v>26</v>
      </c>
      <c r="G10927" s="53"/>
    </row>
    <row r="10928">
      <c r="A10928" s="49">
        <v>45135.90475760416</v>
      </c>
      <c r="B10928" s="50">
        <v>45136.0297288888</v>
      </c>
      <c r="C10928" s="51">
        <v>1.003</v>
      </c>
      <c r="D10928" s="51">
        <v>74.0</v>
      </c>
      <c r="E10928" s="52" t="s">
        <v>25</v>
      </c>
      <c r="F10928" s="52" t="s">
        <v>26</v>
      </c>
      <c r="G10928" s="53"/>
    </row>
    <row r="10929">
      <c r="A10929" s="49">
        <v>45135.91517947917</v>
      </c>
      <c r="B10929" s="50">
        <v>45136.0401494213</v>
      </c>
      <c r="C10929" s="51">
        <v>1.003</v>
      </c>
      <c r="D10929" s="51">
        <v>74.0</v>
      </c>
      <c r="E10929" s="52" t="s">
        <v>25</v>
      </c>
      <c r="F10929" s="52" t="s">
        <v>26</v>
      </c>
      <c r="G10929" s="53"/>
    </row>
    <row r="10930">
      <c r="A10930" s="49">
        <v>45135.92559388889</v>
      </c>
      <c r="B10930" s="50">
        <v>45136.0505698148</v>
      </c>
      <c r="C10930" s="51">
        <v>1.003</v>
      </c>
      <c r="D10930" s="51">
        <v>74.0</v>
      </c>
      <c r="E10930" s="52" t="s">
        <v>25</v>
      </c>
      <c r="F10930" s="52" t="s">
        <v>26</v>
      </c>
      <c r="G10930" s="53"/>
    </row>
    <row r="10931">
      <c r="A10931" s="49">
        <v>45135.93602597222</v>
      </c>
      <c r="B10931" s="50">
        <v>45136.0609918634</v>
      </c>
      <c r="C10931" s="51">
        <v>1.003</v>
      </c>
      <c r="D10931" s="51">
        <v>74.0</v>
      </c>
      <c r="E10931" s="52" t="s">
        <v>25</v>
      </c>
      <c r="F10931" s="52" t="s">
        <v>26</v>
      </c>
      <c r="G10931" s="53"/>
    </row>
    <row r="10932">
      <c r="A10932" s="49">
        <v>45135.9464384375</v>
      </c>
      <c r="B10932" s="50">
        <v>45136.0714128009</v>
      </c>
      <c r="C10932" s="51">
        <v>1.003</v>
      </c>
      <c r="D10932" s="51">
        <v>74.0</v>
      </c>
      <c r="E10932" s="52" t="s">
        <v>25</v>
      </c>
      <c r="F10932" s="52" t="s">
        <v>26</v>
      </c>
      <c r="G10932" s="53"/>
    </row>
    <row r="10933">
      <c r="A10933" s="49">
        <v>45135.95686491898</v>
      </c>
      <c r="B10933" s="50">
        <v>45136.0818331134</v>
      </c>
      <c r="C10933" s="51">
        <v>1.003</v>
      </c>
      <c r="D10933" s="51">
        <v>74.0</v>
      </c>
      <c r="E10933" s="52" t="s">
        <v>25</v>
      </c>
      <c r="F10933" s="52" t="s">
        <v>26</v>
      </c>
      <c r="G10933" s="53"/>
    </row>
    <row r="10934">
      <c r="A10934" s="49">
        <v>45135.96727775463</v>
      </c>
      <c r="B10934" s="50">
        <v>45136.0922539467</v>
      </c>
      <c r="C10934" s="51">
        <v>1.003</v>
      </c>
      <c r="D10934" s="51">
        <v>74.0</v>
      </c>
      <c r="E10934" s="52" t="s">
        <v>25</v>
      </c>
      <c r="F10934" s="52" t="s">
        <v>26</v>
      </c>
      <c r="G10934" s="53"/>
    </row>
    <row r="10935">
      <c r="A10935" s="49">
        <v>45135.97771857639</v>
      </c>
      <c r="B10935" s="50">
        <v>45136.1026895138</v>
      </c>
      <c r="C10935" s="51">
        <v>1.003</v>
      </c>
      <c r="D10935" s="51">
        <v>74.0</v>
      </c>
      <c r="E10935" s="52" t="s">
        <v>25</v>
      </c>
      <c r="F10935" s="52" t="s">
        <v>26</v>
      </c>
      <c r="G10935" s="53"/>
    </row>
    <row r="10936">
      <c r="A10936" s="49">
        <v>45135.98814168981</v>
      </c>
      <c r="B10936" s="50">
        <v>45136.1131104398</v>
      </c>
      <c r="C10936" s="51">
        <v>1.003</v>
      </c>
      <c r="D10936" s="51">
        <v>74.0</v>
      </c>
      <c r="E10936" s="52" t="s">
        <v>25</v>
      </c>
      <c r="F10936" s="52" t="s">
        <v>26</v>
      </c>
      <c r="G10936" s="53"/>
    </row>
    <row r="10937">
      <c r="A10937" s="49">
        <v>45135.99855325231</v>
      </c>
      <c r="B10937" s="50">
        <v>45136.1235325</v>
      </c>
      <c r="C10937" s="51">
        <v>1.003</v>
      </c>
      <c r="D10937" s="51">
        <v>74.0</v>
      </c>
      <c r="E10937" s="52" t="s">
        <v>25</v>
      </c>
      <c r="F10937" s="52" t="s">
        <v>26</v>
      </c>
      <c r="G10937" s="53"/>
    </row>
    <row r="10938">
      <c r="A10938" s="49">
        <v>45136.00898277778</v>
      </c>
      <c r="B10938" s="50">
        <v>45136.1339544213</v>
      </c>
      <c r="C10938" s="51">
        <v>1.003</v>
      </c>
      <c r="D10938" s="51">
        <v>74.0</v>
      </c>
      <c r="E10938" s="52" t="s">
        <v>25</v>
      </c>
      <c r="F10938" s="52" t="s">
        <v>26</v>
      </c>
      <c r="G10938" s="53"/>
    </row>
    <row r="10939">
      <c r="A10939" s="49">
        <v>45136.01944034723</v>
      </c>
      <c r="B10939" s="50">
        <v>45136.1444114699</v>
      </c>
      <c r="C10939" s="51">
        <v>1.003</v>
      </c>
      <c r="D10939" s="51">
        <v>74.0</v>
      </c>
      <c r="E10939" s="52" t="s">
        <v>25</v>
      </c>
      <c r="F10939" s="52" t="s">
        <v>26</v>
      </c>
      <c r="G10939" s="53"/>
    </row>
    <row r="10940">
      <c r="A10940" s="49">
        <v>45136.02987731481</v>
      </c>
      <c r="B10940" s="50">
        <v>45136.154845868</v>
      </c>
      <c r="C10940" s="51">
        <v>1.003</v>
      </c>
      <c r="D10940" s="51">
        <v>74.0</v>
      </c>
      <c r="E10940" s="52" t="s">
        <v>25</v>
      </c>
      <c r="F10940" s="52" t="s">
        <v>26</v>
      </c>
      <c r="G10940" s="53"/>
    </row>
    <row r="10941">
      <c r="A10941" s="49">
        <v>45136.04029837963</v>
      </c>
      <c r="B10941" s="50">
        <v>45136.1652669328</v>
      </c>
      <c r="C10941" s="51">
        <v>1.003</v>
      </c>
      <c r="D10941" s="51">
        <v>74.0</v>
      </c>
      <c r="E10941" s="52" t="s">
        <v>25</v>
      </c>
      <c r="F10941" s="52" t="s">
        <v>26</v>
      </c>
      <c r="G10941" s="53"/>
    </row>
    <row r="10942">
      <c r="A10942" s="49">
        <v>45136.05072025463</v>
      </c>
      <c r="B10942" s="50">
        <v>45136.175686574</v>
      </c>
      <c r="C10942" s="51">
        <v>1.003</v>
      </c>
      <c r="D10942" s="51">
        <v>74.0</v>
      </c>
      <c r="E10942" s="52" t="s">
        <v>25</v>
      </c>
      <c r="F10942" s="52" t="s">
        <v>26</v>
      </c>
      <c r="G10942" s="53"/>
    </row>
    <row r="10943">
      <c r="A10943" s="49">
        <v>45136.06113427083</v>
      </c>
      <c r="B10943" s="50">
        <v>45136.1861083333</v>
      </c>
      <c r="C10943" s="51">
        <v>1.003</v>
      </c>
      <c r="D10943" s="51">
        <v>74.0</v>
      </c>
      <c r="E10943" s="52" t="s">
        <v>25</v>
      </c>
      <c r="F10943" s="52" t="s">
        <v>26</v>
      </c>
      <c r="G10943" s="53"/>
    </row>
    <row r="10944">
      <c r="A10944" s="49">
        <v>45136.071554016205</v>
      </c>
      <c r="B10944" s="50">
        <v>45136.1965277546</v>
      </c>
      <c r="C10944" s="51">
        <v>1.003</v>
      </c>
      <c r="D10944" s="51">
        <v>74.0</v>
      </c>
      <c r="E10944" s="52" t="s">
        <v>25</v>
      </c>
      <c r="F10944" s="52" t="s">
        <v>26</v>
      </c>
      <c r="G10944" s="53"/>
    </row>
    <row r="10945">
      <c r="A10945" s="49">
        <v>45136.08198054398</v>
      </c>
      <c r="B10945" s="50">
        <v>45136.2069484143</v>
      </c>
      <c r="C10945" s="51">
        <v>1.003</v>
      </c>
      <c r="D10945" s="51">
        <v>74.0</v>
      </c>
      <c r="E10945" s="52" t="s">
        <v>25</v>
      </c>
      <c r="F10945" s="52" t="s">
        <v>26</v>
      </c>
      <c r="G10945" s="53"/>
    </row>
    <row r="10946">
      <c r="A10946" s="49">
        <v>45136.09240518518</v>
      </c>
      <c r="B10946" s="50">
        <v>45136.2173708796</v>
      </c>
      <c r="C10946" s="51">
        <v>1.003</v>
      </c>
      <c r="D10946" s="51">
        <v>74.0</v>
      </c>
      <c r="E10946" s="52" t="s">
        <v>25</v>
      </c>
      <c r="F10946" s="52" t="s">
        <v>26</v>
      </c>
      <c r="G10946" s="53"/>
    </row>
    <row r="10947">
      <c r="A10947" s="49">
        <v>45136.10281591435</v>
      </c>
      <c r="B10947" s="50">
        <v>45136.2277923611</v>
      </c>
      <c r="C10947" s="51">
        <v>1.003</v>
      </c>
      <c r="D10947" s="51">
        <v>74.0</v>
      </c>
      <c r="E10947" s="52" t="s">
        <v>25</v>
      </c>
      <c r="F10947" s="52" t="s">
        <v>26</v>
      </c>
      <c r="G10947" s="53"/>
    </row>
    <row r="10948">
      <c r="A10948" s="49">
        <v>45136.11324162037</v>
      </c>
      <c r="B10948" s="50">
        <v>45136.2382135648</v>
      </c>
      <c r="C10948" s="51">
        <v>1.003</v>
      </c>
      <c r="D10948" s="51">
        <v>74.0</v>
      </c>
      <c r="E10948" s="52" t="s">
        <v>25</v>
      </c>
      <c r="F10948" s="52" t="s">
        <v>26</v>
      </c>
      <c r="G10948" s="53"/>
    </row>
    <row r="10949">
      <c r="A10949" s="49">
        <v>45136.123656446754</v>
      </c>
      <c r="B10949" s="50">
        <v>45136.2486331481</v>
      </c>
      <c r="C10949" s="51">
        <v>1.003</v>
      </c>
      <c r="D10949" s="51">
        <v>74.0</v>
      </c>
      <c r="E10949" s="52" t="s">
        <v>25</v>
      </c>
      <c r="F10949" s="52" t="s">
        <v>26</v>
      </c>
      <c r="G10949" s="53"/>
    </row>
    <row r="10950">
      <c r="A10950" s="49">
        <v>45136.134077650466</v>
      </c>
      <c r="B10950" s="50">
        <v>45136.2590529051</v>
      </c>
      <c r="C10950" s="51">
        <v>1.003</v>
      </c>
      <c r="D10950" s="51">
        <v>74.0</v>
      </c>
      <c r="E10950" s="52" t="s">
        <v>25</v>
      </c>
      <c r="F10950" s="52" t="s">
        <v>26</v>
      </c>
      <c r="G10950" s="53"/>
    </row>
    <row r="10951">
      <c r="A10951" s="49">
        <v>45136.14450667824</v>
      </c>
      <c r="B10951" s="50">
        <v>45136.2694741203</v>
      </c>
      <c r="C10951" s="51">
        <v>1.003</v>
      </c>
      <c r="D10951" s="51">
        <v>74.0</v>
      </c>
      <c r="E10951" s="52" t="s">
        <v>25</v>
      </c>
      <c r="F10951" s="52" t="s">
        <v>26</v>
      </c>
      <c r="G10951" s="53"/>
    </row>
    <row r="10952">
      <c r="A10952" s="49">
        <v>45136.15494896991</v>
      </c>
      <c r="B10952" s="50">
        <v>45136.2798940277</v>
      </c>
      <c r="C10952" s="51">
        <v>1.003</v>
      </c>
      <c r="D10952" s="51">
        <v>74.0</v>
      </c>
      <c r="E10952" s="52" t="s">
        <v>25</v>
      </c>
      <c r="F10952" s="52" t="s">
        <v>26</v>
      </c>
      <c r="G10952" s="53"/>
    </row>
    <row r="10953">
      <c r="A10953" s="49">
        <v>45136.16534045139</v>
      </c>
      <c r="B10953" s="50">
        <v>45136.290315706</v>
      </c>
      <c r="C10953" s="51">
        <v>1.003</v>
      </c>
      <c r="D10953" s="51">
        <v>74.0</v>
      </c>
      <c r="E10953" s="52" t="s">
        <v>25</v>
      </c>
      <c r="F10953" s="52" t="s">
        <v>26</v>
      </c>
      <c r="G10953" s="53"/>
    </row>
    <row r="10954">
      <c r="A10954" s="49">
        <v>45136.17577793982</v>
      </c>
      <c r="B10954" s="50">
        <v>45136.3007475463</v>
      </c>
      <c r="C10954" s="51">
        <v>1.003</v>
      </c>
      <c r="D10954" s="51">
        <v>74.0</v>
      </c>
      <c r="E10954" s="52" t="s">
        <v>25</v>
      </c>
      <c r="F10954" s="52" t="s">
        <v>26</v>
      </c>
      <c r="G10954" s="53"/>
    </row>
    <row r="10955">
      <c r="A10955" s="49">
        <v>45136.18619559028</v>
      </c>
      <c r="B10955" s="50">
        <v>45136.3111689004</v>
      </c>
      <c r="C10955" s="51">
        <v>1.003</v>
      </c>
      <c r="D10955" s="51">
        <v>74.0</v>
      </c>
      <c r="E10955" s="52" t="s">
        <v>25</v>
      </c>
      <c r="F10955" s="52" t="s">
        <v>26</v>
      </c>
      <c r="G10955" s="53"/>
    </row>
    <row r="10956">
      <c r="A10956" s="49">
        <v>45136.196618518516</v>
      </c>
      <c r="B10956" s="50">
        <v>45136.3215896527</v>
      </c>
      <c r="C10956" s="51">
        <v>1.003</v>
      </c>
      <c r="D10956" s="51">
        <v>74.0</v>
      </c>
      <c r="E10956" s="52" t="s">
        <v>25</v>
      </c>
      <c r="F10956" s="52" t="s">
        <v>26</v>
      </c>
      <c r="G10956" s="53"/>
    </row>
    <row r="10957">
      <c r="A10957" s="49">
        <v>45136.207044675924</v>
      </c>
      <c r="B10957" s="50">
        <v>45136.3320131018</v>
      </c>
      <c r="C10957" s="51">
        <v>1.003</v>
      </c>
      <c r="D10957" s="51">
        <v>74.0</v>
      </c>
      <c r="E10957" s="52" t="s">
        <v>25</v>
      </c>
      <c r="F10957" s="52" t="s">
        <v>26</v>
      </c>
      <c r="G10957" s="53"/>
    </row>
    <row r="10958">
      <c r="A10958" s="49">
        <v>45136.217465821755</v>
      </c>
      <c r="B10958" s="50">
        <v>45136.3424370254</v>
      </c>
      <c r="C10958" s="51">
        <v>1.003</v>
      </c>
      <c r="D10958" s="51">
        <v>74.0</v>
      </c>
      <c r="E10958" s="52" t="s">
        <v>25</v>
      </c>
      <c r="F10958" s="52" t="s">
        <v>26</v>
      </c>
      <c r="G10958" s="53"/>
    </row>
    <row r="10959">
      <c r="A10959" s="49">
        <v>45136.227880590275</v>
      </c>
      <c r="B10959" s="50">
        <v>45136.3528587268</v>
      </c>
      <c r="C10959" s="51">
        <v>1.003</v>
      </c>
      <c r="D10959" s="51">
        <v>74.0</v>
      </c>
      <c r="E10959" s="52" t="s">
        <v>25</v>
      </c>
      <c r="F10959" s="52" t="s">
        <v>26</v>
      </c>
      <c r="G10959" s="53"/>
    </row>
    <row r="10960">
      <c r="A10960" s="49">
        <v>45136.23830503473</v>
      </c>
      <c r="B10960" s="50">
        <v>45136.363280162</v>
      </c>
      <c r="C10960" s="51">
        <v>1.003</v>
      </c>
      <c r="D10960" s="51">
        <v>74.0</v>
      </c>
      <c r="E10960" s="52" t="s">
        <v>25</v>
      </c>
      <c r="F10960" s="52" t="s">
        <v>26</v>
      </c>
      <c r="G10960" s="53"/>
    </row>
    <row r="10961">
      <c r="A10961" s="49">
        <v>45136.248729652776</v>
      </c>
      <c r="B10961" s="50">
        <v>45136.3737005439</v>
      </c>
      <c r="C10961" s="51">
        <v>1.003</v>
      </c>
      <c r="D10961" s="51">
        <v>74.0</v>
      </c>
      <c r="E10961" s="52" t="s">
        <v>25</v>
      </c>
      <c r="F10961" s="52" t="s">
        <v>26</v>
      </c>
      <c r="G10961" s="53"/>
    </row>
    <row r="10962">
      <c r="A10962" s="49">
        <v>45136.25915854167</v>
      </c>
      <c r="B10962" s="50">
        <v>45136.3841213657</v>
      </c>
      <c r="C10962" s="51">
        <v>1.003</v>
      </c>
      <c r="D10962" s="51">
        <v>74.0</v>
      </c>
      <c r="E10962" s="52" t="s">
        <v>25</v>
      </c>
      <c r="F10962" s="52" t="s">
        <v>26</v>
      </c>
      <c r="G10962" s="53"/>
    </row>
    <row r="10963">
      <c r="A10963" s="49">
        <v>45136.269566874995</v>
      </c>
      <c r="B10963" s="50">
        <v>45136.3945421296</v>
      </c>
      <c r="C10963" s="51">
        <v>1.003</v>
      </c>
      <c r="D10963" s="51">
        <v>74.0</v>
      </c>
      <c r="E10963" s="52" t="s">
        <v>25</v>
      </c>
      <c r="F10963" s="52" t="s">
        <v>26</v>
      </c>
      <c r="G10963" s="53"/>
    </row>
    <row r="10964">
      <c r="A10964" s="49">
        <v>45136.27998568287</v>
      </c>
      <c r="B10964" s="50">
        <v>45136.4049630439</v>
      </c>
      <c r="C10964" s="51">
        <v>1.003</v>
      </c>
      <c r="D10964" s="51">
        <v>74.0</v>
      </c>
      <c r="E10964" s="52" t="s">
        <v>25</v>
      </c>
      <c r="F10964" s="52" t="s">
        <v>26</v>
      </c>
      <c r="G10964" s="53"/>
    </row>
    <row r="10965">
      <c r="A10965" s="49">
        <v>45136.29040666667</v>
      </c>
      <c r="B10965" s="50">
        <v>45136.4153843865</v>
      </c>
      <c r="C10965" s="51">
        <v>1.003</v>
      </c>
      <c r="D10965" s="51">
        <v>74.0</v>
      </c>
      <c r="E10965" s="52" t="s">
        <v>25</v>
      </c>
      <c r="F10965" s="52" t="s">
        <v>26</v>
      </c>
      <c r="G10965" s="53"/>
    </row>
    <row r="10966">
      <c r="A10966" s="49">
        <v>45136.300837268514</v>
      </c>
      <c r="B10966" s="50">
        <v>45136.4258061689</v>
      </c>
      <c r="C10966" s="51">
        <v>1.003</v>
      </c>
      <c r="D10966" s="51">
        <v>74.0</v>
      </c>
      <c r="E10966" s="52" t="s">
        <v>25</v>
      </c>
      <c r="F10966" s="52" t="s">
        <v>26</v>
      </c>
      <c r="G10966" s="53"/>
    </row>
    <row r="10967">
      <c r="A10967" s="49">
        <v>45136.311268460646</v>
      </c>
      <c r="B10967" s="50">
        <v>45136.4362373611</v>
      </c>
      <c r="C10967" s="51">
        <v>1.003</v>
      </c>
      <c r="D10967" s="51">
        <v>74.0</v>
      </c>
      <c r="E10967" s="52" t="s">
        <v>25</v>
      </c>
      <c r="F10967" s="52" t="s">
        <v>26</v>
      </c>
      <c r="G10967" s="53"/>
    </row>
    <row r="10968">
      <c r="A10968" s="49">
        <v>45136.32169114583</v>
      </c>
      <c r="B10968" s="50">
        <v>45136.4466606134</v>
      </c>
      <c r="C10968" s="51">
        <v>1.003</v>
      </c>
      <c r="D10968" s="51">
        <v>74.0</v>
      </c>
      <c r="E10968" s="52" t="s">
        <v>25</v>
      </c>
      <c r="F10968" s="52" t="s">
        <v>26</v>
      </c>
      <c r="G10968" s="53"/>
    </row>
    <row r="10969">
      <c r="A10969" s="49">
        <v>45136.33211564815</v>
      </c>
      <c r="B10969" s="50">
        <v>45136.4570806481</v>
      </c>
      <c r="C10969" s="51">
        <v>1.003</v>
      </c>
      <c r="D10969" s="51">
        <v>74.0</v>
      </c>
      <c r="E10969" s="52" t="s">
        <v>25</v>
      </c>
      <c r="F10969" s="52" t="s">
        <v>26</v>
      </c>
      <c r="G10969" s="53"/>
    </row>
    <row r="10970">
      <c r="A10970" s="49">
        <v>45136.34253138889</v>
      </c>
      <c r="B10970" s="50">
        <v>45136.4675016782</v>
      </c>
      <c r="C10970" s="51">
        <v>1.003</v>
      </c>
      <c r="D10970" s="51">
        <v>74.0</v>
      </c>
      <c r="E10970" s="52" t="s">
        <v>25</v>
      </c>
      <c r="F10970" s="52" t="s">
        <v>26</v>
      </c>
      <c r="G10970" s="53"/>
    </row>
    <row r="10971">
      <c r="A10971" s="49">
        <v>45136.35296047454</v>
      </c>
      <c r="B10971" s="50">
        <v>45136.4779363888</v>
      </c>
      <c r="C10971" s="51">
        <v>1.003</v>
      </c>
      <c r="D10971" s="51">
        <v>74.0</v>
      </c>
      <c r="E10971" s="52" t="s">
        <v>25</v>
      </c>
      <c r="F10971" s="52" t="s">
        <v>26</v>
      </c>
      <c r="G10971" s="53"/>
    </row>
    <row r="10972">
      <c r="A10972" s="49">
        <v>45136.36338126157</v>
      </c>
      <c r="B10972" s="50">
        <v>45136.4883583333</v>
      </c>
      <c r="C10972" s="51">
        <v>1.003</v>
      </c>
      <c r="D10972" s="51">
        <v>74.0</v>
      </c>
      <c r="E10972" s="52" t="s">
        <v>25</v>
      </c>
      <c r="F10972" s="52" t="s">
        <v>26</v>
      </c>
      <c r="G10972" s="53"/>
    </row>
    <row r="10973">
      <c r="A10973" s="49">
        <v>45136.37380689815</v>
      </c>
      <c r="B10973" s="50">
        <v>45136.4987802314</v>
      </c>
      <c r="C10973" s="51">
        <v>1.003</v>
      </c>
      <c r="D10973" s="51">
        <v>74.0</v>
      </c>
      <c r="E10973" s="52" t="s">
        <v>25</v>
      </c>
      <c r="F10973" s="52" t="s">
        <v>26</v>
      </c>
      <c r="G10973" s="53"/>
    </row>
    <row r="10974">
      <c r="A10974" s="49">
        <v>45136.384237349535</v>
      </c>
      <c r="B10974" s="50">
        <v>45136.5092018518</v>
      </c>
      <c r="C10974" s="51">
        <v>1.003</v>
      </c>
      <c r="D10974" s="51">
        <v>74.0</v>
      </c>
      <c r="E10974" s="52" t="s">
        <v>25</v>
      </c>
      <c r="F10974" s="52" t="s">
        <v>26</v>
      </c>
      <c r="G10974" s="53"/>
    </row>
    <row r="10975">
      <c r="A10975" s="49">
        <v>45136.39465835648</v>
      </c>
      <c r="B10975" s="50">
        <v>45136.5196248379</v>
      </c>
      <c r="C10975" s="51">
        <v>1.003</v>
      </c>
      <c r="D10975" s="51">
        <v>74.0</v>
      </c>
      <c r="E10975" s="52" t="s">
        <v>25</v>
      </c>
      <c r="F10975" s="52" t="s">
        <v>26</v>
      </c>
      <c r="G10975" s="53"/>
    </row>
    <row r="10976">
      <c r="A10976" s="49">
        <v>45136.40509005787</v>
      </c>
      <c r="B10976" s="50">
        <v>45136.5300588888</v>
      </c>
      <c r="C10976" s="51">
        <v>1.003</v>
      </c>
      <c r="D10976" s="51">
        <v>74.0</v>
      </c>
      <c r="E10976" s="52" t="s">
        <v>25</v>
      </c>
      <c r="F10976" s="52" t="s">
        <v>26</v>
      </c>
      <c r="G10976" s="53"/>
    </row>
    <row r="10977">
      <c r="A10977" s="49">
        <v>45136.41550425926</v>
      </c>
      <c r="B10977" s="50">
        <v>45136.5404804166</v>
      </c>
      <c r="C10977" s="51">
        <v>1.003</v>
      </c>
      <c r="D10977" s="51">
        <v>74.0</v>
      </c>
      <c r="E10977" s="52" t="s">
        <v>25</v>
      </c>
      <c r="F10977" s="52" t="s">
        <v>26</v>
      </c>
      <c r="G10977" s="53"/>
    </row>
    <row r="10978">
      <c r="A10978" s="49">
        <v>45136.42593641204</v>
      </c>
      <c r="B10978" s="50">
        <v>45136.5509017361</v>
      </c>
      <c r="C10978" s="51">
        <v>1.003</v>
      </c>
      <c r="D10978" s="51">
        <v>74.0</v>
      </c>
      <c r="E10978" s="52" t="s">
        <v>25</v>
      </c>
      <c r="F10978" s="52" t="s">
        <v>26</v>
      </c>
      <c r="G10978" s="53"/>
    </row>
    <row r="10979">
      <c r="A10979" s="49">
        <v>45136.43635908565</v>
      </c>
      <c r="B10979" s="50">
        <v>45136.5613229282</v>
      </c>
      <c r="C10979" s="51">
        <v>1.003</v>
      </c>
      <c r="D10979" s="51">
        <v>74.0</v>
      </c>
      <c r="E10979" s="52" t="s">
        <v>25</v>
      </c>
      <c r="F10979" s="52" t="s">
        <v>26</v>
      </c>
      <c r="G10979" s="53"/>
    </row>
    <row r="10980">
      <c r="A10980" s="49">
        <v>45136.44676983796</v>
      </c>
      <c r="B10980" s="50">
        <v>45136.5717437384</v>
      </c>
      <c r="C10980" s="51">
        <v>1.003</v>
      </c>
      <c r="D10980" s="51">
        <v>74.0</v>
      </c>
      <c r="E10980" s="52" t="s">
        <v>25</v>
      </c>
      <c r="F10980" s="52" t="s">
        <v>26</v>
      </c>
      <c r="G10980" s="53"/>
    </row>
    <row r="10981">
      <c r="A10981" s="49">
        <v>45136.45720414352</v>
      </c>
      <c r="B10981" s="50">
        <v>45136.5821760532</v>
      </c>
      <c r="C10981" s="51">
        <v>1.003</v>
      </c>
      <c r="D10981" s="51">
        <v>74.0</v>
      </c>
      <c r="E10981" s="52" t="s">
        <v>25</v>
      </c>
      <c r="F10981" s="52" t="s">
        <v>26</v>
      </c>
      <c r="G10981" s="53"/>
    </row>
    <row r="10982">
      <c r="A10982" s="49">
        <v>45136.46762863426</v>
      </c>
      <c r="B10982" s="50">
        <v>45136.5925986458</v>
      </c>
      <c r="C10982" s="51">
        <v>1.003</v>
      </c>
      <c r="D10982" s="51">
        <v>74.0</v>
      </c>
      <c r="E10982" s="52" t="s">
        <v>25</v>
      </c>
      <c r="F10982" s="52" t="s">
        <v>26</v>
      </c>
      <c r="G10982" s="53"/>
    </row>
    <row r="10983">
      <c r="A10983" s="49">
        <v>45136.478048159726</v>
      </c>
      <c r="B10983" s="50">
        <v>45136.6030199768</v>
      </c>
      <c r="C10983" s="51">
        <v>1.003</v>
      </c>
      <c r="D10983" s="51">
        <v>74.0</v>
      </c>
      <c r="E10983" s="52" t="s">
        <v>25</v>
      </c>
      <c r="F10983" s="52" t="s">
        <v>26</v>
      </c>
      <c r="G10983" s="53"/>
    </row>
    <row r="10984">
      <c r="A10984" s="49">
        <v>45136.488468807875</v>
      </c>
      <c r="B10984" s="50">
        <v>45136.6134421296</v>
      </c>
      <c r="C10984" s="51">
        <v>1.003</v>
      </c>
      <c r="D10984" s="51">
        <v>74.0</v>
      </c>
      <c r="E10984" s="52" t="s">
        <v>25</v>
      </c>
      <c r="F10984" s="52" t="s">
        <v>26</v>
      </c>
      <c r="G10984" s="53"/>
    </row>
    <row r="10985">
      <c r="A10985" s="49">
        <v>45136.49889540509</v>
      </c>
      <c r="B10985" s="50">
        <v>45136.6238651273</v>
      </c>
      <c r="C10985" s="51">
        <v>1.003</v>
      </c>
      <c r="D10985" s="51">
        <v>74.0</v>
      </c>
      <c r="E10985" s="52" t="s">
        <v>25</v>
      </c>
      <c r="F10985" s="52" t="s">
        <v>26</v>
      </c>
      <c r="G10985" s="53"/>
    </row>
    <row r="10986">
      <c r="A10986" s="49">
        <v>45136.50934089121</v>
      </c>
      <c r="B10986" s="50">
        <v>45136.6342862963</v>
      </c>
      <c r="C10986" s="51">
        <v>1.003</v>
      </c>
      <c r="D10986" s="51">
        <v>74.0</v>
      </c>
      <c r="E10986" s="52" t="s">
        <v>25</v>
      </c>
      <c r="F10986" s="52" t="s">
        <v>26</v>
      </c>
      <c r="G10986" s="53"/>
    </row>
    <row r="10987">
      <c r="A10987" s="49">
        <v>45136.51973951389</v>
      </c>
      <c r="B10987" s="50">
        <v>45136.644707662</v>
      </c>
      <c r="C10987" s="51">
        <v>1.003</v>
      </c>
      <c r="D10987" s="51">
        <v>74.0</v>
      </c>
      <c r="E10987" s="52" t="s">
        <v>25</v>
      </c>
      <c r="F10987" s="52" t="s">
        <v>26</v>
      </c>
      <c r="G10987" s="53"/>
    </row>
    <row r="10988">
      <c r="A10988" s="49">
        <v>45136.53016730324</v>
      </c>
      <c r="B10988" s="50">
        <v>45136.6551406134</v>
      </c>
      <c r="C10988" s="51">
        <v>1.003</v>
      </c>
      <c r="D10988" s="51">
        <v>74.0</v>
      </c>
      <c r="E10988" s="52" t="s">
        <v>25</v>
      </c>
      <c r="F10988" s="52" t="s">
        <v>26</v>
      </c>
      <c r="G10988" s="53"/>
    </row>
    <row r="10989">
      <c r="A10989" s="49">
        <v>45136.540590324075</v>
      </c>
      <c r="B10989" s="50">
        <v>45136.6655612963</v>
      </c>
      <c r="C10989" s="51">
        <v>1.003</v>
      </c>
      <c r="D10989" s="51">
        <v>74.0</v>
      </c>
      <c r="E10989" s="52" t="s">
        <v>25</v>
      </c>
      <c r="F10989" s="52" t="s">
        <v>26</v>
      </c>
      <c r="G10989" s="53"/>
    </row>
    <row r="10990">
      <c r="A10990" s="49">
        <v>45136.55100898148</v>
      </c>
      <c r="B10990" s="50">
        <v>45136.6759812268</v>
      </c>
      <c r="C10990" s="51">
        <v>1.003</v>
      </c>
      <c r="D10990" s="51">
        <v>74.0</v>
      </c>
      <c r="E10990" s="52" t="s">
        <v>25</v>
      </c>
      <c r="F10990" s="52" t="s">
        <v>26</v>
      </c>
      <c r="G10990" s="53"/>
    </row>
    <row r="10991">
      <c r="A10991" s="49">
        <v>45136.561423680556</v>
      </c>
      <c r="B10991" s="50">
        <v>45136.6864035648</v>
      </c>
      <c r="C10991" s="51">
        <v>1.003</v>
      </c>
      <c r="D10991" s="51">
        <v>74.0</v>
      </c>
      <c r="E10991" s="52" t="s">
        <v>25</v>
      </c>
      <c r="F10991" s="52" t="s">
        <v>26</v>
      </c>
      <c r="G10991" s="53"/>
    </row>
    <row r="10992">
      <c r="A10992" s="49">
        <v>45136.57185267362</v>
      </c>
      <c r="B10992" s="50">
        <v>45136.6968266088</v>
      </c>
      <c r="C10992" s="51">
        <v>1.003</v>
      </c>
      <c r="D10992" s="51">
        <v>74.0</v>
      </c>
      <c r="E10992" s="52" t="s">
        <v>25</v>
      </c>
      <c r="F10992" s="52" t="s">
        <v>26</v>
      </c>
      <c r="G10992" s="53"/>
    </row>
    <row r="10993">
      <c r="A10993" s="49">
        <v>45136.58227616898</v>
      </c>
      <c r="B10993" s="50">
        <v>45136.7072489814</v>
      </c>
      <c r="C10993" s="51">
        <v>1.003</v>
      </c>
      <c r="D10993" s="51">
        <v>74.0</v>
      </c>
      <c r="E10993" s="52" t="s">
        <v>25</v>
      </c>
      <c r="F10993" s="52" t="s">
        <v>26</v>
      </c>
      <c r="G10993" s="53"/>
    </row>
    <row r="10994">
      <c r="A10994" s="49">
        <v>45136.592695671294</v>
      </c>
      <c r="B10994" s="50">
        <v>45136.717669537</v>
      </c>
      <c r="C10994" s="51">
        <v>1.003</v>
      </c>
      <c r="D10994" s="51">
        <v>74.0</v>
      </c>
      <c r="E10994" s="52" t="s">
        <v>25</v>
      </c>
      <c r="F10994" s="52" t="s">
        <v>26</v>
      </c>
      <c r="G10994" s="53"/>
    </row>
    <row r="10995">
      <c r="A10995" s="49">
        <v>45136.60312138889</v>
      </c>
      <c r="B10995" s="50">
        <v>45136.7280902083</v>
      </c>
      <c r="C10995" s="51">
        <v>1.003</v>
      </c>
      <c r="D10995" s="51">
        <v>74.0</v>
      </c>
      <c r="E10995" s="52" t="s">
        <v>25</v>
      </c>
      <c r="F10995" s="52" t="s">
        <v>26</v>
      </c>
      <c r="G10995" s="53"/>
    </row>
    <row r="10996">
      <c r="A10996" s="49">
        <v>45136.613534351854</v>
      </c>
      <c r="B10996" s="50">
        <v>45136.7385112963</v>
      </c>
      <c r="C10996" s="51">
        <v>1.003</v>
      </c>
      <c r="D10996" s="51">
        <v>74.0</v>
      </c>
      <c r="E10996" s="52" t="s">
        <v>25</v>
      </c>
      <c r="F10996" s="52" t="s">
        <v>26</v>
      </c>
      <c r="G10996" s="53"/>
    </row>
    <row r="10997">
      <c r="A10997" s="49">
        <v>45136.62396282407</v>
      </c>
      <c r="B10997" s="50">
        <v>45136.748931493</v>
      </c>
      <c r="C10997" s="51">
        <v>1.003</v>
      </c>
      <c r="D10997" s="51">
        <v>74.0</v>
      </c>
      <c r="E10997" s="52" t="s">
        <v>25</v>
      </c>
      <c r="F10997" s="52" t="s">
        <v>26</v>
      </c>
      <c r="G10997" s="53"/>
    </row>
    <row r="10998">
      <c r="A10998" s="49">
        <v>45136.63439414352</v>
      </c>
      <c r="B10998" s="50">
        <v>45136.7593629166</v>
      </c>
      <c r="C10998" s="51">
        <v>1.003</v>
      </c>
      <c r="D10998" s="51">
        <v>74.0</v>
      </c>
      <c r="E10998" s="52" t="s">
        <v>25</v>
      </c>
      <c r="F10998" s="52" t="s">
        <v>26</v>
      </c>
      <c r="G10998" s="53"/>
    </row>
    <row r="10999">
      <c r="A10999" s="49">
        <v>45136.64480678241</v>
      </c>
      <c r="B10999" s="50">
        <v>45136.769783368</v>
      </c>
      <c r="C10999" s="51">
        <v>1.003</v>
      </c>
      <c r="D10999" s="51">
        <v>74.0</v>
      </c>
      <c r="E10999" s="52" t="s">
        <v>25</v>
      </c>
      <c r="F10999" s="52" t="s">
        <v>26</v>
      </c>
      <c r="G10999" s="53"/>
    </row>
    <row r="11000">
      <c r="A11000" s="49">
        <v>45136.65523256944</v>
      </c>
      <c r="B11000" s="50">
        <v>45136.7802049421</v>
      </c>
      <c r="C11000" s="51">
        <v>1.003</v>
      </c>
      <c r="D11000" s="51">
        <v>74.0</v>
      </c>
      <c r="E11000" s="52" t="s">
        <v>25</v>
      </c>
      <c r="F11000" s="52" t="s">
        <v>26</v>
      </c>
      <c r="G11000" s="53"/>
    </row>
    <row r="11001">
      <c r="A11001" s="49">
        <v>45136.66566303241</v>
      </c>
      <c r="B11001" s="50">
        <v>45136.7906375925</v>
      </c>
      <c r="C11001" s="51">
        <v>1.003</v>
      </c>
      <c r="D11001" s="51">
        <v>74.0</v>
      </c>
      <c r="E11001" s="52" t="s">
        <v>25</v>
      </c>
      <c r="F11001" s="52" t="s">
        <v>26</v>
      </c>
      <c r="G11001" s="53"/>
    </row>
    <row r="11002">
      <c r="A11002" s="49">
        <v>45136.67609003472</v>
      </c>
      <c r="B11002" s="50">
        <v>45136.8010581481</v>
      </c>
      <c r="C11002" s="51">
        <v>1.003</v>
      </c>
      <c r="D11002" s="51">
        <v>74.0</v>
      </c>
      <c r="E11002" s="52" t="s">
        <v>25</v>
      </c>
      <c r="F11002" s="52" t="s">
        <v>26</v>
      </c>
      <c r="G11002" s="53"/>
    </row>
    <row r="11003">
      <c r="A11003" s="49">
        <v>45136.68651865741</v>
      </c>
      <c r="B11003" s="50">
        <v>45136.8114805902</v>
      </c>
      <c r="C11003" s="51">
        <v>1.003</v>
      </c>
      <c r="D11003" s="51">
        <v>74.0</v>
      </c>
      <c r="E11003" s="52" t="s">
        <v>25</v>
      </c>
      <c r="F11003" s="52" t="s">
        <v>26</v>
      </c>
      <c r="G11003" s="53"/>
    </row>
    <row r="11004">
      <c r="A11004" s="49">
        <v>45136.696935914355</v>
      </c>
      <c r="B11004" s="50">
        <v>45136.8219021759</v>
      </c>
      <c r="C11004" s="51">
        <v>1.003</v>
      </c>
      <c r="D11004" s="51">
        <v>74.0</v>
      </c>
      <c r="E11004" s="52" t="s">
        <v>25</v>
      </c>
      <c r="F11004" s="52" t="s">
        <v>26</v>
      </c>
      <c r="G11004" s="53"/>
    </row>
    <row r="11005">
      <c r="A11005" s="49">
        <v>45136.70734810185</v>
      </c>
      <c r="B11005" s="50">
        <v>45136.8323216203</v>
      </c>
      <c r="C11005" s="51">
        <v>1.003</v>
      </c>
      <c r="D11005" s="51">
        <v>74.0</v>
      </c>
      <c r="E11005" s="52" t="s">
        <v>25</v>
      </c>
      <c r="F11005" s="52" t="s">
        <v>26</v>
      </c>
      <c r="G11005" s="53"/>
    </row>
    <row r="11006">
      <c r="A11006" s="49">
        <v>45136.717778819446</v>
      </c>
      <c r="B11006" s="50">
        <v>45136.8427433564</v>
      </c>
      <c r="C11006" s="51">
        <v>1.003</v>
      </c>
      <c r="D11006" s="51">
        <v>74.0</v>
      </c>
      <c r="E11006" s="52" t="s">
        <v>25</v>
      </c>
      <c r="F11006" s="52" t="s">
        <v>26</v>
      </c>
      <c r="G11006" s="53"/>
    </row>
    <row r="11007">
      <c r="A11007" s="49">
        <v>45136.72819222222</v>
      </c>
      <c r="B11007" s="50">
        <v>45136.8531628356</v>
      </c>
      <c r="C11007" s="51">
        <v>1.003</v>
      </c>
      <c r="D11007" s="51">
        <v>74.0</v>
      </c>
      <c r="E11007" s="52" t="s">
        <v>25</v>
      </c>
      <c r="F11007" s="52" t="s">
        <v>26</v>
      </c>
      <c r="G11007" s="53"/>
    </row>
    <row r="11008">
      <c r="A11008" s="49">
        <v>45136.738627824074</v>
      </c>
      <c r="B11008" s="50">
        <v>45136.8635952199</v>
      </c>
      <c r="C11008" s="51">
        <v>1.003</v>
      </c>
      <c r="D11008" s="51">
        <v>74.0</v>
      </c>
      <c r="E11008" s="52" t="s">
        <v>25</v>
      </c>
      <c r="F11008" s="52" t="s">
        <v>26</v>
      </c>
      <c r="G11008" s="53"/>
    </row>
    <row r="11009">
      <c r="A11009" s="49">
        <v>45136.74904710648</v>
      </c>
      <c r="B11009" s="50">
        <v>45136.8740167129</v>
      </c>
      <c r="C11009" s="51">
        <v>1.003</v>
      </c>
      <c r="D11009" s="51">
        <v>74.0</v>
      </c>
      <c r="E11009" s="52" t="s">
        <v>25</v>
      </c>
      <c r="F11009" s="52" t="s">
        <v>26</v>
      </c>
      <c r="G11009" s="53"/>
    </row>
    <row r="11010">
      <c r="A11010" s="49">
        <v>45136.75946554398</v>
      </c>
      <c r="B11010" s="50">
        <v>45136.884436956</v>
      </c>
      <c r="C11010" s="51">
        <v>1.003</v>
      </c>
      <c r="D11010" s="51">
        <v>74.0</v>
      </c>
      <c r="E11010" s="52" t="s">
        <v>25</v>
      </c>
      <c r="F11010" s="52" t="s">
        <v>26</v>
      </c>
      <c r="G11010" s="53"/>
    </row>
    <row r="11011">
      <c r="A11011" s="49">
        <v>45136.76989246528</v>
      </c>
      <c r="B11011" s="50">
        <v>45136.8948587847</v>
      </c>
      <c r="C11011" s="51">
        <v>1.003</v>
      </c>
      <c r="D11011" s="51">
        <v>74.0</v>
      </c>
      <c r="E11011" s="52" t="s">
        <v>25</v>
      </c>
      <c r="F11011" s="52" t="s">
        <v>26</v>
      </c>
      <c r="G11011" s="53"/>
    </row>
    <row r="11012">
      <c r="A11012" s="49">
        <v>45136.78031715278</v>
      </c>
      <c r="B11012" s="50">
        <v>45136.9052923958</v>
      </c>
      <c r="C11012" s="51">
        <v>1.003</v>
      </c>
      <c r="D11012" s="51">
        <v>74.0</v>
      </c>
      <c r="E11012" s="52" t="s">
        <v>25</v>
      </c>
      <c r="F11012" s="52" t="s">
        <v>26</v>
      </c>
      <c r="G11012" s="53"/>
    </row>
    <row r="11013">
      <c r="A11013" s="49">
        <v>45136.79074599537</v>
      </c>
      <c r="B11013" s="50">
        <v>45136.9157137731</v>
      </c>
      <c r="C11013" s="51">
        <v>1.003</v>
      </c>
      <c r="D11013" s="51">
        <v>74.0</v>
      </c>
      <c r="E11013" s="52" t="s">
        <v>25</v>
      </c>
      <c r="F11013" s="52" t="s">
        <v>26</v>
      </c>
      <c r="G11013" s="53"/>
    </row>
    <row r="11014">
      <c r="A11014" s="49">
        <v>45136.801161828706</v>
      </c>
      <c r="B11014" s="50">
        <v>45136.9261373842</v>
      </c>
      <c r="C11014" s="51">
        <v>1.003</v>
      </c>
      <c r="D11014" s="51">
        <v>74.0</v>
      </c>
      <c r="E11014" s="52" t="s">
        <v>25</v>
      </c>
      <c r="F11014" s="52" t="s">
        <v>26</v>
      </c>
      <c r="G11014" s="53"/>
    </row>
    <row r="11015">
      <c r="A11015" s="49">
        <v>45136.81157921297</v>
      </c>
      <c r="B11015" s="50">
        <v>45136.9365570138</v>
      </c>
      <c r="C11015" s="51">
        <v>1.003</v>
      </c>
      <c r="D11015" s="51">
        <v>74.0</v>
      </c>
      <c r="E11015" s="52" t="s">
        <v>25</v>
      </c>
      <c r="F11015" s="52" t="s">
        <v>26</v>
      </c>
      <c r="G11015" s="53"/>
    </row>
    <row r="11016">
      <c r="A11016" s="49">
        <v>45136.82201229167</v>
      </c>
      <c r="B11016" s="50">
        <v>45136.9469785995</v>
      </c>
      <c r="C11016" s="51">
        <v>1.003</v>
      </c>
      <c r="D11016" s="51">
        <v>74.0</v>
      </c>
      <c r="E11016" s="52" t="s">
        <v>25</v>
      </c>
      <c r="F11016" s="52" t="s">
        <v>26</v>
      </c>
      <c r="G11016" s="53"/>
    </row>
    <row r="11017">
      <c r="A11017" s="49">
        <v>45136.832435034725</v>
      </c>
      <c r="B11017" s="50">
        <v>45136.9574015625</v>
      </c>
      <c r="C11017" s="51">
        <v>1.003</v>
      </c>
      <c r="D11017" s="51">
        <v>74.0</v>
      </c>
      <c r="E11017" s="52" t="s">
        <v>25</v>
      </c>
      <c r="F11017" s="52" t="s">
        <v>26</v>
      </c>
      <c r="G11017" s="53"/>
    </row>
    <row r="11018">
      <c r="A11018" s="49">
        <v>45136.84284494213</v>
      </c>
      <c r="B11018" s="50">
        <v>45136.967822199</v>
      </c>
      <c r="C11018" s="51">
        <v>1.003</v>
      </c>
      <c r="D11018" s="51">
        <v>74.0</v>
      </c>
      <c r="E11018" s="52" t="s">
        <v>25</v>
      </c>
      <c r="F11018" s="52" t="s">
        <v>26</v>
      </c>
      <c r="G11018" s="53"/>
    </row>
    <row r="11019">
      <c r="A11019" s="49">
        <v>45136.853271458334</v>
      </c>
      <c r="B11019" s="50">
        <v>45136.9782444791</v>
      </c>
      <c r="C11019" s="51">
        <v>1.003</v>
      </c>
      <c r="D11019" s="51">
        <v>74.0</v>
      </c>
      <c r="E11019" s="52" t="s">
        <v>25</v>
      </c>
      <c r="F11019" s="52" t="s">
        <v>26</v>
      </c>
      <c r="G11019" s="53"/>
    </row>
    <row r="11020">
      <c r="A11020" s="49">
        <v>45136.86370412037</v>
      </c>
      <c r="B11020" s="50">
        <v>45136.9886762152</v>
      </c>
      <c r="C11020" s="51">
        <v>1.003</v>
      </c>
      <c r="D11020" s="51">
        <v>74.0</v>
      </c>
      <c r="E11020" s="52" t="s">
        <v>25</v>
      </c>
      <c r="F11020" s="52" t="s">
        <v>26</v>
      </c>
      <c r="G11020" s="53"/>
    </row>
    <row r="11021">
      <c r="A11021" s="49">
        <v>45136.87412168982</v>
      </c>
      <c r="B11021" s="50">
        <v>45136.9990962963</v>
      </c>
      <c r="C11021" s="51">
        <v>1.003</v>
      </c>
      <c r="D11021" s="51">
        <v>74.0</v>
      </c>
      <c r="E11021" s="52" t="s">
        <v>25</v>
      </c>
      <c r="F11021" s="52" t="s">
        <v>26</v>
      </c>
      <c r="G11021" s="53"/>
    </row>
    <row r="11022">
      <c r="A11022" s="49">
        <v>45136.88453645833</v>
      </c>
      <c r="B11022" s="50">
        <v>45137.0095165509</v>
      </c>
      <c r="C11022" s="51">
        <v>1.003</v>
      </c>
      <c r="D11022" s="51">
        <v>74.0</v>
      </c>
      <c r="E11022" s="52" t="s">
        <v>25</v>
      </c>
      <c r="F11022" s="52" t="s">
        <v>26</v>
      </c>
      <c r="G11022" s="53"/>
    </row>
    <row r="11023">
      <c r="A11023" s="49">
        <v>45136.89496991898</v>
      </c>
      <c r="B11023" s="50">
        <v>45137.0199388773</v>
      </c>
      <c r="C11023" s="51">
        <v>1.003</v>
      </c>
      <c r="D11023" s="51">
        <v>74.0</v>
      </c>
      <c r="E11023" s="52" t="s">
        <v>25</v>
      </c>
      <c r="F11023" s="52" t="s">
        <v>26</v>
      </c>
      <c r="G11023" s="53"/>
    </row>
    <row r="11024">
      <c r="A11024" s="49">
        <v>45136.905380219905</v>
      </c>
      <c r="B11024" s="50">
        <v>45137.0303605092</v>
      </c>
      <c r="C11024" s="51">
        <v>1.003</v>
      </c>
      <c r="D11024" s="51">
        <v>74.0</v>
      </c>
      <c r="E11024" s="52" t="s">
        <v>25</v>
      </c>
      <c r="F11024" s="52" t="s">
        <v>26</v>
      </c>
      <c r="G11024" s="53"/>
    </row>
    <row r="11025">
      <c r="A11025" s="49">
        <v>45136.915809108796</v>
      </c>
      <c r="B11025" s="50">
        <v>45137.0407818865</v>
      </c>
      <c r="C11025" s="51">
        <v>1.003</v>
      </c>
      <c r="D11025" s="51">
        <v>74.0</v>
      </c>
      <c r="E11025" s="52" t="s">
        <v>25</v>
      </c>
      <c r="F11025" s="52" t="s">
        <v>26</v>
      </c>
      <c r="G11025" s="53"/>
    </row>
    <row r="11026">
      <c r="A11026" s="49">
        <v>45136.92623341436</v>
      </c>
      <c r="B11026" s="50">
        <v>45137.0512007175</v>
      </c>
      <c r="C11026" s="51">
        <v>1.003</v>
      </c>
      <c r="D11026" s="51">
        <v>74.0</v>
      </c>
      <c r="E11026" s="52" t="s">
        <v>25</v>
      </c>
      <c r="F11026" s="52" t="s">
        <v>26</v>
      </c>
      <c r="G11026" s="53"/>
    </row>
    <row r="11027">
      <c r="A11027" s="49">
        <v>45136.93665200232</v>
      </c>
      <c r="B11027" s="50">
        <v>45137.0616222338</v>
      </c>
      <c r="C11027" s="51">
        <v>1.003</v>
      </c>
      <c r="D11027" s="51">
        <v>74.0</v>
      </c>
      <c r="E11027" s="52" t="s">
        <v>25</v>
      </c>
      <c r="F11027" s="52" t="s">
        <v>26</v>
      </c>
      <c r="G11027" s="53"/>
    </row>
    <row r="11028">
      <c r="A11028" s="49">
        <v>45136.94707359954</v>
      </c>
      <c r="B11028" s="50">
        <v>45137.072044155</v>
      </c>
      <c r="C11028" s="51">
        <v>1.003</v>
      </c>
      <c r="D11028" s="51">
        <v>74.0</v>
      </c>
      <c r="E11028" s="52" t="s">
        <v>25</v>
      </c>
      <c r="F11028" s="52" t="s">
        <v>26</v>
      </c>
      <c r="G11028" s="53"/>
    </row>
    <row r="11029">
      <c r="A11029" s="49">
        <v>45136.957489340275</v>
      </c>
      <c r="B11029" s="50">
        <v>45137.0824655439</v>
      </c>
      <c r="C11029" s="51">
        <v>1.003</v>
      </c>
      <c r="D11029" s="51">
        <v>74.0</v>
      </c>
      <c r="E11029" s="52" t="s">
        <v>25</v>
      </c>
      <c r="F11029" s="52" t="s">
        <v>26</v>
      </c>
      <c r="G11029" s="53"/>
    </row>
    <row r="11030">
      <c r="A11030" s="49">
        <v>45136.967918055554</v>
      </c>
      <c r="B11030" s="50">
        <v>45137.0928874768</v>
      </c>
      <c r="C11030" s="51">
        <v>1.003</v>
      </c>
      <c r="D11030" s="51">
        <v>74.0</v>
      </c>
      <c r="E11030" s="52" t="s">
        <v>25</v>
      </c>
      <c r="F11030" s="52" t="s">
        <v>26</v>
      </c>
      <c r="G11030" s="53"/>
    </row>
    <row r="11031">
      <c r="A11031" s="49">
        <v>45136.978343124996</v>
      </c>
      <c r="B11031" s="50">
        <v>45137.1033092361</v>
      </c>
      <c r="C11031" s="51">
        <v>1.003</v>
      </c>
      <c r="D11031" s="51">
        <v>74.0</v>
      </c>
      <c r="E11031" s="52" t="s">
        <v>25</v>
      </c>
      <c r="F11031" s="52" t="s">
        <v>26</v>
      </c>
      <c r="G11031" s="53"/>
    </row>
    <row r="11032">
      <c r="A11032" s="49">
        <v>45136.98875365741</v>
      </c>
      <c r="B11032" s="50">
        <v>45137.1137304629</v>
      </c>
      <c r="C11032" s="51">
        <v>1.003</v>
      </c>
      <c r="D11032" s="51">
        <v>74.0</v>
      </c>
      <c r="E11032" s="52" t="s">
        <v>25</v>
      </c>
      <c r="F11032" s="52" t="s">
        <v>26</v>
      </c>
      <c r="G11032" s="53"/>
    </row>
    <row r="11033">
      <c r="A11033" s="49">
        <v>45136.999184479166</v>
      </c>
      <c r="B11033" s="50">
        <v>45137.1241520833</v>
      </c>
      <c r="C11033" s="51">
        <v>1.003</v>
      </c>
      <c r="D11033" s="51">
        <v>74.0</v>
      </c>
      <c r="E11033" s="52" t="s">
        <v>25</v>
      </c>
      <c r="F11033" s="52" t="s">
        <v>26</v>
      </c>
      <c r="G11033" s="53"/>
    </row>
    <row r="11034">
      <c r="A11034" s="49">
        <v>45137.009616296295</v>
      </c>
      <c r="B11034" s="50">
        <v>45137.1345852546</v>
      </c>
      <c r="C11034" s="51">
        <v>1.003</v>
      </c>
      <c r="D11034" s="51">
        <v>74.0</v>
      </c>
      <c r="E11034" s="52" t="s">
        <v>25</v>
      </c>
      <c r="F11034" s="52" t="s">
        <v>26</v>
      </c>
      <c r="G11034" s="53"/>
    </row>
    <row r="11035">
      <c r="A11035" s="49">
        <v>45137.02005077546</v>
      </c>
      <c r="B11035" s="50">
        <v>45137.1450189236</v>
      </c>
      <c r="C11035" s="51">
        <v>1.003</v>
      </c>
      <c r="D11035" s="51">
        <v>74.0</v>
      </c>
      <c r="E11035" s="52" t="s">
        <v>25</v>
      </c>
      <c r="F11035" s="52" t="s">
        <v>26</v>
      </c>
      <c r="G11035" s="53"/>
    </row>
    <row r="11036">
      <c r="A11036" s="49">
        <v>45137.03046232639</v>
      </c>
      <c r="B11036" s="50">
        <v>45137.1554395717</v>
      </c>
      <c r="C11036" s="51">
        <v>1.003</v>
      </c>
      <c r="D11036" s="51">
        <v>74.0</v>
      </c>
      <c r="E11036" s="52" t="s">
        <v>25</v>
      </c>
      <c r="F11036" s="52" t="s">
        <v>26</v>
      </c>
      <c r="G11036" s="53"/>
    </row>
    <row r="11037">
      <c r="A11037" s="49">
        <v>45137.04088842592</v>
      </c>
      <c r="B11037" s="50">
        <v>45137.1658585995</v>
      </c>
      <c r="C11037" s="51">
        <v>1.003</v>
      </c>
      <c r="D11037" s="51">
        <v>74.0</v>
      </c>
      <c r="E11037" s="52" t="s">
        <v>25</v>
      </c>
      <c r="F11037" s="52" t="s">
        <v>26</v>
      </c>
      <c r="G11037" s="53"/>
    </row>
    <row r="11038">
      <c r="A11038" s="49">
        <v>45137.05130327547</v>
      </c>
      <c r="B11038" s="50">
        <v>45137.1762794675</v>
      </c>
      <c r="C11038" s="51">
        <v>1.003</v>
      </c>
      <c r="D11038" s="51">
        <v>74.0</v>
      </c>
      <c r="E11038" s="52" t="s">
        <v>25</v>
      </c>
      <c r="F11038" s="52" t="s">
        <v>26</v>
      </c>
      <c r="G11038" s="53"/>
    </row>
    <row r="11039">
      <c r="A11039" s="49">
        <v>45137.061729803245</v>
      </c>
      <c r="B11039" s="50">
        <v>45137.1866995833</v>
      </c>
      <c r="C11039" s="51">
        <v>1.003</v>
      </c>
      <c r="D11039" s="51">
        <v>74.0</v>
      </c>
      <c r="E11039" s="52" t="s">
        <v>25</v>
      </c>
      <c r="F11039" s="52" t="s">
        <v>26</v>
      </c>
      <c r="G11039" s="53"/>
    </row>
    <row r="11040">
      <c r="A11040" s="49">
        <v>45137.07214837963</v>
      </c>
      <c r="B11040" s="50">
        <v>45137.1971212731</v>
      </c>
      <c r="C11040" s="51">
        <v>1.003</v>
      </c>
      <c r="D11040" s="51">
        <v>74.0</v>
      </c>
      <c r="E11040" s="52" t="s">
        <v>25</v>
      </c>
      <c r="F11040" s="52" t="s">
        <v>26</v>
      </c>
      <c r="G11040" s="53"/>
    </row>
    <row r="11041">
      <c r="A11041" s="49">
        <v>45137.08257135417</v>
      </c>
      <c r="B11041" s="50">
        <v>45137.20754353</v>
      </c>
      <c r="C11041" s="51">
        <v>1.003</v>
      </c>
      <c r="D11041" s="51">
        <v>74.0</v>
      </c>
      <c r="E11041" s="52" t="s">
        <v>25</v>
      </c>
      <c r="F11041" s="52" t="s">
        <v>26</v>
      </c>
      <c r="G11041" s="53"/>
    </row>
    <row r="11042">
      <c r="A11042" s="49">
        <v>45137.09300284722</v>
      </c>
      <c r="B11042" s="50">
        <v>45137.217977037</v>
      </c>
      <c r="C11042" s="51">
        <v>1.003</v>
      </c>
      <c r="D11042" s="51">
        <v>74.0</v>
      </c>
      <c r="E11042" s="52" t="s">
        <v>25</v>
      </c>
      <c r="F11042" s="52" t="s">
        <v>26</v>
      </c>
      <c r="G11042" s="53"/>
    </row>
    <row r="11043">
      <c r="A11043" s="49">
        <v>45137.10342516204</v>
      </c>
      <c r="B11043" s="50">
        <v>45137.2283956481</v>
      </c>
      <c r="C11043" s="51">
        <v>1.003</v>
      </c>
      <c r="D11043" s="51">
        <v>74.0</v>
      </c>
      <c r="E11043" s="52" t="s">
        <v>25</v>
      </c>
      <c r="F11043" s="52" t="s">
        <v>26</v>
      </c>
      <c r="G11043" s="53"/>
    </row>
    <row r="11044">
      <c r="A11044" s="49">
        <v>45137.113852615745</v>
      </c>
      <c r="B11044" s="50">
        <v>45137.2388168634</v>
      </c>
      <c r="C11044" s="51">
        <v>1.003</v>
      </c>
      <c r="D11044" s="51">
        <v>74.0</v>
      </c>
      <c r="E11044" s="52" t="s">
        <v>25</v>
      </c>
      <c r="F11044" s="52" t="s">
        <v>26</v>
      </c>
      <c r="G11044" s="53"/>
    </row>
    <row r="11045">
      <c r="A11045" s="49">
        <v>45137.12425962963</v>
      </c>
      <c r="B11045" s="50">
        <v>45137.2492375463</v>
      </c>
      <c r="C11045" s="51">
        <v>1.003</v>
      </c>
      <c r="D11045" s="51">
        <v>74.0</v>
      </c>
      <c r="E11045" s="52" t="s">
        <v>25</v>
      </c>
      <c r="F11045" s="52" t="s">
        <v>26</v>
      </c>
      <c r="G11045" s="53"/>
    </row>
    <row r="11046">
      <c r="A11046" s="49">
        <v>45137.134703206015</v>
      </c>
      <c r="B11046" s="50">
        <v>45137.2596699537</v>
      </c>
      <c r="C11046" s="51">
        <v>1.003</v>
      </c>
      <c r="D11046" s="51">
        <v>74.0</v>
      </c>
      <c r="E11046" s="52" t="s">
        <v>25</v>
      </c>
      <c r="F11046" s="52" t="s">
        <v>26</v>
      </c>
      <c r="G11046" s="53"/>
    </row>
    <row r="11047">
      <c r="A11047" s="49">
        <v>45137.14512166667</v>
      </c>
      <c r="B11047" s="50">
        <v>45137.2700898263</v>
      </c>
      <c r="C11047" s="51">
        <v>1.003</v>
      </c>
      <c r="D11047" s="51">
        <v>74.0</v>
      </c>
      <c r="E11047" s="52" t="s">
        <v>25</v>
      </c>
      <c r="F11047" s="52" t="s">
        <v>26</v>
      </c>
      <c r="G11047" s="53"/>
    </row>
    <row r="11048">
      <c r="A11048" s="49">
        <v>45137.155540567124</v>
      </c>
      <c r="B11048" s="50">
        <v>45137.2805110532</v>
      </c>
      <c r="C11048" s="51">
        <v>1.003</v>
      </c>
      <c r="D11048" s="51">
        <v>74.0</v>
      </c>
      <c r="E11048" s="52" t="s">
        <v>25</v>
      </c>
      <c r="F11048" s="52" t="s">
        <v>26</v>
      </c>
      <c r="G11048" s="53"/>
    </row>
    <row r="11049">
      <c r="A11049" s="49">
        <v>45137.1659553125</v>
      </c>
      <c r="B11049" s="50">
        <v>45137.2909324652</v>
      </c>
      <c r="C11049" s="51">
        <v>1.003</v>
      </c>
      <c r="D11049" s="51">
        <v>74.0</v>
      </c>
      <c r="E11049" s="52" t="s">
        <v>25</v>
      </c>
      <c r="F11049" s="52" t="s">
        <v>26</v>
      </c>
      <c r="G11049" s="53"/>
    </row>
    <row r="11050">
      <c r="A11050" s="49">
        <v>45137.17638217592</v>
      </c>
      <c r="B11050" s="50">
        <v>45137.3013543402</v>
      </c>
      <c r="C11050" s="51">
        <v>1.003</v>
      </c>
      <c r="D11050" s="51">
        <v>74.0</v>
      </c>
      <c r="E11050" s="52" t="s">
        <v>25</v>
      </c>
      <c r="F11050" s="52" t="s">
        <v>26</v>
      </c>
      <c r="G11050" s="53"/>
    </row>
    <row r="11051">
      <c r="A11051" s="49">
        <v>45137.18679633102</v>
      </c>
      <c r="B11051" s="50">
        <v>45137.3117748032</v>
      </c>
      <c r="C11051" s="51">
        <v>1.003</v>
      </c>
      <c r="D11051" s="51">
        <v>74.0</v>
      </c>
      <c r="E11051" s="52" t="s">
        <v>25</v>
      </c>
      <c r="F11051" s="52" t="s">
        <v>26</v>
      </c>
      <c r="G11051" s="53"/>
    </row>
    <row r="11052">
      <c r="A11052" s="49">
        <v>45137.197228888894</v>
      </c>
      <c r="B11052" s="50">
        <v>45137.3221970601</v>
      </c>
      <c r="C11052" s="51">
        <v>1.003</v>
      </c>
      <c r="D11052" s="51">
        <v>74.0</v>
      </c>
      <c r="E11052" s="52" t="s">
        <v>25</v>
      </c>
      <c r="F11052" s="52" t="s">
        <v>26</v>
      </c>
      <c r="G11052" s="53"/>
    </row>
    <row r="11053">
      <c r="A11053" s="49">
        <v>45137.20765078704</v>
      </c>
      <c r="B11053" s="50">
        <v>45137.3326193634</v>
      </c>
      <c r="C11053" s="51">
        <v>1.003</v>
      </c>
      <c r="D11053" s="51">
        <v>74.0</v>
      </c>
      <c r="E11053" s="52" t="s">
        <v>25</v>
      </c>
      <c r="F11053" s="52" t="s">
        <v>26</v>
      </c>
      <c r="G11053" s="53"/>
    </row>
    <row r="11054">
      <c r="A11054" s="49">
        <v>45137.218076481484</v>
      </c>
      <c r="B11054" s="50">
        <v>45137.3430428009</v>
      </c>
      <c r="C11054" s="51">
        <v>1.003</v>
      </c>
      <c r="D11054" s="51">
        <v>74.0</v>
      </c>
      <c r="E11054" s="52" t="s">
        <v>25</v>
      </c>
      <c r="F11054" s="52" t="s">
        <v>26</v>
      </c>
      <c r="G11054" s="53"/>
    </row>
    <row r="11055">
      <c r="A11055" s="49">
        <v>45137.22853521991</v>
      </c>
      <c r="B11055" s="50">
        <v>45137.3534651273</v>
      </c>
      <c r="C11055" s="51">
        <v>1.003</v>
      </c>
      <c r="D11055" s="51">
        <v>74.0</v>
      </c>
      <c r="E11055" s="52" t="s">
        <v>25</v>
      </c>
      <c r="F11055" s="52" t="s">
        <v>26</v>
      </c>
      <c r="G11055" s="53"/>
    </row>
    <row r="11056">
      <c r="A11056" s="49">
        <v>45137.23891238426</v>
      </c>
      <c r="B11056" s="50">
        <v>45137.3638861458</v>
      </c>
      <c r="C11056" s="51">
        <v>1.003</v>
      </c>
      <c r="D11056" s="51">
        <v>74.0</v>
      </c>
      <c r="E11056" s="52" t="s">
        <v>25</v>
      </c>
      <c r="F11056" s="52" t="s">
        <v>26</v>
      </c>
      <c r="G11056" s="53"/>
    </row>
    <row r="11057">
      <c r="A11057" s="49">
        <v>45137.24934746527</v>
      </c>
      <c r="B11057" s="50">
        <v>45137.3743215625</v>
      </c>
      <c r="C11057" s="51">
        <v>1.003</v>
      </c>
      <c r="D11057" s="51">
        <v>74.0</v>
      </c>
      <c r="E11057" s="52" t="s">
        <v>25</v>
      </c>
      <c r="F11057" s="52" t="s">
        <v>26</v>
      </c>
      <c r="G11057" s="53"/>
    </row>
    <row r="11058">
      <c r="A11058" s="49">
        <v>45137.25976836805</v>
      </c>
      <c r="B11058" s="50">
        <v>45137.3847413078</v>
      </c>
      <c r="C11058" s="51">
        <v>1.003</v>
      </c>
      <c r="D11058" s="51">
        <v>74.0</v>
      </c>
      <c r="E11058" s="52" t="s">
        <v>25</v>
      </c>
      <c r="F11058" s="52" t="s">
        <v>26</v>
      </c>
      <c r="G11058" s="53"/>
    </row>
    <row r="11059">
      <c r="A11059" s="49">
        <v>45137.27019402778</v>
      </c>
      <c r="B11059" s="50">
        <v>45137.3951626504</v>
      </c>
      <c r="C11059" s="51">
        <v>1.003</v>
      </c>
      <c r="D11059" s="51">
        <v>74.0</v>
      </c>
      <c r="E11059" s="52" t="s">
        <v>25</v>
      </c>
      <c r="F11059" s="52" t="s">
        <v>26</v>
      </c>
      <c r="G11059" s="53"/>
    </row>
    <row r="11060">
      <c r="A11060" s="49">
        <v>45137.28061494213</v>
      </c>
      <c r="B11060" s="50">
        <v>45137.405585162</v>
      </c>
      <c r="C11060" s="51">
        <v>1.003</v>
      </c>
      <c r="D11060" s="51">
        <v>74.0</v>
      </c>
      <c r="E11060" s="52" t="s">
        <v>25</v>
      </c>
      <c r="F11060" s="52" t="s">
        <v>26</v>
      </c>
      <c r="G11060" s="53"/>
    </row>
    <row r="11061">
      <c r="A11061" s="49">
        <v>45137.291031597226</v>
      </c>
      <c r="B11061" s="50">
        <v>45137.4160073379</v>
      </c>
      <c r="C11061" s="51">
        <v>1.003</v>
      </c>
      <c r="D11061" s="51">
        <v>74.0</v>
      </c>
      <c r="E11061" s="52" t="s">
        <v>25</v>
      </c>
      <c r="F11061" s="52" t="s">
        <v>26</v>
      </c>
      <c r="G11061" s="53"/>
    </row>
    <row r="11062">
      <c r="A11062" s="49">
        <v>45137.30145905093</v>
      </c>
      <c r="B11062" s="50">
        <v>45137.4264292708</v>
      </c>
      <c r="C11062" s="51">
        <v>1.003</v>
      </c>
      <c r="D11062" s="51">
        <v>74.0</v>
      </c>
      <c r="E11062" s="52" t="s">
        <v>25</v>
      </c>
      <c r="F11062" s="52" t="s">
        <v>26</v>
      </c>
      <c r="G11062" s="53"/>
    </row>
    <row r="11063">
      <c r="A11063" s="49">
        <v>45137.311885324074</v>
      </c>
      <c r="B11063" s="50">
        <v>45137.4368516435</v>
      </c>
      <c r="C11063" s="51">
        <v>1.003</v>
      </c>
      <c r="D11063" s="51">
        <v>74.0</v>
      </c>
      <c r="E11063" s="52" t="s">
        <v>25</v>
      </c>
      <c r="F11063" s="52" t="s">
        <v>26</v>
      </c>
      <c r="G11063" s="53"/>
    </row>
    <row r="11064">
      <c r="A11064" s="49">
        <v>45137.322300115746</v>
      </c>
      <c r="B11064" s="50">
        <v>45137.4472710185</v>
      </c>
      <c r="C11064" s="51">
        <v>1.003</v>
      </c>
      <c r="D11064" s="51">
        <v>74.0</v>
      </c>
      <c r="E11064" s="52" t="s">
        <v>25</v>
      </c>
      <c r="F11064" s="52" t="s">
        <v>26</v>
      </c>
      <c r="G11064" s="53"/>
    </row>
    <row r="11065">
      <c r="A11065" s="49">
        <v>45137.33272701389</v>
      </c>
      <c r="B11065" s="50">
        <v>45137.4577037615</v>
      </c>
      <c r="C11065" s="51">
        <v>1.003</v>
      </c>
      <c r="D11065" s="51">
        <v>74.0</v>
      </c>
      <c r="E11065" s="52" t="s">
        <v>25</v>
      </c>
      <c r="F11065" s="52" t="s">
        <v>26</v>
      </c>
      <c r="G11065" s="53"/>
    </row>
    <row r="11066">
      <c r="A11066" s="49">
        <v>45137.34314952546</v>
      </c>
      <c r="B11066" s="50">
        <v>45137.4681255555</v>
      </c>
      <c r="C11066" s="51">
        <v>1.003</v>
      </c>
      <c r="D11066" s="51">
        <v>74.0</v>
      </c>
      <c r="E11066" s="52" t="s">
        <v>25</v>
      </c>
      <c r="F11066" s="52" t="s">
        <v>26</v>
      </c>
      <c r="G11066" s="53"/>
    </row>
    <row r="11067">
      <c r="A11067" s="49">
        <v>45137.353581689815</v>
      </c>
      <c r="B11067" s="50">
        <v>45137.4785472106</v>
      </c>
      <c r="C11067" s="51">
        <v>1.003</v>
      </c>
      <c r="D11067" s="51">
        <v>74.0</v>
      </c>
      <c r="E11067" s="52" t="s">
        <v>25</v>
      </c>
      <c r="F11067" s="52" t="s">
        <v>26</v>
      </c>
      <c r="G11067" s="53"/>
    </row>
    <row r="11068">
      <c r="A11068" s="49">
        <v>45137.36399784722</v>
      </c>
      <c r="B11068" s="50">
        <v>45137.4889682523</v>
      </c>
      <c r="C11068" s="51">
        <v>1.003</v>
      </c>
      <c r="D11068" s="51">
        <v>74.0</v>
      </c>
      <c r="E11068" s="52" t="s">
        <v>25</v>
      </c>
      <c r="F11068" s="52" t="s">
        <v>26</v>
      </c>
      <c r="G11068" s="53"/>
    </row>
    <row r="11069">
      <c r="A11069" s="49">
        <v>45137.37441771991</v>
      </c>
      <c r="B11069" s="50">
        <v>45137.4993884027</v>
      </c>
      <c r="C11069" s="51">
        <v>1.003</v>
      </c>
      <c r="D11069" s="51">
        <v>74.0</v>
      </c>
      <c r="E11069" s="52" t="s">
        <v>25</v>
      </c>
      <c r="F11069" s="52" t="s">
        <v>26</v>
      </c>
      <c r="G11069" s="53"/>
    </row>
    <row r="11070">
      <c r="A11070" s="49">
        <v>45137.38483751158</v>
      </c>
      <c r="B11070" s="50">
        <v>45137.5098097569</v>
      </c>
      <c r="C11070" s="51">
        <v>1.003</v>
      </c>
      <c r="D11070" s="51">
        <v>74.0</v>
      </c>
      <c r="E11070" s="52" t="s">
        <v>25</v>
      </c>
      <c r="F11070" s="52" t="s">
        <v>26</v>
      </c>
      <c r="G11070" s="53"/>
    </row>
    <row r="11071">
      <c r="A11071" s="49">
        <v>45137.395260439815</v>
      </c>
      <c r="B11071" s="50">
        <v>45137.5202298726</v>
      </c>
      <c r="C11071" s="51">
        <v>1.003</v>
      </c>
      <c r="D11071" s="51">
        <v>74.0</v>
      </c>
      <c r="E11071" s="52" t="s">
        <v>25</v>
      </c>
      <c r="F11071" s="52" t="s">
        <v>26</v>
      </c>
      <c r="G11071" s="53"/>
    </row>
    <row r="11072">
      <c r="A11072" s="49">
        <v>45137.40567572917</v>
      </c>
      <c r="B11072" s="50">
        <v>45137.5306516435</v>
      </c>
      <c r="C11072" s="51">
        <v>1.003</v>
      </c>
      <c r="D11072" s="51">
        <v>74.0</v>
      </c>
      <c r="E11072" s="52" t="s">
        <v>25</v>
      </c>
      <c r="F11072" s="52" t="s">
        <v>26</v>
      </c>
      <c r="G11072" s="53"/>
    </row>
    <row r="11073">
      <c r="A11073" s="49">
        <v>45137.41609543981</v>
      </c>
      <c r="B11073" s="50">
        <v>45137.5410708101</v>
      </c>
      <c r="C11073" s="51">
        <v>1.003</v>
      </c>
      <c r="D11073" s="51">
        <v>74.0</v>
      </c>
      <c r="E11073" s="52" t="s">
        <v>25</v>
      </c>
      <c r="F11073" s="52" t="s">
        <v>26</v>
      </c>
      <c r="G11073" s="53"/>
    </row>
    <row r="11074">
      <c r="A11074" s="49">
        <v>45137.426526157404</v>
      </c>
      <c r="B11074" s="50">
        <v>45137.551492199</v>
      </c>
      <c r="C11074" s="51">
        <v>1.003</v>
      </c>
      <c r="D11074" s="51">
        <v>74.0</v>
      </c>
      <c r="E11074" s="52" t="s">
        <v>25</v>
      </c>
      <c r="F11074" s="52" t="s">
        <v>26</v>
      </c>
      <c r="G11074" s="53"/>
    </row>
    <row r="11075">
      <c r="A11075" s="49">
        <v>45137.43694645833</v>
      </c>
      <c r="B11075" s="50">
        <v>45137.561914699</v>
      </c>
      <c r="C11075" s="51">
        <v>1.003</v>
      </c>
      <c r="D11075" s="51">
        <v>74.0</v>
      </c>
      <c r="E11075" s="52" t="s">
        <v>25</v>
      </c>
      <c r="F11075" s="52" t="s">
        <v>26</v>
      </c>
      <c r="G11075" s="53"/>
    </row>
    <row r="11076">
      <c r="A11076" s="49">
        <v>45137.447358171295</v>
      </c>
      <c r="B11076" s="50">
        <v>45137.5723374074</v>
      </c>
      <c r="C11076" s="51">
        <v>1.003</v>
      </c>
      <c r="D11076" s="51">
        <v>74.0</v>
      </c>
      <c r="E11076" s="52" t="s">
        <v>25</v>
      </c>
      <c r="F11076" s="52" t="s">
        <v>26</v>
      </c>
      <c r="G11076" s="53"/>
    </row>
    <row r="11077">
      <c r="A11077" s="49">
        <v>45137.457798240735</v>
      </c>
      <c r="B11077" s="50">
        <v>45137.5827695833</v>
      </c>
      <c r="C11077" s="51">
        <v>1.003</v>
      </c>
      <c r="D11077" s="51">
        <v>74.0</v>
      </c>
      <c r="E11077" s="52" t="s">
        <v>25</v>
      </c>
      <c r="F11077" s="52" t="s">
        <v>26</v>
      </c>
      <c r="G11077" s="53"/>
    </row>
    <row r="11078">
      <c r="A11078" s="49">
        <v>45137.468226446756</v>
      </c>
      <c r="B11078" s="50">
        <v>45137.5931904861</v>
      </c>
      <c r="C11078" s="51">
        <v>1.003</v>
      </c>
      <c r="D11078" s="51">
        <v>74.0</v>
      </c>
      <c r="E11078" s="52" t="s">
        <v>25</v>
      </c>
      <c r="F11078" s="52" t="s">
        <v>26</v>
      </c>
      <c r="G11078" s="53"/>
    </row>
    <row r="11079">
      <c r="A11079" s="49">
        <v>45137.4786371875</v>
      </c>
      <c r="B11079" s="50">
        <v>45137.6036117245</v>
      </c>
      <c r="C11079" s="51">
        <v>1.003</v>
      </c>
      <c r="D11079" s="51">
        <v>74.0</v>
      </c>
      <c r="E11079" s="52" t="s">
        <v>25</v>
      </c>
      <c r="F11079" s="52" t="s">
        <v>26</v>
      </c>
      <c r="G11079" s="53"/>
    </row>
    <row r="11080">
      <c r="A11080" s="49">
        <v>45137.489055949074</v>
      </c>
      <c r="B11080" s="50">
        <v>45137.614032743</v>
      </c>
      <c r="C11080" s="51">
        <v>1.003</v>
      </c>
      <c r="D11080" s="51">
        <v>74.0</v>
      </c>
      <c r="E11080" s="52" t="s">
        <v>25</v>
      </c>
      <c r="F11080" s="52" t="s">
        <v>26</v>
      </c>
      <c r="G11080" s="53"/>
    </row>
    <row r="11081">
      <c r="A11081" s="49">
        <v>45137.49949714121</v>
      </c>
      <c r="B11081" s="50">
        <v>45137.624467118</v>
      </c>
      <c r="C11081" s="51">
        <v>1.003</v>
      </c>
      <c r="D11081" s="51">
        <v>74.0</v>
      </c>
      <c r="E11081" s="52" t="s">
        <v>25</v>
      </c>
      <c r="F11081" s="52" t="s">
        <v>26</v>
      </c>
      <c r="G11081" s="53"/>
    </row>
    <row r="11082">
      <c r="A11082" s="49">
        <v>45137.509930914355</v>
      </c>
      <c r="B11082" s="50">
        <v>45137.6348999189</v>
      </c>
      <c r="C11082" s="51">
        <v>1.003</v>
      </c>
      <c r="D11082" s="51">
        <v>74.0</v>
      </c>
      <c r="E11082" s="52" t="s">
        <v>25</v>
      </c>
      <c r="F11082" s="52" t="s">
        <v>26</v>
      </c>
      <c r="G11082" s="53"/>
    </row>
    <row r="11083">
      <c r="A11083" s="49">
        <v>45137.52035148148</v>
      </c>
      <c r="B11083" s="50">
        <v>45137.6453215509</v>
      </c>
      <c r="C11083" s="51">
        <v>1.003</v>
      </c>
      <c r="D11083" s="51">
        <v>74.0</v>
      </c>
      <c r="E11083" s="52" t="s">
        <v>25</v>
      </c>
      <c r="F11083" s="52" t="s">
        <v>26</v>
      </c>
      <c r="G11083" s="53"/>
    </row>
    <row r="11084">
      <c r="A11084" s="49">
        <v>45137.53078798611</v>
      </c>
      <c r="B11084" s="50">
        <v>45137.6557551041</v>
      </c>
      <c r="C11084" s="51">
        <v>1.003</v>
      </c>
      <c r="D11084" s="51">
        <v>74.0</v>
      </c>
      <c r="E11084" s="52" t="s">
        <v>25</v>
      </c>
      <c r="F11084" s="52" t="s">
        <v>26</v>
      </c>
      <c r="G11084" s="53"/>
    </row>
    <row r="11085">
      <c r="A11085" s="49">
        <v>45137.54119824074</v>
      </c>
      <c r="B11085" s="50">
        <v>45137.6661751389</v>
      </c>
      <c r="C11085" s="51">
        <v>1.003</v>
      </c>
      <c r="D11085" s="51">
        <v>74.0</v>
      </c>
      <c r="E11085" s="52" t="s">
        <v>25</v>
      </c>
      <c r="F11085" s="52" t="s">
        <v>26</v>
      </c>
      <c r="G11085" s="53"/>
    </row>
    <row r="11086">
      <c r="A11086" s="49">
        <v>45137.56203756944</v>
      </c>
      <c r="B11086" s="50">
        <v>45137.6870148148</v>
      </c>
      <c r="C11086" s="51">
        <v>1.003</v>
      </c>
      <c r="D11086" s="51">
        <v>74.0</v>
      </c>
      <c r="E11086" s="52" t="s">
        <v>25</v>
      </c>
      <c r="F11086" s="52" t="s">
        <v>26</v>
      </c>
      <c r="G11086" s="53"/>
    </row>
    <row r="11087">
      <c r="A11087" s="49">
        <v>45137.572476076384</v>
      </c>
      <c r="B11087" s="50">
        <v>45137.6974463078</v>
      </c>
      <c r="C11087" s="51">
        <v>1.003</v>
      </c>
      <c r="D11087" s="51">
        <v>74.0</v>
      </c>
      <c r="E11087" s="52" t="s">
        <v>25</v>
      </c>
      <c r="F11087" s="52" t="s">
        <v>26</v>
      </c>
      <c r="G11087" s="53"/>
    </row>
    <row r="11088">
      <c r="A11088" s="49">
        <v>45137.58289491898</v>
      </c>
      <c r="B11088" s="50">
        <v>45137.707867743</v>
      </c>
      <c r="C11088" s="51">
        <v>1.003</v>
      </c>
      <c r="D11088" s="51">
        <v>74.0</v>
      </c>
      <c r="E11088" s="52" t="s">
        <v>25</v>
      </c>
      <c r="F11088" s="52" t="s">
        <v>26</v>
      </c>
      <c r="G11088" s="53"/>
    </row>
    <row r="11089">
      <c r="A11089" s="49">
        <v>45137.59331434028</v>
      </c>
      <c r="B11089" s="50">
        <v>45137.7182883796</v>
      </c>
      <c r="C11089" s="51">
        <v>1.003</v>
      </c>
      <c r="D11089" s="51">
        <v>74.0</v>
      </c>
      <c r="E11089" s="52" t="s">
        <v>25</v>
      </c>
      <c r="F11089" s="52" t="s">
        <v>26</v>
      </c>
      <c r="G11089" s="53"/>
    </row>
    <row r="11090">
      <c r="A11090" s="49">
        <v>45137.60373621528</v>
      </c>
      <c r="B11090" s="50">
        <v>45137.7287091782</v>
      </c>
      <c r="C11090" s="51">
        <v>1.003</v>
      </c>
      <c r="D11090" s="51">
        <v>74.0</v>
      </c>
      <c r="E11090" s="52" t="s">
        <v>25</v>
      </c>
      <c r="F11090" s="52" t="s">
        <v>26</v>
      </c>
      <c r="G11090" s="53"/>
    </row>
    <row r="11091">
      <c r="A11091" s="49">
        <v>45137.614166342595</v>
      </c>
      <c r="B11091" s="50">
        <v>45137.7391296527</v>
      </c>
      <c r="C11091" s="51">
        <v>1.003</v>
      </c>
      <c r="D11091" s="51">
        <v>74.0</v>
      </c>
      <c r="E11091" s="52" t="s">
        <v>25</v>
      </c>
      <c r="F11091" s="52" t="s">
        <v>26</v>
      </c>
      <c r="G11091" s="53"/>
    </row>
    <row r="11092">
      <c r="A11092" s="49">
        <v>45137.62458469908</v>
      </c>
      <c r="B11092" s="50">
        <v>45137.7495517245</v>
      </c>
      <c r="C11092" s="51">
        <v>1.003</v>
      </c>
      <c r="D11092" s="51">
        <v>74.0</v>
      </c>
      <c r="E11092" s="52" t="s">
        <v>25</v>
      </c>
      <c r="F11092" s="52" t="s">
        <v>26</v>
      </c>
      <c r="G11092" s="53"/>
    </row>
    <row r="11093">
      <c r="A11093" s="49">
        <v>45137.63499777778</v>
      </c>
      <c r="B11093" s="50">
        <v>45137.7599747453</v>
      </c>
      <c r="C11093" s="51">
        <v>1.003</v>
      </c>
      <c r="D11093" s="51">
        <v>74.0</v>
      </c>
      <c r="E11093" s="52" t="s">
        <v>25</v>
      </c>
      <c r="F11093" s="52" t="s">
        <v>26</v>
      </c>
      <c r="G11093" s="53"/>
    </row>
    <row r="11094">
      <c r="A11094" s="49">
        <v>45137.64542035879</v>
      </c>
      <c r="B11094" s="50">
        <v>45137.7703952083</v>
      </c>
      <c r="C11094" s="51">
        <v>1.003</v>
      </c>
      <c r="D11094" s="51">
        <v>74.0</v>
      </c>
      <c r="E11094" s="52" t="s">
        <v>25</v>
      </c>
      <c r="F11094" s="52" t="s">
        <v>26</v>
      </c>
      <c r="G11094" s="53"/>
    </row>
    <row r="11095">
      <c r="A11095" s="49">
        <v>45137.65585802084</v>
      </c>
      <c r="B11095" s="50">
        <v>45137.7808275</v>
      </c>
      <c r="C11095" s="51">
        <v>1.003</v>
      </c>
      <c r="D11095" s="51">
        <v>74.0</v>
      </c>
      <c r="E11095" s="52" t="s">
        <v>25</v>
      </c>
      <c r="F11095" s="52" t="s">
        <v>26</v>
      </c>
      <c r="G11095" s="53"/>
    </row>
    <row r="11096">
      <c r="A11096" s="49">
        <v>45137.666267002314</v>
      </c>
      <c r="B11096" s="50">
        <v>45137.791246574</v>
      </c>
      <c r="C11096" s="51">
        <v>1.003</v>
      </c>
      <c r="D11096" s="51">
        <v>74.0</v>
      </c>
      <c r="E11096" s="52" t="s">
        <v>25</v>
      </c>
      <c r="F11096" s="52" t="s">
        <v>26</v>
      </c>
      <c r="G11096" s="53"/>
    </row>
    <row r="11097">
      <c r="A11097" s="49">
        <v>45137.67670084491</v>
      </c>
      <c r="B11097" s="50">
        <v>45137.8016668402</v>
      </c>
      <c r="C11097" s="51">
        <v>1.003</v>
      </c>
      <c r="D11097" s="51">
        <v>74.0</v>
      </c>
      <c r="E11097" s="52" t="s">
        <v>25</v>
      </c>
      <c r="F11097" s="52" t="s">
        <v>26</v>
      </c>
      <c r="G11097" s="53"/>
    </row>
    <row r="11098">
      <c r="A11098" s="49">
        <v>45137.68711982639</v>
      </c>
      <c r="B11098" s="50">
        <v>45137.812088287</v>
      </c>
      <c r="C11098" s="51">
        <v>1.003</v>
      </c>
      <c r="D11098" s="51">
        <v>74.0</v>
      </c>
      <c r="E11098" s="52" t="s">
        <v>25</v>
      </c>
      <c r="F11098" s="52" t="s">
        <v>26</v>
      </c>
      <c r="G11098" s="53"/>
    </row>
    <row r="11099">
      <c r="A11099" s="49">
        <v>45137.69754234954</v>
      </c>
      <c r="B11099" s="50">
        <v>45137.8225105787</v>
      </c>
      <c r="C11099" s="51">
        <v>1.003</v>
      </c>
      <c r="D11099" s="51">
        <v>74.0</v>
      </c>
      <c r="E11099" s="52" t="s">
        <v>25</v>
      </c>
      <c r="F11099" s="52" t="s">
        <v>26</v>
      </c>
      <c r="G11099" s="53"/>
    </row>
    <row r="11100">
      <c r="A11100" s="49">
        <v>45137.70796840278</v>
      </c>
      <c r="B11100" s="50">
        <v>45137.8329329861</v>
      </c>
      <c r="C11100" s="51">
        <v>1.003</v>
      </c>
      <c r="D11100" s="51">
        <v>74.0</v>
      </c>
      <c r="E11100" s="52" t="s">
        <v>25</v>
      </c>
      <c r="F11100" s="52" t="s">
        <v>26</v>
      </c>
      <c r="G11100" s="53"/>
    </row>
    <row r="11101">
      <c r="A11101" s="49">
        <v>45137.71837541666</v>
      </c>
      <c r="B11101" s="50">
        <v>45137.8433531481</v>
      </c>
      <c r="C11101" s="51">
        <v>1.003</v>
      </c>
      <c r="D11101" s="51">
        <v>74.0</v>
      </c>
      <c r="E11101" s="52" t="s">
        <v>25</v>
      </c>
      <c r="F11101" s="52" t="s">
        <v>26</v>
      </c>
      <c r="G11101" s="53"/>
    </row>
    <row r="11102">
      <c r="A11102" s="49">
        <v>45137.72880887732</v>
      </c>
      <c r="B11102" s="50">
        <v>45137.8537854513</v>
      </c>
      <c r="C11102" s="51">
        <v>1.003</v>
      </c>
      <c r="D11102" s="51">
        <v>74.0</v>
      </c>
      <c r="E11102" s="52" t="s">
        <v>25</v>
      </c>
      <c r="F11102" s="52" t="s">
        <v>26</v>
      </c>
      <c r="G11102" s="53"/>
    </row>
    <row r="11103">
      <c r="A11103" s="49">
        <v>45137.73923143519</v>
      </c>
      <c r="B11103" s="50">
        <v>45137.8642061111</v>
      </c>
      <c r="C11103" s="51">
        <v>1.003</v>
      </c>
      <c r="D11103" s="51">
        <v>74.0</v>
      </c>
      <c r="E11103" s="52" t="s">
        <v>25</v>
      </c>
      <c r="F11103" s="52" t="s">
        <v>26</v>
      </c>
      <c r="G11103" s="53"/>
    </row>
    <row r="11104">
      <c r="A11104" s="49">
        <v>45137.74965511574</v>
      </c>
      <c r="B11104" s="50">
        <v>45137.8746266435</v>
      </c>
      <c r="C11104" s="51">
        <v>1.003</v>
      </c>
      <c r="D11104" s="51">
        <v>74.0</v>
      </c>
      <c r="E11104" s="52" t="s">
        <v>25</v>
      </c>
      <c r="F11104" s="52" t="s">
        <v>26</v>
      </c>
      <c r="G11104" s="53"/>
    </row>
    <row r="11105">
      <c r="A11105" s="49">
        <v>45137.76007726852</v>
      </c>
      <c r="B11105" s="50">
        <v>45137.8850481365</v>
      </c>
      <c r="C11105" s="51">
        <v>1.003</v>
      </c>
      <c r="D11105" s="51">
        <v>74.0</v>
      </c>
      <c r="E11105" s="52" t="s">
        <v>25</v>
      </c>
      <c r="F11105" s="52" t="s">
        <v>26</v>
      </c>
      <c r="G11105" s="53"/>
    </row>
    <row r="11106">
      <c r="A11106" s="49">
        <v>45137.770491284726</v>
      </c>
      <c r="B11106" s="50">
        <v>45137.8954674421</v>
      </c>
      <c r="C11106" s="51">
        <v>1.003</v>
      </c>
      <c r="D11106" s="51">
        <v>74.0</v>
      </c>
      <c r="E11106" s="52" t="s">
        <v>25</v>
      </c>
      <c r="F11106" s="52" t="s">
        <v>26</v>
      </c>
      <c r="G11106" s="53"/>
    </row>
    <row r="11107">
      <c r="A11107" s="49">
        <v>45137.78096418982</v>
      </c>
      <c r="B11107" s="50">
        <v>45137.9058892245</v>
      </c>
      <c r="C11107" s="51">
        <v>1.003</v>
      </c>
      <c r="D11107" s="51">
        <v>74.0</v>
      </c>
      <c r="E11107" s="52" t="s">
        <v>25</v>
      </c>
      <c r="F11107" s="52" t="s">
        <v>26</v>
      </c>
      <c r="G11107" s="53"/>
    </row>
    <row r="11108">
      <c r="A11108" s="49">
        <v>45137.79133945602</v>
      </c>
      <c r="B11108" s="50">
        <v>45137.9163110416</v>
      </c>
      <c r="C11108" s="51">
        <v>1.003</v>
      </c>
      <c r="D11108" s="51">
        <v>74.0</v>
      </c>
      <c r="E11108" s="52" t="s">
        <v>25</v>
      </c>
      <c r="F11108" s="52" t="s">
        <v>26</v>
      </c>
      <c r="G11108" s="53"/>
    </row>
    <row r="11109">
      <c r="A11109" s="49">
        <v>45137.80174923611</v>
      </c>
      <c r="B11109" s="50">
        <v>45137.9267312615</v>
      </c>
      <c r="C11109" s="51">
        <v>1.003</v>
      </c>
      <c r="D11109" s="51">
        <v>74.0</v>
      </c>
      <c r="E11109" s="52" t="s">
        <v>25</v>
      </c>
      <c r="F11109" s="52" t="s">
        <v>26</v>
      </c>
      <c r="G11109" s="53"/>
    </row>
    <row r="11110">
      <c r="A11110" s="49">
        <v>45137.81217815972</v>
      </c>
      <c r="B11110" s="50">
        <v>45137.9371531944</v>
      </c>
      <c r="C11110" s="51">
        <v>1.003</v>
      </c>
      <c r="D11110" s="51">
        <v>74.0</v>
      </c>
      <c r="E11110" s="52" t="s">
        <v>25</v>
      </c>
      <c r="F11110" s="52" t="s">
        <v>26</v>
      </c>
      <c r="G11110" s="53"/>
    </row>
    <row r="11111">
      <c r="A11111" s="49">
        <v>45137.822602002314</v>
      </c>
      <c r="B11111" s="50">
        <v>45137.9475730208</v>
      </c>
      <c r="C11111" s="51">
        <v>1.003</v>
      </c>
      <c r="D11111" s="51">
        <v>74.0</v>
      </c>
      <c r="E11111" s="52" t="s">
        <v>25</v>
      </c>
      <c r="F11111" s="52" t="s">
        <v>26</v>
      </c>
      <c r="G11111" s="53"/>
    </row>
    <row r="11112">
      <c r="A11112" s="49">
        <v>45137.833030891205</v>
      </c>
      <c r="B11112" s="50">
        <v>45137.957993993</v>
      </c>
      <c r="C11112" s="51">
        <v>1.003</v>
      </c>
      <c r="D11112" s="51">
        <v>74.0</v>
      </c>
      <c r="E11112" s="52" t="s">
        <v>25</v>
      </c>
      <c r="F11112" s="52" t="s">
        <v>26</v>
      </c>
      <c r="G11112" s="53"/>
    </row>
    <row r="11113">
      <c r="A11113" s="49">
        <v>45137.84344851851</v>
      </c>
      <c r="B11113" s="50">
        <v>45137.9684155092</v>
      </c>
      <c r="C11113" s="51">
        <v>1.003</v>
      </c>
      <c r="D11113" s="51">
        <v>74.0</v>
      </c>
      <c r="E11113" s="52" t="s">
        <v>25</v>
      </c>
      <c r="F11113" s="52" t="s">
        <v>26</v>
      </c>
      <c r="G11113" s="53"/>
    </row>
    <row r="11114">
      <c r="A11114" s="49">
        <v>45137.85386540509</v>
      </c>
      <c r="B11114" s="50">
        <v>45137.978837118</v>
      </c>
      <c r="C11114" s="51">
        <v>1.003</v>
      </c>
      <c r="D11114" s="51">
        <v>74.0</v>
      </c>
      <c r="E11114" s="52" t="s">
        <v>25</v>
      </c>
      <c r="F11114" s="52" t="s">
        <v>26</v>
      </c>
      <c r="G11114" s="53"/>
    </row>
    <row r="11115">
      <c r="A11115" s="49">
        <v>45137.86428079861</v>
      </c>
      <c r="B11115" s="50">
        <v>45137.9892576157</v>
      </c>
      <c r="C11115" s="51">
        <v>1.003</v>
      </c>
      <c r="D11115" s="51">
        <v>74.0</v>
      </c>
      <c r="E11115" s="52" t="s">
        <v>25</v>
      </c>
      <c r="F11115" s="52" t="s">
        <v>26</v>
      </c>
      <c r="G11115" s="53"/>
    </row>
    <row r="11116">
      <c r="A11116" s="49">
        <v>45137.87471596064</v>
      </c>
      <c r="B11116" s="50">
        <v>45137.9996802777</v>
      </c>
      <c r="C11116" s="51">
        <v>1.003</v>
      </c>
      <c r="D11116" s="51">
        <v>74.0</v>
      </c>
      <c r="E11116" s="52" t="s">
        <v>25</v>
      </c>
      <c r="F11116" s="52" t="s">
        <v>26</v>
      </c>
      <c r="G11116" s="53"/>
    </row>
    <row r="11117">
      <c r="A11117" s="49">
        <v>45137.88512450231</v>
      </c>
      <c r="B11117" s="50">
        <v>45138.0101018981</v>
      </c>
      <c r="C11117" s="51">
        <v>1.003</v>
      </c>
      <c r="D11117" s="51">
        <v>74.0</v>
      </c>
      <c r="E11117" s="52" t="s">
        <v>25</v>
      </c>
      <c r="F11117" s="52" t="s">
        <v>26</v>
      </c>
      <c r="G11117" s="53"/>
    </row>
    <row r="11118">
      <c r="A11118" s="49">
        <v>45137.895562199075</v>
      </c>
      <c r="B11118" s="50">
        <v>45138.0205344097</v>
      </c>
      <c r="C11118" s="51">
        <v>1.003</v>
      </c>
      <c r="D11118" s="51">
        <v>74.0</v>
      </c>
      <c r="E11118" s="52" t="s">
        <v>25</v>
      </c>
      <c r="F11118" s="52" t="s">
        <v>26</v>
      </c>
      <c r="G11118" s="53"/>
    </row>
    <row r="11119">
      <c r="A11119" s="49">
        <v>45137.905986157406</v>
      </c>
      <c r="B11119" s="50">
        <v>45138.0309564699</v>
      </c>
      <c r="C11119" s="51">
        <v>1.003</v>
      </c>
      <c r="D11119" s="51">
        <v>74.0</v>
      </c>
      <c r="E11119" s="52" t="s">
        <v>25</v>
      </c>
      <c r="F11119" s="52" t="s">
        <v>26</v>
      </c>
      <c r="G11119" s="53"/>
    </row>
    <row r="11120">
      <c r="A11120" s="49">
        <v>45137.91642366898</v>
      </c>
      <c r="B11120" s="50">
        <v>45138.0413897801</v>
      </c>
      <c r="C11120" s="51">
        <v>1.003</v>
      </c>
      <c r="D11120" s="51">
        <v>74.0</v>
      </c>
      <c r="E11120" s="52" t="s">
        <v>25</v>
      </c>
      <c r="F11120" s="52" t="s">
        <v>26</v>
      </c>
      <c r="G11120" s="53"/>
    </row>
    <row r="11121">
      <c r="A11121" s="49">
        <v>45137.92685123843</v>
      </c>
      <c r="B11121" s="50">
        <v>45138.0518073842</v>
      </c>
      <c r="C11121" s="51">
        <v>1.003</v>
      </c>
      <c r="D11121" s="51">
        <v>74.0</v>
      </c>
      <c r="E11121" s="52" t="s">
        <v>25</v>
      </c>
      <c r="F11121" s="52" t="s">
        <v>26</v>
      </c>
      <c r="G11121" s="53"/>
    </row>
    <row r="11122">
      <c r="A11122" s="49">
        <v>45137.93725476852</v>
      </c>
      <c r="B11122" s="50">
        <v>45138.0622287384</v>
      </c>
      <c r="C11122" s="51">
        <v>1.003</v>
      </c>
      <c r="D11122" s="51">
        <v>74.0</v>
      </c>
      <c r="E11122" s="52" t="s">
        <v>25</v>
      </c>
      <c r="F11122" s="52" t="s">
        <v>26</v>
      </c>
      <c r="G11122" s="53"/>
    </row>
    <row r="11123">
      <c r="A11123" s="49">
        <v>45137.94767844907</v>
      </c>
      <c r="B11123" s="50">
        <v>45138.0726503819</v>
      </c>
      <c r="C11123" s="51">
        <v>1.003</v>
      </c>
      <c r="D11123" s="51">
        <v>74.0</v>
      </c>
      <c r="E11123" s="52" t="s">
        <v>25</v>
      </c>
      <c r="F11123" s="52" t="s">
        <v>26</v>
      </c>
      <c r="G11123" s="53"/>
    </row>
    <row r="11124">
      <c r="A11124" s="49">
        <v>45137.95809865741</v>
      </c>
      <c r="B11124" s="50">
        <v>45138.0830713078</v>
      </c>
      <c r="C11124" s="51">
        <v>1.003</v>
      </c>
      <c r="D11124" s="51">
        <v>74.0</v>
      </c>
      <c r="E11124" s="52" t="s">
        <v>25</v>
      </c>
      <c r="F11124" s="52" t="s">
        <v>26</v>
      </c>
      <c r="G11124" s="53"/>
    </row>
    <row r="11125">
      <c r="A11125" s="49">
        <v>45137.96853319445</v>
      </c>
      <c r="B11125" s="50">
        <v>45138.09350478</v>
      </c>
      <c r="C11125" s="51">
        <v>1.003</v>
      </c>
      <c r="D11125" s="51">
        <v>74.0</v>
      </c>
      <c r="E11125" s="52" t="s">
        <v>25</v>
      </c>
      <c r="F11125" s="52" t="s">
        <v>26</v>
      </c>
      <c r="G11125" s="53"/>
    </row>
    <row r="11126">
      <c r="A11126" s="49">
        <v>45137.97895534722</v>
      </c>
      <c r="B11126" s="50">
        <v>45138.1039258796</v>
      </c>
      <c r="C11126" s="51">
        <v>1.003</v>
      </c>
      <c r="D11126" s="51">
        <v>74.0</v>
      </c>
      <c r="E11126" s="52" t="s">
        <v>25</v>
      </c>
      <c r="F11126" s="52" t="s">
        <v>26</v>
      </c>
      <c r="G11126" s="53"/>
    </row>
    <row r="11127">
      <c r="A11127" s="49">
        <v>45137.98937940972</v>
      </c>
      <c r="B11127" s="50">
        <v>45138.114347037</v>
      </c>
      <c r="C11127" s="51">
        <v>1.003</v>
      </c>
      <c r="D11127" s="51">
        <v>74.0</v>
      </c>
      <c r="E11127" s="52" t="s">
        <v>25</v>
      </c>
      <c r="F11127" s="52" t="s">
        <v>26</v>
      </c>
      <c r="G11127" s="53"/>
    </row>
    <row r="11128">
      <c r="A11128" s="49">
        <v>45137.99979722222</v>
      </c>
      <c r="B11128" s="50">
        <v>45138.1247677314</v>
      </c>
      <c r="C11128" s="51">
        <v>1.003</v>
      </c>
      <c r="D11128" s="51">
        <v>74.0</v>
      </c>
      <c r="E11128" s="52" t="s">
        <v>25</v>
      </c>
      <c r="F11128" s="52" t="s">
        <v>26</v>
      </c>
      <c r="G11128" s="53"/>
    </row>
    <row r="11129">
      <c r="A11129" s="49">
        <v>45138.0102174537</v>
      </c>
      <c r="B11129" s="50">
        <v>45138.1351879861</v>
      </c>
      <c r="C11129" s="51">
        <v>1.003</v>
      </c>
      <c r="D11129" s="51">
        <v>74.0</v>
      </c>
      <c r="E11129" s="52" t="s">
        <v>25</v>
      </c>
      <c r="F11129" s="52" t="s">
        <v>26</v>
      </c>
      <c r="G11129" s="53"/>
    </row>
    <row r="11130">
      <c r="A11130" s="49">
        <v>45138.020647638885</v>
      </c>
      <c r="B11130" s="50">
        <v>45138.1456197338</v>
      </c>
      <c r="C11130" s="51">
        <v>1.003</v>
      </c>
      <c r="D11130" s="51">
        <v>74.0</v>
      </c>
      <c r="E11130" s="52" t="s">
        <v>25</v>
      </c>
      <c r="F11130" s="52" t="s">
        <v>26</v>
      </c>
      <c r="G11130" s="53"/>
    </row>
    <row r="11131">
      <c r="A11131" s="49">
        <v>45138.03107103009</v>
      </c>
      <c r="B11131" s="50">
        <v>45138.1560394676</v>
      </c>
      <c r="C11131" s="51">
        <v>1.003</v>
      </c>
      <c r="D11131" s="51">
        <v>74.0</v>
      </c>
      <c r="E11131" s="52" t="s">
        <v>25</v>
      </c>
      <c r="F11131" s="52" t="s">
        <v>26</v>
      </c>
      <c r="G11131" s="53"/>
    </row>
    <row r="11132">
      <c r="A11132" s="49">
        <v>45138.04150082176</v>
      </c>
      <c r="B11132" s="50">
        <v>45138.1664713889</v>
      </c>
      <c r="C11132" s="51">
        <v>1.003</v>
      </c>
      <c r="D11132" s="51">
        <v>74.0</v>
      </c>
      <c r="E11132" s="52" t="s">
        <v>25</v>
      </c>
      <c r="F11132" s="52" t="s">
        <v>26</v>
      </c>
      <c r="G11132" s="53"/>
    </row>
    <row r="11133">
      <c r="A11133" s="49">
        <v>45138.05192537037</v>
      </c>
      <c r="B11133" s="50">
        <v>45138.1768920601</v>
      </c>
      <c r="C11133" s="51">
        <v>1.003</v>
      </c>
      <c r="D11133" s="51">
        <v>74.0</v>
      </c>
      <c r="E11133" s="52" t="s">
        <v>25</v>
      </c>
      <c r="F11133" s="52" t="s">
        <v>26</v>
      </c>
      <c r="G11133" s="53"/>
    </row>
    <row r="11134">
      <c r="A11134" s="49">
        <v>45138.06235681713</v>
      </c>
      <c r="B11134" s="50">
        <v>45138.1873125578</v>
      </c>
      <c r="C11134" s="51">
        <v>1.003</v>
      </c>
      <c r="D11134" s="51">
        <v>74.0</v>
      </c>
      <c r="E11134" s="52" t="s">
        <v>25</v>
      </c>
      <c r="F11134" s="52" t="s">
        <v>26</v>
      </c>
      <c r="G11134" s="53"/>
    </row>
    <row r="11135">
      <c r="A11135" s="49">
        <v>45138.07276097222</v>
      </c>
      <c r="B11135" s="50">
        <v>45138.1977340277</v>
      </c>
      <c r="C11135" s="51">
        <v>1.003</v>
      </c>
      <c r="D11135" s="51">
        <v>74.0</v>
      </c>
      <c r="E11135" s="52" t="s">
        <v>25</v>
      </c>
      <c r="F11135" s="52" t="s">
        <v>26</v>
      </c>
      <c r="G11135" s="53"/>
    </row>
    <row r="11136">
      <c r="A11136" s="49">
        <v>45138.08318987269</v>
      </c>
      <c r="B11136" s="50">
        <v>45138.2081546412</v>
      </c>
      <c r="C11136" s="51">
        <v>1.003</v>
      </c>
      <c r="D11136" s="51">
        <v>74.0</v>
      </c>
      <c r="E11136" s="52" t="s">
        <v>25</v>
      </c>
      <c r="F11136" s="52" t="s">
        <v>26</v>
      </c>
      <c r="G11136" s="53"/>
    </row>
    <row r="11137">
      <c r="A11137" s="49">
        <v>45138.09360763889</v>
      </c>
      <c r="B11137" s="50">
        <v>45138.2185756018</v>
      </c>
      <c r="C11137" s="51">
        <v>1.003</v>
      </c>
      <c r="D11137" s="51">
        <v>74.0</v>
      </c>
      <c r="E11137" s="52" t="s">
        <v>25</v>
      </c>
      <c r="F11137" s="52" t="s">
        <v>26</v>
      </c>
      <c r="G11137" s="53"/>
    </row>
    <row r="11138">
      <c r="A11138" s="49">
        <v>45138.10402724537</v>
      </c>
      <c r="B11138" s="50">
        <v>45138.2289975</v>
      </c>
      <c r="C11138" s="51">
        <v>1.003</v>
      </c>
      <c r="D11138" s="51">
        <v>74.0</v>
      </c>
      <c r="E11138" s="52" t="s">
        <v>25</v>
      </c>
      <c r="F11138" s="52" t="s">
        <v>26</v>
      </c>
      <c r="G11138" s="53"/>
    </row>
    <row r="11139">
      <c r="A11139" s="49">
        <v>45138.11445112269</v>
      </c>
      <c r="B11139" s="50">
        <v>45138.2394209259</v>
      </c>
      <c r="C11139" s="51">
        <v>1.003</v>
      </c>
      <c r="D11139" s="51">
        <v>74.0</v>
      </c>
      <c r="E11139" s="52" t="s">
        <v>25</v>
      </c>
      <c r="F11139" s="52" t="s">
        <v>26</v>
      </c>
      <c r="G11139" s="53"/>
    </row>
    <row r="11140">
      <c r="A11140" s="49">
        <v>45138.12487313658</v>
      </c>
      <c r="B11140" s="50">
        <v>45138.2498404282</v>
      </c>
      <c r="C11140" s="51">
        <v>1.003</v>
      </c>
      <c r="D11140" s="51">
        <v>74.0</v>
      </c>
      <c r="E11140" s="52" t="s">
        <v>25</v>
      </c>
      <c r="F11140" s="52" t="s">
        <v>26</v>
      </c>
      <c r="G11140" s="53"/>
    </row>
    <row r="11141">
      <c r="A11141" s="49">
        <v>45138.1352915625</v>
      </c>
      <c r="B11141" s="50">
        <v>45138.2602612268</v>
      </c>
      <c r="C11141" s="51">
        <v>1.003</v>
      </c>
      <c r="D11141" s="51">
        <v>74.0</v>
      </c>
      <c r="E11141" s="52" t="s">
        <v>25</v>
      </c>
      <c r="F11141" s="52" t="s">
        <v>26</v>
      </c>
      <c r="G11141" s="53"/>
    </row>
    <row r="11142">
      <c r="A11142" s="49">
        <v>45138.14571311342</v>
      </c>
      <c r="B11142" s="50">
        <v>45138.2706816087</v>
      </c>
      <c r="C11142" s="51">
        <v>1.003</v>
      </c>
      <c r="D11142" s="51">
        <v>74.0</v>
      </c>
      <c r="E11142" s="52" t="s">
        <v>25</v>
      </c>
      <c r="F11142" s="52" t="s">
        <v>26</v>
      </c>
      <c r="G11142" s="53"/>
    </row>
    <row r="11143">
      <c r="A11143" s="49">
        <v>45138.156131192125</v>
      </c>
      <c r="B11143" s="50">
        <v>45138.2811047222</v>
      </c>
      <c r="C11143" s="51">
        <v>1.003</v>
      </c>
      <c r="D11143" s="51">
        <v>74.0</v>
      </c>
      <c r="E11143" s="52" t="s">
        <v>25</v>
      </c>
      <c r="F11143" s="52" t="s">
        <v>26</v>
      </c>
      <c r="G11143" s="53"/>
    </row>
    <row r="11144">
      <c r="A11144" s="49">
        <v>45138.16656399306</v>
      </c>
      <c r="B11144" s="50">
        <v>45138.2915391551</v>
      </c>
      <c r="C11144" s="51">
        <v>1.003</v>
      </c>
      <c r="D11144" s="51">
        <v>74.0</v>
      </c>
      <c r="E11144" s="52" t="s">
        <v>25</v>
      </c>
      <c r="F11144" s="52" t="s">
        <v>26</v>
      </c>
      <c r="G11144" s="53"/>
    </row>
    <row r="11145">
      <c r="A11145" s="49">
        <v>45138.17697907407</v>
      </c>
      <c r="B11145" s="50">
        <v>45138.3019588657</v>
      </c>
      <c r="C11145" s="51">
        <v>1.003</v>
      </c>
      <c r="D11145" s="51">
        <v>74.0</v>
      </c>
      <c r="E11145" s="52" t="s">
        <v>25</v>
      </c>
      <c r="F11145" s="52" t="s">
        <v>26</v>
      </c>
      <c r="G11145" s="53"/>
    </row>
    <row r="11146">
      <c r="A11146" s="49">
        <v>45138.18740880787</v>
      </c>
      <c r="B11146" s="50">
        <v>45138.3123808101</v>
      </c>
      <c r="C11146" s="51">
        <v>1.003</v>
      </c>
      <c r="D11146" s="51">
        <v>74.0</v>
      </c>
      <c r="E11146" s="52" t="s">
        <v>25</v>
      </c>
      <c r="F11146" s="52" t="s">
        <v>26</v>
      </c>
      <c r="G11146" s="53"/>
    </row>
    <row r="11147">
      <c r="A11147" s="49">
        <v>45138.197831875004</v>
      </c>
      <c r="B11147" s="50">
        <v>45138.3228017592</v>
      </c>
      <c r="C11147" s="51">
        <v>1.003</v>
      </c>
      <c r="D11147" s="51">
        <v>74.0</v>
      </c>
      <c r="E11147" s="52" t="s">
        <v>25</v>
      </c>
      <c r="F11147" s="52" t="s">
        <v>26</v>
      </c>
      <c r="G11147" s="53"/>
    </row>
    <row r="11148">
      <c r="A11148" s="49">
        <v>45138.20826056713</v>
      </c>
      <c r="B11148" s="50">
        <v>45138.3332347801</v>
      </c>
      <c r="C11148" s="51">
        <v>1.003</v>
      </c>
      <c r="D11148" s="51">
        <v>74.0</v>
      </c>
      <c r="E11148" s="52" t="s">
        <v>25</v>
      </c>
      <c r="F11148" s="52" t="s">
        <v>26</v>
      </c>
      <c r="G11148" s="53"/>
    </row>
    <row r="11149">
      <c r="A11149" s="49">
        <v>45138.218686875</v>
      </c>
      <c r="B11149" s="50">
        <v>45138.3436548032</v>
      </c>
      <c r="C11149" s="51">
        <v>1.003</v>
      </c>
      <c r="D11149" s="51">
        <v>74.0</v>
      </c>
      <c r="E11149" s="52" t="s">
        <v>25</v>
      </c>
      <c r="F11149" s="52" t="s">
        <v>26</v>
      </c>
      <c r="G11149" s="53"/>
    </row>
    <row r="11150">
      <c r="A11150" s="49">
        <v>45138.22911017361</v>
      </c>
      <c r="B11150" s="50">
        <v>45138.3540764236</v>
      </c>
      <c r="C11150" s="51">
        <v>1.003</v>
      </c>
      <c r="D11150" s="51">
        <v>74.0</v>
      </c>
      <c r="E11150" s="52" t="s">
        <v>25</v>
      </c>
      <c r="F11150" s="52" t="s">
        <v>26</v>
      </c>
      <c r="G11150" s="53"/>
    </row>
    <row r="11151">
      <c r="A11151" s="49">
        <v>45138.23952199074</v>
      </c>
      <c r="B11151" s="50">
        <v>45138.3644973726</v>
      </c>
      <c r="C11151" s="51">
        <v>1.003</v>
      </c>
      <c r="D11151" s="51">
        <v>74.0</v>
      </c>
      <c r="E11151" s="52" t="s">
        <v>25</v>
      </c>
      <c r="F11151" s="52" t="s">
        <v>26</v>
      </c>
      <c r="G11151" s="53"/>
    </row>
    <row r="11152">
      <c r="A11152" s="49">
        <v>45138.24994245371</v>
      </c>
      <c r="B11152" s="50">
        <v>45138.3749185995</v>
      </c>
      <c r="C11152" s="51">
        <v>1.003</v>
      </c>
      <c r="D11152" s="51">
        <v>74.0</v>
      </c>
      <c r="E11152" s="52" t="s">
        <v>25</v>
      </c>
      <c r="F11152" s="52" t="s">
        <v>26</v>
      </c>
      <c r="G11152" s="53"/>
    </row>
    <row r="11153">
      <c r="A11153" s="49">
        <v>45138.260368125004</v>
      </c>
      <c r="B11153" s="50">
        <v>45138.3853401504</v>
      </c>
      <c r="C11153" s="51">
        <v>1.003</v>
      </c>
      <c r="D11153" s="51">
        <v>74.0</v>
      </c>
      <c r="E11153" s="52" t="s">
        <v>25</v>
      </c>
      <c r="F11153" s="52" t="s">
        <v>26</v>
      </c>
      <c r="G11153" s="53"/>
    </row>
    <row r="11154">
      <c r="A11154" s="49">
        <v>45138.27079446759</v>
      </c>
      <c r="B11154" s="50">
        <v>45138.395761875</v>
      </c>
      <c r="C11154" s="51">
        <v>1.003</v>
      </c>
      <c r="D11154" s="51">
        <v>74.0</v>
      </c>
      <c r="E11154" s="52" t="s">
        <v>25</v>
      </c>
      <c r="F11154" s="52" t="s">
        <v>26</v>
      </c>
      <c r="G11154" s="53"/>
    </row>
    <row r="11155">
      <c r="A11155" s="49">
        <v>45138.281235347225</v>
      </c>
      <c r="B11155" s="50">
        <v>45138.4061954745</v>
      </c>
      <c r="C11155" s="51">
        <v>1.003</v>
      </c>
      <c r="D11155" s="51">
        <v>74.0</v>
      </c>
      <c r="E11155" s="52" t="s">
        <v>25</v>
      </c>
      <c r="F11155" s="52" t="s">
        <v>26</v>
      </c>
      <c r="G11155" s="53"/>
    </row>
    <row r="11156">
      <c r="A11156" s="49">
        <v>45138.29164383102</v>
      </c>
      <c r="B11156" s="50">
        <v>45138.4166167824</v>
      </c>
      <c r="C11156" s="51">
        <v>1.003</v>
      </c>
      <c r="D11156" s="51">
        <v>74.0</v>
      </c>
      <c r="E11156" s="52" t="s">
        <v>25</v>
      </c>
      <c r="F11156" s="52" t="s">
        <v>26</v>
      </c>
      <c r="G11156" s="53"/>
    </row>
    <row r="11157">
      <c r="A11157" s="49">
        <v>45138.30206832176</v>
      </c>
      <c r="B11157" s="50">
        <v>45138.4270368402</v>
      </c>
      <c r="C11157" s="51">
        <v>1.003</v>
      </c>
      <c r="D11157" s="51">
        <v>74.0</v>
      </c>
      <c r="E11157" s="52" t="s">
        <v>25</v>
      </c>
      <c r="F11157" s="52" t="s">
        <v>26</v>
      </c>
      <c r="G11157" s="53"/>
    </row>
    <row r="11158">
      <c r="A11158" s="49">
        <v>45138.31250890046</v>
      </c>
      <c r="B11158" s="50">
        <v>45138.4374695023</v>
      </c>
      <c r="C11158" s="51">
        <v>1.003</v>
      </c>
      <c r="D11158" s="51">
        <v>74.0</v>
      </c>
      <c r="E11158" s="52" t="s">
        <v>25</v>
      </c>
      <c r="F11158" s="52" t="s">
        <v>26</v>
      </c>
      <c r="G11158" s="53"/>
    </row>
    <row r="11159">
      <c r="A11159" s="49">
        <v>45138.32292744213</v>
      </c>
      <c r="B11159" s="50">
        <v>45138.447889456</v>
      </c>
      <c r="C11159" s="51">
        <v>1.003</v>
      </c>
      <c r="D11159" s="51">
        <v>74.0</v>
      </c>
      <c r="E11159" s="52" t="s">
        <v>25</v>
      </c>
      <c r="F11159" s="52" t="s">
        <v>26</v>
      </c>
      <c r="G11159" s="53"/>
    </row>
    <row r="11160">
      <c r="A11160" s="49">
        <v>45138.33334322917</v>
      </c>
      <c r="B11160" s="50">
        <v>45138.4583113773</v>
      </c>
      <c r="C11160" s="51">
        <v>1.003</v>
      </c>
      <c r="D11160" s="51">
        <v>74.0</v>
      </c>
      <c r="E11160" s="52" t="s">
        <v>25</v>
      </c>
      <c r="F11160" s="52" t="s">
        <v>26</v>
      </c>
      <c r="G11160" s="53"/>
    </row>
    <row r="11161">
      <c r="A11161" s="49">
        <v>45138.34376423611</v>
      </c>
      <c r="B11161" s="50">
        <v>45138.4687337731</v>
      </c>
      <c r="C11161" s="51">
        <v>1.003</v>
      </c>
      <c r="D11161" s="51">
        <v>74.0</v>
      </c>
      <c r="E11161" s="52" t="s">
        <v>25</v>
      </c>
      <c r="F11161" s="52" t="s">
        <v>26</v>
      </c>
      <c r="G11161" s="53"/>
    </row>
    <row r="11162">
      <c r="A11162" s="49">
        <v>45138.35418199074</v>
      </c>
      <c r="B11162" s="50">
        <v>45138.4791552083</v>
      </c>
      <c r="C11162" s="51">
        <v>1.003</v>
      </c>
      <c r="D11162" s="51">
        <v>74.0</v>
      </c>
      <c r="E11162" s="52" t="s">
        <v>25</v>
      </c>
      <c r="F11162" s="52" t="s">
        <v>26</v>
      </c>
      <c r="G11162" s="53"/>
    </row>
    <row r="11163">
      <c r="A11163" s="49">
        <v>45138.36461533565</v>
      </c>
      <c r="B11163" s="50">
        <v>45138.4895762384</v>
      </c>
      <c r="C11163" s="51">
        <v>1.003</v>
      </c>
      <c r="D11163" s="51">
        <v>74.0</v>
      </c>
      <c r="E11163" s="52" t="s">
        <v>25</v>
      </c>
      <c r="F11163" s="52" t="s">
        <v>26</v>
      </c>
      <c r="G11163" s="53"/>
    </row>
    <row r="11164">
      <c r="A11164" s="49">
        <v>45138.37503200231</v>
      </c>
      <c r="B11164" s="50">
        <v>45138.4999974537</v>
      </c>
      <c r="C11164" s="51">
        <v>1.003</v>
      </c>
      <c r="D11164" s="51">
        <v>74.0</v>
      </c>
      <c r="E11164" s="52" t="s">
        <v>25</v>
      </c>
      <c r="F11164" s="52" t="s">
        <v>26</v>
      </c>
      <c r="G11164" s="53"/>
    </row>
    <row r="11165">
      <c r="A11165" s="49">
        <v>45138.38543976852</v>
      </c>
      <c r="B11165" s="50">
        <v>45138.5104170023</v>
      </c>
      <c r="C11165" s="51">
        <v>1.003</v>
      </c>
      <c r="D11165" s="51">
        <v>74.0</v>
      </c>
      <c r="E11165" s="52" t="s">
        <v>25</v>
      </c>
      <c r="F11165" s="52" t="s">
        <v>26</v>
      </c>
      <c r="G11165" s="53"/>
    </row>
    <row r="11166">
      <c r="A11166" s="49">
        <v>45138.39587267362</v>
      </c>
      <c r="B11166" s="50">
        <v>45138.5208394097</v>
      </c>
      <c r="C11166" s="51">
        <v>1.003</v>
      </c>
      <c r="D11166" s="51">
        <v>74.0</v>
      </c>
      <c r="E11166" s="52" t="s">
        <v>25</v>
      </c>
      <c r="F11166" s="52" t="s">
        <v>26</v>
      </c>
      <c r="G11166" s="53"/>
    </row>
    <row r="11167">
      <c r="A11167" s="49">
        <v>45138.406293113425</v>
      </c>
      <c r="B11167" s="50">
        <v>45138.5312615277</v>
      </c>
      <c r="C11167" s="51">
        <v>1.003</v>
      </c>
      <c r="D11167" s="51">
        <v>74.0</v>
      </c>
      <c r="E11167" s="52" t="s">
        <v>25</v>
      </c>
      <c r="F11167" s="52" t="s">
        <v>26</v>
      </c>
      <c r="G11167" s="53"/>
    </row>
    <row r="11168">
      <c r="A11168" s="49">
        <v>45138.41671232639</v>
      </c>
      <c r="B11168" s="50">
        <v>45138.541683125</v>
      </c>
      <c r="C11168" s="51">
        <v>1.003</v>
      </c>
      <c r="D11168" s="51">
        <v>74.0</v>
      </c>
      <c r="E11168" s="52" t="s">
        <v>25</v>
      </c>
      <c r="F11168" s="52" t="s">
        <v>26</v>
      </c>
      <c r="G11168" s="53"/>
    </row>
    <row r="11169">
      <c r="A11169" s="49">
        <v>45138.42712572917</v>
      </c>
      <c r="B11169" s="50">
        <v>45138.5521033217</v>
      </c>
      <c r="C11169" s="51">
        <v>1.003</v>
      </c>
      <c r="D11169" s="51">
        <v>74.0</v>
      </c>
      <c r="E11169" s="52" t="s">
        <v>25</v>
      </c>
      <c r="F11169" s="52" t="s">
        <v>26</v>
      </c>
      <c r="G11169" s="53"/>
    </row>
    <row r="11170">
      <c r="A11170" s="49">
        <v>45138.43755674768</v>
      </c>
      <c r="B11170" s="50">
        <v>45138.5625244907</v>
      </c>
      <c r="C11170" s="51">
        <v>1.003</v>
      </c>
      <c r="D11170" s="51">
        <v>74.0</v>
      </c>
      <c r="E11170" s="52" t="s">
        <v>25</v>
      </c>
      <c r="F11170" s="52" t="s">
        <v>26</v>
      </c>
      <c r="G11170" s="53"/>
    </row>
    <row r="11171">
      <c r="A11171" s="49">
        <v>45138.44798431713</v>
      </c>
      <c r="B11171" s="50">
        <v>45138.5729439699</v>
      </c>
      <c r="C11171" s="51">
        <v>1.003</v>
      </c>
      <c r="D11171" s="51">
        <v>74.0</v>
      </c>
      <c r="E11171" s="52" t="s">
        <v>25</v>
      </c>
      <c r="F11171" s="52" t="s">
        <v>26</v>
      </c>
      <c r="G11171" s="53"/>
    </row>
    <row r="11172">
      <c r="A11172" s="49">
        <v>45138.45841496528</v>
      </c>
      <c r="B11172" s="50">
        <v>45138.5833758217</v>
      </c>
      <c r="C11172" s="51">
        <v>1.003</v>
      </c>
      <c r="D11172" s="51">
        <v>74.0</v>
      </c>
      <c r="E11172" s="52" t="s">
        <v>25</v>
      </c>
      <c r="F11172" s="52" t="s">
        <v>26</v>
      </c>
      <c r="G11172" s="53"/>
    </row>
    <row r="11173">
      <c r="A11173" s="49">
        <v>45138.468823773146</v>
      </c>
      <c r="B11173" s="50">
        <v>45138.5937973032</v>
      </c>
      <c r="C11173" s="51">
        <v>1.003</v>
      </c>
      <c r="D11173" s="51">
        <v>74.0</v>
      </c>
      <c r="E11173" s="52" t="s">
        <v>25</v>
      </c>
      <c r="F11173" s="52" t="s">
        <v>26</v>
      </c>
      <c r="G11173" s="53"/>
    </row>
    <row r="11174">
      <c r="A11174" s="49">
        <v>45138.47925263889</v>
      </c>
      <c r="B11174" s="50">
        <v>45138.6042192129</v>
      </c>
      <c r="C11174" s="51">
        <v>1.003</v>
      </c>
      <c r="D11174" s="51">
        <v>74.0</v>
      </c>
      <c r="E11174" s="52" t="s">
        <v>25</v>
      </c>
      <c r="F11174" s="52" t="s">
        <v>26</v>
      </c>
      <c r="G11174" s="53"/>
    </row>
    <row r="11175">
      <c r="A11175" s="49">
        <v>45138.48966288194</v>
      </c>
      <c r="B11175" s="50">
        <v>45138.6146395486</v>
      </c>
      <c r="C11175" s="51">
        <v>1.003</v>
      </c>
      <c r="D11175" s="51">
        <v>74.0</v>
      </c>
      <c r="E11175" s="52" t="s">
        <v>25</v>
      </c>
      <c r="F11175" s="52" t="s">
        <v>26</v>
      </c>
      <c r="G11175" s="53"/>
    </row>
    <row r="11176">
      <c r="A11176" s="49">
        <v>45138.500100289355</v>
      </c>
      <c r="B11176" s="50">
        <v>45138.6250618634</v>
      </c>
      <c r="C11176" s="51">
        <v>1.003</v>
      </c>
      <c r="D11176" s="51">
        <v>74.0</v>
      </c>
      <c r="E11176" s="52" t="s">
        <v>25</v>
      </c>
      <c r="F11176" s="52" t="s">
        <v>26</v>
      </c>
      <c r="G11176" s="53"/>
    </row>
    <row r="11177">
      <c r="A11177" s="49">
        <v>45138.51050982639</v>
      </c>
      <c r="B11177" s="50">
        <v>45138.6354832175</v>
      </c>
      <c r="C11177" s="51">
        <v>1.003</v>
      </c>
      <c r="D11177" s="51">
        <v>74.0</v>
      </c>
      <c r="E11177" s="52" t="s">
        <v>25</v>
      </c>
      <c r="F11177" s="52" t="s">
        <v>26</v>
      </c>
      <c r="G11177" s="53"/>
    </row>
    <row r="11178">
      <c r="A11178" s="49">
        <v>45138.52093599537</v>
      </c>
      <c r="B11178" s="50">
        <v>45138.6459067824</v>
      </c>
      <c r="C11178" s="51">
        <v>1.003</v>
      </c>
      <c r="D11178" s="51">
        <v>74.0</v>
      </c>
      <c r="E11178" s="52" t="s">
        <v>25</v>
      </c>
      <c r="F11178" s="52" t="s">
        <v>26</v>
      </c>
      <c r="G11178" s="53"/>
    </row>
    <row r="11179">
      <c r="A11179" s="49">
        <v>45138.5313521412</v>
      </c>
      <c r="B11179" s="50">
        <v>45138.6563278125</v>
      </c>
      <c r="C11179" s="51">
        <v>1.003</v>
      </c>
      <c r="D11179" s="51">
        <v>74.0</v>
      </c>
      <c r="E11179" s="52" t="s">
        <v>25</v>
      </c>
      <c r="F11179" s="52" t="s">
        <v>26</v>
      </c>
      <c r="G11179" s="53"/>
    </row>
    <row r="11180">
      <c r="A11180" s="49">
        <v>45138.54176940973</v>
      </c>
      <c r="B11180" s="50">
        <v>45138.6667491087</v>
      </c>
      <c r="C11180" s="51">
        <v>1.003</v>
      </c>
      <c r="D11180" s="51">
        <v>74.0</v>
      </c>
      <c r="E11180" s="52" t="s">
        <v>25</v>
      </c>
      <c r="F11180" s="52" t="s">
        <v>26</v>
      </c>
      <c r="G11180" s="53"/>
    </row>
    <row r="11181">
      <c r="A11181" s="49">
        <v>45138.55219819445</v>
      </c>
      <c r="B11181" s="50">
        <v>45138.6771701388</v>
      </c>
      <c r="C11181" s="51">
        <v>1.003</v>
      </c>
      <c r="D11181" s="51">
        <v>74.0</v>
      </c>
      <c r="E11181" s="52" t="s">
        <v>25</v>
      </c>
      <c r="F11181" s="52" t="s">
        <v>26</v>
      </c>
      <c r="G11181" s="53"/>
    </row>
    <row r="11182">
      <c r="A11182" s="49">
        <v>45138.56261472222</v>
      </c>
      <c r="B11182" s="50">
        <v>45138.6875901504</v>
      </c>
      <c r="C11182" s="51">
        <v>1.003</v>
      </c>
      <c r="D11182" s="51">
        <v>74.0</v>
      </c>
      <c r="E11182" s="52" t="s">
        <v>25</v>
      </c>
      <c r="F11182" s="52" t="s">
        <v>26</v>
      </c>
      <c r="G11182" s="53"/>
    </row>
    <row r="11183">
      <c r="A11183" s="49">
        <v>45138.57303478009</v>
      </c>
      <c r="B11183" s="50">
        <v>45138.6980102893</v>
      </c>
      <c r="C11183" s="51">
        <v>1.003</v>
      </c>
      <c r="D11183" s="51">
        <v>74.0</v>
      </c>
      <c r="E11183" s="52" t="s">
        <v>25</v>
      </c>
      <c r="F11183" s="52" t="s">
        <v>26</v>
      </c>
      <c r="G11183" s="53"/>
    </row>
    <row r="11184">
      <c r="A11184" s="49">
        <v>45138.5834619213</v>
      </c>
      <c r="B11184" s="50">
        <v>45138.7084319097</v>
      </c>
      <c r="C11184" s="51">
        <v>1.003</v>
      </c>
      <c r="D11184" s="51">
        <v>74.0</v>
      </c>
      <c r="E11184" s="52" t="s">
        <v>25</v>
      </c>
      <c r="F11184" s="52" t="s">
        <v>26</v>
      </c>
      <c r="G11184" s="53"/>
    </row>
    <row r="11185">
      <c r="A11185" s="49">
        <v>45138.59388784722</v>
      </c>
      <c r="B11185" s="50">
        <v>45138.7188566551</v>
      </c>
      <c r="C11185" s="51">
        <v>1.003</v>
      </c>
      <c r="D11185" s="51">
        <v>74.0</v>
      </c>
      <c r="E11185" s="52" t="s">
        <v>25</v>
      </c>
      <c r="F11185" s="52" t="s">
        <v>26</v>
      </c>
      <c r="G11185" s="53"/>
    </row>
    <row r="11186">
      <c r="A11186" s="49">
        <v>45138.60430203704</v>
      </c>
      <c r="B11186" s="50">
        <v>45138.7292773263</v>
      </c>
      <c r="C11186" s="51">
        <v>1.003</v>
      </c>
      <c r="D11186" s="51">
        <v>74.0</v>
      </c>
      <c r="E11186" s="52" t="s">
        <v>25</v>
      </c>
      <c r="F11186" s="52" t="s">
        <v>26</v>
      </c>
      <c r="G11186" s="53"/>
    </row>
    <row r="11187">
      <c r="A11187" s="49">
        <v>45138.61471886574</v>
      </c>
      <c r="B11187" s="50">
        <v>45138.7396969444</v>
      </c>
      <c r="C11187" s="51">
        <v>1.003</v>
      </c>
      <c r="D11187" s="51">
        <v>74.0</v>
      </c>
      <c r="E11187" s="52" t="s">
        <v>25</v>
      </c>
      <c r="F11187" s="52" t="s">
        <v>26</v>
      </c>
      <c r="G11187" s="53"/>
    </row>
    <row r="11188">
      <c r="A11188" s="49">
        <v>45138.62514899306</v>
      </c>
      <c r="B11188" s="50">
        <v>45138.7501166203</v>
      </c>
      <c r="C11188" s="51">
        <v>1.003</v>
      </c>
      <c r="D11188" s="51">
        <v>74.0</v>
      </c>
      <c r="E11188" s="52" t="s">
        <v>25</v>
      </c>
      <c r="F11188" s="52" t="s">
        <v>26</v>
      </c>
      <c r="G11188" s="53"/>
    </row>
    <row r="11189">
      <c r="A11189" s="49">
        <v>45138.63558920139</v>
      </c>
      <c r="B11189" s="50">
        <v>45138.760561956</v>
      </c>
      <c r="C11189" s="51">
        <v>1.003</v>
      </c>
      <c r="D11189" s="51">
        <v>74.0</v>
      </c>
      <c r="E11189" s="52" t="s">
        <v>25</v>
      </c>
      <c r="F11189" s="52" t="s">
        <v>26</v>
      </c>
      <c r="G11189" s="53"/>
    </row>
    <row r="11190">
      <c r="A11190" s="49">
        <v>45138.646004594906</v>
      </c>
      <c r="B11190" s="50">
        <v>45138.7709831134</v>
      </c>
      <c r="C11190" s="51">
        <v>1.003</v>
      </c>
      <c r="D11190" s="51">
        <v>74.0</v>
      </c>
      <c r="E11190" s="52" t="s">
        <v>25</v>
      </c>
      <c r="F11190" s="52" t="s">
        <v>26</v>
      </c>
      <c r="G11190" s="53"/>
    </row>
    <row r="11191">
      <c r="A11191" s="49">
        <v>45138.656453275464</v>
      </c>
      <c r="B11191" s="50">
        <v>45138.7814160995</v>
      </c>
      <c r="C11191" s="51">
        <v>1.003</v>
      </c>
      <c r="D11191" s="51">
        <v>74.0</v>
      </c>
      <c r="E11191" s="52" t="s">
        <v>25</v>
      </c>
      <c r="F11191" s="52" t="s">
        <v>26</v>
      </c>
      <c r="G11191" s="53"/>
    </row>
    <row r="11192">
      <c r="A11192" s="49">
        <v>45138.66686195602</v>
      </c>
      <c r="B11192" s="50">
        <v>45138.7918349074</v>
      </c>
      <c r="C11192" s="51">
        <v>1.003</v>
      </c>
      <c r="D11192" s="51">
        <v>74.0</v>
      </c>
      <c r="E11192" s="52" t="s">
        <v>25</v>
      </c>
      <c r="F11192" s="52" t="s">
        <v>26</v>
      </c>
      <c r="G11192" s="53"/>
    </row>
    <row r="11193">
      <c r="A11193" s="49">
        <v>45138.67728525463</v>
      </c>
      <c r="B11193" s="50">
        <v>45138.8022568287</v>
      </c>
      <c r="C11193" s="51">
        <v>1.003</v>
      </c>
      <c r="D11193" s="51">
        <v>74.0</v>
      </c>
      <c r="E11193" s="52" t="s">
        <v>25</v>
      </c>
      <c r="F11193" s="52" t="s">
        <v>26</v>
      </c>
      <c r="G11193" s="53"/>
    </row>
    <row r="11194">
      <c r="A11194" s="49">
        <v>45138.687710439815</v>
      </c>
      <c r="B11194" s="50">
        <v>45138.8126772222</v>
      </c>
      <c r="C11194" s="51">
        <v>1.003</v>
      </c>
      <c r="D11194" s="51">
        <v>74.0</v>
      </c>
      <c r="E11194" s="52" t="s">
        <v>25</v>
      </c>
      <c r="F11194" s="52" t="s">
        <v>26</v>
      </c>
      <c r="G11194" s="53"/>
    </row>
    <row r="11195">
      <c r="A11195" s="49">
        <v>45138.69813373843</v>
      </c>
      <c r="B11195" s="50">
        <v>45138.8230979282</v>
      </c>
      <c r="C11195" s="51">
        <v>1.003</v>
      </c>
      <c r="D11195" s="51">
        <v>74.0</v>
      </c>
      <c r="E11195" s="52" t="s">
        <v>25</v>
      </c>
      <c r="F11195" s="52" t="s">
        <v>26</v>
      </c>
      <c r="G11195" s="53"/>
    </row>
    <row r="11196">
      <c r="A11196" s="49">
        <v>45138.70855818287</v>
      </c>
      <c r="B11196" s="50">
        <v>45138.8335194213</v>
      </c>
      <c r="C11196" s="51">
        <v>1.003</v>
      </c>
      <c r="D11196" s="51">
        <v>74.0</v>
      </c>
      <c r="E11196" s="52" t="s">
        <v>25</v>
      </c>
      <c r="F11196" s="52" t="s">
        <v>26</v>
      </c>
      <c r="G11196" s="53"/>
    </row>
    <row r="11197">
      <c r="A11197" s="49">
        <v>45138.718975474534</v>
      </c>
      <c r="B11197" s="50">
        <v>45138.8439417824</v>
      </c>
      <c r="C11197" s="51">
        <v>1.003</v>
      </c>
      <c r="D11197" s="51">
        <v>74.0</v>
      </c>
      <c r="E11197" s="52" t="s">
        <v>25</v>
      </c>
      <c r="F11197" s="52" t="s">
        <v>26</v>
      </c>
      <c r="G11197" s="53"/>
    </row>
    <row r="11198">
      <c r="A11198" s="49">
        <v>45138.729412430555</v>
      </c>
      <c r="B11198" s="50">
        <v>45138.8543628935</v>
      </c>
      <c r="C11198" s="51">
        <v>1.003</v>
      </c>
      <c r="D11198" s="51">
        <v>74.0</v>
      </c>
      <c r="E11198" s="52" t="s">
        <v>25</v>
      </c>
      <c r="F11198" s="52" t="s">
        <v>26</v>
      </c>
      <c r="G11198" s="53"/>
    </row>
    <row r="11199">
      <c r="A11199" s="49">
        <v>45138.739818877315</v>
      </c>
      <c r="B11199" s="50">
        <v>45138.8647835995</v>
      </c>
      <c r="C11199" s="51">
        <v>1.003</v>
      </c>
      <c r="D11199" s="51">
        <v>74.0</v>
      </c>
      <c r="E11199" s="52" t="s">
        <v>25</v>
      </c>
      <c r="F11199" s="52" t="s">
        <v>26</v>
      </c>
      <c r="G11199" s="53"/>
    </row>
    <row r="11200">
      <c r="A11200" s="49">
        <v>45138.750241354166</v>
      </c>
      <c r="B11200" s="50">
        <v>45138.875215949</v>
      </c>
      <c r="C11200" s="51">
        <v>1.003</v>
      </c>
      <c r="D11200" s="51">
        <v>74.0</v>
      </c>
      <c r="E11200" s="52" t="s">
        <v>25</v>
      </c>
      <c r="F11200" s="52" t="s">
        <v>26</v>
      </c>
      <c r="G11200" s="53"/>
    </row>
    <row r="11201">
      <c r="A11201" s="49">
        <v>45138.76066165509</v>
      </c>
      <c r="B11201" s="50">
        <v>45138.885637905</v>
      </c>
      <c r="C11201" s="51">
        <v>1.003</v>
      </c>
      <c r="D11201" s="51">
        <v>74.0</v>
      </c>
      <c r="E11201" s="52" t="s">
        <v>25</v>
      </c>
      <c r="F11201" s="52" t="s">
        <v>26</v>
      </c>
      <c r="G11201" s="53"/>
    </row>
    <row r="11202">
      <c r="A11202" s="49">
        <v>45138.77109981481</v>
      </c>
      <c r="B11202" s="50">
        <v>45138.8960699074</v>
      </c>
      <c r="C11202" s="51">
        <v>1.003</v>
      </c>
      <c r="D11202" s="51">
        <v>74.0</v>
      </c>
      <c r="E11202" s="52" t="s">
        <v>25</v>
      </c>
      <c r="F11202" s="52" t="s">
        <v>26</v>
      </c>
      <c r="G11202" s="53"/>
    </row>
    <row r="11203">
      <c r="A11203" s="49">
        <v>45138.7815196875</v>
      </c>
      <c r="B11203" s="50">
        <v>45138.906491493</v>
      </c>
      <c r="C11203" s="51">
        <v>1.003</v>
      </c>
      <c r="D11203" s="51">
        <v>74.0</v>
      </c>
      <c r="E11203" s="52" t="s">
        <v>25</v>
      </c>
      <c r="F11203" s="52" t="s">
        <v>26</v>
      </c>
      <c r="G11203" s="53"/>
    </row>
    <row r="11204">
      <c r="A11204" s="49">
        <v>45138.791946111116</v>
      </c>
      <c r="B11204" s="50">
        <v>45138.9169116898</v>
      </c>
      <c r="C11204" s="51">
        <v>1.003</v>
      </c>
      <c r="D11204" s="51">
        <v>74.0</v>
      </c>
      <c r="E11204" s="52" t="s">
        <v>25</v>
      </c>
      <c r="F11204" s="52" t="s">
        <v>26</v>
      </c>
      <c r="G11204" s="53"/>
    </row>
    <row r="11205">
      <c r="A11205" s="49">
        <v>45138.80236901621</v>
      </c>
      <c r="B11205" s="50">
        <v>45138.9273328935</v>
      </c>
      <c r="C11205" s="51">
        <v>1.003</v>
      </c>
      <c r="D11205" s="51">
        <v>74.0</v>
      </c>
      <c r="E11205" s="52" t="s">
        <v>25</v>
      </c>
      <c r="F11205" s="52" t="s">
        <v>26</v>
      </c>
      <c r="G11205" s="53"/>
    </row>
    <row r="11206">
      <c r="A11206" s="49">
        <v>45138.812780266206</v>
      </c>
      <c r="B11206" s="50">
        <v>45138.9377544907</v>
      </c>
      <c r="C11206" s="51">
        <v>1.003</v>
      </c>
      <c r="D11206" s="51">
        <v>74.0</v>
      </c>
      <c r="E11206" s="52" t="s">
        <v>25</v>
      </c>
      <c r="F11206" s="52" t="s">
        <v>26</v>
      </c>
      <c r="G11206" s="53"/>
    </row>
    <row r="11207">
      <c r="A11207" s="49">
        <v>45138.82319863426</v>
      </c>
      <c r="B11207" s="50">
        <v>45138.9481758449</v>
      </c>
      <c r="C11207" s="51">
        <v>1.003</v>
      </c>
      <c r="D11207" s="51">
        <v>74.0</v>
      </c>
      <c r="E11207" s="52" t="s">
        <v>25</v>
      </c>
      <c r="F11207" s="52" t="s">
        <v>26</v>
      </c>
      <c r="G11207" s="53"/>
    </row>
    <row r="11208">
      <c r="A11208" s="49">
        <v>45138.833660439814</v>
      </c>
      <c r="B11208" s="50">
        <v>45138.958632037</v>
      </c>
      <c r="C11208" s="51">
        <v>1.003</v>
      </c>
      <c r="D11208" s="51">
        <v>74.0</v>
      </c>
      <c r="E11208" s="52" t="s">
        <v>25</v>
      </c>
      <c r="F11208" s="52" t="s">
        <v>26</v>
      </c>
      <c r="G11208" s="53"/>
    </row>
    <row r="11209">
      <c r="A11209" s="49">
        <v>45138.8440833912</v>
      </c>
      <c r="B11209" s="50">
        <v>45138.9690545138</v>
      </c>
      <c r="C11209" s="51">
        <v>1.003</v>
      </c>
      <c r="D11209" s="51">
        <v>74.0</v>
      </c>
      <c r="E11209" s="52" t="s">
        <v>25</v>
      </c>
      <c r="F11209" s="52" t="s">
        <v>26</v>
      </c>
      <c r="G11209" s="53"/>
    </row>
    <row r="11210">
      <c r="A11210" s="49">
        <v>45138.85450037037</v>
      </c>
      <c r="B11210" s="50">
        <v>45138.9794738194</v>
      </c>
      <c r="C11210" s="51">
        <v>1.003</v>
      </c>
      <c r="D11210" s="51">
        <v>74.0</v>
      </c>
      <c r="E11210" s="52" t="s">
        <v>25</v>
      </c>
      <c r="F11210" s="52" t="s">
        <v>26</v>
      </c>
      <c r="G11210" s="53"/>
    </row>
    <row r="11211">
      <c r="A11211" s="49">
        <v>45138.86492461806</v>
      </c>
      <c r="B11211" s="50">
        <v>45138.9898950347</v>
      </c>
      <c r="C11211" s="51">
        <v>1.003</v>
      </c>
      <c r="D11211" s="51">
        <v>74.0</v>
      </c>
      <c r="E11211" s="52" t="s">
        <v>25</v>
      </c>
      <c r="F11211" s="52" t="s">
        <v>26</v>
      </c>
      <c r="G11211" s="53"/>
    </row>
    <row r="11212">
      <c r="A11212" s="49">
        <v>45138.87535244213</v>
      </c>
      <c r="B11212" s="50">
        <v>45139.0003160763</v>
      </c>
      <c r="C11212" s="51">
        <v>1.003</v>
      </c>
      <c r="D11212" s="51">
        <v>74.0</v>
      </c>
      <c r="E11212" s="52" t="s">
        <v>25</v>
      </c>
      <c r="F11212" s="52" t="s">
        <v>26</v>
      </c>
      <c r="G11212" s="53"/>
    </row>
    <row r="11213">
      <c r="A11213" s="49">
        <v>45138.88576094907</v>
      </c>
      <c r="B11213" s="50">
        <v>45139.0107375347</v>
      </c>
      <c r="C11213" s="51">
        <v>1.003</v>
      </c>
      <c r="D11213" s="51">
        <v>74.0</v>
      </c>
      <c r="E11213" s="52" t="s">
        <v>25</v>
      </c>
      <c r="F11213" s="52" t="s">
        <v>26</v>
      </c>
      <c r="G11213" s="53"/>
    </row>
    <row r="11214">
      <c r="A11214" s="49">
        <v>45138.8961881713</v>
      </c>
      <c r="B11214" s="50">
        <v>45139.0211571064</v>
      </c>
      <c r="C11214" s="51">
        <v>1.003</v>
      </c>
      <c r="D11214" s="51">
        <v>74.0</v>
      </c>
      <c r="E11214" s="52" t="s">
        <v>25</v>
      </c>
      <c r="F11214" s="52" t="s">
        <v>26</v>
      </c>
      <c r="G11214" s="53"/>
    </row>
    <row r="11215">
      <c r="A11215" s="49">
        <v>45138.90661413195</v>
      </c>
      <c r="B11215" s="50">
        <v>45139.0315911921</v>
      </c>
      <c r="C11215" s="51">
        <v>1.003</v>
      </c>
      <c r="D11215" s="51">
        <v>74.0</v>
      </c>
      <c r="E11215" s="52" t="s">
        <v>25</v>
      </c>
      <c r="F11215" s="52" t="s">
        <v>26</v>
      </c>
      <c r="G11215" s="53"/>
    </row>
    <row r="11216">
      <c r="A11216" s="49">
        <v>45138.917039629625</v>
      </c>
      <c r="B11216" s="50">
        <v>45139.0420130671</v>
      </c>
      <c r="C11216" s="51">
        <v>1.003</v>
      </c>
      <c r="D11216" s="51">
        <v>74.0</v>
      </c>
      <c r="E11216" s="52" t="s">
        <v>25</v>
      </c>
      <c r="F11216" s="52" t="s">
        <v>26</v>
      </c>
      <c r="G11216" s="53"/>
    </row>
    <row r="11217">
      <c r="A11217" s="49">
        <v>45138.927461203704</v>
      </c>
      <c r="B11217" s="50">
        <v>45139.0524320601</v>
      </c>
      <c r="C11217" s="51">
        <v>1.003</v>
      </c>
      <c r="D11217" s="51">
        <v>74.0</v>
      </c>
      <c r="E11217" s="52" t="s">
        <v>25</v>
      </c>
      <c r="F11217" s="52" t="s">
        <v>26</v>
      </c>
      <c r="G11217" s="53"/>
    </row>
    <row r="11218">
      <c r="A11218" s="49">
        <v>45138.93788907408</v>
      </c>
      <c r="B11218" s="50">
        <v>45139.0628533796</v>
      </c>
      <c r="C11218" s="51">
        <v>1.003</v>
      </c>
      <c r="D11218" s="51">
        <v>74.0</v>
      </c>
      <c r="E11218" s="52" t="s">
        <v>25</v>
      </c>
      <c r="F11218" s="52" t="s">
        <v>26</v>
      </c>
      <c r="G11218" s="53"/>
    </row>
    <row r="11219">
      <c r="A11219" s="49">
        <v>45138.9482996875</v>
      </c>
      <c r="B11219" s="50">
        <v>45139.073272905</v>
      </c>
      <c r="C11219" s="51">
        <v>1.003</v>
      </c>
      <c r="D11219" s="51">
        <v>74.0</v>
      </c>
      <c r="E11219" s="52" t="s">
        <v>25</v>
      </c>
      <c r="F11219" s="52" t="s">
        <v>26</v>
      </c>
      <c r="G11219" s="53"/>
    </row>
    <row r="11220">
      <c r="A11220" s="49">
        <v>45138.95871953704</v>
      </c>
      <c r="B11220" s="50">
        <v>45139.0836927314</v>
      </c>
      <c r="C11220" s="51">
        <v>1.003</v>
      </c>
      <c r="D11220" s="51">
        <v>74.0</v>
      </c>
      <c r="E11220" s="52" t="s">
        <v>25</v>
      </c>
      <c r="F11220" s="52" t="s">
        <v>26</v>
      </c>
      <c r="G11220" s="53"/>
    </row>
    <row r="11221">
      <c r="A11221" s="49">
        <v>45138.969145208335</v>
      </c>
      <c r="B11221" s="50">
        <v>45139.0941139699</v>
      </c>
      <c r="C11221" s="51">
        <v>1.003</v>
      </c>
      <c r="D11221" s="51">
        <v>74.0</v>
      </c>
      <c r="E11221" s="52" t="s">
        <v>25</v>
      </c>
      <c r="F11221" s="52" t="s">
        <v>26</v>
      </c>
      <c r="G11221" s="53"/>
    </row>
    <row r="11222">
      <c r="A11222" s="49">
        <v>45138.97957497685</v>
      </c>
      <c r="B11222" s="50">
        <v>45139.1045467476</v>
      </c>
      <c r="C11222" s="51">
        <v>1.003</v>
      </c>
      <c r="D11222" s="51">
        <v>74.0</v>
      </c>
      <c r="E11222" s="52" t="s">
        <v>25</v>
      </c>
      <c r="F11222" s="52" t="s">
        <v>26</v>
      </c>
      <c r="G11222" s="53"/>
    </row>
    <row r="11223">
      <c r="A11223" s="49">
        <v>45138.99000489584</v>
      </c>
      <c r="B11223" s="50">
        <v>45139.1149670023</v>
      </c>
      <c r="C11223" s="51">
        <v>1.003</v>
      </c>
      <c r="D11223" s="51">
        <v>74.0</v>
      </c>
      <c r="E11223" s="52" t="s">
        <v>25</v>
      </c>
      <c r="F11223" s="52" t="s">
        <v>26</v>
      </c>
      <c r="G11223" s="53"/>
    </row>
    <row r="11224">
      <c r="A11224" s="49">
        <v>45139.000419108794</v>
      </c>
      <c r="B11224" s="50">
        <v>45139.1253899884</v>
      </c>
      <c r="C11224" s="51">
        <v>1.003</v>
      </c>
      <c r="D11224" s="51">
        <v>74.0</v>
      </c>
      <c r="E11224" s="52" t="s">
        <v>25</v>
      </c>
      <c r="F11224" s="52" t="s">
        <v>26</v>
      </c>
      <c r="G11224" s="53"/>
    </row>
    <row r="11225">
      <c r="A11225" s="49">
        <v>45139.01084710648</v>
      </c>
      <c r="B11225" s="50">
        <v>45139.1358097106</v>
      </c>
      <c r="C11225" s="51">
        <v>1.003</v>
      </c>
      <c r="D11225" s="51">
        <v>74.0</v>
      </c>
      <c r="E11225" s="52" t="s">
        <v>25</v>
      </c>
      <c r="F11225" s="52" t="s">
        <v>26</v>
      </c>
      <c r="G11225" s="53"/>
    </row>
    <row r="11226">
      <c r="A11226" s="49">
        <v>45139.02126028935</v>
      </c>
      <c r="B11226" s="50">
        <v>45139.146229155</v>
      </c>
      <c r="C11226" s="51">
        <v>1.003</v>
      </c>
      <c r="D11226" s="51">
        <v>74.0</v>
      </c>
      <c r="E11226" s="52" t="s">
        <v>25</v>
      </c>
      <c r="F11226" s="52" t="s">
        <v>26</v>
      </c>
      <c r="G11226" s="53"/>
    </row>
    <row r="11227">
      <c r="A11227" s="49">
        <v>45139.03167578704</v>
      </c>
      <c r="B11227" s="50">
        <v>45139.1566495023</v>
      </c>
      <c r="C11227" s="51">
        <v>1.003</v>
      </c>
      <c r="D11227" s="51">
        <v>74.0</v>
      </c>
      <c r="E11227" s="52" t="s">
        <v>25</v>
      </c>
      <c r="F11227" s="52" t="s">
        <v>26</v>
      </c>
      <c r="G11227" s="53"/>
    </row>
    <row r="11228">
      <c r="A11228" s="49">
        <v>45139.042092118056</v>
      </c>
      <c r="B11228" s="50">
        <v>45139.1670698263</v>
      </c>
      <c r="C11228" s="51">
        <v>1.003</v>
      </c>
      <c r="D11228" s="51">
        <v>74.0</v>
      </c>
      <c r="E11228" s="52" t="s">
        <v>25</v>
      </c>
      <c r="F11228" s="52" t="s">
        <v>26</v>
      </c>
      <c r="G11228" s="53"/>
    </row>
    <row r="11229">
      <c r="A11229" s="49">
        <v>45139.05252225694</v>
      </c>
      <c r="B11229" s="50">
        <v>45139.1774917476</v>
      </c>
      <c r="C11229" s="51">
        <v>1.003</v>
      </c>
      <c r="D11229" s="51">
        <v>74.0</v>
      </c>
      <c r="E11229" s="52" t="s">
        <v>25</v>
      </c>
      <c r="F11229" s="52" t="s">
        <v>26</v>
      </c>
      <c r="G11229" s="53"/>
    </row>
    <row r="11230">
      <c r="A11230" s="49">
        <v>45139.0629624537</v>
      </c>
      <c r="B11230" s="50">
        <v>45139.1879268865</v>
      </c>
      <c r="C11230" s="51">
        <v>1.003</v>
      </c>
      <c r="D11230" s="51">
        <v>74.0</v>
      </c>
      <c r="E11230" s="52" t="s">
        <v>25</v>
      </c>
      <c r="F11230" s="52" t="s">
        <v>26</v>
      </c>
      <c r="G11230" s="53"/>
    </row>
    <row r="11231">
      <c r="A11231" s="49">
        <v>45139.073375810185</v>
      </c>
      <c r="B11231" s="50">
        <v>45139.198348368</v>
      </c>
      <c r="C11231" s="51">
        <v>1.003</v>
      </c>
      <c r="D11231" s="51">
        <v>74.0</v>
      </c>
      <c r="E11231" s="52" t="s">
        <v>25</v>
      </c>
      <c r="F11231" s="52" t="s">
        <v>26</v>
      </c>
      <c r="G11231" s="53"/>
    </row>
    <row r="11232">
      <c r="A11232" s="49">
        <v>45139.08379950232</v>
      </c>
      <c r="B11232" s="50">
        <v>45139.208768993</v>
      </c>
      <c r="C11232" s="51">
        <v>1.003</v>
      </c>
      <c r="D11232" s="51">
        <v>74.0</v>
      </c>
      <c r="E11232" s="52" t="s">
        <v>25</v>
      </c>
      <c r="F11232" s="52" t="s">
        <v>26</v>
      </c>
      <c r="G11232" s="53"/>
    </row>
    <row r="11233">
      <c r="A11233" s="49">
        <v>45139.094217164355</v>
      </c>
      <c r="B11233" s="50">
        <v>45139.2191885648</v>
      </c>
      <c r="C11233" s="51">
        <v>1.003</v>
      </c>
      <c r="D11233" s="51">
        <v>74.0</v>
      </c>
      <c r="E11233" s="52" t="s">
        <v>25</v>
      </c>
      <c r="F11233" s="52" t="s">
        <v>26</v>
      </c>
      <c r="G11233" s="53"/>
    </row>
    <row r="11234">
      <c r="A11234" s="49">
        <v>45139.10464127315</v>
      </c>
      <c r="B11234" s="50">
        <v>45139.2296090393</v>
      </c>
      <c r="C11234" s="51">
        <v>1.003</v>
      </c>
      <c r="D11234" s="51">
        <v>74.0</v>
      </c>
      <c r="E11234" s="52" t="s">
        <v>25</v>
      </c>
      <c r="F11234" s="52" t="s">
        <v>26</v>
      </c>
      <c r="G11234" s="53"/>
    </row>
    <row r="11235">
      <c r="A11235" s="49">
        <v>45139.11506709491</v>
      </c>
      <c r="B11235" s="50">
        <v>45139.2400292708</v>
      </c>
      <c r="C11235" s="51">
        <v>1.003</v>
      </c>
      <c r="D11235" s="51">
        <v>74.0</v>
      </c>
      <c r="E11235" s="52" t="s">
        <v>25</v>
      </c>
      <c r="F11235" s="52" t="s">
        <v>26</v>
      </c>
      <c r="G11235" s="53"/>
    </row>
    <row r="11236">
      <c r="A11236" s="49">
        <v>45139.12548916666</v>
      </c>
      <c r="B11236" s="50">
        <v>45139.250450324</v>
      </c>
      <c r="C11236" s="51">
        <v>1.003</v>
      </c>
      <c r="D11236" s="51">
        <v>74.0</v>
      </c>
      <c r="E11236" s="52" t="s">
        <v>25</v>
      </c>
      <c r="F11236" s="52" t="s">
        <v>26</v>
      </c>
      <c r="G11236" s="53"/>
    </row>
    <row r="11237">
      <c r="A11237" s="49">
        <v>45139.135901608795</v>
      </c>
      <c r="B11237" s="50">
        <v>45139.2608709375</v>
      </c>
      <c r="C11237" s="51">
        <v>1.003</v>
      </c>
      <c r="D11237" s="51">
        <v>74.0</v>
      </c>
      <c r="E11237" s="52" t="s">
        <v>25</v>
      </c>
      <c r="F11237" s="52" t="s">
        <v>26</v>
      </c>
      <c r="G11237" s="53"/>
    </row>
    <row r="11238">
      <c r="A11238" s="49">
        <v>45139.146323402776</v>
      </c>
      <c r="B11238" s="50">
        <v>45139.2712922338</v>
      </c>
      <c r="C11238" s="51">
        <v>1.003</v>
      </c>
      <c r="D11238" s="51">
        <v>74.0</v>
      </c>
      <c r="E11238" s="52" t="s">
        <v>25</v>
      </c>
      <c r="F11238" s="52" t="s">
        <v>26</v>
      </c>
      <c r="G11238" s="53"/>
    </row>
    <row r="11239">
      <c r="A11239" s="49">
        <v>45139.15674384259</v>
      </c>
      <c r="B11239" s="50">
        <v>45139.2817134027</v>
      </c>
      <c r="C11239" s="51">
        <v>1.003</v>
      </c>
      <c r="D11239" s="51">
        <v>73.0</v>
      </c>
      <c r="E11239" s="52" t="s">
        <v>25</v>
      </c>
      <c r="F11239" s="52" t="s">
        <v>26</v>
      </c>
      <c r="G11239" s="53"/>
    </row>
    <row r="11240">
      <c r="A11240" s="49">
        <v>45139.167169085646</v>
      </c>
      <c r="B11240" s="50">
        <v>45139.2921321527</v>
      </c>
      <c r="C11240" s="51">
        <v>1.003</v>
      </c>
      <c r="D11240" s="51">
        <v>74.0</v>
      </c>
      <c r="E11240" s="52" t="s">
        <v>25</v>
      </c>
      <c r="F11240" s="52" t="s">
        <v>26</v>
      </c>
      <c r="G11240" s="53"/>
    </row>
    <row r="11241">
      <c r="A11241" s="49">
        <v>45139.17759600695</v>
      </c>
      <c r="B11241" s="50">
        <v>45139.3025648495</v>
      </c>
      <c r="C11241" s="51">
        <v>1.003</v>
      </c>
      <c r="D11241" s="51">
        <v>74.0</v>
      </c>
      <c r="E11241" s="52" t="s">
        <v>25</v>
      </c>
      <c r="F11241" s="52" t="s">
        <v>26</v>
      </c>
      <c r="G11241" s="53"/>
    </row>
    <row r="11242">
      <c r="A11242" s="49">
        <v>45139.18800978009</v>
      </c>
      <c r="B11242" s="50">
        <v>45139.3129864583</v>
      </c>
      <c r="C11242" s="51">
        <v>1.003</v>
      </c>
      <c r="D11242" s="51">
        <v>74.0</v>
      </c>
      <c r="E11242" s="52" t="s">
        <v>25</v>
      </c>
      <c r="F11242" s="52" t="s">
        <v>26</v>
      </c>
      <c r="G11242" s="53"/>
    </row>
    <row r="11243">
      <c r="A11243" s="49">
        <v>45139.19844947917</v>
      </c>
      <c r="B11243" s="50">
        <v>45139.3234178819</v>
      </c>
      <c r="C11243" s="51">
        <v>1.003</v>
      </c>
      <c r="D11243" s="51">
        <v>74.0</v>
      </c>
      <c r="E11243" s="52" t="s">
        <v>25</v>
      </c>
      <c r="F11243" s="52" t="s">
        <v>26</v>
      </c>
      <c r="G11243" s="53"/>
    </row>
    <row r="11244">
      <c r="A11244" s="49">
        <v>45139.20886936343</v>
      </c>
      <c r="B11244" s="50">
        <v>45139.3338378935</v>
      </c>
      <c r="C11244" s="51">
        <v>1.003</v>
      </c>
      <c r="D11244" s="51">
        <v>74.0</v>
      </c>
      <c r="E11244" s="52" t="s">
        <v>25</v>
      </c>
      <c r="F11244" s="52" t="s">
        <v>26</v>
      </c>
      <c r="G11244" s="53"/>
    </row>
    <row r="11245">
      <c r="A11245" s="49">
        <v>45139.21929579861</v>
      </c>
      <c r="B11245" s="50">
        <v>45139.3442584143</v>
      </c>
      <c r="C11245" s="51">
        <v>1.003</v>
      </c>
      <c r="D11245" s="51">
        <v>74.0</v>
      </c>
      <c r="E11245" s="52" t="s">
        <v>25</v>
      </c>
      <c r="F11245" s="52" t="s">
        <v>26</v>
      </c>
      <c r="G11245" s="53"/>
    </row>
    <row r="11246">
      <c r="A11246" s="49">
        <v>45139.22971157407</v>
      </c>
      <c r="B11246" s="50">
        <v>45139.3546792824</v>
      </c>
      <c r="C11246" s="51">
        <v>1.003</v>
      </c>
      <c r="D11246" s="51">
        <v>74.0</v>
      </c>
      <c r="E11246" s="52" t="s">
        <v>25</v>
      </c>
      <c r="F11246" s="52" t="s">
        <v>26</v>
      </c>
      <c r="G11246" s="53"/>
    </row>
    <row r="11247">
      <c r="A11247" s="49">
        <v>45139.24013959491</v>
      </c>
      <c r="B11247" s="50">
        <v>45139.365110405</v>
      </c>
      <c r="C11247" s="51">
        <v>1.003</v>
      </c>
      <c r="D11247" s="51">
        <v>74.0</v>
      </c>
      <c r="E11247" s="52" t="s">
        <v>25</v>
      </c>
      <c r="F11247" s="52" t="s">
        <v>26</v>
      </c>
      <c r="G11247" s="53"/>
    </row>
    <row r="11248">
      <c r="A11248" s="49">
        <v>45139.25057065972</v>
      </c>
      <c r="B11248" s="50">
        <v>45139.3755318865</v>
      </c>
      <c r="C11248" s="51">
        <v>1.003</v>
      </c>
      <c r="D11248" s="51">
        <v>73.0</v>
      </c>
      <c r="E11248" s="52" t="s">
        <v>25</v>
      </c>
      <c r="F11248" s="52" t="s">
        <v>26</v>
      </c>
      <c r="G11248" s="53"/>
    </row>
    <row r="11249">
      <c r="A11249" s="49">
        <v>45139.260985891204</v>
      </c>
      <c r="B11249" s="50">
        <v>45139.3859530902</v>
      </c>
      <c r="C11249" s="51">
        <v>1.003</v>
      </c>
      <c r="D11249" s="51">
        <v>74.0</v>
      </c>
      <c r="E11249" s="52" t="s">
        <v>25</v>
      </c>
      <c r="F11249" s="52" t="s">
        <v>26</v>
      </c>
      <c r="G11249" s="53"/>
    </row>
    <row r="11250">
      <c r="A11250" s="49">
        <v>45139.27140576389</v>
      </c>
      <c r="B11250" s="50">
        <v>45139.3963736805</v>
      </c>
      <c r="C11250" s="51">
        <v>1.003</v>
      </c>
      <c r="D11250" s="51">
        <v>73.0</v>
      </c>
      <c r="E11250" s="52" t="s">
        <v>25</v>
      </c>
      <c r="F11250" s="52" t="s">
        <v>26</v>
      </c>
      <c r="G11250" s="53"/>
    </row>
    <row r="11251">
      <c r="A11251" s="49">
        <v>45139.28182907407</v>
      </c>
      <c r="B11251" s="50">
        <v>45139.4067958449</v>
      </c>
      <c r="C11251" s="51">
        <v>1.003</v>
      </c>
      <c r="D11251" s="51">
        <v>73.0</v>
      </c>
      <c r="E11251" s="52" t="s">
        <v>25</v>
      </c>
      <c r="F11251" s="52" t="s">
        <v>26</v>
      </c>
      <c r="G11251" s="53"/>
    </row>
    <row r="11252">
      <c r="A11252" s="49">
        <v>45139.29225087963</v>
      </c>
      <c r="B11252" s="50">
        <v>45139.4172149537</v>
      </c>
      <c r="C11252" s="51">
        <v>1.003</v>
      </c>
      <c r="D11252" s="51">
        <v>73.0</v>
      </c>
      <c r="E11252" s="52" t="s">
        <v>25</v>
      </c>
      <c r="F11252" s="52" t="s">
        <v>26</v>
      </c>
      <c r="G11252" s="53"/>
    </row>
    <row r="11253">
      <c r="A11253" s="49">
        <v>45139.302672708334</v>
      </c>
      <c r="B11253" s="50">
        <v>45139.4276359259</v>
      </c>
      <c r="C11253" s="51">
        <v>1.003</v>
      </c>
      <c r="D11253" s="51">
        <v>73.0</v>
      </c>
      <c r="E11253" s="52" t="s">
        <v>25</v>
      </c>
      <c r="F11253" s="52" t="s">
        <v>26</v>
      </c>
      <c r="G11253" s="53"/>
    </row>
    <row r="11254">
      <c r="A11254" s="49">
        <v>45139.31309401621</v>
      </c>
      <c r="B11254" s="50">
        <v>45139.4380575</v>
      </c>
      <c r="C11254" s="51">
        <v>1.003</v>
      </c>
      <c r="D11254" s="51">
        <v>73.0</v>
      </c>
      <c r="E11254" s="52" t="s">
        <v>25</v>
      </c>
      <c r="F11254" s="52" t="s">
        <v>26</v>
      </c>
      <c r="G11254" s="53"/>
    </row>
    <row r="11255">
      <c r="A11255" s="49">
        <v>45139.32351248842</v>
      </c>
      <c r="B11255" s="50">
        <v>45139.4484773032</v>
      </c>
      <c r="C11255" s="51">
        <v>1.003</v>
      </c>
      <c r="D11255" s="51">
        <v>73.0</v>
      </c>
      <c r="E11255" s="52" t="s">
        <v>25</v>
      </c>
      <c r="F11255" s="52" t="s">
        <v>26</v>
      </c>
      <c r="G11255" s="53"/>
    </row>
    <row r="11256">
      <c r="A11256" s="49">
        <v>45139.33393409722</v>
      </c>
      <c r="B11256" s="50">
        <v>45139.4588996412</v>
      </c>
      <c r="C11256" s="51">
        <v>1.003</v>
      </c>
      <c r="D11256" s="51">
        <v>73.0</v>
      </c>
      <c r="E11256" s="52" t="s">
        <v>25</v>
      </c>
      <c r="F11256" s="52" t="s">
        <v>26</v>
      </c>
      <c r="G11256" s="53"/>
    </row>
    <row r="11257">
      <c r="A11257" s="49">
        <v>45139.34434377315</v>
      </c>
      <c r="B11257" s="50">
        <v>45139.4693199537</v>
      </c>
      <c r="C11257" s="51">
        <v>1.003</v>
      </c>
      <c r="D11257" s="51">
        <v>73.0</v>
      </c>
      <c r="E11257" s="52" t="s">
        <v>25</v>
      </c>
      <c r="F11257" s="52" t="s">
        <v>26</v>
      </c>
      <c r="G11257" s="53"/>
    </row>
    <row r="11258">
      <c r="A11258" s="49">
        <v>45139.35477847222</v>
      </c>
      <c r="B11258" s="50">
        <v>45139.4797404861</v>
      </c>
      <c r="C11258" s="51">
        <v>1.003</v>
      </c>
      <c r="D11258" s="51">
        <v>73.0</v>
      </c>
      <c r="E11258" s="52" t="s">
        <v>25</v>
      </c>
      <c r="F11258" s="52" t="s">
        <v>26</v>
      </c>
      <c r="G11258" s="53"/>
    </row>
    <row r="11259">
      <c r="A11259" s="49">
        <v>45139.3651983912</v>
      </c>
      <c r="B11259" s="50">
        <v>45139.4901606365</v>
      </c>
      <c r="C11259" s="51">
        <v>1.003</v>
      </c>
      <c r="D11259" s="51">
        <v>73.0</v>
      </c>
      <c r="E11259" s="52" t="s">
        <v>25</v>
      </c>
      <c r="F11259" s="52" t="s">
        <v>26</v>
      </c>
      <c r="G11259" s="53"/>
    </row>
    <row r="11260">
      <c r="A11260" s="49">
        <v>45139.3756258912</v>
      </c>
      <c r="B11260" s="50">
        <v>45139.5005834027</v>
      </c>
      <c r="C11260" s="51">
        <v>1.003</v>
      </c>
      <c r="D11260" s="51">
        <v>73.0</v>
      </c>
      <c r="E11260" s="52" t="s">
        <v>25</v>
      </c>
      <c r="F11260" s="52" t="s">
        <v>26</v>
      </c>
      <c r="G11260" s="53"/>
    </row>
    <row r="11261">
      <c r="A11261" s="49">
        <v>45139.386039363424</v>
      </c>
      <c r="B11261" s="50">
        <v>45139.5110061689</v>
      </c>
      <c r="C11261" s="51">
        <v>1.003</v>
      </c>
      <c r="D11261" s="51">
        <v>73.0</v>
      </c>
      <c r="E11261" s="52" t="s">
        <v>25</v>
      </c>
      <c r="F11261" s="52" t="s">
        <v>26</v>
      </c>
      <c r="G11261" s="53"/>
    </row>
    <row r="11262">
      <c r="A11262" s="49">
        <v>45139.396455277776</v>
      </c>
      <c r="B11262" s="50">
        <v>45139.5214272916</v>
      </c>
      <c r="C11262" s="51">
        <v>1.003</v>
      </c>
      <c r="D11262" s="51">
        <v>73.0</v>
      </c>
      <c r="E11262" s="52" t="s">
        <v>25</v>
      </c>
      <c r="F11262" s="52" t="s">
        <v>26</v>
      </c>
      <c r="G11262" s="53"/>
    </row>
    <row r="11263">
      <c r="A11263" s="49">
        <v>45139.406882916664</v>
      </c>
      <c r="B11263" s="50">
        <v>45139.5318488541</v>
      </c>
      <c r="C11263" s="51">
        <v>1.003</v>
      </c>
      <c r="D11263" s="51">
        <v>73.0</v>
      </c>
      <c r="E11263" s="52" t="s">
        <v>25</v>
      </c>
      <c r="F11263" s="52" t="s">
        <v>26</v>
      </c>
      <c r="G11263" s="53"/>
    </row>
    <row r="11264">
      <c r="A11264" s="49">
        <v>45139.417304780094</v>
      </c>
      <c r="B11264" s="50">
        <v>45139.5422678124</v>
      </c>
      <c r="C11264" s="51">
        <v>1.003</v>
      </c>
      <c r="D11264" s="51">
        <v>73.0</v>
      </c>
      <c r="E11264" s="52" t="s">
        <v>25</v>
      </c>
      <c r="F11264" s="52" t="s">
        <v>26</v>
      </c>
      <c r="G11264" s="53"/>
    </row>
    <row r="11265">
      <c r="A11265" s="49">
        <v>45139.42771844908</v>
      </c>
      <c r="B11265" s="50">
        <v>45139.5526888078</v>
      </c>
      <c r="C11265" s="51">
        <v>1.003</v>
      </c>
      <c r="D11265" s="51">
        <v>73.0</v>
      </c>
      <c r="E11265" s="52" t="s">
        <v>25</v>
      </c>
      <c r="F11265" s="52" t="s">
        <v>26</v>
      </c>
      <c r="G11265" s="53"/>
    </row>
    <row r="11266">
      <c r="A11266" s="49">
        <v>45139.43815144676</v>
      </c>
      <c r="B11266" s="50">
        <v>45139.5631213194</v>
      </c>
      <c r="C11266" s="51">
        <v>1.003</v>
      </c>
      <c r="D11266" s="51">
        <v>73.0</v>
      </c>
      <c r="E11266" s="52" t="s">
        <v>25</v>
      </c>
      <c r="F11266" s="52" t="s">
        <v>26</v>
      </c>
      <c r="G11266" s="53"/>
    </row>
    <row r="11267">
      <c r="A11267" s="49">
        <v>45139.44857869213</v>
      </c>
      <c r="B11267" s="50">
        <v>45139.5735424421</v>
      </c>
      <c r="C11267" s="51">
        <v>1.003</v>
      </c>
      <c r="D11267" s="51">
        <v>73.0</v>
      </c>
      <c r="E11267" s="52" t="s">
        <v>25</v>
      </c>
      <c r="F11267" s="52" t="s">
        <v>26</v>
      </c>
      <c r="G11267" s="53"/>
    </row>
    <row r="11268">
      <c r="A11268" s="49">
        <v>45139.45899560185</v>
      </c>
      <c r="B11268" s="50">
        <v>45139.5839638078</v>
      </c>
      <c r="C11268" s="51">
        <v>1.003</v>
      </c>
      <c r="D11268" s="51">
        <v>73.0</v>
      </c>
      <c r="E11268" s="52" t="s">
        <v>25</v>
      </c>
      <c r="F11268" s="52" t="s">
        <v>26</v>
      </c>
      <c r="G11268" s="53"/>
    </row>
    <row r="11269">
      <c r="A11269" s="49">
        <v>45139.46942613426</v>
      </c>
      <c r="B11269" s="50">
        <v>45139.594398125</v>
      </c>
      <c r="C11269" s="51">
        <v>1.003</v>
      </c>
      <c r="D11269" s="51">
        <v>73.0</v>
      </c>
      <c r="E11269" s="52" t="s">
        <v>25</v>
      </c>
      <c r="F11269" s="52" t="s">
        <v>26</v>
      </c>
      <c r="G11269" s="53"/>
    </row>
    <row r="11270">
      <c r="A11270" s="49">
        <v>45139.479854351855</v>
      </c>
      <c r="B11270" s="50">
        <v>45139.604819375</v>
      </c>
      <c r="C11270" s="51">
        <v>1.003</v>
      </c>
      <c r="D11270" s="51">
        <v>73.0</v>
      </c>
      <c r="E11270" s="52" t="s">
        <v>25</v>
      </c>
      <c r="F11270" s="52" t="s">
        <v>26</v>
      </c>
      <c r="G11270" s="53"/>
    </row>
    <row r="11271">
      <c r="A11271" s="49">
        <v>45139.49026201389</v>
      </c>
      <c r="B11271" s="50">
        <v>45139.6152404166</v>
      </c>
      <c r="C11271" s="51">
        <v>1.003</v>
      </c>
      <c r="D11271" s="51">
        <v>73.0</v>
      </c>
      <c r="E11271" s="52" t="s">
        <v>25</v>
      </c>
      <c r="F11271" s="52" t="s">
        <v>26</v>
      </c>
      <c r="G11271" s="53"/>
    </row>
    <row r="11272">
      <c r="A11272" s="49">
        <v>45139.50068820602</v>
      </c>
      <c r="B11272" s="50">
        <v>45139.6256611805</v>
      </c>
      <c r="C11272" s="51">
        <v>1.003</v>
      </c>
      <c r="D11272" s="51">
        <v>73.0</v>
      </c>
      <c r="E11272" s="52" t="s">
        <v>25</v>
      </c>
      <c r="F11272" s="52" t="s">
        <v>26</v>
      </c>
      <c r="G11272" s="53"/>
    </row>
    <row r="11273">
      <c r="A11273" s="49">
        <v>45139.51110854167</v>
      </c>
      <c r="B11273" s="50">
        <v>45139.6360823495</v>
      </c>
      <c r="C11273" s="51">
        <v>1.003</v>
      </c>
      <c r="D11273" s="51">
        <v>73.0</v>
      </c>
      <c r="E11273" s="52" t="s">
        <v>25</v>
      </c>
      <c r="F11273" s="52" t="s">
        <v>26</v>
      </c>
      <c r="G11273" s="53"/>
    </row>
    <row r="11274">
      <c r="A11274" s="49">
        <v>45139.52154166666</v>
      </c>
      <c r="B11274" s="50">
        <v>45139.646516412</v>
      </c>
      <c r="C11274" s="51">
        <v>1.003</v>
      </c>
      <c r="D11274" s="51">
        <v>73.0</v>
      </c>
      <c r="E11274" s="52" t="s">
        <v>25</v>
      </c>
      <c r="F11274" s="52" t="s">
        <v>26</v>
      </c>
      <c r="G11274" s="53"/>
    </row>
    <row r="11275">
      <c r="A11275" s="49">
        <v>45139.531974178244</v>
      </c>
      <c r="B11275" s="50">
        <v>45139.6569376967</v>
      </c>
      <c r="C11275" s="51">
        <v>1.003</v>
      </c>
      <c r="D11275" s="51">
        <v>73.0</v>
      </c>
      <c r="E11275" s="52" t="s">
        <v>25</v>
      </c>
      <c r="F11275" s="52" t="s">
        <v>26</v>
      </c>
      <c r="G11275" s="53"/>
    </row>
    <row r="11276">
      <c r="A11276" s="49">
        <v>45139.542437048614</v>
      </c>
      <c r="B11276" s="50">
        <v>45139.6673593865</v>
      </c>
      <c r="C11276" s="51">
        <v>1.003</v>
      </c>
      <c r="D11276" s="51">
        <v>73.0</v>
      </c>
      <c r="E11276" s="52" t="s">
        <v>25</v>
      </c>
      <c r="F11276" s="52" t="s">
        <v>26</v>
      </c>
      <c r="G11276" s="53"/>
    </row>
    <row r="11277">
      <c r="A11277" s="49">
        <v>45139.55280666667</v>
      </c>
      <c r="B11277" s="50">
        <v>45139.6777810069</v>
      </c>
      <c r="C11277" s="51">
        <v>1.003</v>
      </c>
      <c r="D11277" s="51">
        <v>73.0</v>
      </c>
      <c r="E11277" s="52" t="s">
        <v>25</v>
      </c>
      <c r="F11277" s="52" t="s">
        <v>26</v>
      </c>
      <c r="G11277" s="53"/>
    </row>
    <row r="11278">
      <c r="A11278" s="49">
        <v>45139.56323255787</v>
      </c>
      <c r="B11278" s="50">
        <v>45139.6882044444</v>
      </c>
      <c r="C11278" s="51">
        <v>1.003</v>
      </c>
      <c r="D11278" s="51">
        <v>73.0</v>
      </c>
      <c r="E11278" s="52" t="s">
        <v>25</v>
      </c>
      <c r="F11278" s="52" t="s">
        <v>26</v>
      </c>
      <c r="G11278" s="53"/>
    </row>
    <row r="11279">
      <c r="A11279" s="49">
        <v>45139.573655706015</v>
      </c>
      <c r="B11279" s="50">
        <v>45139.6986243981</v>
      </c>
      <c r="C11279" s="51">
        <v>1.003</v>
      </c>
      <c r="D11279" s="51">
        <v>73.0</v>
      </c>
      <c r="E11279" s="52" t="s">
        <v>25</v>
      </c>
      <c r="F11279" s="52" t="s">
        <v>26</v>
      </c>
      <c r="G11279" s="53"/>
    </row>
    <row r="11280">
      <c r="A11280" s="49">
        <v>45139.58407597222</v>
      </c>
      <c r="B11280" s="50">
        <v>45139.7090440162</v>
      </c>
      <c r="C11280" s="51">
        <v>1.003</v>
      </c>
      <c r="D11280" s="51">
        <v>73.0</v>
      </c>
      <c r="E11280" s="52" t="s">
        <v>25</v>
      </c>
      <c r="F11280" s="52" t="s">
        <v>26</v>
      </c>
      <c r="G11280" s="53"/>
    </row>
    <row r="11281">
      <c r="A11281" s="49">
        <v>45139.59449766204</v>
      </c>
      <c r="B11281" s="50">
        <v>45139.7194650347</v>
      </c>
      <c r="C11281" s="51">
        <v>1.003</v>
      </c>
      <c r="D11281" s="51">
        <v>73.0</v>
      </c>
      <c r="E11281" s="52" t="s">
        <v>25</v>
      </c>
      <c r="F11281" s="52" t="s">
        <v>26</v>
      </c>
      <c r="G11281" s="53"/>
    </row>
    <row r="11282">
      <c r="A11282" s="49">
        <v>45139.60493252314</v>
      </c>
      <c r="B11282" s="50">
        <v>45139.7298980092</v>
      </c>
      <c r="C11282" s="51">
        <v>1.003</v>
      </c>
      <c r="D11282" s="51">
        <v>73.0</v>
      </c>
      <c r="E11282" s="52" t="s">
        <v>25</v>
      </c>
      <c r="F11282" s="52" t="s">
        <v>26</v>
      </c>
      <c r="G11282" s="53"/>
    </row>
    <row r="11283">
      <c r="A11283" s="49">
        <v>45139.615362627315</v>
      </c>
      <c r="B11283" s="50">
        <v>45139.74033103</v>
      </c>
      <c r="C11283" s="51">
        <v>1.003</v>
      </c>
      <c r="D11283" s="51">
        <v>73.0</v>
      </c>
      <c r="E11283" s="52" t="s">
        <v>25</v>
      </c>
      <c r="F11283" s="52" t="s">
        <v>26</v>
      </c>
      <c r="G11283" s="53"/>
    </row>
    <row r="11284">
      <c r="A11284" s="49">
        <v>45139.62579575232</v>
      </c>
      <c r="B11284" s="50">
        <v>45139.7507623379</v>
      </c>
      <c r="C11284" s="51">
        <v>1.003</v>
      </c>
      <c r="D11284" s="51">
        <v>73.0</v>
      </c>
      <c r="E11284" s="52" t="s">
        <v>25</v>
      </c>
      <c r="F11284" s="52" t="s">
        <v>26</v>
      </c>
      <c r="G11284" s="53"/>
    </row>
    <row r="11285">
      <c r="A11285" s="49">
        <v>45139.6362159375</v>
      </c>
      <c r="B11285" s="50">
        <v>45139.76118228</v>
      </c>
      <c r="C11285" s="51">
        <v>1.003</v>
      </c>
      <c r="D11285" s="51">
        <v>73.0</v>
      </c>
      <c r="E11285" s="52" t="s">
        <v>25</v>
      </c>
      <c r="F11285" s="52" t="s">
        <v>26</v>
      </c>
      <c r="G11285" s="53"/>
    </row>
    <row r="11286">
      <c r="A11286" s="49">
        <v>45139.64663112268</v>
      </c>
      <c r="B11286" s="50">
        <v>45139.7716028935</v>
      </c>
      <c r="C11286" s="51">
        <v>1.003</v>
      </c>
      <c r="D11286" s="51">
        <v>73.0</v>
      </c>
      <c r="E11286" s="52" t="s">
        <v>25</v>
      </c>
      <c r="F11286" s="52" t="s">
        <v>26</v>
      </c>
      <c r="G11286" s="53"/>
    </row>
    <row r="11287">
      <c r="A11287" s="49">
        <v>45139.65707059028</v>
      </c>
      <c r="B11287" s="50">
        <v>45139.7820373032</v>
      </c>
      <c r="C11287" s="51">
        <v>1.003</v>
      </c>
      <c r="D11287" s="51">
        <v>73.0</v>
      </c>
      <c r="E11287" s="52" t="s">
        <v>25</v>
      </c>
      <c r="F11287" s="52" t="s">
        <v>26</v>
      </c>
      <c r="G11287" s="53"/>
    </row>
    <row r="11288">
      <c r="A11288" s="49">
        <v>45139.6674827199</v>
      </c>
      <c r="B11288" s="50">
        <v>45139.7924577083</v>
      </c>
      <c r="C11288" s="51">
        <v>1.003</v>
      </c>
      <c r="D11288" s="51">
        <v>73.0</v>
      </c>
      <c r="E11288" s="52" t="s">
        <v>25</v>
      </c>
      <c r="F11288" s="52" t="s">
        <v>26</v>
      </c>
      <c r="G11288" s="53"/>
    </row>
    <row r="11289">
      <c r="A11289" s="49">
        <v>45139.677920243055</v>
      </c>
      <c r="B11289" s="50">
        <v>45139.8028889351</v>
      </c>
      <c r="C11289" s="51">
        <v>1.003</v>
      </c>
      <c r="D11289" s="51">
        <v>73.0</v>
      </c>
      <c r="E11289" s="52" t="s">
        <v>25</v>
      </c>
      <c r="F11289" s="52" t="s">
        <v>26</v>
      </c>
      <c r="G11289" s="53"/>
    </row>
    <row r="11290">
      <c r="A11290" s="49">
        <v>45139.68833344907</v>
      </c>
      <c r="B11290" s="50">
        <v>45139.813311331</v>
      </c>
      <c r="C11290" s="51">
        <v>1.003</v>
      </c>
      <c r="D11290" s="51">
        <v>74.0</v>
      </c>
      <c r="E11290" s="52" t="s">
        <v>25</v>
      </c>
      <c r="F11290" s="52" t="s">
        <v>26</v>
      </c>
      <c r="G11290" s="53"/>
    </row>
    <row r="11291">
      <c r="A11291" s="49">
        <v>45139.69876663195</v>
      </c>
      <c r="B11291" s="50">
        <v>45139.8237320949</v>
      </c>
      <c r="C11291" s="51">
        <v>1.003</v>
      </c>
      <c r="D11291" s="51">
        <v>73.0</v>
      </c>
      <c r="E11291" s="52" t="s">
        <v>25</v>
      </c>
      <c r="F11291" s="52" t="s">
        <v>26</v>
      </c>
      <c r="G11291" s="53"/>
    </row>
    <row r="11292">
      <c r="A11292" s="49">
        <v>45139.70917686343</v>
      </c>
      <c r="B11292" s="50">
        <v>45139.8341506134</v>
      </c>
      <c r="C11292" s="51">
        <v>1.003</v>
      </c>
      <c r="D11292" s="51">
        <v>73.0</v>
      </c>
      <c r="E11292" s="52" t="s">
        <v>25</v>
      </c>
      <c r="F11292" s="52" t="s">
        <v>26</v>
      </c>
      <c r="G11292" s="53"/>
    </row>
    <row r="11293">
      <c r="A11293" s="49">
        <v>45139.71960627315</v>
      </c>
      <c r="B11293" s="50">
        <v>45139.8445828009</v>
      </c>
      <c r="C11293" s="51">
        <v>1.003</v>
      </c>
      <c r="D11293" s="51">
        <v>73.0</v>
      </c>
      <c r="E11293" s="52" t="s">
        <v>25</v>
      </c>
      <c r="F11293" s="52" t="s">
        <v>26</v>
      </c>
      <c r="G11293" s="53"/>
    </row>
    <row r="11294">
      <c r="A11294" s="49">
        <v>45139.73004678241</v>
      </c>
      <c r="B11294" s="50">
        <v>45139.8550135069</v>
      </c>
      <c r="C11294" s="51">
        <v>1.003</v>
      </c>
      <c r="D11294" s="51">
        <v>74.0</v>
      </c>
      <c r="E11294" s="52" t="s">
        <v>25</v>
      </c>
      <c r="F11294" s="52" t="s">
        <v>26</v>
      </c>
      <c r="G11294" s="53"/>
    </row>
    <row r="11295">
      <c r="A11295" s="49">
        <v>45139.74046533565</v>
      </c>
      <c r="B11295" s="50">
        <v>45139.8654353009</v>
      </c>
      <c r="C11295" s="51">
        <v>1.003</v>
      </c>
      <c r="D11295" s="51">
        <v>73.0</v>
      </c>
      <c r="E11295" s="52" t="s">
        <v>25</v>
      </c>
      <c r="F11295" s="52" t="s">
        <v>26</v>
      </c>
      <c r="G11295" s="53"/>
    </row>
    <row r="11296">
      <c r="A11296" s="49">
        <v>45139.7508790625</v>
      </c>
      <c r="B11296" s="50">
        <v>45139.8758577662</v>
      </c>
      <c r="C11296" s="51">
        <v>1.003</v>
      </c>
      <c r="D11296" s="51">
        <v>74.0</v>
      </c>
      <c r="E11296" s="52" t="s">
        <v>25</v>
      </c>
      <c r="F11296" s="52" t="s">
        <v>26</v>
      </c>
      <c r="G11296" s="53"/>
    </row>
    <row r="11297">
      <c r="A11297" s="49">
        <v>45139.76131278936</v>
      </c>
      <c r="B11297" s="50">
        <v>45139.886278912</v>
      </c>
      <c r="C11297" s="51">
        <v>1.003</v>
      </c>
      <c r="D11297" s="51">
        <v>74.0</v>
      </c>
      <c r="E11297" s="52" t="s">
        <v>25</v>
      </c>
      <c r="F11297" s="52" t="s">
        <v>26</v>
      </c>
      <c r="G11297" s="53"/>
    </row>
    <row r="11298">
      <c r="A11298" s="49">
        <v>45139.771732187495</v>
      </c>
      <c r="B11298" s="50">
        <v>45139.8967010879</v>
      </c>
      <c r="C11298" s="51">
        <v>1.003</v>
      </c>
      <c r="D11298" s="51">
        <v>74.0</v>
      </c>
      <c r="E11298" s="52" t="s">
        <v>25</v>
      </c>
      <c r="F11298" s="52" t="s">
        <v>26</v>
      </c>
      <c r="G11298" s="53"/>
    </row>
    <row r="11299">
      <c r="A11299" s="49">
        <v>45139.78214866898</v>
      </c>
      <c r="B11299" s="50">
        <v>45139.9071217013</v>
      </c>
      <c r="C11299" s="51">
        <v>1.003</v>
      </c>
      <c r="D11299" s="51">
        <v>73.0</v>
      </c>
      <c r="E11299" s="52" t="s">
        <v>25</v>
      </c>
      <c r="F11299" s="52" t="s">
        <v>26</v>
      </c>
      <c r="G11299" s="53"/>
    </row>
    <row r="11300">
      <c r="A11300" s="49">
        <v>45139.79257482639</v>
      </c>
      <c r="B11300" s="50">
        <v>45139.9175432175</v>
      </c>
      <c r="C11300" s="51">
        <v>1.003</v>
      </c>
      <c r="D11300" s="51">
        <v>74.0</v>
      </c>
      <c r="E11300" s="52" t="s">
        <v>25</v>
      </c>
      <c r="F11300" s="52" t="s">
        <v>26</v>
      </c>
      <c r="G11300" s="53"/>
    </row>
    <row r="11301">
      <c r="A11301" s="49">
        <v>45139.80299326389</v>
      </c>
      <c r="B11301" s="50">
        <v>45139.9279634837</v>
      </c>
      <c r="C11301" s="51">
        <v>1.003</v>
      </c>
      <c r="D11301" s="51">
        <v>74.0</v>
      </c>
      <c r="E11301" s="52" t="s">
        <v>25</v>
      </c>
      <c r="F11301" s="52" t="s">
        <v>26</v>
      </c>
      <c r="G11301" s="53"/>
    </row>
    <row r="11302">
      <c r="A11302" s="49">
        <v>45139.813405787034</v>
      </c>
      <c r="B11302" s="50">
        <v>45139.9383845601</v>
      </c>
      <c r="C11302" s="51">
        <v>1.003</v>
      </c>
      <c r="D11302" s="51">
        <v>74.0</v>
      </c>
      <c r="E11302" s="52" t="s">
        <v>25</v>
      </c>
      <c r="F11302" s="52" t="s">
        <v>26</v>
      </c>
      <c r="G11302" s="53"/>
    </row>
    <row r="11303">
      <c r="A11303" s="49">
        <v>45139.82383542824</v>
      </c>
      <c r="B11303" s="50">
        <v>45139.9488045833</v>
      </c>
      <c r="C11303" s="51">
        <v>1.003</v>
      </c>
      <c r="D11303" s="51">
        <v>74.0</v>
      </c>
      <c r="E11303" s="52" t="s">
        <v>25</v>
      </c>
      <c r="F11303" s="52" t="s">
        <v>26</v>
      </c>
      <c r="G11303" s="53"/>
    </row>
    <row r="11304">
      <c r="A11304" s="49">
        <v>45139.83425388889</v>
      </c>
      <c r="B11304" s="50">
        <v>45139.9592263078</v>
      </c>
      <c r="C11304" s="51">
        <v>1.003</v>
      </c>
      <c r="D11304" s="51">
        <v>74.0</v>
      </c>
      <c r="E11304" s="52" t="s">
        <v>25</v>
      </c>
      <c r="F11304" s="52" t="s">
        <v>26</v>
      </c>
      <c r="G11304" s="53"/>
    </row>
    <row r="11305">
      <c r="A11305" s="49">
        <v>45139.84468299769</v>
      </c>
      <c r="B11305" s="50">
        <v>45139.9696499074</v>
      </c>
      <c r="C11305" s="51">
        <v>1.003</v>
      </c>
      <c r="D11305" s="51">
        <v>74.0</v>
      </c>
      <c r="E11305" s="52" t="s">
        <v>25</v>
      </c>
      <c r="F11305" s="52" t="s">
        <v>26</v>
      </c>
      <c r="G11305" s="53"/>
    </row>
    <row r="11306">
      <c r="A11306" s="49">
        <v>45139.855113935184</v>
      </c>
      <c r="B11306" s="50">
        <v>45139.980082824</v>
      </c>
      <c r="C11306" s="51">
        <v>1.003</v>
      </c>
      <c r="D11306" s="51">
        <v>74.0</v>
      </c>
      <c r="E11306" s="52" t="s">
        <v>25</v>
      </c>
      <c r="F11306" s="52" t="s">
        <v>26</v>
      </c>
      <c r="G11306" s="53"/>
    </row>
    <row r="11307">
      <c r="A11307" s="49">
        <v>45139.865528738424</v>
      </c>
      <c r="B11307" s="50">
        <v>45139.9905022453</v>
      </c>
      <c r="C11307" s="51">
        <v>1.003</v>
      </c>
      <c r="D11307" s="51">
        <v>74.0</v>
      </c>
      <c r="E11307" s="52" t="s">
        <v>25</v>
      </c>
      <c r="F11307" s="52" t="s">
        <v>26</v>
      </c>
      <c r="G11307" s="53"/>
    </row>
    <row r="11308">
      <c r="A11308" s="49">
        <v>45139.87595583333</v>
      </c>
      <c r="B11308" s="50">
        <v>45140.0009225</v>
      </c>
      <c r="C11308" s="51">
        <v>1.003</v>
      </c>
      <c r="D11308" s="51">
        <v>74.0</v>
      </c>
      <c r="E11308" s="52" t="s">
        <v>25</v>
      </c>
      <c r="F11308" s="52" t="s">
        <v>26</v>
      </c>
      <c r="G11308" s="53"/>
    </row>
    <row r="11309">
      <c r="A11309" s="49">
        <v>45139.88638150463</v>
      </c>
      <c r="B11309" s="50">
        <v>45140.011343206</v>
      </c>
      <c r="C11309" s="51">
        <v>1.003</v>
      </c>
      <c r="D11309" s="51">
        <v>74.0</v>
      </c>
      <c r="E11309" s="52" t="s">
        <v>25</v>
      </c>
      <c r="F11309" s="52" t="s">
        <v>26</v>
      </c>
      <c r="G11309" s="53"/>
    </row>
    <row r="11310">
      <c r="A11310" s="49">
        <v>45139.896787881946</v>
      </c>
      <c r="B11310" s="50">
        <v>45140.021763206</v>
      </c>
      <c r="C11310" s="51">
        <v>1.003</v>
      </c>
      <c r="D11310" s="51">
        <v>73.0</v>
      </c>
      <c r="E11310" s="52" t="s">
        <v>25</v>
      </c>
      <c r="F11310" s="52" t="s">
        <v>26</v>
      </c>
      <c r="G11310" s="53"/>
    </row>
    <row r="11311">
      <c r="A11311" s="49">
        <v>45139.907233391204</v>
      </c>
      <c r="B11311" s="50">
        <v>45140.0321954282</v>
      </c>
      <c r="C11311" s="51">
        <v>1.003</v>
      </c>
      <c r="D11311" s="51">
        <v>74.0</v>
      </c>
      <c r="E11311" s="52" t="s">
        <v>25</v>
      </c>
      <c r="F11311" s="52" t="s">
        <v>26</v>
      </c>
      <c r="G11311" s="53"/>
    </row>
    <row r="11312">
      <c r="A11312" s="49">
        <v>45139.91764962963</v>
      </c>
      <c r="B11312" s="50">
        <v>45140.04261603</v>
      </c>
      <c r="C11312" s="51">
        <v>1.003</v>
      </c>
      <c r="D11312" s="51">
        <v>74.0</v>
      </c>
      <c r="E11312" s="52" t="s">
        <v>25</v>
      </c>
      <c r="F11312" s="52" t="s">
        <v>26</v>
      </c>
      <c r="G11312" s="53"/>
    </row>
    <row r="11313">
      <c r="A11313" s="49">
        <v>45139.92807335648</v>
      </c>
      <c r="B11313" s="50">
        <v>45140.0530378009</v>
      </c>
      <c r="C11313" s="51">
        <v>1.003</v>
      </c>
      <c r="D11313" s="51">
        <v>73.0</v>
      </c>
      <c r="E11313" s="52" t="s">
        <v>25</v>
      </c>
      <c r="F11313" s="52" t="s">
        <v>26</v>
      </c>
      <c r="G11313" s="53"/>
    </row>
    <row r="11314">
      <c r="A11314" s="49">
        <v>45139.9384908912</v>
      </c>
      <c r="B11314" s="50">
        <v>45140.06345853</v>
      </c>
      <c r="C11314" s="51">
        <v>1.003</v>
      </c>
      <c r="D11314" s="51">
        <v>73.0</v>
      </c>
      <c r="E11314" s="52" t="s">
        <v>25</v>
      </c>
      <c r="F11314" s="52" t="s">
        <v>26</v>
      </c>
      <c r="G11314" s="53"/>
    </row>
    <row r="11315">
      <c r="A11315" s="49">
        <v>45139.948908032406</v>
      </c>
      <c r="B11315" s="50">
        <v>45140.073877118</v>
      </c>
      <c r="C11315" s="51">
        <v>1.003</v>
      </c>
      <c r="D11315" s="51">
        <v>73.0</v>
      </c>
      <c r="E11315" s="52" t="s">
        <v>25</v>
      </c>
      <c r="F11315" s="52" t="s">
        <v>26</v>
      </c>
      <c r="G11315" s="53"/>
    </row>
    <row r="11316">
      <c r="A11316" s="49">
        <v>45139.959331018516</v>
      </c>
      <c r="B11316" s="50">
        <v>45140.0842988888</v>
      </c>
      <c r="C11316" s="51">
        <v>1.003</v>
      </c>
      <c r="D11316" s="51">
        <v>73.0</v>
      </c>
      <c r="E11316" s="52" t="s">
        <v>25</v>
      </c>
      <c r="F11316" s="52" t="s">
        <v>26</v>
      </c>
      <c r="G11316" s="53"/>
    </row>
    <row r="11317">
      <c r="A11317" s="49">
        <v>45139.969752986115</v>
      </c>
      <c r="B11317" s="50">
        <v>45140.0947195023</v>
      </c>
      <c r="C11317" s="51">
        <v>1.003</v>
      </c>
      <c r="D11317" s="51">
        <v>73.0</v>
      </c>
      <c r="E11317" s="52" t="s">
        <v>25</v>
      </c>
      <c r="F11317" s="52" t="s">
        <v>26</v>
      </c>
      <c r="G11317" s="53"/>
    </row>
    <row r="11318">
      <c r="A11318" s="49">
        <v>45139.98017013889</v>
      </c>
      <c r="B11318" s="50">
        <v>45140.1051396296</v>
      </c>
      <c r="C11318" s="51">
        <v>1.003</v>
      </c>
      <c r="D11318" s="51">
        <v>74.0</v>
      </c>
      <c r="E11318" s="52" t="s">
        <v>25</v>
      </c>
      <c r="F11318" s="52" t="s">
        <v>26</v>
      </c>
      <c r="G11318" s="53"/>
    </row>
    <row r="11319">
      <c r="A11319" s="49">
        <v>45139.99060385417</v>
      </c>
      <c r="B11319" s="50">
        <v>45140.1155619328</v>
      </c>
      <c r="C11319" s="51">
        <v>1.003</v>
      </c>
      <c r="D11319" s="51">
        <v>73.0</v>
      </c>
      <c r="E11319" s="52" t="s">
        <v>25</v>
      </c>
      <c r="F11319" s="52" t="s">
        <v>26</v>
      </c>
      <c r="G11319" s="53"/>
    </row>
    <row r="11320">
      <c r="A11320" s="49">
        <v>45140.001017013885</v>
      </c>
      <c r="B11320" s="50">
        <v>45140.1259813657</v>
      </c>
      <c r="C11320" s="51">
        <v>1.003</v>
      </c>
      <c r="D11320" s="51">
        <v>73.0</v>
      </c>
      <c r="E11320" s="52" t="s">
        <v>25</v>
      </c>
      <c r="F11320" s="52" t="s">
        <v>26</v>
      </c>
      <c r="G11320" s="53"/>
    </row>
    <row r="11321">
      <c r="A11321" s="49">
        <v>45140.011434375</v>
      </c>
      <c r="B11321" s="50">
        <v>45140.1364027893</v>
      </c>
      <c r="C11321" s="51">
        <v>1.003</v>
      </c>
      <c r="D11321" s="51">
        <v>73.0</v>
      </c>
      <c r="E11321" s="52" t="s">
        <v>25</v>
      </c>
      <c r="F11321" s="52" t="s">
        <v>26</v>
      </c>
      <c r="G11321" s="53"/>
    </row>
    <row r="11322">
      <c r="A11322" s="49">
        <v>45140.02185583333</v>
      </c>
      <c r="B11322" s="50">
        <v>45140.1468244328</v>
      </c>
      <c r="C11322" s="51">
        <v>1.003</v>
      </c>
      <c r="D11322" s="51">
        <v>73.0</v>
      </c>
      <c r="E11322" s="52" t="s">
        <v>25</v>
      </c>
      <c r="F11322" s="52" t="s">
        <v>26</v>
      </c>
      <c r="G11322" s="53"/>
    </row>
    <row r="11323">
      <c r="A11323" s="49">
        <v>45140.03227387731</v>
      </c>
      <c r="B11323" s="50">
        <v>45140.1572467013</v>
      </c>
      <c r="C11323" s="51">
        <v>1.003</v>
      </c>
      <c r="D11323" s="51">
        <v>73.0</v>
      </c>
      <c r="E11323" s="52" t="s">
        <v>25</v>
      </c>
      <c r="F11323" s="52" t="s">
        <v>26</v>
      </c>
      <c r="G11323" s="53"/>
    </row>
    <row r="11324">
      <c r="A11324" s="49">
        <v>45140.04270515047</v>
      </c>
      <c r="B11324" s="50">
        <v>45140.1676659259</v>
      </c>
      <c r="C11324" s="51">
        <v>1.003</v>
      </c>
      <c r="D11324" s="51">
        <v>73.0</v>
      </c>
      <c r="E11324" s="52" t="s">
        <v>25</v>
      </c>
      <c r="F11324" s="52" t="s">
        <v>26</v>
      </c>
      <c r="G11324" s="53"/>
    </row>
    <row r="11325">
      <c r="A11325" s="49">
        <v>45140.053117627314</v>
      </c>
      <c r="B11325" s="50">
        <v>45140.1780875231</v>
      </c>
      <c r="C11325" s="51">
        <v>1.003</v>
      </c>
      <c r="D11325" s="51">
        <v>73.0</v>
      </c>
      <c r="E11325" s="52" t="s">
        <v>25</v>
      </c>
      <c r="F11325" s="52" t="s">
        <v>26</v>
      </c>
      <c r="G11325" s="53"/>
    </row>
    <row r="11326">
      <c r="A11326" s="49">
        <v>45140.06357583334</v>
      </c>
      <c r="B11326" s="50">
        <v>45140.1885068981</v>
      </c>
      <c r="C11326" s="51">
        <v>1.003</v>
      </c>
      <c r="D11326" s="51">
        <v>73.0</v>
      </c>
      <c r="E11326" s="52" t="s">
        <v>25</v>
      </c>
      <c r="F11326" s="52" t="s">
        <v>26</v>
      </c>
      <c r="G11326" s="53"/>
    </row>
    <row r="11327">
      <c r="A11327" s="49">
        <v>45140.073970613426</v>
      </c>
      <c r="B11327" s="50">
        <v>45140.1989272106</v>
      </c>
      <c r="C11327" s="51">
        <v>1.003</v>
      </c>
      <c r="D11327" s="51">
        <v>73.0</v>
      </c>
      <c r="E11327" s="52" t="s">
        <v>25</v>
      </c>
      <c r="F11327" s="52" t="s">
        <v>26</v>
      </c>
      <c r="G11327" s="53"/>
    </row>
    <row r="11328">
      <c r="A11328" s="49">
        <v>45140.08437965278</v>
      </c>
      <c r="B11328" s="50">
        <v>45140.2093496064</v>
      </c>
      <c r="C11328" s="51">
        <v>1.003</v>
      </c>
      <c r="D11328" s="51">
        <v>73.0</v>
      </c>
      <c r="E11328" s="52" t="s">
        <v>25</v>
      </c>
      <c r="F11328" s="52" t="s">
        <v>26</v>
      </c>
      <c r="G11328" s="53"/>
    </row>
    <row r="11329">
      <c r="A11329" s="49">
        <v>45140.09480939815</v>
      </c>
      <c r="B11329" s="50">
        <v>45140.2197705902</v>
      </c>
      <c r="C11329" s="51">
        <v>1.003</v>
      </c>
      <c r="D11329" s="51">
        <v>73.0</v>
      </c>
      <c r="E11329" s="52" t="s">
        <v>25</v>
      </c>
      <c r="F11329" s="52" t="s">
        <v>26</v>
      </c>
      <c r="G11329" s="53"/>
    </row>
    <row r="11330">
      <c r="A11330" s="49">
        <v>45140.1052202662</v>
      </c>
      <c r="B11330" s="50">
        <v>45140.230194155</v>
      </c>
      <c r="C11330" s="51">
        <v>1.003</v>
      </c>
      <c r="D11330" s="51">
        <v>73.0</v>
      </c>
      <c r="E11330" s="52" t="s">
        <v>25</v>
      </c>
      <c r="F11330" s="52" t="s">
        <v>26</v>
      </c>
      <c r="G11330" s="53"/>
    </row>
    <row r="11331">
      <c r="A11331" s="49">
        <v>45140.115662384254</v>
      </c>
      <c r="B11331" s="50">
        <v>45140.2406275231</v>
      </c>
      <c r="C11331" s="51">
        <v>1.003</v>
      </c>
      <c r="D11331" s="51">
        <v>73.0</v>
      </c>
      <c r="E11331" s="52" t="s">
        <v>25</v>
      </c>
      <c r="F11331" s="52" t="s">
        <v>26</v>
      </c>
      <c r="G11331" s="53"/>
    </row>
    <row r="11332">
      <c r="A11332" s="49">
        <v>45140.126078807865</v>
      </c>
      <c r="B11332" s="50">
        <v>45140.2510497569</v>
      </c>
      <c r="C11332" s="51">
        <v>1.003</v>
      </c>
      <c r="D11332" s="51">
        <v>73.0</v>
      </c>
      <c r="E11332" s="52" t="s">
        <v>25</v>
      </c>
      <c r="F11332" s="52" t="s">
        <v>26</v>
      </c>
      <c r="G11332" s="53"/>
    </row>
    <row r="11333">
      <c r="A11333" s="49">
        <v>45140.136517499996</v>
      </c>
      <c r="B11333" s="50">
        <v>45140.2614825</v>
      </c>
      <c r="C11333" s="51">
        <v>1.003</v>
      </c>
      <c r="D11333" s="51">
        <v>73.0</v>
      </c>
      <c r="E11333" s="52" t="s">
        <v>25</v>
      </c>
      <c r="F11333" s="52" t="s">
        <v>26</v>
      </c>
      <c r="G11333" s="53"/>
    </row>
    <row r="11334">
      <c r="A11334" s="49">
        <v>45140.146936516205</v>
      </c>
      <c r="B11334" s="50">
        <v>45140.2719048148</v>
      </c>
      <c r="C11334" s="51">
        <v>1.003</v>
      </c>
      <c r="D11334" s="51">
        <v>73.0</v>
      </c>
      <c r="E11334" s="52" t="s">
        <v>25</v>
      </c>
      <c r="F11334" s="52" t="s">
        <v>26</v>
      </c>
      <c r="G11334" s="53"/>
    </row>
    <row r="11335">
      <c r="A11335" s="49">
        <v>45140.157369872686</v>
      </c>
      <c r="B11335" s="50">
        <v>45140.2823383564</v>
      </c>
      <c r="C11335" s="51">
        <v>1.003</v>
      </c>
      <c r="D11335" s="51">
        <v>73.0</v>
      </c>
      <c r="E11335" s="52" t="s">
        <v>25</v>
      </c>
      <c r="F11335" s="52" t="s">
        <v>26</v>
      </c>
      <c r="G11335" s="53"/>
    </row>
    <row r="11336">
      <c r="A11336" s="49">
        <v>45140.16778996528</v>
      </c>
      <c r="B11336" s="50">
        <v>45140.2927569213</v>
      </c>
      <c r="C11336" s="51">
        <v>1.003</v>
      </c>
      <c r="D11336" s="51">
        <v>73.0</v>
      </c>
      <c r="E11336" s="52" t="s">
        <v>25</v>
      </c>
      <c r="F11336" s="52" t="s">
        <v>26</v>
      </c>
      <c r="G11336" s="53"/>
    </row>
    <row r="11337">
      <c r="A11337" s="49">
        <v>45140.178208564816</v>
      </c>
      <c r="B11337" s="50">
        <v>45140.3031781018</v>
      </c>
      <c r="C11337" s="51">
        <v>1.003</v>
      </c>
      <c r="D11337" s="51">
        <v>73.0</v>
      </c>
      <c r="E11337" s="52" t="s">
        <v>25</v>
      </c>
      <c r="F11337" s="52" t="s">
        <v>26</v>
      </c>
      <c r="G11337" s="53"/>
    </row>
    <row r="11338">
      <c r="A11338" s="49">
        <v>45140.18863682871</v>
      </c>
      <c r="B11338" s="50">
        <v>45140.3135995717</v>
      </c>
      <c r="C11338" s="51">
        <v>1.003</v>
      </c>
      <c r="D11338" s="51">
        <v>73.0</v>
      </c>
      <c r="E11338" s="52" t="s">
        <v>25</v>
      </c>
      <c r="F11338" s="52" t="s">
        <v>26</v>
      </c>
      <c r="G11338" s="53"/>
    </row>
    <row r="11339">
      <c r="A11339" s="49">
        <v>45140.19906074074</v>
      </c>
      <c r="B11339" s="50">
        <v>45140.3240206365</v>
      </c>
      <c r="C11339" s="51">
        <v>1.003</v>
      </c>
      <c r="D11339" s="51">
        <v>73.0</v>
      </c>
      <c r="E11339" s="52" t="s">
        <v>25</v>
      </c>
      <c r="F11339" s="52" t="s">
        <v>26</v>
      </c>
      <c r="G11339" s="53"/>
    </row>
    <row r="11340">
      <c r="A11340" s="49">
        <v>45140.209485671294</v>
      </c>
      <c r="B11340" s="50">
        <v>45140.3344418518</v>
      </c>
      <c r="C11340" s="51">
        <v>1.003</v>
      </c>
      <c r="D11340" s="51">
        <v>73.0</v>
      </c>
      <c r="E11340" s="52" t="s">
        <v>25</v>
      </c>
      <c r="F11340" s="52" t="s">
        <v>26</v>
      </c>
      <c r="G11340" s="53"/>
    </row>
    <row r="11341">
      <c r="A11341" s="49">
        <v>45140.219896712966</v>
      </c>
      <c r="B11341" s="50">
        <v>45140.3448748148</v>
      </c>
      <c r="C11341" s="51">
        <v>1.003</v>
      </c>
      <c r="D11341" s="51">
        <v>73.0</v>
      </c>
      <c r="E11341" s="52" t="s">
        <v>25</v>
      </c>
      <c r="F11341" s="52" t="s">
        <v>26</v>
      </c>
      <c r="G11341" s="53"/>
    </row>
    <row r="11342">
      <c r="A11342" s="49">
        <v>45140.23032076389</v>
      </c>
      <c r="B11342" s="50">
        <v>45140.3552946296</v>
      </c>
      <c r="C11342" s="51">
        <v>1.003</v>
      </c>
      <c r="D11342" s="51">
        <v>73.0</v>
      </c>
      <c r="E11342" s="52" t="s">
        <v>25</v>
      </c>
      <c r="F11342" s="52" t="s">
        <v>26</v>
      </c>
      <c r="G11342" s="53"/>
    </row>
    <row r="11343">
      <c r="A11343" s="49">
        <v>45140.24075890046</v>
      </c>
      <c r="B11343" s="50">
        <v>45140.3657292708</v>
      </c>
      <c r="C11343" s="51">
        <v>1.003</v>
      </c>
      <c r="D11343" s="51">
        <v>73.0</v>
      </c>
      <c r="E11343" s="52" t="s">
        <v>25</v>
      </c>
      <c r="F11343" s="52" t="s">
        <v>26</v>
      </c>
      <c r="G11343" s="53"/>
    </row>
    <row r="11344">
      <c r="A11344" s="49">
        <v>45140.2511815162</v>
      </c>
      <c r="B11344" s="50">
        <v>45140.376150081</v>
      </c>
      <c r="C11344" s="51">
        <v>1.003</v>
      </c>
      <c r="D11344" s="51">
        <v>73.0</v>
      </c>
      <c r="E11344" s="52" t="s">
        <v>25</v>
      </c>
      <c r="F11344" s="52" t="s">
        <v>26</v>
      </c>
      <c r="G11344" s="53"/>
    </row>
    <row r="11345">
      <c r="A11345" s="49">
        <v>45140.26160239583</v>
      </c>
      <c r="B11345" s="50">
        <v>45140.3865711689</v>
      </c>
      <c r="C11345" s="51">
        <v>1.003</v>
      </c>
      <c r="D11345" s="51">
        <v>73.0</v>
      </c>
      <c r="E11345" s="52" t="s">
        <v>25</v>
      </c>
      <c r="F11345" s="52" t="s">
        <v>26</v>
      </c>
      <c r="G11345" s="53"/>
    </row>
    <row r="11346">
      <c r="A11346" s="49">
        <v>45140.27203063657</v>
      </c>
      <c r="B11346" s="50">
        <v>45140.3969939583</v>
      </c>
      <c r="C11346" s="51">
        <v>1.003</v>
      </c>
      <c r="D11346" s="51">
        <v>73.0</v>
      </c>
      <c r="E11346" s="52" t="s">
        <v>25</v>
      </c>
      <c r="F11346" s="52" t="s">
        <v>26</v>
      </c>
      <c r="G11346" s="53"/>
    </row>
    <row r="11347">
      <c r="A11347" s="49">
        <v>45140.28244090278</v>
      </c>
      <c r="B11347" s="50">
        <v>45140.4074154398</v>
      </c>
      <c r="C11347" s="51">
        <v>1.003</v>
      </c>
      <c r="D11347" s="51">
        <v>73.0</v>
      </c>
      <c r="E11347" s="52" t="s">
        <v>25</v>
      </c>
      <c r="F11347" s="52" t="s">
        <v>26</v>
      </c>
      <c r="G11347" s="53"/>
    </row>
    <row r="11348">
      <c r="A11348" s="49">
        <v>45140.292860601854</v>
      </c>
      <c r="B11348" s="50">
        <v>45140.4178345717</v>
      </c>
      <c r="C11348" s="51">
        <v>1.003</v>
      </c>
      <c r="D11348" s="51">
        <v>73.0</v>
      </c>
      <c r="E11348" s="52" t="s">
        <v>25</v>
      </c>
      <c r="F11348" s="52" t="s">
        <v>26</v>
      </c>
      <c r="G11348" s="53"/>
    </row>
    <row r="11349">
      <c r="A11349" s="49">
        <v>45140.303300810185</v>
      </c>
      <c r="B11349" s="50">
        <v>45140.4282563425</v>
      </c>
      <c r="C11349" s="51">
        <v>1.003</v>
      </c>
      <c r="D11349" s="51">
        <v>73.0</v>
      </c>
      <c r="E11349" s="52" t="s">
        <v>25</v>
      </c>
      <c r="F11349" s="52" t="s">
        <v>26</v>
      </c>
      <c r="G11349" s="53"/>
    </row>
    <row r="11350">
      <c r="A11350" s="49">
        <v>45140.31370460648</v>
      </c>
      <c r="B11350" s="50">
        <v>45140.4386782638</v>
      </c>
      <c r="C11350" s="51">
        <v>1.003</v>
      </c>
      <c r="D11350" s="51">
        <v>73.0</v>
      </c>
      <c r="E11350" s="52" t="s">
        <v>25</v>
      </c>
      <c r="F11350" s="52" t="s">
        <v>26</v>
      </c>
      <c r="G11350" s="53"/>
    </row>
    <row r="11351">
      <c r="A11351" s="49">
        <v>45140.32412942129</v>
      </c>
      <c r="B11351" s="50">
        <v>45140.4490999537</v>
      </c>
      <c r="C11351" s="51">
        <v>1.003</v>
      </c>
      <c r="D11351" s="51">
        <v>73.0</v>
      </c>
      <c r="E11351" s="52" t="s">
        <v>25</v>
      </c>
      <c r="F11351" s="52" t="s">
        <v>26</v>
      </c>
      <c r="G11351" s="53"/>
    </row>
    <row r="11352">
      <c r="A11352" s="49">
        <v>45140.33455238426</v>
      </c>
      <c r="B11352" s="50">
        <v>45140.4595203009</v>
      </c>
      <c r="C11352" s="51">
        <v>1.003</v>
      </c>
      <c r="D11352" s="51">
        <v>73.0</v>
      </c>
      <c r="E11352" s="52" t="s">
        <v>25</v>
      </c>
      <c r="F11352" s="52" t="s">
        <v>26</v>
      </c>
      <c r="G11352" s="53"/>
    </row>
    <row r="11353">
      <c r="A11353" s="49">
        <v>45140.344964895834</v>
      </c>
      <c r="B11353" s="50">
        <v>45140.4699412847</v>
      </c>
      <c r="C11353" s="51">
        <v>1.003</v>
      </c>
      <c r="D11353" s="51">
        <v>73.0</v>
      </c>
      <c r="E11353" s="52" t="s">
        <v>25</v>
      </c>
      <c r="F11353" s="52" t="s">
        <v>26</v>
      </c>
      <c r="G11353" s="53"/>
    </row>
    <row r="11354">
      <c r="A11354" s="49">
        <v>45140.35538927083</v>
      </c>
      <c r="B11354" s="50">
        <v>45140.4803615625</v>
      </c>
      <c r="C11354" s="51">
        <v>1.003</v>
      </c>
      <c r="D11354" s="51">
        <v>73.0</v>
      </c>
      <c r="E11354" s="52" t="s">
        <v>25</v>
      </c>
      <c r="F11354" s="52" t="s">
        <v>26</v>
      </c>
      <c r="G11354" s="53"/>
    </row>
    <row r="11355">
      <c r="A11355" s="49">
        <v>45140.365814247685</v>
      </c>
      <c r="B11355" s="50">
        <v>45140.4907831944</v>
      </c>
      <c r="C11355" s="51">
        <v>1.003</v>
      </c>
      <c r="D11355" s="51">
        <v>73.0</v>
      </c>
      <c r="E11355" s="52" t="s">
        <v>25</v>
      </c>
      <c r="F11355" s="52" t="s">
        <v>26</v>
      </c>
      <c r="G11355" s="53"/>
    </row>
    <row r="11356">
      <c r="A11356" s="49">
        <v>45140.376243067134</v>
      </c>
      <c r="B11356" s="50">
        <v>45140.5012036111</v>
      </c>
      <c r="C11356" s="51">
        <v>1.003</v>
      </c>
      <c r="D11356" s="51">
        <v>73.0</v>
      </c>
      <c r="E11356" s="52" t="s">
        <v>25</v>
      </c>
      <c r="F11356" s="52" t="s">
        <v>26</v>
      </c>
      <c r="G11356" s="53"/>
    </row>
    <row r="11357">
      <c r="A11357" s="49">
        <v>45140.38667065972</v>
      </c>
      <c r="B11357" s="50">
        <v>45140.5116365162</v>
      </c>
      <c r="C11357" s="51">
        <v>1.003</v>
      </c>
      <c r="D11357" s="51">
        <v>73.0</v>
      </c>
      <c r="E11357" s="52" t="s">
        <v>25</v>
      </c>
      <c r="F11357" s="52" t="s">
        <v>26</v>
      </c>
      <c r="G11357" s="53"/>
    </row>
    <row r="11358">
      <c r="A11358" s="49">
        <v>45140.39708171296</v>
      </c>
      <c r="B11358" s="50">
        <v>45140.5220560879</v>
      </c>
      <c r="C11358" s="51">
        <v>1.003</v>
      </c>
      <c r="D11358" s="51">
        <v>73.0</v>
      </c>
      <c r="E11358" s="52" t="s">
        <v>25</v>
      </c>
      <c r="F11358" s="52" t="s">
        <v>26</v>
      </c>
      <c r="G11358" s="53"/>
    </row>
    <row r="11359">
      <c r="A11359" s="49">
        <v>45140.40751252315</v>
      </c>
      <c r="B11359" s="50">
        <v>45140.5324882291</v>
      </c>
      <c r="C11359" s="51">
        <v>1.003</v>
      </c>
      <c r="D11359" s="51">
        <v>73.0</v>
      </c>
      <c r="E11359" s="52" t="s">
        <v>25</v>
      </c>
      <c r="F11359" s="52" t="s">
        <v>26</v>
      </c>
      <c r="G11359" s="53"/>
    </row>
    <row r="11360">
      <c r="A11360" s="49">
        <v>45140.41794186343</v>
      </c>
      <c r="B11360" s="50">
        <v>45140.5429101388</v>
      </c>
      <c r="C11360" s="51">
        <v>1.003</v>
      </c>
      <c r="D11360" s="51">
        <v>73.0</v>
      </c>
      <c r="E11360" s="52" t="s">
        <v>25</v>
      </c>
      <c r="F11360" s="52" t="s">
        <v>26</v>
      </c>
      <c r="G11360" s="53"/>
    </row>
    <row r="11361">
      <c r="A11361" s="49">
        <v>45140.42837603009</v>
      </c>
      <c r="B11361" s="50">
        <v>45140.5533320486</v>
      </c>
      <c r="C11361" s="51">
        <v>1.003</v>
      </c>
      <c r="D11361" s="51">
        <v>73.0</v>
      </c>
      <c r="E11361" s="52" t="s">
        <v>25</v>
      </c>
      <c r="F11361" s="52" t="s">
        <v>26</v>
      </c>
      <c r="G11361" s="53"/>
    </row>
    <row r="11362">
      <c r="A11362" s="49">
        <v>45140.43878700232</v>
      </c>
      <c r="B11362" s="50">
        <v>45140.5637515393</v>
      </c>
      <c r="C11362" s="51">
        <v>1.003</v>
      </c>
      <c r="D11362" s="51">
        <v>73.0</v>
      </c>
      <c r="E11362" s="52" t="s">
        <v>25</v>
      </c>
      <c r="F11362" s="52" t="s">
        <v>26</v>
      </c>
      <c r="G11362" s="53"/>
    </row>
    <row r="11363">
      <c r="A11363" s="49">
        <v>45140.44921236111</v>
      </c>
      <c r="B11363" s="50">
        <v>45140.574173912</v>
      </c>
      <c r="C11363" s="51">
        <v>1.003</v>
      </c>
      <c r="D11363" s="51">
        <v>73.0</v>
      </c>
      <c r="E11363" s="52" t="s">
        <v>25</v>
      </c>
      <c r="F11363" s="52" t="s">
        <v>26</v>
      </c>
      <c r="G11363" s="53"/>
    </row>
    <row r="11364">
      <c r="A11364" s="49">
        <v>45140.4596334838</v>
      </c>
      <c r="B11364" s="50">
        <v>45140.5845957754</v>
      </c>
      <c r="C11364" s="51">
        <v>1.003</v>
      </c>
      <c r="D11364" s="51">
        <v>73.0</v>
      </c>
      <c r="E11364" s="52" t="s">
        <v>25</v>
      </c>
      <c r="F11364" s="52" t="s">
        <v>26</v>
      </c>
      <c r="G11364" s="53"/>
    </row>
    <row r="11365">
      <c r="A11365" s="49">
        <v>45140.47004869213</v>
      </c>
      <c r="B11365" s="50">
        <v>45140.5950177083</v>
      </c>
      <c r="C11365" s="51">
        <v>1.003</v>
      </c>
      <c r="D11365" s="51">
        <v>73.0</v>
      </c>
      <c r="E11365" s="52" t="s">
        <v>25</v>
      </c>
      <c r="F11365" s="52" t="s">
        <v>26</v>
      </c>
      <c r="G11365" s="53"/>
    </row>
    <row r="11366">
      <c r="A11366" s="49">
        <v>45140.48046643518</v>
      </c>
      <c r="B11366" s="50">
        <v>45140.6054367824</v>
      </c>
      <c r="C11366" s="51">
        <v>1.003</v>
      </c>
      <c r="D11366" s="51">
        <v>73.0</v>
      </c>
      <c r="E11366" s="52" t="s">
        <v>25</v>
      </c>
      <c r="F11366" s="52" t="s">
        <v>26</v>
      </c>
      <c r="G11366" s="53"/>
    </row>
    <row r="11367">
      <c r="A11367" s="49">
        <v>45140.49089321759</v>
      </c>
      <c r="B11367" s="50">
        <v>45140.615857199</v>
      </c>
      <c r="C11367" s="51">
        <v>1.003</v>
      </c>
      <c r="D11367" s="51">
        <v>73.0</v>
      </c>
      <c r="E11367" s="52" t="s">
        <v>25</v>
      </c>
      <c r="F11367" s="52" t="s">
        <v>26</v>
      </c>
      <c r="G11367" s="53"/>
    </row>
    <row r="11368">
      <c r="A11368" s="49">
        <v>45140.50130642361</v>
      </c>
      <c r="B11368" s="50">
        <v>45140.6262764236</v>
      </c>
      <c r="C11368" s="51">
        <v>1.003</v>
      </c>
      <c r="D11368" s="51">
        <v>73.0</v>
      </c>
      <c r="E11368" s="52" t="s">
        <v>25</v>
      </c>
      <c r="F11368" s="52" t="s">
        <v>26</v>
      </c>
      <c r="G11368" s="53"/>
    </row>
    <row r="11369">
      <c r="A11369" s="49">
        <v>45140.51172542824</v>
      </c>
      <c r="B11369" s="50">
        <v>45140.6366980902</v>
      </c>
      <c r="C11369" s="51">
        <v>1.003</v>
      </c>
      <c r="D11369" s="51">
        <v>73.0</v>
      </c>
      <c r="E11369" s="52" t="s">
        <v>25</v>
      </c>
      <c r="F11369" s="52" t="s">
        <v>26</v>
      </c>
      <c r="G11369" s="53"/>
    </row>
    <row r="11370">
      <c r="A11370" s="49">
        <v>45140.52215078704</v>
      </c>
      <c r="B11370" s="50">
        <v>45140.6471215625</v>
      </c>
      <c r="C11370" s="51">
        <v>1.003</v>
      </c>
      <c r="D11370" s="51">
        <v>73.0</v>
      </c>
      <c r="E11370" s="52" t="s">
        <v>25</v>
      </c>
      <c r="F11370" s="52" t="s">
        <v>26</v>
      </c>
      <c r="G11370" s="53"/>
    </row>
    <row r="11371">
      <c r="A11371" s="49">
        <v>45140.53256425926</v>
      </c>
      <c r="B11371" s="50">
        <v>45140.6575433333</v>
      </c>
      <c r="C11371" s="51">
        <v>1.003</v>
      </c>
      <c r="D11371" s="51">
        <v>73.0</v>
      </c>
      <c r="E11371" s="52" t="s">
        <v>25</v>
      </c>
      <c r="F11371" s="52" t="s">
        <v>26</v>
      </c>
      <c r="G11371" s="53"/>
    </row>
    <row r="11372">
      <c r="A11372" s="49">
        <v>45140.54298859954</v>
      </c>
      <c r="B11372" s="50">
        <v>45140.6679651504</v>
      </c>
      <c r="C11372" s="51">
        <v>1.003</v>
      </c>
      <c r="D11372" s="51">
        <v>73.0</v>
      </c>
      <c r="E11372" s="52" t="s">
        <v>25</v>
      </c>
      <c r="F11372" s="52" t="s">
        <v>26</v>
      </c>
      <c r="G11372" s="53"/>
    </row>
    <row r="11373">
      <c r="A11373" s="49">
        <v>45140.55340990741</v>
      </c>
      <c r="B11373" s="50">
        <v>45140.6783858217</v>
      </c>
      <c r="C11373" s="51">
        <v>1.003</v>
      </c>
      <c r="D11373" s="51">
        <v>73.0</v>
      </c>
      <c r="E11373" s="52" t="s">
        <v>25</v>
      </c>
      <c r="F11373" s="52" t="s">
        <v>26</v>
      </c>
      <c r="G11373" s="53"/>
    </row>
    <row r="11374">
      <c r="A11374" s="49">
        <v>45140.56384096065</v>
      </c>
      <c r="B11374" s="50">
        <v>45140.6888071412</v>
      </c>
      <c r="C11374" s="51">
        <v>1.003</v>
      </c>
      <c r="D11374" s="51">
        <v>73.0</v>
      </c>
      <c r="E11374" s="52" t="s">
        <v>25</v>
      </c>
      <c r="F11374" s="52" t="s">
        <v>26</v>
      </c>
      <c r="G11374" s="53"/>
    </row>
    <row r="11375">
      <c r="A11375" s="49">
        <v>45140.57426837963</v>
      </c>
      <c r="B11375" s="50">
        <v>45140.6992404513</v>
      </c>
      <c r="C11375" s="51">
        <v>1.003</v>
      </c>
      <c r="D11375" s="51">
        <v>73.0</v>
      </c>
      <c r="E11375" s="52" t="s">
        <v>25</v>
      </c>
      <c r="F11375" s="52" t="s">
        <v>26</v>
      </c>
      <c r="G11375" s="53"/>
    </row>
    <row r="11376">
      <c r="A11376" s="49">
        <v>45140.58469128472</v>
      </c>
      <c r="B11376" s="50">
        <v>45140.7096619444</v>
      </c>
      <c r="C11376" s="51">
        <v>1.003</v>
      </c>
      <c r="D11376" s="51">
        <v>73.0</v>
      </c>
      <c r="E11376" s="52" t="s">
        <v>25</v>
      </c>
      <c r="F11376" s="52" t="s">
        <v>26</v>
      </c>
      <c r="G11376" s="53"/>
    </row>
    <row r="11377">
      <c r="A11377" s="49">
        <v>45140.595105381944</v>
      </c>
      <c r="B11377" s="50">
        <v>45140.720083449</v>
      </c>
      <c r="C11377" s="51">
        <v>1.003</v>
      </c>
      <c r="D11377" s="51">
        <v>73.0</v>
      </c>
      <c r="E11377" s="52" t="s">
        <v>25</v>
      </c>
      <c r="F11377" s="52" t="s">
        <v>26</v>
      </c>
      <c r="G11377" s="53"/>
    </row>
    <row r="11378">
      <c r="A11378" s="49">
        <v>45140.60552996528</v>
      </c>
      <c r="B11378" s="50">
        <v>45140.7305040277</v>
      </c>
      <c r="C11378" s="51">
        <v>1.003</v>
      </c>
      <c r="D11378" s="51">
        <v>73.0</v>
      </c>
      <c r="E11378" s="52" t="s">
        <v>25</v>
      </c>
      <c r="F11378" s="52" t="s">
        <v>26</v>
      </c>
      <c r="G11378" s="53"/>
    </row>
    <row r="11379">
      <c r="A11379" s="49">
        <v>45140.615954444445</v>
      </c>
      <c r="B11379" s="50">
        <v>45140.7409248726</v>
      </c>
      <c r="C11379" s="51">
        <v>1.003</v>
      </c>
      <c r="D11379" s="51">
        <v>73.0</v>
      </c>
      <c r="E11379" s="52" t="s">
        <v>25</v>
      </c>
      <c r="F11379" s="52" t="s">
        <v>26</v>
      </c>
      <c r="G11379" s="53"/>
    </row>
    <row r="11380">
      <c r="A11380" s="49">
        <v>45140.62638177084</v>
      </c>
      <c r="B11380" s="50">
        <v>45140.751344375</v>
      </c>
      <c r="C11380" s="51">
        <v>1.003</v>
      </c>
      <c r="D11380" s="51">
        <v>73.0</v>
      </c>
      <c r="E11380" s="52" t="s">
        <v>25</v>
      </c>
      <c r="F11380" s="52" t="s">
        <v>26</v>
      </c>
      <c r="G11380" s="53"/>
    </row>
    <row r="11381">
      <c r="A11381" s="49">
        <v>45140.63681172454</v>
      </c>
      <c r="B11381" s="50">
        <v>45140.7617770601</v>
      </c>
      <c r="C11381" s="51">
        <v>1.003</v>
      </c>
      <c r="D11381" s="51">
        <v>73.0</v>
      </c>
      <c r="E11381" s="52" t="s">
        <v>25</v>
      </c>
      <c r="F11381" s="52" t="s">
        <v>26</v>
      </c>
      <c r="G11381" s="53"/>
    </row>
    <row r="11382">
      <c r="A11382" s="49">
        <v>45140.64721967593</v>
      </c>
      <c r="B11382" s="50">
        <v>45140.7721988541</v>
      </c>
      <c r="C11382" s="51">
        <v>1.003</v>
      </c>
      <c r="D11382" s="51">
        <v>73.0</v>
      </c>
      <c r="E11382" s="52" t="s">
        <v>25</v>
      </c>
      <c r="F11382" s="52" t="s">
        <v>26</v>
      </c>
      <c r="G11382" s="53"/>
    </row>
    <row r="11383">
      <c r="A11383" s="49">
        <v>45140.65766152777</v>
      </c>
      <c r="B11383" s="50">
        <v>45140.7826312963</v>
      </c>
      <c r="C11383" s="51">
        <v>1.003</v>
      </c>
      <c r="D11383" s="51">
        <v>73.0</v>
      </c>
      <c r="E11383" s="52" t="s">
        <v>25</v>
      </c>
      <c r="F11383" s="52" t="s">
        <v>26</v>
      </c>
      <c r="G11383" s="53"/>
    </row>
    <row r="11384">
      <c r="A11384" s="49">
        <v>45140.66808390046</v>
      </c>
      <c r="B11384" s="50">
        <v>45140.7930512152</v>
      </c>
      <c r="C11384" s="51">
        <v>1.003</v>
      </c>
      <c r="D11384" s="51">
        <v>73.0</v>
      </c>
      <c r="E11384" s="52" t="s">
        <v>25</v>
      </c>
      <c r="F11384" s="52" t="s">
        <v>26</v>
      </c>
      <c r="G11384" s="53"/>
    </row>
    <row r="11385">
      <c r="A11385" s="49">
        <v>45140.67849863426</v>
      </c>
      <c r="B11385" s="50">
        <v>45140.8034723495</v>
      </c>
      <c r="C11385" s="51">
        <v>1.003</v>
      </c>
      <c r="D11385" s="51">
        <v>73.0</v>
      </c>
      <c r="E11385" s="52" t="s">
        <v>25</v>
      </c>
      <c r="F11385" s="52" t="s">
        <v>26</v>
      </c>
      <c r="G11385" s="53"/>
    </row>
    <row r="11386">
      <c r="A11386" s="49">
        <v>45140.6889442824</v>
      </c>
      <c r="B11386" s="50">
        <v>45140.8139168171</v>
      </c>
      <c r="C11386" s="51">
        <v>1.003</v>
      </c>
      <c r="D11386" s="51">
        <v>73.0</v>
      </c>
      <c r="E11386" s="52" t="s">
        <v>25</v>
      </c>
      <c r="F11386" s="52" t="s">
        <v>26</v>
      </c>
      <c r="G11386" s="53"/>
    </row>
    <row r="11387">
      <c r="A11387" s="49">
        <v>45140.69936965278</v>
      </c>
      <c r="B11387" s="50">
        <v>45140.8243387731</v>
      </c>
      <c r="C11387" s="51">
        <v>1.003</v>
      </c>
      <c r="D11387" s="51">
        <v>73.0</v>
      </c>
      <c r="E11387" s="52" t="s">
        <v>25</v>
      </c>
      <c r="F11387" s="52" t="s">
        <v>26</v>
      </c>
      <c r="G11387" s="53"/>
    </row>
    <row r="11388">
      <c r="A11388" s="49">
        <v>45140.7098327662</v>
      </c>
      <c r="B11388" s="50">
        <v>45140.834772662</v>
      </c>
      <c r="C11388" s="51">
        <v>1.003</v>
      </c>
      <c r="D11388" s="51">
        <v>73.0</v>
      </c>
      <c r="E11388" s="52" t="s">
        <v>25</v>
      </c>
      <c r="F11388" s="52" t="s">
        <v>26</v>
      </c>
      <c r="G11388" s="53"/>
    </row>
    <row r="11389">
      <c r="A11389" s="49">
        <v>45140.720241250005</v>
      </c>
      <c r="B11389" s="50">
        <v>45140.8452064814</v>
      </c>
      <c r="C11389" s="51">
        <v>1.003</v>
      </c>
      <c r="D11389" s="51">
        <v>73.0</v>
      </c>
      <c r="E11389" s="52" t="s">
        <v>25</v>
      </c>
      <c r="F11389" s="52" t="s">
        <v>26</v>
      </c>
      <c r="G11389" s="53"/>
    </row>
    <row r="11390">
      <c r="A11390" s="49">
        <v>45140.73072935185</v>
      </c>
      <c r="B11390" s="50">
        <v>45140.8556278009</v>
      </c>
      <c r="C11390" s="51">
        <v>1.003</v>
      </c>
      <c r="D11390" s="51">
        <v>73.0</v>
      </c>
      <c r="E11390" s="52" t="s">
        <v>25</v>
      </c>
      <c r="F11390" s="52" t="s">
        <v>26</v>
      </c>
      <c r="G11390" s="53"/>
    </row>
    <row r="11391">
      <c r="A11391" s="49">
        <v>45140.74108291666</v>
      </c>
      <c r="B11391" s="50">
        <v>45140.86605</v>
      </c>
      <c r="C11391" s="51">
        <v>1.003</v>
      </c>
      <c r="D11391" s="51">
        <v>73.0</v>
      </c>
      <c r="E11391" s="52" t="s">
        <v>25</v>
      </c>
      <c r="F11391" s="52" t="s">
        <v>26</v>
      </c>
      <c r="G11391" s="53"/>
    </row>
    <row r="11392">
      <c r="A11392" s="49">
        <v>45140.75149945602</v>
      </c>
      <c r="B11392" s="50">
        <v>45140.8764724305</v>
      </c>
      <c r="C11392" s="51">
        <v>1.003</v>
      </c>
      <c r="D11392" s="51">
        <v>73.0</v>
      </c>
      <c r="E11392" s="52" t="s">
        <v>25</v>
      </c>
      <c r="F11392" s="52" t="s">
        <v>26</v>
      </c>
      <c r="G11392" s="53"/>
    </row>
    <row r="11393">
      <c r="A11393" s="49">
        <v>45140.761937800926</v>
      </c>
      <c r="B11393" s="50">
        <v>45140.8869043634</v>
      </c>
      <c r="C11393" s="51">
        <v>1.003</v>
      </c>
      <c r="D11393" s="51">
        <v>73.0</v>
      </c>
      <c r="E11393" s="52" t="s">
        <v>25</v>
      </c>
      <c r="F11393" s="52" t="s">
        <v>26</v>
      </c>
      <c r="G11393" s="53"/>
    </row>
    <row r="11394">
      <c r="A11394" s="49">
        <v>45140.77235414352</v>
      </c>
      <c r="B11394" s="50">
        <v>45140.8973248842</v>
      </c>
      <c r="C11394" s="51">
        <v>1.003</v>
      </c>
      <c r="D11394" s="51">
        <v>73.0</v>
      </c>
      <c r="E11394" s="52" t="s">
        <v>25</v>
      </c>
      <c r="F11394" s="52" t="s">
        <v>26</v>
      </c>
      <c r="G11394" s="53"/>
    </row>
    <row r="11395">
      <c r="A11395" s="49">
        <v>45140.78277210648</v>
      </c>
      <c r="B11395" s="50">
        <v>45140.9077451851</v>
      </c>
      <c r="C11395" s="51">
        <v>1.003</v>
      </c>
      <c r="D11395" s="51">
        <v>73.0</v>
      </c>
      <c r="E11395" s="52" t="s">
        <v>25</v>
      </c>
      <c r="F11395" s="52" t="s">
        <v>26</v>
      </c>
      <c r="G11395" s="53"/>
    </row>
    <row r="11396">
      <c r="A11396" s="49">
        <v>45140.793231435186</v>
      </c>
      <c r="B11396" s="50">
        <v>45140.9182020601</v>
      </c>
      <c r="C11396" s="51">
        <v>1.003</v>
      </c>
      <c r="D11396" s="51">
        <v>73.0</v>
      </c>
      <c r="E11396" s="52" t="s">
        <v>25</v>
      </c>
      <c r="F11396" s="52" t="s">
        <v>26</v>
      </c>
      <c r="G11396" s="53"/>
    </row>
    <row r="11397">
      <c r="A11397" s="49">
        <v>45140.80365239583</v>
      </c>
      <c r="B11397" s="50">
        <v>45140.9286237384</v>
      </c>
      <c r="C11397" s="51">
        <v>1.003</v>
      </c>
      <c r="D11397" s="51">
        <v>73.0</v>
      </c>
      <c r="E11397" s="52" t="s">
        <v>25</v>
      </c>
      <c r="F11397" s="52" t="s">
        <v>26</v>
      </c>
      <c r="G11397" s="53"/>
    </row>
    <row r="11398">
      <c r="A11398" s="49">
        <v>45140.814092175926</v>
      </c>
      <c r="B11398" s="50">
        <v>45140.9390566319</v>
      </c>
      <c r="C11398" s="51">
        <v>1.003</v>
      </c>
      <c r="D11398" s="51">
        <v>73.0</v>
      </c>
      <c r="E11398" s="52" t="s">
        <v>25</v>
      </c>
      <c r="F11398" s="52" t="s">
        <v>26</v>
      </c>
      <c r="G11398" s="53"/>
    </row>
    <row r="11399">
      <c r="A11399" s="49">
        <v>45140.82450452546</v>
      </c>
      <c r="B11399" s="50">
        <v>45140.9494784375</v>
      </c>
      <c r="C11399" s="51">
        <v>1.003</v>
      </c>
      <c r="D11399" s="51">
        <v>73.0</v>
      </c>
      <c r="E11399" s="52" t="s">
        <v>25</v>
      </c>
      <c r="F11399" s="52" t="s">
        <v>26</v>
      </c>
      <c r="G11399" s="53"/>
    </row>
    <row r="11400">
      <c r="A11400" s="49">
        <v>45140.83492476852</v>
      </c>
      <c r="B11400" s="50">
        <v>45140.959900162</v>
      </c>
      <c r="C11400" s="51">
        <v>1.003</v>
      </c>
      <c r="D11400" s="51">
        <v>73.0</v>
      </c>
      <c r="E11400" s="52" t="s">
        <v>25</v>
      </c>
      <c r="F11400" s="52" t="s">
        <v>26</v>
      </c>
      <c r="G11400" s="53"/>
    </row>
    <row r="11401">
      <c r="A11401" s="49">
        <v>45140.84534572916</v>
      </c>
      <c r="B11401" s="50">
        <v>45140.9703195949</v>
      </c>
      <c r="C11401" s="51">
        <v>1.003</v>
      </c>
      <c r="D11401" s="51">
        <v>73.0</v>
      </c>
      <c r="E11401" s="52" t="s">
        <v>25</v>
      </c>
      <c r="F11401" s="52" t="s">
        <v>26</v>
      </c>
      <c r="G11401" s="53"/>
    </row>
    <row r="11402">
      <c r="A11402" s="49">
        <v>45140.8557678588</v>
      </c>
      <c r="B11402" s="50">
        <v>45140.9807411342</v>
      </c>
      <c r="C11402" s="51">
        <v>1.003</v>
      </c>
      <c r="D11402" s="51">
        <v>73.0</v>
      </c>
      <c r="E11402" s="52" t="s">
        <v>25</v>
      </c>
      <c r="F11402" s="52" t="s">
        <v>26</v>
      </c>
      <c r="G11402" s="53"/>
    </row>
    <row r="11403">
      <c r="A11403" s="49">
        <v>45140.86620266204</v>
      </c>
      <c r="B11403" s="50">
        <v>45140.9911733101</v>
      </c>
      <c r="C11403" s="51">
        <v>1.003</v>
      </c>
      <c r="D11403" s="51">
        <v>73.0</v>
      </c>
      <c r="E11403" s="52" t="s">
        <v>25</v>
      </c>
      <c r="F11403" s="52" t="s">
        <v>26</v>
      </c>
      <c r="G11403" s="53"/>
    </row>
    <row r="11404">
      <c r="A11404" s="49">
        <v>45140.876626412035</v>
      </c>
      <c r="B11404" s="50">
        <v>45141.0015953587</v>
      </c>
      <c r="C11404" s="51">
        <v>1.003</v>
      </c>
      <c r="D11404" s="51">
        <v>73.0</v>
      </c>
      <c r="E11404" s="52" t="s">
        <v>25</v>
      </c>
      <c r="F11404" s="52" t="s">
        <v>26</v>
      </c>
      <c r="G11404" s="53"/>
    </row>
    <row r="11405">
      <c r="A11405" s="49">
        <v>45140.88704858796</v>
      </c>
      <c r="B11405" s="50">
        <v>45141.0120162037</v>
      </c>
      <c r="C11405" s="51">
        <v>1.003</v>
      </c>
      <c r="D11405" s="51">
        <v>73.0</v>
      </c>
      <c r="E11405" s="52" t="s">
        <v>25</v>
      </c>
      <c r="F11405" s="52" t="s">
        <v>26</v>
      </c>
      <c r="G11405" s="53"/>
    </row>
    <row r="11406">
      <c r="A11406" s="49">
        <v>45140.89746054398</v>
      </c>
      <c r="B11406" s="50">
        <v>45141.0224370254</v>
      </c>
      <c r="C11406" s="51">
        <v>1.003</v>
      </c>
      <c r="D11406" s="51">
        <v>73.0</v>
      </c>
      <c r="E11406" s="52" t="s">
        <v>25</v>
      </c>
      <c r="F11406" s="52" t="s">
        <v>26</v>
      </c>
      <c r="G11406" s="53"/>
    </row>
    <row r="11407">
      <c r="A11407" s="49">
        <v>45140.90789940972</v>
      </c>
      <c r="B11407" s="50">
        <v>45141.032870243</v>
      </c>
      <c r="C11407" s="51">
        <v>1.003</v>
      </c>
      <c r="D11407" s="51">
        <v>73.0</v>
      </c>
      <c r="E11407" s="52" t="s">
        <v>25</v>
      </c>
      <c r="F11407" s="52" t="s">
        <v>26</v>
      </c>
      <c r="G11407" s="53"/>
    </row>
    <row r="11408">
      <c r="A11408" s="49">
        <v>45140.91832498842</v>
      </c>
      <c r="B11408" s="50">
        <v>45141.043291875</v>
      </c>
      <c r="C11408" s="51">
        <v>1.003</v>
      </c>
      <c r="D11408" s="51">
        <v>73.0</v>
      </c>
      <c r="E11408" s="52" t="s">
        <v>25</v>
      </c>
      <c r="F11408" s="52" t="s">
        <v>26</v>
      </c>
      <c r="G11408" s="53"/>
    </row>
    <row r="11409">
      <c r="A11409" s="49">
        <v>45140.92873918981</v>
      </c>
      <c r="B11409" s="50">
        <v>45141.0537140277</v>
      </c>
      <c r="C11409" s="51">
        <v>1.003</v>
      </c>
      <c r="D11409" s="51">
        <v>73.0</v>
      </c>
      <c r="E11409" s="52" t="s">
        <v>25</v>
      </c>
      <c r="F11409" s="52" t="s">
        <v>26</v>
      </c>
      <c r="G11409" s="53"/>
    </row>
    <row r="11410">
      <c r="A11410" s="49">
        <v>45140.93916780093</v>
      </c>
      <c r="B11410" s="50">
        <v>45141.0641359143</v>
      </c>
      <c r="C11410" s="51">
        <v>1.003</v>
      </c>
      <c r="D11410" s="51">
        <v>73.0</v>
      </c>
      <c r="E11410" s="52" t="s">
        <v>25</v>
      </c>
      <c r="F11410" s="52" t="s">
        <v>26</v>
      </c>
      <c r="G11410" s="53"/>
    </row>
    <row r="11411">
      <c r="A11411" s="49">
        <v>45140.949583842594</v>
      </c>
      <c r="B11411" s="50">
        <v>45141.0745571759</v>
      </c>
      <c r="C11411" s="51">
        <v>1.003</v>
      </c>
      <c r="D11411" s="51">
        <v>73.0</v>
      </c>
      <c r="E11411" s="52" t="s">
        <v>25</v>
      </c>
      <c r="F11411" s="52" t="s">
        <v>26</v>
      </c>
      <c r="G11411" s="53"/>
    </row>
    <row r="11412">
      <c r="A11412" s="49">
        <v>45140.96000802083</v>
      </c>
      <c r="B11412" s="50">
        <v>45141.0849783449</v>
      </c>
      <c r="C11412" s="51">
        <v>1.003</v>
      </c>
      <c r="D11412" s="51">
        <v>73.0</v>
      </c>
      <c r="E11412" s="52" t="s">
        <v>25</v>
      </c>
      <c r="F11412" s="52" t="s">
        <v>26</v>
      </c>
      <c r="G11412" s="53"/>
    </row>
    <row r="11413">
      <c r="A11413" s="49">
        <v>45140.9704334375</v>
      </c>
      <c r="B11413" s="50">
        <v>45141.0953992129</v>
      </c>
      <c r="C11413" s="51">
        <v>1.003</v>
      </c>
      <c r="D11413" s="51">
        <v>73.0</v>
      </c>
      <c r="E11413" s="52" t="s">
        <v>25</v>
      </c>
      <c r="F11413" s="52" t="s">
        <v>26</v>
      </c>
      <c r="G11413" s="53"/>
    </row>
    <row r="11414">
      <c r="A11414" s="49">
        <v>45140.9808409838</v>
      </c>
      <c r="B11414" s="50">
        <v>45141.1058188541</v>
      </c>
      <c r="C11414" s="51">
        <v>1.003</v>
      </c>
      <c r="D11414" s="51">
        <v>73.0</v>
      </c>
      <c r="E11414" s="52" t="s">
        <v>25</v>
      </c>
      <c r="F11414" s="52" t="s">
        <v>26</v>
      </c>
      <c r="G11414" s="53"/>
    </row>
    <row r="11415">
      <c r="A11415" s="49">
        <v>45140.991278622685</v>
      </c>
      <c r="B11415" s="50">
        <v>45141.1162509143</v>
      </c>
      <c r="C11415" s="51">
        <v>1.003</v>
      </c>
      <c r="D11415" s="51">
        <v>73.0</v>
      </c>
      <c r="E11415" s="52" t="s">
        <v>25</v>
      </c>
      <c r="F11415" s="52" t="s">
        <v>26</v>
      </c>
      <c r="G11415" s="53"/>
    </row>
    <row r="11416">
      <c r="A11416" s="49">
        <v>45141.00170356482</v>
      </c>
      <c r="B11416" s="50">
        <v>45141.1266702083</v>
      </c>
      <c r="C11416" s="51">
        <v>1.003</v>
      </c>
      <c r="D11416" s="51">
        <v>73.0</v>
      </c>
      <c r="E11416" s="52" t="s">
        <v>25</v>
      </c>
      <c r="F11416" s="52" t="s">
        <v>26</v>
      </c>
      <c r="G11416" s="53"/>
    </row>
    <row r="11417">
      <c r="A11417" s="49">
        <v>45141.01213916666</v>
      </c>
      <c r="B11417" s="50">
        <v>45141.1371031597</v>
      </c>
      <c r="C11417" s="51">
        <v>1.003</v>
      </c>
      <c r="D11417" s="51">
        <v>73.0</v>
      </c>
      <c r="E11417" s="52" t="s">
        <v>25</v>
      </c>
      <c r="F11417" s="52" t="s">
        <v>26</v>
      </c>
      <c r="G11417" s="53"/>
    </row>
    <row r="11418">
      <c r="A11418" s="49">
        <v>45141.02255883101</v>
      </c>
      <c r="B11418" s="50">
        <v>45141.1475231365</v>
      </c>
      <c r="C11418" s="51">
        <v>1.003</v>
      </c>
      <c r="D11418" s="51">
        <v>73.0</v>
      </c>
      <c r="E11418" s="52" t="s">
        <v>25</v>
      </c>
      <c r="F11418" s="52" t="s">
        <v>26</v>
      </c>
      <c r="G11418" s="53"/>
    </row>
    <row r="11419">
      <c r="A11419" s="49">
        <v>45141.03298417824</v>
      </c>
      <c r="B11419" s="50">
        <v>45141.1579561111</v>
      </c>
      <c r="C11419" s="51">
        <v>1.003</v>
      </c>
      <c r="D11419" s="51">
        <v>73.0</v>
      </c>
      <c r="E11419" s="52" t="s">
        <v>25</v>
      </c>
      <c r="F11419" s="52" t="s">
        <v>26</v>
      </c>
      <c r="G11419" s="53"/>
    </row>
    <row r="11420">
      <c r="A11420" s="49">
        <v>45141.04347626158</v>
      </c>
      <c r="B11420" s="50">
        <v>45141.1683773379</v>
      </c>
      <c r="C11420" s="51">
        <v>1.003</v>
      </c>
      <c r="D11420" s="51">
        <v>73.0</v>
      </c>
      <c r="E11420" s="52" t="s">
        <v>25</v>
      </c>
      <c r="F11420" s="52" t="s">
        <v>26</v>
      </c>
      <c r="G11420" s="53"/>
    </row>
    <row r="11421">
      <c r="A11421" s="49">
        <v>45141.05384233796</v>
      </c>
      <c r="B11421" s="50">
        <v>45141.1787992939</v>
      </c>
      <c r="C11421" s="51">
        <v>1.003</v>
      </c>
      <c r="D11421" s="51">
        <v>73.0</v>
      </c>
      <c r="E11421" s="52" t="s">
        <v>25</v>
      </c>
      <c r="F11421" s="52" t="s">
        <v>26</v>
      </c>
      <c r="G11421" s="53"/>
    </row>
    <row r="11422">
      <c r="A11422" s="49">
        <v>45141.064256377314</v>
      </c>
      <c r="B11422" s="50">
        <v>45141.1892323726</v>
      </c>
      <c r="C11422" s="51">
        <v>1.003</v>
      </c>
      <c r="D11422" s="51">
        <v>73.0</v>
      </c>
      <c r="E11422" s="52" t="s">
        <v>25</v>
      </c>
      <c r="F11422" s="52" t="s">
        <v>26</v>
      </c>
      <c r="G11422" s="53"/>
    </row>
    <row r="11423">
      <c r="A11423" s="49">
        <v>45141.07468420139</v>
      </c>
      <c r="B11423" s="50">
        <v>45141.1996533796</v>
      </c>
      <c r="C11423" s="51">
        <v>1.003</v>
      </c>
      <c r="D11423" s="51">
        <v>73.0</v>
      </c>
      <c r="E11423" s="52" t="s">
        <v>25</v>
      </c>
      <c r="F11423" s="52" t="s">
        <v>26</v>
      </c>
      <c r="G11423" s="53"/>
    </row>
    <row r="11424">
      <c r="A11424" s="49">
        <v>45141.085105729166</v>
      </c>
      <c r="B11424" s="50">
        <v>45141.2100761226</v>
      </c>
      <c r="C11424" s="51">
        <v>1.003</v>
      </c>
      <c r="D11424" s="51">
        <v>73.0</v>
      </c>
      <c r="E11424" s="52" t="s">
        <v>25</v>
      </c>
      <c r="F11424" s="52" t="s">
        <v>26</v>
      </c>
      <c r="G11424" s="53"/>
    </row>
    <row r="11425">
      <c r="A11425" s="49">
        <v>45141.09553491898</v>
      </c>
      <c r="B11425" s="50">
        <v>45141.2205096759</v>
      </c>
      <c r="C11425" s="51">
        <v>1.003</v>
      </c>
      <c r="D11425" s="51">
        <v>73.0</v>
      </c>
      <c r="E11425" s="52" t="s">
        <v>25</v>
      </c>
      <c r="F11425" s="52" t="s">
        <v>26</v>
      </c>
      <c r="G11425" s="53"/>
    </row>
    <row r="11426">
      <c r="A11426" s="49">
        <v>45141.10597553241</v>
      </c>
      <c r="B11426" s="50">
        <v>45141.2309310301</v>
      </c>
      <c r="C11426" s="51">
        <v>1.003</v>
      </c>
      <c r="D11426" s="51">
        <v>73.0</v>
      </c>
      <c r="E11426" s="52" t="s">
        <v>25</v>
      </c>
      <c r="F11426" s="52" t="s">
        <v>26</v>
      </c>
      <c r="G11426" s="53"/>
    </row>
    <row r="11427">
      <c r="A11427" s="49">
        <v>45141.11638552083</v>
      </c>
      <c r="B11427" s="50">
        <v>45141.2413529166</v>
      </c>
      <c r="C11427" s="51">
        <v>1.003</v>
      </c>
      <c r="D11427" s="51">
        <v>73.0</v>
      </c>
      <c r="E11427" s="52" t="s">
        <v>25</v>
      </c>
      <c r="F11427" s="52" t="s">
        <v>26</v>
      </c>
      <c r="G11427" s="53"/>
    </row>
    <row r="11428">
      <c r="A11428" s="49">
        <v>45141.12682790509</v>
      </c>
      <c r="B11428" s="50">
        <v>45141.2517849189</v>
      </c>
      <c r="C11428" s="51">
        <v>1.003</v>
      </c>
      <c r="D11428" s="51">
        <v>73.0</v>
      </c>
      <c r="E11428" s="52" t="s">
        <v>25</v>
      </c>
      <c r="F11428" s="52" t="s">
        <v>26</v>
      </c>
      <c r="G11428" s="53"/>
    </row>
    <row r="11429">
      <c r="A11429" s="49">
        <v>45141.13723065972</v>
      </c>
      <c r="B11429" s="50">
        <v>45141.2622047106</v>
      </c>
      <c r="C11429" s="51">
        <v>1.003</v>
      </c>
      <c r="D11429" s="51">
        <v>73.0</v>
      </c>
      <c r="E11429" s="52" t="s">
        <v>25</v>
      </c>
      <c r="F11429" s="52" t="s">
        <v>26</v>
      </c>
      <c r="G11429" s="53"/>
    </row>
    <row r="11430">
      <c r="A11430" s="49">
        <v>45141.147654953704</v>
      </c>
      <c r="B11430" s="50">
        <v>45141.2726241898</v>
      </c>
      <c r="C11430" s="51">
        <v>1.003</v>
      </c>
      <c r="D11430" s="51">
        <v>73.0</v>
      </c>
      <c r="E11430" s="52" t="s">
        <v>25</v>
      </c>
      <c r="F11430" s="52" t="s">
        <v>26</v>
      </c>
      <c r="G11430" s="53"/>
    </row>
    <row r="11431">
      <c r="A11431" s="49">
        <v>45141.158097719905</v>
      </c>
      <c r="B11431" s="50">
        <v>45141.2830447569</v>
      </c>
      <c r="C11431" s="51">
        <v>1.003</v>
      </c>
      <c r="D11431" s="51">
        <v>73.0</v>
      </c>
      <c r="E11431" s="52" t="s">
        <v>25</v>
      </c>
      <c r="F11431" s="52" t="s">
        <v>26</v>
      </c>
      <c r="G11431" s="53"/>
    </row>
    <row r="11432">
      <c r="A11432" s="49">
        <v>45141.17893944445</v>
      </c>
      <c r="B11432" s="50">
        <v>45141.3039111342</v>
      </c>
      <c r="C11432" s="51">
        <v>1.003</v>
      </c>
      <c r="D11432" s="51">
        <v>73.0</v>
      </c>
      <c r="E11432" s="52" t="s">
        <v>25</v>
      </c>
      <c r="F11432" s="52" t="s">
        <v>26</v>
      </c>
      <c r="G11432" s="53"/>
    </row>
    <row r="11433">
      <c r="A11433" s="49">
        <v>45141.18936417824</v>
      </c>
      <c r="B11433" s="50">
        <v>45141.314330243</v>
      </c>
      <c r="C11433" s="51">
        <v>1.003</v>
      </c>
      <c r="D11433" s="51">
        <v>73.0</v>
      </c>
      <c r="E11433" s="52" t="s">
        <v>25</v>
      </c>
      <c r="F11433" s="52" t="s">
        <v>26</v>
      </c>
      <c r="G11433" s="53"/>
    </row>
    <row r="11434">
      <c r="A11434" s="49">
        <v>45141.19979084491</v>
      </c>
      <c r="B11434" s="50">
        <v>45141.3247633564</v>
      </c>
      <c r="C11434" s="51">
        <v>1.003</v>
      </c>
      <c r="D11434" s="51">
        <v>73.0</v>
      </c>
      <c r="E11434" s="52" t="s">
        <v>25</v>
      </c>
      <c r="F11434" s="52" t="s">
        <v>26</v>
      </c>
      <c r="G11434" s="53"/>
    </row>
    <row r="11435">
      <c r="A11435" s="49">
        <v>45141.21020746528</v>
      </c>
      <c r="B11435" s="50">
        <v>45141.3351859722</v>
      </c>
      <c r="C11435" s="51">
        <v>1.003</v>
      </c>
      <c r="D11435" s="51">
        <v>73.0</v>
      </c>
      <c r="E11435" s="52" t="s">
        <v>25</v>
      </c>
      <c r="F11435" s="52" t="s">
        <v>26</v>
      </c>
      <c r="G11435" s="53"/>
    </row>
    <row r="11436">
      <c r="A11436" s="49">
        <v>45141.22063831019</v>
      </c>
      <c r="B11436" s="50">
        <v>45141.3456075347</v>
      </c>
      <c r="C11436" s="51">
        <v>1.003</v>
      </c>
      <c r="D11436" s="51">
        <v>73.0</v>
      </c>
      <c r="E11436" s="52" t="s">
        <v>25</v>
      </c>
      <c r="F11436" s="52" t="s">
        <v>26</v>
      </c>
      <c r="G11436" s="53"/>
    </row>
    <row r="11437">
      <c r="A11437" s="49">
        <v>45141.23105394676</v>
      </c>
      <c r="B11437" s="50">
        <v>45141.3560284143</v>
      </c>
      <c r="C11437" s="51">
        <v>1.003</v>
      </c>
      <c r="D11437" s="51">
        <v>73.0</v>
      </c>
      <c r="E11437" s="52" t="s">
        <v>25</v>
      </c>
      <c r="F11437" s="52" t="s">
        <v>26</v>
      </c>
      <c r="G11437" s="53"/>
    </row>
    <row r="11438">
      <c r="A11438" s="49">
        <v>45141.241476157404</v>
      </c>
      <c r="B11438" s="50">
        <v>45141.366447581</v>
      </c>
      <c r="C11438" s="51">
        <v>1.003</v>
      </c>
      <c r="D11438" s="51">
        <v>73.0</v>
      </c>
      <c r="E11438" s="52" t="s">
        <v>25</v>
      </c>
      <c r="F11438" s="52" t="s">
        <v>26</v>
      </c>
      <c r="G11438" s="53"/>
    </row>
    <row r="11439">
      <c r="A11439" s="49">
        <v>45141.251900613424</v>
      </c>
      <c r="B11439" s="50">
        <v>45141.3768683333</v>
      </c>
      <c r="C11439" s="51">
        <v>1.003</v>
      </c>
      <c r="D11439" s="51">
        <v>73.0</v>
      </c>
      <c r="E11439" s="52" t="s">
        <v>25</v>
      </c>
      <c r="F11439" s="52" t="s">
        <v>26</v>
      </c>
      <c r="G11439" s="53"/>
    </row>
    <row r="11440">
      <c r="A11440" s="49">
        <v>45141.26232129629</v>
      </c>
      <c r="B11440" s="50">
        <v>45141.3872897337</v>
      </c>
      <c r="C11440" s="51">
        <v>1.003</v>
      </c>
      <c r="D11440" s="51">
        <v>73.0</v>
      </c>
      <c r="E11440" s="52" t="s">
        <v>25</v>
      </c>
      <c r="F11440" s="52" t="s">
        <v>26</v>
      </c>
      <c r="G11440" s="53"/>
    </row>
    <row r="11441">
      <c r="A11441" s="49">
        <v>45141.27275733797</v>
      </c>
      <c r="B11441" s="50">
        <v>45141.3977213773</v>
      </c>
      <c r="C11441" s="51">
        <v>1.003</v>
      </c>
      <c r="D11441" s="51">
        <v>73.0</v>
      </c>
      <c r="E11441" s="52" t="s">
        <v>25</v>
      </c>
      <c r="F11441" s="52" t="s">
        <v>26</v>
      </c>
      <c r="G11441" s="53"/>
    </row>
    <row r="11442">
      <c r="A11442" s="49">
        <v>45141.28317708333</v>
      </c>
      <c r="B11442" s="50">
        <v>45141.4081423611</v>
      </c>
      <c r="C11442" s="51">
        <v>1.003</v>
      </c>
      <c r="D11442" s="51">
        <v>73.0</v>
      </c>
      <c r="E11442" s="52" t="s">
        <v>25</v>
      </c>
      <c r="F11442" s="52" t="s">
        <v>26</v>
      </c>
      <c r="G11442" s="53"/>
    </row>
    <row r="11443">
      <c r="A11443" s="49">
        <v>45141.293603564816</v>
      </c>
      <c r="B11443" s="50">
        <v>45141.4185650115</v>
      </c>
      <c r="C11443" s="51">
        <v>1.003</v>
      </c>
      <c r="D11443" s="51">
        <v>73.0</v>
      </c>
      <c r="E11443" s="52" t="s">
        <v>25</v>
      </c>
      <c r="F11443" s="52" t="s">
        <v>26</v>
      </c>
      <c r="G11443" s="53"/>
    </row>
    <row r="11444">
      <c r="A11444" s="49">
        <v>45141.3040100463</v>
      </c>
      <c r="B11444" s="50">
        <v>45141.42898603</v>
      </c>
      <c r="C11444" s="51">
        <v>1.003</v>
      </c>
      <c r="D11444" s="51">
        <v>73.0</v>
      </c>
      <c r="E11444" s="52" t="s">
        <v>25</v>
      </c>
      <c r="F11444" s="52" t="s">
        <v>26</v>
      </c>
      <c r="G11444" s="53"/>
    </row>
    <row r="11445">
      <c r="A11445" s="49">
        <v>45141.31445608796</v>
      </c>
      <c r="B11445" s="50">
        <v>45141.4394080208</v>
      </c>
      <c r="C11445" s="51">
        <v>1.003</v>
      </c>
      <c r="D11445" s="51">
        <v>73.0</v>
      </c>
      <c r="E11445" s="52" t="s">
        <v>25</v>
      </c>
      <c r="F11445" s="52" t="s">
        <v>26</v>
      </c>
      <c r="G11445" s="53"/>
    </row>
    <row r="11446">
      <c r="A11446" s="49">
        <v>45141.32485899306</v>
      </c>
      <c r="B11446" s="50">
        <v>45141.4498286458</v>
      </c>
      <c r="C11446" s="51">
        <v>1.003</v>
      </c>
      <c r="D11446" s="51">
        <v>73.0</v>
      </c>
      <c r="E11446" s="52" t="s">
        <v>25</v>
      </c>
      <c r="F11446" s="52" t="s">
        <v>26</v>
      </c>
      <c r="G11446" s="53"/>
    </row>
    <row r="11447">
      <c r="A11447" s="49">
        <v>45141.33528150463</v>
      </c>
      <c r="B11447" s="50">
        <v>45141.4602490856</v>
      </c>
      <c r="C11447" s="51">
        <v>1.003</v>
      </c>
      <c r="D11447" s="51">
        <v>73.0</v>
      </c>
      <c r="E11447" s="52" t="s">
        <v>25</v>
      </c>
      <c r="F11447" s="52" t="s">
        <v>26</v>
      </c>
      <c r="G11447" s="53"/>
    </row>
    <row r="11448">
      <c r="A11448" s="49">
        <v>45141.345704618056</v>
      </c>
      <c r="B11448" s="50">
        <v>45141.4706709953</v>
      </c>
      <c r="C11448" s="51">
        <v>1.003</v>
      </c>
      <c r="D11448" s="51">
        <v>73.0</v>
      </c>
      <c r="E11448" s="52" t="s">
        <v>25</v>
      </c>
      <c r="F11448" s="52" t="s">
        <v>26</v>
      </c>
      <c r="G11448" s="53"/>
    </row>
    <row r="11449">
      <c r="A11449" s="49">
        <v>45141.35611625</v>
      </c>
      <c r="B11449" s="50">
        <v>45141.4810930208</v>
      </c>
      <c r="C11449" s="51">
        <v>1.003</v>
      </c>
      <c r="D11449" s="51">
        <v>73.0</v>
      </c>
      <c r="E11449" s="52" t="s">
        <v>25</v>
      </c>
      <c r="F11449" s="52" t="s">
        <v>26</v>
      </c>
      <c r="G11449" s="53"/>
    </row>
    <row r="11450">
      <c r="A11450" s="49">
        <v>45141.36654311343</v>
      </c>
      <c r="B11450" s="50">
        <v>45141.4915162384</v>
      </c>
      <c r="C11450" s="51">
        <v>1.003</v>
      </c>
      <c r="D11450" s="51">
        <v>73.0</v>
      </c>
      <c r="E11450" s="52" t="s">
        <v>25</v>
      </c>
      <c r="F11450" s="52" t="s">
        <v>26</v>
      </c>
      <c r="G11450" s="53"/>
    </row>
    <row r="11451">
      <c r="A11451" s="49">
        <v>45141.376983333335</v>
      </c>
      <c r="B11451" s="50">
        <v>45141.5019481018</v>
      </c>
      <c r="C11451" s="51">
        <v>1.003</v>
      </c>
      <c r="D11451" s="51">
        <v>73.0</v>
      </c>
      <c r="E11451" s="52" t="s">
        <v>25</v>
      </c>
      <c r="F11451" s="52" t="s">
        <v>26</v>
      </c>
      <c r="G11451" s="53"/>
    </row>
    <row r="11452">
      <c r="A11452" s="49">
        <v>45141.38742865741</v>
      </c>
      <c r="B11452" s="50">
        <v>45141.5123931828</v>
      </c>
      <c r="C11452" s="51">
        <v>1.003</v>
      </c>
      <c r="D11452" s="51">
        <v>73.0</v>
      </c>
      <c r="E11452" s="52" t="s">
        <v>25</v>
      </c>
      <c r="F11452" s="52" t="s">
        <v>26</v>
      </c>
      <c r="G11452" s="53"/>
    </row>
    <row r="11453">
      <c r="A11453" s="49">
        <v>45141.39785800926</v>
      </c>
      <c r="B11453" s="50">
        <v>45141.5228144212</v>
      </c>
      <c r="C11453" s="51">
        <v>1.003</v>
      </c>
      <c r="D11453" s="51">
        <v>73.0</v>
      </c>
      <c r="E11453" s="52" t="s">
        <v>25</v>
      </c>
      <c r="F11453" s="52" t="s">
        <v>26</v>
      </c>
      <c r="G11453" s="53"/>
    </row>
    <row r="11454">
      <c r="A11454" s="49">
        <v>45141.408264259255</v>
      </c>
      <c r="B11454" s="50">
        <v>45141.5332332523</v>
      </c>
      <c r="C11454" s="51">
        <v>1.003</v>
      </c>
      <c r="D11454" s="51">
        <v>73.0</v>
      </c>
      <c r="E11454" s="52" t="s">
        <v>25</v>
      </c>
      <c r="F11454" s="52" t="s">
        <v>26</v>
      </c>
      <c r="G11454" s="53"/>
    </row>
    <row r="11455">
      <c r="A11455" s="49">
        <v>45141.41868224537</v>
      </c>
      <c r="B11455" s="50">
        <v>45141.5436529513</v>
      </c>
      <c r="C11455" s="51">
        <v>1.003</v>
      </c>
      <c r="D11455" s="51">
        <v>73.0</v>
      </c>
      <c r="E11455" s="52" t="s">
        <v>25</v>
      </c>
      <c r="F11455" s="52" t="s">
        <v>26</v>
      </c>
      <c r="G11455" s="53"/>
    </row>
    <row r="11456">
      <c r="A11456" s="49">
        <v>45141.429098356486</v>
      </c>
      <c r="B11456" s="50">
        <v>45141.5540756365</v>
      </c>
      <c r="C11456" s="51">
        <v>1.003</v>
      </c>
      <c r="D11456" s="51">
        <v>73.0</v>
      </c>
      <c r="E11456" s="52" t="s">
        <v>25</v>
      </c>
      <c r="F11456" s="52" t="s">
        <v>26</v>
      </c>
      <c r="G11456" s="53"/>
    </row>
    <row r="11457">
      <c r="A11457" s="49">
        <v>45141.43953092593</v>
      </c>
      <c r="B11457" s="50">
        <v>45141.5644980324</v>
      </c>
      <c r="C11457" s="51">
        <v>1.003</v>
      </c>
      <c r="D11457" s="51">
        <v>73.0</v>
      </c>
      <c r="E11457" s="52" t="s">
        <v>25</v>
      </c>
      <c r="F11457" s="52" t="s">
        <v>26</v>
      </c>
      <c r="G11457" s="53"/>
    </row>
    <row r="11458">
      <c r="A11458" s="49">
        <v>45141.44994767361</v>
      </c>
      <c r="B11458" s="50">
        <v>45141.5749193171</v>
      </c>
      <c r="C11458" s="51">
        <v>1.003</v>
      </c>
      <c r="D11458" s="51">
        <v>73.0</v>
      </c>
      <c r="E11458" s="52" t="s">
        <v>25</v>
      </c>
      <c r="F11458" s="52" t="s">
        <v>26</v>
      </c>
      <c r="G11458" s="53"/>
    </row>
    <row r="11459">
      <c r="A11459" s="49">
        <v>45141.4603722801</v>
      </c>
      <c r="B11459" s="50">
        <v>45141.5853412963</v>
      </c>
      <c r="C11459" s="51">
        <v>1.003</v>
      </c>
      <c r="D11459" s="51">
        <v>73.0</v>
      </c>
      <c r="E11459" s="52" t="s">
        <v>25</v>
      </c>
      <c r="F11459" s="52" t="s">
        <v>26</v>
      </c>
      <c r="G11459" s="53"/>
    </row>
    <row r="11460">
      <c r="A11460" s="49">
        <v>45141.470803749995</v>
      </c>
      <c r="B11460" s="50">
        <v>45141.5957729282</v>
      </c>
      <c r="C11460" s="51">
        <v>1.003</v>
      </c>
      <c r="D11460" s="51">
        <v>73.0</v>
      </c>
      <c r="E11460" s="52" t="s">
        <v>25</v>
      </c>
      <c r="F11460" s="52" t="s">
        <v>26</v>
      </c>
      <c r="G11460" s="53"/>
    </row>
    <row r="11461">
      <c r="A11461" s="49">
        <v>45141.481227743054</v>
      </c>
      <c r="B11461" s="50">
        <v>45141.6061924537</v>
      </c>
      <c r="C11461" s="51">
        <v>1.003</v>
      </c>
      <c r="D11461" s="51">
        <v>73.0</v>
      </c>
      <c r="E11461" s="52" t="s">
        <v>25</v>
      </c>
      <c r="F11461" s="52" t="s">
        <v>26</v>
      </c>
      <c r="G11461" s="53"/>
    </row>
    <row r="11462">
      <c r="A11462" s="49">
        <v>45141.491641493056</v>
      </c>
      <c r="B11462" s="50">
        <v>45141.6166128009</v>
      </c>
      <c r="C11462" s="51">
        <v>1.003</v>
      </c>
      <c r="D11462" s="51">
        <v>73.0</v>
      </c>
      <c r="E11462" s="52" t="s">
        <v>25</v>
      </c>
      <c r="F11462" s="52" t="s">
        <v>26</v>
      </c>
      <c r="G11462" s="53"/>
    </row>
    <row r="11463">
      <c r="A11463" s="49">
        <v>45141.502064016204</v>
      </c>
      <c r="B11463" s="50">
        <v>45141.627032118</v>
      </c>
      <c r="C11463" s="51">
        <v>1.003</v>
      </c>
      <c r="D11463" s="51">
        <v>73.0</v>
      </c>
      <c r="E11463" s="52" t="s">
        <v>25</v>
      </c>
      <c r="F11463" s="52" t="s">
        <v>26</v>
      </c>
      <c r="G11463" s="53"/>
    </row>
    <row r="11464">
      <c r="A11464" s="49">
        <v>45141.512482314814</v>
      </c>
      <c r="B11464" s="50">
        <v>45141.6374530902</v>
      </c>
      <c r="C11464" s="51">
        <v>1.003</v>
      </c>
      <c r="D11464" s="51">
        <v>73.0</v>
      </c>
      <c r="E11464" s="52" t="s">
        <v>25</v>
      </c>
      <c r="F11464" s="52" t="s">
        <v>26</v>
      </c>
      <c r="G11464" s="53"/>
    </row>
    <row r="11465">
      <c r="A11465" s="49">
        <v>45141.52290362268</v>
      </c>
      <c r="B11465" s="50">
        <v>45141.6478744444</v>
      </c>
      <c r="C11465" s="51">
        <v>1.003</v>
      </c>
      <c r="D11465" s="51">
        <v>73.0</v>
      </c>
      <c r="E11465" s="52" t="s">
        <v>25</v>
      </c>
      <c r="F11465" s="52" t="s">
        <v>26</v>
      </c>
      <c r="G11465" s="53"/>
    </row>
    <row r="11466">
      <c r="A11466" s="49">
        <v>45141.53332423611</v>
      </c>
      <c r="B11466" s="50">
        <v>45141.6582955092</v>
      </c>
      <c r="C11466" s="51">
        <v>1.003</v>
      </c>
      <c r="D11466" s="51">
        <v>73.0</v>
      </c>
      <c r="E11466" s="52" t="s">
        <v>25</v>
      </c>
      <c r="F11466" s="52" t="s">
        <v>26</v>
      </c>
      <c r="G11466" s="53"/>
    </row>
    <row r="11467">
      <c r="A11467" s="49">
        <v>45141.54375546296</v>
      </c>
      <c r="B11467" s="50">
        <v>45141.6687276388</v>
      </c>
      <c r="C11467" s="51">
        <v>1.003</v>
      </c>
      <c r="D11467" s="51">
        <v>73.0</v>
      </c>
      <c r="E11467" s="52" t="s">
        <v>25</v>
      </c>
      <c r="F11467" s="52" t="s">
        <v>26</v>
      </c>
      <c r="G11467" s="53"/>
    </row>
    <row r="11468">
      <c r="A11468" s="49">
        <v>45141.554173888886</v>
      </c>
      <c r="B11468" s="50">
        <v>45141.6791479976</v>
      </c>
      <c r="C11468" s="51">
        <v>1.003</v>
      </c>
      <c r="D11468" s="51">
        <v>73.0</v>
      </c>
      <c r="E11468" s="52" t="s">
        <v>25</v>
      </c>
      <c r="F11468" s="52" t="s">
        <v>26</v>
      </c>
      <c r="G11468" s="53"/>
    </row>
    <row r="11469">
      <c r="A11469" s="49">
        <v>45141.56460024306</v>
      </c>
      <c r="B11469" s="50">
        <v>45141.6895694328</v>
      </c>
      <c r="C11469" s="51">
        <v>1.003</v>
      </c>
      <c r="D11469" s="51">
        <v>73.0</v>
      </c>
      <c r="E11469" s="52" t="s">
        <v>25</v>
      </c>
      <c r="F11469" s="52" t="s">
        <v>26</v>
      </c>
      <c r="G11469" s="53"/>
    </row>
    <row r="11470">
      <c r="A11470" s="49">
        <v>45141.575022199075</v>
      </c>
      <c r="B11470" s="50">
        <v>45141.6999920833</v>
      </c>
      <c r="C11470" s="51">
        <v>1.003</v>
      </c>
      <c r="D11470" s="51">
        <v>73.0</v>
      </c>
      <c r="E11470" s="52" t="s">
        <v>25</v>
      </c>
      <c r="F11470" s="52" t="s">
        <v>26</v>
      </c>
      <c r="G11470" s="53"/>
    </row>
    <row r="11471">
      <c r="A11471" s="49">
        <v>45141.58545009259</v>
      </c>
      <c r="B11471" s="50">
        <v>45141.7104133564</v>
      </c>
      <c r="C11471" s="51">
        <v>1.003</v>
      </c>
      <c r="D11471" s="51">
        <v>73.0</v>
      </c>
      <c r="E11471" s="52" t="s">
        <v>25</v>
      </c>
      <c r="F11471" s="52" t="s">
        <v>26</v>
      </c>
      <c r="G11471" s="53"/>
    </row>
    <row r="11472">
      <c r="A11472" s="49">
        <v>45141.59587754629</v>
      </c>
      <c r="B11472" s="50">
        <v>45141.7208468055</v>
      </c>
      <c r="C11472" s="51">
        <v>1.003</v>
      </c>
      <c r="D11472" s="51">
        <v>73.0</v>
      </c>
      <c r="E11472" s="52" t="s">
        <v>25</v>
      </c>
      <c r="F11472" s="52" t="s">
        <v>26</v>
      </c>
      <c r="G11472" s="53"/>
    </row>
    <row r="11473">
      <c r="A11473" s="49">
        <v>45141.60629488426</v>
      </c>
      <c r="B11473" s="50">
        <v>45141.7312677314</v>
      </c>
      <c r="C11473" s="51">
        <v>1.003</v>
      </c>
      <c r="D11473" s="51">
        <v>73.0</v>
      </c>
      <c r="E11473" s="52" t="s">
        <v>25</v>
      </c>
      <c r="F11473" s="52" t="s">
        <v>26</v>
      </c>
      <c r="G11473" s="53"/>
    </row>
    <row r="11474">
      <c r="A11474" s="49">
        <v>45141.616711689814</v>
      </c>
      <c r="B11474" s="50">
        <v>45141.7416878703</v>
      </c>
      <c r="C11474" s="51">
        <v>1.003</v>
      </c>
      <c r="D11474" s="51">
        <v>73.0</v>
      </c>
      <c r="E11474" s="52" t="s">
        <v>25</v>
      </c>
      <c r="F11474" s="52" t="s">
        <v>26</v>
      </c>
      <c r="G11474" s="53"/>
    </row>
    <row r="11475">
      <c r="A11475" s="49">
        <v>45141.62714978009</v>
      </c>
      <c r="B11475" s="50">
        <v>45141.7521203125</v>
      </c>
      <c r="C11475" s="51">
        <v>1.003</v>
      </c>
      <c r="D11475" s="51">
        <v>73.0</v>
      </c>
      <c r="E11475" s="52" t="s">
        <v>25</v>
      </c>
      <c r="F11475" s="52" t="s">
        <v>26</v>
      </c>
      <c r="G11475" s="53"/>
    </row>
    <row r="11476">
      <c r="A11476" s="49">
        <v>45141.6375824537</v>
      </c>
      <c r="B11476" s="50">
        <v>45141.7625530092</v>
      </c>
      <c r="C11476" s="51">
        <v>1.003</v>
      </c>
      <c r="D11476" s="51">
        <v>73.0</v>
      </c>
      <c r="E11476" s="52" t="s">
        <v>25</v>
      </c>
      <c r="F11476" s="52" t="s">
        <v>26</v>
      </c>
      <c r="G11476" s="53"/>
    </row>
    <row r="11477">
      <c r="A11477" s="49">
        <v>45141.64799438657</v>
      </c>
      <c r="B11477" s="50">
        <v>45141.7729730324</v>
      </c>
      <c r="C11477" s="51">
        <v>1.003</v>
      </c>
      <c r="D11477" s="51">
        <v>73.0</v>
      </c>
      <c r="E11477" s="52" t="s">
        <v>25</v>
      </c>
      <c r="F11477" s="52" t="s">
        <v>26</v>
      </c>
      <c r="G11477" s="53"/>
    </row>
    <row r="11478">
      <c r="A11478" s="49">
        <v>45141.65843201389</v>
      </c>
      <c r="B11478" s="50">
        <v>45141.7834069097</v>
      </c>
      <c r="C11478" s="51">
        <v>1.003</v>
      </c>
      <c r="D11478" s="51">
        <v>73.0</v>
      </c>
      <c r="E11478" s="52" t="s">
        <v>25</v>
      </c>
      <c r="F11478" s="52" t="s">
        <v>26</v>
      </c>
      <c r="G11478" s="53"/>
    </row>
    <row r="11479">
      <c r="A11479" s="49">
        <v>45141.66885364584</v>
      </c>
      <c r="B11479" s="50">
        <v>45141.7938267592</v>
      </c>
      <c r="C11479" s="51">
        <v>1.003</v>
      </c>
      <c r="D11479" s="51">
        <v>73.0</v>
      </c>
      <c r="E11479" s="52" t="s">
        <v>25</v>
      </c>
      <c r="F11479" s="52" t="s">
        <v>26</v>
      </c>
      <c r="G11479" s="53"/>
    </row>
    <row r="11480">
      <c r="A11480" s="49">
        <v>45141.67927626157</v>
      </c>
      <c r="B11480" s="50">
        <v>45141.8042583449</v>
      </c>
      <c r="C11480" s="51">
        <v>1.003</v>
      </c>
      <c r="D11480" s="51">
        <v>73.0</v>
      </c>
      <c r="E11480" s="52" t="s">
        <v>25</v>
      </c>
      <c r="F11480" s="52" t="s">
        <v>26</v>
      </c>
      <c r="G11480" s="53"/>
    </row>
    <row r="11481">
      <c r="A11481" s="49">
        <v>45141.689717002315</v>
      </c>
      <c r="B11481" s="50">
        <v>45141.8146907754</v>
      </c>
      <c r="C11481" s="51">
        <v>1.003</v>
      </c>
      <c r="D11481" s="51">
        <v>73.0</v>
      </c>
      <c r="E11481" s="52" t="s">
        <v>25</v>
      </c>
      <c r="F11481" s="52" t="s">
        <v>26</v>
      </c>
      <c r="G11481" s="53"/>
    </row>
    <row r="11482">
      <c r="A11482" s="49">
        <v>45141.7001503125</v>
      </c>
      <c r="B11482" s="50">
        <v>45141.8251257291</v>
      </c>
      <c r="C11482" s="51">
        <v>1.003</v>
      </c>
      <c r="D11482" s="51">
        <v>73.0</v>
      </c>
      <c r="E11482" s="52" t="s">
        <v>25</v>
      </c>
      <c r="F11482" s="52" t="s">
        <v>26</v>
      </c>
      <c r="G11482" s="53"/>
    </row>
    <row r="11483">
      <c r="A11483" s="49">
        <v>45141.71057092593</v>
      </c>
      <c r="B11483" s="50">
        <v>45141.8355470486</v>
      </c>
      <c r="C11483" s="51">
        <v>1.003</v>
      </c>
      <c r="D11483" s="51">
        <v>73.0</v>
      </c>
      <c r="E11483" s="52" t="s">
        <v>25</v>
      </c>
      <c r="F11483" s="52" t="s">
        <v>26</v>
      </c>
      <c r="G11483" s="53"/>
    </row>
    <row r="11484">
      <c r="A11484" s="49">
        <v>45141.721010231486</v>
      </c>
      <c r="B11484" s="50">
        <v>45141.8459799537</v>
      </c>
      <c r="C11484" s="51">
        <v>1.003</v>
      </c>
      <c r="D11484" s="51">
        <v>73.0</v>
      </c>
      <c r="E11484" s="52" t="s">
        <v>25</v>
      </c>
      <c r="F11484" s="52" t="s">
        <v>26</v>
      </c>
      <c r="G11484" s="53"/>
    </row>
    <row r="11485">
      <c r="A11485" s="49">
        <v>45141.73142505787</v>
      </c>
      <c r="B11485" s="50">
        <v>45141.8564005902</v>
      </c>
      <c r="C11485" s="51">
        <v>1.003</v>
      </c>
      <c r="D11485" s="51">
        <v>73.0</v>
      </c>
      <c r="E11485" s="52" t="s">
        <v>25</v>
      </c>
      <c r="F11485" s="52" t="s">
        <v>26</v>
      </c>
      <c r="G11485" s="53"/>
    </row>
    <row r="11486">
      <c r="A11486" s="49">
        <v>45141.741849756945</v>
      </c>
      <c r="B11486" s="50">
        <v>45141.8668220138</v>
      </c>
      <c r="C11486" s="51">
        <v>1.003</v>
      </c>
      <c r="D11486" s="51">
        <v>73.0</v>
      </c>
      <c r="E11486" s="52" t="s">
        <v>25</v>
      </c>
      <c r="F11486" s="52" t="s">
        <v>26</v>
      </c>
      <c r="G11486" s="53"/>
    </row>
    <row r="11487">
      <c r="A11487" s="49">
        <v>45141.752280138884</v>
      </c>
      <c r="B11487" s="50">
        <v>45141.877255324</v>
      </c>
      <c r="C11487" s="51">
        <v>1.003</v>
      </c>
      <c r="D11487" s="51">
        <v>73.0</v>
      </c>
      <c r="E11487" s="52" t="s">
        <v>25</v>
      </c>
      <c r="F11487" s="52" t="s">
        <v>26</v>
      </c>
      <c r="G11487" s="53"/>
    </row>
    <row r="11488">
      <c r="A11488" s="49">
        <v>45141.76270412037</v>
      </c>
      <c r="B11488" s="50">
        <v>45141.8876769791</v>
      </c>
      <c r="C11488" s="51">
        <v>1.003</v>
      </c>
      <c r="D11488" s="51">
        <v>73.0</v>
      </c>
      <c r="E11488" s="52" t="s">
        <v>25</v>
      </c>
      <c r="F11488" s="52" t="s">
        <v>26</v>
      </c>
      <c r="G11488" s="53"/>
    </row>
    <row r="11489">
      <c r="A11489" s="49">
        <v>45141.77312883102</v>
      </c>
      <c r="B11489" s="50">
        <v>45141.8981104398</v>
      </c>
      <c r="C11489" s="51">
        <v>1.003</v>
      </c>
      <c r="D11489" s="51">
        <v>73.0</v>
      </c>
      <c r="E11489" s="52" t="s">
        <v>25</v>
      </c>
      <c r="F11489" s="52" t="s">
        <v>26</v>
      </c>
      <c r="G11489" s="53"/>
    </row>
    <row r="11490">
      <c r="A11490" s="49">
        <v>45141.78355756945</v>
      </c>
      <c r="B11490" s="50">
        <v>45141.9085310416</v>
      </c>
      <c r="C11490" s="51">
        <v>1.003</v>
      </c>
      <c r="D11490" s="51">
        <v>73.0</v>
      </c>
      <c r="E11490" s="52" t="s">
        <v>25</v>
      </c>
      <c r="F11490" s="52" t="s">
        <v>26</v>
      </c>
      <c r="G11490" s="53"/>
    </row>
    <row r="11491">
      <c r="A11491" s="49">
        <v>45141.79397454861</v>
      </c>
      <c r="B11491" s="50">
        <v>45141.918951493</v>
      </c>
      <c r="C11491" s="51">
        <v>1.003</v>
      </c>
      <c r="D11491" s="51">
        <v>73.0</v>
      </c>
      <c r="E11491" s="52" t="s">
        <v>25</v>
      </c>
      <c r="F11491" s="52" t="s">
        <v>26</v>
      </c>
      <c r="G11491" s="53"/>
    </row>
    <row r="11492">
      <c r="A11492" s="49">
        <v>45141.804411006946</v>
      </c>
      <c r="B11492" s="50">
        <v>45141.9293826851</v>
      </c>
      <c r="C11492" s="51">
        <v>1.003</v>
      </c>
      <c r="D11492" s="51">
        <v>73.0</v>
      </c>
      <c r="E11492" s="52" t="s">
        <v>25</v>
      </c>
      <c r="F11492" s="52" t="s">
        <v>26</v>
      </c>
      <c r="G11492" s="53"/>
    </row>
    <row r="11493">
      <c r="A11493" s="49">
        <v>45141.81482047454</v>
      </c>
      <c r="B11493" s="50">
        <v>45141.93980228</v>
      </c>
      <c r="C11493" s="51">
        <v>1.003</v>
      </c>
      <c r="D11493" s="51">
        <v>73.0</v>
      </c>
      <c r="E11493" s="52" t="s">
        <v>25</v>
      </c>
      <c r="F11493" s="52" t="s">
        <v>26</v>
      </c>
      <c r="G11493" s="53"/>
    </row>
    <row r="11494">
      <c r="A11494" s="49">
        <v>45141.8252440625</v>
      </c>
      <c r="B11494" s="50">
        <v>45141.9502226736</v>
      </c>
      <c r="C11494" s="51">
        <v>1.003</v>
      </c>
      <c r="D11494" s="51">
        <v>73.0</v>
      </c>
      <c r="E11494" s="52" t="s">
        <v>25</v>
      </c>
      <c r="F11494" s="52" t="s">
        <v>26</v>
      </c>
      <c r="G11494" s="53"/>
    </row>
    <row r="11495">
      <c r="A11495" s="49">
        <v>45141.83566710648</v>
      </c>
      <c r="B11495" s="50">
        <v>45141.9606437731</v>
      </c>
      <c r="C11495" s="51">
        <v>1.003</v>
      </c>
      <c r="D11495" s="51">
        <v>73.0</v>
      </c>
      <c r="E11495" s="52" t="s">
        <v>25</v>
      </c>
      <c r="F11495" s="52" t="s">
        <v>26</v>
      </c>
      <c r="G11495" s="53"/>
    </row>
    <row r="11496">
      <c r="A11496" s="49">
        <v>45141.846087928236</v>
      </c>
      <c r="B11496" s="50">
        <v>45141.9710649421</v>
      </c>
      <c r="C11496" s="51">
        <v>1.003</v>
      </c>
      <c r="D11496" s="51">
        <v>73.0</v>
      </c>
      <c r="E11496" s="52" t="s">
        <v>25</v>
      </c>
      <c r="F11496" s="52" t="s">
        <v>26</v>
      </c>
      <c r="G11496" s="53"/>
    </row>
    <row r="11497">
      <c r="A11497" s="49">
        <v>45141.856509467594</v>
      </c>
      <c r="B11497" s="50">
        <v>45141.9814874189</v>
      </c>
      <c r="C11497" s="51">
        <v>1.003</v>
      </c>
      <c r="D11497" s="51">
        <v>73.0</v>
      </c>
      <c r="E11497" s="52" t="s">
        <v>25</v>
      </c>
      <c r="F11497" s="52" t="s">
        <v>26</v>
      </c>
      <c r="G11497" s="53"/>
    </row>
    <row r="11498">
      <c r="A11498" s="49">
        <v>45141.86692940972</v>
      </c>
      <c r="B11498" s="50">
        <v>45141.9919078125</v>
      </c>
      <c r="C11498" s="51">
        <v>1.003</v>
      </c>
      <c r="D11498" s="51">
        <v>73.0</v>
      </c>
      <c r="E11498" s="52" t="s">
        <v>25</v>
      </c>
      <c r="F11498" s="52" t="s">
        <v>26</v>
      </c>
      <c r="G11498" s="53"/>
    </row>
    <row r="11499">
      <c r="A11499" s="49">
        <v>45141.877354675926</v>
      </c>
      <c r="B11499" s="50">
        <v>45142.0023281134</v>
      </c>
      <c r="C11499" s="51">
        <v>1.003</v>
      </c>
      <c r="D11499" s="51">
        <v>73.0</v>
      </c>
      <c r="E11499" s="52" t="s">
        <v>25</v>
      </c>
      <c r="F11499" s="52" t="s">
        <v>26</v>
      </c>
      <c r="G11499" s="53"/>
    </row>
    <row r="11500">
      <c r="A11500" s="49">
        <v>45141.88777648148</v>
      </c>
      <c r="B11500" s="50">
        <v>45142.0127497916</v>
      </c>
      <c r="C11500" s="51">
        <v>1.003</v>
      </c>
      <c r="D11500" s="51">
        <v>73.0</v>
      </c>
      <c r="E11500" s="52" t="s">
        <v>25</v>
      </c>
      <c r="F11500" s="52" t="s">
        <v>26</v>
      </c>
      <c r="G11500" s="53"/>
    </row>
    <row r="11501">
      <c r="A11501" s="49">
        <v>45141.89819244213</v>
      </c>
      <c r="B11501" s="50">
        <v>45142.0231704282</v>
      </c>
      <c r="C11501" s="51">
        <v>1.003</v>
      </c>
      <c r="D11501" s="51">
        <v>73.0</v>
      </c>
      <c r="E11501" s="52" t="s">
        <v>25</v>
      </c>
      <c r="F11501" s="52" t="s">
        <v>26</v>
      </c>
      <c r="G11501" s="53"/>
    </row>
    <row r="11502">
      <c r="A11502" s="49">
        <v>45141.90861490741</v>
      </c>
      <c r="B11502" s="50">
        <v>45142.0335920833</v>
      </c>
      <c r="C11502" s="51">
        <v>1.003</v>
      </c>
      <c r="D11502" s="51">
        <v>73.0</v>
      </c>
      <c r="E11502" s="52" t="s">
        <v>25</v>
      </c>
      <c r="F11502" s="52" t="s">
        <v>26</v>
      </c>
      <c r="G11502" s="53"/>
    </row>
    <row r="11503">
      <c r="A11503" s="49">
        <v>45141.91904231481</v>
      </c>
      <c r="B11503" s="50">
        <v>45142.044012662</v>
      </c>
      <c r="C11503" s="51">
        <v>1.003</v>
      </c>
      <c r="D11503" s="51">
        <v>73.0</v>
      </c>
      <c r="E11503" s="52" t="s">
        <v>25</v>
      </c>
      <c r="F11503" s="52" t="s">
        <v>26</v>
      </c>
      <c r="G11503" s="53"/>
    </row>
    <row r="11504">
      <c r="A11504" s="49">
        <v>45141.92946130787</v>
      </c>
      <c r="B11504" s="50">
        <v>45142.0544357986</v>
      </c>
      <c r="C11504" s="51">
        <v>1.003</v>
      </c>
      <c r="D11504" s="51">
        <v>73.0</v>
      </c>
      <c r="E11504" s="52" t="s">
        <v>25</v>
      </c>
      <c r="F11504" s="52" t="s">
        <v>26</v>
      </c>
      <c r="G11504" s="53"/>
    </row>
    <row r="11505">
      <c r="A11505" s="49">
        <v>45141.939880949074</v>
      </c>
      <c r="B11505" s="50">
        <v>45142.0648559722</v>
      </c>
      <c r="C11505" s="51">
        <v>1.003</v>
      </c>
      <c r="D11505" s="51">
        <v>73.0</v>
      </c>
      <c r="E11505" s="52" t="s">
        <v>25</v>
      </c>
      <c r="F11505" s="52" t="s">
        <v>26</v>
      </c>
      <c r="G11505" s="53"/>
    </row>
    <row r="11506">
      <c r="A11506" s="49">
        <v>45141.95030221065</v>
      </c>
      <c r="B11506" s="50">
        <v>45142.0752757291</v>
      </c>
      <c r="C11506" s="51">
        <v>1.003</v>
      </c>
      <c r="D11506" s="51">
        <v>73.0</v>
      </c>
      <c r="E11506" s="52" t="s">
        <v>25</v>
      </c>
      <c r="F11506" s="52" t="s">
        <v>26</v>
      </c>
      <c r="G11506" s="53"/>
    </row>
    <row r="11507">
      <c r="A11507" s="49">
        <v>45141.96072256945</v>
      </c>
      <c r="B11507" s="50">
        <v>45142.0856986921</v>
      </c>
      <c r="C11507" s="51">
        <v>1.003</v>
      </c>
      <c r="D11507" s="51">
        <v>73.0</v>
      </c>
      <c r="E11507" s="52" t="s">
        <v>25</v>
      </c>
      <c r="F11507" s="52" t="s">
        <v>26</v>
      </c>
      <c r="G11507" s="53"/>
    </row>
    <row r="11508">
      <c r="A11508" s="49">
        <v>45141.97114835648</v>
      </c>
      <c r="B11508" s="50">
        <v>45142.0961197916</v>
      </c>
      <c r="C11508" s="51">
        <v>1.003</v>
      </c>
      <c r="D11508" s="51">
        <v>73.0</v>
      </c>
      <c r="E11508" s="52" t="s">
        <v>25</v>
      </c>
      <c r="F11508" s="52" t="s">
        <v>26</v>
      </c>
      <c r="G11508" s="53"/>
    </row>
    <row r="11509">
      <c r="A11509" s="49">
        <v>45141.98156388889</v>
      </c>
      <c r="B11509" s="50">
        <v>45142.1065408796</v>
      </c>
      <c r="C11509" s="51">
        <v>1.003</v>
      </c>
      <c r="D11509" s="51">
        <v>73.0</v>
      </c>
      <c r="E11509" s="52" t="s">
        <v>25</v>
      </c>
      <c r="F11509" s="52" t="s">
        <v>26</v>
      </c>
      <c r="G11509" s="53"/>
    </row>
    <row r="11510">
      <c r="A11510" s="49">
        <v>45141.991993125004</v>
      </c>
      <c r="B11510" s="50">
        <v>45142.1169593634</v>
      </c>
      <c r="C11510" s="51">
        <v>1.003</v>
      </c>
      <c r="D11510" s="51">
        <v>73.0</v>
      </c>
      <c r="E11510" s="52" t="s">
        <v>25</v>
      </c>
      <c r="F11510" s="52" t="s">
        <v>26</v>
      </c>
      <c r="G11510" s="53"/>
    </row>
    <row r="11511">
      <c r="A11511" s="49">
        <v>45142.002410057874</v>
      </c>
      <c r="B11511" s="50">
        <v>45142.1273814351</v>
      </c>
      <c r="C11511" s="51">
        <v>1.003</v>
      </c>
      <c r="D11511" s="51">
        <v>73.0</v>
      </c>
      <c r="E11511" s="52" t="s">
        <v>25</v>
      </c>
      <c r="F11511" s="52" t="s">
        <v>26</v>
      </c>
      <c r="G11511" s="53"/>
    </row>
    <row r="11512">
      <c r="A11512" s="49">
        <v>45142.012819525466</v>
      </c>
      <c r="B11512" s="50">
        <v>45142.1378017361</v>
      </c>
      <c r="C11512" s="51">
        <v>1.003</v>
      </c>
      <c r="D11512" s="51">
        <v>73.0</v>
      </c>
      <c r="E11512" s="52" t="s">
        <v>25</v>
      </c>
      <c r="F11512" s="52" t="s">
        <v>26</v>
      </c>
      <c r="G11512" s="53"/>
    </row>
    <row r="11513">
      <c r="A11513" s="49">
        <v>45142.02323818287</v>
      </c>
      <c r="B11513" s="50">
        <v>45142.1482211342</v>
      </c>
      <c r="C11513" s="51">
        <v>1.003</v>
      </c>
      <c r="D11513" s="51">
        <v>73.0</v>
      </c>
      <c r="E11513" s="52" t="s">
        <v>25</v>
      </c>
      <c r="F11513" s="52" t="s">
        <v>26</v>
      </c>
      <c r="G11513" s="53"/>
    </row>
    <row r="11514">
      <c r="A11514" s="49">
        <v>45142.03366826389</v>
      </c>
      <c r="B11514" s="50">
        <v>45142.1586414351</v>
      </c>
      <c r="C11514" s="51">
        <v>1.003</v>
      </c>
      <c r="D11514" s="51">
        <v>73.0</v>
      </c>
      <c r="E11514" s="52" t="s">
        <v>25</v>
      </c>
      <c r="F11514" s="52" t="s">
        <v>26</v>
      </c>
      <c r="G11514" s="53"/>
    </row>
    <row r="11515">
      <c r="A11515" s="49">
        <v>45142.04409415509</v>
      </c>
      <c r="B11515" s="50">
        <v>45142.169075625</v>
      </c>
      <c r="C11515" s="51">
        <v>1.003</v>
      </c>
      <c r="D11515" s="51">
        <v>73.0</v>
      </c>
      <c r="E11515" s="52" t="s">
        <v>25</v>
      </c>
      <c r="F11515" s="52" t="s">
        <v>26</v>
      </c>
      <c r="G11515" s="53"/>
    </row>
    <row r="11516">
      <c r="A11516" s="49">
        <v>45142.05451688658</v>
      </c>
      <c r="B11516" s="50">
        <v>45142.1794963773</v>
      </c>
      <c r="C11516" s="51">
        <v>1.003</v>
      </c>
      <c r="D11516" s="51">
        <v>73.0</v>
      </c>
      <c r="E11516" s="52" t="s">
        <v>25</v>
      </c>
      <c r="F11516" s="52" t="s">
        <v>26</v>
      </c>
      <c r="G11516" s="53"/>
    </row>
    <row r="11517">
      <c r="A11517" s="49">
        <v>45142.064943935184</v>
      </c>
      <c r="B11517" s="50">
        <v>45142.1899179282</v>
      </c>
      <c r="C11517" s="51">
        <v>1.003</v>
      </c>
      <c r="D11517" s="51">
        <v>73.0</v>
      </c>
      <c r="E11517" s="52" t="s">
        <v>25</v>
      </c>
      <c r="F11517" s="52" t="s">
        <v>26</v>
      </c>
      <c r="G11517" s="53"/>
    </row>
    <row r="11518">
      <c r="A11518" s="49">
        <v>45142.075366805555</v>
      </c>
      <c r="B11518" s="50">
        <v>45142.2003392939</v>
      </c>
      <c r="C11518" s="51">
        <v>1.003</v>
      </c>
      <c r="D11518" s="51">
        <v>73.0</v>
      </c>
      <c r="E11518" s="52" t="s">
        <v>25</v>
      </c>
      <c r="F11518" s="52" t="s">
        <v>26</v>
      </c>
      <c r="G11518" s="53"/>
    </row>
    <row r="11519">
      <c r="A11519" s="49">
        <v>45142.08579055556</v>
      </c>
      <c r="B11519" s="50">
        <v>45142.2107608796</v>
      </c>
      <c r="C11519" s="51">
        <v>1.003</v>
      </c>
      <c r="D11519" s="51">
        <v>73.0</v>
      </c>
      <c r="E11519" s="52" t="s">
        <v>25</v>
      </c>
      <c r="F11519" s="52" t="s">
        <v>26</v>
      </c>
      <c r="G11519" s="53"/>
    </row>
    <row r="11520">
      <c r="A11520" s="49">
        <v>45142.09620570602</v>
      </c>
      <c r="B11520" s="50">
        <v>45142.221180949</v>
      </c>
      <c r="C11520" s="51">
        <v>1.003</v>
      </c>
      <c r="D11520" s="51">
        <v>73.0</v>
      </c>
      <c r="E11520" s="52" t="s">
        <v>25</v>
      </c>
      <c r="F11520" s="52" t="s">
        <v>26</v>
      </c>
      <c r="G11520" s="53"/>
    </row>
    <row r="11521">
      <c r="A11521" s="49">
        <v>45142.106622569445</v>
      </c>
      <c r="B11521" s="50">
        <v>45142.2316015393</v>
      </c>
      <c r="C11521" s="51">
        <v>1.003</v>
      </c>
      <c r="D11521" s="51">
        <v>73.0</v>
      </c>
      <c r="E11521" s="52" t="s">
        <v>25</v>
      </c>
      <c r="F11521" s="52" t="s">
        <v>26</v>
      </c>
      <c r="G11521" s="53"/>
    </row>
    <row r="11522">
      <c r="A11522" s="49">
        <v>45142.11706159722</v>
      </c>
      <c r="B11522" s="50">
        <v>45142.2420459375</v>
      </c>
      <c r="C11522" s="51">
        <v>1.003</v>
      </c>
      <c r="D11522" s="51">
        <v>73.0</v>
      </c>
      <c r="E11522" s="52" t="s">
        <v>25</v>
      </c>
      <c r="F11522" s="52" t="s">
        <v>26</v>
      </c>
      <c r="G11522" s="53"/>
    </row>
    <row r="11523">
      <c r="A11523" s="49">
        <v>45142.127515706015</v>
      </c>
      <c r="B11523" s="50">
        <v>45142.2524806365</v>
      </c>
      <c r="C11523" s="51">
        <v>1.003</v>
      </c>
      <c r="D11523" s="51">
        <v>73.0</v>
      </c>
      <c r="E11523" s="52" t="s">
        <v>25</v>
      </c>
      <c r="F11523" s="52" t="s">
        <v>26</v>
      </c>
      <c r="G11523" s="53"/>
    </row>
    <row r="11524">
      <c r="A11524" s="49">
        <v>45142.13792108797</v>
      </c>
      <c r="B11524" s="50">
        <v>45142.2629009375</v>
      </c>
      <c r="C11524" s="51">
        <v>1.003</v>
      </c>
      <c r="D11524" s="51">
        <v>73.0</v>
      </c>
      <c r="E11524" s="52" t="s">
        <v>25</v>
      </c>
      <c r="F11524" s="52" t="s">
        <v>26</v>
      </c>
      <c r="G11524" s="53"/>
    </row>
    <row r="11525">
      <c r="A11525" s="49">
        <v>45142.148343657405</v>
      </c>
      <c r="B11525" s="50">
        <v>45142.2733213078</v>
      </c>
      <c r="C11525" s="51">
        <v>1.003</v>
      </c>
      <c r="D11525" s="51">
        <v>73.0</v>
      </c>
      <c r="E11525" s="52" t="s">
        <v>25</v>
      </c>
      <c r="F11525" s="52" t="s">
        <v>26</v>
      </c>
      <c r="G11525" s="53"/>
    </row>
    <row r="11526">
      <c r="A11526" s="49">
        <v>45142.1587715625</v>
      </c>
      <c r="B11526" s="50">
        <v>45142.2837422685</v>
      </c>
      <c r="C11526" s="51">
        <v>1.003</v>
      </c>
      <c r="D11526" s="51">
        <v>73.0</v>
      </c>
      <c r="E11526" s="52" t="s">
        <v>25</v>
      </c>
      <c r="F11526" s="52" t="s">
        <v>26</v>
      </c>
      <c r="G11526" s="53"/>
    </row>
    <row r="11527">
      <c r="A11527" s="49">
        <v>45142.16918686342</v>
      </c>
      <c r="B11527" s="50">
        <v>45142.2941639814</v>
      </c>
      <c r="C11527" s="51">
        <v>1.003</v>
      </c>
      <c r="D11527" s="51">
        <v>73.0</v>
      </c>
      <c r="E11527" s="52" t="s">
        <v>25</v>
      </c>
      <c r="F11527" s="52" t="s">
        <v>26</v>
      </c>
      <c r="G11527" s="53"/>
    </row>
    <row r="11528">
      <c r="A11528" s="49">
        <v>45142.17960851852</v>
      </c>
      <c r="B11528" s="50">
        <v>45142.3045860532</v>
      </c>
      <c r="C11528" s="51">
        <v>1.003</v>
      </c>
      <c r="D11528" s="51">
        <v>73.0</v>
      </c>
      <c r="E11528" s="52" t="s">
        <v>25</v>
      </c>
      <c r="F11528" s="52" t="s">
        <v>26</v>
      </c>
      <c r="G11528" s="53"/>
    </row>
    <row r="11529">
      <c r="A11529" s="49">
        <v>45142.19003327546</v>
      </c>
      <c r="B11529" s="50">
        <v>45142.3150070486</v>
      </c>
      <c r="C11529" s="51">
        <v>1.003</v>
      </c>
      <c r="D11529" s="51">
        <v>73.0</v>
      </c>
      <c r="E11529" s="52" t="s">
        <v>25</v>
      </c>
      <c r="F11529" s="52" t="s">
        <v>26</v>
      </c>
      <c r="G11529" s="53"/>
    </row>
    <row r="11530">
      <c r="A11530" s="49">
        <v>45142.20045496528</v>
      </c>
      <c r="B11530" s="50">
        <v>45142.3254274768</v>
      </c>
      <c r="C11530" s="51">
        <v>1.003</v>
      </c>
      <c r="D11530" s="51">
        <v>73.0</v>
      </c>
      <c r="E11530" s="52" t="s">
        <v>25</v>
      </c>
      <c r="F11530" s="52" t="s">
        <v>26</v>
      </c>
      <c r="G11530" s="53"/>
    </row>
    <row r="11531">
      <c r="A11531" s="49">
        <v>45142.21088451389</v>
      </c>
      <c r="B11531" s="50">
        <v>45142.3358498379</v>
      </c>
      <c r="C11531" s="51">
        <v>1.003</v>
      </c>
      <c r="D11531" s="51">
        <v>73.0</v>
      </c>
      <c r="E11531" s="52" t="s">
        <v>25</v>
      </c>
      <c r="F11531" s="52" t="s">
        <v>26</v>
      </c>
      <c r="G11531" s="53"/>
    </row>
    <row r="11532">
      <c r="A11532" s="49">
        <v>45142.22129902778</v>
      </c>
      <c r="B11532" s="50">
        <v>45142.346270324</v>
      </c>
      <c r="C11532" s="51">
        <v>1.003</v>
      </c>
      <c r="D11532" s="51">
        <v>73.0</v>
      </c>
      <c r="E11532" s="52" t="s">
        <v>25</v>
      </c>
      <c r="F11532" s="52" t="s">
        <v>26</v>
      </c>
      <c r="G11532" s="53"/>
    </row>
    <row r="11533">
      <c r="A11533" s="49">
        <v>45142.23172412037</v>
      </c>
      <c r="B11533" s="50">
        <v>45142.3567037731</v>
      </c>
      <c r="C11533" s="51">
        <v>1.003</v>
      </c>
      <c r="D11533" s="51">
        <v>73.0</v>
      </c>
      <c r="E11533" s="52" t="s">
        <v>25</v>
      </c>
      <c r="F11533" s="52" t="s">
        <v>26</v>
      </c>
      <c r="G11533" s="53"/>
    </row>
    <row r="11534">
      <c r="A11534" s="49">
        <v>45142.24214969907</v>
      </c>
      <c r="B11534" s="50">
        <v>45142.3671241782</v>
      </c>
      <c r="C11534" s="51">
        <v>1.003</v>
      </c>
      <c r="D11534" s="51">
        <v>73.0</v>
      </c>
      <c r="E11534" s="52" t="s">
        <v>25</v>
      </c>
      <c r="F11534" s="52" t="s">
        <v>26</v>
      </c>
      <c r="G11534" s="53"/>
    </row>
    <row r="11535">
      <c r="A11535" s="49">
        <v>45142.25257295139</v>
      </c>
      <c r="B11535" s="50">
        <v>45142.3775449074</v>
      </c>
      <c r="C11535" s="51">
        <v>1.003</v>
      </c>
      <c r="D11535" s="51">
        <v>73.0</v>
      </c>
      <c r="E11535" s="52" t="s">
        <v>25</v>
      </c>
      <c r="F11535" s="52" t="s">
        <v>26</v>
      </c>
      <c r="G11535" s="53"/>
    </row>
    <row r="11536">
      <c r="A11536" s="49">
        <v>45142.26300048611</v>
      </c>
      <c r="B11536" s="50">
        <v>45142.3879651041</v>
      </c>
      <c r="C11536" s="51">
        <v>1.003</v>
      </c>
      <c r="D11536" s="51">
        <v>73.0</v>
      </c>
      <c r="E11536" s="52" t="s">
        <v>25</v>
      </c>
      <c r="F11536" s="52" t="s">
        <v>26</v>
      </c>
      <c r="G11536" s="53"/>
    </row>
    <row r="11537">
      <c r="A11537" s="49">
        <v>45142.273435208335</v>
      </c>
      <c r="B11537" s="50">
        <v>45142.3984097338</v>
      </c>
      <c r="C11537" s="51">
        <v>1.003</v>
      </c>
      <c r="D11537" s="51">
        <v>73.0</v>
      </c>
      <c r="E11537" s="52" t="s">
        <v>25</v>
      </c>
      <c r="F11537" s="52" t="s">
        <v>26</v>
      </c>
      <c r="G11537" s="53"/>
    </row>
    <row r="11538">
      <c r="A11538" s="49">
        <v>45142.28387947917</v>
      </c>
      <c r="B11538" s="50">
        <v>45142.4088418749</v>
      </c>
      <c r="C11538" s="51">
        <v>1.003</v>
      </c>
      <c r="D11538" s="51">
        <v>73.0</v>
      </c>
      <c r="E11538" s="52" t="s">
        <v>25</v>
      </c>
      <c r="F11538" s="52" t="s">
        <v>26</v>
      </c>
      <c r="G11538" s="53"/>
    </row>
    <row r="11539">
      <c r="A11539" s="49">
        <v>45142.294292708335</v>
      </c>
      <c r="B11539" s="50">
        <v>45142.4192643634</v>
      </c>
      <c r="C11539" s="51">
        <v>1.003</v>
      </c>
      <c r="D11539" s="51">
        <v>73.0</v>
      </c>
      <c r="E11539" s="52" t="s">
        <v>25</v>
      </c>
      <c r="F11539" s="52" t="s">
        <v>26</v>
      </c>
      <c r="G11539" s="53"/>
    </row>
    <row r="11540">
      <c r="A11540" s="49">
        <v>45142.30471628472</v>
      </c>
      <c r="B11540" s="50">
        <v>45142.429685706</v>
      </c>
      <c r="C11540" s="51">
        <v>1.003</v>
      </c>
      <c r="D11540" s="51">
        <v>73.0</v>
      </c>
      <c r="E11540" s="52" t="s">
        <v>25</v>
      </c>
      <c r="F11540" s="52" t="s">
        <v>26</v>
      </c>
      <c r="G11540" s="53"/>
    </row>
    <row r="11541">
      <c r="A11541" s="49">
        <v>45142.31513671296</v>
      </c>
      <c r="B11541" s="50">
        <v>45142.4401064814</v>
      </c>
      <c r="C11541" s="51">
        <v>1.003</v>
      </c>
      <c r="D11541" s="51">
        <v>73.0</v>
      </c>
      <c r="E11541" s="52" t="s">
        <v>25</v>
      </c>
      <c r="F11541" s="52" t="s">
        <v>26</v>
      </c>
      <c r="G11541" s="53"/>
    </row>
    <row r="11542">
      <c r="A11542" s="49">
        <v>45142.32555417824</v>
      </c>
      <c r="B11542" s="50">
        <v>45142.4505270601</v>
      </c>
      <c r="C11542" s="51">
        <v>1.003</v>
      </c>
      <c r="D11542" s="51">
        <v>73.0</v>
      </c>
      <c r="E11542" s="52" t="s">
        <v>25</v>
      </c>
      <c r="F11542" s="52" t="s">
        <v>26</v>
      </c>
      <c r="G11542" s="53"/>
    </row>
    <row r="11543">
      <c r="A11543" s="49">
        <v>45142.33597806713</v>
      </c>
      <c r="B11543" s="50">
        <v>45142.4609497916</v>
      </c>
      <c r="C11543" s="51">
        <v>1.003</v>
      </c>
      <c r="D11543" s="51">
        <v>73.0</v>
      </c>
      <c r="E11543" s="52" t="s">
        <v>25</v>
      </c>
      <c r="F11543" s="52" t="s">
        <v>26</v>
      </c>
      <c r="G11543" s="53"/>
    </row>
    <row r="11544">
      <c r="A11544" s="49">
        <v>45142.346391921295</v>
      </c>
      <c r="B11544" s="50">
        <v>45142.4713704398</v>
      </c>
      <c r="C11544" s="51">
        <v>1.003</v>
      </c>
      <c r="D11544" s="51">
        <v>73.0</v>
      </c>
      <c r="E11544" s="52" t="s">
        <v>25</v>
      </c>
      <c r="F11544" s="52" t="s">
        <v>26</v>
      </c>
      <c r="G11544" s="53"/>
    </row>
    <row r="11545">
      <c r="A11545" s="49">
        <v>45142.35681912037</v>
      </c>
      <c r="B11545" s="50">
        <v>45142.4817909259</v>
      </c>
      <c r="C11545" s="51">
        <v>1.003</v>
      </c>
      <c r="D11545" s="51">
        <v>73.0</v>
      </c>
      <c r="E11545" s="52" t="s">
        <v>25</v>
      </c>
      <c r="F11545" s="52" t="s">
        <v>26</v>
      </c>
      <c r="G11545" s="53"/>
    </row>
    <row r="11546">
      <c r="A11546" s="49">
        <v>45142.367262314816</v>
      </c>
      <c r="B11546" s="50">
        <v>45142.4922342476</v>
      </c>
      <c r="C11546" s="51">
        <v>1.003</v>
      </c>
      <c r="D11546" s="51">
        <v>73.0</v>
      </c>
      <c r="E11546" s="52" t="s">
        <v>25</v>
      </c>
      <c r="F11546" s="52" t="s">
        <v>26</v>
      </c>
      <c r="G11546" s="53"/>
    </row>
    <row r="11547">
      <c r="A11547" s="49">
        <v>45142.37768292824</v>
      </c>
      <c r="B11547" s="50">
        <v>45142.5026544791</v>
      </c>
      <c r="C11547" s="51">
        <v>1.003</v>
      </c>
      <c r="D11547" s="51">
        <v>73.0</v>
      </c>
      <c r="E11547" s="52" t="s">
        <v>25</v>
      </c>
      <c r="F11547" s="52" t="s">
        <v>26</v>
      </c>
      <c r="G11547" s="53"/>
    </row>
    <row r="11548">
      <c r="A11548" s="49">
        <v>45142.388095347225</v>
      </c>
      <c r="B11548" s="50">
        <v>45142.5130754398</v>
      </c>
      <c r="C11548" s="51">
        <v>1.003</v>
      </c>
      <c r="D11548" s="51">
        <v>73.0</v>
      </c>
      <c r="E11548" s="52" t="s">
        <v>25</v>
      </c>
      <c r="F11548" s="52" t="s">
        <v>26</v>
      </c>
      <c r="G11548" s="53"/>
    </row>
    <row r="11549">
      <c r="A11549" s="49">
        <v>45142.398527384255</v>
      </c>
      <c r="B11549" s="50">
        <v>45142.5234945717</v>
      </c>
      <c r="C11549" s="51">
        <v>1.003</v>
      </c>
      <c r="D11549" s="51">
        <v>73.0</v>
      </c>
      <c r="E11549" s="52" t="s">
        <v>25</v>
      </c>
      <c r="F11549" s="52" t="s">
        <v>26</v>
      </c>
      <c r="G11549" s="53"/>
    </row>
    <row r="11550">
      <c r="A11550" s="49">
        <v>45142.408945856485</v>
      </c>
      <c r="B11550" s="50">
        <v>45142.5339153009</v>
      </c>
      <c r="C11550" s="51">
        <v>1.003</v>
      </c>
      <c r="D11550" s="51">
        <v>73.0</v>
      </c>
      <c r="E11550" s="52" t="s">
        <v>25</v>
      </c>
      <c r="F11550" s="52" t="s">
        <v>26</v>
      </c>
      <c r="G11550" s="53"/>
    </row>
    <row r="11551">
      <c r="A11551" s="49">
        <v>45142.41936666667</v>
      </c>
      <c r="B11551" s="50">
        <v>45142.5443356597</v>
      </c>
      <c r="C11551" s="51">
        <v>1.003</v>
      </c>
      <c r="D11551" s="51">
        <v>73.0</v>
      </c>
      <c r="E11551" s="52" t="s">
        <v>25</v>
      </c>
      <c r="F11551" s="52" t="s">
        <v>26</v>
      </c>
      <c r="G11551" s="53"/>
    </row>
    <row r="11552">
      <c r="A11552" s="49">
        <v>45142.42978605324</v>
      </c>
      <c r="B11552" s="50">
        <v>45142.5547570949</v>
      </c>
      <c r="C11552" s="51">
        <v>1.003</v>
      </c>
      <c r="D11552" s="51">
        <v>73.0</v>
      </c>
      <c r="E11552" s="52" t="s">
        <v>25</v>
      </c>
      <c r="F11552" s="52" t="s">
        <v>26</v>
      </c>
      <c r="G11552" s="53"/>
    </row>
    <row r="11553">
      <c r="A11553" s="49">
        <v>45142.44024332176</v>
      </c>
      <c r="B11553" s="50">
        <v>45142.5652137037</v>
      </c>
      <c r="C11553" s="51">
        <v>1.003</v>
      </c>
      <c r="D11553" s="51">
        <v>73.0</v>
      </c>
      <c r="E11553" s="52" t="s">
        <v>25</v>
      </c>
      <c r="F11553" s="52" t="s">
        <v>26</v>
      </c>
      <c r="G11553" s="53"/>
    </row>
    <row r="11554">
      <c r="A11554" s="49">
        <v>45142.450663634256</v>
      </c>
      <c r="B11554" s="50">
        <v>45142.5756343518</v>
      </c>
      <c r="C11554" s="51">
        <v>1.003</v>
      </c>
      <c r="D11554" s="51">
        <v>73.0</v>
      </c>
      <c r="E11554" s="52" t="s">
        <v>25</v>
      </c>
      <c r="F11554" s="52" t="s">
        <v>26</v>
      </c>
      <c r="G11554" s="53"/>
    </row>
    <row r="11555">
      <c r="A11555" s="49">
        <v>45142.46108487269</v>
      </c>
      <c r="B11555" s="50">
        <v>45142.5860564004</v>
      </c>
      <c r="C11555" s="51">
        <v>1.003</v>
      </c>
      <c r="D11555" s="51">
        <v>73.0</v>
      </c>
      <c r="E11555" s="52" t="s">
        <v>25</v>
      </c>
      <c r="F11555" s="52" t="s">
        <v>26</v>
      </c>
      <c r="G11555" s="53"/>
    </row>
    <row r="11556">
      <c r="A11556" s="49">
        <v>45142.47152554398</v>
      </c>
      <c r="B11556" s="50">
        <v>45142.5964995601</v>
      </c>
      <c r="C11556" s="51">
        <v>1.003</v>
      </c>
      <c r="D11556" s="51">
        <v>73.0</v>
      </c>
      <c r="E11556" s="52" t="s">
        <v>25</v>
      </c>
      <c r="F11556" s="52" t="s">
        <v>26</v>
      </c>
      <c r="G11556" s="53"/>
    </row>
    <row r="11557">
      <c r="A11557" s="49">
        <v>45142.48194519676</v>
      </c>
      <c r="B11557" s="50">
        <v>45142.6069196064</v>
      </c>
      <c r="C11557" s="51">
        <v>1.003</v>
      </c>
      <c r="D11557" s="51">
        <v>73.0</v>
      </c>
      <c r="E11557" s="52" t="s">
        <v>25</v>
      </c>
      <c r="F11557" s="52" t="s">
        <v>26</v>
      </c>
      <c r="G11557" s="53"/>
    </row>
    <row r="11558">
      <c r="A11558" s="49">
        <v>45142.492369837964</v>
      </c>
      <c r="B11558" s="50">
        <v>45142.6173416782</v>
      </c>
      <c r="C11558" s="51">
        <v>1.003</v>
      </c>
      <c r="D11558" s="51">
        <v>73.0</v>
      </c>
      <c r="E11558" s="52" t="s">
        <v>25</v>
      </c>
      <c r="F11558" s="52" t="s">
        <v>26</v>
      </c>
      <c r="G11558" s="53"/>
    </row>
    <row r="11559">
      <c r="A11559" s="49">
        <v>45142.5027877199</v>
      </c>
      <c r="B11559" s="50">
        <v>45142.6277643287</v>
      </c>
      <c r="C11559" s="51">
        <v>1.003</v>
      </c>
      <c r="D11559" s="51">
        <v>73.0</v>
      </c>
      <c r="E11559" s="52" t="s">
        <v>25</v>
      </c>
      <c r="F11559" s="52" t="s">
        <v>26</v>
      </c>
      <c r="G11559" s="53"/>
    </row>
    <row r="11560">
      <c r="A11560" s="49">
        <v>45142.513213935184</v>
      </c>
      <c r="B11560" s="50">
        <v>45142.6381854629</v>
      </c>
      <c r="C11560" s="51">
        <v>1.003</v>
      </c>
      <c r="D11560" s="51">
        <v>73.0</v>
      </c>
      <c r="E11560" s="52" t="s">
        <v>25</v>
      </c>
      <c r="F11560" s="52" t="s">
        <v>26</v>
      </c>
      <c r="G11560" s="53"/>
    </row>
    <row r="11561">
      <c r="A11561" s="49">
        <v>45142.523628587966</v>
      </c>
      <c r="B11561" s="50">
        <v>45142.6486063657</v>
      </c>
      <c r="C11561" s="51">
        <v>1.003</v>
      </c>
      <c r="D11561" s="51">
        <v>73.0</v>
      </c>
      <c r="E11561" s="52" t="s">
        <v>25</v>
      </c>
      <c r="F11561" s="52" t="s">
        <v>26</v>
      </c>
      <c r="G11561" s="53"/>
    </row>
    <row r="11562">
      <c r="A11562" s="49">
        <v>45142.53404591435</v>
      </c>
      <c r="B11562" s="50">
        <v>45142.6590246064</v>
      </c>
      <c r="C11562" s="51">
        <v>1.003</v>
      </c>
      <c r="D11562" s="51">
        <v>73.0</v>
      </c>
      <c r="E11562" s="52" t="s">
        <v>25</v>
      </c>
      <c r="F11562" s="52" t="s">
        <v>26</v>
      </c>
      <c r="G11562" s="53"/>
    </row>
    <row r="11563">
      <c r="A11563" s="49">
        <v>45142.54447221065</v>
      </c>
      <c r="B11563" s="50">
        <v>45142.6694445949</v>
      </c>
      <c r="C11563" s="51">
        <v>1.003</v>
      </c>
      <c r="D11563" s="51">
        <v>73.0</v>
      </c>
      <c r="E11563" s="52" t="s">
        <v>25</v>
      </c>
      <c r="F11563" s="52" t="s">
        <v>26</v>
      </c>
      <c r="G11563" s="53"/>
    </row>
    <row r="11564">
      <c r="A11564" s="49">
        <v>45142.554892291664</v>
      </c>
      <c r="B11564" s="50">
        <v>45142.6798645601</v>
      </c>
      <c r="C11564" s="51">
        <v>1.003</v>
      </c>
      <c r="D11564" s="51">
        <v>73.0</v>
      </c>
      <c r="E11564" s="52" t="s">
        <v>25</v>
      </c>
      <c r="F11564" s="52" t="s">
        <v>26</v>
      </c>
      <c r="G11564" s="53"/>
    </row>
    <row r="11565">
      <c r="A11565" s="49">
        <v>45142.56531203704</v>
      </c>
      <c r="B11565" s="50">
        <v>45142.6902837731</v>
      </c>
      <c r="C11565" s="51">
        <v>1.003</v>
      </c>
      <c r="D11565" s="51">
        <v>73.0</v>
      </c>
      <c r="E11565" s="52" t="s">
        <v>25</v>
      </c>
      <c r="F11565" s="52" t="s">
        <v>26</v>
      </c>
      <c r="G11565" s="53"/>
    </row>
    <row r="11566">
      <c r="A11566" s="49">
        <v>45142.575728703705</v>
      </c>
      <c r="B11566" s="50">
        <v>45142.7007043171</v>
      </c>
      <c r="C11566" s="51">
        <v>1.003</v>
      </c>
      <c r="D11566" s="51">
        <v>73.0</v>
      </c>
      <c r="E11566" s="52" t="s">
        <v>25</v>
      </c>
      <c r="F11566" s="52" t="s">
        <v>26</v>
      </c>
      <c r="G11566" s="53"/>
    </row>
    <row r="11567">
      <c r="A11567" s="49">
        <v>45142.5861416088</v>
      </c>
      <c r="B11567" s="50">
        <v>45142.7111263773</v>
      </c>
      <c r="C11567" s="51">
        <v>1.003</v>
      </c>
      <c r="D11567" s="51">
        <v>73.0</v>
      </c>
      <c r="E11567" s="52" t="s">
        <v>25</v>
      </c>
      <c r="F11567" s="52" t="s">
        <v>26</v>
      </c>
      <c r="G11567" s="53"/>
    </row>
    <row r="11568">
      <c r="A11568" s="49">
        <v>45142.596567280096</v>
      </c>
      <c r="B11568" s="50">
        <v>45142.721547743</v>
      </c>
      <c r="C11568" s="51">
        <v>1.003</v>
      </c>
      <c r="D11568" s="51">
        <v>73.0</v>
      </c>
      <c r="E11568" s="52" t="s">
        <v>25</v>
      </c>
      <c r="F11568" s="52" t="s">
        <v>26</v>
      </c>
      <c r="G11568" s="53"/>
    </row>
    <row r="11569">
      <c r="A11569" s="49">
        <v>45142.6069975</v>
      </c>
      <c r="B11569" s="50">
        <v>45142.7319676504</v>
      </c>
      <c r="C11569" s="51">
        <v>1.003</v>
      </c>
      <c r="D11569" s="51">
        <v>73.0</v>
      </c>
      <c r="E11569" s="52" t="s">
        <v>25</v>
      </c>
      <c r="F11569" s="52" t="s">
        <v>26</v>
      </c>
      <c r="G11569" s="53"/>
    </row>
    <row r="11570">
      <c r="A11570" s="49">
        <v>45142.61741424768</v>
      </c>
      <c r="B11570" s="50">
        <v>45142.7423867708</v>
      </c>
      <c r="C11570" s="51">
        <v>1.003</v>
      </c>
      <c r="D11570" s="51">
        <v>73.0</v>
      </c>
      <c r="E11570" s="52" t="s">
        <v>25</v>
      </c>
      <c r="F11570" s="52" t="s">
        <v>26</v>
      </c>
      <c r="G11570" s="53"/>
    </row>
    <row r="11571">
      <c r="A11571" s="49">
        <v>45142.62783787037</v>
      </c>
      <c r="B11571" s="50">
        <v>45142.7528080902</v>
      </c>
      <c r="C11571" s="51">
        <v>1.003</v>
      </c>
      <c r="D11571" s="51">
        <v>73.0</v>
      </c>
      <c r="E11571" s="52" t="s">
        <v>25</v>
      </c>
      <c r="F11571" s="52" t="s">
        <v>26</v>
      </c>
      <c r="G11571" s="53"/>
    </row>
    <row r="11572">
      <c r="A11572" s="49">
        <v>45142.63825454861</v>
      </c>
      <c r="B11572" s="50">
        <v>45142.7632291435</v>
      </c>
      <c r="C11572" s="51">
        <v>1.003</v>
      </c>
      <c r="D11572" s="51">
        <v>73.0</v>
      </c>
      <c r="E11572" s="52" t="s">
        <v>25</v>
      </c>
      <c r="F11572" s="52" t="s">
        <v>26</v>
      </c>
      <c r="G11572" s="53"/>
    </row>
    <row r="11573">
      <c r="A11573" s="49">
        <v>45142.648688622685</v>
      </c>
      <c r="B11573" s="50">
        <v>45142.7736640162</v>
      </c>
      <c r="C11573" s="51">
        <v>1.003</v>
      </c>
      <c r="D11573" s="51">
        <v>73.0</v>
      </c>
      <c r="E11573" s="52" t="s">
        <v>25</v>
      </c>
      <c r="F11573" s="52" t="s">
        <v>26</v>
      </c>
      <c r="G11573" s="53"/>
    </row>
    <row r="11574">
      <c r="A11574" s="49">
        <v>45142.6591083449</v>
      </c>
      <c r="B11574" s="50">
        <v>45142.7840841666</v>
      </c>
      <c r="C11574" s="51">
        <v>1.003</v>
      </c>
      <c r="D11574" s="51">
        <v>73.0</v>
      </c>
      <c r="E11574" s="52" t="s">
        <v>25</v>
      </c>
      <c r="F11574" s="52" t="s">
        <v>26</v>
      </c>
      <c r="G11574" s="53"/>
    </row>
    <row r="11575">
      <c r="A11575" s="49">
        <v>45142.66952826389</v>
      </c>
      <c r="B11575" s="50">
        <v>45142.7945060416</v>
      </c>
      <c r="C11575" s="51">
        <v>1.003</v>
      </c>
      <c r="D11575" s="51">
        <v>73.0</v>
      </c>
      <c r="E11575" s="52" t="s">
        <v>25</v>
      </c>
      <c r="F11575" s="52" t="s">
        <v>26</v>
      </c>
      <c r="G11575" s="53"/>
    </row>
    <row r="11576">
      <c r="A11576" s="49">
        <v>45142.67995304398</v>
      </c>
      <c r="B11576" s="50">
        <v>45142.8049282291</v>
      </c>
      <c r="C11576" s="51">
        <v>1.003</v>
      </c>
      <c r="D11576" s="51">
        <v>73.0</v>
      </c>
      <c r="E11576" s="52" t="s">
        <v>25</v>
      </c>
      <c r="F11576" s="52" t="s">
        <v>26</v>
      </c>
      <c r="G11576" s="53"/>
    </row>
    <row r="11577">
      <c r="A11577" s="49">
        <v>45142.69038398148</v>
      </c>
      <c r="B11577" s="50">
        <v>45142.8153604051</v>
      </c>
      <c r="C11577" s="51">
        <v>1.003</v>
      </c>
      <c r="D11577" s="51">
        <v>73.0</v>
      </c>
      <c r="E11577" s="52" t="s">
        <v>25</v>
      </c>
      <c r="F11577" s="52" t="s">
        <v>26</v>
      </c>
      <c r="G11577" s="53"/>
    </row>
    <row r="11578">
      <c r="A11578" s="49">
        <v>45142.70080976852</v>
      </c>
      <c r="B11578" s="50">
        <v>45142.8257821412</v>
      </c>
      <c r="C11578" s="51">
        <v>1.003</v>
      </c>
      <c r="D11578" s="51">
        <v>73.0</v>
      </c>
      <c r="E11578" s="52" t="s">
        <v>25</v>
      </c>
      <c r="F11578" s="52" t="s">
        <v>26</v>
      </c>
      <c r="G11578" s="53"/>
    </row>
    <row r="11579">
      <c r="A11579" s="49">
        <v>45142.71122890046</v>
      </c>
      <c r="B11579" s="50">
        <v>45142.8362031365</v>
      </c>
      <c r="C11579" s="51">
        <v>1.003</v>
      </c>
      <c r="D11579" s="51">
        <v>73.0</v>
      </c>
      <c r="E11579" s="52" t="s">
        <v>25</v>
      </c>
      <c r="F11579" s="52" t="s">
        <v>26</v>
      </c>
      <c r="G11579" s="53"/>
    </row>
    <row r="11580">
      <c r="A11580" s="49">
        <v>45142.7216433912</v>
      </c>
      <c r="B11580" s="50">
        <v>45142.8466235532</v>
      </c>
      <c r="C11580" s="51">
        <v>1.003</v>
      </c>
      <c r="D11580" s="51">
        <v>73.0</v>
      </c>
      <c r="E11580" s="52" t="s">
        <v>25</v>
      </c>
      <c r="F11580" s="52" t="s">
        <v>26</v>
      </c>
      <c r="G11580" s="53"/>
    </row>
    <row r="11581">
      <c r="A11581" s="49">
        <v>45142.73207140046</v>
      </c>
      <c r="B11581" s="50">
        <v>45142.8570445833</v>
      </c>
      <c r="C11581" s="51">
        <v>1.003</v>
      </c>
      <c r="D11581" s="51">
        <v>73.0</v>
      </c>
      <c r="E11581" s="52" t="s">
        <v>25</v>
      </c>
      <c r="F11581" s="52" t="s">
        <v>26</v>
      </c>
      <c r="G11581" s="53"/>
    </row>
    <row r="11582">
      <c r="A11582" s="49">
        <v>45142.742513680554</v>
      </c>
      <c r="B11582" s="50">
        <v>45142.8674892013</v>
      </c>
      <c r="C11582" s="51">
        <v>1.003</v>
      </c>
      <c r="D11582" s="51">
        <v>73.0</v>
      </c>
      <c r="E11582" s="52" t="s">
        <v>25</v>
      </c>
      <c r="F11582" s="52" t="s">
        <v>26</v>
      </c>
      <c r="G11582" s="53"/>
    </row>
    <row r="11583">
      <c r="A11583" s="49">
        <v>45142.75293560185</v>
      </c>
      <c r="B11583" s="50">
        <v>45142.8779103935</v>
      </c>
      <c r="C11583" s="51">
        <v>1.003</v>
      </c>
      <c r="D11583" s="51">
        <v>73.0</v>
      </c>
      <c r="E11583" s="52" t="s">
        <v>25</v>
      </c>
      <c r="F11583" s="52" t="s">
        <v>26</v>
      </c>
      <c r="G11583" s="53"/>
    </row>
    <row r="11584">
      <c r="A11584" s="49">
        <v>45142.763349305555</v>
      </c>
      <c r="B11584" s="50">
        <v>45142.8883323726</v>
      </c>
      <c r="C11584" s="51">
        <v>1.003</v>
      </c>
      <c r="D11584" s="51">
        <v>74.0</v>
      </c>
      <c r="E11584" s="52" t="s">
        <v>25</v>
      </c>
      <c r="F11584" s="52" t="s">
        <v>26</v>
      </c>
      <c r="G11584" s="53"/>
    </row>
    <row r="11585">
      <c r="A11585" s="49">
        <v>45142.77379222222</v>
      </c>
      <c r="B11585" s="50">
        <v>45142.8987641782</v>
      </c>
      <c r="C11585" s="51">
        <v>1.003</v>
      </c>
      <c r="D11585" s="51">
        <v>74.0</v>
      </c>
      <c r="E11585" s="52" t="s">
        <v>25</v>
      </c>
      <c r="F11585" s="52" t="s">
        <v>26</v>
      </c>
      <c r="G11585" s="53"/>
    </row>
    <row r="11586">
      <c r="A11586" s="49">
        <v>45142.78420497685</v>
      </c>
      <c r="B11586" s="50">
        <v>45142.9091858333</v>
      </c>
      <c r="C11586" s="51">
        <v>1.003</v>
      </c>
      <c r="D11586" s="51">
        <v>73.0</v>
      </c>
      <c r="E11586" s="52" t="s">
        <v>25</v>
      </c>
      <c r="F11586" s="52" t="s">
        <v>26</v>
      </c>
      <c r="G11586" s="53"/>
    </row>
    <row r="11587">
      <c r="A11587" s="49">
        <v>45142.79463694444</v>
      </c>
      <c r="B11587" s="50">
        <v>45142.9196064351</v>
      </c>
      <c r="C11587" s="51">
        <v>1.003</v>
      </c>
      <c r="D11587" s="51">
        <v>74.0</v>
      </c>
      <c r="E11587" s="52" t="s">
        <v>25</v>
      </c>
      <c r="F11587" s="52" t="s">
        <v>26</v>
      </c>
      <c r="G11587" s="53"/>
    </row>
    <row r="11588">
      <c r="A11588" s="49">
        <v>45142.80506568287</v>
      </c>
      <c r="B11588" s="50">
        <v>45142.9300390972</v>
      </c>
      <c r="C11588" s="51">
        <v>1.003</v>
      </c>
      <c r="D11588" s="51">
        <v>74.0</v>
      </c>
      <c r="E11588" s="52" t="s">
        <v>25</v>
      </c>
      <c r="F11588" s="52" t="s">
        <v>26</v>
      </c>
      <c r="G11588" s="53"/>
    </row>
    <row r="11589">
      <c r="A11589" s="49">
        <v>45142.81548068287</v>
      </c>
      <c r="B11589" s="50">
        <v>45142.9404595138</v>
      </c>
      <c r="C11589" s="51">
        <v>1.003</v>
      </c>
      <c r="D11589" s="51">
        <v>74.0</v>
      </c>
      <c r="E11589" s="52" t="s">
        <v>25</v>
      </c>
      <c r="F11589" s="52" t="s">
        <v>26</v>
      </c>
      <c r="G11589" s="53"/>
    </row>
    <row r="11590">
      <c r="A11590" s="49">
        <v>45142.82591858796</v>
      </c>
      <c r="B11590" s="50">
        <v>45142.9508915277</v>
      </c>
      <c r="C11590" s="51">
        <v>1.003</v>
      </c>
      <c r="D11590" s="51">
        <v>74.0</v>
      </c>
      <c r="E11590" s="52" t="s">
        <v>25</v>
      </c>
      <c r="F11590" s="52" t="s">
        <v>26</v>
      </c>
      <c r="G11590" s="53"/>
    </row>
    <row r="11591">
      <c r="A11591" s="49">
        <v>45142.83634018518</v>
      </c>
      <c r="B11591" s="50">
        <v>45142.9613118287</v>
      </c>
      <c r="C11591" s="51">
        <v>1.003</v>
      </c>
      <c r="D11591" s="51">
        <v>74.0</v>
      </c>
      <c r="E11591" s="52" t="s">
        <v>25</v>
      </c>
      <c r="F11591" s="52" t="s">
        <v>26</v>
      </c>
      <c r="G11591" s="53"/>
    </row>
    <row r="11592">
      <c r="A11592" s="49">
        <v>45142.84675884259</v>
      </c>
      <c r="B11592" s="50">
        <v>45142.9717339004</v>
      </c>
      <c r="C11592" s="51">
        <v>1.003</v>
      </c>
      <c r="D11592" s="51">
        <v>74.0</v>
      </c>
      <c r="E11592" s="52" t="s">
        <v>25</v>
      </c>
      <c r="F11592" s="52" t="s">
        <v>26</v>
      </c>
      <c r="G11592" s="53"/>
    </row>
    <row r="11593">
      <c r="A11593" s="49">
        <v>45142.857195752316</v>
      </c>
      <c r="B11593" s="50">
        <v>45142.9821678935</v>
      </c>
      <c r="C11593" s="51">
        <v>1.003</v>
      </c>
      <c r="D11593" s="51">
        <v>74.0</v>
      </c>
      <c r="E11593" s="52" t="s">
        <v>25</v>
      </c>
      <c r="F11593" s="52" t="s">
        <v>26</v>
      </c>
      <c r="G11593" s="53"/>
    </row>
    <row r="11594">
      <c r="A11594" s="49">
        <v>45142.86762908565</v>
      </c>
      <c r="B11594" s="50">
        <v>45142.9926014583</v>
      </c>
      <c r="C11594" s="51">
        <v>1.003</v>
      </c>
      <c r="D11594" s="51">
        <v>74.0</v>
      </c>
      <c r="E11594" s="52" t="s">
        <v>25</v>
      </c>
      <c r="F11594" s="52" t="s">
        <v>26</v>
      </c>
      <c r="G11594" s="53"/>
    </row>
    <row r="11595">
      <c r="A11595" s="49">
        <v>45142.878041828706</v>
      </c>
      <c r="B11595" s="50">
        <v>45143.0030214814</v>
      </c>
      <c r="C11595" s="51">
        <v>1.003</v>
      </c>
      <c r="D11595" s="51">
        <v>74.0</v>
      </c>
      <c r="E11595" s="52" t="s">
        <v>25</v>
      </c>
      <c r="F11595" s="52" t="s">
        <v>26</v>
      </c>
      <c r="G11595" s="53"/>
    </row>
    <row r="11596">
      <c r="A11596" s="49">
        <v>45142.88848138889</v>
      </c>
      <c r="B11596" s="50">
        <v>45143.0134541782</v>
      </c>
      <c r="C11596" s="51">
        <v>1.003</v>
      </c>
      <c r="D11596" s="51">
        <v>74.0</v>
      </c>
      <c r="E11596" s="52" t="s">
        <v>25</v>
      </c>
      <c r="F11596" s="52" t="s">
        <v>26</v>
      </c>
      <c r="G11596" s="53"/>
    </row>
    <row r="11597">
      <c r="A11597" s="49">
        <v>45142.898903124995</v>
      </c>
      <c r="B11597" s="50">
        <v>45143.0238748148</v>
      </c>
      <c r="C11597" s="51">
        <v>1.003</v>
      </c>
      <c r="D11597" s="51">
        <v>74.0</v>
      </c>
      <c r="E11597" s="52" t="s">
        <v>25</v>
      </c>
      <c r="F11597" s="52" t="s">
        <v>26</v>
      </c>
      <c r="G11597" s="53"/>
    </row>
    <row r="11598">
      <c r="A11598" s="49">
        <v>45142.90932288194</v>
      </c>
      <c r="B11598" s="50">
        <v>45143.0342959722</v>
      </c>
      <c r="C11598" s="51">
        <v>1.003</v>
      </c>
      <c r="D11598" s="51">
        <v>74.0</v>
      </c>
      <c r="E11598" s="52" t="s">
        <v>25</v>
      </c>
      <c r="F11598" s="52" t="s">
        <v>26</v>
      </c>
      <c r="G11598" s="53"/>
    </row>
    <row r="11599">
      <c r="A11599" s="49">
        <v>45142.91975925926</v>
      </c>
      <c r="B11599" s="50">
        <v>45143.0447290972</v>
      </c>
      <c r="C11599" s="51">
        <v>1.003</v>
      </c>
      <c r="D11599" s="51">
        <v>74.0</v>
      </c>
      <c r="E11599" s="52" t="s">
        <v>25</v>
      </c>
      <c r="F11599" s="52" t="s">
        <v>26</v>
      </c>
      <c r="G11599" s="53"/>
    </row>
    <row r="11600">
      <c r="A11600" s="49">
        <v>45142.93017871528</v>
      </c>
      <c r="B11600" s="50">
        <v>45143.0551507638</v>
      </c>
      <c r="C11600" s="51">
        <v>1.003</v>
      </c>
      <c r="D11600" s="51">
        <v>74.0</v>
      </c>
      <c r="E11600" s="52" t="s">
        <v>25</v>
      </c>
      <c r="F11600" s="52" t="s">
        <v>26</v>
      </c>
      <c r="G11600" s="53"/>
    </row>
    <row r="11601">
      <c r="A11601" s="49">
        <v>45142.940610335645</v>
      </c>
      <c r="B11601" s="50">
        <v>45143.0655721643</v>
      </c>
      <c r="C11601" s="51">
        <v>1.003</v>
      </c>
      <c r="D11601" s="51">
        <v>74.0</v>
      </c>
      <c r="E11601" s="52" t="s">
        <v>25</v>
      </c>
      <c r="F11601" s="52" t="s">
        <v>26</v>
      </c>
      <c r="G11601" s="53"/>
    </row>
    <row r="11602">
      <c r="A11602" s="49">
        <v>45142.95103115741</v>
      </c>
      <c r="B11602" s="50">
        <v>45143.0760050578</v>
      </c>
      <c r="C11602" s="51">
        <v>1.003</v>
      </c>
      <c r="D11602" s="51">
        <v>74.0</v>
      </c>
      <c r="E11602" s="52" t="s">
        <v>25</v>
      </c>
      <c r="F11602" s="52" t="s">
        <v>26</v>
      </c>
      <c r="G11602" s="53"/>
    </row>
    <row r="11603">
      <c r="A11603" s="49">
        <v>45142.961451655094</v>
      </c>
      <c r="B11603" s="50">
        <v>45143.0864272685</v>
      </c>
      <c r="C11603" s="51">
        <v>1.003</v>
      </c>
      <c r="D11603" s="51">
        <v>74.0</v>
      </c>
      <c r="E11603" s="52" t="s">
        <v>25</v>
      </c>
      <c r="F11603" s="52" t="s">
        <v>26</v>
      </c>
      <c r="G11603" s="53"/>
    </row>
    <row r="11604">
      <c r="A11604" s="49">
        <v>45142.97188099537</v>
      </c>
      <c r="B11604" s="50">
        <v>45143.0968481481</v>
      </c>
      <c r="C11604" s="51">
        <v>1.003</v>
      </c>
      <c r="D11604" s="51">
        <v>74.0</v>
      </c>
      <c r="E11604" s="52" t="s">
        <v>25</v>
      </c>
      <c r="F11604" s="52" t="s">
        <v>26</v>
      </c>
      <c r="G11604" s="53"/>
    </row>
    <row r="11605">
      <c r="A11605" s="49">
        <v>45142.98230635417</v>
      </c>
      <c r="B11605" s="50">
        <v>45143.1072819097</v>
      </c>
      <c r="C11605" s="51">
        <v>1.003</v>
      </c>
      <c r="D11605" s="51">
        <v>74.0</v>
      </c>
      <c r="E11605" s="52" t="s">
        <v>25</v>
      </c>
      <c r="F11605" s="52" t="s">
        <v>26</v>
      </c>
      <c r="G11605" s="53"/>
    </row>
    <row r="11606">
      <c r="A11606" s="49">
        <v>45142.99275961806</v>
      </c>
      <c r="B11606" s="50">
        <v>45143.1177243634</v>
      </c>
      <c r="C11606" s="51">
        <v>1.003</v>
      </c>
      <c r="D11606" s="51">
        <v>74.0</v>
      </c>
      <c r="E11606" s="52" t="s">
        <v>25</v>
      </c>
      <c r="F11606" s="52" t="s">
        <v>26</v>
      </c>
      <c r="G11606" s="53"/>
    </row>
    <row r="11607">
      <c r="A11607" s="49">
        <v>45143.0031727662</v>
      </c>
      <c r="B11607" s="50">
        <v>45143.128144375</v>
      </c>
      <c r="C11607" s="51">
        <v>1.003</v>
      </c>
      <c r="D11607" s="51">
        <v>74.0</v>
      </c>
      <c r="E11607" s="52" t="s">
        <v>25</v>
      </c>
      <c r="F11607" s="52" t="s">
        <v>26</v>
      </c>
      <c r="G11607" s="53"/>
    </row>
    <row r="11608">
      <c r="A11608" s="49">
        <v>45143.013614421296</v>
      </c>
      <c r="B11608" s="50">
        <v>45143.1385887152</v>
      </c>
      <c r="C11608" s="51">
        <v>1.003</v>
      </c>
      <c r="D11608" s="51">
        <v>74.0</v>
      </c>
      <c r="E11608" s="52" t="s">
        <v>25</v>
      </c>
      <c r="F11608" s="52" t="s">
        <v>26</v>
      </c>
      <c r="G11608" s="53"/>
    </row>
    <row r="11609">
      <c r="A11609" s="49">
        <v>45143.02403876158</v>
      </c>
      <c r="B11609" s="50">
        <v>45143.1490096527</v>
      </c>
      <c r="C11609" s="51">
        <v>1.003</v>
      </c>
      <c r="D11609" s="51">
        <v>74.0</v>
      </c>
      <c r="E11609" s="52" t="s">
        <v>25</v>
      </c>
      <c r="F11609" s="52" t="s">
        <v>26</v>
      </c>
      <c r="G11609" s="53"/>
    </row>
    <row r="11610">
      <c r="A11610" s="49">
        <v>45143.034462372685</v>
      </c>
      <c r="B11610" s="50">
        <v>45143.1594415625</v>
      </c>
      <c r="C11610" s="51">
        <v>1.003</v>
      </c>
      <c r="D11610" s="51">
        <v>74.0</v>
      </c>
      <c r="E11610" s="52" t="s">
        <v>25</v>
      </c>
      <c r="F11610" s="52" t="s">
        <v>26</v>
      </c>
      <c r="G11610" s="53"/>
    </row>
    <row r="11611">
      <c r="A11611" s="49">
        <v>45143.04488475695</v>
      </c>
      <c r="B11611" s="50">
        <v>45143.1698644097</v>
      </c>
      <c r="C11611" s="51">
        <v>1.003</v>
      </c>
      <c r="D11611" s="51">
        <v>74.0</v>
      </c>
      <c r="E11611" s="52" t="s">
        <v>25</v>
      </c>
      <c r="F11611" s="52" t="s">
        <v>26</v>
      </c>
      <c r="G11611" s="53"/>
    </row>
    <row r="11612">
      <c r="A11612" s="49">
        <v>45143.05531428241</v>
      </c>
      <c r="B11612" s="50">
        <v>45143.180285324</v>
      </c>
      <c r="C11612" s="51">
        <v>1.003</v>
      </c>
      <c r="D11612" s="51">
        <v>74.0</v>
      </c>
      <c r="E11612" s="52" t="s">
        <v>25</v>
      </c>
      <c r="F11612" s="52" t="s">
        <v>26</v>
      </c>
      <c r="G11612" s="53"/>
    </row>
    <row r="11613">
      <c r="A11613" s="49">
        <v>45143.06573293982</v>
      </c>
      <c r="B11613" s="50">
        <v>45143.190705162</v>
      </c>
      <c r="C11613" s="51">
        <v>1.003</v>
      </c>
      <c r="D11613" s="51">
        <v>74.0</v>
      </c>
      <c r="E11613" s="52" t="s">
        <v>25</v>
      </c>
      <c r="F11613" s="52" t="s">
        <v>26</v>
      </c>
      <c r="G11613" s="53"/>
    </row>
    <row r="11614">
      <c r="A11614" s="49">
        <v>45143.07615226852</v>
      </c>
      <c r="B11614" s="50">
        <v>45143.2011278009</v>
      </c>
      <c r="C11614" s="51">
        <v>1.003</v>
      </c>
      <c r="D11614" s="51">
        <v>74.0</v>
      </c>
      <c r="E11614" s="52" t="s">
        <v>25</v>
      </c>
      <c r="F11614" s="52" t="s">
        <v>26</v>
      </c>
      <c r="G11614" s="53"/>
    </row>
    <row r="11615">
      <c r="A11615" s="49">
        <v>45143.08657083333</v>
      </c>
      <c r="B11615" s="50">
        <v>45143.2115484027</v>
      </c>
      <c r="C11615" s="51">
        <v>1.003</v>
      </c>
      <c r="D11615" s="51">
        <v>74.0</v>
      </c>
      <c r="E11615" s="52" t="s">
        <v>25</v>
      </c>
      <c r="F11615" s="52" t="s">
        <v>26</v>
      </c>
      <c r="G11615" s="53"/>
    </row>
    <row r="11616">
      <c r="A11616" s="49">
        <v>45143.09700010417</v>
      </c>
      <c r="B11616" s="50">
        <v>45143.2219688425</v>
      </c>
      <c r="C11616" s="51">
        <v>1.003</v>
      </c>
      <c r="D11616" s="51">
        <v>74.0</v>
      </c>
      <c r="E11616" s="52" t="s">
        <v>25</v>
      </c>
      <c r="F11616" s="52" t="s">
        <v>26</v>
      </c>
      <c r="G11616" s="53"/>
    </row>
    <row r="11617">
      <c r="A11617" s="49">
        <v>45143.10742023148</v>
      </c>
      <c r="B11617" s="50">
        <v>45143.232390625</v>
      </c>
      <c r="C11617" s="51">
        <v>1.003</v>
      </c>
      <c r="D11617" s="51">
        <v>74.0</v>
      </c>
      <c r="E11617" s="52" t="s">
        <v>25</v>
      </c>
      <c r="F11617" s="52" t="s">
        <v>26</v>
      </c>
      <c r="G11617" s="53"/>
    </row>
    <row r="11618">
      <c r="A11618" s="49">
        <v>45143.117840520834</v>
      </c>
      <c r="B11618" s="50">
        <v>45143.2428124537</v>
      </c>
      <c r="C11618" s="51">
        <v>1.003</v>
      </c>
      <c r="D11618" s="51">
        <v>74.0</v>
      </c>
      <c r="E11618" s="52" t="s">
        <v>25</v>
      </c>
      <c r="F11618" s="52" t="s">
        <v>26</v>
      </c>
      <c r="G11618" s="53"/>
    </row>
    <row r="11619">
      <c r="A11619" s="49">
        <v>45143.1282594213</v>
      </c>
      <c r="B11619" s="50">
        <v>45143.2532342592</v>
      </c>
      <c r="C11619" s="51">
        <v>1.003</v>
      </c>
      <c r="D11619" s="51">
        <v>74.0</v>
      </c>
      <c r="E11619" s="52" t="s">
        <v>25</v>
      </c>
      <c r="F11619" s="52" t="s">
        <v>26</v>
      </c>
      <c r="G11619" s="53"/>
    </row>
    <row r="11620">
      <c r="A11620" s="49">
        <v>45143.1386837037</v>
      </c>
      <c r="B11620" s="50">
        <v>45143.2636566203</v>
      </c>
      <c r="C11620" s="51">
        <v>1.003</v>
      </c>
      <c r="D11620" s="51">
        <v>73.0</v>
      </c>
      <c r="E11620" s="52" t="s">
        <v>25</v>
      </c>
      <c r="F11620" s="52" t="s">
        <v>26</v>
      </c>
      <c r="G11620" s="53"/>
    </row>
    <row r="11621">
      <c r="A11621" s="49">
        <v>45143.14909987268</v>
      </c>
      <c r="B11621" s="50">
        <v>45143.2740780671</v>
      </c>
      <c r="C11621" s="51">
        <v>1.003</v>
      </c>
      <c r="D11621" s="51">
        <v>74.0</v>
      </c>
      <c r="E11621" s="52" t="s">
        <v>25</v>
      </c>
      <c r="F11621" s="52" t="s">
        <v>26</v>
      </c>
      <c r="G11621" s="53"/>
    </row>
    <row r="11622">
      <c r="A11622" s="49">
        <v>45143.15952511574</v>
      </c>
      <c r="B11622" s="50">
        <v>45143.2844996875</v>
      </c>
      <c r="C11622" s="51">
        <v>1.003</v>
      </c>
      <c r="D11622" s="51">
        <v>74.0</v>
      </c>
      <c r="E11622" s="52" t="s">
        <v>25</v>
      </c>
      <c r="F11622" s="52" t="s">
        <v>26</v>
      </c>
      <c r="G11622" s="53"/>
    </row>
    <row r="11623">
      <c r="A11623" s="49">
        <v>45143.16995188658</v>
      </c>
      <c r="B11623" s="50">
        <v>45143.2949325115</v>
      </c>
      <c r="C11623" s="51">
        <v>1.003</v>
      </c>
      <c r="D11623" s="51">
        <v>73.0</v>
      </c>
      <c r="E11623" s="52" t="s">
        <v>25</v>
      </c>
      <c r="F11623" s="52" t="s">
        <v>26</v>
      </c>
      <c r="G11623" s="53"/>
    </row>
    <row r="11624">
      <c r="A11624" s="49">
        <v>45143.18039450231</v>
      </c>
      <c r="B11624" s="50">
        <v>45143.305365081</v>
      </c>
      <c r="C11624" s="51">
        <v>1.003</v>
      </c>
      <c r="D11624" s="51">
        <v>73.0</v>
      </c>
      <c r="E11624" s="52" t="s">
        <v>25</v>
      </c>
      <c r="F11624" s="52" t="s">
        <v>26</v>
      </c>
      <c r="G11624" s="53"/>
    </row>
    <row r="11625">
      <c r="A11625" s="49">
        <v>45143.19080820602</v>
      </c>
      <c r="B11625" s="50">
        <v>45143.315785625</v>
      </c>
      <c r="C11625" s="51">
        <v>1.003</v>
      </c>
      <c r="D11625" s="51">
        <v>74.0</v>
      </c>
      <c r="E11625" s="52" t="s">
        <v>25</v>
      </c>
      <c r="F11625" s="52" t="s">
        <v>26</v>
      </c>
      <c r="G11625" s="53"/>
    </row>
    <row r="11626">
      <c r="A11626" s="49">
        <v>45143.20122369213</v>
      </c>
      <c r="B11626" s="50">
        <v>45143.3262079051</v>
      </c>
      <c r="C11626" s="51">
        <v>1.003</v>
      </c>
      <c r="D11626" s="51">
        <v>73.0</v>
      </c>
      <c r="E11626" s="52" t="s">
        <v>25</v>
      </c>
      <c r="F11626" s="52" t="s">
        <v>26</v>
      </c>
      <c r="G11626" s="53"/>
    </row>
    <row r="11627">
      <c r="A11627" s="49">
        <v>45143.21165358796</v>
      </c>
      <c r="B11627" s="50">
        <v>45143.3366289236</v>
      </c>
      <c r="C11627" s="51">
        <v>1.003</v>
      </c>
      <c r="D11627" s="51">
        <v>73.0</v>
      </c>
      <c r="E11627" s="52" t="s">
        <v>25</v>
      </c>
      <c r="F11627" s="52" t="s">
        <v>26</v>
      </c>
      <c r="G11627" s="53"/>
    </row>
    <row r="11628">
      <c r="A11628" s="49">
        <v>45143.22209064815</v>
      </c>
      <c r="B11628" s="50">
        <v>45143.34706375</v>
      </c>
      <c r="C11628" s="51">
        <v>1.003</v>
      </c>
      <c r="D11628" s="51">
        <v>74.0</v>
      </c>
      <c r="E11628" s="52" t="s">
        <v>25</v>
      </c>
      <c r="F11628" s="52" t="s">
        <v>26</v>
      </c>
      <c r="G11628" s="53"/>
    </row>
    <row r="11629">
      <c r="A11629" s="49">
        <v>45143.23250971065</v>
      </c>
      <c r="B11629" s="50">
        <v>45143.3574848495</v>
      </c>
      <c r="C11629" s="51">
        <v>1.003</v>
      </c>
      <c r="D11629" s="51">
        <v>74.0</v>
      </c>
      <c r="E11629" s="52" t="s">
        <v>25</v>
      </c>
      <c r="F11629" s="52" t="s">
        <v>26</v>
      </c>
      <c r="G11629" s="53"/>
    </row>
    <row r="11630">
      <c r="A11630" s="49">
        <v>45143.24293788194</v>
      </c>
      <c r="B11630" s="50">
        <v>45143.367917905</v>
      </c>
      <c r="C11630" s="51">
        <v>1.003</v>
      </c>
      <c r="D11630" s="51">
        <v>74.0</v>
      </c>
      <c r="E11630" s="52" t="s">
        <v>25</v>
      </c>
      <c r="F11630" s="52" t="s">
        <v>26</v>
      </c>
      <c r="G11630" s="53"/>
    </row>
    <row r="11631">
      <c r="A11631" s="49">
        <v>45143.253364143515</v>
      </c>
      <c r="B11631" s="50">
        <v>45143.378338993</v>
      </c>
      <c r="C11631" s="51">
        <v>1.003</v>
      </c>
      <c r="D11631" s="51">
        <v>74.0</v>
      </c>
      <c r="E11631" s="52" t="s">
        <v>25</v>
      </c>
      <c r="F11631" s="52" t="s">
        <v>26</v>
      </c>
      <c r="G11631" s="53"/>
    </row>
    <row r="11632">
      <c r="A11632" s="49">
        <v>45143.26378016204</v>
      </c>
      <c r="B11632" s="50">
        <v>45143.3887587268</v>
      </c>
      <c r="C11632" s="51">
        <v>1.003</v>
      </c>
      <c r="D11632" s="51">
        <v>74.0</v>
      </c>
      <c r="E11632" s="52" t="s">
        <v>25</v>
      </c>
      <c r="F11632" s="52" t="s">
        <v>26</v>
      </c>
      <c r="G11632" s="53"/>
    </row>
    <row r="11633">
      <c r="A11633" s="49">
        <v>45143.274205625</v>
      </c>
      <c r="B11633" s="50">
        <v>45143.3991788657</v>
      </c>
      <c r="C11633" s="51">
        <v>1.003</v>
      </c>
      <c r="D11633" s="51">
        <v>73.0</v>
      </c>
      <c r="E11633" s="52" t="s">
        <v>25</v>
      </c>
      <c r="F11633" s="52" t="s">
        <v>26</v>
      </c>
      <c r="G11633" s="53"/>
    </row>
    <row r="11634">
      <c r="A11634" s="49">
        <v>45143.284631296294</v>
      </c>
      <c r="B11634" s="50">
        <v>45143.4096105787</v>
      </c>
      <c r="C11634" s="51">
        <v>1.003</v>
      </c>
      <c r="D11634" s="51">
        <v>74.0</v>
      </c>
      <c r="E11634" s="52" t="s">
        <v>25</v>
      </c>
      <c r="F11634" s="52" t="s">
        <v>26</v>
      </c>
      <c r="G11634" s="53"/>
    </row>
    <row r="11635">
      <c r="A11635" s="49">
        <v>45143.295050625005</v>
      </c>
      <c r="B11635" s="50">
        <v>45143.4200308449</v>
      </c>
      <c r="C11635" s="51">
        <v>1.003</v>
      </c>
      <c r="D11635" s="51">
        <v>74.0</v>
      </c>
      <c r="E11635" s="52" t="s">
        <v>25</v>
      </c>
      <c r="F11635" s="52" t="s">
        <v>26</v>
      </c>
      <c r="G11635" s="53"/>
    </row>
    <row r="11636">
      <c r="A11636" s="49">
        <v>45143.30547982639</v>
      </c>
      <c r="B11636" s="50">
        <v>45143.4304540162</v>
      </c>
      <c r="C11636" s="51">
        <v>1.003</v>
      </c>
      <c r="D11636" s="51">
        <v>73.0</v>
      </c>
      <c r="E11636" s="52" t="s">
        <v>25</v>
      </c>
      <c r="F11636" s="52" t="s">
        <v>26</v>
      </c>
      <c r="G11636" s="53"/>
    </row>
    <row r="11637">
      <c r="A11637" s="49">
        <v>45143.31590606482</v>
      </c>
      <c r="B11637" s="50">
        <v>45143.4408753472</v>
      </c>
      <c r="C11637" s="51">
        <v>1.003</v>
      </c>
      <c r="D11637" s="51">
        <v>74.0</v>
      </c>
      <c r="E11637" s="52" t="s">
        <v>25</v>
      </c>
      <c r="F11637" s="52" t="s">
        <v>26</v>
      </c>
      <c r="G11637" s="53"/>
    </row>
    <row r="11638">
      <c r="A11638" s="49">
        <v>45143.32632153935</v>
      </c>
      <c r="B11638" s="50">
        <v>45143.4512967476</v>
      </c>
      <c r="C11638" s="51">
        <v>1.003</v>
      </c>
      <c r="D11638" s="51">
        <v>74.0</v>
      </c>
      <c r="E11638" s="52" t="s">
        <v>25</v>
      </c>
      <c r="F11638" s="52" t="s">
        <v>26</v>
      </c>
      <c r="G11638" s="53"/>
    </row>
    <row r="11639">
      <c r="A11639" s="49">
        <v>45143.33675173611</v>
      </c>
      <c r="B11639" s="50">
        <v>45143.4617172916</v>
      </c>
      <c r="C11639" s="51">
        <v>1.003</v>
      </c>
      <c r="D11639" s="51">
        <v>74.0</v>
      </c>
      <c r="E11639" s="52" t="s">
        <v>25</v>
      </c>
      <c r="F11639" s="52" t="s">
        <v>26</v>
      </c>
      <c r="G11639" s="53"/>
    </row>
    <row r="11640">
      <c r="A11640" s="49">
        <v>45143.34718121528</v>
      </c>
      <c r="B11640" s="50">
        <v>45143.4721515277</v>
      </c>
      <c r="C11640" s="51">
        <v>1.003</v>
      </c>
      <c r="D11640" s="51">
        <v>74.0</v>
      </c>
      <c r="E11640" s="52" t="s">
        <v>25</v>
      </c>
      <c r="F11640" s="52" t="s">
        <v>26</v>
      </c>
      <c r="G11640" s="53"/>
    </row>
    <row r="11641">
      <c r="A11641" s="49">
        <v>45143.357600034724</v>
      </c>
      <c r="B11641" s="50">
        <v>45143.482571956</v>
      </c>
      <c r="C11641" s="51">
        <v>1.003</v>
      </c>
      <c r="D11641" s="51">
        <v>73.0</v>
      </c>
      <c r="E11641" s="52" t="s">
        <v>25</v>
      </c>
      <c r="F11641" s="52" t="s">
        <v>26</v>
      </c>
      <c r="G11641" s="53"/>
    </row>
    <row r="11642">
      <c r="A11642" s="49">
        <v>45143.36802759259</v>
      </c>
      <c r="B11642" s="50">
        <v>45143.4929923842</v>
      </c>
      <c r="C11642" s="51">
        <v>1.003</v>
      </c>
      <c r="D11642" s="51">
        <v>74.0</v>
      </c>
      <c r="E11642" s="52" t="s">
        <v>25</v>
      </c>
      <c r="F11642" s="52" t="s">
        <v>26</v>
      </c>
      <c r="G11642" s="53"/>
    </row>
    <row r="11643">
      <c r="A11643" s="49">
        <v>45143.37844354167</v>
      </c>
      <c r="B11643" s="50">
        <v>45143.5034130902</v>
      </c>
      <c r="C11643" s="51">
        <v>1.003</v>
      </c>
      <c r="D11643" s="51">
        <v>74.0</v>
      </c>
      <c r="E11643" s="52" t="s">
        <v>25</v>
      </c>
      <c r="F11643" s="52" t="s">
        <v>26</v>
      </c>
      <c r="G11643" s="53"/>
    </row>
    <row r="11644">
      <c r="A11644" s="49">
        <v>45143.3888672801</v>
      </c>
      <c r="B11644" s="50">
        <v>45143.5138344907</v>
      </c>
      <c r="C11644" s="51">
        <v>1.003</v>
      </c>
      <c r="D11644" s="51">
        <v>73.0</v>
      </c>
      <c r="E11644" s="52" t="s">
        <v>25</v>
      </c>
      <c r="F11644" s="52" t="s">
        <v>26</v>
      </c>
      <c r="G11644" s="53"/>
    </row>
    <row r="11645">
      <c r="A11645" s="49">
        <v>45143.39928172454</v>
      </c>
      <c r="B11645" s="50">
        <v>45143.5242554282</v>
      </c>
      <c r="C11645" s="51">
        <v>1.003</v>
      </c>
      <c r="D11645" s="51">
        <v>74.0</v>
      </c>
      <c r="E11645" s="52" t="s">
        <v>25</v>
      </c>
      <c r="F11645" s="52" t="s">
        <v>26</v>
      </c>
      <c r="G11645" s="53"/>
    </row>
    <row r="11646">
      <c r="A11646" s="49">
        <v>45143.409696840274</v>
      </c>
      <c r="B11646" s="50">
        <v>45143.5346760763</v>
      </c>
      <c r="C11646" s="51">
        <v>1.003</v>
      </c>
      <c r="D11646" s="51">
        <v>74.0</v>
      </c>
      <c r="E11646" s="52" t="s">
        <v>25</v>
      </c>
      <c r="F11646" s="52" t="s">
        <v>26</v>
      </c>
      <c r="G11646" s="53"/>
    </row>
    <row r="11647">
      <c r="A11647" s="49">
        <v>45143.42012708333</v>
      </c>
      <c r="B11647" s="50">
        <v>45143.5450961689</v>
      </c>
      <c r="C11647" s="51">
        <v>1.003</v>
      </c>
      <c r="D11647" s="51">
        <v>74.0</v>
      </c>
      <c r="E11647" s="52" t="s">
        <v>25</v>
      </c>
      <c r="F11647" s="52" t="s">
        <v>26</v>
      </c>
      <c r="G11647" s="53"/>
    </row>
    <row r="11648">
      <c r="A11648" s="49">
        <v>45143.43054487268</v>
      </c>
      <c r="B11648" s="50">
        <v>45143.5555165162</v>
      </c>
      <c r="C11648" s="51">
        <v>1.003</v>
      </c>
      <c r="D11648" s="51">
        <v>73.0</v>
      </c>
      <c r="E11648" s="52" t="s">
        <v>25</v>
      </c>
      <c r="F11648" s="52" t="s">
        <v>26</v>
      </c>
      <c r="G11648" s="53"/>
    </row>
    <row r="11649">
      <c r="A11649" s="49">
        <v>45143.4409681713</v>
      </c>
      <c r="B11649" s="50">
        <v>45143.565937743</v>
      </c>
      <c r="C11649" s="51">
        <v>1.003</v>
      </c>
      <c r="D11649" s="51">
        <v>74.0</v>
      </c>
      <c r="E11649" s="52" t="s">
        <v>25</v>
      </c>
      <c r="F11649" s="52" t="s">
        <v>26</v>
      </c>
      <c r="G11649" s="53"/>
    </row>
    <row r="11650">
      <c r="A11650" s="49">
        <v>45143.4513803125</v>
      </c>
      <c r="B11650" s="50">
        <v>45143.5763584027</v>
      </c>
      <c r="C11650" s="51">
        <v>1.003</v>
      </c>
      <c r="D11650" s="51">
        <v>73.0</v>
      </c>
      <c r="E11650" s="52" t="s">
        <v>25</v>
      </c>
      <c r="F11650" s="52" t="s">
        <v>26</v>
      </c>
      <c r="G11650" s="53"/>
    </row>
    <row r="11651">
      <c r="A11651" s="49">
        <v>45143.46180769676</v>
      </c>
      <c r="B11651" s="50">
        <v>45143.5867786574</v>
      </c>
      <c r="C11651" s="51">
        <v>1.003</v>
      </c>
      <c r="D11651" s="51">
        <v>74.0</v>
      </c>
      <c r="E11651" s="52" t="s">
        <v>25</v>
      </c>
      <c r="F11651" s="52" t="s">
        <v>26</v>
      </c>
      <c r="G11651" s="53"/>
    </row>
    <row r="11652">
      <c r="A11652" s="49">
        <v>45143.472230694446</v>
      </c>
      <c r="B11652" s="50">
        <v>45143.597198449</v>
      </c>
      <c r="C11652" s="51">
        <v>1.003</v>
      </c>
      <c r="D11652" s="51">
        <v>74.0</v>
      </c>
      <c r="E11652" s="52" t="s">
        <v>25</v>
      </c>
      <c r="F11652" s="52" t="s">
        <v>26</v>
      </c>
      <c r="G11652" s="53"/>
    </row>
    <row r="11653">
      <c r="A11653" s="49">
        <v>45143.48265878472</v>
      </c>
      <c r="B11653" s="50">
        <v>45143.6076317592</v>
      </c>
      <c r="C11653" s="51">
        <v>1.003</v>
      </c>
      <c r="D11653" s="51">
        <v>74.0</v>
      </c>
      <c r="E11653" s="52" t="s">
        <v>25</v>
      </c>
      <c r="F11653" s="52" t="s">
        <v>26</v>
      </c>
      <c r="G11653" s="53"/>
    </row>
    <row r="11654">
      <c r="A11654" s="49">
        <v>45143.49307899305</v>
      </c>
      <c r="B11654" s="50">
        <v>45143.6180526851</v>
      </c>
      <c r="C11654" s="51">
        <v>1.003</v>
      </c>
      <c r="D11654" s="51">
        <v>73.0</v>
      </c>
      <c r="E11654" s="52" t="s">
        <v>25</v>
      </c>
      <c r="F11654" s="52" t="s">
        <v>26</v>
      </c>
      <c r="G11654" s="53"/>
    </row>
    <row r="11655">
      <c r="A11655" s="49">
        <v>45143.503499293976</v>
      </c>
      <c r="B11655" s="50">
        <v>45143.6284739699</v>
      </c>
      <c r="C11655" s="51">
        <v>1.003</v>
      </c>
      <c r="D11655" s="51">
        <v>74.0</v>
      </c>
      <c r="E11655" s="52" t="s">
        <v>25</v>
      </c>
      <c r="F11655" s="52" t="s">
        <v>26</v>
      </c>
      <c r="G11655" s="53"/>
    </row>
    <row r="11656">
      <c r="A11656" s="49">
        <v>45143.513929050925</v>
      </c>
      <c r="B11656" s="50">
        <v>45143.6388951157</v>
      </c>
      <c r="C11656" s="51">
        <v>1.003</v>
      </c>
      <c r="D11656" s="51">
        <v>74.0</v>
      </c>
      <c r="E11656" s="52" t="s">
        <v>25</v>
      </c>
      <c r="F11656" s="52" t="s">
        <v>26</v>
      </c>
      <c r="G11656" s="53"/>
    </row>
    <row r="11657">
      <c r="A11657" s="49">
        <v>45143.52434469908</v>
      </c>
      <c r="B11657" s="50">
        <v>45143.6493157638</v>
      </c>
      <c r="C11657" s="51">
        <v>1.003</v>
      </c>
      <c r="D11657" s="51">
        <v>74.0</v>
      </c>
      <c r="E11657" s="52" t="s">
        <v>25</v>
      </c>
      <c r="F11657" s="52" t="s">
        <v>26</v>
      </c>
      <c r="G11657" s="53"/>
    </row>
    <row r="11658">
      <c r="A11658" s="49">
        <v>45143.53476334491</v>
      </c>
      <c r="B11658" s="50">
        <v>45143.6597383564</v>
      </c>
      <c r="C11658" s="51">
        <v>1.003</v>
      </c>
      <c r="D11658" s="51">
        <v>74.0</v>
      </c>
      <c r="E11658" s="52" t="s">
        <v>25</v>
      </c>
      <c r="F11658" s="52" t="s">
        <v>26</v>
      </c>
      <c r="G11658" s="53"/>
    </row>
    <row r="11659">
      <c r="A11659" s="49">
        <v>45143.545200486114</v>
      </c>
      <c r="B11659" s="50">
        <v>45143.6701716782</v>
      </c>
      <c r="C11659" s="51">
        <v>1.003</v>
      </c>
      <c r="D11659" s="51">
        <v>74.0</v>
      </c>
      <c r="E11659" s="52" t="s">
        <v>25</v>
      </c>
      <c r="F11659" s="52" t="s">
        <v>26</v>
      </c>
      <c r="G11659" s="53"/>
    </row>
    <row r="11660">
      <c r="A11660" s="49">
        <v>45143.55562128472</v>
      </c>
      <c r="B11660" s="50">
        <v>45143.6805913657</v>
      </c>
      <c r="C11660" s="51">
        <v>1.003</v>
      </c>
      <c r="D11660" s="51">
        <v>74.0</v>
      </c>
      <c r="E11660" s="52" t="s">
        <v>25</v>
      </c>
      <c r="F11660" s="52" t="s">
        <v>26</v>
      </c>
      <c r="G11660" s="53"/>
    </row>
    <row r="11661">
      <c r="A11661" s="49">
        <v>45143.56603920139</v>
      </c>
      <c r="B11661" s="50">
        <v>45143.6910137963</v>
      </c>
      <c r="C11661" s="51">
        <v>1.003</v>
      </c>
      <c r="D11661" s="51">
        <v>74.0</v>
      </c>
      <c r="E11661" s="52" t="s">
        <v>25</v>
      </c>
      <c r="F11661" s="52" t="s">
        <v>26</v>
      </c>
      <c r="G11661" s="53"/>
    </row>
    <row r="11662">
      <c r="A11662" s="49">
        <v>45143.57648564815</v>
      </c>
      <c r="B11662" s="50">
        <v>45143.7014573842</v>
      </c>
      <c r="C11662" s="51">
        <v>1.003</v>
      </c>
      <c r="D11662" s="51">
        <v>74.0</v>
      </c>
      <c r="E11662" s="52" t="s">
        <v>25</v>
      </c>
      <c r="F11662" s="52" t="s">
        <v>26</v>
      </c>
      <c r="G11662" s="53"/>
    </row>
    <row r="11663">
      <c r="A11663" s="49">
        <v>45143.586904282405</v>
      </c>
      <c r="B11663" s="50">
        <v>45143.7118784606</v>
      </c>
      <c r="C11663" s="51">
        <v>1.003</v>
      </c>
      <c r="D11663" s="51">
        <v>74.0</v>
      </c>
      <c r="E11663" s="52" t="s">
        <v>25</v>
      </c>
      <c r="F11663" s="52" t="s">
        <v>26</v>
      </c>
      <c r="G11663" s="53"/>
    </row>
    <row r="11664">
      <c r="A11664" s="49">
        <v>45143.59733608796</v>
      </c>
      <c r="B11664" s="50">
        <v>45143.7223107407</v>
      </c>
      <c r="C11664" s="51">
        <v>1.003</v>
      </c>
      <c r="D11664" s="51">
        <v>74.0</v>
      </c>
      <c r="E11664" s="52" t="s">
        <v>25</v>
      </c>
      <c r="F11664" s="52" t="s">
        <v>26</v>
      </c>
      <c r="G11664" s="53"/>
    </row>
    <row r="11665">
      <c r="A11665" s="49">
        <v>45143.60775553241</v>
      </c>
      <c r="B11665" s="50">
        <v>45143.7327323263</v>
      </c>
      <c r="C11665" s="51">
        <v>1.003</v>
      </c>
      <c r="D11665" s="51">
        <v>74.0</v>
      </c>
      <c r="E11665" s="52" t="s">
        <v>25</v>
      </c>
      <c r="F11665" s="52" t="s">
        <v>26</v>
      </c>
      <c r="G11665" s="53"/>
    </row>
    <row r="11666">
      <c r="A11666" s="49">
        <v>45143.618175682874</v>
      </c>
      <c r="B11666" s="50">
        <v>45143.7431540856</v>
      </c>
      <c r="C11666" s="51">
        <v>1.003</v>
      </c>
      <c r="D11666" s="51">
        <v>74.0</v>
      </c>
      <c r="E11666" s="52" t="s">
        <v>25</v>
      </c>
      <c r="F11666" s="52" t="s">
        <v>26</v>
      </c>
      <c r="G11666" s="53"/>
    </row>
    <row r="11667">
      <c r="A11667" s="49">
        <v>45143.6286040625</v>
      </c>
      <c r="B11667" s="50">
        <v>45143.7535759838</v>
      </c>
      <c r="C11667" s="51">
        <v>1.003</v>
      </c>
      <c r="D11667" s="51">
        <v>74.0</v>
      </c>
      <c r="E11667" s="52" t="s">
        <v>25</v>
      </c>
      <c r="F11667" s="52" t="s">
        <v>26</v>
      </c>
      <c r="G11667" s="53"/>
    </row>
    <row r="11668">
      <c r="A11668" s="49">
        <v>45143.63902918981</v>
      </c>
      <c r="B11668" s="50">
        <v>45143.7639947569</v>
      </c>
      <c r="C11668" s="51">
        <v>1.003</v>
      </c>
      <c r="D11668" s="51">
        <v>74.0</v>
      </c>
      <c r="E11668" s="52" t="s">
        <v>25</v>
      </c>
      <c r="F11668" s="52" t="s">
        <v>26</v>
      </c>
      <c r="G11668" s="53"/>
    </row>
    <row r="11669">
      <c r="A11669" s="49">
        <v>45143.64944707176</v>
      </c>
      <c r="B11669" s="50">
        <v>45143.7744155555</v>
      </c>
      <c r="C11669" s="51">
        <v>1.003</v>
      </c>
      <c r="D11669" s="51">
        <v>74.0</v>
      </c>
      <c r="E11669" s="52" t="s">
        <v>25</v>
      </c>
      <c r="F11669" s="52" t="s">
        <v>26</v>
      </c>
      <c r="G11669" s="53"/>
    </row>
    <row r="11670">
      <c r="A11670" s="49">
        <v>45143.659868773146</v>
      </c>
      <c r="B11670" s="50">
        <v>45143.7848485995</v>
      </c>
      <c r="C11670" s="51">
        <v>1.003</v>
      </c>
      <c r="D11670" s="51">
        <v>74.0</v>
      </c>
      <c r="E11670" s="52" t="s">
        <v>25</v>
      </c>
      <c r="F11670" s="52" t="s">
        <v>26</v>
      </c>
      <c r="G11670" s="53"/>
    </row>
    <row r="11671">
      <c r="A11671" s="49">
        <v>45143.67030344908</v>
      </c>
      <c r="B11671" s="50">
        <v>45143.7952689583</v>
      </c>
      <c r="C11671" s="51">
        <v>1.003</v>
      </c>
      <c r="D11671" s="51">
        <v>74.0</v>
      </c>
      <c r="E11671" s="52" t="s">
        <v>25</v>
      </c>
      <c r="F11671" s="52" t="s">
        <v>26</v>
      </c>
      <c r="G11671" s="53"/>
    </row>
    <row r="11672">
      <c r="A11672" s="49">
        <v>45143.680725370374</v>
      </c>
      <c r="B11672" s="50">
        <v>45143.8056911574</v>
      </c>
      <c r="C11672" s="51">
        <v>1.003</v>
      </c>
      <c r="D11672" s="51">
        <v>74.0</v>
      </c>
      <c r="E11672" s="52" t="s">
        <v>25</v>
      </c>
      <c r="F11672" s="52" t="s">
        <v>26</v>
      </c>
      <c r="G11672" s="53"/>
    </row>
    <row r="11673">
      <c r="A11673" s="49">
        <v>45143.691136388894</v>
      </c>
      <c r="B11673" s="50">
        <v>45143.8161128588</v>
      </c>
      <c r="C11673" s="51">
        <v>1.003</v>
      </c>
      <c r="D11673" s="51">
        <v>74.0</v>
      </c>
      <c r="E11673" s="52" t="s">
        <v>25</v>
      </c>
      <c r="F11673" s="52" t="s">
        <v>26</v>
      </c>
      <c r="G11673" s="53"/>
    </row>
    <row r="11674">
      <c r="A11674" s="49">
        <v>45143.70156141203</v>
      </c>
      <c r="B11674" s="50">
        <v>45143.82653353</v>
      </c>
      <c r="C11674" s="51">
        <v>1.003</v>
      </c>
      <c r="D11674" s="51">
        <v>74.0</v>
      </c>
      <c r="E11674" s="52" t="s">
        <v>25</v>
      </c>
      <c r="F11674" s="52" t="s">
        <v>26</v>
      </c>
      <c r="G11674" s="53"/>
    </row>
    <row r="11675">
      <c r="A11675" s="49">
        <v>45143.71198337963</v>
      </c>
      <c r="B11675" s="50">
        <v>45143.8369528356</v>
      </c>
      <c r="C11675" s="51">
        <v>1.003</v>
      </c>
      <c r="D11675" s="51">
        <v>74.0</v>
      </c>
      <c r="E11675" s="52" t="s">
        <v>25</v>
      </c>
      <c r="F11675" s="52" t="s">
        <v>26</v>
      </c>
      <c r="G11675" s="53"/>
    </row>
    <row r="11676">
      <c r="A11676" s="49">
        <v>45143.72240270833</v>
      </c>
      <c r="B11676" s="50">
        <v>45143.847373912</v>
      </c>
      <c r="C11676" s="51">
        <v>1.003</v>
      </c>
      <c r="D11676" s="51">
        <v>74.0</v>
      </c>
      <c r="E11676" s="52" t="s">
        <v>25</v>
      </c>
      <c r="F11676" s="52" t="s">
        <v>26</v>
      </c>
      <c r="G11676" s="53"/>
    </row>
    <row r="11677">
      <c r="A11677" s="49">
        <v>45143.73282438658</v>
      </c>
      <c r="B11677" s="50">
        <v>45143.8577962847</v>
      </c>
      <c r="C11677" s="51">
        <v>1.003</v>
      </c>
      <c r="D11677" s="51">
        <v>74.0</v>
      </c>
      <c r="E11677" s="52" t="s">
        <v>25</v>
      </c>
      <c r="F11677" s="52" t="s">
        <v>26</v>
      </c>
      <c r="G11677" s="53"/>
    </row>
    <row r="11678">
      <c r="A11678" s="49">
        <v>45143.743270520834</v>
      </c>
      <c r="B11678" s="50">
        <v>45143.8682385416</v>
      </c>
      <c r="C11678" s="51">
        <v>1.003</v>
      </c>
      <c r="D11678" s="51">
        <v>74.0</v>
      </c>
      <c r="E11678" s="52" t="s">
        <v>25</v>
      </c>
      <c r="F11678" s="52" t="s">
        <v>26</v>
      </c>
      <c r="G11678" s="53"/>
    </row>
    <row r="11679">
      <c r="A11679" s="49">
        <v>45143.75370123843</v>
      </c>
      <c r="B11679" s="50">
        <v>45143.8786724305</v>
      </c>
      <c r="C11679" s="51">
        <v>1.003</v>
      </c>
      <c r="D11679" s="51">
        <v>73.0</v>
      </c>
      <c r="E11679" s="52" t="s">
        <v>25</v>
      </c>
      <c r="F11679" s="52" t="s">
        <v>26</v>
      </c>
      <c r="G11679" s="53"/>
    </row>
    <row r="11680">
      <c r="A11680" s="49">
        <v>45143.76411640046</v>
      </c>
      <c r="B11680" s="50">
        <v>45143.8890925694</v>
      </c>
      <c r="C11680" s="51">
        <v>1.003</v>
      </c>
      <c r="D11680" s="51">
        <v>73.0</v>
      </c>
      <c r="E11680" s="52" t="s">
        <v>25</v>
      </c>
      <c r="F11680" s="52" t="s">
        <v>26</v>
      </c>
      <c r="G11680" s="53"/>
    </row>
    <row r="11681">
      <c r="A11681" s="49">
        <v>45143.77456099537</v>
      </c>
      <c r="B11681" s="50">
        <v>45143.899525081</v>
      </c>
      <c r="C11681" s="51">
        <v>1.003</v>
      </c>
      <c r="D11681" s="51">
        <v>73.0</v>
      </c>
      <c r="E11681" s="52" t="s">
        <v>25</v>
      </c>
      <c r="F11681" s="52" t="s">
        <v>26</v>
      </c>
      <c r="G11681" s="53"/>
    </row>
    <row r="11682">
      <c r="A11682" s="49">
        <v>45143.784970451394</v>
      </c>
      <c r="B11682" s="50">
        <v>45143.9099462037</v>
      </c>
      <c r="C11682" s="51">
        <v>1.003</v>
      </c>
      <c r="D11682" s="51">
        <v>73.0</v>
      </c>
      <c r="E11682" s="52" t="s">
        <v>25</v>
      </c>
      <c r="F11682" s="52" t="s">
        <v>26</v>
      </c>
      <c r="G11682" s="53"/>
    </row>
    <row r="11683">
      <c r="A11683" s="49">
        <v>45143.79540957176</v>
      </c>
      <c r="B11683" s="50">
        <v>45143.9203767939</v>
      </c>
      <c r="C11683" s="51">
        <v>1.003</v>
      </c>
      <c r="D11683" s="51">
        <v>73.0</v>
      </c>
      <c r="E11683" s="52" t="s">
        <v>25</v>
      </c>
      <c r="F11683" s="52" t="s">
        <v>26</v>
      </c>
      <c r="G11683" s="53"/>
    </row>
    <row r="11684">
      <c r="A11684" s="49">
        <v>45143.80582168981</v>
      </c>
      <c r="B11684" s="50">
        <v>45143.9308001388</v>
      </c>
      <c r="C11684" s="51">
        <v>1.003</v>
      </c>
      <c r="D11684" s="51">
        <v>73.0</v>
      </c>
      <c r="E11684" s="52" t="s">
        <v>25</v>
      </c>
      <c r="F11684" s="52" t="s">
        <v>26</v>
      </c>
      <c r="G11684" s="53"/>
    </row>
    <row r="11685">
      <c r="A11685" s="49">
        <v>45143.81626116898</v>
      </c>
      <c r="B11685" s="50">
        <v>45143.941231875</v>
      </c>
      <c r="C11685" s="51">
        <v>1.003</v>
      </c>
      <c r="D11685" s="51">
        <v>73.0</v>
      </c>
      <c r="E11685" s="52" t="s">
        <v>25</v>
      </c>
      <c r="F11685" s="52" t="s">
        <v>26</v>
      </c>
      <c r="G11685" s="53"/>
    </row>
    <row r="11686">
      <c r="A11686" s="49">
        <v>45143.826676550925</v>
      </c>
      <c r="B11686" s="50">
        <v>45143.9516524421</v>
      </c>
      <c r="C11686" s="51">
        <v>1.003</v>
      </c>
      <c r="D11686" s="51">
        <v>73.0</v>
      </c>
      <c r="E11686" s="52" t="s">
        <v>25</v>
      </c>
      <c r="F11686" s="52" t="s">
        <v>26</v>
      </c>
      <c r="G11686" s="53"/>
    </row>
    <row r="11687">
      <c r="A11687" s="49">
        <v>45143.83711045139</v>
      </c>
      <c r="B11687" s="50">
        <v>45143.9620737152</v>
      </c>
      <c r="C11687" s="51">
        <v>1.003</v>
      </c>
      <c r="D11687" s="51">
        <v>73.0</v>
      </c>
      <c r="E11687" s="52" t="s">
        <v>25</v>
      </c>
      <c r="F11687" s="52" t="s">
        <v>26</v>
      </c>
      <c r="G11687" s="53"/>
    </row>
    <row r="11688">
      <c r="A11688" s="49">
        <v>45143.847522870376</v>
      </c>
      <c r="B11688" s="50">
        <v>45143.9724957986</v>
      </c>
      <c r="C11688" s="51">
        <v>1.003</v>
      </c>
      <c r="D11688" s="51">
        <v>73.0</v>
      </c>
      <c r="E11688" s="52" t="s">
        <v>25</v>
      </c>
      <c r="F11688" s="52" t="s">
        <v>26</v>
      </c>
      <c r="G11688" s="53"/>
    </row>
    <row r="11689">
      <c r="A11689" s="49">
        <v>45143.85794699074</v>
      </c>
      <c r="B11689" s="50">
        <v>45143.9829162268</v>
      </c>
      <c r="C11689" s="51">
        <v>1.003</v>
      </c>
      <c r="D11689" s="51">
        <v>73.0</v>
      </c>
      <c r="E11689" s="52" t="s">
        <v>25</v>
      </c>
      <c r="F11689" s="52" t="s">
        <v>26</v>
      </c>
      <c r="G11689" s="53"/>
    </row>
    <row r="11690">
      <c r="A11690" s="49">
        <v>45143.86836126157</v>
      </c>
      <c r="B11690" s="50">
        <v>45143.9933362152</v>
      </c>
      <c r="C11690" s="51">
        <v>1.003</v>
      </c>
      <c r="D11690" s="51">
        <v>73.0</v>
      </c>
      <c r="E11690" s="52" t="s">
        <v>25</v>
      </c>
      <c r="F11690" s="52" t="s">
        <v>26</v>
      </c>
      <c r="G11690" s="53"/>
    </row>
    <row r="11691">
      <c r="A11691" s="49">
        <v>45143.87878989583</v>
      </c>
      <c r="B11691" s="50">
        <v>45144.0037561574</v>
      </c>
      <c r="C11691" s="51">
        <v>1.003</v>
      </c>
      <c r="D11691" s="51">
        <v>73.0</v>
      </c>
      <c r="E11691" s="52" t="s">
        <v>25</v>
      </c>
      <c r="F11691" s="52" t="s">
        <v>26</v>
      </c>
      <c r="G11691" s="53"/>
    </row>
    <row r="11692">
      <c r="A11692" s="49">
        <v>45143.8892084375</v>
      </c>
      <c r="B11692" s="50">
        <v>45144.014176331</v>
      </c>
      <c r="C11692" s="51">
        <v>1.003</v>
      </c>
      <c r="D11692" s="51">
        <v>73.0</v>
      </c>
      <c r="E11692" s="52" t="s">
        <v>25</v>
      </c>
      <c r="F11692" s="52" t="s">
        <v>26</v>
      </c>
      <c r="G11692" s="53"/>
    </row>
    <row r="11693">
      <c r="A11693" s="49">
        <v>45143.89963233796</v>
      </c>
      <c r="B11693" s="50">
        <v>45144.024608993</v>
      </c>
      <c r="C11693" s="51">
        <v>1.003</v>
      </c>
      <c r="D11693" s="51">
        <v>73.0</v>
      </c>
      <c r="E11693" s="52" t="s">
        <v>25</v>
      </c>
      <c r="F11693" s="52" t="s">
        <v>26</v>
      </c>
      <c r="G11693" s="53"/>
    </row>
    <row r="11694">
      <c r="A11694" s="49">
        <v>45143.910061435185</v>
      </c>
      <c r="B11694" s="50">
        <v>45144.0350314004</v>
      </c>
      <c r="C11694" s="51">
        <v>1.003</v>
      </c>
      <c r="D11694" s="51">
        <v>73.0</v>
      </c>
      <c r="E11694" s="52" t="s">
        <v>25</v>
      </c>
      <c r="F11694" s="52" t="s">
        <v>26</v>
      </c>
      <c r="G11694" s="53"/>
    </row>
    <row r="11695">
      <c r="A11695" s="49">
        <v>45143.92048143518</v>
      </c>
      <c r="B11695" s="50">
        <v>45144.0454534838</v>
      </c>
      <c r="C11695" s="51">
        <v>1.003</v>
      </c>
      <c r="D11695" s="51">
        <v>73.0</v>
      </c>
      <c r="E11695" s="52" t="s">
        <v>25</v>
      </c>
      <c r="F11695" s="52" t="s">
        <v>26</v>
      </c>
      <c r="G11695" s="53"/>
    </row>
    <row r="11696">
      <c r="A11696" s="49">
        <v>45143.9309053125</v>
      </c>
      <c r="B11696" s="50">
        <v>45144.0558738541</v>
      </c>
      <c r="C11696" s="51">
        <v>1.003</v>
      </c>
      <c r="D11696" s="51">
        <v>73.0</v>
      </c>
      <c r="E11696" s="52" t="s">
        <v>25</v>
      </c>
      <c r="F11696" s="52" t="s">
        <v>26</v>
      </c>
      <c r="G11696" s="53"/>
    </row>
    <row r="11697">
      <c r="A11697" s="49">
        <v>45143.941323541665</v>
      </c>
      <c r="B11697" s="50">
        <v>45144.0662965046</v>
      </c>
      <c r="C11697" s="51">
        <v>1.003</v>
      </c>
      <c r="D11697" s="51">
        <v>73.0</v>
      </c>
      <c r="E11697" s="52" t="s">
        <v>25</v>
      </c>
      <c r="F11697" s="52" t="s">
        <v>26</v>
      </c>
      <c r="G11697" s="53"/>
    </row>
    <row r="11698">
      <c r="A11698" s="49">
        <v>45143.95174391204</v>
      </c>
      <c r="B11698" s="50">
        <v>45144.0767157639</v>
      </c>
      <c r="C11698" s="51">
        <v>1.003</v>
      </c>
      <c r="D11698" s="51">
        <v>73.0</v>
      </c>
      <c r="E11698" s="52" t="s">
        <v>25</v>
      </c>
      <c r="F11698" s="52" t="s">
        <v>26</v>
      </c>
      <c r="G11698" s="53"/>
    </row>
    <row r="11699">
      <c r="A11699" s="49">
        <v>45143.962167025464</v>
      </c>
      <c r="B11699" s="50">
        <v>45144.087138287</v>
      </c>
      <c r="C11699" s="51">
        <v>1.003</v>
      </c>
      <c r="D11699" s="51">
        <v>73.0</v>
      </c>
      <c r="E11699" s="52" t="s">
        <v>25</v>
      </c>
      <c r="F11699" s="52" t="s">
        <v>26</v>
      </c>
      <c r="G11699" s="53"/>
    </row>
    <row r="11700">
      <c r="A11700" s="49">
        <v>45143.97258832176</v>
      </c>
      <c r="B11700" s="50">
        <v>45144.0975598842</v>
      </c>
      <c r="C11700" s="51">
        <v>1.003</v>
      </c>
      <c r="D11700" s="51">
        <v>73.0</v>
      </c>
      <c r="E11700" s="52" t="s">
        <v>25</v>
      </c>
      <c r="F11700" s="52" t="s">
        <v>26</v>
      </c>
      <c r="G11700" s="53"/>
    </row>
    <row r="11701">
      <c r="A11701" s="49">
        <v>45143.98301326389</v>
      </c>
      <c r="B11701" s="50">
        <v>45144.1079804629</v>
      </c>
      <c r="C11701" s="51">
        <v>1.003</v>
      </c>
      <c r="D11701" s="51">
        <v>73.0</v>
      </c>
      <c r="E11701" s="52" t="s">
        <v>25</v>
      </c>
      <c r="F11701" s="52" t="s">
        <v>26</v>
      </c>
      <c r="G11701" s="53"/>
    </row>
    <row r="11702">
      <c r="A11702" s="49">
        <v>45143.99343228009</v>
      </c>
      <c r="B11702" s="50">
        <v>45144.1184002199</v>
      </c>
      <c r="C11702" s="51">
        <v>1.003</v>
      </c>
      <c r="D11702" s="51">
        <v>73.0</v>
      </c>
      <c r="E11702" s="52" t="s">
        <v>25</v>
      </c>
      <c r="F11702" s="52" t="s">
        <v>26</v>
      </c>
      <c r="G11702" s="53"/>
    </row>
    <row r="11703">
      <c r="A11703" s="49">
        <v>45144.00384754629</v>
      </c>
      <c r="B11703" s="50">
        <v>45144.1288240509</v>
      </c>
      <c r="C11703" s="51">
        <v>1.003</v>
      </c>
      <c r="D11703" s="51">
        <v>73.0</v>
      </c>
      <c r="E11703" s="52" t="s">
        <v>25</v>
      </c>
      <c r="F11703" s="52" t="s">
        <v>26</v>
      </c>
      <c r="G11703" s="53"/>
    </row>
    <row r="11704">
      <c r="A11704" s="49">
        <v>45144.014271319444</v>
      </c>
      <c r="B11704" s="50">
        <v>45144.139243993</v>
      </c>
      <c r="C11704" s="51">
        <v>1.003</v>
      </c>
      <c r="D11704" s="51">
        <v>73.0</v>
      </c>
      <c r="E11704" s="52" t="s">
        <v>25</v>
      </c>
      <c r="F11704" s="52" t="s">
        <v>26</v>
      </c>
      <c r="G11704" s="53"/>
    </row>
    <row r="11705">
      <c r="A11705" s="49">
        <v>45144.02469777778</v>
      </c>
      <c r="B11705" s="50">
        <v>45144.1496647569</v>
      </c>
      <c r="C11705" s="51">
        <v>1.003</v>
      </c>
      <c r="D11705" s="51">
        <v>73.0</v>
      </c>
      <c r="E11705" s="52" t="s">
        <v>25</v>
      </c>
      <c r="F11705" s="52" t="s">
        <v>26</v>
      </c>
      <c r="G11705" s="53"/>
    </row>
    <row r="11706">
      <c r="A11706" s="49">
        <v>45144.035121030094</v>
      </c>
      <c r="B11706" s="50">
        <v>45144.1600862847</v>
      </c>
      <c r="C11706" s="51">
        <v>1.003</v>
      </c>
      <c r="D11706" s="51">
        <v>73.0</v>
      </c>
      <c r="E11706" s="52" t="s">
        <v>25</v>
      </c>
      <c r="F11706" s="52" t="s">
        <v>26</v>
      </c>
      <c r="G11706" s="53"/>
    </row>
    <row r="11707">
      <c r="A11707" s="49">
        <v>45144.04554212963</v>
      </c>
      <c r="B11707" s="50">
        <v>45144.170506574</v>
      </c>
      <c r="C11707" s="51">
        <v>1.003</v>
      </c>
      <c r="D11707" s="51">
        <v>73.0</v>
      </c>
      <c r="E11707" s="52" t="s">
        <v>25</v>
      </c>
      <c r="F11707" s="52" t="s">
        <v>26</v>
      </c>
      <c r="G11707" s="53"/>
    </row>
    <row r="11708">
      <c r="A11708" s="49">
        <v>45144.05596347222</v>
      </c>
      <c r="B11708" s="50">
        <v>45144.1809297222</v>
      </c>
      <c r="C11708" s="51">
        <v>1.003</v>
      </c>
      <c r="D11708" s="51">
        <v>73.0</v>
      </c>
      <c r="E11708" s="52" t="s">
        <v>25</v>
      </c>
      <c r="F11708" s="52" t="s">
        <v>26</v>
      </c>
      <c r="G11708" s="53"/>
    </row>
    <row r="11709">
      <c r="A11709" s="49">
        <v>45144.0663766088</v>
      </c>
      <c r="B11709" s="50">
        <v>45144.1913512731</v>
      </c>
      <c r="C11709" s="51">
        <v>1.003</v>
      </c>
      <c r="D11709" s="51">
        <v>73.0</v>
      </c>
      <c r="E11709" s="52" t="s">
        <v>25</v>
      </c>
      <c r="F11709" s="52" t="s">
        <v>26</v>
      </c>
      <c r="G11709" s="53"/>
    </row>
    <row r="11710">
      <c r="A11710" s="49">
        <v>45144.07680087963</v>
      </c>
      <c r="B11710" s="50">
        <v>45144.2017734606</v>
      </c>
      <c r="C11710" s="51">
        <v>1.003</v>
      </c>
      <c r="D11710" s="51">
        <v>73.0</v>
      </c>
      <c r="E11710" s="52" t="s">
        <v>25</v>
      </c>
      <c r="F11710" s="52" t="s">
        <v>26</v>
      </c>
      <c r="G11710" s="53"/>
    </row>
    <row r="11711">
      <c r="A11711" s="49">
        <v>45144.08724300926</v>
      </c>
      <c r="B11711" s="50">
        <v>45144.2122066203</v>
      </c>
      <c r="C11711" s="51">
        <v>1.003</v>
      </c>
      <c r="D11711" s="51">
        <v>73.0</v>
      </c>
      <c r="E11711" s="52" t="s">
        <v>25</v>
      </c>
      <c r="F11711" s="52" t="s">
        <v>26</v>
      </c>
      <c r="G11711" s="53"/>
    </row>
    <row r="11712">
      <c r="A11712" s="49">
        <v>45144.09766277778</v>
      </c>
      <c r="B11712" s="50">
        <v>45144.222628206</v>
      </c>
      <c r="C11712" s="51">
        <v>1.003</v>
      </c>
      <c r="D11712" s="51">
        <v>73.0</v>
      </c>
      <c r="E11712" s="52" t="s">
        <v>25</v>
      </c>
      <c r="F11712" s="52" t="s">
        <v>26</v>
      </c>
      <c r="G11712" s="53"/>
    </row>
    <row r="11713">
      <c r="A11713" s="49">
        <v>45144.108088043984</v>
      </c>
      <c r="B11713" s="50">
        <v>45144.2330606713</v>
      </c>
      <c r="C11713" s="51">
        <v>1.003</v>
      </c>
      <c r="D11713" s="51">
        <v>73.0</v>
      </c>
      <c r="E11713" s="52" t="s">
        <v>25</v>
      </c>
      <c r="F11713" s="52" t="s">
        <v>26</v>
      </c>
      <c r="G11713" s="53"/>
    </row>
    <row r="11714">
      <c r="A11714" s="49">
        <v>45144.11850280093</v>
      </c>
      <c r="B11714" s="50">
        <v>45144.2434825578</v>
      </c>
      <c r="C11714" s="51">
        <v>1.003</v>
      </c>
      <c r="D11714" s="51">
        <v>73.0</v>
      </c>
      <c r="E11714" s="52" t="s">
        <v>25</v>
      </c>
      <c r="F11714" s="52" t="s">
        <v>26</v>
      </c>
      <c r="G11714" s="53"/>
    </row>
    <row r="11715">
      <c r="A11715" s="49">
        <v>45144.128932141204</v>
      </c>
      <c r="B11715" s="50">
        <v>45144.2539031018</v>
      </c>
      <c r="C11715" s="51">
        <v>1.003</v>
      </c>
      <c r="D11715" s="51">
        <v>73.0</v>
      </c>
      <c r="E11715" s="52" t="s">
        <v>25</v>
      </c>
      <c r="F11715" s="52" t="s">
        <v>26</v>
      </c>
      <c r="G11715" s="53"/>
    </row>
    <row r="11716">
      <c r="A11716" s="49">
        <v>45144.13935366899</v>
      </c>
      <c r="B11716" s="50">
        <v>45144.2643232407</v>
      </c>
      <c r="C11716" s="51">
        <v>1.003</v>
      </c>
      <c r="D11716" s="51">
        <v>73.0</v>
      </c>
      <c r="E11716" s="52" t="s">
        <v>25</v>
      </c>
      <c r="F11716" s="52" t="s">
        <v>26</v>
      </c>
      <c r="G11716" s="53"/>
    </row>
    <row r="11717">
      <c r="A11717" s="49">
        <v>45144.14977508102</v>
      </c>
      <c r="B11717" s="50">
        <v>45144.2747429745</v>
      </c>
      <c r="C11717" s="51">
        <v>1.003</v>
      </c>
      <c r="D11717" s="51">
        <v>73.0</v>
      </c>
      <c r="E11717" s="52" t="s">
        <v>25</v>
      </c>
      <c r="F11717" s="52" t="s">
        <v>26</v>
      </c>
      <c r="G11717" s="53"/>
    </row>
    <row r="11718">
      <c r="A11718" s="49">
        <v>45144.16019141204</v>
      </c>
      <c r="B11718" s="50">
        <v>45144.2851623842</v>
      </c>
      <c r="C11718" s="51">
        <v>1.003</v>
      </c>
      <c r="D11718" s="51">
        <v>73.0</v>
      </c>
      <c r="E11718" s="52" t="s">
        <v>25</v>
      </c>
      <c r="F11718" s="52" t="s">
        <v>26</v>
      </c>
      <c r="G11718" s="53"/>
    </row>
    <row r="11719">
      <c r="A11719" s="49">
        <v>45144.1706115625</v>
      </c>
      <c r="B11719" s="50">
        <v>45144.2955809606</v>
      </c>
      <c r="C11719" s="51">
        <v>1.003</v>
      </c>
      <c r="D11719" s="51">
        <v>73.0</v>
      </c>
      <c r="E11719" s="52" t="s">
        <v>25</v>
      </c>
      <c r="F11719" s="52" t="s">
        <v>26</v>
      </c>
      <c r="G11719" s="53"/>
    </row>
    <row r="11720">
      <c r="A11720" s="49">
        <v>45144.18103241899</v>
      </c>
      <c r="B11720" s="50">
        <v>45144.30600228</v>
      </c>
      <c r="C11720" s="51">
        <v>1.003</v>
      </c>
      <c r="D11720" s="51">
        <v>73.0</v>
      </c>
      <c r="E11720" s="52" t="s">
        <v>25</v>
      </c>
      <c r="F11720" s="52" t="s">
        <v>26</v>
      </c>
      <c r="G11720" s="53"/>
    </row>
    <row r="11721">
      <c r="A11721" s="49">
        <v>45144.19145172454</v>
      </c>
      <c r="B11721" s="50">
        <v>45144.3164239583</v>
      </c>
      <c r="C11721" s="51">
        <v>1.003</v>
      </c>
      <c r="D11721" s="51">
        <v>73.0</v>
      </c>
      <c r="E11721" s="52" t="s">
        <v>25</v>
      </c>
      <c r="F11721" s="52" t="s">
        <v>26</v>
      </c>
      <c r="G11721" s="53"/>
    </row>
    <row r="11722">
      <c r="A11722" s="49">
        <v>45144.20186959491</v>
      </c>
      <c r="B11722" s="50">
        <v>45144.3268435764</v>
      </c>
      <c r="C11722" s="51">
        <v>1.003</v>
      </c>
      <c r="D11722" s="51">
        <v>73.0</v>
      </c>
      <c r="E11722" s="52" t="s">
        <v>25</v>
      </c>
      <c r="F11722" s="52" t="s">
        <v>26</v>
      </c>
      <c r="G11722" s="53"/>
    </row>
    <row r="11723">
      <c r="A11723" s="49">
        <v>45144.21230027778</v>
      </c>
      <c r="B11723" s="50">
        <v>45144.3372658101</v>
      </c>
      <c r="C11723" s="51">
        <v>1.003</v>
      </c>
      <c r="D11723" s="51">
        <v>73.0</v>
      </c>
      <c r="E11723" s="52" t="s">
        <v>25</v>
      </c>
      <c r="F11723" s="52" t="s">
        <v>26</v>
      </c>
      <c r="G11723" s="53"/>
    </row>
    <row r="11724">
      <c r="A11724" s="49">
        <v>45144.2227194213</v>
      </c>
      <c r="B11724" s="50">
        <v>45144.3476865046</v>
      </c>
      <c r="C11724" s="51">
        <v>1.003</v>
      </c>
      <c r="D11724" s="51">
        <v>73.0</v>
      </c>
      <c r="E11724" s="52" t="s">
        <v>25</v>
      </c>
      <c r="F11724" s="52" t="s">
        <v>26</v>
      </c>
      <c r="G11724" s="53"/>
    </row>
    <row r="11725">
      <c r="A11725" s="49">
        <v>45144.23313759259</v>
      </c>
      <c r="B11725" s="50">
        <v>45144.3581072453</v>
      </c>
      <c r="C11725" s="51">
        <v>1.003</v>
      </c>
      <c r="D11725" s="51">
        <v>73.0</v>
      </c>
      <c r="E11725" s="52" t="s">
        <v>25</v>
      </c>
      <c r="F11725" s="52" t="s">
        <v>26</v>
      </c>
      <c r="G11725" s="53"/>
    </row>
    <row r="11726">
      <c r="A11726" s="49">
        <v>45144.243559560186</v>
      </c>
      <c r="B11726" s="50">
        <v>45144.3685292708</v>
      </c>
      <c r="C11726" s="51">
        <v>1.003</v>
      </c>
      <c r="D11726" s="51">
        <v>73.0</v>
      </c>
      <c r="E11726" s="52" t="s">
        <v>25</v>
      </c>
      <c r="F11726" s="52" t="s">
        <v>26</v>
      </c>
      <c r="G11726" s="53"/>
    </row>
    <row r="11727">
      <c r="A11727" s="49">
        <v>45144.25398009259</v>
      </c>
      <c r="B11727" s="50">
        <v>45144.3789508796</v>
      </c>
      <c r="C11727" s="51">
        <v>1.003</v>
      </c>
      <c r="D11727" s="51">
        <v>73.0</v>
      </c>
      <c r="E11727" s="52" t="s">
        <v>25</v>
      </c>
      <c r="F11727" s="52" t="s">
        <v>26</v>
      </c>
      <c r="G11727" s="53"/>
    </row>
    <row r="11728">
      <c r="A11728" s="49">
        <v>45144.264406828705</v>
      </c>
      <c r="B11728" s="50">
        <v>45144.389373125</v>
      </c>
      <c r="C11728" s="51">
        <v>1.003</v>
      </c>
      <c r="D11728" s="51">
        <v>73.0</v>
      </c>
      <c r="E11728" s="52" t="s">
        <v>25</v>
      </c>
      <c r="F11728" s="52" t="s">
        <v>26</v>
      </c>
      <c r="G11728" s="53"/>
    </row>
    <row r="11729">
      <c r="A11729" s="49">
        <v>45144.27482331019</v>
      </c>
      <c r="B11729" s="50">
        <v>45144.39979353</v>
      </c>
      <c r="C11729" s="51">
        <v>1.003</v>
      </c>
      <c r="D11729" s="51">
        <v>73.0</v>
      </c>
      <c r="E11729" s="52" t="s">
        <v>25</v>
      </c>
      <c r="F11729" s="52" t="s">
        <v>26</v>
      </c>
      <c r="G11729" s="53"/>
    </row>
    <row r="11730">
      <c r="A11730" s="49">
        <v>45144.28524744213</v>
      </c>
      <c r="B11730" s="50">
        <v>45144.4102153472</v>
      </c>
      <c r="C11730" s="51">
        <v>1.003</v>
      </c>
      <c r="D11730" s="51">
        <v>73.0</v>
      </c>
      <c r="E11730" s="52" t="s">
        <v>25</v>
      </c>
      <c r="F11730" s="52" t="s">
        <v>26</v>
      </c>
      <c r="G11730" s="53"/>
    </row>
    <row r="11731">
      <c r="A11731" s="49">
        <v>45144.29566738426</v>
      </c>
      <c r="B11731" s="50">
        <v>45144.4206361458</v>
      </c>
      <c r="C11731" s="51">
        <v>1.003</v>
      </c>
      <c r="D11731" s="51">
        <v>73.0</v>
      </c>
      <c r="E11731" s="52" t="s">
        <v>25</v>
      </c>
      <c r="F11731" s="52" t="s">
        <v>26</v>
      </c>
      <c r="G11731" s="53"/>
    </row>
    <row r="11732">
      <c r="A11732" s="49">
        <v>45144.30608587963</v>
      </c>
      <c r="B11732" s="50">
        <v>45144.4310575578</v>
      </c>
      <c r="C11732" s="51">
        <v>1.003</v>
      </c>
      <c r="D11732" s="51">
        <v>73.0</v>
      </c>
      <c r="E11732" s="52" t="s">
        <v>25</v>
      </c>
      <c r="F11732" s="52" t="s">
        <v>26</v>
      </c>
      <c r="G11732" s="53"/>
    </row>
    <row r="11733">
      <c r="A11733" s="49">
        <v>45144.3165153125</v>
      </c>
      <c r="B11733" s="50">
        <v>45144.4414787847</v>
      </c>
      <c r="C11733" s="51">
        <v>1.003</v>
      </c>
      <c r="D11733" s="51">
        <v>73.0</v>
      </c>
      <c r="E11733" s="52" t="s">
        <v>25</v>
      </c>
      <c r="F11733" s="52" t="s">
        <v>26</v>
      </c>
      <c r="G11733" s="53"/>
    </row>
    <row r="11734">
      <c r="A11734" s="49">
        <v>45144.32692280093</v>
      </c>
      <c r="B11734" s="50">
        <v>45144.4518989467</v>
      </c>
      <c r="C11734" s="51">
        <v>1.003</v>
      </c>
      <c r="D11734" s="51">
        <v>73.0</v>
      </c>
      <c r="E11734" s="52" t="s">
        <v>25</v>
      </c>
      <c r="F11734" s="52" t="s">
        <v>26</v>
      </c>
      <c r="G11734" s="53"/>
    </row>
    <row r="11735">
      <c r="A11735" s="49">
        <v>45144.33734916667</v>
      </c>
      <c r="B11735" s="50">
        <v>45144.4623193287</v>
      </c>
      <c r="C11735" s="51">
        <v>1.003</v>
      </c>
      <c r="D11735" s="51">
        <v>73.0</v>
      </c>
      <c r="E11735" s="52" t="s">
        <v>25</v>
      </c>
      <c r="F11735" s="52" t="s">
        <v>26</v>
      </c>
      <c r="G11735" s="53"/>
    </row>
    <row r="11736">
      <c r="A11736" s="49">
        <v>45144.34776618055</v>
      </c>
      <c r="B11736" s="50">
        <v>45144.4727417708</v>
      </c>
      <c r="C11736" s="51">
        <v>1.003</v>
      </c>
      <c r="D11736" s="51">
        <v>73.0</v>
      </c>
      <c r="E11736" s="52" t="s">
        <v>25</v>
      </c>
      <c r="F11736" s="52" t="s">
        <v>26</v>
      </c>
      <c r="G11736" s="53"/>
    </row>
    <row r="11737">
      <c r="A11737" s="49">
        <v>45144.35818846065</v>
      </c>
      <c r="B11737" s="50">
        <v>45144.4831622916</v>
      </c>
      <c r="C11737" s="51">
        <v>1.003</v>
      </c>
      <c r="D11737" s="51">
        <v>73.0</v>
      </c>
      <c r="E11737" s="52" t="s">
        <v>25</v>
      </c>
      <c r="F11737" s="52" t="s">
        <v>26</v>
      </c>
      <c r="G11737" s="53"/>
    </row>
    <row r="11738">
      <c r="A11738" s="49">
        <v>45144.36861655093</v>
      </c>
      <c r="B11738" s="50">
        <v>45144.4935817592</v>
      </c>
      <c r="C11738" s="51">
        <v>1.003</v>
      </c>
      <c r="D11738" s="51">
        <v>73.0</v>
      </c>
      <c r="E11738" s="52" t="s">
        <v>25</v>
      </c>
      <c r="F11738" s="52" t="s">
        <v>26</v>
      </c>
      <c r="G11738" s="53"/>
    </row>
    <row r="11739">
      <c r="A11739" s="49">
        <v>45144.37904777778</v>
      </c>
      <c r="B11739" s="50">
        <v>45144.5040136458</v>
      </c>
      <c r="C11739" s="51">
        <v>1.003</v>
      </c>
      <c r="D11739" s="51">
        <v>73.0</v>
      </c>
      <c r="E11739" s="52" t="s">
        <v>25</v>
      </c>
      <c r="F11739" s="52" t="s">
        <v>26</v>
      </c>
      <c r="G11739" s="53"/>
    </row>
    <row r="11740">
      <c r="A11740" s="49">
        <v>45144.38946289352</v>
      </c>
      <c r="B11740" s="50">
        <v>45144.5144352083</v>
      </c>
      <c r="C11740" s="51">
        <v>1.003</v>
      </c>
      <c r="D11740" s="51">
        <v>73.0</v>
      </c>
      <c r="E11740" s="52" t="s">
        <v>25</v>
      </c>
      <c r="F11740" s="52" t="s">
        <v>26</v>
      </c>
      <c r="G11740" s="53"/>
    </row>
    <row r="11741">
      <c r="A11741" s="49">
        <v>45144.39987840278</v>
      </c>
      <c r="B11741" s="50">
        <v>45144.5248570486</v>
      </c>
      <c r="C11741" s="51">
        <v>1.003</v>
      </c>
      <c r="D11741" s="51">
        <v>73.0</v>
      </c>
      <c r="E11741" s="52" t="s">
        <v>25</v>
      </c>
      <c r="F11741" s="52" t="s">
        <v>26</v>
      </c>
      <c r="G11741" s="53"/>
    </row>
    <row r="11742">
      <c r="A11742" s="49">
        <v>45144.410303020835</v>
      </c>
      <c r="B11742" s="50">
        <v>45144.5352770601</v>
      </c>
      <c r="C11742" s="51">
        <v>1.003</v>
      </c>
      <c r="D11742" s="51">
        <v>73.0</v>
      </c>
      <c r="E11742" s="52" t="s">
        <v>25</v>
      </c>
      <c r="F11742" s="52" t="s">
        <v>26</v>
      </c>
      <c r="G11742" s="53"/>
    </row>
    <row r="11743">
      <c r="A11743" s="49">
        <v>45144.42072908564</v>
      </c>
      <c r="B11743" s="50">
        <v>45144.5456987268</v>
      </c>
      <c r="C11743" s="51">
        <v>1.003</v>
      </c>
      <c r="D11743" s="51">
        <v>73.0</v>
      </c>
      <c r="E11743" s="52" t="s">
        <v>25</v>
      </c>
      <c r="F11743" s="52" t="s">
        <v>26</v>
      </c>
      <c r="G11743" s="53"/>
    </row>
    <row r="11744">
      <c r="A11744" s="49">
        <v>45144.431152951394</v>
      </c>
      <c r="B11744" s="50">
        <v>45144.5561213888</v>
      </c>
      <c r="C11744" s="51">
        <v>1.003</v>
      </c>
      <c r="D11744" s="51">
        <v>73.0</v>
      </c>
      <c r="E11744" s="52" t="s">
        <v>25</v>
      </c>
      <c r="F11744" s="52" t="s">
        <v>26</v>
      </c>
      <c r="G11744" s="53"/>
    </row>
    <row r="11745">
      <c r="A11745" s="49">
        <v>45144.441575219906</v>
      </c>
      <c r="B11745" s="50">
        <v>45144.5665420949</v>
      </c>
      <c r="C11745" s="51">
        <v>1.003</v>
      </c>
      <c r="D11745" s="51">
        <v>73.0</v>
      </c>
      <c r="E11745" s="52" t="s">
        <v>25</v>
      </c>
      <c r="F11745" s="52" t="s">
        <v>26</v>
      </c>
      <c r="G11745" s="53"/>
    </row>
    <row r="11746">
      <c r="A11746" s="49">
        <v>45144.45200365741</v>
      </c>
      <c r="B11746" s="50">
        <v>45144.5769756944</v>
      </c>
      <c r="C11746" s="51">
        <v>1.003</v>
      </c>
      <c r="D11746" s="51">
        <v>73.0</v>
      </c>
      <c r="E11746" s="52" t="s">
        <v>25</v>
      </c>
      <c r="F11746" s="52" t="s">
        <v>26</v>
      </c>
      <c r="G11746" s="53"/>
    </row>
    <row r="11747">
      <c r="A11747" s="49">
        <v>45144.462428240746</v>
      </c>
      <c r="B11747" s="50">
        <v>45144.5873984953</v>
      </c>
      <c r="C11747" s="51">
        <v>1.003</v>
      </c>
      <c r="D11747" s="51">
        <v>73.0</v>
      </c>
      <c r="E11747" s="52" t="s">
        <v>25</v>
      </c>
      <c r="F11747" s="52" t="s">
        <v>26</v>
      </c>
      <c r="G11747" s="53"/>
    </row>
    <row r="11748">
      <c r="A11748" s="49">
        <v>45144.46422461806</v>
      </c>
      <c r="B11748" s="50">
        <v>45144.58736228</v>
      </c>
      <c r="C11748" s="51">
        <v>1.003</v>
      </c>
      <c r="D11748" s="51">
        <v>73.0</v>
      </c>
      <c r="E11748" s="52" t="s">
        <v>25</v>
      </c>
      <c r="F11748" s="52" t="s">
        <v>26</v>
      </c>
      <c r="G11748" s="53"/>
    </row>
    <row r="11749">
      <c r="A11749" s="49">
        <v>45144.4728233912</v>
      </c>
      <c r="B11749" s="50">
        <v>45144.5977846296</v>
      </c>
      <c r="C11749" s="51">
        <v>1.003</v>
      </c>
      <c r="D11749" s="51">
        <v>73.0</v>
      </c>
      <c r="E11749" s="52" t="s">
        <v>25</v>
      </c>
      <c r="F11749" s="52" t="s">
        <v>26</v>
      </c>
      <c r="G11749" s="53"/>
    </row>
    <row r="11750">
      <c r="A11750" s="49">
        <v>45144.5793675</v>
      </c>
      <c r="B11750" s="50">
        <v>45144.7043405208</v>
      </c>
      <c r="C11750" s="51">
        <v>1.004</v>
      </c>
      <c r="D11750" s="51">
        <v>999.0</v>
      </c>
      <c r="E11750" s="52" t="s">
        <v>25</v>
      </c>
      <c r="F11750" s="52" t="s">
        <v>26</v>
      </c>
      <c r="G11750" s="53"/>
    </row>
    <row r="11751">
      <c r="A11751" s="49">
        <v>45144.60233771991</v>
      </c>
      <c r="B11751" s="50">
        <v>45144.7273156365</v>
      </c>
      <c r="C11751" s="51">
        <v>1.004</v>
      </c>
      <c r="D11751" s="51">
        <v>999.0</v>
      </c>
      <c r="E11751" s="52" t="s">
        <v>25</v>
      </c>
      <c r="F11751" s="52" t="s">
        <v>26</v>
      </c>
      <c r="G11751" s="53"/>
    </row>
  </sheetData>
  <customSheetViews>
    <customSheetView guid="{D72C15C6-7A81-4029-B1C7-95D9048E2C92}" filter="1" showAutoFilter="1">
      <autoFilter ref="$B$1:$E$11751"/>
    </customSheetView>
    <customSheetView guid="{98037E31-CB9B-4E6D-9430-F0F3261B48BA}" filter="1" showAutoFilter="1">
      <autoFilter ref="$B$1:$E$11751">
        <filterColumn colId="3">
          <filters>
            <filter val="BLACK"/>
          </filters>
        </filterColumn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6.63"/>
  </cols>
  <sheetData>
    <row r="1">
      <c r="A1" s="48" t="s">
        <v>27</v>
      </c>
    </row>
    <row r="2">
      <c r="A2" s="54" t="s">
        <v>28</v>
      </c>
    </row>
    <row r="3">
      <c r="A3" s="54" t="s">
        <v>29</v>
      </c>
    </row>
    <row r="4">
      <c r="A4" s="54" t="s">
        <v>30</v>
      </c>
    </row>
    <row r="5">
      <c r="A5" s="54" t="s">
        <v>31</v>
      </c>
    </row>
    <row r="6">
      <c r="A6" s="54" t="s">
        <v>32</v>
      </c>
    </row>
    <row r="7">
      <c r="A7" s="54" t="s">
        <v>33</v>
      </c>
    </row>
  </sheetData>
  <drawing r:id="rId1"/>
</worksheet>
</file>